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9.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showInkAnnotation="0" codeName="ThisWorkbook" autoCompressPictures="0"/>
  <mc:AlternateContent xmlns:mc="http://schemas.openxmlformats.org/markup-compatibility/2006">
    <mc:Choice Requires="x15">
      <x15ac:absPath xmlns:x15ac="http://schemas.microsoft.com/office/spreadsheetml/2010/11/ac" url="C:\Users\bind0479\Work\Project-24VAC-DC Controller design\DC-DC Converter reference\"/>
    </mc:Choice>
  </mc:AlternateContent>
  <xr:revisionPtr revIDLastSave="0" documentId="13_ncr:1_{AAD5520F-6D92-4B7F-8153-8EE88F2C4ECA}" xr6:coauthVersionLast="47" xr6:coauthVersionMax="47" xr10:uidLastSave="{00000000-0000-0000-0000-000000000000}"/>
  <workbookProtection workbookAlgorithmName="SHA-512" workbookHashValue="n0yzHZvQISJz74CnrWWk6kUpK3yF4jmoS+QdSpUoBMzbkZG+araA0F7hLFKKRasJcyr7vPw4ck7YY8Ff2HBQRw==" workbookSaltValue="Gp0ppvo5FVwSzSrtYosn3w==" workbookSpinCount="100000" lockStructure="1"/>
  <bookViews>
    <workbookView xWindow="-108" yWindow="-108" windowWidth="23256" windowHeight="12456" tabRatio="468" xr2:uid="{00000000-000D-0000-FFFF-FFFF00000000}"/>
  </bookViews>
  <sheets>
    <sheet name="Design Converter" sheetId="1" r:id="rId1"/>
    <sheet name="Stability Calculations" sheetId="29" state="hidden" r:id="rId2"/>
    <sheet name="Variable Mgmt" sheetId="2" state="hidden" r:id="rId3"/>
    <sheet name="Parameters" sheetId="19" state="hidden" r:id="rId4"/>
    <sheet name="Calculations - Single" sheetId="24" state="hidden" r:id="rId5"/>
    <sheet name="Calculations - Dual" sheetId="25" state="hidden" r:id="rId6"/>
    <sheet name="Fsw vs VIN" sheetId="23" state="hidden" r:id="rId7"/>
    <sheet name="BOM &amp; Schematic" sheetId="16" r:id="rId8"/>
    <sheet name="EVMs" sheetId="14"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Mgmt'!$B$66</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DserR">Parameters!$D$50</definedName>
    <definedName name="BODE_TYPE">'Variable Mgmt'!$Q$20</definedName>
    <definedName name="Cb">'Variable Mgmt'!$B$170</definedName>
    <definedName name="Ccomp">'Stability Calculations'!$D$38</definedName>
    <definedName name="Chf">'Stability Calculations'!$D$39</definedName>
    <definedName name="Cin" localSheetId="3">Parameters!$D$30</definedName>
    <definedName name="Cin">'Variable Mgmt'!$B$136</definedName>
    <definedName name="CinEsrMax">'Variable Mgmt'!$B$138</definedName>
    <definedName name="Cinmin">'Variable Mgmt'!$B$134</definedName>
    <definedName name="CONFIG">'Variable Mgmt'!$C$58</definedName>
    <definedName name="Coss">Parameters!$D$45</definedName>
    <definedName name="Cout" localSheetId="3">Parameters!$D$32</definedName>
    <definedName name="Cout">'Variable Mgmt'!$B$111</definedName>
    <definedName name="Cout_pri">'Stability Calculations'!$B$27</definedName>
    <definedName name="Cout_sec">'Stability Calculations'!$B$25</definedName>
    <definedName name="Cout_Voltage_Rating">'Variable Mgmt'!$S$60</definedName>
    <definedName name="Cout2">'Variable Mgmt'!$B$121</definedName>
    <definedName name="CoutEsr">'Variable Mgmt'!$B$113</definedName>
    <definedName name="CoutEsr2">'Variable Mgmt'!$B$123</definedName>
    <definedName name="Css">'Variable Mgmt'!$B$150</definedName>
    <definedName name="Css_u">'Variable Mgmt'!$B$151</definedName>
    <definedName name="Csw">Parameters!$D$46</definedName>
    <definedName name="Diode_TC">'Variable Mgmt'!$B$181</definedName>
    <definedName name="Don_Vinmax">'Variable Mgmt'!$B$70</definedName>
    <definedName name="Don_Vinmin">'Variable Mgmt'!$B$67</definedName>
    <definedName name="Don_Vinnom">'Variable Mgmt'!$B$69</definedName>
    <definedName name="EFF_DUAL">'Efficiency Plots'!$B$7</definedName>
    <definedName name="EFF_SINGLE">'Efficiency Plots'!$B$5</definedName>
    <definedName name="Efficiency">'Variable Mgmt'!$B$34</definedName>
    <definedName name="Fco_desire">'Design Converter'!$E$58</definedName>
    <definedName name="Fsw" localSheetId="3">Parameters!$D$20</definedName>
    <definedName name="Fsw_DCM">'Variable Mgmt'!$B$45</definedName>
    <definedName name="Fsw_DUAL">'Fsw Plots'!$B$7</definedName>
    <definedName name="Fsw_max">Parameters!$D$21</definedName>
    <definedName name="Fsw_SINGLE">'Fsw Plots'!$B$5</definedName>
    <definedName name="gmEA">'Stability Calculations'!$D$31</definedName>
    <definedName name="Icinrms">'Variable Mgmt'!$B$133</definedName>
    <definedName name="Icoutrms">'Variable Mgmt'!$B$105</definedName>
    <definedName name="Iin_Vinmax">'Variable Mgmt'!$B$42</definedName>
    <definedName name="Iin_Vinmin">'Variable Mgmt'!$B$38</definedName>
    <definedName name="Iin_Vinnom">'Variable Mgmt'!$B$40</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pkCAL">'Variable Mgmt'!$B$101</definedName>
    <definedName name="IQ">Parameters!$D$39</definedName>
    <definedName name="Iripple">Parameters!$D$19</definedName>
    <definedName name="Iripple_Vinmax" localSheetId="5">'Variable Mgmt'!#REF!</definedName>
    <definedName name="Iripple_Vinmax" localSheetId="10">'Variable Mgmt'!#REF!</definedName>
    <definedName name="Iripple_Vinmin" localSheetId="5">'Variable Mgmt'!#REF!</definedName>
    <definedName name="Iripple_Vinmin" localSheetId="10">'Variable Mgmt'!#REF!</definedName>
    <definedName name="Iripple_Vinnom" localSheetId="5">'Variable Mgmt'!#REF!</definedName>
    <definedName name="Iripple_Vinnom" localSheetId="10">'Variable Mgmt'!#REF!</definedName>
    <definedName name="Iripple1" localSheetId="5">'Variable Mgmt'!#REF!</definedName>
    <definedName name="Iripple1" localSheetId="10">'Variable Mgmt'!#REF!</definedName>
    <definedName name="Iss">'Variable Mgmt'!$B$149</definedName>
    <definedName name="Isw_max">Parameters!$D$35</definedName>
    <definedName name="Isw_min">Parameters!$D$36</definedName>
    <definedName name="Iuvlo_hys">'Variable Mgmt'!$B$160</definedName>
    <definedName name="Iuvlo1">'Variable Mgmt'!$B$158</definedName>
    <definedName name="Iuvlo2">'Variable Mgmt'!$B$159</definedName>
    <definedName name="k_core">Parameters!$D$29</definedName>
    <definedName name="ktr_rcmd">'Variable Mgmt'!$B$72</definedName>
    <definedName name="L">Parameters!$D$26</definedName>
    <definedName name="Lleak">'Variable Mgmt'!$B$81</definedName>
    <definedName name="Lmag">'Variable Mgmt'!$B$80</definedName>
    <definedName name="Lmin">'Variable Mgmt'!$B$94</definedName>
    <definedName name="Lmin_abs">'Variable Mgmt'!$B$95</definedName>
    <definedName name="Ls1_">'Variable Mgmt'!$B$82</definedName>
    <definedName name="Ls2_">'Variable Mgmt'!$B$83</definedName>
    <definedName name="Ltc">'Variable Mgmt'!$B$192</definedName>
    <definedName name="M">'Stability Calculations'!$B$18</definedName>
    <definedName name="max_I">Parameters!$H$109</definedName>
    <definedName name="min_I">Parameters!$H$108</definedName>
    <definedName name="MODE">'Variable Mgmt'!$C$57</definedName>
    <definedName name="MODE_SS">'Variable Mgmt'!$J$62</definedName>
    <definedName name="MODE_TC">'Variable Mgmt'!$G$56</definedName>
    <definedName name="MODE_TOP">'Variable Mgmt'!$B$57</definedName>
    <definedName name="MODE_UVLO">'Variable Mgmt'!$G$62</definedName>
    <definedName name="Npri_sec">'Stability Calculations'!$B$13</definedName>
    <definedName name="Npri_sec1">'Variable Mgmt'!$R$48</definedName>
    <definedName name="Npri_sec2">'Variable Mgmt'!$R$50</definedName>
    <definedName name="Nps">'Variable Mgmt'!$R$47</definedName>
    <definedName name="Nsec1sec2">'Variable Mgmt'!$R$49</definedName>
    <definedName name="OffTime">Parameters!$D$18</definedName>
    <definedName name="OnTime">Parameters!$D$17</definedName>
    <definedName name="Pi">'Variable Mgmt'!$B$173</definedName>
    <definedName name="PICTURE1">INDIRECT('Schematic Mgmt'!$A$2)</definedName>
    <definedName name="PICTURE2">INDIRECT('Fsw Plots'!$A$2)</definedName>
    <definedName name="PICTURE3">INDIRECT('Efficiency Plots'!$A$2)</definedName>
    <definedName name="Pin">'Variable Mgmt'!$B$36</definedName>
    <definedName name="PLOT_TYPE">'Variable Mgmt'!$M$62</definedName>
    <definedName name="pole1">'Stability Calculations'!$Q$4</definedName>
    <definedName name="Pole2">'Stability Calculations'!$I$5</definedName>
    <definedName name="pole3">'Stability Calculations'!$T$3</definedName>
    <definedName name="pole4">'Stability Calculations'!$I$7</definedName>
    <definedName name="Pomax_allowed">'Variable Mgmt'!$B$43</definedName>
    <definedName name="Pout">'Variable Mgmt'!$B$14</definedName>
    <definedName name="Pout_total">'Variable Mgmt'!$B$22</definedName>
    <definedName name="Pout2">'Variable Mgmt'!$B$21</definedName>
    <definedName name="_xlnm.Print_Area" localSheetId="7">'BOM &amp; Schematic'!$A$1:$I$59</definedName>
    <definedName name="_xlnm.Print_Area" localSheetId="0">'Design Converter'!$A$1:$R$87</definedName>
    <definedName name="pterm1">'Stability Calculations'!$T$4</definedName>
    <definedName name="pterm2">'Stability Calculations'!$T$5</definedName>
    <definedName name="Qg">Parameters!$D$44</definedName>
    <definedName name="radconv">'Stability Calculations'!$W$6</definedName>
    <definedName name="RCinEsr" localSheetId="3">Parameters!$D$31</definedName>
    <definedName name="RCinEsr">'Variable Mgmt'!$B$139</definedName>
    <definedName name="Rcomp">'Stability Calculations'!$D$37</definedName>
    <definedName name="RCoutEsr" localSheetId="3">Parameters!$D$33</definedName>
    <definedName name="RCoutEsr">'Variable Mgmt'!$B$113</definedName>
    <definedName name="RCS">'Design Converter'!$E$17</definedName>
    <definedName name="Rcs_gain">'Stability Calculations'!$B$34</definedName>
    <definedName name="RCSmin">'Variable Mgmt'!$B$102</definedName>
    <definedName name="Rdcr_pri">'Variable Mgmt'!$B$85</definedName>
    <definedName name="Rdcr_sec">'Variable Mgmt'!$B$86</definedName>
    <definedName name="Rdcr_sec2">'Variable Mgmt'!$B$87</definedName>
    <definedName name="Rdson">Parameters!$D$41</definedName>
    <definedName name="RdsonTC">Parameters!$D$42</definedName>
    <definedName name="REAout">'Stability Calculations'!$D$32</definedName>
    <definedName name="Rfb">'Variable Mgmt'!$B$47</definedName>
    <definedName name="Rfb_recommend">'Variable Mgmt'!$B$177</definedName>
    <definedName name="Rfb2_u">'Variable Mgmt'!$B$179</definedName>
    <definedName name="Rload_pri">'Stability Calculations'!$B$22</definedName>
    <definedName name="Rload_sec">'Stability Calculations'!$B$21</definedName>
    <definedName name="RON">'Design Converter'!$L$22</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Mgmt'!$B$183</definedName>
    <definedName name="RTC_1">'Variable Mgmt'!$B$182</definedName>
    <definedName name="Ruvlo1">'Variable Mgmt'!$B$165</definedName>
    <definedName name="Ruvlo2">'Variable Mgmt'!$B$166</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3">Parameters!$D$12</definedName>
    <definedName name="Ta">'Variable Mgmt'!$B$190</definedName>
    <definedName name="TC">'Variable Mgmt'!$G$56</definedName>
    <definedName name="Tfall">Parameters!$D$23</definedName>
    <definedName name="ThetaCa">'Variable Mgmt'!$B$193</definedName>
    <definedName name="ThetaJA">Parameters!$D$54</definedName>
    <definedName name="TL">'Variable Mgmt'!$B$101</definedName>
    <definedName name="toff_max">'Variable Mgmt'!$B$93</definedName>
    <definedName name="Toff_Vinmax">'Variable Mgmt'!$B$174</definedName>
    <definedName name="Ton_Vinmin">'Variable Mgmt'!$B$175</definedName>
    <definedName name="Trise">Parameters!$D$22</definedName>
    <definedName name="TrrBot">Parameters!$D$52</definedName>
    <definedName name="Tss">'Variable Mgmt'!$B$148</definedName>
    <definedName name="Tsw">'Stability Calculations'!$B$19</definedName>
    <definedName name="Turns_Ratio">'Variable Mgmt'!$S$45</definedName>
    <definedName name="Turns_Ratio2">'Variable Mgmt'!$W$45</definedName>
    <definedName name="Vdd">Parameters!$D$13</definedName>
    <definedName name="Vds_req">'Design Converter'!$E$24</definedName>
    <definedName name="Vfwd1">Parameters!$D$48</definedName>
    <definedName name="Vfwd2">Parameters!$D$49</definedName>
    <definedName name="Vfwd22">'Variable Mgmt'!$L$90</definedName>
    <definedName name="Vin">'Design Converter'!$E$7</definedName>
    <definedName name="Vin_eff">'Stability Calculations'!$B$16</definedName>
    <definedName name="VIN_max">'Variable Mgmt'!$B$9</definedName>
    <definedName name="VIN_min">'Variable Mgmt'!$B$7</definedName>
    <definedName name="VIN_nom">'Variable Mgmt'!$B$8</definedName>
    <definedName name="Vinripple1">'Variable Mgmt'!$B$131</definedName>
    <definedName name="Vinripple2">'Variable Mgmt'!$B$144</definedName>
    <definedName name="VINuvlo_off">'Variable Mgmt'!$B$163</definedName>
    <definedName name="VINuvlo_on">'Variable Mgmt'!$B$162</definedName>
    <definedName name="Vout">'Variable Mgmt'!$B$11</definedName>
    <definedName name="Vout_eff">'Stability Calculations'!$B$14</definedName>
    <definedName name="Vout_ripple">'Variable Mgmt'!$B$30</definedName>
    <definedName name="Vout_ripple2">'Variable Mgmt'!$B$31</definedName>
    <definedName name="Vout2">'Variable Mgmt'!$B$16</definedName>
    <definedName name="Vout2_actual">'Variable Mgmt'!$B$17</definedName>
    <definedName name="Vref">'Variable Mgmt'!$B$46</definedName>
    <definedName name="Vripple1_actual">'Variable Mgmt'!$B$115</definedName>
    <definedName name="Vripple1_spec">'Variable Mgmt'!$B$109</definedName>
    <definedName name="Vripple2_actual">'Variable Mgmt'!$B$125</definedName>
    <definedName name="Vripple2_spec">'Variable Mgmt'!$B$119</definedName>
    <definedName name="VRRM_DIODE">'Variable Mgmt'!$B$28</definedName>
    <definedName name="Vuvlo_hys">'Variable Mgmt'!$B$157</definedName>
    <definedName name="Vuvlo_off">'Variable Mgmt'!$B$156</definedName>
    <definedName name="Vuvlo_on">'Variable Mgmt'!$B$155</definedName>
    <definedName name="z_RHP">'Stability Calculations'!$Q$5</definedName>
    <definedName name="Zero1">'Stability Calculations'!$Q$3</definedName>
    <definedName name="Zero2">'Stability Calculations'!$I$4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9" i="19" l="1"/>
  <c r="U80" i="2" l="1"/>
  <c r="U79" i="2"/>
  <c r="K55" i="16"/>
  <c r="K54" i="16"/>
  <c r="J54" i="16"/>
  <c r="K51" i="16" l="1"/>
  <c r="J51" i="16"/>
  <c r="K53" i="16"/>
  <c r="K52" i="16"/>
  <c r="J53" i="16"/>
  <c r="J52" i="16"/>
  <c r="K38" i="16"/>
  <c r="K37" i="16"/>
  <c r="K36" i="16"/>
  <c r="K35" i="16"/>
  <c r="J38" i="16"/>
  <c r="J37" i="16"/>
  <c r="J35" i="16"/>
  <c r="J36" i="16"/>
  <c r="I38" i="16"/>
  <c r="H38" i="16"/>
  <c r="I36" i="16"/>
  <c r="H36" i="16"/>
  <c r="I35" i="16"/>
  <c r="H35" i="16"/>
  <c r="K44" i="16"/>
  <c r="J44" i="16"/>
  <c r="I44" i="16"/>
  <c r="H44" i="16"/>
  <c r="A44" i="16"/>
  <c r="K43" i="16"/>
  <c r="K46" i="16"/>
  <c r="K42" i="16"/>
  <c r="J43" i="16"/>
  <c r="J41" i="16"/>
  <c r="J42" i="16"/>
  <c r="C54" i="16" l="1"/>
  <c r="C52" i="16"/>
  <c r="D52" i="16" s="1"/>
  <c r="C36" i="16"/>
  <c r="D36" i="16" s="1"/>
  <c r="C35" i="16"/>
  <c r="D35" i="16" s="1"/>
  <c r="K31" i="1" l="1"/>
  <c r="M322" i="25" l="1"/>
  <c r="F322" i="25"/>
  <c r="M77" i="1"/>
  <c r="M74" i="1"/>
  <c r="M73" i="1"/>
  <c r="K77" i="1"/>
  <c r="K75" i="1"/>
  <c r="K74" i="1"/>
  <c r="K73" i="1"/>
  <c r="O325" i="25"/>
  <c r="H325" i="25"/>
  <c r="F322" i="24"/>
  <c r="H325" i="24"/>
  <c r="D75" i="1" l="1"/>
  <c r="D74" i="1"/>
  <c r="D73" i="1"/>
  <c r="D69" i="1"/>
  <c r="D67" i="1"/>
  <c r="N321" i="24" l="1"/>
  <c r="B44" i="19" l="1"/>
  <c r="B23" i="19" s="1"/>
  <c r="B46" i="19"/>
  <c r="L30" i="1"/>
  <c r="S30" i="1"/>
  <c r="L90" i="2"/>
  <c r="E81" i="1"/>
  <c r="K30" i="1"/>
  <c r="K29" i="1"/>
  <c r="B22" i="19" l="1"/>
  <c r="FM5" i="25"/>
  <c r="D48" i="1" l="1"/>
  <c r="D299" i="2" l="1"/>
  <c r="C53" i="16" s="1"/>
  <c r="D53" i="16" s="1"/>
  <c r="B297" i="2"/>
  <c r="D297" i="2" s="1"/>
  <c r="C51" i="16" s="1"/>
  <c r="B295" i="2"/>
  <c r="D295" i="2" s="1"/>
  <c r="B294" i="2"/>
  <c r="D294" i="2" s="1"/>
  <c r="B293" i="2"/>
  <c r="D293" i="2" s="1"/>
  <c r="B121" i="2"/>
  <c r="L23" i="1" l="1"/>
  <c r="E24" i="1"/>
  <c r="C45" i="16" s="1"/>
  <c r="T44" i="2" l="1"/>
  <c r="T43" i="2"/>
  <c r="T42" i="2"/>
  <c r="T41" i="2"/>
  <c r="T40" i="2"/>
  <c r="T39" i="2"/>
  <c r="T38" i="2"/>
  <c r="T37" i="2"/>
  <c r="T28" i="2"/>
  <c r="K14" i="1" l="1"/>
  <c r="CN5" i="25" l="1"/>
  <c r="DP216" i="25"/>
  <c r="DP110" i="25"/>
  <c r="CN105" i="25"/>
  <c r="CN104" i="25"/>
  <c r="CN103" i="25"/>
  <c r="CN102" i="25"/>
  <c r="CN101" i="25"/>
  <c r="CN100" i="25"/>
  <c r="CN99" i="25"/>
  <c r="CN98" i="25"/>
  <c r="CN97" i="25"/>
  <c r="CN96" i="25"/>
  <c r="CN95" i="25"/>
  <c r="CN94" i="25"/>
  <c r="CN93" i="25"/>
  <c r="CN92" i="25"/>
  <c r="CN91" i="25"/>
  <c r="CN90" i="25"/>
  <c r="CN89" i="25"/>
  <c r="CN88" i="25"/>
  <c r="CN87" i="25"/>
  <c r="CN86" i="25"/>
  <c r="CN85" i="25"/>
  <c r="CN84" i="25"/>
  <c r="CN83" i="25"/>
  <c r="CN82" i="25"/>
  <c r="CN81" i="25"/>
  <c r="CN80" i="25"/>
  <c r="CN79" i="25"/>
  <c r="CN78" i="25"/>
  <c r="CN77" i="25"/>
  <c r="CN76" i="25"/>
  <c r="CN75" i="25"/>
  <c r="CN74" i="25"/>
  <c r="CN73" i="25"/>
  <c r="CN72" i="25"/>
  <c r="CN71" i="25"/>
  <c r="CN70" i="25"/>
  <c r="CN69" i="25"/>
  <c r="CN68" i="25"/>
  <c r="CN67" i="25"/>
  <c r="CN66" i="25"/>
  <c r="CN65" i="25"/>
  <c r="CN64" i="25"/>
  <c r="CN63" i="25"/>
  <c r="CN62" i="25"/>
  <c r="CN61" i="25"/>
  <c r="CN60" i="25"/>
  <c r="CN59" i="25"/>
  <c r="CN58" i="25"/>
  <c r="CN57" i="25"/>
  <c r="CN56" i="25"/>
  <c r="CN55" i="25"/>
  <c r="CN54" i="25"/>
  <c r="CN53" i="25"/>
  <c r="CN52" i="25"/>
  <c r="CN51" i="25"/>
  <c r="CN50" i="25"/>
  <c r="CN49" i="25"/>
  <c r="CN48" i="25"/>
  <c r="CN47" i="25"/>
  <c r="CN46" i="25"/>
  <c r="CN45" i="25"/>
  <c r="CN44" i="25"/>
  <c r="CN43" i="25"/>
  <c r="CN42" i="25"/>
  <c r="CN41" i="25"/>
  <c r="CN40" i="25"/>
  <c r="CN39" i="25"/>
  <c r="CN38" i="25"/>
  <c r="CN37" i="25"/>
  <c r="CN36" i="25"/>
  <c r="CN35" i="25"/>
  <c r="CN34" i="25"/>
  <c r="CN33" i="25"/>
  <c r="CN32" i="25"/>
  <c r="CN31" i="25"/>
  <c r="CN30" i="25"/>
  <c r="CN29" i="25"/>
  <c r="CN28" i="25"/>
  <c r="CN27" i="25"/>
  <c r="CN26" i="25"/>
  <c r="CN25" i="25"/>
  <c r="CN24" i="25"/>
  <c r="CN23" i="25"/>
  <c r="CN22" i="25"/>
  <c r="CN21" i="25"/>
  <c r="CN20" i="25"/>
  <c r="CN19" i="25"/>
  <c r="CN18" i="25"/>
  <c r="CN17" i="25"/>
  <c r="CN16" i="25"/>
  <c r="CN15" i="25"/>
  <c r="CN14" i="25"/>
  <c r="CN13" i="25"/>
  <c r="CN12" i="25"/>
  <c r="CN11" i="25"/>
  <c r="CN10" i="25"/>
  <c r="CN9" i="25"/>
  <c r="CN8" i="25"/>
  <c r="CN7" i="25"/>
  <c r="CN6" i="25"/>
  <c r="DP5" i="25"/>
  <c r="DQ216" i="24" l="1"/>
  <c r="DQ110" i="24"/>
  <c r="CR108" i="24"/>
  <c r="CM105" i="24"/>
  <c r="CM104" i="24"/>
  <c r="CM103" i="24"/>
  <c r="CM102" i="24"/>
  <c r="CM101" i="24"/>
  <c r="CM100" i="24"/>
  <c r="CM99" i="24"/>
  <c r="CM98" i="24"/>
  <c r="CM97" i="24"/>
  <c r="CM96" i="24"/>
  <c r="CM95" i="24"/>
  <c r="CM94" i="24"/>
  <c r="CM93" i="24"/>
  <c r="CM92" i="24"/>
  <c r="CM91" i="24"/>
  <c r="CM90" i="24"/>
  <c r="CM89" i="24"/>
  <c r="CM88" i="24"/>
  <c r="CM87" i="24"/>
  <c r="CM86" i="24"/>
  <c r="CM85" i="24"/>
  <c r="CM84" i="24"/>
  <c r="CM83" i="24"/>
  <c r="CM82" i="24"/>
  <c r="CM81" i="24"/>
  <c r="CM80" i="24"/>
  <c r="CM79" i="24"/>
  <c r="CM78" i="24"/>
  <c r="CM77" i="24"/>
  <c r="CM76" i="24"/>
  <c r="CM75" i="24"/>
  <c r="CM74" i="24"/>
  <c r="CM73" i="24"/>
  <c r="CM72" i="24"/>
  <c r="CM71" i="24"/>
  <c r="CM70" i="24"/>
  <c r="CM69" i="24"/>
  <c r="CM68" i="24"/>
  <c r="CM67" i="24"/>
  <c r="CM66" i="24"/>
  <c r="CM65" i="24"/>
  <c r="CM64" i="24"/>
  <c r="CM63" i="24"/>
  <c r="CM62" i="24"/>
  <c r="CM61" i="24"/>
  <c r="CM60" i="24"/>
  <c r="CM59" i="24"/>
  <c r="CM58" i="24"/>
  <c r="CM57" i="24"/>
  <c r="CM56" i="24"/>
  <c r="CM55" i="24"/>
  <c r="CM54" i="24"/>
  <c r="CM53" i="24"/>
  <c r="CM52" i="24"/>
  <c r="CM51" i="24"/>
  <c r="CM50" i="24"/>
  <c r="CM49" i="24"/>
  <c r="CM48" i="24"/>
  <c r="CM47" i="24"/>
  <c r="CM46" i="24"/>
  <c r="CM45" i="24"/>
  <c r="CM44" i="24"/>
  <c r="CM43" i="24"/>
  <c r="CM42" i="24"/>
  <c r="CM41" i="24"/>
  <c r="CM40" i="24"/>
  <c r="CM39" i="24"/>
  <c r="CM38" i="24"/>
  <c r="CM37" i="24"/>
  <c r="CM36" i="24"/>
  <c r="CM35" i="24"/>
  <c r="CM34" i="24"/>
  <c r="CM33" i="24"/>
  <c r="CM32" i="24"/>
  <c r="CM31" i="24"/>
  <c r="CM30" i="24"/>
  <c r="CM29" i="24"/>
  <c r="CM28" i="24"/>
  <c r="CM27" i="24"/>
  <c r="CM26" i="24"/>
  <c r="CM25" i="24"/>
  <c r="CM24" i="24"/>
  <c r="CM23" i="24"/>
  <c r="CM22" i="24"/>
  <c r="CM21" i="24"/>
  <c r="CM20" i="24"/>
  <c r="CM19" i="24"/>
  <c r="CM18" i="24"/>
  <c r="CM17" i="24"/>
  <c r="CM16" i="24"/>
  <c r="CM15" i="24"/>
  <c r="CM14" i="24"/>
  <c r="CM13" i="24"/>
  <c r="CM12" i="24"/>
  <c r="CM11" i="24"/>
  <c r="CM10" i="24"/>
  <c r="CM9" i="24"/>
  <c r="CM8" i="24"/>
  <c r="CM7" i="24"/>
  <c r="CM6" i="24"/>
  <c r="DQ5" i="24"/>
  <c r="CM5" i="24"/>
  <c r="W63" i="1" l="1"/>
  <c r="B39" i="29"/>
  <c r="B38" i="29"/>
  <c r="B37" i="29"/>
  <c r="D49" i="29"/>
  <c r="D13" i="1" l="1"/>
  <c r="F13" i="1"/>
  <c r="B35" i="19"/>
  <c r="B33" i="29" l="1"/>
  <c r="B34" i="29" s="1"/>
  <c r="B30" i="29"/>
  <c r="R43" i="2" l="1"/>
  <c r="V43" i="2" s="1"/>
  <c r="V44" i="2"/>
  <c r="V42" i="2"/>
  <c r="V41" i="2"/>
  <c r="V40" i="2"/>
  <c r="V39" i="2"/>
  <c r="V38" i="2"/>
  <c r="V36" i="2"/>
  <c r="V34" i="2"/>
  <c r="V33" i="2"/>
  <c r="V32" i="2"/>
  <c r="V31" i="2"/>
  <c r="V30" i="2"/>
  <c r="V29" i="2"/>
  <c r="V28" i="2"/>
  <c r="W47" i="2"/>
  <c r="R48" i="2"/>
  <c r="R47" i="2"/>
  <c r="Q89" i="2" s="1"/>
  <c r="V45" i="2"/>
  <c r="R45" i="2"/>
  <c r="R44" i="2"/>
  <c r="R41" i="2"/>
  <c r="R39" i="2"/>
  <c r="R37" i="2"/>
  <c r="R35" i="2"/>
  <c r="R33" i="2"/>
  <c r="D37" i="29" l="1"/>
  <c r="C43" i="29" l="1"/>
  <c r="C42" i="29"/>
  <c r="C41" i="29"/>
  <c r="A43" i="29"/>
  <c r="A42" i="29"/>
  <c r="A41" i="29"/>
  <c r="R31" i="2" l="1"/>
  <c r="B13" i="29"/>
  <c r="R32" i="2"/>
  <c r="R34" i="2"/>
  <c r="R36" i="2"/>
  <c r="R38" i="2"/>
  <c r="R40" i="2"/>
  <c r="R42" i="2"/>
  <c r="B45" i="19"/>
  <c r="B41" i="19"/>
  <c r="D12" i="1"/>
  <c r="F12" i="1"/>
  <c r="B36" i="19"/>
  <c r="L3" i="29" l="1"/>
  <c r="D39" i="29"/>
  <c r="D38" i="29"/>
  <c r="D32" i="29"/>
  <c r="D31" i="29"/>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O3" i="29" l="1"/>
  <c r="I6" i="29"/>
  <c r="I7" i="29"/>
  <c r="S452" i="29" s="1"/>
  <c r="I4" i="29"/>
  <c r="R18" i="29" s="1"/>
  <c r="I5" i="29"/>
  <c r="O4" i="29"/>
  <c r="G626" i="29"/>
  <c r="I636" i="29"/>
  <c r="P14" i="29" l="1"/>
  <c r="P22" i="29"/>
  <c r="O297" i="29"/>
  <c r="P408" i="29"/>
  <c r="O382" i="29"/>
  <c r="O158" i="29"/>
  <c r="P21" i="29"/>
  <c r="P94" i="29"/>
  <c r="P162" i="29"/>
  <c r="O159" i="29"/>
  <c r="P235" i="29"/>
  <c r="Q90" i="29"/>
  <c r="R38" i="29"/>
  <c r="Q283" i="29"/>
  <c r="Q334" i="29"/>
  <c r="R73" i="29"/>
  <c r="R30" i="29"/>
  <c r="R26" i="29"/>
  <c r="Q525" i="29"/>
  <c r="Q59" i="29"/>
  <c r="R22" i="29"/>
  <c r="Q50" i="29"/>
  <c r="R34" i="29"/>
  <c r="Q394" i="29"/>
  <c r="Q627" i="29"/>
  <c r="R46" i="29"/>
  <c r="Q101" i="29"/>
  <c r="Q103" i="29"/>
  <c r="R42" i="29"/>
  <c r="R186" i="29"/>
  <c r="Q88" i="29"/>
  <c r="R85" i="29"/>
  <c r="R217" i="29"/>
  <c r="P150" i="29"/>
  <c r="O193" i="29"/>
  <c r="P261" i="29"/>
  <c r="O453" i="29"/>
  <c r="P107" i="29"/>
  <c r="P201" i="29"/>
  <c r="P230" i="29"/>
  <c r="P465" i="29"/>
  <c r="P76" i="29"/>
  <c r="O202" i="29"/>
  <c r="O295" i="29"/>
  <c r="P511" i="29"/>
  <c r="O162" i="29"/>
  <c r="P226" i="29"/>
  <c r="O359" i="29"/>
  <c r="O574" i="29"/>
  <c r="O125" i="29"/>
  <c r="O223" i="29"/>
  <c r="P314" i="29"/>
  <c r="P43" i="29"/>
  <c r="P97" i="29"/>
  <c r="P125" i="29"/>
  <c r="P223" i="29"/>
  <c r="O329" i="29"/>
  <c r="P19" i="29"/>
  <c r="P69" i="29"/>
  <c r="O110" i="29"/>
  <c r="P79" i="29"/>
  <c r="O140" i="29"/>
  <c r="P156" i="29"/>
  <c r="P161" i="29"/>
  <c r="O238" i="29"/>
  <c r="P27" i="29"/>
  <c r="P73" i="29"/>
  <c r="P135" i="29"/>
  <c r="O114" i="29"/>
  <c r="O156" i="29"/>
  <c r="P83" i="29"/>
  <c r="P147" i="29"/>
  <c r="P116" i="29"/>
  <c r="P160" i="29"/>
  <c r="O165" i="29"/>
  <c r="P165" i="29"/>
  <c r="O135" i="29"/>
  <c r="P196" i="29"/>
  <c r="P177" i="29"/>
  <c r="O178" i="29"/>
  <c r="P202" i="29"/>
  <c r="O199" i="29"/>
  <c r="P199" i="29"/>
  <c r="O228" i="29"/>
  <c r="P252" i="29"/>
  <c r="P233" i="29"/>
  <c r="P289" i="29"/>
  <c r="O255" i="29"/>
  <c r="P284" i="29"/>
  <c r="O298" i="29"/>
  <c r="P320" i="29"/>
  <c r="P374" i="29"/>
  <c r="P401" i="29"/>
  <c r="P435" i="29"/>
  <c r="O475" i="29"/>
  <c r="O560" i="29"/>
  <c r="P561" i="29"/>
  <c r="P41" i="29"/>
  <c r="P33" i="29"/>
  <c r="O18" i="29"/>
  <c r="O64" i="29"/>
  <c r="O66" i="29"/>
  <c r="O39" i="29"/>
  <c r="O608" i="29"/>
  <c r="O603" i="29"/>
  <c r="P586" i="29"/>
  <c r="O582" i="29"/>
  <c r="O598" i="29"/>
  <c r="P562" i="29"/>
  <c r="P581" i="29"/>
  <c r="O562" i="29"/>
  <c r="P559" i="29"/>
  <c r="O580" i="29"/>
  <c r="P567" i="29"/>
  <c r="O539" i="29"/>
  <c r="O530" i="29"/>
  <c r="P525" i="29"/>
  <c r="P555" i="29"/>
  <c r="P535" i="29"/>
  <c r="O513" i="29"/>
  <c r="P512" i="29"/>
  <c r="O512" i="29"/>
  <c r="P507" i="29"/>
  <c r="P534" i="29"/>
  <c r="P498" i="29"/>
  <c r="P497" i="29"/>
  <c r="O493" i="29"/>
  <c r="P496" i="29"/>
  <c r="O496" i="29"/>
  <c r="P474" i="29"/>
  <c r="P483" i="29"/>
  <c r="P538" i="29"/>
  <c r="O473" i="29"/>
  <c r="P491" i="29"/>
  <c r="P475" i="29"/>
  <c r="O463" i="29"/>
  <c r="O459" i="29"/>
  <c r="O427" i="29"/>
  <c r="P458" i="29"/>
  <c r="O458" i="29"/>
  <c r="O426" i="29"/>
  <c r="P441" i="29"/>
  <c r="P409" i="29"/>
  <c r="O441" i="29"/>
  <c r="O409" i="29"/>
  <c r="P428" i="29"/>
  <c r="O391" i="29"/>
  <c r="O428" i="29"/>
  <c r="P394" i="29"/>
  <c r="O420" i="29"/>
  <c r="O386" i="29"/>
  <c r="P397" i="29"/>
  <c r="P440" i="29"/>
  <c r="O414" i="29"/>
  <c r="O444" i="29"/>
  <c r="P388" i="29"/>
  <c r="P426" i="29"/>
  <c r="O376" i="29"/>
  <c r="P387" i="29"/>
  <c r="P358" i="29"/>
  <c r="O358" i="29"/>
  <c r="O326" i="29"/>
  <c r="P349" i="29"/>
  <c r="O357" i="29"/>
  <c r="O325" i="29"/>
  <c r="P356" i="29"/>
  <c r="P324" i="29"/>
  <c r="P355" i="29"/>
  <c r="P323" i="29"/>
  <c r="O331" i="29"/>
  <c r="P302" i="29"/>
  <c r="P338" i="29"/>
  <c r="O302" i="29"/>
  <c r="O373" i="29"/>
  <c r="P305" i="29"/>
  <c r="O344" i="29"/>
  <c r="O339" i="29"/>
  <c r="O288" i="29"/>
  <c r="O335" i="29"/>
  <c r="P283" i="29"/>
  <c r="P277" i="29"/>
  <c r="O252" i="29"/>
  <c r="P37" i="29"/>
  <c r="O22" i="29"/>
  <c r="O95" i="29"/>
  <c r="P30" i="29"/>
  <c r="O99" i="29"/>
  <c r="O43" i="29"/>
  <c r="O604" i="29"/>
  <c r="O599" i="29"/>
  <c r="P582" i="29"/>
  <c r="P604" i="29"/>
  <c r="O597" i="29"/>
  <c r="P558" i="29"/>
  <c r="O578" i="29"/>
  <c r="O558" i="29"/>
  <c r="P571" i="29"/>
  <c r="O571" i="29"/>
  <c r="O563" i="29"/>
  <c r="O535" i="29"/>
  <c r="O526" i="29"/>
  <c r="O591" i="29"/>
  <c r="O544" i="29"/>
  <c r="P531" i="29"/>
  <c r="O509" i="29"/>
  <c r="P508" i="29"/>
  <c r="O508" i="29"/>
  <c r="O556" i="29"/>
  <c r="O523" i="29"/>
  <c r="P494" i="29"/>
  <c r="P493" i="29"/>
  <c r="O489" i="29"/>
  <c r="P492" i="29"/>
  <c r="O492" i="29"/>
  <c r="P470" i="29"/>
  <c r="O482" i="29"/>
  <c r="P504" i="29"/>
  <c r="O469" i="29"/>
  <c r="O481" i="29"/>
  <c r="P471" i="29"/>
  <c r="O499" i="29"/>
  <c r="O455" i="29"/>
  <c r="O423" i="29"/>
  <c r="P454" i="29"/>
  <c r="O454" i="29"/>
  <c r="O422" i="29"/>
  <c r="P437" i="29"/>
  <c r="P405" i="29"/>
  <c r="P60" i="29"/>
  <c r="O26" i="29"/>
  <c r="O112" i="29"/>
  <c r="P34" i="29"/>
  <c r="O36" i="29"/>
  <c r="O600" i="29"/>
  <c r="P606" i="29"/>
  <c r="P578" i="29"/>
  <c r="P596" i="29"/>
  <c r="P592" i="29"/>
  <c r="P600" i="29"/>
  <c r="O581" i="29"/>
  <c r="P556" i="29"/>
  <c r="O570" i="29"/>
  <c r="P568" i="29"/>
  <c r="P560" i="29"/>
  <c r="O531" i="29"/>
  <c r="P552" i="29"/>
  <c r="P551" i="29"/>
  <c r="O540" i="29"/>
  <c r="P527" i="29"/>
  <c r="O505" i="29"/>
  <c r="P573" i="29"/>
  <c r="O579" i="29"/>
  <c r="P540" i="29"/>
  <c r="P522" i="29"/>
  <c r="P490" i="29"/>
  <c r="P489" i="29"/>
  <c r="O485" i="29"/>
  <c r="P488" i="29"/>
  <c r="O488" i="29"/>
  <c r="P466" i="29"/>
  <c r="P479" i="29"/>
  <c r="P499" i="29"/>
  <c r="O465" i="29"/>
  <c r="O476" i="29"/>
  <c r="P467" i="29"/>
  <c r="P459" i="29"/>
  <c r="O451" i="29"/>
  <c r="O419" i="29"/>
  <c r="P450" i="29"/>
  <c r="O450" i="29"/>
  <c r="P464" i="29"/>
  <c r="P433" i="29"/>
  <c r="P495" i="29"/>
  <c r="O433" i="29"/>
  <c r="P472" i="29"/>
  <c r="P416" i="29"/>
  <c r="O383" i="29"/>
  <c r="O416" i="29"/>
  <c r="P386" i="29"/>
  <c r="P410" i="29"/>
  <c r="O378" i="29"/>
  <c r="P389" i="29"/>
  <c r="P432" i="29"/>
  <c r="O397" i="29"/>
  <c r="O432" i="29"/>
  <c r="P380" i="29"/>
  <c r="O400" i="29"/>
  <c r="P412" i="29"/>
  <c r="P379" i="29"/>
  <c r="P350" i="29"/>
  <c r="O350" i="29"/>
  <c r="O318" i="29"/>
  <c r="P341" i="29"/>
  <c r="O349" i="29"/>
  <c r="O317" i="29"/>
  <c r="P348" i="29"/>
  <c r="P316" i="29"/>
  <c r="P347" i="29"/>
  <c r="P315" i="29"/>
  <c r="O323" i="29"/>
  <c r="P294" i="29"/>
  <c r="P333" i="29"/>
  <c r="O294" i="29"/>
  <c r="O356" i="29"/>
  <c r="P326" i="29"/>
  <c r="O327" i="29"/>
  <c r="P321" i="29"/>
  <c r="O280" i="29"/>
  <c r="P307" i="29"/>
  <c r="P275" i="29"/>
  <c r="O273" i="29"/>
  <c r="O244" i="29"/>
  <c r="O62" i="29"/>
  <c r="O30" i="29"/>
  <c r="O120" i="29"/>
  <c r="P38" i="29"/>
  <c r="P18" i="29"/>
  <c r="O59" i="29"/>
  <c r="O596" i="29"/>
  <c r="P602" i="29"/>
  <c r="O610" i="29"/>
  <c r="O589" i="29"/>
  <c r="P591" i="29"/>
  <c r="P587" i="29"/>
  <c r="P579" i="29"/>
  <c r="O552" i="29"/>
  <c r="P569" i="29"/>
  <c r="P563" i="29"/>
  <c r="O553" i="29"/>
  <c r="O527" i="29"/>
  <c r="P547" i="29"/>
  <c r="O541" i="29"/>
  <c r="O536" i="29"/>
  <c r="P523" i="29"/>
  <c r="O567" i="29"/>
  <c r="P536" i="29"/>
  <c r="P530" i="29"/>
  <c r="O519" i="29"/>
  <c r="P518" i="29"/>
  <c r="P486" i="29"/>
  <c r="P485" i="29"/>
  <c r="P546" i="29"/>
  <c r="P484" i="29"/>
  <c r="O484" i="29"/>
  <c r="O494" i="29"/>
  <c r="O478" i="29"/>
  <c r="O486" i="29"/>
  <c r="O518" i="29"/>
  <c r="O472" i="29"/>
  <c r="P463" i="29"/>
  <c r="P455" i="29"/>
  <c r="O447" i="29"/>
  <c r="O415" i="29"/>
  <c r="P446" i="29"/>
  <c r="O446" i="29"/>
  <c r="P461" i="29"/>
  <c r="P429" i="29"/>
  <c r="O461" i="29"/>
  <c r="O429" i="29"/>
  <c r="P460" i="29"/>
  <c r="O412" i="29"/>
  <c r="O379" i="29"/>
  <c r="P407" i="29"/>
  <c r="P382" i="29"/>
  <c r="O406" i="29"/>
  <c r="O460" i="29"/>
  <c r="P385" i="29"/>
  <c r="P431" i="29"/>
  <c r="O393" i="29"/>
  <c r="O424" i="29"/>
  <c r="P376" i="29"/>
  <c r="O396" i="29"/>
  <c r="O408" i="29"/>
  <c r="P375" i="29"/>
  <c r="P346" i="29"/>
  <c r="O346" i="29"/>
  <c r="P369" i="29"/>
  <c r="P337" i="29"/>
  <c r="O345" i="29"/>
  <c r="O313" i="29"/>
  <c r="P344" i="29"/>
  <c r="P312" i="29"/>
  <c r="P343" i="29"/>
  <c r="O368" i="29"/>
  <c r="O316" i="29"/>
  <c r="P290" i="29"/>
  <c r="P325" i="29"/>
  <c r="O290" i="29"/>
  <c r="O351" i="29"/>
  <c r="P318" i="29"/>
  <c r="O320" i="29"/>
  <c r="O308" i="29"/>
  <c r="O276" i="29"/>
  <c r="P303" i="29"/>
  <c r="O307" i="29"/>
  <c r="O272" i="29"/>
  <c r="O240" i="29"/>
  <c r="O69" i="29"/>
  <c r="O46" i="29"/>
  <c r="P130" i="29"/>
  <c r="P48" i="29"/>
  <c r="P26" i="29"/>
  <c r="P66" i="29"/>
  <c r="P611" i="29"/>
  <c r="P598" i="29"/>
  <c r="O594" i="29"/>
  <c r="O585" i="29"/>
  <c r="P588" i="29"/>
  <c r="P577" i="29"/>
  <c r="O576" i="29"/>
  <c r="O547" i="29"/>
  <c r="P564" i="29"/>
  <c r="P557" i="29"/>
  <c r="O549" i="29"/>
  <c r="O546" i="29"/>
  <c r="P541" i="29"/>
  <c r="O537" i="29"/>
  <c r="O532" i="29"/>
  <c r="O575" i="29"/>
  <c r="P548" i="29"/>
  <c r="P526" i="29"/>
  <c r="O524" i="29"/>
  <c r="O515" i="29"/>
  <c r="P514" i="29"/>
  <c r="P482" i="29"/>
  <c r="O522" i="29"/>
  <c r="P528" i="29"/>
  <c r="P521" i="29"/>
  <c r="P544" i="29"/>
  <c r="O474" i="29"/>
  <c r="P477" i="29"/>
  <c r="O483" i="29"/>
  <c r="P513" i="29"/>
  <c r="O468" i="29"/>
  <c r="O487" i="29"/>
  <c r="P451" i="29"/>
  <c r="O443" i="29"/>
  <c r="O411" i="29"/>
  <c r="P442" i="29"/>
  <c r="O442" i="29"/>
  <c r="P457" i="29"/>
  <c r="P425" i="29"/>
  <c r="O457" i="29"/>
  <c r="O425" i="29"/>
  <c r="P456" i="29"/>
  <c r="P404" i="29"/>
  <c r="O375" i="29"/>
  <c r="P406" i="29"/>
  <c r="P378" i="29"/>
  <c r="O402" i="29"/>
  <c r="P415" i="29"/>
  <c r="P381" i="29"/>
  <c r="P424" i="29"/>
  <c r="O389" i="29"/>
  <c r="O418" i="29"/>
  <c r="P372" i="29"/>
  <c r="O392" i="29"/>
  <c r="P403" i="29"/>
  <c r="P371" i="29"/>
  <c r="P342" i="29"/>
  <c r="O342" i="29"/>
  <c r="P365" i="29"/>
  <c r="P370" i="29"/>
  <c r="O341" i="29"/>
  <c r="O370" i="29"/>
  <c r="P340" i="29"/>
  <c r="O372" i="29"/>
  <c r="P339" i="29"/>
  <c r="O363" i="29"/>
  <c r="O315" i="29"/>
  <c r="P286" i="29"/>
  <c r="P317" i="29"/>
  <c r="O286" i="29"/>
  <c r="O340" i="29"/>
  <c r="O309" i="29"/>
  <c r="O319" i="29"/>
  <c r="O304" i="29"/>
  <c r="O364" i="29"/>
  <c r="P299" i="29"/>
  <c r="P293" i="29"/>
  <c r="O268" i="29"/>
  <c r="O236" i="29"/>
  <c r="P25" i="29"/>
  <c r="O89" i="29"/>
  <c r="O55" i="29"/>
  <c r="O57" i="29"/>
  <c r="O31" i="29"/>
  <c r="O611" i="29"/>
  <c r="G624" i="29"/>
  <c r="R624" i="29" s="1"/>
  <c r="O590" i="29"/>
  <c r="O606" i="29"/>
  <c r="P584" i="29"/>
  <c r="O557" i="29"/>
  <c r="O568" i="29"/>
  <c r="P565" i="29"/>
  <c r="O554" i="29"/>
  <c r="P549" i="29"/>
  <c r="O566" i="29"/>
  <c r="O538" i="29"/>
  <c r="P533" i="29"/>
  <c r="O529" i="29"/>
  <c r="P543" i="29"/>
  <c r="O521" i="29"/>
  <c r="P520" i="29"/>
  <c r="O520" i="29"/>
  <c r="P515" i="29"/>
  <c r="O507" i="29"/>
  <c r="P506" i="29"/>
  <c r="O502" i="29"/>
  <c r="O501" i="29"/>
  <c r="P503" i="29"/>
  <c r="O503" i="29"/>
  <c r="P502" i="29"/>
  <c r="O466" i="29"/>
  <c r="P469" i="29"/>
  <c r="O479" i="29"/>
  <c r="O514" i="29"/>
  <c r="O491" i="29"/>
  <c r="O471" i="29"/>
  <c r="P443" i="29"/>
  <c r="O435" i="29"/>
  <c r="O480" i="29"/>
  <c r="P476" i="29"/>
  <c r="O434" i="29"/>
  <c r="P449" i="29"/>
  <c r="P417" i="29"/>
  <c r="O449" i="29"/>
  <c r="O417" i="29"/>
  <c r="P436" i="29"/>
  <c r="O399" i="29"/>
  <c r="O452" i="29"/>
  <c r="P402" i="29"/>
  <c r="P430" i="29"/>
  <c r="O394" i="29"/>
  <c r="O410" i="29"/>
  <c r="P373" i="29"/>
  <c r="P419" i="29"/>
  <c r="O381" i="29"/>
  <c r="P396" i="29"/>
  <c r="P448" i="29"/>
  <c r="O384" i="29"/>
  <c r="P395" i="29"/>
  <c r="P366" i="29"/>
  <c r="O366" i="29"/>
  <c r="O334" i="29"/>
  <c r="P357" i="29"/>
  <c r="O365" i="29"/>
  <c r="O333" i="29"/>
  <c r="P364" i="29"/>
  <c r="P332" i="29"/>
  <c r="P363" i="29"/>
  <c r="P331" i="29"/>
  <c r="O347" i="29"/>
  <c r="P310" i="29"/>
  <c r="P278" i="29"/>
  <c r="O310" i="29"/>
  <c r="O278" i="29"/>
  <c r="O312" i="29"/>
  <c r="O360" i="29"/>
  <c r="P304" i="29"/>
  <c r="O296" i="29"/>
  <c r="O348" i="29"/>
  <c r="P291" i="29"/>
  <c r="P285" i="29"/>
  <c r="O260" i="29"/>
  <c r="P330" i="29"/>
  <c r="O14" i="29"/>
  <c r="O15" i="29"/>
  <c r="P594" i="29"/>
  <c r="O561" i="29"/>
  <c r="P553" i="29"/>
  <c r="O533" i="29"/>
  <c r="P524" i="29"/>
  <c r="P478" i="29"/>
  <c r="O506" i="29"/>
  <c r="P509" i="29"/>
  <c r="O439" i="29"/>
  <c r="P453" i="29"/>
  <c r="O413" i="29"/>
  <c r="O371" i="29"/>
  <c r="P411" i="29"/>
  <c r="P444" i="29"/>
  <c r="P400" i="29"/>
  <c r="O362" i="29"/>
  <c r="P352" i="29"/>
  <c r="P327" i="29"/>
  <c r="P282" i="29"/>
  <c r="O367" i="29"/>
  <c r="P300" i="29"/>
  <c r="O248" i="29"/>
  <c r="O267" i="29"/>
  <c r="P242" i="29"/>
  <c r="P297" i="29"/>
  <c r="O48" i="29"/>
  <c r="O35" i="29"/>
  <c r="P590" i="29"/>
  <c r="O587" i="29"/>
  <c r="P545" i="29"/>
  <c r="O525" i="29"/>
  <c r="O516" i="29"/>
  <c r="P501" i="29"/>
  <c r="O498" i="29"/>
  <c r="O495" i="29"/>
  <c r="O431" i="29"/>
  <c r="P445" i="29"/>
  <c r="O405" i="29"/>
  <c r="O436" i="29"/>
  <c r="O398" i="29"/>
  <c r="P439" i="29"/>
  <c r="P392" i="29"/>
  <c r="P399" i="29"/>
  <c r="O354" i="29"/>
  <c r="O361" i="29"/>
  <c r="P336" i="29"/>
  <c r="P319" i="29"/>
  <c r="P274" i="29"/>
  <c r="O314" i="29"/>
  <c r="P329" i="29"/>
  <c r="P287" i="29"/>
  <c r="O232" i="29"/>
  <c r="P255" i="29"/>
  <c r="O263" i="29"/>
  <c r="P270" i="29"/>
  <c r="P238" i="29"/>
  <c r="O270" i="29"/>
  <c r="O289" i="29"/>
  <c r="P245" i="29"/>
  <c r="O291" i="29"/>
  <c r="O249" i="29"/>
  <c r="P260" i="29"/>
  <c r="O233" i="29"/>
  <c r="P200" i="29"/>
  <c r="O212" i="29"/>
  <c r="O180" i="29"/>
  <c r="P207" i="29"/>
  <c r="P175" i="29"/>
  <c r="O207" i="29"/>
  <c r="O175" i="29"/>
  <c r="P210" i="29"/>
  <c r="O218" i="29"/>
  <c r="O186" i="29"/>
  <c r="P217" i="29"/>
  <c r="P185" i="29"/>
  <c r="O209" i="29"/>
  <c r="O177" i="29"/>
  <c r="P184" i="29"/>
  <c r="O143" i="29"/>
  <c r="P178" i="29"/>
  <c r="P171" i="29"/>
  <c r="P141" i="29"/>
  <c r="P176" i="29"/>
  <c r="O141" i="29"/>
  <c r="P168" i="29"/>
  <c r="P136" i="29"/>
  <c r="O130" i="29"/>
  <c r="P92" i="29"/>
  <c r="P155" i="29"/>
  <c r="P123" i="29"/>
  <c r="P91" i="29"/>
  <c r="P59" i="29"/>
  <c r="O115" i="29"/>
  <c r="P110" i="29"/>
  <c r="P159" i="29"/>
  <c r="O90" i="29"/>
  <c r="P143" i="29"/>
  <c r="P113" i="29"/>
  <c r="P81" i="29"/>
  <c r="P49" i="29"/>
  <c r="O70" i="29"/>
  <c r="O105" i="29"/>
  <c r="O68" i="29"/>
  <c r="O586" i="29"/>
  <c r="O543" i="29"/>
  <c r="P62" i="29"/>
  <c r="P593" i="29"/>
  <c r="O572" i="29"/>
  <c r="O545" i="29"/>
  <c r="O528" i="29"/>
  <c r="P519" i="29"/>
  <c r="P517" i="29"/>
  <c r="O470" i="29"/>
  <c r="O464" i="29"/>
  <c r="O407" i="29"/>
  <c r="P421" i="29"/>
  <c r="P452" i="29"/>
  <c r="P420" i="29"/>
  <c r="O390" i="29"/>
  <c r="P423" i="29"/>
  <c r="P384" i="29"/>
  <c r="P391" i="29"/>
  <c r="O338" i="29"/>
  <c r="O353" i="29"/>
  <c r="P328" i="29"/>
  <c r="O352" i="29"/>
  <c r="O336" i="29"/>
  <c r="P309" i="29"/>
  <c r="O300" i="29"/>
  <c r="P279" i="29"/>
  <c r="O293" i="29"/>
  <c r="P251" i="29"/>
  <c r="O259" i="29"/>
  <c r="P266" i="29"/>
  <c r="P234" i="29"/>
  <c r="O266" i="29"/>
  <c r="O281" i="29"/>
  <c r="P241" i="29"/>
  <c r="O283" i="29"/>
  <c r="O245" i="29"/>
  <c r="P256" i="29"/>
  <c r="P228" i="29"/>
  <c r="P239" i="29"/>
  <c r="O208" i="29"/>
  <c r="O176" i="29"/>
  <c r="P203" i="29"/>
  <c r="O246" i="29"/>
  <c r="O203" i="29"/>
  <c r="O171" i="29"/>
  <c r="P206" i="29"/>
  <c r="O214" i="29"/>
  <c r="O182" i="29"/>
  <c r="P213" i="29"/>
  <c r="P181" i="29"/>
  <c r="O205" i="29"/>
  <c r="O173" i="29"/>
  <c r="P172" i="29"/>
  <c r="O139" i="29"/>
  <c r="O172" i="29"/>
  <c r="P169" i="29"/>
  <c r="P137" i="29"/>
  <c r="O169" i="29"/>
  <c r="O137" i="29"/>
  <c r="P164" i="29"/>
  <c r="P132" i="29"/>
  <c r="O122" i="29"/>
  <c r="P88" i="29"/>
  <c r="O148" i="29"/>
  <c r="P119" i="29"/>
  <c r="P87" i="29"/>
  <c r="P55" i="29"/>
  <c r="O170" i="29"/>
  <c r="P106" i="29"/>
  <c r="P118" i="29"/>
  <c r="O86" i="29"/>
  <c r="O136" i="29"/>
  <c r="P109" i="29"/>
  <c r="P77" i="29"/>
  <c r="P15" i="29"/>
  <c r="P31" i="29"/>
  <c r="O107" i="29"/>
  <c r="P146" i="29"/>
  <c r="P29" i="29"/>
  <c r="O50" i="29"/>
  <c r="P595" i="29"/>
  <c r="P585" i="29"/>
  <c r="O559" i="29"/>
  <c r="P537" i="29"/>
  <c r="P542" i="29"/>
  <c r="P510" i="29"/>
  <c r="O510" i="29"/>
  <c r="P480" i="29"/>
  <c r="P447" i="29"/>
  <c r="O438" i="29"/>
  <c r="O437" i="29"/>
  <c r="O395" i="29"/>
  <c r="P438" i="29"/>
  <c r="P393" i="29"/>
  <c r="O377" i="29"/>
  <c r="O388" i="29"/>
  <c r="P354" i="29"/>
  <c r="P353" i="29"/>
  <c r="P368" i="29"/>
  <c r="P351" i="29"/>
  <c r="P306" i="29"/>
  <c r="O282" i="29"/>
  <c r="O328" i="29"/>
  <c r="O343" i="29"/>
  <c r="O264" i="29"/>
  <c r="P267" i="29"/>
  <c r="O279" i="29"/>
  <c r="O243" i="29"/>
  <c r="P250" i="29"/>
  <c r="P288" i="29"/>
  <c r="O250" i="29"/>
  <c r="P257" i="29"/>
  <c r="O301" i="29"/>
  <c r="O261" i="29"/>
  <c r="P272" i="29"/>
  <c r="P240" i="29"/>
  <c r="P212" i="29"/>
  <c r="O224" i="29"/>
  <c r="O192" i="29"/>
  <c r="P219" i="29"/>
  <c r="P187" i="29"/>
  <c r="O219" i="29"/>
  <c r="O187" i="29"/>
  <c r="P222" i="29"/>
  <c r="O230" i="29"/>
  <c r="O198" i="29"/>
  <c r="P229" i="29"/>
  <c r="P197" i="29"/>
  <c r="O221" i="29"/>
  <c r="O189" i="29"/>
  <c r="O164" i="29"/>
  <c r="O155" i="29"/>
  <c r="O123" i="29"/>
  <c r="P158" i="29"/>
  <c r="P153" i="29"/>
  <c r="P121" i="29"/>
  <c r="O153" i="29"/>
  <c r="O121" i="29"/>
  <c r="P148" i="29"/>
  <c r="O154" i="29"/>
  <c r="P104" i="29"/>
  <c r="P167" i="29"/>
  <c r="O132" i="29"/>
  <c r="P103" i="29"/>
  <c r="P71" i="29"/>
  <c r="P142" i="29"/>
  <c r="O134" i="29"/>
  <c r="P90" i="29"/>
  <c r="O102" i="29"/>
  <c r="O152" i="29"/>
  <c r="P120" i="29"/>
  <c r="P93" i="29"/>
  <c r="P61" i="29"/>
  <c r="P23" i="29"/>
  <c r="P39" i="29"/>
  <c r="O61" i="29"/>
  <c r="O369" i="29"/>
  <c r="P301" i="29"/>
  <c r="P264" i="29"/>
  <c r="P204" i="29"/>
  <c r="O184" i="29"/>
  <c r="O75" i="29"/>
  <c r="P64" i="29"/>
  <c r="O607" i="29"/>
  <c r="P583" i="29"/>
  <c r="O550" i="29"/>
  <c r="P529" i="29"/>
  <c r="P516" i="29"/>
  <c r="O504" i="29"/>
  <c r="O500" i="29"/>
  <c r="O477" i="29"/>
  <c r="P468" i="29"/>
  <c r="O430" i="29"/>
  <c r="O421" i="29"/>
  <c r="O387" i="29"/>
  <c r="P422" i="29"/>
  <c r="P377" i="29"/>
  <c r="O440" i="29"/>
  <c r="O380" i="29"/>
  <c r="O374" i="29"/>
  <c r="P345" i="29"/>
  <c r="P360" i="29"/>
  <c r="P335" i="29"/>
  <c r="P298" i="29"/>
  <c r="O274" i="29"/>
  <c r="P308" i="29"/>
  <c r="P313" i="29"/>
  <c r="O256" i="29"/>
  <c r="P263" i="29"/>
  <c r="O271" i="29"/>
  <c r="O239" i="29"/>
  <c r="P246" i="29"/>
  <c r="P281" i="29"/>
  <c r="P311" i="29"/>
  <c r="P253" i="29"/>
  <c r="O299" i="29"/>
  <c r="O257" i="29"/>
  <c r="P268" i="29"/>
  <c r="P236" i="29"/>
  <c r="P208" i="29"/>
  <c r="O220" i="29"/>
  <c r="O188" i="29"/>
  <c r="P215" i="29"/>
  <c r="P183" i="29"/>
  <c r="O215" i="29"/>
  <c r="O183" i="29"/>
  <c r="P218" i="29"/>
  <c r="O226" i="29"/>
  <c r="O194" i="29"/>
  <c r="P225" i="29"/>
  <c r="P193" i="29"/>
  <c r="O217" i="29"/>
  <c r="O185" i="29"/>
  <c r="O160" i="29"/>
  <c r="O151" i="29"/>
  <c r="O119" i="29"/>
  <c r="P188" i="29"/>
  <c r="P149" i="29"/>
  <c r="P198" i="29"/>
  <c r="O149" i="29"/>
  <c r="P186" i="29"/>
  <c r="P144" i="29"/>
  <c r="O146" i="29"/>
  <c r="P100" i="29"/>
  <c r="O116" i="29"/>
  <c r="P131" i="29"/>
  <c r="P99" i="29"/>
  <c r="P67" i="29"/>
  <c r="P134" i="29"/>
  <c r="O126" i="29"/>
  <c r="P86" i="29"/>
  <c r="O98" i="29"/>
  <c r="P151" i="29"/>
  <c r="O118" i="29"/>
  <c r="P89" i="29"/>
  <c r="P57" i="29"/>
  <c r="O92" i="29"/>
  <c r="O448" i="29"/>
  <c r="P295" i="29"/>
  <c r="P259" i="29"/>
  <c r="O303" i="29"/>
  <c r="P280" i="29"/>
  <c r="P249" i="29"/>
  <c r="O253" i="29"/>
  <c r="P232" i="29"/>
  <c r="O216" i="29"/>
  <c r="P105" i="29"/>
  <c r="P115" i="29"/>
  <c r="P52" i="29"/>
  <c r="O128" i="29"/>
  <c r="O79" i="29"/>
  <c r="P85" i="29"/>
  <c r="O144" i="29"/>
  <c r="P82" i="29"/>
  <c r="P126" i="29"/>
  <c r="P95" i="29"/>
  <c r="O166" i="29"/>
  <c r="O138" i="29"/>
  <c r="P174" i="29"/>
  <c r="P192" i="29"/>
  <c r="P182" i="29"/>
  <c r="O147" i="29"/>
  <c r="O181" i="29"/>
  <c r="P189" i="29"/>
  <c r="O190" i="29"/>
  <c r="P214" i="29"/>
  <c r="O211" i="29"/>
  <c r="P211" i="29"/>
  <c r="O234" i="29"/>
  <c r="P273" i="29"/>
  <c r="P237" i="29"/>
  <c r="P296" i="29"/>
  <c r="O287" i="29"/>
  <c r="P292" i="29"/>
  <c r="O306" i="29"/>
  <c r="O321" i="29"/>
  <c r="P383" i="29"/>
  <c r="P414" i="29"/>
  <c r="O445" i="29"/>
  <c r="P487" i="29"/>
  <c r="O511" i="29"/>
  <c r="O583" i="29"/>
  <c r="P627" i="29"/>
  <c r="P68" i="29"/>
  <c r="P101" i="29"/>
  <c r="O78" i="29"/>
  <c r="P98" i="29"/>
  <c r="P173" i="29"/>
  <c r="P111" i="29"/>
  <c r="P80" i="29"/>
  <c r="P124" i="29"/>
  <c r="O129" i="29"/>
  <c r="P129" i="29"/>
  <c r="P166" i="29"/>
  <c r="O163" i="29"/>
  <c r="O197" i="29"/>
  <c r="P205" i="29"/>
  <c r="O206" i="29"/>
  <c r="O237" i="29"/>
  <c r="O227" i="29"/>
  <c r="P227" i="29"/>
  <c r="P216" i="29"/>
  <c r="O241" i="29"/>
  <c r="P265" i="29"/>
  <c r="P254" i="29"/>
  <c r="P247" i="29"/>
  <c r="O284" i="29"/>
  <c r="O311" i="29"/>
  <c r="O337" i="29"/>
  <c r="P434" i="29"/>
  <c r="P390" i="29"/>
  <c r="P413" i="29"/>
  <c r="P473" i="29"/>
  <c r="O517" i="29"/>
  <c r="O605" i="29"/>
  <c r="P51" i="29"/>
  <c r="O133" i="29"/>
  <c r="O167" i="29"/>
  <c r="P209" i="29"/>
  <c r="O242" i="29"/>
  <c r="P243" i="29"/>
  <c r="O235" i="29"/>
  <c r="O265" i="29"/>
  <c r="P269" i="29"/>
  <c r="P258" i="29"/>
  <c r="P271" i="29"/>
  <c r="O292" i="29"/>
  <c r="O324" i="29"/>
  <c r="P361" i="29"/>
  <c r="O456" i="29"/>
  <c r="P398" i="29"/>
  <c r="O462" i="29"/>
  <c r="O490" i="29"/>
  <c r="P532" i="29"/>
  <c r="P613" i="29"/>
  <c r="O82" i="29"/>
  <c r="P84" i="29"/>
  <c r="P133" i="29"/>
  <c r="P170" i="29"/>
  <c r="O201" i="29"/>
  <c r="O210" i="29"/>
  <c r="P220" i="29"/>
  <c r="P35" i="29"/>
  <c r="P53" i="29"/>
  <c r="P117" i="29"/>
  <c r="O94" i="29"/>
  <c r="P114" i="29"/>
  <c r="P63" i="29"/>
  <c r="O124" i="29"/>
  <c r="P96" i="29"/>
  <c r="P140" i="29"/>
  <c r="O145" i="29"/>
  <c r="P145" i="29"/>
  <c r="P194" i="29"/>
  <c r="P190" i="29"/>
  <c r="O213" i="29"/>
  <c r="P221" i="29"/>
  <c r="O222" i="29"/>
  <c r="O179" i="29"/>
  <c r="P179" i="29"/>
  <c r="O196" i="29"/>
  <c r="P224" i="29"/>
  <c r="O269" i="29"/>
  <c r="O254" i="29"/>
  <c r="P262" i="29"/>
  <c r="O277" i="29"/>
  <c r="O355" i="29"/>
  <c r="O332" i="29"/>
  <c r="O322" i="29"/>
  <c r="O385" i="29"/>
  <c r="O404" i="29"/>
  <c r="P481" i="29"/>
  <c r="P500" i="29"/>
  <c r="P539" i="29"/>
  <c r="O88" i="29"/>
  <c r="P128" i="29"/>
  <c r="O54" i="29"/>
  <c r="P65" i="29"/>
  <c r="P127" i="29"/>
  <c r="O106" i="29"/>
  <c r="O142" i="29"/>
  <c r="P75" i="29"/>
  <c r="P139" i="29"/>
  <c r="P108" i="29"/>
  <c r="P152" i="29"/>
  <c r="O157" i="29"/>
  <c r="P157" i="29"/>
  <c r="O127" i="29"/>
  <c r="O168" i="29"/>
  <c r="O225" i="29"/>
  <c r="O231" i="29"/>
  <c r="P231" i="29"/>
  <c r="O191" i="29"/>
  <c r="P191" i="29"/>
  <c r="O200" i="29"/>
  <c r="P244" i="29"/>
  <c r="O275" i="29"/>
  <c r="O258" i="29"/>
  <c r="O247" i="29"/>
  <c r="O285" i="29"/>
  <c r="O305" i="29"/>
  <c r="P359" i="29"/>
  <c r="O330" i="29"/>
  <c r="O401" i="29"/>
  <c r="O403" i="29"/>
  <c r="P462" i="29"/>
  <c r="P505" i="29"/>
  <c r="O534" i="29"/>
  <c r="O627" i="29"/>
  <c r="P102" i="29"/>
  <c r="O150" i="29"/>
  <c r="P112" i="29"/>
  <c r="O161" i="29"/>
  <c r="O131" i="29"/>
  <c r="P180" i="29"/>
  <c r="O229" i="29"/>
  <c r="O174" i="29"/>
  <c r="O195" i="29"/>
  <c r="P195" i="29"/>
  <c r="O204" i="29"/>
  <c r="P248" i="29"/>
  <c r="P322" i="29"/>
  <c r="O262" i="29"/>
  <c r="O251" i="29"/>
  <c r="P276" i="29"/>
  <c r="P334" i="29"/>
  <c r="P367" i="29"/>
  <c r="P362" i="29"/>
  <c r="P418" i="29"/>
  <c r="P427" i="29"/>
  <c r="O467" i="29"/>
  <c r="O497" i="29"/>
  <c r="O542" i="29"/>
  <c r="P580" i="29"/>
  <c r="O551" i="29"/>
  <c r="P575" i="29"/>
  <c r="P572" i="29"/>
  <c r="O565" i="29"/>
  <c r="P566" i="29"/>
  <c r="P608" i="29"/>
  <c r="O613" i="29"/>
  <c r="P612" i="29"/>
  <c r="O601" i="29"/>
  <c r="P601" i="29"/>
  <c r="P610" i="29"/>
  <c r="P599" i="29"/>
  <c r="O612" i="29"/>
  <c r="O52" i="29"/>
  <c r="O27" i="29"/>
  <c r="O97" i="29"/>
  <c r="O47" i="29"/>
  <c r="O44" i="29"/>
  <c r="O93" i="29"/>
  <c r="O42" i="29"/>
  <c r="P163" i="29"/>
  <c r="O53" i="29"/>
  <c r="P17" i="29"/>
  <c r="P550" i="29"/>
  <c r="O555" i="29"/>
  <c r="O592" i="29"/>
  <c r="P576" i="29"/>
  <c r="O569" i="29"/>
  <c r="P570" i="29"/>
  <c r="O584" i="29"/>
  <c r="P597" i="29"/>
  <c r="P589" i="29"/>
  <c r="O602" i="29"/>
  <c r="P609" i="29"/>
  <c r="I634" i="29"/>
  <c r="P603" i="29"/>
  <c r="O103" i="29"/>
  <c r="P50" i="29"/>
  <c r="O23" i="29"/>
  <c r="O84" i="29"/>
  <c r="P46" i="29"/>
  <c r="O24" i="29"/>
  <c r="O80" i="29"/>
  <c r="O38" i="29"/>
  <c r="O108" i="29"/>
  <c r="P45" i="29"/>
  <c r="P13" i="29"/>
  <c r="P554" i="29"/>
  <c r="O548" i="29"/>
  <c r="O564" i="29"/>
  <c r="O577" i="29"/>
  <c r="O573" i="29"/>
  <c r="P574" i="29"/>
  <c r="O588" i="29"/>
  <c r="P605" i="29"/>
  <c r="O593" i="29"/>
  <c r="O609" i="29"/>
  <c r="AC624" i="29"/>
  <c r="O595" i="29"/>
  <c r="P607" i="29"/>
  <c r="O101" i="29"/>
  <c r="P47" i="29"/>
  <c r="O19" i="29"/>
  <c r="O73" i="29"/>
  <c r="P42" i="29"/>
  <c r="O71" i="29"/>
  <c r="O34" i="29"/>
  <c r="O91" i="29"/>
  <c r="T35" i="29"/>
  <c r="S109" i="29"/>
  <c r="Q416" i="29"/>
  <c r="Q559" i="29"/>
  <c r="R627" i="29"/>
  <c r="Q66" i="29"/>
  <c r="R57" i="29"/>
  <c r="Q47" i="29"/>
  <c r="R159" i="29"/>
  <c r="R291" i="29"/>
  <c r="Q333" i="29"/>
  <c r="Q468" i="29"/>
  <c r="R161" i="29"/>
  <c r="Q261" i="29"/>
  <c r="Q383" i="29"/>
  <c r="Q492" i="29"/>
  <c r="Q145" i="29"/>
  <c r="Q30" i="29"/>
  <c r="R67" i="29"/>
  <c r="R149" i="29"/>
  <c r="R185" i="29"/>
  <c r="R214" i="29"/>
  <c r="R296" i="29"/>
  <c r="R318" i="29"/>
  <c r="R375" i="29"/>
  <c r="R453" i="29"/>
  <c r="Q518" i="29"/>
  <c r="Q582" i="29"/>
  <c r="R609" i="29"/>
  <c r="R84" i="29"/>
  <c r="R131" i="29"/>
  <c r="Q228" i="29"/>
  <c r="R316" i="29"/>
  <c r="Q323" i="29"/>
  <c r="R346" i="29"/>
  <c r="Q381" i="29"/>
  <c r="R474" i="29"/>
  <c r="R523" i="29"/>
  <c r="I635" i="29"/>
  <c r="S96" i="29"/>
  <c r="S186" i="29"/>
  <c r="S114" i="29"/>
  <c r="S270" i="29"/>
  <c r="T147" i="29"/>
  <c r="T344" i="29"/>
  <c r="T215" i="29"/>
  <c r="T25" i="29"/>
  <c r="T145" i="29"/>
  <c r="T86" i="29"/>
  <c r="S125" i="29"/>
  <c r="S212" i="29"/>
  <c r="T270" i="29"/>
  <c r="S302" i="29"/>
  <c r="T433" i="29"/>
  <c r="T116" i="29"/>
  <c r="T138" i="29"/>
  <c r="S158" i="29"/>
  <c r="S231" i="29"/>
  <c r="S297" i="29"/>
  <c r="S284" i="29"/>
  <c r="S461" i="29"/>
  <c r="T75" i="29"/>
  <c r="T61" i="29"/>
  <c r="S139" i="29"/>
  <c r="S211" i="29"/>
  <c r="T177" i="29"/>
  <c r="S289" i="29"/>
  <c r="T345" i="29"/>
  <c r="T91" i="29"/>
  <c r="S112" i="29"/>
  <c r="S154" i="29"/>
  <c r="T144" i="29"/>
  <c r="T77" i="29"/>
  <c r="S132" i="29"/>
  <c r="T102" i="29"/>
  <c r="T154" i="29"/>
  <c r="S155" i="29"/>
  <c r="T163" i="29"/>
  <c r="S141" i="29"/>
  <c r="T172" i="29"/>
  <c r="S227" i="29"/>
  <c r="S232" i="29"/>
  <c r="S228" i="29"/>
  <c r="S185" i="29"/>
  <c r="T193" i="29"/>
  <c r="S218" i="29"/>
  <c r="S333" i="29"/>
  <c r="S268" i="29"/>
  <c r="S265" i="29"/>
  <c r="T289" i="29"/>
  <c r="T306" i="29"/>
  <c r="S326" i="29"/>
  <c r="T350" i="29"/>
  <c r="S406" i="29"/>
  <c r="T396" i="29"/>
  <c r="T520" i="29"/>
  <c r="T13" i="29"/>
  <c r="T107" i="29"/>
  <c r="S122" i="29"/>
  <c r="T84" i="29"/>
  <c r="S118" i="29"/>
  <c r="T93" i="29"/>
  <c r="T141" i="29"/>
  <c r="T124" i="29"/>
  <c r="T170" i="29"/>
  <c r="T186" i="29"/>
  <c r="T192" i="29"/>
  <c r="S157" i="29"/>
  <c r="S179" i="29"/>
  <c r="T183" i="29"/>
  <c r="S180" i="29"/>
  <c r="T204" i="29"/>
  <c r="S201" i="29"/>
  <c r="T209" i="29"/>
  <c r="T210" i="29"/>
  <c r="S267" i="29"/>
  <c r="S325" i="29"/>
  <c r="T265" i="29"/>
  <c r="T316" i="29"/>
  <c r="S321" i="29"/>
  <c r="T300" i="29"/>
  <c r="S347" i="29"/>
  <c r="S398" i="29"/>
  <c r="S423" i="29"/>
  <c r="T583" i="29"/>
  <c r="S99" i="29"/>
  <c r="S86" i="29"/>
  <c r="S71" i="29"/>
  <c r="S64" i="29"/>
  <c r="T41" i="29"/>
  <c r="T59" i="29"/>
  <c r="S80" i="29"/>
  <c r="S136" i="29"/>
  <c r="T100" i="29"/>
  <c r="T174" i="29"/>
  <c r="T109" i="29"/>
  <c r="S150" i="29"/>
  <c r="T122" i="29"/>
  <c r="S123" i="29"/>
  <c r="T131" i="29"/>
  <c r="T164" i="29"/>
  <c r="T171" i="29"/>
  <c r="S195" i="29"/>
  <c r="T199" i="29"/>
  <c r="S196" i="29"/>
  <c r="T220" i="29"/>
  <c r="S217" i="29"/>
  <c r="T225" i="29"/>
  <c r="T238" i="29"/>
  <c r="T255" i="29"/>
  <c r="T256" i="29"/>
  <c r="S238" i="29"/>
  <c r="S369" i="29"/>
  <c r="T327" i="29"/>
  <c r="S362" i="29"/>
  <c r="S370" i="29"/>
  <c r="T402" i="29"/>
  <c r="S27" i="29"/>
  <c r="S28" i="29"/>
  <c r="S87" i="29"/>
  <c r="S106" i="29"/>
  <c r="T36" i="29"/>
  <c r="S51" i="29"/>
  <c r="S91" i="29"/>
  <c r="S110" i="29"/>
  <c r="S62" i="29"/>
  <c r="S82" i="29"/>
  <c r="S598" i="29"/>
  <c r="T605" i="29"/>
  <c r="S609" i="29"/>
  <c r="S593" i="29"/>
  <c r="T600" i="29"/>
  <c r="S612" i="29"/>
  <c r="S603" i="29"/>
  <c r="T594" i="29"/>
  <c r="S588" i="29"/>
  <c r="T591" i="29"/>
  <c r="S591" i="29"/>
  <c r="T606" i="29"/>
  <c r="T590" i="29"/>
  <c r="S582" i="29"/>
  <c r="T576" i="29"/>
  <c r="T560" i="29"/>
  <c r="S575" i="29"/>
  <c r="S559" i="29"/>
  <c r="S574" i="29"/>
  <c r="S585" i="29"/>
  <c r="T565" i="29"/>
  <c r="S550" i="29"/>
  <c r="T557" i="29"/>
  <c r="S577" i="29"/>
  <c r="S557" i="29"/>
  <c r="T573" i="29"/>
  <c r="T558" i="29"/>
  <c r="S578" i="29"/>
  <c r="T555" i="29"/>
  <c r="T566" i="29"/>
  <c r="S547" i="29"/>
  <c r="S541" i="29"/>
  <c r="S525" i="29"/>
  <c r="S540" i="29"/>
  <c r="S524" i="29"/>
  <c r="T539" i="29"/>
  <c r="T575" i="29"/>
  <c r="S535" i="29"/>
  <c r="T554" i="29"/>
  <c r="S530" i="29"/>
  <c r="T545" i="29"/>
  <c r="T529" i="29"/>
  <c r="T526" i="29"/>
  <c r="S507" i="29"/>
  <c r="T524" i="29"/>
  <c r="T514" i="29"/>
  <c r="S522" i="29"/>
  <c r="T540" i="29"/>
  <c r="T509" i="29"/>
  <c r="S513" i="29"/>
  <c r="T516" i="29"/>
  <c r="S512" i="29"/>
  <c r="T488" i="29"/>
  <c r="S505" i="29"/>
  <c r="T487" i="29"/>
  <c r="S491" i="29"/>
  <c r="S520" i="29"/>
  <c r="T486" i="29"/>
  <c r="T506" i="29"/>
  <c r="S494" i="29"/>
  <c r="T507" i="29"/>
  <c r="T472" i="29"/>
  <c r="T505" i="29"/>
  <c r="T481" i="29"/>
  <c r="S464" i="29"/>
  <c r="S481" i="29"/>
  <c r="T463" i="29"/>
  <c r="S475" i="29"/>
  <c r="T532" i="29"/>
  <c r="S474" i="29"/>
  <c r="T519" i="29"/>
  <c r="T478" i="29"/>
  <c r="T465" i="29"/>
  <c r="S56" i="29"/>
  <c r="T70" i="29"/>
  <c r="S20" i="29"/>
  <c r="S74" i="29"/>
  <c r="S89" i="29"/>
  <c r="S93" i="29"/>
  <c r="S25" i="29"/>
  <c r="S610" i="29"/>
  <c r="S594" i="29"/>
  <c r="T601" i="29"/>
  <c r="S605" i="29"/>
  <c r="T612" i="29"/>
  <c r="T596" i="29"/>
  <c r="S611" i="29"/>
  <c r="T602" i="29"/>
  <c r="T588" i="29"/>
  <c r="S584" i="29"/>
  <c r="T587" i="29"/>
  <c r="S587" i="29"/>
  <c r="S600" i="29"/>
  <c r="S627" i="29"/>
  <c r="T595" i="29"/>
  <c r="T572" i="29"/>
  <c r="T556" i="29"/>
  <c r="S571" i="29"/>
  <c r="T574" i="29"/>
  <c r="S570" i="29"/>
  <c r="T581" i="29"/>
  <c r="T561" i="29"/>
  <c r="S546" i="29"/>
  <c r="S553" i="29"/>
  <c r="T571" i="29"/>
  <c r="T552" i="29"/>
  <c r="S572" i="29"/>
  <c r="S552" i="29"/>
  <c r="S573" i="29"/>
  <c r="T551" i="29"/>
  <c r="S556" i="29"/>
  <c r="T603" i="29"/>
  <c r="S537" i="29"/>
  <c r="T593" i="29"/>
  <c r="S536" i="29"/>
  <c r="S583" i="29"/>
  <c r="T535" i="29"/>
  <c r="T550" i="29"/>
  <c r="S531" i="29"/>
  <c r="S542" i="29"/>
  <c r="S565" i="29"/>
  <c r="T541" i="29"/>
  <c r="T525" i="29"/>
  <c r="S519" i="29"/>
  <c r="S503" i="29"/>
  <c r="T523" i="29"/>
  <c r="T510" i="29"/>
  <c r="S518" i="29"/>
  <c r="T521" i="29"/>
  <c r="T534" i="29"/>
  <c r="S509" i="29"/>
  <c r="T512" i="29"/>
  <c r="T500" i="29"/>
  <c r="T484" i="29"/>
  <c r="T499" i="29"/>
  <c r="T511" i="29"/>
  <c r="S487" i="29"/>
  <c r="T498" i="29"/>
  <c r="T482" i="29"/>
  <c r="S504" i="29"/>
  <c r="S490" i="29"/>
  <c r="S496" i="29"/>
  <c r="T468" i="29"/>
  <c r="T501" i="29"/>
  <c r="S476" i="29"/>
  <c r="S501" i="29"/>
  <c r="T475" i="29"/>
  <c r="S497" i="29"/>
  <c r="S471" i="29"/>
  <c r="T503" i="29"/>
  <c r="S470" i="29"/>
  <c r="S502" i="29"/>
  <c r="T43" i="29"/>
  <c r="S44" i="29"/>
  <c r="T56" i="29"/>
  <c r="S65" i="29"/>
  <c r="T76" i="29"/>
  <c r="S60" i="29"/>
  <c r="T74" i="29"/>
  <c r="S17" i="29"/>
  <c r="S37" i="29"/>
  <c r="S45" i="29"/>
  <c r="S53" i="29"/>
  <c r="S97" i="29"/>
  <c r="S606" i="29"/>
  <c r="T613" i="29"/>
  <c r="T597" i="29"/>
  <c r="S601" i="29"/>
  <c r="T608" i="29"/>
  <c r="T592" i="29"/>
  <c r="T610" i="29"/>
  <c r="S596" i="29"/>
  <c r="T584" i="29"/>
  <c r="S580" i="29"/>
  <c r="T607" i="29"/>
  <c r="S608" i="29"/>
  <c r="S599" i="29"/>
  <c r="S590" i="29"/>
  <c r="T578" i="29"/>
  <c r="T568" i="29"/>
  <c r="S589" i="29"/>
  <c r="S567" i="29"/>
  <c r="T570" i="29"/>
  <c r="S566" i="29"/>
  <c r="S579" i="29"/>
  <c r="T559" i="29"/>
  <c r="S569" i="29"/>
  <c r="S549" i="29"/>
  <c r="S568" i="29"/>
  <c r="T548" i="29"/>
  <c r="T567" i="29"/>
  <c r="S548" i="29"/>
  <c r="T562" i="29"/>
  <c r="T547" i="29"/>
  <c r="S555" i="29"/>
  <c r="T585" i="29"/>
  <c r="S533" i="29"/>
  <c r="T569" i="29"/>
  <c r="S532" i="29"/>
  <c r="S544" i="29"/>
  <c r="T531" i="29"/>
  <c r="S543" i="29"/>
  <c r="S527" i="29"/>
  <c r="S538" i="29"/>
  <c r="T549" i="29"/>
  <c r="T537" i="29"/>
  <c r="S561" i="29"/>
  <c r="S515" i="29"/>
  <c r="T536" i="29"/>
  <c r="T522" i="29"/>
  <c r="T530" i="29"/>
  <c r="S514" i="29"/>
  <c r="T517" i="29"/>
  <c r="S521" i="29"/>
  <c r="T528" i="29"/>
  <c r="T508" i="29"/>
  <c r="T496" i="29"/>
  <c r="T480" i="29"/>
  <c r="T495" i="29"/>
  <c r="S499" i="29"/>
  <c r="S483" i="29"/>
  <c r="T494" i="29"/>
  <c r="T538" i="29"/>
  <c r="T502" i="29"/>
  <c r="S486" i="29"/>
  <c r="S480" i="29"/>
  <c r="T464" i="29"/>
  <c r="S492" i="29"/>
  <c r="S472" i="29"/>
  <c r="T497" i="29"/>
  <c r="T471" i="29"/>
  <c r="T493" i="29"/>
  <c r="S467" i="29"/>
  <c r="S489" i="29"/>
  <c r="S466" i="29"/>
  <c r="S485" i="29"/>
  <c r="T473" i="29"/>
  <c r="S58" i="29"/>
  <c r="S597" i="29"/>
  <c r="S595" i="29"/>
  <c r="S607" i="29"/>
  <c r="T564" i="29"/>
  <c r="S562" i="29"/>
  <c r="S545" i="29"/>
  <c r="T582" i="29"/>
  <c r="T579" i="29"/>
  <c r="T543" i="29"/>
  <c r="S534" i="29"/>
  <c r="S511" i="29"/>
  <c r="S510" i="29"/>
  <c r="T504" i="29"/>
  <c r="S495" i="29"/>
  <c r="S498" i="29"/>
  <c r="T483" i="29"/>
  <c r="S484" i="29"/>
  <c r="T479" i="29"/>
  <c r="S500" i="29"/>
  <c r="S473" i="29"/>
  <c r="S493" i="29"/>
  <c r="T449" i="29"/>
  <c r="T461" i="29"/>
  <c r="S445" i="29"/>
  <c r="S429" i="29"/>
  <c r="S413" i="29"/>
  <c r="T456" i="29"/>
  <c r="T470" i="29"/>
  <c r="S448" i="29"/>
  <c r="S432" i="29"/>
  <c r="T459" i="29"/>
  <c r="T443" i="29"/>
  <c r="T427" i="29"/>
  <c r="T411" i="29"/>
  <c r="S451" i="29"/>
  <c r="S435" i="29"/>
  <c r="S419" i="29"/>
  <c r="T466" i="29"/>
  <c r="S458" i="29"/>
  <c r="S430" i="29"/>
  <c r="S420" i="29"/>
  <c r="S397" i="29"/>
  <c r="S381" i="29"/>
  <c r="T418" i="29"/>
  <c r="T392" i="29"/>
  <c r="T376" i="29"/>
  <c r="S396" i="29"/>
  <c r="S380" i="29"/>
  <c r="T434" i="29"/>
  <c r="T409" i="29"/>
  <c r="T391" i="29"/>
  <c r="T375" i="29"/>
  <c r="S426" i="29"/>
  <c r="S403" i="29"/>
  <c r="S387" i="29"/>
  <c r="T417" i="29"/>
  <c r="T398" i="29"/>
  <c r="T382" i="29"/>
  <c r="S450" i="29"/>
  <c r="T406" i="29"/>
  <c r="S394" i="29"/>
  <c r="S378" i="29"/>
  <c r="T436" i="29"/>
  <c r="T420" i="29"/>
  <c r="S404" i="29"/>
  <c r="T389" i="29"/>
  <c r="T373" i="29"/>
  <c r="T356" i="29"/>
  <c r="T340" i="29"/>
  <c r="S356" i="29"/>
  <c r="S340" i="29"/>
  <c r="S324" i="29"/>
  <c r="T367" i="29"/>
  <c r="T351" i="29"/>
  <c r="T335" i="29"/>
  <c r="S359" i="29"/>
  <c r="S343" i="29"/>
  <c r="S327" i="29"/>
  <c r="S311" i="29"/>
  <c r="T362" i="29"/>
  <c r="T346" i="29"/>
  <c r="T330" i="29"/>
  <c r="T314" i="29"/>
  <c r="T357" i="29"/>
  <c r="T44" i="29"/>
  <c r="S602" i="29"/>
  <c r="T604" i="29"/>
  <c r="T580" i="29"/>
  <c r="T598" i="29"/>
  <c r="S581" i="29"/>
  <c r="S576" i="29"/>
  <c r="T563" i="29"/>
  <c r="S558" i="29"/>
  <c r="S529" i="29"/>
  <c r="T527" i="29"/>
  <c r="T546" i="29"/>
  <c r="S526" i="29"/>
  <c r="T513" i="29"/>
  <c r="T492" i="29"/>
  <c r="T553" i="29"/>
  <c r="S482" i="29"/>
  <c r="S468" i="29"/>
  <c r="S463" i="29"/>
  <c r="T477" i="29"/>
  <c r="S479" i="29"/>
  <c r="S469" i="29"/>
  <c r="T474" i="29"/>
  <c r="T445" i="29"/>
  <c r="S457" i="29"/>
  <c r="S441" i="29"/>
  <c r="S425" i="29"/>
  <c r="S409" i="29"/>
  <c r="T452" i="29"/>
  <c r="S460" i="29"/>
  <c r="S444" i="29"/>
  <c r="S428" i="29"/>
  <c r="T455" i="29"/>
  <c r="T439" i="29"/>
  <c r="T423" i="29"/>
  <c r="T407" i="29"/>
  <c r="S447" i="29"/>
  <c r="S431" i="29"/>
  <c r="S415" i="29"/>
  <c r="T458" i="29"/>
  <c r="T446" i="29"/>
  <c r="T429" i="29"/>
  <c r="T414" i="29"/>
  <c r="S393" i="29"/>
  <c r="S377" i="29"/>
  <c r="S414" i="29"/>
  <c r="T388" i="29"/>
  <c r="S418" i="29"/>
  <c r="S392" i="29"/>
  <c r="S376" i="29"/>
  <c r="T432" i="29"/>
  <c r="T403" i="29"/>
  <c r="T387" i="29"/>
  <c r="T371" i="29"/>
  <c r="S36" i="29"/>
  <c r="T609" i="29"/>
  <c r="T627" i="29"/>
  <c r="S592" i="29"/>
  <c r="S586" i="29"/>
  <c r="S563" i="29"/>
  <c r="S554" i="29"/>
  <c r="T589" i="29"/>
  <c r="T586" i="29"/>
  <c r="T544" i="29"/>
  <c r="S539" i="29"/>
  <c r="T533" i="29"/>
  <c r="T518" i="29"/>
  <c r="S517" i="29"/>
  <c r="S516" i="29"/>
  <c r="T490" i="29"/>
  <c r="T476" i="29"/>
  <c r="S488" i="29"/>
  <c r="T485" i="29"/>
  <c r="T469" i="29"/>
  <c r="S478" i="29"/>
  <c r="S465" i="29"/>
  <c r="T457" i="29"/>
  <c r="T441" i="29"/>
  <c r="S453" i="29"/>
  <c r="S437" i="29"/>
  <c r="S421" i="29"/>
  <c r="S405" i="29"/>
  <c r="T448" i="29"/>
  <c r="S456" i="29"/>
  <c r="S440" i="29"/>
  <c r="S424" i="29"/>
  <c r="T451" i="29"/>
  <c r="T435" i="29"/>
  <c r="T419" i="29"/>
  <c r="S459" i="29"/>
  <c r="S443" i="29"/>
  <c r="S427" i="29"/>
  <c r="S411" i="29"/>
  <c r="T454" i="29"/>
  <c r="S438" i="29"/>
  <c r="S422" i="29"/>
  <c r="S410" i="29"/>
  <c r="S389" i="29"/>
  <c r="S373" i="29"/>
  <c r="T400" i="29"/>
  <c r="T384" i="29"/>
  <c r="T405" i="29"/>
  <c r="S388" i="29"/>
  <c r="S454" i="29"/>
  <c r="T426" i="29"/>
  <c r="T399" i="29"/>
  <c r="T383" i="29"/>
  <c r="S434" i="29"/>
  <c r="T413" i="29"/>
  <c r="S395" i="29"/>
  <c r="S379" i="29"/>
  <c r="S408" i="29"/>
  <c r="T390" i="29"/>
  <c r="T374" i="29"/>
  <c r="T416" i="29"/>
  <c r="S402" i="29"/>
  <c r="S386" i="29"/>
  <c r="S442" i="29"/>
  <c r="T428" i="29"/>
  <c r="T410" i="29"/>
  <c r="T397" i="29"/>
  <c r="T381" i="29"/>
  <c r="T364" i="29"/>
  <c r="T348" i="29"/>
  <c r="S364" i="29"/>
  <c r="S348" i="29"/>
  <c r="S332" i="29"/>
  <c r="S316" i="29"/>
  <c r="T359" i="29"/>
  <c r="T343" i="29"/>
  <c r="S367" i="29"/>
  <c r="S351" i="29"/>
  <c r="S335" i="29"/>
  <c r="S319" i="29"/>
  <c r="S371" i="29"/>
  <c r="T354" i="29"/>
  <c r="T338" i="29"/>
  <c r="T322" i="29"/>
  <c r="T365" i="29"/>
  <c r="T349" i="29"/>
  <c r="T24" i="29"/>
  <c r="T599" i="29"/>
  <c r="S560" i="29"/>
  <c r="T542" i="29"/>
  <c r="T515" i="29"/>
  <c r="S506" i="29"/>
  <c r="T462" i="29"/>
  <c r="T460" i="29"/>
  <c r="T489" i="29"/>
  <c r="S455" i="29"/>
  <c r="T450" i="29"/>
  <c r="S385" i="29"/>
  <c r="S400" i="29"/>
  <c r="T395" i="29"/>
  <c r="T408" i="29"/>
  <c r="S375" i="29"/>
  <c r="T386" i="29"/>
  <c r="S412" i="29"/>
  <c r="S382" i="29"/>
  <c r="T422" i="29"/>
  <c r="T393" i="29"/>
  <c r="T360" i="29"/>
  <c r="S360" i="29"/>
  <c r="S328" i="29"/>
  <c r="T355" i="29"/>
  <c r="S363" i="29"/>
  <c r="S331" i="29"/>
  <c r="T366" i="29"/>
  <c r="T334" i="29"/>
  <c r="T361" i="29"/>
  <c r="T337" i="29"/>
  <c r="T321" i="29"/>
  <c r="S346" i="29"/>
  <c r="T308" i="29"/>
  <c r="T292" i="29"/>
  <c r="T276" i="29"/>
  <c r="S308" i="29"/>
  <c r="S292" i="29"/>
  <c r="S276" i="29"/>
  <c r="S345" i="29"/>
  <c r="T319" i="29"/>
  <c r="S337" i="29"/>
  <c r="S307" i="29"/>
  <c r="S349" i="29"/>
  <c r="T298" i="29"/>
  <c r="S310" i="29"/>
  <c r="S294" i="29"/>
  <c r="S278" i="29"/>
  <c r="S353" i="29"/>
  <c r="T324" i="29"/>
  <c r="S314" i="29"/>
  <c r="T297" i="29"/>
  <c r="T281" i="29"/>
  <c r="S287" i="29"/>
  <c r="S262" i="29"/>
  <c r="S246" i="29"/>
  <c r="S230" i="29"/>
  <c r="T278" i="29"/>
  <c r="T257" i="29"/>
  <c r="S309" i="29"/>
  <c r="S257" i="29"/>
  <c r="S241" i="29"/>
  <c r="S281" i="29"/>
  <c r="T264" i="29"/>
  <c r="T248" i="29"/>
  <c r="T232" i="29"/>
  <c r="T299" i="29"/>
  <c r="S273" i="29"/>
  <c r="S260" i="29"/>
  <c r="S305" i="29"/>
  <c r="T282" i="29"/>
  <c r="T263" i="29"/>
  <c r="T247" i="29"/>
  <c r="T231" i="29"/>
  <c r="S259" i="29"/>
  <c r="S243" i="29"/>
  <c r="T295" i="29"/>
  <c r="T279" i="29"/>
  <c r="T262" i="29"/>
  <c r="T246" i="29"/>
  <c r="T230" i="29"/>
  <c r="T218" i="29"/>
  <c r="T202" i="29"/>
  <c r="S226" i="29"/>
  <c r="S210" i="29"/>
  <c r="S194" i="29"/>
  <c r="S178" i="29"/>
  <c r="T577" i="29"/>
  <c r="S551" i="29"/>
  <c r="S523" i="29"/>
  <c r="S508" i="29"/>
  <c r="S477" i="29"/>
  <c r="S449" i="29"/>
  <c r="T444" i="29"/>
  <c r="T447" i="29"/>
  <c r="S439" i="29"/>
  <c r="T437" i="29"/>
  <c r="S446" i="29"/>
  <c r="S384" i="29"/>
  <c r="T379" i="29"/>
  <c r="S399" i="29"/>
  <c r="T412" i="29"/>
  <c r="T378" i="29"/>
  <c r="T404" i="29"/>
  <c r="S374" i="29"/>
  <c r="S416" i="29"/>
  <c r="T385" i="29"/>
  <c r="T352" i="29"/>
  <c r="S352" i="29"/>
  <c r="S320" i="29"/>
  <c r="T347" i="29"/>
  <c r="S355" i="29"/>
  <c r="S323" i="29"/>
  <c r="T358" i="29"/>
  <c r="T326" i="29"/>
  <c r="T353" i="29"/>
  <c r="T333" i="29"/>
  <c r="T317" i="29"/>
  <c r="S341" i="29"/>
  <c r="T304" i="29"/>
  <c r="T288" i="29"/>
  <c r="S334" i="29"/>
  <c r="S304" i="29"/>
  <c r="S288" i="29"/>
  <c r="S366" i="29"/>
  <c r="T328" i="29"/>
  <c r="T313" i="29"/>
  <c r="S329" i="29"/>
  <c r="S303" i="29"/>
  <c r="T310" i="29"/>
  <c r="S330" i="29"/>
  <c r="S306" i="29"/>
  <c r="S290" i="29"/>
  <c r="S274" i="29"/>
  <c r="S342" i="29"/>
  <c r="T323" i="29"/>
  <c r="T309" i="29"/>
  <c r="T293" i="29"/>
  <c r="T277" i="29"/>
  <c r="S279" i="29"/>
  <c r="S258" i="29"/>
  <c r="S242" i="29"/>
  <c r="S317" i="29"/>
  <c r="T269" i="29"/>
  <c r="T253" i="29"/>
  <c r="S269" i="29"/>
  <c r="S253" i="29"/>
  <c r="T291" i="29"/>
  <c r="T275" i="29"/>
  <c r="T260" i="29"/>
  <c r="T244" i="29"/>
  <c r="S338" i="29"/>
  <c r="S291" i="29"/>
  <c r="S272" i="29"/>
  <c r="S256" i="29"/>
  <c r="S299" i="29"/>
  <c r="T274" i="29"/>
  <c r="T259" i="29"/>
  <c r="T243" i="29"/>
  <c r="S271" i="29"/>
  <c r="S255" i="29"/>
  <c r="S239" i="29"/>
  <c r="S293" i="29"/>
  <c r="S277" i="29"/>
  <c r="T258" i="29"/>
  <c r="T242" i="29"/>
  <c r="S235" i="29"/>
  <c r="T214" i="29"/>
  <c r="T198" i="29"/>
  <c r="S222" i="29"/>
  <c r="S206" i="29"/>
  <c r="S190" i="29"/>
  <c r="T63" i="29"/>
  <c r="T111" i="29"/>
  <c r="S100" i="29"/>
  <c r="S128" i="29"/>
  <c r="S146" i="29"/>
  <c r="S164" i="29"/>
  <c r="T88" i="29"/>
  <c r="T104" i="29"/>
  <c r="T120" i="29"/>
  <c r="S156" i="29"/>
  <c r="T49" i="29"/>
  <c r="T65" i="29"/>
  <c r="T81" i="29"/>
  <c r="T97" i="29"/>
  <c r="T113" i="29"/>
  <c r="S124" i="29"/>
  <c r="T133" i="29"/>
  <c r="S142" i="29"/>
  <c r="T161" i="29"/>
  <c r="T90" i="29"/>
  <c r="T106" i="29"/>
  <c r="T132" i="29"/>
  <c r="T126" i="29"/>
  <c r="T142" i="29"/>
  <c r="T158" i="29"/>
  <c r="T173" i="29"/>
  <c r="S127" i="29"/>
  <c r="S143" i="29"/>
  <c r="S159" i="29"/>
  <c r="T119" i="29"/>
  <c r="T135" i="29"/>
  <c r="T151" i="29"/>
  <c r="T167" i="29"/>
  <c r="T182" i="29"/>
  <c r="S145" i="29"/>
  <c r="T178" i="29"/>
  <c r="S162" i="29"/>
  <c r="T190" i="29"/>
  <c r="S215" i="29"/>
  <c r="T187" i="29"/>
  <c r="T219" i="29"/>
  <c r="T233" i="29"/>
  <c r="S173" i="29"/>
  <c r="S221" i="29"/>
  <c r="T197" i="29"/>
  <c r="S236" i="29"/>
  <c r="T237" i="29"/>
  <c r="T250" i="29"/>
  <c r="S247" i="29"/>
  <c r="T267" i="29"/>
  <c r="T236" i="29"/>
  <c r="S245" i="29"/>
  <c r="S250" i="29"/>
  <c r="T301" i="29"/>
  <c r="S282" i="29"/>
  <c r="S354" i="29"/>
  <c r="S350" i="29"/>
  <c r="T280" i="29"/>
  <c r="T325" i="29"/>
  <c r="T369" i="29"/>
  <c r="T372" i="29"/>
  <c r="S336" i="29"/>
  <c r="T368" i="29"/>
  <c r="T442" i="29"/>
  <c r="S383" i="29"/>
  <c r="T424" i="29"/>
  <c r="S401" i="29"/>
  <c r="T415" i="29"/>
  <c r="S417" i="29"/>
  <c r="S462" i="29"/>
  <c r="S604" i="29"/>
  <c r="S199" i="29"/>
  <c r="S240" i="29"/>
  <c r="S184" i="29"/>
  <c r="T430" i="29"/>
  <c r="S55" i="29"/>
  <c r="S48" i="29"/>
  <c r="T33" i="29"/>
  <c r="T17" i="29"/>
  <c r="T51" i="29"/>
  <c r="T67" i="29"/>
  <c r="T83" i="29"/>
  <c r="T99" i="29"/>
  <c r="T115" i="29"/>
  <c r="S88" i="29"/>
  <c r="S104" i="29"/>
  <c r="S120" i="29"/>
  <c r="T129" i="29"/>
  <c r="S138" i="29"/>
  <c r="S152" i="29"/>
  <c r="T169" i="29"/>
  <c r="T92" i="29"/>
  <c r="T108" i="29"/>
  <c r="T128" i="29"/>
  <c r="S113" i="29"/>
  <c r="S160" i="29"/>
  <c r="T53" i="29"/>
  <c r="T69" i="29"/>
  <c r="T85" i="29"/>
  <c r="T101" i="29"/>
  <c r="T117" i="29"/>
  <c r="T125" i="29"/>
  <c r="S134" i="29"/>
  <c r="S148" i="29"/>
  <c r="T78" i="29"/>
  <c r="T94" i="29"/>
  <c r="T110" i="29"/>
  <c r="T140" i="29"/>
  <c r="T130" i="29"/>
  <c r="T146" i="29"/>
  <c r="T162" i="29"/>
  <c r="T180" i="29"/>
  <c r="S131" i="29"/>
  <c r="S147" i="29"/>
  <c r="S163" i="29"/>
  <c r="T123" i="29"/>
  <c r="T139" i="29"/>
  <c r="T155" i="29"/>
  <c r="S174" i="29"/>
  <c r="T156" i="29"/>
  <c r="T188" i="29"/>
  <c r="S133" i="29"/>
  <c r="S149" i="29"/>
  <c r="S165" i="29"/>
  <c r="T194" i="29"/>
  <c r="S166" i="29"/>
  <c r="S171" i="29"/>
  <c r="S187" i="29"/>
  <c r="S203" i="29"/>
  <c r="S219" i="29"/>
  <c r="T175" i="29"/>
  <c r="T191" i="29"/>
  <c r="T207" i="29"/>
  <c r="T223" i="29"/>
  <c r="S172" i="29"/>
  <c r="S188" i="29"/>
  <c r="S204" i="29"/>
  <c r="S220" i="29"/>
  <c r="T241" i="29"/>
  <c r="T212" i="29"/>
  <c r="T228" i="29"/>
  <c r="S177" i="29"/>
  <c r="S193" i="29"/>
  <c r="S209" i="29"/>
  <c r="S225" i="29"/>
  <c r="T185" i="29"/>
  <c r="T201" i="29"/>
  <c r="T217" i="29"/>
  <c r="S237" i="29"/>
  <c r="S202" i="29"/>
  <c r="S244" i="29"/>
  <c r="T226" i="29"/>
  <c r="T254" i="29"/>
  <c r="T287" i="29"/>
  <c r="S251" i="29"/>
  <c r="T239" i="29"/>
  <c r="T271" i="29"/>
  <c r="S252" i="29"/>
  <c r="S283" i="29"/>
  <c r="T240" i="29"/>
  <c r="T272" i="29"/>
  <c r="S249" i="29"/>
  <c r="T249" i="29"/>
  <c r="T294" i="29"/>
  <c r="S254" i="29"/>
  <c r="T273" i="29"/>
  <c r="T305" i="29"/>
  <c r="T332" i="29"/>
  <c r="S286" i="29"/>
  <c r="S322" i="29"/>
  <c r="S365" i="29"/>
  <c r="T307" i="29"/>
  <c r="S361" i="29"/>
  <c r="S300" i="29"/>
  <c r="T284" i="29"/>
  <c r="T336" i="29"/>
  <c r="T329" i="29"/>
  <c r="T318" i="29"/>
  <c r="S315" i="29"/>
  <c r="T339" i="29"/>
  <c r="S344" i="29"/>
  <c r="T377" i="29"/>
  <c r="T438" i="29"/>
  <c r="T370" i="29"/>
  <c r="S391" i="29"/>
  <c r="T440" i="29"/>
  <c r="T421" i="29"/>
  <c r="T431" i="29"/>
  <c r="S433" i="29"/>
  <c r="T467" i="29"/>
  <c r="S528" i="29"/>
  <c r="S613" i="29"/>
  <c r="T62" i="29"/>
  <c r="T45" i="29"/>
  <c r="T29" i="29"/>
  <c r="T47" i="29"/>
  <c r="T79" i="29"/>
  <c r="T95" i="29"/>
  <c r="S84" i="29"/>
  <c r="S116" i="29"/>
  <c r="T137" i="29"/>
  <c r="T152" i="29"/>
  <c r="T168" i="29"/>
  <c r="S129" i="29"/>
  <c r="S161" i="29"/>
  <c r="S183" i="29"/>
  <c r="T203" i="29"/>
  <c r="S233" i="29"/>
  <c r="S200" i="29"/>
  <c r="S216" i="29"/>
  <c r="T208" i="29"/>
  <c r="T224" i="29"/>
  <c r="S189" i="29"/>
  <c r="S205" i="29"/>
  <c r="T181" i="29"/>
  <c r="T213" i="29"/>
  <c r="S198" i="29"/>
  <c r="T222" i="29"/>
  <c r="S285" i="29"/>
  <c r="T235" i="29"/>
  <c r="S248" i="29"/>
  <c r="S275" i="29"/>
  <c r="T268" i="29"/>
  <c r="T245" i="29"/>
  <c r="T286" i="29"/>
  <c r="S295" i="29"/>
  <c r="T331" i="29"/>
  <c r="T311" i="29"/>
  <c r="T303" i="29"/>
  <c r="S296" i="29"/>
  <c r="S312" i="29"/>
  <c r="S372" i="29"/>
  <c r="T611" i="29"/>
  <c r="S101" i="29"/>
  <c r="T37" i="29"/>
  <c r="T21" i="29"/>
  <c r="T55" i="29"/>
  <c r="T71" i="29"/>
  <c r="T87" i="29"/>
  <c r="T103" i="29"/>
  <c r="S76" i="29"/>
  <c r="S92" i="29"/>
  <c r="S108" i="29"/>
  <c r="T121" i="29"/>
  <c r="S130" i="29"/>
  <c r="S144" i="29"/>
  <c r="T153" i="29"/>
  <c r="T80" i="29"/>
  <c r="T96" i="29"/>
  <c r="T112" i="29"/>
  <c r="T136" i="29"/>
  <c r="S117" i="29"/>
  <c r="T165" i="29"/>
  <c r="T57" i="29"/>
  <c r="T73" i="29"/>
  <c r="T89" i="29"/>
  <c r="T105" i="29"/>
  <c r="T118" i="29"/>
  <c r="S126" i="29"/>
  <c r="S140" i="29"/>
  <c r="T149" i="29"/>
  <c r="T82" i="29"/>
  <c r="T98" i="29"/>
  <c r="T114" i="29"/>
  <c r="T148" i="29"/>
  <c r="T134" i="29"/>
  <c r="T150" i="29"/>
  <c r="T166" i="29"/>
  <c r="T196" i="29"/>
  <c r="S135" i="29"/>
  <c r="S151" i="29"/>
  <c r="S167" i="29"/>
  <c r="T127" i="29"/>
  <c r="T143" i="29"/>
  <c r="T159" i="29"/>
  <c r="T176" i="29"/>
  <c r="T160" i="29"/>
  <c r="S121" i="29"/>
  <c r="S137" i="29"/>
  <c r="S153" i="29"/>
  <c r="S169" i="29"/>
  <c r="T184" i="29"/>
  <c r="S170" i="29"/>
  <c r="S175" i="29"/>
  <c r="S191" i="29"/>
  <c r="S207" i="29"/>
  <c r="S223" i="29"/>
  <c r="T179" i="29"/>
  <c r="T195" i="29"/>
  <c r="T211" i="29"/>
  <c r="T227" i="29"/>
  <c r="S176" i="29"/>
  <c r="S192" i="29"/>
  <c r="S208" i="29"/>
  <c r="S224" i="29"/>
  <c r="T200" i="29"/>
  <c r="T216" i="29"/>
  <c r="S229" i="29"/>
  <c r="S181" i="29"/>
  <c r="S197" i="29"/>
  <c r="S213" i="29"/>
  <c r="T229" i="29"/>
  <c r="T189" i="29"/>
  <c r="T205" i="29"/>
  <c r="T221" i="29"/>
  <c r="S182" i="29"/>
  <c r="S214" i="29"/>
  <c r="T206" i="29"/>
  <c r="T234" i="29"/>
  <c r="T266" i="29"/>
  <c r="T312" i="29"/>
  <c r="S263" i="29"/>
  <c r="T251" i="29"/>
  <c r="T290" i="29"/>
  <c r="S264" i="29"/>
  <c r="S301" i="29"/>
  <c r="T252" i="29"/>
  <c r="T283" i="29"/>
  <c r="S261" i="29"/>
  <c r="T261" i="29"/>
  <c r="S234" i="29"/>
  <c r="S266" i="29"/>
  <c r="T285" i="29"/>
  <c r="T315" i="29"/>
  <c r="S358" i="29"/>
  <c r="S298" i="29"/>
  <c r="T302" i="29"/>
  <c r="S313" i="29"/>
  <c r="T320" i="29"/>
  <c r="S280" i="29"/>
  <c r="S318" i="29"/>
  <c r="T296" i="29"/>
  <c r="S357" i="29"/>
  <c r="T341" i="29"/>
  <c r="T342" i="29"/>
  <c r="S339" i="29"/>
  <c r="T363" i="29"/>
  <c r="S368" i="29"/>
  <c r="T401" i="29"/>
  <c r="S390" i="29"/>
  <c r="T394" i="29"/>
  <c r="T425" i="29"/>
  <c r="T380" i="29"/>
  <c r="S407" i="29"/>
  <c r="S436" i="29"/>
  <c r="T453" i="29"/>
  <c r="T491" i="29"/>
  <c r="S564" i="29"/>
  <c r="S95" i="29"/>
  <c r="S69" i="29"/>
  <c r="T60" i="29"/>
  <c r="S29" i="29"/>
  <c r="S21" i="29"/>
  <c r="S13" i="29"/>
  <c r="S67" i="29"/>
  <c r="T58" i="29"/>
  <c r="T20" i="29"/>
  <c r="T72" i="29"/>
  <c r="S83" i="29"/>
  <c r="S63" i="29"/>
  <c r="T54" i="29"/>
  <c r="T19" i="29"/>
  <c r="T68" i="29"/>
  <c r="S119" i="29"/>
  <c r="S41" i="29"/>
  <c r="S33" i="29"/>
  <c r="T28" i="29"/>
  <c r="T16" i="29"/>
  <c r="S75" i="29"/>
  <c r="T40" i="29"/>
  <c r="T32" i="29"/>
  <c r="S168" i="29"/>
  <c r="S115" i="29"/>
  <c r="S77" i="29"/>
  <c r="S40" i="29"/>
  <c r="S32" i="29"/>
  <c r="S24" i="29"/>
  <c r="S16" i="29"/>
  <c r="S102" i="29"/>
  <c r="T27" i="29"/>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S49" i="29"/>
  <c r="S72" i="29"/>
  <c r="O113" i="29"/>
  <c r="O74" i="29"/>
  <c r="S85" i="29"/>
  <c r="T39" i="29"/>
  <c r="T31" i="29"/>
  <c r="T23" i="29"/>
  <c r="T15" i="29"/>
  <c r="O76"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AE18" i="29" s="1"/>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P626" i="29"/>
  <c r="O626" i="29"/>
  <c r="V626" i="29"/>
  <c r="U626" i="29"/>
  <c r="R626" i="29"/>
  <c r="T626" i="29"/>
  <c r="S626" i="29"/>
  <c r="Q626" i="29"/>
  <c r="AD452" i="29" l="1"/>
  <c r="AD283" i="29"/>
  <c r="AE46" i="29"/>
  <c r="AE183" i="29"/>
  <c r="AE557" i="29"/>
  <c r="AE457" i="29"/>
  <c r="AD547" i="29"/>
  <c r="AE57" i="29"/>
  <c r="P624" i="29"/>
  <c r="S624" i="29"/>
  <c r="AD306" i="29"/>
  <c r="AD408" i="29"/>
  <c r="AE542" i="29"/>
  <c r="AD489" i="29"/>
  <c r="AE250" i="29"/>
  <c r="AD437" i="29"/>
  <c r="AE564" i="29"/>
  <c r="T624" i="29"/>
  <c r="O624" i="29"/>
  <c r="U624" i="29"/>
  <c r="AE297" i="29"/>
  <c r="Q624" i="29"/>
  <c r="V624" i="29"/>
  <c r="AE38" i="29"/>
  <c r="AE22" i="29"/>
  <c r="AE42" i="29"/>
  <c r="AD334" i="29"/>
  <c r="AE186" i="29"/>
  <c r="AE254" i="29"/>
  <c r="AD203" i="29"/>
  <c r="AD210" i="29"/>
  <c r="AD609" i="29"/>
  <c r="AD257" i="29"/>
  <c r="AD114" i="29"/>
  <c r="AD70" i="29"/>
  <c r="AD304" i="29"/>
  <c r="AE277" i="29"/>
  <c r="AE476" i="29"/>
  <c r="AD268" i="29"/>
  <c r="AD371" i="29"/>
  <c r="AD610" i="29"/>
  <c r="AE492" i="29"/>
  <c r="AE521" i="29"/>
  <c r="AE145" i="29"/>
  <c r="AE571" i="29"/>
  <c r="AE451" i="29"/>
  <c r="AD487" i="29"/>
  <c r="AD557" i="29"/>
  <c r="AE98" i="29"/>
  <c r="AE558" i="29"/>
  <c r="AD591" i="29"/>
  <c r="AD193" i="29"/>
  <c r="AD144" i="29"/>
  <c r="AD166" i="29"/>
  <c r="AE132" i="29"/>
  <c r="AE479" i="29"/>
  <c r="AE513" i="29"/>
  <c r="AE396" i="29"/>
  <c r="AE567" i="29"/>
  <c r="AE25" i="29"/>
  <c r="AE73" i="29"/>
  <c r="AE34" i="29"/>
  <c r="AD194" i="29"/>
  <c r="AE328" i="29"/>
  <c r="AD514" i="29"/>
  <c r="AD432" i="29"/>
  <c r="AE134" i="29"/>
  <c r="AE152" i="29"/>
  <c r="AD297" i="29"/>
  <c r="AE424" i="29"/>
  <c r="AE606" i="29"/>
  <c r="AE512" i="29"/>
  <c r="AE527" i="29"/>
  <c r="AE37" i="29"/>
  <c r="AE76" i="29"/>
  <c r="AD170" i="29"/>
  <c r="AD458" i="29"/>
  <c r="AE507" i="29"/>
  <c r="AE244" i="29"/>
  <c r="AD318" i="29"/>
  <c r="AD425" i="29"/>
  <c r="AD102" i="29"/>
  <c r="AE26" i="29"/>
  <c r="AE389" i="29"/>
  <c r="AE217" i="29"/>
  <c r="AE425" i="29"/>
  <c r="AD424" i="29"/>
  <c r="AD414" i="29"/>
  <c r="AE589" i="29"/>
  <c r="AD566" i="29"/>
  <c r="AE428" i="29"/>
  <c r="AD440" i="29"/>
  <c r="AE30" i="29"/>
  <c r="AE241" i="29"/>
  <c r="AE459" i="29"/>
  <c r="AD519" i="29"/>
  <c r="AD593" i="29"/>
  <c r="AD480" i="29"/>
  <c r="AD590" i="29"/>
  <c r="AD129" i="29"/>
  <c r="AE263" i="29"/>
  <c r="AD445" i="29"/>
  <c r="AD155" i="29"/>
  <c r="AD517" i="29"/>
  <c r="AE65" i="29"/>
  <c r="AE483" i="29"/>
  <c r="AE27" i="29"/>
  <c r="AD128" i="29"/>
  <c r="AE294" i="29"/>
  <c r="AE443" i="29"/>
  <c r="AD402" i="29"/>
  <c r="AD427" i="29"/>
  <c r="AD86" i="29"/>
  <c r="AE35" i="29"/>
  <c r="AE305" i="29"/>
  <c r="AE88" i="29"/>
  <c r="AD525" i="29"/>
  <c r="AE230" i="29"/>
  <c r="AD429" i="29"/>
  <c r="AD377" i="29"/>
  <c r="AD88" i="29"/>
  <c r="AD550" i="29"/>
  <c r="AE546" i="29"/>
  <c r="AE146" i="29"/>
  <c r="AD185" i="29"/>
  <c r="AE29" i="29"/>
  <c r="AD284" i="29"/>
  <c r="AE262" i="29"/>
  <c r="AD589" i="29"/>
  <c r="AD342" i="29"/>
  <c r="AE549" i="29"/>
  <c r="AE270" i="29"/>
  <c r="AE243" i="29"/>
  <c r="AD143" i="29"/>
  <c r="AD351" i="29"/>
  <c r="AD521" i="29"/>
  <c r="AD302" i="29"/>
  <c r="AE472" i="29"/>
  <c r="AD55" i="29"/>
  <c r="AD301" i="29"/>
  <c r="AE550" i="29"/>
  <c r="AE116" i="29"/>
  <c r="AD229" i="29"/>
  <c r="AE317" i="29"/>
  <c r="AE462" i="29"/>
  <c r="AE257" i="29"/>
  <c r="AE423" i="29"/>
  <c r="AE509" i="29"/>
  <c r="AD438" i="29"/>
  <c r="AE373" i="29"/>
  <c r="AE612" i="29"/>
  <c r="AD576" i="29"/>
  <c r="AD498" i="29"/>
  <c r="AD565" i="29"/>
  <c r="AD568" i="29"/>
  <c r="AE85" i="29"/>
  <c r="AD50" i="29"/>
  <c r="AD366" i="29"/>
  <c r="AE220" i="29"/>
  <c r="AE515" i="29"/>
  <c r="AE167" i="29"/>
  <c r="AE274" i="29"/>
  <c r="AE359" i="29"/>
  <c r="AD24" i="29"/>
  <c r="AD394" i="29"/>
  <c r="AE522" i="29"/>
  <c r="AD160" i="29"/>
  <c r="AD148" i="29"/>
  <c r="AE238" i="29"/>
  <c r="AE406" i="29"/>
  <c r="AE561" i="29"/>
  <c r="AE422" i="29"/>
  <c r="AE375" i="29"/>
  <c r="AE336" i="29"/>
  <c r="AE592" i="29"/>
  <c r="AD277" i="29"/>
  <c r="AD59" i="29"/>
  <c r="AD157" i="29"/>
  <c r="AD244" i="29"/>
  <c r="AD139" i="29"/>
  <c r="AE202" i="29"/>
  <c r="AD312" i="29"/>
  <c r="AE545" i="29"/>
  <c r="AE301" i="29"/>
  <c r="AD534" i="29"/>
  <c r="AD90" i="29"/>
  <c r="AE413" i="29"/>
  <c r="AE487" i="29"/>
  <c r="AD522" i="29"/>
  <c r="AE247" i="29"/>
  <c r="AD416" i="29"/>
  <c r="AD100" i="29"/>
  <c r="AD272" i="29"/>
  <c r="AD442" i="29"/>
  <c r="AD164" i="29"/>
  <c r="AE502" i="29"/>
  <c r="AE218" i="29"/>
  <c r="AD462" i="29"/>
  <c r="AD413" i="29"/>
  <c r="AE602" i="29"/>
  <c r="AD239" i="29"/>
  <c r="AD348" i="29"/>
  <c r="AE371" i="29"/>
  <c r="AD541" i="29"/>
  <c r="AE599" i="29"/>
  <c r="AD207" i="29"/>
  <c r="AD296" i="29"/>
  <c r="AD183" i="29"/>
  <c r="AE273" i="29"/>
  <c r="AE136" i="29"/>
  <c r="AE430" i="29"/>
  <c r="AD430" i="29"/>
  <c r="AE477" i="29"/>
  <c r="AE417" i="29"/>
  <c r="AE609" i="29"/>
  <c r="AD361" i="29"/>
  <c r="AE510" i="29"/>
  <c r="AD386" i="29"/>
  <c r="AE437" i="29"/>
  <c r="AE165" i="29"/>
  <c r="AD248" i="29"/>
  <c r="AD374" i="29"/>
  <c r="AD479" i="29"/>
  <c r="AE607" i="29"/>
  <c r="AE528" i="29"/>
  <c r="AD597" i="29"/>
  <c r="AD531" i="29"/>
  <c r="AE75" i="29"/>
  <c r="AD197" i="29"/>
  <c r="AE339" i="29"/>
  <c r="AD71" i="29"/>
  <c r="AE296" i="29"/>
  <c r="AD98" i="29"/>
  <c r="AD101" i="29"/>
  <c r="AD103" i="29"/>
  <c r="AD108" i="29"/>
  <c r="AD27" i="29"/>
  <c r="AD518" i="29"/>
  <c r="AD333" i="29"/>
  <c r="AE112" i="29"/>
  <c r="AD280" i="29"/>
  <c r="AD495" i="29"/>
  <c r="AD217" i="29"/>
  <c r="AD182" i="29"/>
  <c r="AD242" i="29"/>
  <c r="AE360" i="29"/>
  <c r="AD570" i="29"/>
  <c r="AD309" i="29"/>
  <c r="AD188" i="29"/>
  <c r="AD226" i="29"/>
  <c r="AE80" i="29"/>
  <c r="AD209" i="29"/>
  <c r="AE552" i="29"/>
  <c r="AD613" i="29"/>
  <c r="AE276" i="29"/>
  <c r="AD369" i="29"/>
  <c r="AE553" i="29"/>
  <c r="AD571" i="29"/>
  <c r="AE529" i="29"/>
  <c r="AD153" i="29"/>
  <c r="AD359" i="29"/>
  <c r="AD381" i="29"/>
  <c r="AD85" i="29"/>
  <c r="AE464" i="29"/>
  <c r="AD138" i="29"/>
  <c r="AE63" i="29"/>
  <c r="AE53" i="29"/>
  <c r="AD449" i="29"/>
  <c r="AD232" i="29"/>
  <c r="AE393" i="29"/>
  <c r="AE506" i="29"/>
  <c r="AE340" i="29"/>
  <c r="AD527" i="29"/>
  <c r="AD323" i="29"/>
  <c r="AE196" i="29"/>
  <c r="AD109" i="29"/>
  <c r="AE215" i="29"/>
  <c r="AE303" i="29"/>
  <c r="AD448" i="29"/>
  <c r="AE171" i="29"/>
  <c r="AD125" i="29"/>
  <c r="AE329" i="29"/>
  <c r="AE139" i="29"/>
  <c r="AD516" i="29"/>
  <c r="AD436" i="29"/>
  <c r="AE67" i="29"/>
  <c r="AD383" i="29"/>
  <c r="AE131" i="29"/>
  <c r="AD387" i="29"/>
  <c r="AE144" i="29"/>
  <c r="AD163" i="29"/>
  <c r="AE518" i="29"/>
  <c r="AD588" i="29"/>
  <c r="AE318" i="29"/>
  <c r="AD468" i="29"/>
  <c r="AD492" i="29"/>
  <c r="AD228" i="29"/>
  <c r="AD47" i="29"/>
  <c r="AD256" i="29"/>
  <c r="AE147" i="29"/>
  <c r="AE169" i="29"/>
  <c r="AD134" i="29"/>
  <c r="AE345" i="29"/>
  <c r="AD223" i="29"/>
  <c r="AE49" i="29"/>
  <c r="AE313" i="29"/>
  <c r="AD500" i="29"/>
  <c r="AD598" i="29"/>
  <c r="AD508" i="29"/>
  <c r="AE149" i="29"/>
  <c r="AD559" i="29"/>
  <c r="AD582" i="29"/>
  <c r="AE156" i="29"/>
  <c r="AD179" i="29"/>
  <c r="AE353" i="29"/>
  <c r="AD186" i="29"/>
  <c r="AE159" i="29"/>
  <c r="AD145" i="29"/>
  <c r="AE161" i="29"/>
  <c r="AE185" i="29"/>
  <c r="AE316" i="29"/>
  <c r="AE70" i="29"/>
  <c r="AD66" i="29"/>
  <c r="AE214" i="29"/>
  <c r="AE291" i="29"/>
  <c r="AE523" i="29"/>
  <c r="AD261" i="29"/>
  <c r="AE84" i="29"/>
  <c r="AD30" i="29"/>
  <c r="AE453" i="29"/>
  <c r="AE474" i="29"/>
  <c r="AD69" i="29"/>
  <c r="AE377" i="29"/>
  <c r="AE223" i="29"/>
  <c r="AD184" i="29"/>
  <c r="AD236" i="29"/>
  <c r="AE260" i="29"/>
  <c r="AE278" i="29"/>
  <c r="AD337" i="29"/>
  <c r="AE405" i="29"/>
  <c r="AD405" i="29"/>
  <c r="AD460" i="29"/>
  <c r="AD469" i="29"/>
  <c r="AE376" i="29"/>
  <c r="AE466" i="29"/>
  <c r="AD485" i="29"/>
  <c r="AD538" i="29"/>
  <c r="AD542" i="29"/>
  <c r="AD553" i="29"/>
  <c r="AE539" i="29"/>
  <c r="AD362" i="29"/>
  <c r="AD123" i="29"/>
  <c r="AE346" i="29"/>
  <c r="AE58" i="29"/>
  <c r="AE143" i="29"/>
  <c r="AE40" i="29"/>
  <c r="AE572" i="29"/>
  <c r="AE210" i="29"/>
  <c r="AE280" i="29"/>
  <c r="AE322" i="29"/>
  <c r="AD431" i="29"/>
  <c r="AD300" i="29"/>
  <c r="AD397" i="29"/>
  <c r="AD82" i="29"/>
  <c r="AD195" i="29"/>
  <c r="AE287" i="29"/>
  <c r="AD459" i="29"/>
  <c r="AE508" i="29"/>
  <c r="AE71" i="29"/>
  <c r="AE184" i="29"/>
  <c r="AD287" i="29"/>
  <c r="AD608" i="29"/>
  <c r="AE232" i="29"/>
  <c r="AE444" i="29"/>
  <c r="AE283" i="29"/>
  <c r="AD305" i="29"/>
  <c r="AE351" i="29"/>
  <c r="AE409" i="29"/>
  <c r="AD596" i="29"/>
  <c r="AD220" i="29"/>
  <c r="AD327" i="29"/>
  <c r="AE330" i="29"/>
  <c r="AE467" i="29"/>
  <c r="AE478" i="29"/>
  <c r="AD506" i="29"/>
  <c r="AE306" i="29"/>
  <c r="AD515" i="29"/>
  <c r="AD494" i="29"/>
  <c r="AD529" i="29"/>
  <c r="AD141" i="29"/>
  <c r="AD180" i="29"/>
  <c r="AD177" i="29"/>
  <c r="AD270" i="29"/>
  <c r="AE399" i="29"/>
  <c r="AD548" i="29"/>
  <c r="AD602" i="29"/>
  <c r="AD252" i="29"/>
  <c r="AE382" i="29"/>
  <c r="AD523" i="29"/>
  <c r="AE439" i="29"/>
  <c r="AD446" i="29"/>
  <c r="AE490" i="29"/>
  <c r="AE481" i="29"/>
  <c r="AD581" i="29"/>
  <c r="AD544" i="29"/>
  <c r="AD549" i="29"/>
  <c r="AE594" i="29"/>
  <c r="AD363" i="29"/>
  <c r="AE69" i="29"/>
  <c r="AE102" i="29"/>
  <c r="AD398" i="29"/>
  <c r="AD499" i="29"/>
  <c r="AE33" i="29"/>
  <c r="AE290" i="29"/>
  <c r="AE125" i="29"/>
  <c r="AD208" i="29"/>
  <c r="AE310" i="29"/>
  <c r="AD412" i="29"/>
  <c r="AE155" i="29"/>
  <c r="AD403" i="29"/>
  <c r="AD497" i="29"/>
  <c r="AE141" i="29"/>
  <c r="AE231" i="29"/>
  <c r="AD322" i="29"/>
  <c r="AE45" i="29"/>
  <c r="AE118" i="29"/>
  <c r="AE173" i="29"/>
  <c r="AD292" i="29"/>
  <c r="AD310" i="29"/>
  <c r="AE266" i="29"/>
  <c r="AE192" i="29"/>
  <c r="AD202" i="29"/>
  <c r="AE256" i="29"/>
  <c r="AE341" i="29"/>
  <c r="AD376" i="29"/>
  <c r="AE429" i="29"/>
  <c r="AD587" i="29"/>
  <c r="AE97" i="29"/>
  <c r="AE182" i="29"/>
  <c r="AE259" i="29"/>
  <c r="AD249" i="29"/>
  <c r="AD295" i="29"/>
  <c r="AD320" i="29"/>
  <c r="AE411" i="29"/>
  <c r="AE449" i="29"/>
  <c r="AD545" i="29"/>
  <c r="AD512" i="29"/>
  <c r="AE568" i="29"/>
  <c r="AD135" i="29"/>
  <c r="AD142" i="29"/>
  <c r="AD222" i="29"/>
  <c r="AD289" i="29"/>
  <c r="AE361" i="29"/>
  <c r="AD378" i="29"/>
  <c r="AD592" i="29"/>
  <c r="AE59" i="29"/>
  <c r="AD122" i="29"/>
  <c r="AD212" i="29"/>
  <c r="AD274" i="29"/>
  <c r="AD319" i="29"/>
  <c r="AE293" i="29"/>
  <c r="AD475" i="29"/>
  <c r="AE61" i="29"/>
  <c r="AE242" i="29"/>
  <c r="AE324" i="29"/>
  <c r="AE343" i="29"/>
  <c r="AD455" i="29"/>
  <c r="AD507" i="29"/>
  <c r="AE560" i="29"/>
  <c r="AD601" i="29"/>
  <c r="AD441" i="29"/>
  <c r="AE454" i="29"/>
  <c r="AE533" i="29"/>
  <c r="AD605" i="29"/>
  <c r="AD595" i="29"/>
  <c r="AD530" i="29"/>
  <c r="AD578" i="29"/>
  <c r="AD585" i="29"/>
  <c r="AD356" i="29"/>
  <c r="AD140" i="29"/>
  <c r="AE142" i="29"/>
  <c r="AE404" i="29"/>
  <c r="AD246" i="29"/>
  <c r="AE349" i="29"/>
  <c r="AD465" i="29"/>
  <c r="AD563" i="29"/>
  <c r="AE573" i="29"/>
  <c r="AD150" i="29"/>
  <c r="AD265" i="29"/>
  <c r="AD461" i="29"/>
  <c r="AE469" i="29"/>
  <c r="AD20" i="29"/>
  <c r="AD18" i="29"/>
  <c r="AD61" i="29"/>
  <c r="AD78" i="29"/>
  <c r="AD87" i="29"/>
  <c r="AE412" i="29"/>
  <c r="AE95" i="29"/>
  <c r="AD502" i="29"/>
  <c r="AE119" i="29"/>
  <c r="AD97" i="29"/>
  <c r="AD147" i="29"/>
  <c r="AE174" i="29"/>
  <c r="AD269" i="29"/>
  <c r="AD336" i="29"/>
  <c r="AE585" i="29"/>
  <c r="AD156" i="29"/>
  <c r="AD241" i="29"/>
  <c r="AE441" i="29"/>
  <c r="AD504" i="29"/>
  <c r="AD133" i="29"/>
  <c r="AE222" i="29"/>
  <c r="AD368" i="29"/>
  <c r="AD389" i="29"/>
  <c r="AE501" i="29"/>
  <c r="AE190" i="29"/>
  <c r="AE267" i="29"/>
  <c r="AE94" i="29"/>
  <c r="AE111" i="29"/>
  <c r="AD154" i="29"/>
  <c r="AD275" i="29"/>
  <c r="AE308" i="29"/>
  <c r="AE493" i="29"/>
  <c r="AE540" i="29"/>
  <c r="AE19" i="29"/>
  <c r="AE279" i="29"/>
  <c r="AD395" i="29"/>
  <c r="AE381" i="29"/>
  <c r="AD491" i="29"/>
  <c r="AE511" i="29"/>
  <c r="AE603" i="29"/>
  <c r="AE358" i="29"/>
  <c r="AD583" i="29"/>
  <c r="AD92" i="29"/>
  <c r="AD552" i="29"/>
  <c r="AD298" i="29"/>
  <c r="AD577" i="29"/>
  <c r="AE374" i="29"/>
  <c r="AE402" i="29"/>
  <c r="AD201" i="29"/>
  <c r="AD481" i="29"/>
  <c r="AE77" i="29"/>
  <c r="AE91" i="29"/>
  <c r="AD221" i="29"/>
  <c r="AE240" i="29"/>
  <c r="AD158" i="29"/>
  <c r="AD279" i="29"/>
  <c r="AD338" i="29"/>
  <c r="AE13" i="29"/>
  <c r="AE445" i="29"/>
  <c r="AE164" i="29"/>
  <c r="AD64" i="29"/>
  <c r="AE170" i="29"/>
  <c r="AD196" i="29"/>
  <c r="AE300" i="29"/>
  <c r="AD118" i="29"/>
  <c r="AE86" i="29"/>
  <c r="AD227" i="29"/>
  <c r="AD136" i="29"/>
  <c r="AD325" i="29"/>
  <c r="AE323" i="29"/>
  <c r="AD380" i="29"/>
  <c r="AE350" i="29"/>
  <c r="AE193" i="29"/>
  <c r="AD211" i="29"/>
  <c r="AE344" i="29"/>
  <c r="AE583" i="29"/>
  <c r="AD324" i="29"/>
  <c r="AD474" i="29"/>
  <c r="AE221" i="29"/>
  <c r="AE127" i="29"/>
  <c r="AE55" i="29"/>
  <c r="AE137" i="29"/>
  <c r="AD344" i="29"/>
  <c r="AE272" i="29"/>
  <c r="AE271" i="29"/>
  <c r="AE130" i="29"/>
  <c r="AE372" i="29"/>
  <c r="AD159" i="29"/>
  <c r="AE133" i="29"/>
  <c r="AD258" i="29"/>
  <c r="AD260" i="29"/>
  <c r="AD353" i="29"/>
  <c r="AE334" i="29"/>
  <c r="AE338" i="29"/>
  <c r="AD364" i="29"/>
  <c r="AE390" i="29"/>
  <c r="AE426" i="29"/>
  <c r="AD421" i="29"/>
  <c r="AE485" i="29"/>
  <c r="AE387" i="29"/>
  <c r="AD482" i="29"/>
  <c r="AD526" i="29"/>
  <c r="AD404" i="29"/>
  <c r="AE398" i="29"/>
  <c r="AE504" i="29"/>
  <c r="AD466" i="29"/>
  <c r="AE578" i="29"/>
  <c r="AE74" i="29"/>
  <c r="AD470" i="29"/>
  <c r="AE554" i="29"/>
  <c r="AD347" i="29"/>
  <c r="AE289" i="29"/>
  <c r="AD112" i="29"/>
  <c r="AE177" i="29"/>
  <c r="AD231" i="29"/>
  <c r="AE56" i="29"/>
  <c r="AD96" i="29"/>
  <c r="AE16" i="29"/>
  <c r="AD77" i="29"/>
  <c r="AD39" i="29"/>
  <c r="AD73" i="29"/>
  <c r="AD117" i="29"/>
  <c r="AD13" i="29"/>
  <c r="AD162" i="29"/>
  <c r="AD255" i="29"/>
  <c r="AD352" i="29"/>
  <c r="AD554" i="29"/>
  <c r="AE251" i="29"/>
  <c r="AE286" i="29"/>
  <c r="AD555" i="29"/>
  <c r="AE106" i="29"/>
  <c r="AD204" i="29"/>
  <c r="AD447" i="29"/>
  <c r="AD99" i="29"/>
  <c r="AE499" i="29"/>
  <c r="AD556" i="29"/>
  <c r="AD48" i="29"/>
  <c r="AE64" i="29"/>
  <c r="AD225" i="29"/>
  <c r="AE598" i="29"/>
  <c r="AD132" i="29"/>
  <c r="AD146" i="29"/>
  <c r="AE216" i="29"/>
  <c r="AE275" i="29"/>
  <c r="AE288" i="29"/>
  <c r="AE543" i="29"/>
  <c r="AD562" i="29"/>
  <c r="AE96" i="29"/>
  <c r="AE198" i="29"/>
  <c r="AD343" i="29"/>
  <c r="AE281" i="29"/>
  <c r="AE36" i="29"/>
  <c r="AD15" i="29"/>
  <c r="AD16" i="29"/>
  <c r="AE31" i="29"/>
  <c r="AE295" i="29"/>
  <c r="AD131" i="29"/>
  <c r="AE228" i="29"/>
  <c r="AE248" i="29"/>
  <c r="AE386" i="29"/>
  <c r="AE452" i="29"/>
  <c r="AE252" i="29"/>
  <c r="AE611" i="29"/>
  <c r="AE41" i="29"/>
  <c r="AD308" i="29"/>
  <c r="AD433" i="29"/>
  <c r="AE601" i="29"/>
  <c r="AD237" i="29"/>
  <c r="AD254" i="29"/>
  <c r="AE309" i="29"/>
  <c r="AD524" i="29"/>
  <c r="AE117" i="29"/>
  <c r="AE194" i="29"/>
  <c r="AD335" i="29"/>
  <c r="AE455" i="29"/>
  <c r="AD406" i="29"/>
  <c r="AE530" i="29"/>
  <c r="AD569" i="29"/>
  <c r="AE107" i="29"/>
  <c r="AE160" i="29"/>
  <c r="AD200" i="29"/>
  <c r="AD191" i="29"/>
  <c r="AD247" i="29"/>
  <c r="AD611" i="29"/>
  <c r="AE93" i="29"/>
  <c r="AD161" i="29"/>
  <c r="AE255" i="29"/>
  <c r="AD291" i="29"/>
  <c r="AD346" i="29"/>
  <c r="AE367" i="29"/>
  <c r="AE384" i="29"/>
  <c r="AD75" i="29"/>
  <c r="AD399" i="29"/>
  <c r="AD539" i="29"/>
  <c r="AD551" i="29"/>
  <c r="AE105" i="29"/>
  <c r="AE195" i="29"/>
  <c r="AE44" i="29"/>
  <c r="AD33" i="29"/>
  <c r="AE157" i="29"/>
  <c r="AE108" i="29"/>
  <c r="AD358" i="29"/>
  <c r="AE433" i="29"/>
  <c r="AD198" i="29"/>
  <c r="AE434" i="29"/>
  <c r="AE446" i="29"/>
  <c r="AD218" i="29"/>
  <c r="AD95" i="29"/>
  <c r="AE363" i="29"/>
  <c r="AE587" i="29"/>
  <c r="AE253" i="29"/>
  <c r="AD410" i="29"/>
  <c r="AE597" i="29"/>
  <c r="AE163" i="29"/>
  <c r="AD130" i="29"/>
  <c r="AE219" i="29"/>
  <c r="AE319" i="29"/>
  <c r="AE471" i="29"/>
  <c r="AD115" i="29"/>
  <c r="AE394" i="29"/>
  <c r="AE516" i="29"/>
  <c r="AD234" i="29"/>
  <c r="AD286" i="29"/>
  <c r="AD392" i="29"/>
  <c r="AE574" i="29"/>
  <c r="AE62" i="29"/>
  <c r="AE79" i="29"/>
  <c r="AD417" i="29"/>
  <c r="AD426" i="29"/>
  <c r="AD532" i="29"/>
  <c r="AD213" i="29"/>
  <c r="AE298" i="29"/>
  <c r="AE320" i="29"/>
  <c r="AD493" i="29"/>
  <c r="AD536" i="29"/>
  <c r="AD603" i="29"/>
  <c r="AE397" i="29"/>
  <c r="AD420" i="29"/>
  <c r="AE525" i="29"/>
  <c r="AD558" i="29"/>
  <c r="AE538" i="29"/>
  <c r="AD290" i="29"/>
  <c r="AD189" i="29"/>
  <c r="AE258" i="29"/>
  <c r="AD303" i="29"/>
  <c r="AE463" i="29"/>
  <c r="AE468" i="29"/>
  <c r="AE526" i="29"/>
  <c r="AE100" i="29"/>
  <c r="AE158" i="29"/>
  <c r="AE197" i="29"/>
  <c r="AE209" i="29"/>
  <c r="AE333" i="29"/>
  <c r="AD391" i="29"/>
  <c r="AD400" i="29"/>
  <c r="AD572" i="29"/>
  <c r="AE81" i="29"/>
  <c r="AE120" i="29"/>
  <c r="AE265" i="29"/>
  <c r="AE475" i="29"/>
  <c r="AD509" i="29"/>
  <c r="AD419" i="29"/>
  <c r="AD484" i="29"/>
  <c r="AE595" i="29"/>
  <c r="AD561" i="29"/>
  <c r="AE482" i="29"/>
  <c r="AD350" i="29"/>
  <c r="AD62" i="29"/>
  <c r="AE519" i="29"/>
  <c r="AE355" i="29"/>
  <c r="AE188" i="29"/>
  <c r="AE491" i="29"/>
  <c r="AD214" i="29"/>
  <c r="AD181" i="29"/>
  <c r="AD528" i="29"/>
  <c r="AD365" i="29"/>
  <c r="AE249" i="29"/>
  <c r="AD251" i="29"/>
  <c r="AD149" i="29"/>
  <c r="AE162" i="29"/>
  <c r="AD120" i="29"/>
  <c r="AD604" i="29"/>
  <c r="AD282" i="29"/>
  <c r="AD215" i="29"/>
  <c r="AE135" i="29"/>
  <c r="AD206" i="29"/>
  <c r="AD253" i="29"/>
  <c r="AD341" i="29"/>
  <c r="AD384" i="29"/>
  <c r="AD178" i="29"/>
  <c r="AD259" i="29"/>
  <c r="AD314" i="29"/>
  <c r="AD307" i="29"/>
  <c r="AE408" i="29"/>
  <c r="AD367" i="29"/>
  <c r="AE416" i="29"/>
  <c r="AE383" i="29"/>
  <c r="AD388" i="29"/>
  <c r="AD443" i="29"/>
  <c r="AE448" i="29"/>
  <c r="AD478" i="29"/>
  <c r="AE586" i="29"/>
  <c r="AD586" i="29"/>
  <c r="AD444" i="29"/>
  <c r="AD463" i="29"/>
  <c r="AE314" i="29"/>
  <c r="AD450" i="29"/>
  <c r="AE391" i="29"/>
  <c r="AD451" i="29"/>
  <c r="AE461" i="29"/>
  <c r="AD483" i="29"/>
  <c r="AE517" i="29"/>
  <c r="AE536" i="29"/>
  <c r="AE562" i="29"/>
  <c r="AD606" i="29"/>
  <c r="AE43" i="29"/>
  <c r="AD490" i="29"/>
  <c r="AD503" i="29"/>
  <c r="AD537" i="29"/>
  <c r="AD573" i="29"/>
  <c r="AE556" i="29"/>
  <c r="AE575" i="29"/>
  <c r="AE590" i="29"/>
  <c r="AE600" i="29"/>
  <c r="AD370" i="29"/>
  <c r="AE225" i="29"/>
  <c r="AD267" i="29"/>
  <c r="AE427" i="29"/>
  <c r="AE419" i="29"/>
  <c r="AE505" i="29"/>
  <c r="AE610" i="29"/>
  <c r="AD93" i="29"/>
  <c r="AE234" i="29"/>
  <c r="AD250" i="29"/>
  <c r="AD357" i="29"/>
  <c r="AD240" i="29"/>
  <c r="AE489" i="29"/>
  <c r="AE570" i="29"/>
  <c r="AD53" i="29"/>
  <c r="AD169" i="29"/>
  <c r="AD230" i="29"/>
  <c r="AD574" i="29"/>
  <c r="AD192" i="29"/>
  <c r="AE148" i="29"/>
  <c r="AE392" i="29"/>
  <c r="AD411" i="29"/>
  <c r="AD457" i="29"/>
  <c r="AE495" i="29"/>
  <c r="AD546" i="29"/>
  <c r="AE327" i="29"/>
  <c r="AE576" i="29"/>
  <c r="AE207" i="29"/>
  <c r="AD14" i="29"/>
  <c r="AD19" i="29"/>
  <c r="AE54" i="29"/>
  <c r="AD285" i="29"/>
  <c r="AD137" i="29"/>
  <c r="AE312" i="29"/>
  <c r="AE531" i="29"/>
  <c r="AD36" i="29"/>
  <c r="AE153" i="29"/>
  <c r="AE124" i="29"/>
  <c r="AD264" i="29"/>
  <c r="AD401" i="29"/>
  <c r="AE28" i="29"/>
  <c r="AD60" i="29"/>
  <c r="AD28" i="29"/>
  <c r="AE203" i="29"/>
  <c r="AE421" i="29"/>
  <c r="AE325" i="29"/>
  <c r="AD84" i="29"/>
  <c r="AE199" i="29"/>
  <c r="AE236" i="29"/>
  <c r="AE282" i="29"/>
  <c r="AD600" i="29"/>
  <c r="AE87" i="29"/>
  <c r="AD172" i="29"/>
  <c r="AE237" i="29"/>
  <c r="AE299" i="29"/>
  <c r="AD360" i="29"/>
  <c r="AD224" i="29"/>
  <c r="AE284" i="29"/>
  <c r="AE385" i="29"/>
  <c r="AD171" i="29"/>
  <c r="AE99" i="29"/>
  <c r="AE584" i="29"/>
  <c r="AE109" i="29"/>
  <c r="AE208" i="29"/>
  <c r="AD331" i="29"/>
  <c r="AD235" i="29"/>
  <c r="AD293" i="29"/>
  <c r="AD453" i="29"/>
  <c r="AD486" i="29"/>
  <c r="AE113" i="29"/>
  <c r="AD276" i="29"/>
  <c r="AE342" i="29"/>
  <c r="AD520" i="29"/>
  <c r="AE285" i="29"/>
  <c r="AE450" i="29"/>
  <c r="AE172" i="29"/>
  <c r="AE201" i="29"/>
  <c r="AE337" i="29"/>
  <c r="AE154" i="29"/>
  <c r="AE50" i="29"/>
  <c r="AD35" i="29"/>
  <c r="AD238" i="29"/>
  <c r="AD127" i="29"/>
  <c r="AE168" i="29"/>
  <c r="AD467" i="29"/>
  <c r="AE532" i="29"/>
  <c r="AD476" i="29"/>
  <c r="AE331" i="29"/>
  <c r="AD91" i="29"/>
  <c r="AE150" i="29"/>
  <c r="AD80" i="29"/>
  <c r="AE401" i="29"/>
  <c r="AE565" i="29"/>
  <c r="AD151" i="29"/>
  <c r="AD294" i="29"/>
  <c r="AD330" i="29"/>
  <c r="AD464" i="29"/>
  <c r="AD266" i="29"/>
  <c r="AD281" i="29"/>
  <c r="AE608" i="29"/>
  <c r="AE82" i="29"/>
  <c r="AD174" i="29"/>
  <c r="AE292" i="29"/>
  <c r="AE432" i="29"/>
  <c r="AE488" i="29"/>
  <c r="AE175" i="29"/>
  <c r="AE227" i="29"/>
  <c r="AE438" i="29"/>
  <c r="AE364" i="29"/>
  <c r="AE520" i="29"/>
  <c r="AD579" i="29"/>
  <c r="AE368" i="29"/>
  <c r="AD315" i="29"/>
  <c r="AD326" i="29"/>
  <c r="AE347" i="29"/>
  <c r="AE365" i="29"/>
  <c r="AD396" i="29"/>
  <c r="AD382" i="29"/>
  <c r="AE582" i="29"/>
  <c r="AE181" i="29"/>
  <c r="AD340" i="29"/>
  <c r="AE447" i="29"/>
  <c r="AD423" i="29"/>
  <c r="AE110" i="29"/>
  <c r="AD262" i="29"/>
  <c r="AE302" i="29"/>
  <c r="AD511" i="29"/>
  <c r="AE189" i="29"/>
  <c r="AD173" i="29"/>
  <c r="AE388" i="29"/>
  <c r="AE604" i="29"/>
  <c r="AE126" i="29"/>
  <c r="AE204" i="29"/>
  <c r="AE268" i="29"/>
  <c r="AD311" i="29"/>
  <c r="AE335" i="29"/>
  <c r="AD471" i="29"/>
  <c r="AE555" i="29"/>
  <c r="AE68" i="29"/>
  <c r="AE211" i="29"/>
  <c r="AE229" i="29"/>
  <c r="AD317" i="29"/>
  <c r="AE414" i="29"/>
  <c r="AE436" i="29"/>
  <c r="AD373" i="29"/>
  <c r="AE378" i="29"/>
  <c r="AD379" i="29"/>
  <c r="AE456" i="29"/>
  <c r="AD472" i="29"/>
  <c r="AD560" i="29"/>
  <c r="AD121" i="29"/>
  <c r="AE60" i="29"/>
  <c r="AE473" i="29"/>
  <c r="AE496" i="29"/>
  <c r="AE535" i="29"/>
  <c r="AD575" i="29"/>
  <c r="AD599" i="29"/>
  <c r="AE72" i="29"/>
  <c r="AE66" i="29"/>
  <c r="AE83" i="29"/>
  <c r="AD152" i="29"/>
  <c r="AD126" i="29"/>
  <c r="AD216" i="29"/>
  <c r="AE233" i="29"/>
  <c r="AD321" i="29"/>
  <c r="AD415" i="29"/>
  <c r="AE440" i="29"/>
  <c r="AE500" i="29"/>
  <c r="AE588" i="29"/>
  <c r="AE326" i="29"/>
  <c r="AD332" i="29"/>
  <c r="AE380" i="29"/>
  <c r="AD533" i="29"/>
  <c r="AE581" i="29"/>
  <c r="AD607" i="29"/>
  <c r="AE524" i="29"/>
  <c r="AD205" i="29"/>
  <c r="AE17" i="29"/>
  <c r="AE465" i="29"/>
  <c r="AE128" i="29"/>
  <c r="AE395" i="29"/>
  <c r="AD219" i="29"/>
  <c r="AD119" i="29"/>
  <c r="AD564" i="29"/>
  <c r="AD407" i="29"/>
  <c r="AD390" i="29"/>
  <c r="AE179" i="29"/>
  <c r="AD175" i="29"/>
  <c r="AE176" i="29"/>
  <c r="AE114" i="29"/>
  <c r="AD372" i="29"/>
  <c r="AE311" i="29"/>
  <c r="AE213" i="29"/>
  <c r="AE224" i="29"/>
  <c r="AD116" i="29"/>
  <c r="AE115" i="29"/>
  <c r="AD354" i="29"/>
  <c r="AD245" i="29"/>
  <c r="AE187" i="29"/>
  <c r="AE90" i="29"/>
  <c r="AD190" i="29"/>
  <c r="AD271" i="29"/>
  <c r="AD355" i="29"/>
  <c r="AE352" i="29"/>
  <c r="AE577" i="29"/>
  <c r="AE246" i="29"/>
  <c r="AD278" i="29"/>
  <c r="AD328" i="29"/>
  <c r="AD375" i="29"/>
  <c r="AE354" i="29"/>
  <c r="AE348" i="29"/>
  <c r="AD434" i="29"/>
  <c r="AE400" i="29"/>
  <c r="AD488" i="29"/>
  <c r="AE544" i="29"/>
  <c r="AE403" i="29"/>
  <c r="AD393" i="29"/>
  <c r="AD428" i="29"/>
  <c r="AE563" i="29"/>
  <c r="AE362" i="29"/>
  <c r="AE356" i="29"/>
  <c r="AD435" i="29"/>
  <c r="AE470" i="29"/>
  <c r="AD473" i="29"/>
  <c r="AD510" i="29"/>
  <c r="AE579" i="29"/>
  <c r="AD543" i="29"/>
  <c r="AE569" i="29"/>
  <c r="AD501" i="29"/>
  <c r="AD496" i="29"/>
  <c r="AE498" i="29"/>
  <c r="AE541" i="29"/>
  <c r="AE593" i="29"/>
  <c r="AD584" i="29"/>
  <c r="AE486" i="29"/>
  <c r="AD540" i="29"/>
  <c r="AE605" i="29"/>
  <c r="AD422" i="29"/>
  <c r="AE166" i="29"/>
  <c r="AE200" i="29"/>
  <c r="AD273" i="29"/>
  <c r="AE357" i="29"/>
  <c r="AE591" i="29"/>
  <c r="AE321" i="29"/>
  <c r="AD612" i="29"/>
  <c r="AE460" i="29"/>
  <c r="AE264" i="29"/>
  <c r="AE140" i="29"/>
  <c r="AE92" i="29"/>
  <c r="AD167" i="29"/>
  <c r="AE418" i="29"/>
  <c r="AE503" i="29"/>
  <c r="AE205" i="29"/>
  <c r="AD339" i="29"/>
  <c r="AE435" i="29"/>
  <c r="AD456" i="29"/>
  <c r="AE442" i="29"/>
  <c r="AE178" i="29"/>
  <c r="AE332" i="29"/>
  <c r="AD505" i="29"/>
  <c r="AE121" i="29"/>
  <c r="AD176" i="29"/>
  <c r="AE407" i="29"/>
  <c r="AE239" i="29"/>
  <c r="AE261" i="29"/>
  <c r="AD349" i="29"/>
  <c r="AE596" i="29"/>
  <c r="AE104" i="29"/>
  <c r="AE180" i="29"/>
  <c r="AE206" i="29"/>
  <c r="AD316" i="29"/>
  <c r="AE497" i="29"/>
  <c r="AE551" i="29"/>
  <c r="AD44" i="29"/>
  <c r="AE369" i="29"/>
  <c r="AE534" i="29"/>
  <c r="AE613" i="29"/>
  <c r="AE47" i="29"/>
  <c r="AE559" i="29"/>
  <c r="AD580" i="29"/>
  <c r="AE21" i="29"/>
  <c r="AD56" i="29"/>
  <c r="AD124" i="29"/>
  <c r="AE379" i="29"/>
  <c r="AD418" i="29"/>
  <c r="AE245" i="29"/>
  <c r="AE269" i="29"/>
  <c r="AE537" i="29"/>
  <c r="AD477" i="29"/>
  <c r="AD110" i="29"/>
  <c r="AE103" i="29"/>
  <c r="AD187" i="29"/>
  <c r="AD243" i="29"/>
  <c r="AD454" i="29"/>
  <c r="AD567" i="29"/>
  <c r="AE151" i="29"/>
  <c r="AE304" i="29"/>
  <c r="AE410" i="29"/>
  <c r="AE514" i="29"/>
  <c r="AD385" i="29"/>
  <c r="AD535" i="29"/>
  <c r="AD594" i="29"/>
  <c r="AD263" i="29"/>
  <c r="AD329" i="29"/>
  <c r="AE420" i="29"/>
  <c r="AE129" i="29"/>
  <c r="AE480" i="29"/>
  <c r="AD513" i="29"/>
  <c r="AE547" i="29"/>
  <c r="AE580" i="29"/>
  <c r="AD106" i="29"/>
  <c r="AE212" i="29"/>
  <c r="AD313" i="29"/>
  <c r="AE415" i="29"/>
  <c r="AE484" i="29"/>
  <c r="AE548" i="29"/>
  <c r="AE51" i="29"/>
  <c r="AD299" i="29"/>
  <c r="AE89" i="29"/>
  <c r="AE226" i="29"/>
  <c r="AE366" i="29"/>
  <c r="AE101" i="29"/>
  <c r="AE315" i="29"/>
  <c r="AE431" i="29"/>
  <c r="AD165" i="29"/>
  <c r="AD199" i="29"/>
  <c r="AD89" i="29"/>
  <c r="AD233" i="29"/>
  <c r="AD345" i="29"/>
  <c r="AE494" i="29"/>
  <c r="AE235" i="29"/>
  <c r="AE370" i="29"/>
  <c r="AE123" i="29"/>
  <c r="AD288" i="29"/>
  <c r="AE458" i="29"/>
  <c r="AD409" i="29"/>
  <c r="AE191" i="29"/>
  <c r="AE307" i="29"/>
  <c r="AD439" i="29"/>
  <c r="AE566" i="29"/>
  <c r="AD168" i="29"/>
  <c r="AD63" i="29"/>
  <c r="AE32" i="29"/>
  <c r="AD26" i="29"/>
  <c r="AD67" i="29"/>
  <c r="AD22" i="29"/>
  <c r="AD79" i="29"/>
  <c r="AE23" i="29"/>
  <c r="AD107" i="29"/>
  <c r="AD68" i="29"/>
  <c r="AD25" i="29"/>
  <c r="AD105" i="29"/>
  <c r="AD74" i="29"/>
  <c r="AD65" i="29"/>
  <c r="AD41" i="29"/>
  <c r="AE39" i="29"/>
  <c r="AE20" i="29"/>
  <c r="AD40" i="29"/>
  <c r="AD21" i="29"/>
  <c r="AD37" i="29"/>
  <c r="AD83" i="29"/>
  <c r="AD46" i="29"/>
  <c r="AE122" i="29"/>
  <c r="AD32" i="29"/>
  <c r="AE78" i="29"/>
  <c r="AD111" i="29"/>
  <c r="AD81" i="29"/>
  <c r="AD72" i="29"/>
  <c r="AD52" i="29"/>
  <c r="AD17" i="29"/>
  <c r="AE138" i="29"/>
  <c r="AD76" i="29"/>
  <c r="AD42" i="29"/>
  <c r="AD45" i="29"/>
  <c r="AD51" i="29"/>
  <c r="AD54" i="29"/>
  <c r="AD94" i="29"/>
  <c r="Q625" i="29"/>
  <c r="AD49" i="29"/>
  <c r="AD43" i="29"/>
  <c r="AD57" i="29"/>
  <c r="AD29" i="29"/>
  <c r="U625" i="29"/>
  <c r="AE24" i="29"/>
  <c r="AE15" i="29"/>
  <c r="AD34" i="29"/>
  <c r="AD58" i="29"/>
  <c r="AD113" i="29"/>
  <c r="AD104" i="29"/>
  <c r="AE48" i="29"/>
  <c r="AD23" i="29"/>
  <c r="AE14" i="29"/>
  <c r="T625" i="29"/>
  <c r="P625" i="29"/>
  <c r="V625" i="29"/>
  <c r="AD31" i="29"/>
  <c r="R625" i="29"/>
  <c r="O625" i="29"/>
  <c r="S625" i="29"/>
  <c r="AD38" i="29"/>
  <c r="AE52" i="29"/>
  <c r="AE626" i="29"/>
  <c r="AD626" i="29"/>
  <c r="AE624" i="29" l="1"/>
  <c r="AD624" i="29"/>
  <c r="AE625" i="29"/>
  <c r="AD625" i="29"/>
  <c r="D37" i="19" l="1"/>
  <c r="N108" i="24" l="1"/>
  <c r="B54" i="19" l="1"/>
  <c r="D54" i="19" s="1"/>
  <c r="D42" i="19"/>
  <c r="B190" i="2"/>
  <c r="EX1" i="24" s="1"/>
  <c r="BT1" i="24" l="1"/>
  <c r="B81" i="2" l="1"/>
  <c r="M10" i="1"/>
  <c r="K10" i="1"/>
  <c r="B18" i="2" l="1"/>
  <c r="CK212" i="25" s="1"/>
  <c r="B28" i="19"/>
  <c r="D28" i="19" s="1"/>
  <c r="B49" i="19"/>
  <c r="D49" i="19" s="1"/>
  <c r="EQ216" i="25" l="1"/>
  <c r="ES216" i="24"/>
  <c r="EV216" i="24" s="1"/>
  <c r="BO216" i="24"/>
  <c r="BR216" i="24" s="1"/>
  <c r="CK112" i="25"/>
  <c r="L89" i="2"/>
  <c r="G67" i="2"/>
  <c r="EQ110" i="25"/>
  <c r="ES110" i="24"/>
  <c r="EV110" i="24" s="1"/>
  <c r="CQ1" i="24"/>
  <c r="CK287" i="25"/>
  <c r="CK201" i="25"/>
  <c r="CK186" i="25"/>
  <c r="CK172" i="25"/>
  <c r="CK147" i="25"/>
  <c r="CK143" i="25"/>
  <c r="CK118" i="25"/>
  <c r="CK94" i="25"/>
  <c r="CK54" i="25"/>
  <c r="CK46" i="25"/>
  <c r="CK302" i="25"/>
  <c r="CK297" i="25"/>
  <c r="CK292" i="25"/>
  <c r="CK289" i="25"/>
  <c r="CK280" i="25"/>
  <c r="CK261" i="25"/>
  <c r="CK249" i="25"/>
  <c r="CK228" i="25"/>
  <c r="CK225" i="25"/>
  <c r="CK222" i="25"/>
  <c r="CK219" i="25"/>
  <c r="CK199" i="25"/>
  <c r="CK197" i="25"/>
  <c r="CK194" i="25"/>
  <c r="CK191" i="25"/>
  <c r="CK161" i="25"/>
  <c r="CK157" i="25"/>
  <c r="CK139" i="25"/>
  <c r="CK127" i="25"/>
  <c r="CK124" i="25"/>
  <c r="CK113" i="25"/>
  <c r="CK104" i="25"/>
  <c r="CK98" i="25"/>
  <c r="CK96" i="25"/>
  <c r="CK92" i="25"/>
  <c r="CK83" i="25"/>
  <c r="CK81" i="25"/>
  <c r="CK79" i="25"/>
  <c r="CK65" i="25"/>
  <c r="CK23" i="25"/>
  <c r="CK17" i="25"/>
  <c r="CK13" i="25"/>
  <c r="CK314" i="25"/>
  <c r="CK282" i="25"/>
  <c r="CK278" i="25"/>
  <c r="CK272" i="25"/>
  <c r="CK267" i="25"/>
  <c r="CK265" i="25"/>
  <c r="CK263" i="25"/>
  <c r="CK253" i="25"/>
  <c r="CK242" i="25"/>
  <c r="CK233" i="25"/>
  <c r="CK206" i="25"/>
  <c r="CK183" i="25"/>
  <c r="CK179" i="25"/>
  <c r="CK177" i="25"/>
  <c r="CK170" i="25"/>
  <c r="CK150" i="25"/>
  <c r="CK137" i="25"/>
  <c r="CK119" i="25"/>
  <c r="CK87" i="25"/>
  <c r="CK85" i="25"/>
  <c r="CK76" i="25"/>
  <c r="CK72" i="25"/>
  <c r="CK269" i="25"/>
  <c r="CK251" i="25"/>
  <c r="CK230" i="25"/>
  <c r="CK181" i="25"/>
  <c r="CK168" i="25"/>
  <c r="CK164" i="25"/>
  <c r="CK130" i="25"/>
  <c r="CK116" i="25"/>
  <c r="CK74" i="25"/>
  <c r="CK316" i="25"/>
  <c r="CK311" i="25"/>
  <c r="CK309" i="25"/>
  <c r="CK301" i="25"/>
  <c r="CK299" i="25"/>
  <c r="CK294" i="25"/>
  <c r="CK291" i="25"/>
  <c r="CK288" i="25"/>
  <c r="CK286" i="25"/>
  <c r="CK284" i="25"/>
  <c r="CK275" i="25"/>
  <c r="CK258" i="25"/>
  <c r="CK256" i="25"/>
  <c r="CK246" i="25"/>
  <c r="CK244" i="25"/>
  <c r="CK237" i="25"/>
  <c r="CK235" i="25"/>
  <c r="CK224" i="25"/>
  <c r="CK216" i="25"/>
  <c r="CK208" i="25"/>
  <c r="CK204" i="25"/>
  <c r="CK195" i="25"/>
  <c r="CK189" i="25"/>
  <c r="CK185" i="25"/>
  <c r="CK175" i="25"/>
  <c r="CK166" i="25"/>
  <c r="CK160" i="25"/>
  <c r="CK156" i="25"/>
  <c r="CK153" i="25"/>
  <c r="CK122" i="25"/>
  <c r="CK111" i="25"/>
  <c r="CK110" i="25"/>
  <c r="CK89" i="25"/>
  <c r="CK38" i="25"/>
  <c r="CK31" i="25"/>
  <c r="CK27" i="25"/>
  <c r="CK25" i="25"/>
  <c r="CK12" i="25"/>
  <c r="CK10" i="25"/>
  <c r="CK290" i="25"/>
  <c r="CK277" i="25"/>
  <c r="CK254" i="25"/>
  <c r="CK227" i="25"/>
  <c r="CK200" i="25"/>
  <c r="CK196" i="25"/>
  <c r="CK159" i="25"/>
  <c r="CK138" i="25"/>
  <c r="CK120" i="25"/>
  <c r="CK97" i="25"/>
  <c r="CK93" i="25"/>
  <c r="CK80" i="25"/>
  <c r="CK62" i="25"/>
  <c r="CK53" i="25"/>
  <c r="CK42" i="25"/>
  <c r="CK33" i="25"/>
  <c r="CK24" i="25"/>
  <c r="CK313" i="25"/>
  <c r="CK306" i="25"/>
  <c r="CK304" i="25"/>
  <c r="CK296" i="25"/>
  <c r="CK248" i="25"/>
  <c r="CK239" i="25"/>
  <c r="CK232" i="25"/>
  <c r="CK221" i="25"/>
  <c r="CK218" i="25"/>
  <c r="CK202" i="25"/>
  <c r="CK192" i="25"/>
  <c r="CK187" i="25"/>
  <c r="CK173" i="25"/>
  <c r="CK163" i="25"/>
  <c r="CK148" i="25"/>
  <c r="CK146" i="25"/>
  <c r="CK144" i="25"/>
  <c r="CK142" i="25"/>
  <c r="CK140" i="25"/>
  <c r="CK135" i="25"/>
  <c r="CK133" i="25"/>
  <c r="CK128" i="25"/>
  <c r="CK125" i="25"/>
  <c r="CK114" i="25"/>
  <c r="CK103" i="25"/>
  <c r="CK101" i="25"/>
  <c r="CK95" i="25"/>
  <c r="CK91" i="25"/>
  <c r="CK68" i="25"/>
  <c r="CK66" i="25"/>
  <c r="CK55" i="25"/>
  <c r="CK51" i="25"/>
  <c r="CK49" i="25"/>
  <c r="CK45" i="25"/>
  <c r="CK40" i="25"/>
  <c r="CK29" i="25"/>
  <c r="CK22" i="25"/>
  <c r="CK20" i="25"/>
  <c r="CK18" i="25"/>
  <c r="CK16" i="25"/>
  <c r="CK14" i="25"/>
  <c r="CK6" i="25"/>
  <c r="CK308" i="25"/>
  <c r="CK279" i="25"/>
  <c r="CK274" i="25"/>
  <c r="CK260" i="25"/>
  <c r="CK250" i="25"/>
  <c r="CK210" i="25"/>
  <c r="CK198" i="25"/>
  <c r="CK171" i="25"/>
  <c r="CK152" i="25"/>
  <c r="CK131" i="25"/>
  <c r="CK117" i="25"/>
  <c r="CK99" i="25"/>
  <c r="CK82" i="25"/>
  <c r="CK78" i="25"/>
  <c r="CK58" i="25"/>
  <c r="CK47" i="25"/>
  <c r="CK35" i="25"/>
  <c r="CK271" i="25"/>
  <c r="CK71" i="25"/>
  <c r="CK298" i="25"/>
  <c r="CK293" i="25"/>
  <c r="CK281" i="25"/>
  <c r="CK268" i="25"/>
  <c r="CK266" i="25"/>
  <c r="CK264" i="25"/>
  <c r="CK252" i="25"/>
  <c r="CK241" i="25"/>
  <c r="CK234" i="25"/>
  <c r="CK229" i="25"/>
  <c r="CK207" i="25"/>
  <c r="CK193" i="25"/>
  <c r="CK190" i="25"/>
  <c r="CK182" i="25"/>
  <c r="CK180" i="25"/>
  <c r="CK178" i="25"/>
  <c r="CK176" i="25"/>
  <c r="CK162" i="25"/>
  <c r="CK315" i="25"/>
  <c r="CK312" i="25"/>
  <c r="CK310" i="25"/>
  <c r="CK303" i="25"/>
  <c r="CK300" i="25"/>
  <c r="CK295" i="25"/>
  <c r="CK283" i="25"/>
  <c r="CK270" i="25"/>
  <c r="CK262" i="25"/>
  <c r="CK259" i="25"/>
  <c r="CK257" i="25"/>
  <c r="CK245" i="25"/>
  <c r="CK243" i="25"/>
  <c r="CK238" i="25"/>
  <c r="CK236" i="25"/>
  <c r="CK226" i="25"/>
  <c r="CK223" i="25"/>
  <c r="CK220" i="25"/>
  <c r="CK217" i="25"/>
  <c r="CK205" i="25"/>
  <c r="CK184" i="25"/>
  <c r="CK165" i="25"/>
  <c r="CK158" i="25"/>
  <c r="CK151" i="25"/>
  <c r="CK136" i="25"/>
  <c r="CK132" i="25"/>
  <c r="CK129" i="25"/>
  <c r="CK126" i="25"/>
  <c r="CK115" i="25"/>
  <c r="CK105" i="25"/>
  <c r="CK100" i="25"/>
  <c r="CK90" i="25"/>
  <c r="CK88" i="25"/>
  <c r="CK77" i="25"/>
  <c r="CK69" i="25"/>
  <c r="CK67" i="25"/>
  <c r="CK60" i="25"/>
  <c r="CK56" i="25"/>
  <c r="CK50" i="25"/>
  <c r="CK32" i="25"/>
  <c r="CK30" i="25"/>
  <c r="CK28" i="25"/>
  <c r="CK11" i="25"/>
  <c r="CK307" i="25"/>
  <c r="CK305" i="25"/>
  <c r="CK285" i="25"/>
  <c r="CK276" i="25"/>
  <c r="CK273" i="25"/>
  <c r="CK255" i="25"/>
  <c r="CK247" i="25"/>
  <c r="CK240" i="25"/>
  <c r="CK231" i="25"/>
  <c r="CK209" i="25"/>
  <c r="CK203" i="25"/>
  <c r="CK188" i="25"/>
  <c r="CK174" i="25"/>
  <c r="CK154" i="25"/>
  <c r="CK149" i="25"/>
  <c r="CK145" i="25"/>
  <c r="CK141" i="25"/>
  <c r="CK134" i="25"/>
  <c r="CK121" i="25"/>
  <c r="CK102" i="25"/>
  <c r="CK52" i="25"/>
  <c r="CK48" i="25"/>
  <c r="CK70" i="25"/>
  <c r="CK61" i="25"/>
  <c r="CK36" i="25"/>
  <c r="CK44" i="25"/>
  <c r="CK9" i="25"/>
  <c r="CK167" i="25"/>
  <c r="CK169" i="25"/>
  <c r="CK155" i="25"/>
  <c r="CK84" i="25"/>
  <c r="CK41" i="25"/>
  <c r="CK21" i="25"/>
  <c r="CK7" i="25"/>
  <c r="CK39" i="25"/>
  <c r="CK19" i="25"/>
  <c r="CK43" i="25"/>
  <c r="CK26" i="25"/>
  <c r="CK15" i="25"/>
  <c r="CK123" i="25"/>
  <c r="CK34" i="25"/>
  <c r="CK63" i="25"/>
  <c r="CK8" i="25"/>
  <c r="CK86" i="25"/>
  <c r="CK73" i="25"/>
  <c r="CK64" i="25"/>
  <c r="CK57" i="25"/>
  <c r="CK37" i="25"/>
  <c r="CK59" i="25"/>
  <c r="CK75" i="25"/>
  <c r="BO110" i="24"/>
  <c r="BR110" i="24" s="1"/>
  <c r="M1" i="24"/>
  <c r="K41" i="16" l="1"/>
  <c r="K40" i="16"/>
  <c r="K39" i="16"/>
  <c r="K33" i="16"/>
  <c r="J33" i="16"/>
  <c r="I33" i="16"/>
  <c r="H33" i="16"/>
  <c r="I34" i="16"/>
  <c r="H34" i="16"/>
  <c r="C41" i="16"/>
  <c r="D40" i="16"/>
  <c r="D39" i="16"/>
  <c r="J40" i="16"/>
  <c r="H40" i="16"/>
  <c r="J39" i="16"/>
  <c r="J50" i="16"/>
  <c r="I50" i="16"/>
  <c r="H50" i="16"/>
  <c r="A50" i="16"/>
  <c r="D42" i="16"/>
  <c r="D41" i="16"/>
  <c r="F229" i="2"/>
  <c r="K47" i="16"/>
  <c r="J47" i="16"/>
  <c r="I40" i="16"/>
  <c r="C40" i="16"/>
  <c r="B34" i="16"/>
  <c r="A40" i="16"/>
  <c r="B235" i="2"/>
  <c r="A33" i="16"/>
  <c r="K50" i="16"/>
  <c r="M14" i="1" l="1"/>
  <c r="A2" i="28"/>
  <c r="A2" i="22"/>
  <c r="B17" i="2"/>
  <c r="B16" i="2"/>
  <c r="C44" i="16" l="1"/>
  <c r="D44" i="16"/>
  <c r="CM212" i="25"/>
  <c r="N322" i="25"/>
  <c r="CM112" i="25"/>
  <c r="CM5" i="25"/>
  <c r="CM273" i="25"/>
  <c r="CM261" i="25"/>
  <c r="CM298" i="25"/>
  <c r="CM305" i="25"/>
  <c r="CM301" i="25"/>
  <c r="CM307" i="25"/>
  <c r="CM309" i="25"/>
  <c r="CM240" i="25"/>
  <c r="CM284" i="25"/>
  <c r="CM220" i="25"/>
  <c r="CM286" i="25"/>
  <c r="CM223" i="25"/>
  <c r="CM269" i="25"/>
  <c r="CM198" i="25"/>
  <c r="CM162" i="25"/>
  <c r="CM102" i="25"/>
  <c r="CM158" i="25"/>
  <c r="CM66" i="25"/>
  <c r="CM159" i="25"/>
  <c r="CM151" i="25"/>
  <c r="CM7" i="25"/>
  <c r="CM71" i="25"/>
  <c r="CM25" i="25"/>
  <c r="CM85" i="25"/>
  <c r="CM34" i="25"/>
  <c r="CM135" i="25"/>
  <c r="CM202" i="25"/>
  <c r="CM35" i="25"/>
  <c r="CM140" i="25"/>
  <c r="CM160" i="25"/>
  <c r="CM97" i="25"/>
  <c r="CM11" i="25"/>
  <c r="CM77" i="25"/>
  <c r="CM30" i="25"/>
  <c r="CM170" i="25"/>
  <c r="CM26" i="25"/>
  <c r="CM218" i="25"/>
  <c r="CM226" i="25"/>
  <c r="CM285" i="25"/>
  <c r="CM260" i="25"/>
  <c r="CM243" i="25"/>
  <c r="CM278" i="25"/>
  <c r="CM245" i="25"/>
  <c r="CM233" i="25"/>
  <c r="CM217" i="25"/>
  <c r="CM311" i="25"/>
  <c r="CM259" i="25"/>
  <c r="CM316" i="25"/>
  <c r="CM262" i="25"/>
  <c r="CM263" i="25"/>
  <c r="CM116" i="25"/>
  <c r="CM130" i="25"/>
  <c r="CM113" i="25"/>
  <c r="CM6" i="25"/>
  <c r="CM72" i="25"/>
  <c r="CM56" i="25"/>
  <c r="CM133" i="25"/>
  <c r="CM199" i="25"/>
  <c r="CM171" i="25"/>
  <c r="CM32" i="25"/>
  <c r="CM177" i="25"/>
  <c r="CM209" i="25"/>
  <c r="CM180" i="25"/>
  <c r="CM27" i="25"/>
  <c r="CM87" i="25"/>
  <c r="CM147" i="25"/>
  <c r="CM144" i="25"/>
  <c r="CM123" i="25"/>
  <c r="CM67" i="25"/>
  <c r="CM83" i="25"/>
  <c r="CM101" i="25"/>
  <c r="CM92" i="25"/>
  <c r="CM45" i="25"/>
  <c r="CM13" i="25"/>
  <c r="CM43" i="25"/>
  <c r="CM78" i="25"/>
  <c r="CM114" i="25"/>
  <c r="CM139" i="25"/>
  <c r="CM146" i="25"/>
  <c r="CM294" i="25"/>
  <c r="CM52" i="25"/>
  <c r="CM194" i="25"/>
  <c r="CM81" i="25"/>
  <c r="CM279" i="25"/>
  <c r="CM118" i="25"/>
  <c r="CM53" i="25"/>
  <c r="CM75" i="25"/>
  <c r="CM208" i="25"/>
  <c r="CM186" i="25"/>
  <c r="CM48" i="25"/>
  <c r="CM191" i="25"/>
  <c r="CM293" i="25"/>
  <c r="CM270" i="25"/>
  <c r="CM239" i="25"/>
  <c r="CM300" i="25"/>
  <c r="CM219" i="25"/>
  <c r="CM303" i="25"/>
  <c r="CM282" i="25"/>
  <c r="CM257" i="25"/>
  <c r="CM230" i="25"/>
  <c r="CM312" i="25"/>
  <c r="CM251" i="25"/>
  <c r="CM315" i="25"/>
  <c r="CM249" i="25"/>
  <c r="CM188" i="25"/>
  <c r="CM76" i="25"/>
  <c r="CM197" i="25"/>
  <c r="CM9" i="25"/>
  <c r="CM105" i="25"/>
  <c r="CM117" i="25"/>
  <c r="CM153" i="25"/>
  <c r="CM183" i="25"/>
  <c r="CM70" i="25"/>
  <c r="CM82" i="25"/>
  <c r="CM187" i="25"/>
  <c r="CM206" i="25"/>
  <c r="CM189" i="25"/>
  <c r="CM152" i="25"/>
  <c r="CM192" i="25"/>
  <c r="CM216" i="25"/>
  <c r="CM38" i="25"/>
  <c r="CM157" i="25"/>
  <c r="CM89" i="25"/>
  <c r="CM190" i="25"/>
  <c r="CM103" i="25"/>
  <c r="CM161" i="25"/>
  <c r="CM155" i="25"/>
  <c r="CM88" i="25"/>
  <c r="CM110" i="25"/>
  <c r="CM17" i="25"/>
  <c r="CM271" i="25"/>
  <c r="CM228" i="25"/>
  <c r="CM39" i="25"/>
  <c r="CM163" i="25"/>
  <c r="CM62" i="25"/>
  <c r="CM80" i="25"/>
  <c r="CM172" i="25"/>
  <c r="CM236" i="25"/>
  <c r="CM304" i="25"/>
  <c r="CM225" i="25"/>
  <c r="CM121" i="25"/>
  <c r="CM166" i="25"/>
  <c r="CM16" i="25"/>
  <c r="CM250" i="25"/>
  <c r="CM229" i="25"/>
  <c r="CM246" i="25"/>
  <c r="CM252" i="25"/>
  <c r="CM292" i="25"/>
  <c r="CM264" i="25"/>
  <c r="CM222" i="25"/>
  <c r="CM310" i="25"/>
  <c r="CM242" i="25"/>
  <c r="CM268" i="25"/>
  <c r="CM253" i="25"/>
  <c r="CM281" i="25"/>
  <c r="CM287" i="25"/>
  <c r="CM86" i="25"/>
  <c r="CM55" i="25"/>
  <c r="CM8" i="25"/>
  <c r="CM176" i="25"/>
  <c r="CM128" i="25"/>
  <c r="CM12" i="25"/>
  <c r="CM14" i="25"/>
  <c r="CM18" i="25"/>
  <c r="CM23" i="25"/>
  <c r="CM173" i="25"/>
  <c r="CM143" i="25"/>
  <c r="CM94" i="25"/>
  <c r="CM21" i="25"/>
  <c r="CM60" i="25"/>
  <c r="CM131" i="25"/>
  <c r="CM156" i="25"/>
  <c r="CM145" i="25"/>
  <c r="CM41" i="25"/>
  <c r="CM126" i="25"/>
  <c r="CM248" i="25"/>
  <c r="CM93" i="25"/>
  <c r="CM204" i="25"/>
  <c r="CM29" i="25"/>
  <c r="CM104" i="25"/>
  <c r="CM205" i="25"/>
  <c r="CM142" i="25"/>
  <c r="CM185" i="25"/>
  <c r="CM244" i="25"/>
  <c r="CM238" i="25"/>
  <c r="CM241" i="25"/>
  <c r="CM148" i="25"/>
  <c r="CM125" i="25"/>
  <c r="CM115" i="25"/>
  <c r="CM28" i="25"/>
  <c r="CM36" i="25"/>
  <c r="CM181" i="25"/>
  <c r="CM132" i="25"/>
  <c r="CM136" i="25"/>
  <c r="CM74" i="25"/>
  <c r="CM79" i="25"/>
  <c r="CM96" i="25"/>
  <c r="CM299" i="25"/>
  <c r="CM99" i="25"/>
  <c r="CM49" i="25"/>
  <c r="CM46" i="25"/>
  <c r="CM291" i="25"/>
  <c r="CM283" i="25"/>
  <c r="CM280" i="25"/>
  <c r="CM296" i="25"/>
  <c r="CM289" i="25"/>
  <c r="CM227" i="25"/>
  <c r="CM274" i="25"/>
  <c r="CM254" i="25"/>
  <c r="CM302" i="25"/>
  <c r="CM277" i="25"/>
  <c r="CM272" i="25"/>
  <c r="CM237" i="25"/>
  <c r="CM90" i="25"/>
  <c r="CM111" i="25"/>
  <c r="CM195" i="25"/>
  <c r="CM65" i="25"/>
  <c r="CM84" i="25"/>
  <c r="CM203" i="25"/>
  <c r="CM178" i="25"/>
  <c r="CM68" i="25"/>
  <c r="CM196" i="25"/>
  <c r="CM164" i="25"/>
  <c r="CM124" i="25"/>
  <c r="CM69" i="25"/>
  <c r="CM193" i="25"/>
  <c r="CM182" i="25"/>
  <c r="CM95" i="25"/>
  <c r="CM61" i="25"/>
  <c r="CM57" i="25"/>
  <c r="CM58" i="25"/>
  <c r="CM73" i="25"/>
  <c r="CM54" i="25"/>
  <c r="CM210" i="25"/>
  <c r="CM98" i="25"/>
  <c r="CM232" i="25"/>
  <c r="CM313" i="25"/>
  <c r="CM165" i="25"/>
  <c r="CM44" i="25"/>
  <c r="CM40" i="25"/>
  <c r="CM265" i="25"/>
  <c r="CM234" i="25"/>
  <c r="CM295" i="25"/>
  <c r="CM258" i="25"/>
  <c r="CM231" i="25"/>
  <c r="CM275" i="25"/>
  <c r="CM256" i="25"/>
  <c r="CM224" i="25"/>
  <c r="CM247" i="25"/>
  <c r="CM235" i="25"/>
  <c r="CM255" i="25"/>
  <c r="CM288" i="25"/>
  <c r="CM149" i="25"/>
  <c r="CM167" i="25"/>
  <c r="CM100" i="25"/>
  <c r="CM20" i="25"/>
  <c r="CM42" i="25"/>
  <c r="CM174" i="25"/>
  <c r="CM10" i="25"/>
  <c r="CM63" i="25"/>
  <c r="CM169" i="25"/>
  <c r="CM138" i="25"/>
  <c r="CM59" i="25"/>
  <c r="CM134" i="25"/>
  <c r="CM184" i="25"/>
  <c r="CM91" i="25"/>
  <c r="CM200" i="25"/>
  <c r="CM168" i="25"/>
  <c r="CM127" i="25"/>
  <c r="CM47" i="25"/>
  <c r="CM37" i="25"/>
  <c r="CM141" i="25"/>
  <c r="CM31" i="25"/>
  <c r="CM119" i="25"/>
  <c r="CM137" i="25"/>
  <c r="CM201" i="25"/>
  <c r="CM64" i="25"/>
  <c r="CM150" i="25"/>
  <c r="CM154" i="25"/>
  <c r="CM207" i="25"/>
  <c r="CM51" i="25"/>
  <c r="CM120" i="25"/>
  <c r="CM276" i="25"/>
  <c r="CM308" i="25"/>
  <c r="CM297" i="25"/>
  <c r="CM266" i="25"/>
  <c r="CM314" i="25"/>
  <c r="CM221" i="25"/>
  <c r="CM122" i="25"/>
  <c r="CM15" i="25"/>
  <c r="CM129" i="25"/>
  <c r="CM267" i="25"/>
  <c r="CM306" i="25"/>
  <c r="CM290" i="25"/>
  <c r="CM33" i="25"/>
  <c r="CM50" i="25"/>
  <c r="CM179" i="25"/>
  <c r="CM19" i="25"/>
  <c r="CM22" i="25"/>
  <c r="CM175" i="25"/>
  <c r="CM24" i="25"/>
  <c r="I5" i="25"/>
  <c r="B57" i="2"/>
  <c r="D229" i="2" s="1"/>
  <c r="B19" i="2"/>
  <c r="BP6" i="19"/>
  <c r="BQ6" i="19"/>
  <c r="BU6" i="19"/>
  <c r="CA6" i="19" s="1"/>
  <c r="BV6" i="19"/>
  <c r="CB6" i="19" s="1"/>
  <c r="BW6" i="19"/>
  <c r="CC6" i="19" s="1"/>
  <c r="BP7" i="19"/>
  <c r="BQ7" i="19"/>
  <c r="BU7" i="19"/>
  <c r="BV7" i="19"/>
  <c r="CB7" i="19" s="1"/>
  <c r="BW7" i="19"/>
  <c r="CA7" i="19"/>
  <c r="CC7" i="19"/>
  <c r="BP8" i="19"/>
  <c r="BQ8" i="19"/>
  <c r="BU8" i="19"/>
  <c r="CA8" i="19" s="1"/>
  <c r="BV8" i="19"/>
  <c r="CB8" i="19" s="1"/>
  <c r="BW8" i="19"/>
  <c r="CC8" i="19"/>
  <c r="BP9" i="19"/>
  <c r="BQ9" i="19"/>
  <c r="BU9" i="19"/>
  <c r="BV9" i="19"/>
  <c r="CB9" i="19" s="1"/>
  <c r="BW9" i="19"/>
  <c r="CA9" i="19"/>
  <c r="CC9" i="19"/>
  <c r="D24" i="2"/>
  <c r="A24" i="2"/>
  <c r="AL216" i="25"/>
  <c r="AL110" i="25"/>
  <c r="AL5" i="25"/>
  <c r="K13" i="1"/>
  <c r="K9" i="1"/>
  <c r="B281" i="2" l="1"/>
  <c r="R30" i="2"/>
  <c r="R29" i="2"/>
  <c r="R28" i="2"/>
  <c r="B123" i="2" l="1"/>
  <c r="C33" i="16"/>
  <c r="B87" i="2"/>
  <c r="B92" i="2" l="1"/>
  <c r="K36" i="1"/>
  <c r="K33" i="1"/>
  <c r="D10" i="1"/>
  <c r="D11" i="1"/>
  <c r="D36" i="1"/>
  <c r="D33" i="1"/>
  <c r="D49" i="1"/>
  <c r="B181" i="2" l="1"/>
  <c r="ER212" i="25" s="1"/>
  <c r="BN5" i="25" l="1"/>
  <c r="BM110" i="25"/>
  <c r="BM216" i="25"/>
  <c r="ER237" i="25"/>
  <c r="ER270" i="25"/>
  <c r="ER261" i="25"/>
  <c r="ER246" i="25"/>
  <c r="ER274" i="25"/>
  <c r="ER300" i="25"/>
  <c r="ER219" i="25"/>
  <c r="ER304" i="25"/>
  <c r="ER297" i="25"/>
  <c r="ER224" i="25"/>
  <c r="ER247" i="25"/>
  <c r="ER235" i="25"/>
  <c r="ER238" i="25"/>
  <c r="ER303" i="25"/>
  <c r="ER255" i="25"/>
  <c r="ER288" i="25"/>
  <c r="ER229" i="25"/>
  <c r="ER276" i="25"/>
  <c r="ER294" i="25"/>
  <c r="ER248" i="25"/>
  <c r="ER252" i="25"/>
  <c r="ER292" i="25"/>
  <c r="ER227" i="25"/>
  <c r="ER240" i="25"/>
  <c r="ER284" i="25"/>
  <c r="ER220" i="25"/>
  <c r="ER286" i="25"/>
  <c r="ER298" i="25"/>
  <c r="ER233" i="25"/>
  <c r="ER223" i="25"/>
  <c r="ER269" i="25"/>
  <c r="ER293" i="25"/>
  <c r="ER236" i="25"/>
  <c r="ER267" i="25"/>
  <c r="ER256" i="25"/>
  <c r="ER271" i="25"/>
  <c r="ER231" i="25"/>
  <c r="ER216" i="25"/>
  <c r="EU216" i="25" s="1"/>
  <c r="ER217" i="25"/>
  <c r="ER311" i="25"/>
  <c r="ER259" i="25"/>
  <c r="ER316" i="25"/>
  <c r="ER262" i="25"/>
  <c r="ER263" i="25"/>
  <c r="ER250" i="25"/>
  <c r="ER283" i="25"/>
  <c r="ER280" i="25"/>
  <c r="ER299" i="25"/>
  <c r="ER279" i="25"/>
  <c r="ER307" i="25"/>
  <c r="ER275" i="25"/>
  <c r="ER257" i="25"/>
  <c r="ER230" i="25"/>
  <c r="ER312" i="25"/>
  <c r="ER251" i="25"/>
  <c r="ER281" i="25"/>
  <c r="ER314" i="25"/>
  <c r="ER315" i="25"/>
  <c r="ER249" i="25"/>
  <c r="ER232" i="25"/>
  <c r="ER234" i="25"/>
  <c r="ER285" i="25"/>
  <c r="ER272" i="25"/>
  <c r="ER296" i="25"/>
  <c r="ER245" i="25"/>
  <c r="ER309" i="25"/>
  <c r="ER310" i="25"/>
  <c r="ER242" i="25"/>
  <c r="ER268" i="25"/>
  <c r="ER253" i="25"/>
  <c r="ER287" i="25"/>
  <c r="ER266" i="25"/>
  <c r="ER221" i="25"/>
  <c r="ER273" i="25"/>
  <c r="ER291" i="25"/>
  <c r="ER260" i="25"/>
  <c r="ER295" i="25"/>
  <c r="ER305" i="25"/>
  <c r="ER301" i="25"/>
  <c r="ER264" i="25"/>
  <c r="ER282" i="25"/>
  <c r="ER306" i="25"/>
  <c r="ER225" i="25"/>
  <c r="ER313" i="25"/>
  <c r="ER244" i="25"/>
  <c r="ER218" i="25"/>
  <c r="ER290" i="25"/>
  <c r="ER226" i="25"/>
  <c r="ER265" i="25"/>
  <c r="ER239" i="25"/>
  <c r="ER241" i="25"/>
  <c r="ER243" i="25"/>
  <c r="ER278" i="25"/>
  <c r="ER308" i="25"/>
  <c r="ER222" i="25"/>
  <c r="ER254" i="25"/>
  <c r="ER302" i="25"/>
  <c r="ER277" i="25"/>
  <c r="ER289" i="25"/>
  <c r="ER258" i="25"/>
  <c r="ER228" i="25"/>
  <c r="ER5" i="25"/>
  <c r="ER73" i="25"/>
  <c r="ER162" i="25"/>
  <c r="ER10" i="25"/>
  <c r="ER194" i="25"/>
  <c r="ER100" i="25"/>
  <c r="ER42" i="25"/>
  <c r="ER65" i="25"/>
  <c r="ER203" i="25"/>
  <c r="ER68" i="25"/>
  <c r="ER164" i="25"/>
  <c r="ER63" i="25"/>
  <c r="ER180" i="25"/>
  <c r="ER27" i="25"/>
  <c r="ER147" i="25"/>
  <c r="ER205" i="25"/>
  <c r="ER80" i="25"/>
  <c r="ER37" i="25"/>
  <c r="ER190" i="25"/>
  <c r="ER93" i="25"/>
  <c r="ER15" i="25"/>
  <c r="ER58" i="25"/>
  <c r="ER175" i="25"/>
  <c r="ER26" i="25"/>
  <c r="ER78" i="25"/>
  <c r="ER110" i="25"/>
  <c r="EU110" i="25" s="1"/>
  <c r="ER16" i="25"/>
  <c r="ER43" i="25"/>
  <c r="ER82" i="25"/>
  <c r="ER111" i="25"/>
  <c r="ER94" i="25"/>
  <c r="ER158" i="25"/>
  <c r="ER159" i="25"/>
  <c r="ER113" i="25"/>
  <c r="ER56" i="25"/>
  <c r="ER133" i="25"/>
  <c r="ER85" i="25"/>
  <c r="ER7" i="25"/>
  <c r="ER131" i="25"/>
  <c r="ER156" i="25"/>
  <c r="ER59" i="25"/>
  <c r="ER182" i="25"/>
  <c r="ER31" i="25"/>
  <c r="ER123" i="25"/>
  <c r="ER47" i="25"/>
  <c r="ER38" i="25"/>
  <c r="ER84" i="25"/>
  <c r="ER198" i="25"/>
  <c r="ER150" i="25"/>
  <c r="ER155" i="25"/>
  <c r="ER210" i="25"/>
  <c r="ER185" i="25"/>
  <c r="ER169" i="25"/>
  <c r="ER18" i="25"/>
  <c r="ER189" i="25"/>
  <c r="ER86" i="25"/>
  <c r="ER176" i="25"/>
  <c r="ER12" i="25"/>
  <c r="ER197" i="25"/>
  <c r="ER105" i="25"/>
  <c r="ER173" i="25"/>
  <c r="ER183" i="25"/>
  <c r="ER44" i="25"/>
  <c r="ER29" i="25"/>
  <c r="ER208" i="25"/>
  <c r="ER34" i="25"/>
  <c r="ER35" i="25"/>
  <c r="ER160" i="25"/>
  <c r="ER41" i="25"/>
  <c r="ER171" i="25"/>
  <c r="ER166" i="25"/>
  <c r="ER70" i="25"/>
  <c r="ER14" i="25"/>
  <c r="ER13" i="25"/>
  <c r="ER52" i="25"/>
  <c r="ER55" i="25"/>
  <c r="ER116" i="25"/>
  <c r="ER19" i="25"/>
  <c r="ER99" i="25"/>
  <c r="ER122" i="25"/>
  <c r="ER118" i="25"/>
  <c r="ER165" i="25"/>
  <c r="ER53" i="25"/>
  <c r="ER79" i="25"/>
  <c r="ER134" i="25"/>
  <c r="ER91" i="25"/>
  <c r="ER168" i="25"/>
  <c r="ER21" i="25"/>
  <c r="ER152" i="25"/>
  <c r="ER181" i="25"/>
  <c r="ER61" i="25"/>
  <c r="ER6" i="25"/>
  <c r="ER137" i="25"/>
  <c r="ER149" i="25"/>
  <c r="ER49" i="25"/>
  <c r="ER96" i="25"/>
  <c r="ER154" i="25"/>
  <c r="ER174" i="25"/>
  <c r="ER125" i="25"/>
  <c r="ER72" i="25"/>
  <c r="ER167" i="25"/>
  <c r="ER20" i="25"/>
  <c r="ER195" i="25"/>
  <c r="ER8" i="25"/>
  <c r="ER178" i="25"/>
  <c r="ER196" i="25"/>
  <c r="ER124" i="25"/>
  <c r="ER209" i="25"/>
  <c r="ER135" i="25"/>
  <c r="ER87" i="25"/>
  <c r="ER36" i="25"/>
  <c r="ER40" i="25"/>
  <c r="ER119" i="25"/>
  <c r="ER145" i="25"/>
  <c r="ER45" i="25"/>
  <c r="ER92" i="25"/>
  <c r="ER28" i="25"/>
  <c r="ER103" i="25"/>
  <c r="ER161" i="25"/>
  <c r="ER30" i="25"/>
  <c r="ER114" i="25"/>
  <c r="ER17" i="25"/>
  <c r="ER51" i="25"/>
  <c r="ER32" i="25"/>
  <c r="ER148" i="25"/>
  <c r="ER177" i="25"/>
  <c r="ER102" i="25"/>
  <c r="ER66" i="25"/>
  <c r="ER130" i="25"/>
  <c r="ER39" i="25"/>
  <c r="ER71" i="25"/>
  <c r="ER25" i="25"/>
  <c r="ER199" i="25"/>
  <c r="ER60" i="25"/>
  <c r="ER187" i="25"/>
  <c r="ER206" i="25"/>
  <c r="ER141" i="25"/>
  <c r="ER95" i="25"/>
  <c r="ER83" i="25"/>
  <c r="ER11" i="25"/>
  <c r="ER101" i="25"/>
  <c r="ER157" i="25"/>
  <c r="ER77" i="25"/>
  <c r="ER144" i="25"/>
  <c r="ER46" i="25"/>
  <c r="ER88" i="25"/>
  <c r="ER146" i="25"/>
  <c r="ER98" i="25"/>
  <c r="ER74" i="25"/>
  <c r="ER170" i="25"/>
  <c r="ER90" i="25"/>
  <c r="ER33" i="25"/>
  <c r="ER23" i="25"/>
  <c r="ER188" i="25"/>
  <c r="ER128" i="25"/>
  <c r="ER76" i="25"/>
  <c r="ER9" i="25"/>
  <c r="ER117" i="25"/>
  <c r="ER153" i="25"/>
  <c r="ER143" i="25"/>
  <c r="ER115" i="25"/>
  <c r="ER62" i="25"/>
  <c r="ER81" i="25"/>
  <c r="ER67" i="25"/>
  <c r="ER140" i="25"/>
  <c r="ER139" i="25"/>
  <c r="ER69" i="25"/>
  <c r="ER142" i="25"/>
  <c r="ER186" i="25"/>
  <c r="ER132" i="25"/>
  <c r="ER97" i="25"/>
  <c r="ER201" i="25"/>
  <c r="ER136" i="25"/>
  <c r="ER24" i="25"/>
  <c r="ER191" i="25"/>
  <c r="ER112" i="25"/>
  <c r="ER151" i="25"/>
  <c r="ER138" i="25"/>
  <c r="ER104" i="25"/>
  <c r="ER50" i="25"/>
  <c r="ER163" i="25"/>
  <c r="ER179" i="25"/>
  <c r="ER121" i="25"/>
  <c r="ER22" i="25"/>
  <c r="ER204" i="25"/>
  <c r="ER75" i="25"/>
  <c r="ER184" i="25"/>
  <c r="ER200" i="25"/>
  <c r="ER127" i="25"/>
  <c r="ER126" i="25"/>
  <c r="ER192" i="25"/>
  <c r="ER172" i="25"/>
  <c r="ER129" i="25"/>
  <c r="ER202" i="25"/>
  <c r="ER57" i="25"/>
  <c r="ER193" i="25"/>
  <c r="ER89" i="25"/>
  <c r="ER64" i="25"/>
  <c r="ER207" i="25"/>
  <c r="ER120" i="25"/>
  <c r="ER54" i="25"/>
  <c r="ER48" i="25"/>
  <c r="BO5" i="24"/>
  <c r="EQ5" i="25"/>
  <c r="ES5" i="24"/>
  <c r="EV5" i="24" s="1"/>
  <c r="BM5" i="25"/>
  <c r="I62" i="2"/>
  <c r="B279" i="2"/>
  <c r="B12" i="2"/>
  <c r="CC216" i="25" l="1"/>
  <c r="FG216" i="25"/>
  <c r="EU5" i="25"/>
  <c r="FG110" i="25"/>
  <c r="CJ7" i="25"/>
  <c r="CJ6" i="25"/>
  <c r="CC110" i="25"/>
  <c r="B264" i="2"/>
  <c r="EQ6" i="25" l="1"/>
  <c r="EU6" i="25" s="1"/>
  <c r="DP6" i="25"/>
  <c r="FG6" i="25"/>
  <c r="EQ7" i="25"/>
  <c r="EU7" i="25" s="1"/>
  <c r="DP7" i="25"/>
  <c r="FG7" i="25"/>
  <c r="B228" i="2"/>
  <c r="A226" i="2"/>
  <c r="B58" i="2"/>
  <c r="D225" i="2" l="1"/>
  <c r="A225" i="2"/>
  <c r="D224" i="2" l="1"/>
  <c r="D280" i="2"/>
  <c r="C243" i="2"/>
  <c r="C252" i="2"/>
  <c r="D252" i="2"/>
  <c r="B48" i="19"/>
  <c r="B31" i="2" l="1"/>
  <c r="B20" i="2"/>
  <c r="B21" i="2"/>
  <c r="B24" i="2"/>
  <c r="C229" i="2"/>
  <c r="C58" i="2"/>
  <c r="B86" i="2"/>
  <c r="B91" i="2" l="1"/>
  <c r="B119" i="2"/>
  <c r="B64" i="2"/>
  <c r="C64" i="2"/>
  <c r="B280" i="2"/>
  <c r="C228" i="2"/>
  <c r="F228" i="2"/>
  <c r="D228" i="2"/>
  <c r="B225" i="2"/>
  <c r="B226" i="2"/>
  <c r="B140" i="2"/>
  <c r="B136" i="2"/>
  <c r="B236" i="2" s="1"/>
  <c r="B113" i="2"/>
  <c r="B111" i="2"/>
  <c r="C32" i="16" s="1"/>
  <c r="D45" i="1"/>
  <c r="AM5" i="24"/>
  <c r="AM216" i="24"/>
  <c r="AM110" i="24"/>
  <c r="B231" i="2" l="1"/>
  <c r="B232" i="2"/>
  <c r="B234" i="2"/>
  <c r="C31" i="16"/>
  <c r="D21" i="19"/>
  <c r="D36" i="19"/>
  <c r="F12" i="19"/>
  <c r="D38" i="19"/>
  <c r="D35" i="19"/>
  <c r="B47" i="2"/>
  <c r="C47" i="16" s="1"/>
  <c r="D47" i="16" s="1"/>
  <c r="B33" i="19"/>
  <c r="F62" i="2"/>
  <c r="F56" i="2"/>
  <c r="D42" i="1"/>
  <c r="G253" i="2"/>
  <c r="C248" i="2"/>
  <c r="C249" i="2"/>
  <c r="A257" i="2"/>
  <c r="G57" i="2"/>
  <c r="A215" i="2"/>
  <c r="C261" i="2"/>
  <c r="E18" i="1" l="1"/>
  <c r="CY2" i="24"/>
  <c r="D77" i="2"/>
  <c r="U2" i="24"/>
  <c r="B178" i="2"/>
  <c r="I10" i="8"/>
  <c r="B163" i="2"/>
  <c r="B160" i="2"/>
  <c r="B182" i="2" l="1"/>
  <c r="I9" i="8" s="1"/>
  <c r="B62" i="2"/>
  <c r="K50" i="2"/>
  <c r="K34" i="16" l="1"/>
  <c r="J34" i="16"/>
  <c r="K49" i="16"/>
  <c r="K48" i="16"/>
  <c r="J49" i="16"/>
  <c r="J48" i="16"/>
  <c r="I49" i="16" l="1"/>
  <c r="I48" i="16"/>
  <c r="H49" i="16"/>
  <c r="H48" i="16"/>
  <c r="J46" i="16"/>
  <c r="K32" i="16"/>
  <c r="J32" i="16"/>
  <c r="K31" i="16"/>
  <c r="J31" i="16" l="1"/>
  <c r="T67" i="2"/>
  <c r="R69" i="2"/>
  <c r="B11" i="2" l="1"/>
  <c r="B26" i="19"/>
  <c r="D26" i="19" s="1"/>
  <c r="D20" i="19"/>
  <c r="B27" i="19"/>
  <c r="D27" i="19" s="1"/>
  <c r="B8" i="2"/>
  <c r="B85" i="2"/>
  <c r="B80" i="2"/>
  <c r="B139" i="2"/>
  <c r="BP106" i="19"/>
  <c r="D46" i="19"/>
  <c r="A34" i="16"/>
  <c r="A49" i="16"/>
  <c r="A48" i="16"/>
  <c r="C262" i="2"/>
  <c r="B277" i="2"/>
  <c r="B252" i="2"/>
  <c r="B248" i="2"/>
  <c r="J56" i="2"/>
  <c r="C245" i="2"/>
  <c r="B245" i="2"/>
  <c r="B32" i="19"/>
  <c r="D32" i="19" s="1"/>
  <c r="B31" i="19"/>
  <c r="D31" i="19" s="1"/>
  <c r="B30" i="19"/>
  <c r="D30" i="19" s="1"/>
  <c r="B8" i="19"/>
  <c r="D8" i="19" s="1"/>
  <c r="F91" i="19"/>
  <c r="F90" i="19"/>
  <c r="F89" i="19"/>
  <c r="D53" i="19"/>
  <c r="D52" i="19"/>
  <c r="D51" i="19"/>
  <c r="D50" i="19"/>
  <c r="D48" i="19"/>
  <c r="D45" i="19"/>
  <c r="D44" i="19"/>
  <c r="D41" i="19"/>
  <c r="D39" i="19"/>
  <c r="D33" i="19"/>
  <c r="D29" i="19"/>
  <c r="D23" i="19"/>
  <c r="D22" i="19"/>
  <c r="D13" i="19"/>
  <c r="B197" i="2" s="1"/>
  <c r="D12" i="19"/>
  <c r="A31" i="16"/>
  <c r="B230" i="2"/>
  <c r="A229" i="2"/>
  <c r="B9" i="2"/>
  <c r="I6" i="8"/>
  <c r="J6" i="8" s="1"/>
  <c r="D46" i="16"/>
  <c r="B162" i="2"/>
  <c r="B165" i="2" s="1"/>
  <c r="B157" i="2"/>
  <c r="B215" i="2"/>
  <c r="B229" i="2"/>
  <c r="B7" i="2"/>
  <c r="B148" i="2"/>
  <c r="B150" i="2" s="1"/>
  <c r="B192" i="2"/>
  <c r="A34" i="8"/>
  <c r="A46" i="8" s="1"/>
  <c r="A58" i="8" s="1"/>
  <c r="A70" i="8" s="1"/>
  <c r="A82" i="8" s="1"/>
  <c r="A94" i="8" s="1"/>
  <c r="A106" i="8" s="1"/>
  <c r="A118" i="8" s="1"/>
  <c r="A130" i="8" s="1"/>
  <c r="A142" i="8" s="1"/>
  <c r="A154" i="8" s="1"/>
  <c r="A35" i="8"/>
  <c r="A36" i="8"/>
  <c r="A48" i="8" s="1"/>
  <c r="A60" i="8" s="1"/>
  <c r="A72" i="8" s="1"/>
  <c r="A84" i="8" s="1"/>
  <c r="A96" i="8" s="1"/>
  <c r="A108" i="8" s="1"/>
  <c r="A120" i="8" s="1"/>
  <c r="A132" i="8" s="1"/>
  <c r="A144" i="8" s="1"/>
  <c r="A156" i="8" s="1"/>
  <c r="A37" i="8"/>
  <c r="A38" i="8"/>
  <c r="A50" i="8" s="1"/>
  <c r="A62" i="8" s="1"/>
  <c r="A74" i="8" s="1"/>
  <c r="A86" i="8" s="1"/>
  <c r="A98" i="8" s="1"/>
  <c r="A110" i="8" s="1"/>
  <c r="A122" i="8" s="1"/>
  <c r="A134" i="8" s="1"/>
  <c r="A146" i="8" s="1"/>
  <c r="A158" i="8" s="1"/>
  <c r="A39" i="8"/>
  <c r="A51" i="8" s="1"/>
  <c r="A63" i="8" s="1"/>
  <c r="A75" i="8" s="1"/>
  <c r="A87" i="8" s="1"/>
  <c r="A99" i="8" s="1"/>
  <c r="A111" i="8" s="1"/>
  <c r="A123" i="8" s="1"/>
  <c r="A135" i="8" s="1"/>
  <c r="A147" i="8" s="1"/>
  <c r="A159" i="8" s="1"/>
  <c r="A40" i="8"/>
  <c r="A52" i="8" s="1"/>
  <c r="A64" i="8" s="1"/>
  <c r="A76" i="8" s="1"/>
  <c r="A88" i="8" s="1"/>
  <c r="A100" i="8" s="1"/>
  <c r="A112" i="8" s="1"/>
  <c r="A124" i="8" s="1"/>
  <c r="A136" i="8" s="1"/>
  <c r="A148" i="8" s="1"/>
  <c r="A41" i="8"/>
  <c r="A53" i="8" s="1"/>
  <c r="A65" i="8" s="1"/>
  <c r="A77" i="8" s="1"/>
  <c r="A89" i="8" s="1"/>
  <c r="A101" i="8" s="1"/>
  <c r="A113" i="8" s="1"/>
  <c r="A125" i="8" s="1"/>
  <c r="A137" i="8" s="1"/>
  <c r="A149" i="8" s="1"/>
  <c r="A42" i="8"/>
  <c r="A43" i="8"/>
  <c r="A44" i="8"/>
  <c r="A45" i="8"/>
  <c r="A47" i="8"/>
  <c r="A59" i="8" s="1"/>
  <c r="A71" i="8" s="1"/>
  <c r="A83" i="8" s="1"/>
  <c r="A95" i="8" s="1"/>
  <c r="A107" i="8" s="1"/>
  <c r="A119" i="8" s="1"/>
  <c r="A131" i="8" s="1"/>
  <c r="A143" i="8" s="1"/>
  <c r="A155" i="8" s="1"/>
  <c r="A49" i="8"/>
  <c r="A61" i="8" s="1"/>
  <c r="A73" i="8" s="1"/>
  <c r="A85" i="8" s="1"/>
  <c r="A97" i="8" s="1"/>
  <c r="A109" i="8" s="1"/>
  <c r="A121" i="8" s="1"/>
  <c r="A133" i="8" s="1"/>
  <c r="A145" i="8" s="1"/>
  <c r="A157" i="8" s="1"/>
  <c r="A54" i="8"/>
  <c r="A66" i="8" s="1"/>
  <c r="A78" i="8" s="1"/>
  <c r="A90" i="8" s="1"/>
  <c r="A102" i="8" s="1"/>
  <c r="A114" i="8" s="1"/>
  <c r="A126" i="8" s="1"/>
  <c r="A138" i="8" s="1"/>
  <c r="A150" i="8" s="1"/>
  <c r="A55" i="8"/>
  <c r="A67" i="8" s="1"/>
  <c r="A79" i="8" s="1"/>
  <c r="A91" i="8" s="1"/>
  <c r="A103" i="8" s="1"/>
  <c r="A115" i="8" s="1"/>
  <c r="A127" i="8" s="1"/>
  <c r="A139" i="8" s="1"/>
  <c r="A151" i="8" s="1"/>
  <c r="A56" i="8"/>
  <c r="A68" i="8" s="1"/>
  <c r="A80" i="8" s="1"/>
  <c r="A92" i="8" s="1"/>
  <c r="A104" i="8" s="1"/>
  <c r="A116" i="8" s="1"/>
  <c r="A128" i="8" s="1"/>
  <c r="A140" i="8" s="1"/>
  <c r="A152" i="8" s="1"/>
  <c r="A57" i="8"/>
  <c r="A69" i="8" s="1"/>
  <c r="A81" i="8" s="1"/>
  <c r="A93" i="8" s="1"/>
  <c r="A105" i="8" s="1"/>
  <c r="A117" i="8" s="1"/>
  <c r="A129" i="8" s="1"/>
  <c r="A141" i="8" s="1"/>
  <c r="A153" i="8" s="1"/>
  <c r="E3" i="8"/>
  <c r="A224" i="2"/>
  <c r="B224" i="2"/>
  <c r="I14" i="8"/>
  <c r="J13" i="8"/>
  <c r="J7" i="8"/>
  <c r="J14" i="8"/>
  <c r="BB1" i="24" l="1"/>
  <c r="EF1" i="24"/>
  <c r="EM98" i="25"/>
  <c r="EM67" i="25"/>
  <c r="EM63" i="25"/>
  <c r="EM105" i="25"/>
  <c r="EM11" i="25"/>
  <c r="EM60" i="25"/>
  <c r="EM8" i="25"/>
  <c r="EM77" i="25"/>
  <c r="EM83" i="25"/>
  <c r="EM97" i="25"/>
  <c r="EM89" i="25"/>
  <c r="EM35" i="25"/>
  <c r="EM44" i="25"/>
  <c r="EM91" i="25"/>
  <c r="EM22" i="25"/>
  <c r="EM66" i="25"/>
  <c r="EM26" i="25"/>
  <c r="EM53" i="25"/>
  <c r="EM30" i="25"/>
  <c r="EM28" i="25"/>
  <c r="EM45" i="25"/>
  <c r="EM37" i="25"/>
  <c r="EM92" i="25"/>
  <c r="EM42" i="25"/>
  <c r="EM104" i="25"/>
  <c r="EM101" i="25"/>
  <c r="EM102" i="25"/>
  <c r="EM25" i="25"/>
  <c r="EM64" i="25"/>
  <c r="EM49" i="25"/>
  <c r="EM23" i="25"/>
  <c r="EM72" i="25"/>
  <c r="EM40" i="25"/>
  <c r="EM74" i="25"/>
  <c r="EM87" i="25"/>
  <c r="EM73" i="25"/>
  <c r="EM84" i="25"/>
  <c r="EM90" i="25"/>
  <c r="EM96" i="25"/>
  <c r="EM50" i="25"/>
  <c r="EM12" i="25"/>
  <c r="EM54" i="25"/>
  <c r="EM21" i="25"/>
  <c r="EM71" i="25"/>
  <c r="EM33" i="25"/>
  <c r="EM34" i="25"/>
  <c r="EM68" i="25"/>
  <c r="EM86" i="25"/>
  <c r="EM36" i="25"/>
  <c r="EM31" i="25"/>
  <c r="EM29" i="25"/>
  <c r="EM46" i="25"/>
  <c r="EM61" i="25"/>
  <c r="EM79" i="25"/>
  <c r="EM51" i="25"/>
  <c r="EM15" i="25"/>
  <c r="EM80" i="25"/>
  <c r="EM94" i="25"/>
  <c r="EM48" i="25"/>
  <c r="EM27" i="25"/>
  <c r="EM93" i="25"/>
  <c r="EM99" i="25"/>
  <c r="EM75" i="25"/>
  <c r="EM18" i="25"/>
  <c r="EM41" i="25"/>
  <c r="EM47" i="25"/>
  <c r="EM95" i="25"/>
  <c r="EM58" i="25"/>
  <c r="EM70" i="25"/>
  <c r="EM62" i="25"/>
  <c r="EM32" i="25"/>
  <c r="EM19" i="25"/>
  <c r="EM52" i="25"/>
  <c r="EM76" i="25"/>
  <c r="EM100" i="25"/>
  <c r="EM43" i="25"/>
  <c r="EM78" i="25"/>
  <c r="EM17" i="25"/>
  <c r="EM88" i="25"/>
  <c r="EM9" i="25"/>
  <c r="EM59" i="25"/>
  <c r="EM10" i="25"/>
  <c r="EM56" i="25"/>
  <c r="EM82" i="25"/>
  <c r="EM38" i="25"/>
  <c r="EM39" i="25"/>
  <c r="EM69" i="25"/>
  <c r="EM20" i="25"/>
  <c r="EM55" i="25"/>
  <c r="EM65" i="25"/>
  <c r="EM16" i="25"/>
  <c r="EM13" i="25"/>
  <c r="EM103" i="25"/>
  <c r="EM6" i="25"/>
  <c r="EM85" i="25"/>
  <c r="EM57" i="25"/>
  <c r="EM14" i="25"/>
  <c r="EM81" i="25"/>
  <c r="EM24" i="25"/>
  <c r="EM7" i="25"/>
  <c r="EO73" i="24"/>
  <c r="EO44" i="24"/>
  <c r="EO94" i="24"/>
  <c r="EO48" i="24"/>
  <c r="EO12" i="24"/>
  <c r="EO23" i="24"/>
  <c r="EO46" i="24"/>
  <c r="EO87" i="24"/>
  <c r="EO105" i="24"/>
  <c r="EO55" i="24"/>
  <c r="EO103" i="24"/>
  <c r="EO49" i="24"/>
  <c r="EO85" i="24"/>
  <c r="EO86" i="24"/>
  <c r="EO54" i="24"/>
  <c r="EO27" i="24"/>
  <c r="EO81" i="24"/>
  <c r="EO40" i="24"/>
  <c r="EO9" i="24"/>
  <c r="EO59" i="24"/>
  <c r="EO70" i="24"/>
  <c r="EO17" i="24"/>
  <c r="EO38" i="24"/>
  <c r="EO80" i="24"/>
  <c r="EO101" i="24"/>
  <c r="EO37" i="24"/>
  <c r="EO28" i="24"/>
  <c r="EO26" i="24"/>
  <c r="EO61" i="24"/>
  <c r="EO67" i="24"/>
  <c r="EO97" i="24"/>
  <c r="EO98" i="24"/>
  <c r="EO71" i="24"/>
  <c r="EO69" i="24"/>
  <c r="EO93" i="24"/>
  <c r="EO58" i="24"/>
  <c r="EO78" i="24"/>
  <c r="EO16" i="24"/>
  <c r="EO79" i="24"/>
  <c r="EO25" i="24"/>
  <c r="EO36" i="24"/>
  <c r="EO39" i="24"/>
  <c r="EO50" i="24"/>
  <c r="EO92" i="24"/>
  <c r="EO64" i="24"/>
  <c r="EO68" i="24"/>
  <c r="EO60" i="24"/>
  <c r="EO6" i="24"/>
  <c r="EO65" i="24"/>
  <c r="EO75" i="24"/>
  <c r="EO29" i="24"/>
  <c r="EO7" i="24"/>
  <c r="EO33" i="24"/>
  <c r="EO5" i="24"/>
  <c r="EO34" i="24"/>
  <c r="EO63" i="24"/>
  <c r="EO53" i="24"/>
  <c r="EO43" i="24"/>
  <c r="EO42" i="24"/>
  <c r="EO62" i="24"/>
  <c r="EO32" i="24"/>
  <c r="EO10" i="24"/>
  <c r="EO57" i="24"/>
  <c r="EO102" i="24"/>
  <c r="EO56" i="24"/>
  <c r="EO83" i="24"/>
  <c r="EO74" i="24"/>
  <c r="EO104" i="24"/>
  <c r="EO77" i="24"/>
  <c r="EO20" i="24"/>
  <c r="EO90" i="24"/>
  <c r="EO14" i="24"/>
  <c r="EO47" i="24"/>
  <c r="EO66" i="24"/>
  <c r="EO95" i="24"/>
  <c r="EO11" i="24"/>
  <c r="EO76" i="24"/>
  <c r="EO15" i="24"/>
  <c r="EO41" i="24"/>
  <c r="EO72" i="24"/>
  <c r="EO31" i="24"/>
  <c r="EO45" i="24"/>
  <c r="EO82" i="24"/>
  <c r="EO35" i="24"/>
  <c r="EO24" i="24"/>
  <c r="EO100" i="24"/>
  <c r="EO8" i="24"/>
  <c r="EO52" i="24"/>
  <c r="EO21" i="24"/>
  <c r="EO96" i="24"/>
  <c r="EO22" i="24"/>
  <c r="EO30" i="24"/>
  <c r="EO88" i="24"/>
  <c r="EO99" i="24"/>
  <c r="EO19" i="24"/>
  <c r="EO18" i="24"/>
  <c r="EO89" i="24"/>
  <c r="EO13" i="24"/>
  <c r="EO51" i="24"/>
  <c r="EO84" i="24"/>
  <c r="EO91" i="24"/>
  <c r="B95" i="2"/>
  <c r="L29" i="1"/>
  <c r="B72" i="2"/>
  <c r="CN212" i="25"/>
  <c r="CR212" i="25" s="1"/>
  <c r="CM212" i="24"/>
  <c r="EO212" i="24" s="1"/>
  <c r="L88" i="2"/>
  <c r="G325" i="25"/>
  <c r="G325" i="24"/>
  <c r="N325" i="25"/>
  <c r="E68" i="1"/>
  <c r="E70" i="1" s="1"/>
  <c r="G322" i="25"/>
  <c r="G322" i="24"/>
  <c r="I325" i="24"/>
  <c r="I325" i="25"/>
  <c r="P325" i="25"/>
  <c r="E26" i="1"/>
  <c r="CN112" i="25"/>
  <c r="CP112" i="25" s="1"/>
  <c r="CP12" i="25"/>
  <c r="CP20" i="25"/>
  <c r="CP28" i="25"/>
  <c r="CP36" i="25"/>
  <c r="CP44" i="25"/>
  <c r="CP52" i="25"/>
  <c r="CP60" i="25"/>
  <c r="CP68" i="25"/>
  <c r="CP76" i="25"/>
  <c r="CP84" i="25"/>
  <c r="CP92" i="25"/>
  <c r="CP100" i="25"/>
  <c r="CP19" i="25"/>
  <c r="CP75" i="25"/>
  <c r="CP13" i="25"/>
  <c r="CP21" i="25"/>
  <c r="CP29" i="25"/>
  <c r="CP37" i="25"/>
  <c r="CP45" i="25"/>
  <c r="CP53" i="25"/>
  <c r="CP61" i="25"/>
  <c r="CP69" i="25"/>
  <c r="CP77" i="25"/>
  <c r="CP85" i="25"/>
  <c r="CP93" i="25"/>
  <c r="CP101" i="25"/>
  <c r="CP11" i="25"/>
  <c r="CP59" i="25"/>
  <c r="CP5" i="25"/>
  <c r="CP6" i="25"/>
  <c r="CP14" i="25"/>
  <c r="CP22" i="25"/>
  <c r="CP30" i="25"/>
  <c r="CP38" i="25"/>
  <c r="CP46" i="25"/>
  <c r="CP54" i="25"/>
  <c r="CP62" i="25"/>
  <c r="CP70" i="25"/>
  <c r="CP78" i="25"/>
  <c r="CP86" i="25"/>
  <c r="CP94" i="25"/>
  <c r="CP102" i="25"/>
  <c r="CP35" i="25"/>
  <c r="CP83" i="25"/>
  <c r="CP7" i="25"/>
  <c r="CP15" i="25"/>
  <c r="CP23" i="25"/>
  <c r="CP31" i="25"/>
  <c r="CP39" i="25"/>
  <c r="CP47" i="25"/>
  <c r="CP55" i="25"/>
  <c r="CP63" i="25"/>
  <c r="CP71" i="25"/>
  <c r="CP79" i="25"/>
  <c r="CP87" i="25"/>
  <c r="CP95" i="25"/>
  <c r="CP103" i="25"/>
  <c r="CP51" i="25"/>
  <c r="CP8" i="25"/>
  <c r="CP16" i="25"/>
  <c r="CP24" i="25"/>
  <c r="CP32" i="25"/>
  <c r="CP40" i="25"/>
  <c r="CP48" i="25"/>
  <c r="CP56" i="25"/>
  <c r="CP64" i="25"/>
  <c r="CP72" i="25"/>
  <c r="CP80" i="25"/>
  <c r="CP88" i="25"/>
  <c r="CP96" i="25"/>
  <c r="CP104" i="25"/>
  <c r="CP43" i="25"/>
  <c r="CP99" i="25"/>
  <c r="CP9" i="25"/>
  <c r="CP17" i="25"/>
  <c r="CP25" i="25"/>
  <c r="CP33" i="25"/>
  <c r="CP41" i="25"/>
  <c r="CP49" i="25"/>
  <c r="CP57" i="25"/>
  <c r="CP65" i="25"/>
  <c r="CP73" i="25"/>
  <c r="CP81" i="25"/>
  <c r="CP89" i="25"/>
  <c r="CP97" i="25"/>
  <c r="CP105" i="25"/>
  <c r="CP27" i="25"/>
  <c r="CP91" i="25"/>
  <c r="CP10" i="25"/>
  <c r="CP18" i="25"/>
  <c r="CP26" i="25"/>
  <c r="CP34" i="25"/>
  <c r="CP42" i="25"/>
  <c r="CP50" i="25"/>
  <c r="CP58" i="25"/>
  <c r="CP66" i="25"/>
  <c r="CP74" i="25"/>
  <c r="CP82" i="25"/>
  <c r="CP90" i="25"/>
  <c r="CP98" i="25"/>
  <c r="CR5" i="25"/>
  <c r="CP67" i="25"/>
  <c r="R49" i="2"/>
  <c r="B76" i="2"/>
  <c r="B99" i="2"/>
  <c r="B69" i="2"/>
  <c r="CQ2" i="24"/>
  <c r="CW5" i="24"/>
  <c r="CX5" i="24" s="1"/>
  <c r="FL106" i="24"/>
  <c r="FL107" i="24"/>
  <c r="FL108" i="24"/>
  <c r="Y13" i="2"/>
  <c r="B82" i="2"/>
  <c r="CN207" i="25"/>
  <c r="EM207" i="25" s="1"/>
  <c r="CN203" i="25"/>
  <c r="EM203" i="25" s="1"/>
  <c r="CN199" i="25"/>
  <c r="EM199" i="25" s="1"/>
  <c r="CN195" i="25"/>
  <c r="EM195" i="25" s="1"/>
  <c r="CN191" i="25"/>
  <c r="EM191" i="25" s="1"/>
  <c r="CN187" i="25"/>
  <c r="EM187" i="25" s="1"/>
  <c r="CN179" i="25"/>
  <c r="EM179" i="25" s="1"/>
  <c r="CN171" i="25"/>
  <c r="EM171" i="25" s="1"/>
  <c r="CN164" i="25"/>
  <c r="EM164" i="25" s="1"/>
  <c r="CN156" i="25"/>
  <c r="EM156" i="25" s="1"/>
  <c r="CN144" i="25"/>
  <c r="EM144" i="25" s="1"/>
  <c r="CN136" i="25"/>
  <c r="EM136" i="25" s="1"/>
  <c r="CN130" i="25"/>
  <c r="EM130" i="25" s="1"/>
  <c r="CN126" i="25"/>
  <c r="EM126" i="25" s="1"/>
  <c r="CN122" i="25"/>
  <c r="EM122" i="25" s="1"/>
  <c r="CN118" i="25"/>
  <c r="EM118" i="25" s="1"/>
  <c r="CN114" i="25"/>
  <c r="EM114" i="25" s="1"/>
  <c r="CN186" i="25"/>
  <c r="EM186" i="25" s="1"/>
  <c r="CN178" i="25"/>
  <c r="EM178" i="25" s="1"/>
  <c r="CN170" i="25"/>
  <c r="EM170" i="25" s="1"/>
  <c r="CN163" i="25"/>
  <c r="EM163" i="25" s="1"/>
  <c r="CN150" i="25"/>
  <c r="EM150" i="25" s="1"/>
  <c r="CN143" i="25"/>
  <c r="EM143" i="25" s="1"/>
  <c r="CN135" i="25"/>
  <c r="EM135" i="25" s="1"/>
  <c r="CN210" i="25"/>
  <c r="EM210" i="25" s="1"/>
  <c r="CN206" i="25"/>
  <c r="EM206" i="25" s="1"/>
  <c r="CN202" i="25"/>
  <c r="EM202" i="25" s="1"/>
  <c r="CN198" i="25"/>
  <c r="EM198" i="25" s="1"/>
  <c r="CN194" i="25"/>
  <c r="EM194" i="25" s="1"/>
  <c r="CN190" i="25"/>
  <c r="EM190" i="25" s="1"/>
  <c r="CN185" i="25"/>
  <c r="EM185" i="25" s="1"/>
  <c r="CN177" i="25"/>
  <c r="EM177" i="25" s="1"/>
  <c r="CN169" i="25"/>
  <c r="EM169" i="25" s="1"/>
  <c r="CN162" i="25"/>
  <c r="EM162" i="25" s="1"/>
  <c r="CN155" i="25"/>
  <c r="EM155" i="25" s="1"/>
  <c r="CN142" i="25"/>
  <c r="EM142" i="25" s="1"/>
  <c r="CN134" i="25"/>
  <c r="EM134" i="25" s="1"/>
  <c r="CN129" i="25"/>
  <c r="EM129" i="25" s="1"/>
  <c r="CN125" i="25"/>
  <c r="EM125" i="25" s="1"/>
  <c r="CN121" i="25"/>
  <c r="EM121" i="25" s="1"/>
  <c r="CN117" i="25"/>
  <c r="EM117" i="25" s="1"/>
  <c r="CN113" i="25"/>
  <c r="EM113" i="25" s="1"/>
  <c r="CN110" i="25"/>
  <c r="EM110" i="25" s="1"/>
  <c r="CN184" i="25"/>
  <c r="EM184" i="25" s="1"/>
  <c r="CN176" i="25"/>
  <c r="EM176" i="25" s="1"/>
  <c r="CN168" i="25"/>
  <c r="EM168" i="25" s="1"/>
  <c r="CN161" i="25"/>
  <c r="EM161" i="25" s="1"/>
  <c r="CN154" i="25"/>
  <c r="EM154" i="25" s="1"/>
  <c r="CN149" i="25"/>
  <c r="EM149" i="25" s="1"/>
  <c r="CN141" i="25"/>
  <c r="EM141" i="25" s="1"/>
  <c r="CN133" i="25"/>
  <c r="EM133" i="25" s="1"/>
  <c r="CN209" i="25"/>
  <c r="EM209" i="25" s="1"/>
  <c r="CN205" i="25"/>
  <c r="EM205" i="25" s="1"/>
  <c r="CN201" i="25"/>
  <c r="EM201" i="25" s="1"/>
  <c r="CN197" i="25"/>
  <c r="EM197" i="25" s="1"/>
  <c r="CN193" i="25"/>
  <c r="EM193" i="25" s="1"/>
  <c r="CN189" i="25"/>
  <c r="EM189" i="25" s="1"/>
  <c r="CN183" i="25"/>
  <c r="EM183" i="25" s="1"/>
  <c r="CN175" i="25"/>
  <c r="EM175" i="25" s="1"/>
  <c r="CN167" i="25"/>
  <c r="EM167" i="25" s="1"/>
  <c r="CN160" i="25"/>
  <c r="EM160" i="25" s="1"/>
  <c r="CN148" i="25"/>
  <c r="EM148" i="25" s="1"/>
  <c r="CN140" i="25"/>
  <c r="EM140" i="25" s="1"/>
  <c r="CN132" i="25"/>
  <c r="EM132" i="25" s="1"/>
  <c r="CN128" i="25"/>
  <c r="EM128" i="25" s="1"/>
  <c r="CN124" i="25"/>
  <c r="EM124" i="25" s="1"/>
  <c r="CN120" i="25"/>
  <c r="EM120" i="25" s="1"/>
  <c r="CN116" i="25"/>
  <c r="EM116" i="25" s="1"/>
  <c r="CN182" i="25"/>
  <c r="EM182" i="25" s="1"/>
  <c r="CN174" i="25"/>
  <c r="EM174" i="25" s="1"/>
  <c r="CN166" i="25"/>
  <c r="EM166" i="25" s="1"/>
  <c r="CN159" i="25"/>
  <c r="EM159" i="25" s="1"/>
  <c r="CN153" i="25"/>
  <c r="EM153" i="25" s="1"/>
  <c r="CN147" i="25"/>
  <c r="EM147" i="25" s="1"/>
  <c r="CN139" i="25"/>
  <c r="EM139" i="25" s="1"/>
  <c r="CN208" i="25"/>
  <c r="EM208" i="25" s="1"/>
  <c r="CN204" i="25"/>
  <c r="EM204" i="25" s="1"/>
  <c r="CN200" i="25"/>
  <c r="EM200" i="25" s="1"/>
  <c r="CN196" i="25"/>
  <c r="EM196" i="25" s="1"/>
  <c r="CN192" i="25"/>
  <c r="EM192" i="25" s="1"/>
  <c r="CN188" i="25"/>
  <c r="EM188" i="25" s="1"/>
  <c r="CN181" i="25"/>
  <c r="EM181" i="25" s="1"/>
  <c r="CN173" i="25"/>
  <c r="EM173" i="25" s="1"/>
  <c r="CN165" i="25"/>
  <c r="EM165" i="25" s="1"/>
  <c r="CN158" i="25"/>
  <c r="EM158" i="25" s="1"/>
  <c r="CN152" i="25"/>
  <c r="EM152" i="25" s="1"/>
  <c r="CN146" i="25"/>
  <c r="EM146" i="25" s="1"/>
  <c r="CN138" i="25"/>
  <c r="EM138" i="25" s="1"/>
  <c r="CN131" i="25"/>
  <c r="EM131" i="25" s="1"/>
  <c r="CN127" i="25"/>
  <c r="EM127" i="25" s="1"/>
  <c r="CN123" i="25"/>
  <c r="EM123" i="25" s="1"/>
  <c r="CN119" i="25"/>
  <c r="EM119" i="25" s="1"/>
  <c r="CN115" i="25"/>
  <c r="EM115" i="25" s="1"/>
  <c r="CN111" i="25"/>
  <c r="EM111" i="25" s="1"/>
  <c r="CN180" i="25"/>
  <c r="EM180" i="25" s="1"/>
  <c r="CN172" i="25"/>
  <c r="EM172" i="25" s="1"/>
  <c r="CN157" i="25"/>
  <c r="EM157" i="25" s="1"/>
  <c r="CN151" i="25"/>
  <c r="EM151" i="25" s="1"/>
  <c r="CN145" i="25"/>
  <c r="EM145" i="25" s="1"/>
  <c r="CN137" i="25"/>
  <c r="EM137" i="25" s="1"/>
  <c r="CM209" i="24"/>
  <c r="EO209" i="24" s="1"/>
  <c r="CM204" i="24"/>
  <c r="EO204" i="24" s="1"/>
  <c r="CM197" i="24"/>
  <c r="EO197" i="24" s="1"/>
  <c r="CM192" i="24"/>
  <c r="EO192" i="24" s="1"/>
  <c r="CM181" i="24"/>
  <c r="EO181" i="24" s="1"/>
  <c r="CM176" i="24"/>
  <c r="EO176" i="24" s="1"/>
  <c r="CM170" i="24"/>
  <c r="EO170" i="24" s="1"/>
  <c r="CM159" i="24"/>
  <c r="EO159" i="24" s="1"/>
  <c r="CM154" i="24"/>
  <c r="EO154" i="24" s="1"/>
  <c r="CM149" i="24"/>
  <c r="EO149" i="24" s="1"/>
  <c r="CM144" i="24"/>
  <c r="EO144" i="24" s="1"/>
  <c r="CM138" i="24"/>
  <c r="EO138" i="24" s="1"/>
  <c r="CM121" i="24"/>
  <c r="EO121" i="24" s="1"/>
  <c r="CM115" i="24"/>
  <c r="EO115" i="24" s="1"/>
  <c r="CM208" i="24"/>
  <c r="EO208" i="24" s="1"/>
  <c r="CM203" i="24"/>
  <c r="EO203" i="24" s="1"/>
  <c r="CM187" i="24"/>
  <c r="EO187" i="24" s="1"/>
  <c r="CM175" i="24"/>
  <c r="EO175" i="24" s="1"/>
  <c r="CM169" i="24"/>
  <c r="EO169" i="24" s="1"/>
  <c r="CM164" i="24"/>
  <c r="EO164" i="24" s="1"/>
  <c r="CM158" i="24"/>
  <c r="EO158" i="24" s="1"/>
  <c r="CM153" i="24"/>
  <c r="EO153" i="24" s="1"/>
  <c r="CM148" i="24"/>
  <c r="EO148" i="24" s="1"/>
  <c r="CM143" i="24"/>
  <c r="EO143" i="24" s="1"/>
  <c r="CM137" i="24"/>
  <c r="EO137" i="24" s="1"/>
  <c r="CM131" i="24"/>
  <c r="EO131" i="24" s="1"/>
  <c r="CM126" i="24"/>
  <c r="EO126" i="24" s="1"/>
  <c r="CM120" i="24"/>
  <c r="EO120" i="24" s="1"/>
  <c r="CM202" i="24"/>
  <c r="EO202" i="24" s="1"/>
  <c r="CM196" i="24"/>
  <c r="EO196" i="24" s="1"/>
  <c r="CM191" i="24"/>
  <c r="EO191" i="24" s="1"/>
  <c r="CM186" i="24"/>
  <c r="EO186" i="24" s="1"/>
  <c r="CM180" i="24"/>
  <c r="EO180" i="24" s="1"/>
  <c r="CM174" i="24"/>
  <c r="EO174" i="24" s="1"/>
  <c r="CM163" i="24"/>
  <c r="EO163" i="24" s="1"/>
  <c r="CM142" i="24"/>
  <c r="EO142" i="24" s="1"/>
  <c r="CM125" i="24"/>
  <c r="EO125" i="24" s="1"/>
  <c r="CM119" i="24"/>
  <c r="EO119" i="24" s="1"/>
  <c r="CM114" i="24"/>
  <c r="EO114" i="24" s="1"/>
  <c r="CM207" i="24"/>
  <c r="EO207" i="24" s="1"/>
  <c r="CM201" i="24"/>
  <c r="EO201" i="24" s="1"/>
  <c r="CM185" i="24"/>
  <c r="EO185" i="24" s="1"/>
  <c r="CM179" i="24"/>
  <c r="EO179" i="24" s="1"/>
  <c r="CM173" i="24"/>
  <c r="EO173" i="24" s="1"/>
  <c r="CM168" i="24"/>
  <c r="EO168" i="24" s="1"/>
  <c r="CM157" i="24"/>
  <c r="EO157" i="24" s="1"/>
  <c r="CM152" i="24"/>
  <c r="EO152" i="24" s="1"/>
  <c r="CM147" i="24"/>
  <c r="EO147" i="24" s="1"/>
  <c r="CM141" i="24"/>
  <c r="EO141" i="24" s="1"/>
  <c r="CM136" i="24"/>
  <c r="EO136" i="24" s="1"/>
  <c r="CM130" i="24"/>
  <c r="EO130" i="24" s="1"/>
  <c r="CM124" i="24"/>
  <c r="EO124" i="24" s="1"/>
  <c r="CM110" i="24"/>
  <c r="CO110" i="24" s="1"/>
  <c r="CM206" i="24"/>
  <c r="EO206" i="24" s="1"/>
  <c r="CM195" i="24"/>
  <c r="EO195" i="24" s="1"/>
  <c r="CM190" i="24"/>
  <c r="EO190" i="24" s="1"/>
  <c r="CM162" i="24"/>
  <c r="EO162" i="24" s="1"/>
  <c r="CM140" i="24"/>
  <c r="EO140" i="24" s="1"/>
  <c r="CM135" i="24"/>
  <c r="EO135" i="24" s="1"/>
  <c r="CM129" i="24"/>
  <c r="EO129" i="24" s="1"/>
  <c r="CM118" i="24"/>
  <c r="EO118" i="24" s="1"/>
  <c r="CM113" i="24"/>
  <c r="EO113" i="24" s="1"/>
  <c r="CM200" i="24"/>
  <c r="EO200" i="24" s="1"/>
  <c r="CM184" i="24"/>
  <c r="EO184" i="24" s="1"/>
  <c r="CM178" i="24"/>
  <c r="EO178" i="24" s="1"/>
  <c r="CM172" i="24"/>
  <c r="EO172" i="24" s="1"/>
  <c r="CM167" i="24"/>
  <c r="EO167" i="24" s="1"/>
  <c r="CM161" i="24"/>
  <c r="EO161" i="24" s="1"/>
  <c r="CM156" i="24"/>
  <c r="EO156" i="24" s="1"/>
  <c r="CM151" i="24"/>
  <c r="EO151" i="24" s="1"/>
  <c r="CM146" i="24"/>
  <c r="EO146" i="24" s="1"/>
  <c r="CM134" i="24"/>
  <c r="EO134" i="24" s="1"/>
  <c r="CM128" i="24"/>
  <c r="EO128" i="24" s="1"/>
  <c r="CM123" i="24"/>
  <c r="EO123" i="24" s="1"/>
  <c r="CM117" i="24"/>
  <c r="EO117" i="24" s="1"/>
  <c r="CM205" i="24"/>
  <c r="EO205" i="24" s="1"/>
  <c r="CM199" i="24"/>
  <c r="EO199" i="24" s="1"/>
  <c r="CM194" i="24"/>
  <c r="EO194" i="24" s="1"/>
  <c r="CM189" i="24"/>
  <c r="EO189" i="24" s="1"/>
  <c r="CM183" i="24"/>
  <c r="EO183" i="24" s="1"/>
  <c r="CM177" i="24"/>
  <c r="EO177" i="24" s="1"/>
  <c r="CM171" i="24"/>
  <c r="EO171" i="24" s="1"/>
  <c r="CM166" i="24"/>
  <c r="EO166" i="24" s="1"/>
  <c r="CM155" i="24"/>
  <c r="EO155" i="24" s="1"/>
  <c r="CM150" i="24"/>
  <c r="EO150" i="24" s="1"/>
  <c r="CM145" i="24"/>
  <c r="EO145" i="24" s="1"/>
  <c r="CM139" i="24"/>
  <c r="EO139" i="24" s="1"/>
  <c r="CM133" i="24"/>
  <c r="EO133" i="24" s="1"/>
  <c r="CM122" i="24"/>
  <c r="EO122" i="24" s="1"/>
  <c r="CM116" i="24"/>
  <c r="EO116" i="24" s="1"/>
  <c r="CM112" i="24"/>
  <c r="EO112" i="24" s="1"/>
  <c r="CM210" i="24"/>
  <c r="EO210" i="24" s="1"/>
  <c r="CM198" i="24"/>
  <c r="EO198" i="24" s="1"/>
  <c r="CM193" i="24"/>
  <c r="EO193" i="24" s="1"/>
  <c r="CM188" i="24"/>
  <c r="EO188" i="24" s="1"/>
  <c r="CM182" i="24"/>
  <c r="EO182" i="24" s="1"/>
  <c r="CM165" i="24"/>
  <c r="EO165" i="24" s="1"/>
  <c r="CM160" i="24"/>
  <c r="EO160" i="24" s="1"/>
  <c r="CM132" i="24"/>
  <c r="EO132" i="24" s="1"/>
  <c r="CM127" i="24"/>
  <c r="EO127" i="24" s="1"/>
  <c r="CM111" i="24"/>
  <c r="EO111" i="24" s="1"/>
  <c r="CL216" i="25"/>
  <c r="DL216" i="25" s="1"/>
  <c r="CL110" i="25"/>
  <c r="DL110" i="25" s="1"/>
  <c r="CL5" i="25"/>
  <c r="DL5" i="25" s="1"/>
  <c r="CL5" i="24"/>
  <c r="CL216" i="24"/>
  <c r="CL110" i="24"/>
  <c r="CR81" i="25"/>
  <c r="CR16" i="25"/>
  <c r="CR84" i="25"/>
  <c r="CR13" i="25"/>
  <c r="CR34" i="25"/>
  <c r="CR46" i="25"/>
  <c r="CR54" i="25"/>
  <c r="CR53" i="25"/>
  <c r="CR15" i="25"/>
  <c r="CR19" i="25"/>
  <c r="CR77" i="25"/>
  <c r="CR27" i="25"/>
  <c r="CR40" i="25"/>
  <c r="CR100" i="25"/>
  <c r="CO37" i="24"/>
  <c r="CQ78" i="24"/>
  <c r="CR78" i="24" s="1"/>
  <c r="CT78" i="24" s="1"/>
  <c r="CQ62" i="24"/>
  <c r="CR62" i="24" s="1"/>
  <c r="CT62" i="24" s="1"/>
  <c r="CQ38" i="24"/>
  <c r="CR38" i="24" s="1"/>
  <c r="CT38" i="24" s="1"/>
  <c r="CQ12" i="24"/>
  <c r="CR12" i="24" s="1"/>
  <c r="CT12" i="24" s="1"/>
  <c r="CO79" i="24"/>
  <c r="CQ87" i="24"/>
  <c r="CR87" i="24" s="1"/>
  <c r="CT87" i="24" s="1"/>
  <c r="CO23" i="24"/>
  <c r="CQ57" i="24"/>
  <c r="CR57" i="24" s="1"/>
  <c r="CT57" i="24" s="1"/>
  <c r="CQ33" i="24"/>
  <c r="CR33" i="24" s="1"/>
  <c r="CT33" i="24" s="1"/>
  <c r="CO52" i="24"/>
  <c r="CO25" i="24"/>
  <c r="CR66" i="25"/>
  <c r="CR10" i="25"/>
  <c r="CR21" i="25"/>
  <c r="CR26" i="25"/>
  <c r="CR44" i="25"/>
  <c r="CR79" i="25"/>
  <c r="CR85" i="25"/>
  <c r="CR91" i="25"/>
  <c r="CR52" i="25"/>
  <c r="CR31" i="25"/>
  <c r="CR51" i="25"/>
  <c r="CR48" i="25"/>
  <c r="CO24" i="24"/>
  <c r="CO5" i="24"/>
  <c r="CQ20" i="24"/>
  <c r="CR20" i="24" s="1"/>
  <c r="CT20" i="24" s="1"/>
  <c r="CQ46" i="24"/>
  <c r="CR46" i="24" s="1"/>
  <c r="CT46" i="24" s="1"/>
  <c r="CQ92" i="24"/>
  <c r="CR92" i="24" s="1"/>
  <c r="CT92" i="24" s="1"/>
  <c r="CQ85" i="24"/>
  <c r="CR85" i="24" s="1"/>
  <c r="CT85" i="24" s="1"/>
  <c r="CO28" i="24"/>
  <c r="CO51" i="24"/>
  <c r="CQ70" i="24"/>
  <c r="CR70" i="24" s="1"/>
  <c r="CT70" i="24" s="1"/>
  <c r="CQ71" i="24"/>
  <c r="CR71" i="24" s="1"/>
  <c r="CT71" i="24" s="1"/>
  <c r="CQ65" i="24"/>
  <c r="CR65" i="24" s="1"/>
  <c r="CT65" i="24" s="1"/>
  <c r="CQ49" i="24"/>
  <c r="CR49" i="24" s="1"/>
  <c r="CT49" i="24" s="1"/>
  <c r="CQ35" i="24"/>
  <c r="CR35" i="24" s="1"/>
  <c r="CT35" i="24" s="1"/>
  <c r="CQ22" i="24"/>
  <c r="CR22" i="24" s="1"/>
  <c r="CT22" i="24" s="1"/>
  <c r="CO39" i="24"/>
  <c r="CO93" i="24"/>
  <c r="CR64" i="25"/>
  <c r="CR96" i="25"/>
  <c r="CR18" i="25"/>
  <c r="CR80" i="25"/>
  <c r="CR65" i="25"/>
  <c r="CR73" i="25"/>
  <c r="CR30" i="25"/>
  <c r="CR62" i="25"/>
  <c r="CR75" i="25"/>
  <c r="CR17" i="25"/>
  <c r="CR76" i="25"/>
  <c r="CR67" i="25"/>
  <c r="CR23" i="25"/>
  <c r="CR43" i="25"/>
  <c r="CR11" i="25"/>
  <c r="CQ103" i="24"/>
  <c r="CR103" i="24" s="1"/>
  <c r="CT103" i="24" s="1"/>
  <c r="CQ14" i="24"/>
  <c r="CR14" i="24" s="1"/>
  <c r="CT14" i="24" s="1"/>
  <c r="CO77" i="24"/>
  <c r="CO34" i="24"/>
  <c r="CQ91" i="24"/>
  <c r="CR91" i="24" s="1"/>
  <c r="CT91" i="24" s="1"/>
  <c r="CO68" i="24"/>
  <c r="CO102" i="24"/>
  <c r="CO67" i="24"/>
  <c r="CO14" i="24"/>
  <c r="CO59" i="24"/>
  <c r="CO21" i="24"/>
  <c r="CO71" i="24"/>
  <c r="CQ17" i="24"/>
  <c r="CR17" i="24" s="1"/>
  <c r="CT17" i="24" s="1"/>
  <c r="CO41" i="24"/>
  <c r="CO94" i="24"/>
  <c r="CO10" i="24"/>
  <c r="CR49" i="25"/>
  <c r="CR102" i="25"/>
  <c r="CR70" i="25"/>
  <c r="CR9" i="25"/>
  <c r="CR72" i="25"/>
  <c r="CR14" i="25"/>
  <c r="CR63" i="25"/>
  <c r="CR45" i="25"/>
  <c r="CR28" i="25"/>
  <c r="CR37" i="25"/>
  <c r="CO96" i="24"/>
  <c r="CO81" i="24"/>
  <c r="CQ42" i="24"/>
  <c r="CR42" i="24" s="1"/>
  <c r="CT42" i="24" s="1"/>
  <c r="CQ27" i="24"/>
  <c r="CR27" i="24" s="1"/>
  <c r="CT27" i="24" s="1"/>
  <c r="CO62" i="24"/>
  <c r="CO55" i="24"/>
  <c r="CO84" i="24"/>
  <c r="CQ86" i="24"/>
  <c r="CR86" i="24" s="1"/>
  <c r="CT86" i="24" s="1"/>
  <c r="CO60" i="24"/>
  <c r="CQ73" i="24"/>
  <c r="CR73" i="24" s="1"/>
  <c r="CT73" i="24" s="1"/>
  <c r="CQ82" i="24"/>
  <c r="CR82" i="24" s="1"/>
  <c r="CT82" i="24" s="1"/>
  <c r="CR42" i="25"/>
  <c r="CR38" i="25"/>
  <c r="CR61" i="25"/>
  <c r="CR105" i="25"/>
  <c r="CR68" i="25"/>
  <c r="CR6" i="25"/>
  <c r="CX6" i="25" s="1"/>
  <c r="CY6" i="25" s="1"/>
  <c r="CR41" i="25"/>
  <c r="CR59" i="25"/>
  <c r="CR94" i="25"/>
  <c r="CR78" i="25"/>
  <c r="CR47" i="25"/>
  <c r="CR83" i="25"/>
  <c r="CO89" i="24"/>
  <c r="CQ5" i="24"/>
  <c r="CY5" i="24" s="1"/>
  <c r="CO15" i="24"/>
  <c r="CO88" i="24"/>
  <c r="CQ45" i="24"/>
  <c r="CR45" i="24" s="1"/>
  <c r="CT45" i="24" s="1"/>
  <c r="CQ105" i="24"/>
  <c r="CR105" i="24" s="1"/>
  <c r="CT105" i="24" s="1"/>
  <c r="CQ40" i="24"/>
  <c r="CR40" i="24" s="1"/>
  <c r="CT40" i="24" s="1"/>
  <c r="CQ68" i="24"/>
  <c r="CR68" i="24" s="1"/>
  <c r="CT68" i="24" s="1"/>
  <c r="CO33" i="24"/>
  <c r="CR35" i="25"/>
  <c r="CR101" i="25"/>
  <c r="CR57" i="25"/>
  <c r="CR60" i="25"/>
  <c r="CR97" i="25"/>
  <c r="CR92" i="25"/>
  <c r="CR25" i="25"/>
  <c r="CR88" i="25"/>
  <c r="CR58" i="25"/>
  <c r="CR56" i="25"/>
  <c r="CR32" i="25"/>
  <c r="CR12" i="25"/>
  <c r="CR71" i="25"/>
  <c r="CR87" i="25"/>
  <c r="CR36" i="25"/>
  <c r="CR24" i="25"/>
  <c r="CR39" i="25"/>
  <c r="CR95" i="25"/>
  <c r="CR55" i="25"/>
  <c r="CQ74" i="24"/>
  <c r="CR74" i="24" s="1"/>
  <c r="CT74" i="24" s="1"/>
  <c r="CO30" i="24"/>
  <c r="CQ37" i="24"/>
  <c r="CR37" i="24" s="1"/>
  <c r="CT37" i="24" s="1"/>
  <c r="CO100" i="24"/>
  <c r="CO58" i="24"/>
  <c r="CO29" i="24"/>
  <c r="CO19" i="24"/>
  <c r="CO17" i="24"/>
  <c r="CQ96" i="24"/>
  <c r="CR96" i="24" s="1"/>
  <c r="CT96" i="24" s="1"/>
  <c r="CQ48" i="24"/>
  <c r="CR48" i="24" s="1"/>
  <c r="CT48" i="24" s="1"/>
  <c r="CO80" i="24"/>
  <c r="CO104" i="24"/>
  <c r="CO99" i="24"/>
  <c r="CO54" i="24"/>
  <c r="CQ81" i="24"/>
  <c r="CR81" i="24" s="1"/>
  <c r="CT81" i="24" s="1"/>
  <c r="CO50" i="24"/>
  <c r="CO87" i="24"/>
  <c r="CR50" i="25"/>
  <c r="CR69" i="25"/>
  <c r="CQ11" i="24"/>
  <c r="CR11" i="24" s="1"/>
  <c r="CT11" i="24" s="1"/>
  <c r="CO82" i="24"/>
  <c r="CQ39" i="24"/>
  <c r="CR39" i="24" s="1"/>
  <c r="CT39" i="24" s="1"/>
  <c r="CQ60" i="24"/>
  <c r="CR60" i="24" s="1"/>
  <c r="CT60" i="24" s="1"/>
  <c r="CO11" i="24"/>
  <c r="CQ56" i="24"/>
  <c r="CR56" i="24" s="1"/>
  <c r="CT56" i="24" s="1"/>
  <c r="CQ13" i="24"/>
  <c r="CR13" i="24" s="1"/>
  <c r="CT13" i="24" s="1"/>
  <c r="CO66" i="24"/>
  <c r="CO91" i="24"/>
  <c r="CQ94" i="24"/>
  <c r="CR94" i="24" s="1"/>
  <c r="CT94" i="24" s="1"/>
  <c r="CQ10" i="24"/>
  <c r="CR10" i="24" s="1"/>
  <c r="CT10" i="24" s="1"/>
  <c r="CO78" i="24"/>
  <c r="CQ30" i="24"/>
  <c r="CR30" i="24" s="1"/>
  <c r="CT30" i="24" s="1"/>
  <c r="CQ26" i="24"/>
  <c r="CR26" i="24" s="1"/>
  <c r="CT26" i="24" s="1"/>
  <c r="CO98" i="24"/>
  <c r="CQ34" i="24"/>
  <c r="CR34" i="24" s="1"/>
  <c r="CT34" i="24" s="1"/>
  <c r="CO76" i="24"/>
  <c r="CO13" i="24"/>
  <c r="CR89" i="25"/>
  <c r="CO6" i="24"/>
  <c r="CO43" i="24"/>
  <c r="CQ51" i="24"/>
  <c r="CR51" i="24" s="1"/>
  <c r="CT51" i="24" s="1"/>
  <c r="CO72" i="24"/>
  <c r="CQ24" i="24"/>
  <c r="CR24" i="24" s="1"/>
  <c r="CT24" i="24" s="1"/>
  <c r="CQ61" i="24"/>
  <c r="CR61" i="24" s="1"/>
  <c r="CT61" i="24" s="1"/>
  <c r="CO9" i="24"/>
  <c r="CR20" i="25"/>
  <c r="CQ104" i="24"/>
  <c r="CR104" i="24" s="1"/>
  <c r="CT104" i="24" s="1"/>
  <c r="CO44" i="24"/>
  <c r="CQ23" i="24"/>
  <c r="CR23" i="24" s="1"/>
  <c r="CT23" i="24" s="1"/>
  <c r="CQ53" i="24"/>
  <c r="CR53" i="24" s="1"/>
  <c r="CT53" i="24" s="1"/>
  <c r="CO69" i="24"/>
  <c r="CQ44" i="24"/>
  <c r="CR44" i="24" s="1"/>
  <c r="CT44" i="24" s="1"/>
  <c r="CO26" i="24"/>
  <c r="CQ31" i="24"/>
  <c r="CR31" i="24" s="1"/>
  <c r="CT31" i="24" s="1"/>
  <c r="CQ7" i="24"/>
  <c r="CR7" i="24" s="1"/>
  <c r="CT7" i="24" s="1"/>
  <c r="CR22" i="25"/>
  <c r="CR82" i="25"/>
  <c r="CR33" i="25"/>
  <c r="CR98" i="25"/>
  <c r="CO57" i="24"/>
  <c r="CO40" i="24"/>
  <c r="CO45" i="24"/>
  <c r="CQ76" i="24"/>
  <c r="CR76" i="24" s="1"/>
  <c r="CT76" i="24" s="1"/>
  <c r="CQ66" i="24"/>
  <c r="CR66" i="24" s="1"/>
  <c r="CT66" i="24" s="1"/>
  <c r="CQ88" i="24"/>
  <c r="CR88" i="24" s="1"/>
  <c r="CT88" i="24" s="1"/>
  <c r="CO42" i="24"/>
  <c r="CO16" i="24"/>
  <c r="CQ90" i="24"/>
  <c r="CR90" i="24" s="1"/>
  <c r="CT90" i="24" s="1"/>
  <c r="CO65" i="24"/>
  <c r="CO64" i="24"/>
  <c r="CQ47" i="24"/>
  <c r="CR47" i="24" s="1"/>
  <c r="CT47" i="24" s="1"/>
  <c r="CO8" i="24"/>
  <c r="CQ95" i="24"/>
  <c r="CR95" i="24" s="1"/>
  <c r="CT95" i="24" s="1"/>
  <c r="CQ32" i="24"/>
  <c r="CR32" i="24" s="1"/>
  <c r="CT32" i="24" s="1"/>
  <c r="CR7" i="25"/>
  <c r="CX7" i="25" s="1"/>
  <c r="CY7" i="25" s="1"/>
  <c r="CQ25" i="24"/>
  <c r="CR25" i="24" s="1"/>
  <c r="CT25" i="24" s="1"/>
  <c r="CO31" i="24"/>
  <c r="CQ15" i="24"/>
  <c r="CR15" i="24" s="1"/>
  <c r="CT15" i="24" s="1"/>
  <c r="CQ99" i="24"/>
  <c r="CR99" i="24" s="1"/>
  <c r="CT99" i="24" s="1"/>
  <c r="CQ100" i="24"/>
  <c r="CR100" i="24" s="1"/>
  <c r="CT100" i="24" s="1"/>
  <c r="CO12" i="24"/>
  <c r="CO85" i="24"/>
  <c r="CO7" i="24"/>
  <c r="CO105" i="24"/>
  <c r="CR104" i="25"/>
  <c r="CQ75" i="24"/>
  <c r="CR75" i="24" s="1"/>
  <c r="CT75" i="24" s="1"/>
  <c r="CQ16" i="24"/>
  <c r="CR16" i="24" s="1"/>
  <c r="CT16" i="24" s="1"/>
  <c r="CO74" i="24"/>
  <c r="CO97" i="24"/>
  <c r="CQ102" i="24"/>
  <c r="CR102" i="24" s="1"/>
  <c r="CT102" i="24" s="1"/>
  <c r="CR99" i="25"/>
  <c r="CR103" i="25"/>
  <c r="CO32" i="24"/>
  <c r="CQ36" i="24"/>
  <c r="CR36" i="24" s="1"/>
  <c r="CT36" i="24" s="1"/>
  <c r="CQ19" i="24"/>
  <c r="CR19" i="24" s="1"/>
  <c r="CT19" i="24" s="1"/>
  <c r="CO27" i="24"/>
  <c r="CQ55" i="24"/>
  <c r="CR55" i="24" s="1"/>
  <c r="CT55" i="24" s="1"/>
  <c r="CO95" i="24"/>
  <c r="CQ54" i="24"/>
  <c r="CR54" i="24" s="1"/>
  <c r="CT54" i="24" s="1"/>
  <c r="CO75" i="24"/>
  <c r="CO103" i="24"/>
  <c r="CQ64" i="24"/>
  <c r="CR64" i="24" s="1"/>
  <c r="CT64" i="24" s="1"/>
  <c r="CQ77" i="24"/>
  <c r="CR77" i="24" s="1"/>
  <c r="CT77" i="24" s="1"/>
  <c r="CO86" i="24"/>
  <c r="CO70" i="24"/>
  <c r="CO46" i="24"/>
  <c r="CQ97" i="24"/>
  <c r="CR97" i="24" s="1"/>
  <c r="CT97" i="24" s="1"/>
  <c r="CQ21" i="24"/>
  <c r="CR21" i="24" s="1"/>
  <c r="CT21" i="24" s="1"/>
  <c r="CO83" i="24"/>
  <c r="CQ89" i="24"/>
  <c r="CR89" i="24" s="1"/>
  <c r="CT89" i="24" s="1"/>
  <c r="CO22" i="24"/>
  <c r="CQ50" i="24"/>
  <c r="CR50" i="24" s="1"/>
  <c r="CT50" i="24" s="1"/>
  <c r="CO36" i="24"/>
  <c r="CO47" i="24"/>
  <c r="CR93" i="25"/>
  <c r="CR74" i="25"/>
  <c r="CQ6" i="24"/>
  <c r="CR6" i="24" s="1"/>
  <c r="CT6" i="24" s="1"/>
  <c r="CQ83" i="24"/>
  <c r="CR83" i="24" s="1"/>
  <c r="CT83" i="24" s="1"/>
  <c r="CQ80" i="24"/>
  <c r="CR80" i="24" s="1"/>
  <c r="CT80" i="24" s="1"/>
  <c r="CQ52" i="24"/>
  <c r="CR52" i="24" s="1"/>
  <c r="CT52" i="24" s="1"/>
  <c r="CQ98" i="24"/>
  <c r="CR98" i="24" s="1"/>
  <c r="CT98" i="24" s="1"/>
  <c r="CQ59" i="24"/>
  <c r="CR59" i="24" s="1"/>
  <c r="CT59" i="24" s="1"/>
  <c r="CO38" i="24"/>
  <c r="CO90" i="24"/>
  <c r="CO53" i="24"/>
  <c r="CR8" i="25"/>
  <c r="CR86" i="25"/>
  <c r="CQ58" i="24"/>
  <c r="CR58" i="24" s="1"/>
  <c r="CT58" i="24" s="1"/>
  <c r="CO61" i="24"/>
  <c r="CQ43" i="24"/>
  <c r="CR43" i="24" s="1"/>
  <c r="CT43" i="24" s="1"/>
  <c r="CQ84" i="24"/>
  <c r="CR84" i="24" s="1"/>
  <c r="CT84" i="24" s="1"/>
  <c r="CO35" i="24"/>
  <c r="CQ41" i="24"/>
  <c r="CR41" i="24" s="1"/>
  <c r="CT41" i="24" s="1"/>
  <c r="CQ29" i="24"/>
  <c r="CR29" i="24" s="1"/>
  <c r="CT29" i="24" s="1"/>
  <c r="CO48" i="24"/>
  <c r="CQ93" i="24"/>
  <c r="CR93" i="24" s="1"/>
  <c r="CT93" i="24" s="1"/>
  <c r="CO56" i="24"/>
  <c r="CQ18" i="24"/>
  <c r="CR18" i="24" s="1"/>
  <c r="CT18" i="24" s="1"/>
  <c r="CO101" i="24"/>
  <c r="CO20" i="24"/>
  <c r="CO18" i="24"/>
  <c r="CQ67" i="24"/>
  <c r="CR67" i="24" s="1"/>
  <c r="CT67" i="24" s="1"/>
  <c r="CR29" i="25"/>
  <c r="CR90" i="25"/>
  <c r="CQ101" i="24"/>
  <c r="CR101" i="24" s="1"/>
  <c r="CT101" i="24" s="1"/>
  <c r="CQ69" i="24"/>
  <c r="CR69" i="24" s="1"/>
  <c r="CT69" i="24" s="1"/>
  <c r="CQ9" i="24"/>
  <c r="CR9" i="24" s="1"/>
  <c r="CT9" i="24" s="1"/>
  <c r="CO73" i="24"/>
  <c r="CO63" i="24"/>
  <c r="CQ8" i="24"/>
  <c r="CR8" i="24" s="1"/>
  <c r="CT8" i="24" s="1"/>
  <c r="CQ63" i="24"/>
  <c r="CR63" i="24" s="1"/>
  <c r="CT63" i="24" s="1"/>
  <c r="CQ72" i="24"/>
  <c r="CR72" i="24" s="1"/>
  <c r="CT72" i="24" s="1"/>
  <c r="CQ28" i="24"/>
  <c r="CR28" i="24" s="1"/>
  <c r="CT28" i="24" s="1"/>
  <c r="CO92" i="24"/>
  <c r="CO49" i="24"/>
  <c r="CQ79" i="24"/>
  <c r="CR79" i="24" s="1"/>
  <c r="CT79" i="24" s="1"/>
  <c r="CL6" i="25"/>
  <c r="DL6" i="25" s="1"/>
  <c r="CL7" i="25"/>
  <c r="DL7" i="25" s="1"/>
  <c r="CN309" i="25"/>
  <c r="CN301" i="25"/>
  <c r="CN293" i="25"/>
  <c r="CN285" i="25"/>
  <c r="CN277" i="25"/>
  <c r="CN269" i="25"/>
  <c r="CN261" i="25"/>
  <c r="CN253" i="25"/>
  <c r="CN245" i="25"/>
  <c r="CN237" i="25"/>
  <c r="CN229" i="25"/>
  <c r="CN221" i="25"/>
  <c r="CN262" i="25"/>
  <c r="CN246" i="25"/>
  <c r="CN222" i="25"/>
  <c r="CN316" i="25"/>
  <c r="CN308" i="25"/>
  <c r="CN300" i="25"/>
  <c r="CN292" i="25"/>
  <c r="CN284" i="25"/>
  <c r="CN276" i="25"/>
  <c r="CN268" i="25"/>
  <c r="CN260" i="25"/>
  <c r="CN252" i="25"/>
  <c r="CN244" i="25"/>
  <c r="CN236" i="25"/>
  <c r="CN228" i="25"/>
  <c r="CN220" i="25"/>
  <c r="CN278" i="25"/>
  <c r="CN254" i="25"/>
  <c r="CN315" i="25"/>
  <c r="CN307" i="25"/>
  <c r="CN299" i="25"/>
  <c r="CN291" i="25"/>
  <c r="CN283" i="25"/>
  <c r="CN275" i="25"/>
  <c r="CN267" i="25"/>
  <c r="CN259" i="25"/>
  <c r="CN251" i="25"/>
  <c r="CN243" i="25"/>
  <c r="CN235" i="25"/>
  <c r="CN227" i="25"/>
  <c r="CN219" i="25"/>
  <c r="CN270" i="25"/>
  <c r="CN238" i="25"/>
  <c r="CN314" i="25"/>
  <c r="CN306" i="25"/>
  <c r="CN298" i="25"/>
  <c r="CN290" i="25"/>
  <c r="CN282" i="25"/>
  <c r="CN274" i="25"/>
  <c r="CN266" i="25"/>
  <c r="CN258" i="25"/>
  <c r="CN250" i="25"/>
  <c r="CN242" i="25"/>
  <c r="CN234" i="25"/>
  <c r="CN226" i="25"/>
  <c r="CN218" i="25"/>
  <c r="CN294" i="25"/>
  <c r="CN313" i="25"/>
  <c r="CN305" i="25"/>
  <c r="CN297" i="25"/>
  <c r="CN289" i="25"/>
  <c r="CN281" i="25"/>
  <c r="CN273" i="25"/>
  <c r="CN265" i="25"/>
  <c r="CN257" i="25"/>
  <c r="CN249" i="25"/>
  <c r="CN241" i="25"/>
  <c r="CN233" i="25"/>
  <c r="CN225" i="25"/>
  <c r="CN217" i="25"/>
  <c r="CN286" i="25"/>
  <c r="CN312" i="25"/>
  <c r="CN304" i="25"/>
  <c r="CN296" i="25"/>
  <c r="CN288" i="25"/>
  <c r="CN280" i="25"/>
  <c r="CN272" i="25"/>
  <c r="CN264" i="25"/>
  <c r="CN256" i="25"/>
  <c r="CN248" i="25"/>
  <c r="CN240" i="25"/>
  <c r="CN232" i="25"/>
  <c r="CN224" i="25"/>
  <c r="CN302" i="25"/>
  <c r="CN230" i="25"/>
  <c r="CN311" i="25"/>
  <c r="CN303" i="25"/>
  <c r="CN295" i="25"/>
  <c r="CN287" i="25"/>
  <c r="CN279" i="25"/>
  <c r="CN271" i="25"/>
  <c r="CN263" i="25"/>
  <c r="CN255" i="25"/>
  <c r="CN247" i="25"/>
  <c r="CN239" i="25"/>
  <c r="CN231" i="25"/>
  <c r="CN223" i="25"/>
  <c r="CN216" i="25"/>
  <c r="CN310" i="25"/>
  <c r="CM312" i="24"/>
  <c r="EO312" i="24" s="1"/>
  <c r="CM304" i="24"/>
  <c r="EO304" i="24" s="1"/>
  <c r="CM296" i="24"/>
  <c r="EO296" i="24" s="1"/>
  <c r="CM288" i="24"/>
  <c r="EO288" i="24" s="1"/>
  <c r="CM280" i="24"/>
  <c r="EO280" i="24" s="1"/>
  <c r="CM272" i="24"/>
  <c r="EO272" i="24" s="1"/>
  <c r="CM264" i="24"/>
  <c r="EO264" i="24" s="1"/>
  <c r="CM256" i="24"/>
  <c r="EO256" i="24" s="1"/>
  <c r="CM248" i="24"/>
  <c r="EO248" i="24" s="1"/>
  <c r="CM240" i="24"/>
  <c r="EO240" i="24" s="1"/>
  <c r="CM232" i="24"/>
  <c r="EO232" i="24" s="1"/>
  <c r="CM224" i="24"/>
  <c r="EO224" i="24" s="1"/>
  <c r="CM281" i="24"/>
  <c r="EO281" i="24" s="1"/>
  <c r="CM311" i="24"/>
  <c r="EO311" i="24" s="1"/>
  <c r="CM303" i="24"/>
  <c r="EO303" i="24" s="1"/>
  <c r="CM295" i="24"/>
  <c r="EO295" i="24" s="1"/>
  <c r="CM287" i="24"/>
  <c r="EO287" i="24" s="1"/>
  <c r="CM279" i="24"/>
  <c r="EO279" i="24" s="1"/>
  <c r="CM271" i="24"/>
  <c r="EO271" i="24" s="1"/>
  <c r="CM263" i="24"/>
  <c r="EO263" i="24" s="1"/>
  <c r="CM255" i="24"/>
  <c r="EO255" i="24" s="1"/>
  <c r="CM247" i="24"/>
  <c r="EO247" i="24" s="1"/>
  <c r="CM239" i="24"/>
  <c r="EO239" i="24" s="1"/>
  <c r="CM231" i="24"/>
  <c r="EO231" i="24" s="1"/>
  <c r="CM223" i="24"/>
  <c r="EO223" i="24" s="1"/>
  <c r="CM216" i="24"/>
  <c r="EO216" i="24" s="1"/>
  <c r="CM305" i="24"/>
  <c r="EO305" i="24" s="1"/>
  <c r="CM241" i="24"/>
  <c r="EO241" i="24" s="1"/>
  <c r="CM310" i="24"/>
  <c r="EO310" i="24" s="1"/>
  <c r="CM302" i="24"/>
  <c r="EO302" i="24" s="1"/>
  <c r="CM294" i="24"/>
  <c r="EO294" i="24" s="1"/>
  <c r="CM286" i="24"/>
  <c r="EO286" i="24" s="1"/>
  <c r="CM278" i="24"/>
  <c r="EO278" i="24" s="1"/>
  <c r="CM270" i="24"/>
  <c r="EO270" i="24" s="1"/>
  <c r="CM262" i="24"/>
  <c r="EO262" i="24" s="1"/>
  <c r="CM254" i="24"/>
  <c r="EO254" i="24" s="1"/>
  <c r="CM246" i="24"/>
  <c r="EO246" i="24" s="1"/>
  <c r="CM238" i="24"/>
  <c r="EO238" i="24" s="1"/>
  <c r="CM230" i="24"/>
  <c r="EO230" i="24" s="1"/>
  <c r="CM222" i="24"/>
  <c r="EO222" i="24" s="1"/>
  <c r="CM313" i="24"/>
  <c r="EO313" i="24" s="1"/>
  <c r="CM233" i="24"/>
  <c r="EO233" i="24" s="1"/>
  <c r="CM309" i="24"/>
  <c r="EO309" i="24" s="1"/>
  <c r="CM301" i="24"/>
  <c r="EO301" i="24" s="1"/>
  <c r="CM293" i="24"/>
  <c r="EO293" i="24" s="1"/>
  <c r="CM285" i="24"/>
  <c r="EO285" i="24" s="1"/>
  <c r="CM277" i="24"/>
  <c r="EO277" i="24" s="1"/>
  <c r="CM269" i="24"/>
  <c r="EO269" i="24" s="1"/>
  <c r="CM261" i="24"/>
  <c r="EO261" i="24" s="1"/>
  <c r="CM253" i="24"/>
  <c r="EO253" i="24" s="1"/>
  <c r="CM245" i="24"/>
  <c r="EO245" i="24" s="1"/>
  <c r="CM237" i="24"/>
  <c r="EO237" i="24" s="1"/>
  <c r="CM229" i="24"/>
  <c r="EO229" i="24" s="1"/>
  <c r="CM221" i="24"/>
  <c r="EO221" i="24" s="1"/>
  <c r="CM289" i="24"/>
  <c r="EO289" i="24" s="1"/>
  <c r="CM249" i="24"/>
  <c r="EO249" i="24" s="1"/>
  <c r="CM316" i="24"/>
  <c r="EO316" i="24" s="1"/>
  <c r="CM308" i="24"/>
  <c r="EO308" i="24" s="1"/>
  <c r="CM300" i="24"/>
  <c r="EO300" i="24" s="1"/>
  <c r="CM292" i="24"/>
  <c r="EO292" i="24" s="1"/>
  <c r="CM284" i="24"/>
  <c r="EO284" i="24" s="1"/>
  <c r="CM276" i="24"/>
  <c r="EO276" i="24" s="1"/>
  <c r="CM268" i="24"/>
  <c r="EO268" i="24" s="1"/>
  <c r="CM260" i="24"/>
  <c r="EO260" i="24" s="1"/>
  <c r="CM252" i="24"/>
  <c r="EO252" i="24" s="1"/>
  <c r="CM244" i="24"/>
  <c r="EO244" i="24" s="1"/>
  <c r="CM236" i="24"/>
  <c r="EO236" i="24" s="1"/>
  <c r="CM228" i="24"/>
  <c r="EO228" i="24" s="1"/>
  <c r="CM220" i="24"/>
  <c r="EO220" i="24" s="1"/>
  <c r="CM226" i="24"/>
  <c r="EO226" i="24" s="1"/>
  <c r="CM297" i="24"/>
  <c r="EO297" i="24" s="1"/>
  <c r="CM265" i="24"/>
  <c r="EO265" i="24" s="1"/>
  <c r="CM225" i="24"/>
  <c r="EO225" i="24" s="1"/>
  <c r="CM315" i="24"/>
  <c r="EO315" i="24" s="1"/>
  <c r="CM307" i="24"/>
  <c r="EO307" i="24" s="1"/>
  <c r="CM299" i="24"/>
  <c r="EO299" i="24" s="1"/>
  <c r="CM291" i="24"/>
  <c r="EO291" i="24" s="1"/>
  <c r="CM283" i="24"/>
  <c r="EO283" i="24" s="1"/>
  <c r="CM275" i="24"/>
  <c r="EO275" i="24" s="1"/>
  <c r="CM267" i="24"/>
  <c r="EO267" i="24" s="1"/>
  <c r="CM259" i="24"/>
  <c r="EO259" i="24" s="1"/>
  <c r="CM251" i="24"/>
  <c r="EO251" i="24" s="1"/>
  <c r="CM243" i="24"/>
  <c r="EO243" i="24" s="1"/>
  <c r="CM235" i="24"/>
  <c r="EO235" i="24" s="1"/>
  <c r="CM227" i="24"/>
  <c r="EO227" i="24" s="1"/>
  <c r="CM219" i="24"/>
  <c r="EO219" i="24" s="1"/>
  <c r="CM234" i="24"/>
  <c r="EO234" i="24" s="1"/>
  <c r="CM257" i="24"/>
  <c r="EO257" i="24" s="1"/>
  <c r="CM314" i="24"/>
  <c r="EO314" i="24" s="1"/>
  <c r="CM306" i="24"/>
  <c r="EO306" i="24" s="1"/>
  <c r="CM298" i="24"/>
  <c r="EO298" i="24" s="1"/>
  <c r="CM290" i="24"/>
  <c r="EO290" i="24" s="1"/>
  <c r="CM282" i="24"/>
  <c r="EO282" i="24" s="1"/>
  <c r="CM274" i="24"/>
  <c r="EO274" i="24" s="1"/>
  <c r="CM266" i="24"/>
  <c r="EO266" i="24" s="1"/>
  <c r="CM258" i="24"/>
  <c r="EO258" i="24" s="1"/>
  <c r="CM250" i="24"/>
  <c r="EO250" i="24" s="1"/>
  <c r="CM242" i="24"/>
  <c r="EO242" i="24" s="1"/>
  <c r="CM218" i="24"/>
  <c r="EO218" i="24" s="1"/>
  <c r="CM273" i="24"/>
  <c r="EO273" i="24" s="1"/>
  <c r="CM217" i="24"/>
  <c r="EO217" i="24" s="1"/>
  <c r="B16" i="29"/>
  <c r="B90" i="2"/>
  <c r="G11" i="2"/>
  <c r="Y14" i="2" s="1"/>
  <c r="Y19" i="2"/>
  <c r="B14" i="29"/>
  <c r="B131" i="2"/>
  <c r="M2" i="24"/>
  <c r="D43" i="16"/>
  <c r="K12" i="2"/>
  <c r="K11" i="2"/>
  <c r="BR5" i="24"/>
  <c r="B28" i="2"/>
  <c r="C43" i="16"/>
  <c r="B14" i="2"/>
  <c r="H110" i="25"/>
  <c r="H5" i="25"/>
  <c r="AH5" i="25" s="1"/>
  <c r="H216" i="25"/>
  <c r="B177" i="2"/>
  <c r="E39" i="1" s="1"/>
  <c r="B198" i="2"/>
  <c r="B194" i="2"/>
  <c r="B30" i="2"/>
  <c r="B141" i="2"/>
  <c r="H216" i="24"/>
  <c r="H110"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E94" i="23"/>
  <c r="R94" i="23" s="1"/>
  <c r="E78" i="23"/>
  <c r="R78" i="23" s="1"/>
  <c r="E62" i="23"/>
  <c r="R62" i="23" s="1"/>
  <c r="E46" i="23"/>
  <c r="R46" i="23" s="1"/>
  <c r="E30" i="23"/>
  <c r="R30" i="23" s="1"/>
  <c r="E14" i="23"/>
  <c r="R14" i="23" s="1"/>
  <c r="E106" i="23"/>
  <c r="R106" i="23" s="1"/>
  <c r="E90" i="23"/>
  <c r="R90" i="23" s="1"/>
  <c r="E74" i="23"/>
  <c r="R74" i="23" s="1"/>
  <c r="E58" i="23"/>
  <c r="R58" i="23" s="1"/>
  <c r="E42" i="23"/>
  <c r="R42" i="23" s="1"/>
  <c r="E26" i="23"/>
  <c r="R26" i="23" s="1"/>
  <c r="E9" i="23"/>
  <c r="R9" i="23" s="1"/>
  <c r="E102" i="23"/>
  <c r="R102" i="23" s="1"/>
  <c r="E70" i="23"/>
  <c r="R70" i="23" s="1"/>
  <c r="E38" i="23"/>
  <c r="R38" i="23" s="1"/>
  <c r="E101" i="23"/>
  <c r="R101" i="23" s="1"/>
  <c r="E85" i="23"/>
  <c r="R85" i="23" s="1"/>
  <c r="E69" i="23"/>
  <c r="R69" i="23" s="1"/>
  <c r="E53" i="23"/>
  <c r="R53" i="23" s="1"/>
  <c r="E37" i="23"/>
  <c r="R37" i="23" s="1"/>
  <c r="E21" i="23"/>
  <c r="R21" i="23" s="1"/>
  <c r="E86" i="23"/>
  <c r="R86" i="23" s="1"/>
  <c r="E22" i="23"/>
  <c r="R22" i="23" s="1"/>
  <c r="E93" i="23"/>
  <c r="R93" i="23" s="1"/>
  <c r="E77" i="23"/>
  <c r="R77" i="23" s="1"/>
  <c r="E45" i="23"/>
  <c r="R45" i="23" s="1"/>
  <c r="E13" i="23"/>
  <c r="R13" i="23" s="1"/>
  <c r="E82" i="23"/>
  <c r="R82" i="23" s="1"/>
  <c r="E50" i="23"/>
  <c r="R50" i="23" s="1"/>
  <c r="E89" i="23"/>
  <c r="R89" i="23" s="1"/>
  <c r="E57" i="23"/>
  <c r="R57" i="23" s="1"/>
  <c r="E25" i="23"/>
  <c r="R25" i="23" s="1"/>
  <c r="E98" i="23"/>
  <c r="R98" i="23" s="1"/>
  <c r="E66" i="23"/>
  <c r="R66" i="23" s="1"/>
  <c r="E34" i="23"/>
  <c r="R34" i="23" s="1"/>
  <c r="E97" i="23"/>
  <c r="R97" i="23" s="1"/>
  <c r="E81" i="23"/>
  <c r="R81" i="23" s="1"/>
  <c r="E65" i="23"/>
  <c r="R65" i="23" s="1"/>
  <c r="E49" i="23"/>
  <c r="R49" i="23" s="1"/>
  <c r="E33" i="23"/>
  <c r="R33" i="23" s="1"/>
  <c r="E17" i="23"/>
  <c r="R17" i="23" s="1"/>
  <c r="E54" i="23"/>
  <c r="R54" i="23" s="1"/>
  <c r="E10" i="23"/>
  <c r="R10" i="23" s="1"/>
  <c r="E61" i="23"/>
  <c r="R61" i="23" s="1"/>
  <c r="E29" i="23"/>
  <c r="R29" i="23" s="1"/>
  <c r="E18" i="23"/>
  <c r="R18" i="23" s="1"/>
  <c r="E105" i="23"/>
  <c r="R105" i="23" s="1"/>
  <c r="E73" i="23"/>
  <c r="R73" i="23" s="1"/>
  <c r="E41" i="23"/>
  <c r="R41" i="23" s="1"/>
  <c r="E8" i="23"/>
  <c r="R8" i="23" s="1"/>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CJ212" i="25" s="1"/>
  <c r="I16" i="8"/>
  <c r="J16" i="8" s="1"/>
  <c r="D165" i="2" s="1"/>
  <c r="B166" i="2" s="1"/>
  <c r="B11" i="19"/>
  <c r="D11" i="19" s="1"/>
  <c r="I4" i="8" s="1"/>
  <c r="J4" i="8" s="1"/>
  <c r="B221"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22" i="2"/>
  <c r="S60" i="2"/>
  <c r="B216" i="2"/>
  <c r="I56" i="2"/>
  <c r="C3" i="8"/>
  <c r="C159" i="8" s="1"/>
  <c r="C158" i="8" s="1"/>
  <c r="A216" i="2"/>
  <c r="F40" i="1"/>
  <c r="B9" i="19"/>
  <c r="D9" i="19" s="1"/>
  <c r="B17" i="19"/>
  <c r="D17" i="19" s="1"/>
  <c r="B205" i="2"/>
  <c r="B13" i="2"/>
  <c r="CR122" i="25" l="1"/>
  <c r="CR195" i="25"/>
  <c r="L12" i="1"/>
  <c r="Q88" i="2"/>
  <c r="CQ136" i="24"/>
  <c r="CR136" i="24" s="1"/>
  <c r="CT136" i="24" s="1"/>
  <c r="CQ204" i="24"/>
  <c r="CR204" i="24" s="1"/>
  <c r="CT204" i="24" s="1"/>
  <c r="CQ140" i="24"/>
  <c r="CR140" i="24" s="1"/>
  <c r="CT140" i="24" s="1"/>
  <c r="CQ149" i="24"/>
  <c r="CR149" i="24" s="1"/>
  <c r="CT149" i="24" s="1"/>
  <c r="CO140" i="24"/>
  <c r="CR197" i="25"/>
  <c r="CS197" i="25" s="1"/>
  <c r="CR111" i="25"/>
  <c r="CQ175" i="24"/>
  <c r="CR175" i="24" s="1"/>
  <c r="CT175" i="24" s="1"/>
  <c r="CR200" i="25"/>
  <c r="CO136" i="24"/>
  <c r="CO174" i="24"/>
  <c r="CQ131" i="24"/>
  <c r="CR131" i="24" s="1"/>
  <c r="CT131" i="24" s="1"/>
  <c r="CQ185" i="24"/>
  <c r="CR185" i="24" s="1"/>
  <c r="CT185" i="24" s="1"/>
  <c r="CQ174" i="24"/>
  <c r="CR174" i="24" s="1"/>
  <c r="CT174" i="24" s="1"/>
  <c r="CO185" i="24"/>
  <c r="CO175" i="24"/>
  <c r="CR152" i="25"/>
  <c r="CR126" i="25"/>
  <c r="CS126" i="25" s="1"/>
  <c r="CO204" i="24"/>
  <c r="CR116" i="25"/>
  <c r="CS116" i="25" s="1"/>
  <c r="CR185" i="25"/>
  <c r="CS185" i="25" s="1"/>
  <c r="CR143" i="25"/>
  <c r="CS143" i="25" s="1"/>
  <c r="CR125" i="25"/>
  <c r="CS125" i="25" s="1"/>
  <c r="CR179" i="25"/>
  <c r="CS179" i="25" s="1"/>
  <c r="CR140" i="25"/>
  <c r="CS140" i="25" s="1"/>
  <c r="CQ212" i="24"/>
  <c r="CR212" i="24" s="1"/>
  <c r="CT212" i="24" s="1"/>
  <c r="CO212" i="24"/>
  <c r="CR205" i="25"/>
  <c r="CS205" i="25" s="1"/>
  <c r="D33" i="16"/>
  <c r="D32" i="16"/>
  <c r="CQ114" i="24"/>
  <c r="CR114" i="24" s="1"/>
  <c r="CT114" i="24" s="1"/>
  <c r="CO177" i="24"/>
  <c r="CO165" i="24"/>
  <c r="CQ177" i="24"/>
  <c r="CR177" i="24" s="1"/>
  <c r="CT177" i="24" s="1"/>
  <c r="G327" i="24"/>
  <c r="I27" i="8" s="1"/>
  <c r="CQ128" i="24"/>
  <c r="CR128" i="24" s="1"/>
  <c r="CT128" i="24" s="1"/>
  <c r="CQ178" i="24"/>
  <c r="CR178" i="24" s="1"/>
  <c r="CT178" i="24" s="1"/>
  <c r="CR123" i="25"/>
  <c r="CS123" i="25" s="1"/>
  <c r="CQ122" i="24"/>
  <c r="CR122" i="24" s="1"/>
  <c r="CT122" i="24" s="1"/>
  <c r="CO178" i="24"/>
  <c r="CO128" i="24"/>
  <c r="FG212" i="25"/>
  <c r="CL212" i="25"/>
  <c r="DL212" i="25" s="1"/>
  <c r="DP212" i="25"/>
  <c r="EQ212" i="25"/>
  <c r="EU212" i="25" s="1"/>
  <c r="CP212" i="25"/>
  <c r="EM212" i="25"/>
  <c r="B18" i="29"/>
  <c r="CX212" i="25"/>
  <c r="CS212" i="25"/>
  <c r="L68" i="1"/>
  <c r="L70" i="1" s="1"/>
  <c r="E22" i="1"/>
  <c r="CJ212" i="24"/>
  <c r="N327" i="25"/>
  <c r="I29" i="8" s="1"/>
  <c r="CP223" i="25"/>
  <c r="EM223" i="25"/>
  <c r="CP287" i="25"/>
  <c r="EM287" i="25"/>
  <c r="CP240" i="25"/>
  <c r="EM240" i="25"/>
  <c r="CP304" i="25"/>
  <c r="EM304" i="25"/>
  <c r="CP257" i="25"/>
  <c r="EM257" i="25"/>
  <c r="CP294" i="25"/>
  <c r="EM294" i="25"/>
  <c r="CP274" i="25"/>
  <c r="EM274" i="25"/>
  <c r="CP219" i="25"/>
  <c r="EM219" i="25"/>
  <c r="CP283" i="25"/>
  <c r="EM283" i="25"/>
  <c r="CP228" i="25"/>
  <c r="EM228" i="25"/>
  <c r="CP292" i="25"/>
  <c r="EM292" i="25"/>
  <c r="CP229" i="25"/>
  <c r="EM229" i="25"/>
  <c r="CP293" i="25"/>
  <c r="EM293" i="25"/>
  <c r="CP231" i="25"/>
  <c r="EM231" i="25"/>
  <c r="CP295" i="25"/>
  <c r="EM295" i="25"/>
  <c r="CP248" i="25"/>
  <c r="EM248" i="25"/>
  <c r="CP312" i="25"/>
  <c r="EM312" i="25"/>
  <c r="CP265" i="25"/>
  <c r="EM265" i="25"/>
  <c r="CP218" i="25"/>
  <c r="EM218" i="25"/>
  <c r="CP282" i="25"/>
  <c r="EM282" i="25"/>
  <c r="CP227" i="25"/>
  <c r="EM227" i="25"/>
  <c r="CP291" i="25"/>
  <c r="EM291" i="25"/>
  <c r="CP236" i="25"/>
  <c r="EM236" i="25"/>
  <c r="CP300" i="25"/>
  <c r="EM300" i="25"/>
  <c r="CP237" i="25"/>
  <c r="EM237" i="25"/>
  <c r="CP301" i="25"/>
  <c r="EM301" i="25"/>
  <c r="CP239" i="25"/>
  <c r="EM239" i="25"/>
  <c r="CP303" i="25"/>
  <c r="EM303" i="25"/>
  <c r="CP256" i="25"/>
  <c r="EM256" i="25"/>
  <c r="CP286" i="25"/>
  <c r="EM286" i="25"/>
  <c r="CP273" i="25"/>
  <c r="EM273" i="25"/>
  <c r="CP226" i="25"/>
  <c r="EM226" i="25"/>
  <c r="CP290" i="25"/>
  <c r="EM290" i="25"/>
  <c r="CP235" i="25"/>
  <c r="EM235" i="25"/>
  <c r="CP299" i="25"/>
  <c r="EM299" i="25"/>
  <c r="CP244" i="25"/>
  <c r="EM244" i="25"/>
  <c r="CP308" i="25"/>
  <c r="EM308" i="25"/>
  <c r="CP245" i="25"/>
  <c r="EM245" i="25"/>
  <c r="CP309" i="25"/>
  <c r="EM309" i="25"/>
  <c r="CP247" i="25"/>
  <c r="EM247" i="25"/>
  <c r="CP311" i="25"/>
  <c r="EM311" i="25"/>
  <c r="CP264" i="25"/>
  <c r="EM264" i="25"/>
  <c r="CP217" i="25"/>
  <c r="EM217" i="25"/>
  <c r="CP281" i="25"/>
  <c r="EM281" i="25"/>
  <c r="CP234" i="25"/>
  <c r="EM234" i="25"/>
  <c r="CP298" i="25"/>
  <c r="EM298" i="25"/>
  <c r="CP243" i="25"/>
  <c r="EM243" i="25"/>
  <c r="CP307" i="25"/>
  <c r="EM307" i="25"/>
  <c r="CP252" i="25"/>
  <c r="EM252" i="25"/>
  <c r="CP316" i="25"/>
  <c r="EM316" i="25"/>
  <c r="CP253" i="25"/>
  <c r="EM253" i="25"/>
  <c r="CP255" i="25"/>
  <c r="EM255" i="25"/>
  <c r="CP230" i="25"/>
  <c r="EM230" i="25"/>
  <c r="CP272" i="25"/>
  <c r="EM272" i="25"/>
  <c r="CP225" i="25"/>
  <c r="EM225" i="25"/>
  <c r="CP289" i="25"/>
  <c r="EM289" i="25"/>
  <c r="CP242" i="25"/>
  <c r="EM242" i="25"/>
  <c r="CP306" i="25"/>
  <c r="EM306" i="25"/>
  <c r="CP251" i="25"/>
  <c r="EM251" i="25"/>
  <c r="CP315" i="25"/>
  <c r="EM315" i="25"/>
  <c r="CP260" i="25"/>
  <c r="EM260" i="25"/>
  <c r="CP222" i="25"/>
  <c r="EM222" i="25"/>
  <c r="CP261" i="25"/>
  <c r="EM261" i="25"/>
  <c r="CP263" i="25"/>
  <c r="EM263" i="25"/>
  <c r="CP302" i="25"/>
  <c r="EM302" i="25"/>
  <c r="CP280" i="25"/>
  <c r="EM280" i="25"/>
  <c r="CP233" i="25"/>
  <c r="EM233" i="25"/>
  <c r="CP297" i="25"/>
  <c r="EM297" i="25"/>
  <c r="CP250" i="25"/>
  <c r="EM250" i="25"/>
  <c r="CP314" i="25"/>
  <c r="EM314" i="25"/>
  <c r="CP259" i="25"/>
  <c r="EM259" i="25"/>
  <c r="CP254" i="25"/>
  <c r="EM254" i="25"/>
  <c r="CP268" i="25"/>
  <c r="EM268" i="25"/>
  <c r="CP246" i="25"/>
  <c r="EM246" i="25"/>
  <c r="CP269" i="25"/>
  <c r="EM269" i="25"/>
  <c r="CP310" i="25"/>
  <c r="EM310" i="25"/>
  <c r="CP271" i="25"/>
  <c r="EM271" i="25"/>
  <c r="CP224" i="25"/>
  <c r="EM224" i="25"/>
  <c r="CP288" i="25"/>
  <c r="EM288" i="25"/>
  <c r="CP241" i="25"/>
  <c r="EM241" i="25"/>
  <c r="CP305" i="25"/>
  <c r="EM305" i="25"/>
  <c r="CP258" i="25"/>
  <c r="EM258" i="25"/>
  <c r="CP238" i="25"/>
  <c r="EM238" i="25"/>
  <c r="CP267" i="25"/>
  <c r="EM267" i="25"/>
  <c r="CP278" i="25"/>
  <c r="EM278" i="25"/>
  <c r="CP276" i="25"/>
  <c r="EM276" i="25"/>
  <c r="CP262" i="25"/>
  <c r="EM262" i="25"/>
  <c r="CP277" i="25"/>
  <c r="EM277" i="25"/>
  <c r="CP216" i="25"/>
  <c r="EM216" i="25"/>
  <c r="CP279" i="25"/>
  <c r="EM279" i="25"/>
  <c r="CP232" i="25"/>
  <c r="EM232" i="25"/>
  <c r="CP296" i="25"/>
  <c r="EM296" i="25"/>
  <c r="CP249" i="25"/>
  <c r="EM249" i="25"/>
  <c r="CP313" i="25"/>
  <c r="EM313" i="25"/>
  <c r="CP266" i="25"/>
  <c r="EM266" i="25"/>
  <c r="CP270" i="25"/>
  <c r="EM270" i="25"/>
  <c r="CP275" i="25"/>
  <c r="EM275" i="25"/>
  <c r="CP220" i="25"/>
  <c r="EM220" i="25"/>
  <c r="CP284" i="25"/>
  <c r="EM284" i="25"/>
  <c r="CP221" i="25"/>
  <c r="EM221" i="25"/>
  <c r="CP285" i="25"/>
  <c r="EM285" i="25"/>
  <c r="G327" i="25"/>
  <c r="H329" i="25" s="1"/>
  <c r="I24" i="8" s="1"/>
  <c r="J24" i="8" s="1"/>
  <c r="CP113" i="25"/>
  <c r="CP170" i="25"/>
  <c r="CP139" i="25"/>
  <c r="CP203" i="25"/>
  <c r="CP121" i="25"/>
  <c r="CP172" i="25"/>
  <c r="CP165" i="25"/>
  <c r="CP142" i="25"/>
  <c r="CP206" i="25"/>
  <c r="CP167" i="25"/>
  <c r="CP136" i="25"/>
  <c r="CP200" i="25"/>
  <c r="CP169" i="25"/>
  <c r="CP114" i="25"/>
  <c r="CP178" i="25"/>
  <c r="CP147" i="25"/>
  <c r="CP177" i="25"/>
  <c r="CP116" i="25"/>
  <c r="CP180" i="25"/>
  <c r="CP173" i="25"/>
  <c r="CP150" i="25"/>
  <c r="CP161" i="25"/>
  <c r="CP110" i="25"/>
  <c r="CP175" i="25"/>
  <c r="CP144" i="25"/>
  <c r="CP208" i="25"/>
  <c r="CP122" i="25"/>
  <c r="CP186" i="25"/>
  <c r="CP155" i="25"/>
  <c r="CP124" i="25"/>
  <c r="CP188" i="25"/>
  <c r="CP117" i="25"/>
  <c r="CP181" i="25"/>
  <c r="CP158" i="25"/>
  <c r="CP201" i="25"/>
  <c r="CP119" i="25"/>
  <c r="CP183" i="25"/>
  <c r="CP152" i="25"/>
  <c r="CP130" i="25"/>
  <c r="CP194" i="25"/>
  <c r="CP163" i="25"/>
  <c r="CP132" i="25"/>
  <c r="CP196" i="25"/>
  <c r="CP153" i="25"/>
  <c r="CP125" i="25"/>
  <c r="CP189" i="25"/>
  <c r="CP166" i="25"/>
  <c r="CP127" i="25"/>
  <c r="CP191" i="25"/>
  <c r="CP160" i="25"/>
  <c r="CP138" i="25"/>
  <c r="CP202" i="25"/>
  <c r="CP137" i="25"/>
  <c r="CP171" i="25"/>
  <c r="CP140" i="25"/>
  <c r="CP204" i="25"/>
  <c r="CP133" i="25"/>
  <c r="CP197" i="25"/>
  <c r="CP174" i="25"/>
  <c r="CP135" i="25"/>
  <c r="CP199" i="25"/>
  <c r="CP168" i="25"/>
  <c r="CP146" i="25"/>
  <c r="CP210" i="25"/>
  <c r="CP185" i="25"/>
  <c r="CP115" i="25"/>
  <c r="CP179" i="25"/>
  <c r="CP148" i="25"/>
  <c r="CP141" i="25"/>
  <c r="CP205" i="25"/>
  <c r="CP129" i="25"/>
  <c r="CP118" i="25"/>
  <c r="CP182" i="25"/>
  <c r="CP143" i="25"/>
  <c r="CP207" i="25"/>
  <c r="CP145" i="25"/>
  <c r="CP111" i="25"/>
  <c r="CP176" i="25"/>
  <c r="CP154" i="25"/>
  <c r="CP123" i="25"/>
  <c r="CP187" i="25"/>
  <c r="CP156" i="25"/>
  <c r="CP149" i="25"/>
  <c r="CP193" i="25"/>
  <c r="CP126" i="25"/>
  <c r="CP190" i="25"/>
  <c r="CP151" i="25"/>
  <c r="CP209" i="25"/>
  <c r="CP120" i="25"/>
  <c r="CP184" i="25"/>
  <c r="CR112" i="25"/>
  <c r="CS112" i="25" s="1"/>
  <c r="EM112" i="25"/>
  <c r="CP162" i="25"/>
  <c r="CP131" i="25"/>
  <c r="CP195" i="25"/>
  <c r="CP164" i="25"/>
  <c r="CP157" i="25"/>
  <c r="CP134" i="25"/>
  <c r="CP198" i="25"/>
  <c r="CP159" i="25"/>
  <c r="CP128" i="25"/>
  <c r="CP192" i="25"/>
  <c r="CJ112" i="25"/>
  <c r="CR174" i="25"/>
  <c r="CS174" i="25" s="1"/>
  <c r="CO131" i="24"/>
  <c r="CO149" i="24"/>
  <c r="CQ165" i="24"/>
  <c r="CR165" i="24" s="1"/>
  <c r="CT165" i="24" s="1"/>
  <c r="CR161" i="25"/>
  <c r="CS161" i="25" s="1"/>
  <c r="CQ163" i="24"/>
  <c r="CR163" i="24" s="1"/>
  <c r="CT163" i="24" s="1"/>
  <c r="CO122" i="24"/>
  <c r="CO164" i="24"/>
  <c r="CO132" i="24"/>
  <c r="CO129" i="24"/>
  <c r="CQ167" i="24"/>
  <c r="CR167" i="24" s="1"/>
  <c r="CT167" i="24" s="1"/>
  <c r="CQ164" i="24"/>
  <c r="CR164" i="24" s="1"/>
  <c r="CT164" i="24" s="1"/>
  <c r="CQ192" i="24"/>
  <c r="CR192" i="24" s="1"/>
  <c r="CT192" i="24" s="1"/>
  <c r="CO112" i="24"/>
  <c r="CO124" i="24"/>
  <c r="CR169" i="25"/>
  <c r="CS169" i="25" s="1"/>
  <c r="CR138" i="25"/>
  <c r="CS138" i="25" s="1"/>
  <c r="CR189" i="25"/>
  <c r="CS189" i="25" s="1"/>
  <c r="CR207" i="25"/>
  <c r="CS207" i="25" s="1"/>
  <c r="CO117" i="24"/>
  <c r="CQ142" i="24"/>
  <c r="CR142" i="24" s="1"/>
  <c r="CT142" i="24" s="1"/>
  <c r="CO142" i="24"/>
  <c r="CQ120" i="24"/>
  <c r="CR120" i="24" s="1"/>
  <c r="CT120" i="24" s="1"/>
  <c r="CO138" i="24"/>
  <c r="CO192" i="24"/>
  <c r="CQ129" i="24"/>
  <c r="CR129" i="24" s="1"/>
  <c r="CT129" i="24" s="1"/>
  <c r="CQ132" i="24"/>
  <c r="CR132" i="24" s="1"/>
  <c r="CT132" i="24" s="1"/>
  <c r="CO166" i="24"/>
  <c r="CR164" i="25"/>
  <c r="CS164" i="25" s="1"/>
  <c r="CQ173" i="24"/>
  <c r="CR173" i="24" s="1"/>
  <c r="CT173" i="24" s="1"/>
  <c r="CQ112" i="24"/>
  <c r="CR112" i="24" s="1"/>
  <c r="CT112" i="24" s="1"/>
  <c r="CQ116" i="24"/>
  <c r="CR116" i="24" s="1"/>
  <c r="CT116" i="24" s="1"/>
  <c r="CQ124" i="24"/>
  <c r="CR124" i="24" s="1"/>
  <c r="CT124" i="24" s="1"/>
  <c r="CQ117" i="24"/>
  <c r="CR117" i="24" s="1"/>
  <c r="CT117" i="24" s="1"/>
  <c r="CR132" i="25"/>
  <c r="CS132" i="25" s="1"/>
  <c r="CR192" i="25"/>
  <c r="CS192" i="25" s="1"/>
  <c r="CO167" i="24"/>
  <c r="CR128" i="25"/>
  <c r="CS128" i="25" s="1"/>
  <c r="CQ166" i="24"/>
  <c r="CR166" i="24" s="1"/>
  <c r="CT166" i="24" s="1"/>
  <c r="CR114" i="25"/>
  <c r="CS114" i="25" s="1"/>
  <c r="CO171" i="24"/>
  <c r="CO173" i="24"/>
  <c r="CR172" i="25"/>
  <c r="CS172" i="25" s="1"/>
  <c r="CR159" i="25"/>
  <c r="CS159" i="25" s="1"/>
  <c r="CR201" i="25"/>
  <c r="CS201" i="25" s="1"/>
  <c r="CR115" i="25"/>
  <c r="CS115" i="25" s="1"/>
  <c r="CQ138" i="24"/>
  <c r="CR138" i="24" s="1"/>
  <c r="CT138" i="24" s="1"/>
  <c r="CO116" i="24"/>
  <c r="CQ115" i="24"/>
  <c r="CR115" i="24" s="1"/>
  <c r="CT115" i="24" s="1"/>
  <c r="CO176" i="24"/>
  <c r="CR141" i="25"/>
  <c r="CS141" i="25" s="1"/>
  <c r="CR131" i="25"/>
  <c r="CS131" i="25" s="1"/>
  <c r="CO125" i="24"/>
  <c r="CQ155" i="24"/>
  <c r="CR155" i="24" s="1"/>
  <c r="CT155" i="24" s="1"/>
  <c r="CR183" i="25"/>
  <c r="CS183" i="25" s="1"/>
  <c r="CQ118" i="24"/>
  <c r="CR118" i="24" s="1"/>
  <c r="CT118" i="24" s="1"/>
  <c r="CO118" i="24"/>
  <c r="CO111" i="24"/>
  <c r="CQ113" i="24"/>
  <c r="CR113" i="24" s="1"/>
  <c r="CT113" i="24" s="1"/>
  <c r="CQ119" i="24"/>
  <c r="CR119" i="24" s="1"/>
  <c r="CT119" i="24" s="1"/>
  <c r="CQ156" i="24"/>
  <c r="CR156" i="24" s="1"/>
  <c r="CT156" i="24" s="1"/>
  <c r="CO199" i="24"/>
  <c r="CR147" i="25"/>
  <c r="CS147" i="25" s="1"/>
  <c r="CR199" i="25"/>
  <c r="CS199" i="25" s="1"/>
  <c r="CQ176" i="24"/>
  <c r="CR176" i="24" s="1"/>
  <c r="CT176" i="24" s="1"/>
  <c r="CQ196" i="24"/>
  <c r="CR196" i="24" s="1"/>
  <c r="CT196" i="24" s="1"/>
  <c r="CQ153" i="24"/>
  <c r="CR153" i="24" s="1"/>
  <c r="CT153" i="24" s="1"/>
  <c r="CQ206" i="24"/>
  <c r="CR206" i="24" s="1"/>
  <c r="CT206" i="24" s="1"/>
  <c r="CR110" i="25"/>
  <c r="CX110" i="25" s="1"/>
  <c r="CY110" i="25" s="1"/>
  <c r="CO113" i="24"/>
  <c r="CO150" i="24"/>
  <c r="CQ111" i="24"/>
  <c r="CR111" i="24" s="1"/>
  <c r="CT111" i="24" s="1"/>
  <c r="CO119" i="24"/>
  <c r="CO196" i="24"/>
  <c r="CO198" i="24"/>
  <c r="CQ199" i="24"/>
  <c r="CR199" i="24" s="1"/>
  <c r="CT199" i="24" s="1"/>
  <c r="CR181" i="25"/>
  <c r="CS181" i="25" s="1"/>
  <c r="CO115" i="24"/>
  <c r="CR133" i="25"/>
  <c r="CS133" i="25" s="1"/>
  <c r="CR127" i="25"/>
  <c r="CS127" i="25" s="1"/>
  <c r="CO156" i="24"/>
  <c r="CO157" i="24"/>
  <c r="CQ198" i="24"/>
  <c r="CR198" i="24" s="1"/>
  <c r="CT198" i="24" s="1"/>
  <c r="CR155" i="25"/>
  <c r="CS155" i="25" s="1"/>
  <c r="CR120" i="25"/>
  <c r="CS120" i="25" s="1"/>
  <c r="CQ157" i="24"/>
  <c r="CR157" i="24" s="1"/>
  <c r="CT157" i="24" s="1"/>
  <c r="CR178" i="25"/>
  <c r="CS178" i="25" s="1"/>
  <c r="CR144" i="25"/>
  <c r="CS144" i="25" s="1"/>
  <c r="CQ158" i="24"/>
  <c r="CR158" i="24" s="1"/>
  <c r="CT158" i="24" s="1"/>
  <c r="CO168" i="24"/>
  <c r="CR153" i="25"/>
  <c r="CS153" i="25" s="1"/>
  <c r="CQ181" i="24"/>
  <c r="CR181" i="24" s="1"/>
  <c r="CT181" i="24" s="1"/>
  <c r="CQ110" i="24"/>
  <c r="CR110" i="24" s="1"/>
  <c r="DT110" i="24" s="1"/>
  <c r="CQ127" i="24"/>
  <c r="CR127" i="24" s="1"/>
  <c r="CT127" i="24" s="1"/>
  <c r="CQ205" i="24"/>
  <c r="CR205" i="24" s="1"/>
  <c r="CT205" i="24" s="1"/>
  <c r="CR124" i="25"/>
  <c r="CS124" i="25" s="1"/>
  <c r="CR156" i="25"/>
  <c r="CS156" i="25" s="1"/>
  <c r="CR162" i="25"/>
  <c r="CS162" i="25" s="1"/>
  <c r="CQ125" i="24"/>
  <c r="CR125" i="24" s="1"/>
  <c r="CT125" i="24" s="1"/>
  <c r="CO161" i="24"/>
  <c r="CO210" i="24"/>
  <c r="CR186" i="25"/>
  <c r="CS186" i="25" s="1"/>
  <c r="CR206" i="25"/>
  <c r="CS206" i="25" s="1"/>
  <c r="CO121" i="24"/>
  <c r="CO158" i="24"/>
  <c r="CR113" i="25"/>
  <c r="CS113" i="25" s="1"/>
  <c r="CQ161" i="24"/>
  <c r="CR161" i="24" s="1"/>
  <c r="CT161" i="24" s="1"/>
  <c r="CQ121" i="24"/>
  <c r="CR121" i="24" s="1"/>
  <c r="CT121" i="24" s="1"/>
  <c r="CR157" i="25"/>
  <c r="CS157" i="25" s="1"/>
  <c r="CO154" i="24"/>
  <c r="CQ210" i="24"/>
  <c r="CR210" i="24" s="1"/>
  <c r="CT210" i="24" s="1"/>
  <c r="CO127" i="24"/>
  <c r="CQ195" i="24"/>
  <c r="CR195" i="24" s="1"/>
  <c r="CT195" i="24" s="1"/>
  <c r="CO152" i="24"/>
  <c r="CQ170" i="24"/>
  <c r="CR170" i="24" s="1"/>
  <c r="CT170" i="24" s="1"/>
  <c r="CQ194" i="24"/>
  <c r="CR194" i="24" s="1"/>
  <c r="CT194" i="24" s="1"/>
  <c r="CR145" i="25"/>
  <c r="CS145" i="25" s="1"/>
  <c r="CR170" i="25"/>
  <c r="CS170" i="25" s="1"/>
  <c r="CO194" i="24"/>
  <c r="CR167" i="25"/>
  <c r="CS167" i="25" s="1"/>
  <c r="CR210" i="25"/>
  <c r="CS210" i="25" s="1"/>
  <c r="CR139" i="25"/>
  <c r="CS139" i="25" s="1"/>
  <c r="CQ151" i="24"/>
  <c r="CR151" i="24" s="1"/>
  <c r="CT151" i="24" s="1"/>
  <c r="CO191" i="24"/>
  <c r="CO170" i="24"/>
  <c r="CO151" i="24"/>
  <c r="CO195" i="24"/>
  <c r="CR142" i="25"/>
  <c r="CS142" i="25" s="1"/>
  <c r="CO208" i="24"/>
  <c r="CR173" i="25"/>
  <c r="CS173" i="25" s="1"/>
  <c r="CQ193" i="24"/>
  <c r="CR193" i="24" s="1"/>
  <c r="CT193" i="24" s="1"/>
  <c r="CR184" i="25"/>
  <c r="CS184" i="25" s="1"/>
  <c r="CO145" i="24"/>
  <c r="CQ208" i="24"/>
  <c r="CR208" i="24" s="1"/>
  <c r="CT208" i="24" s="1"/>
  <c r="CQ145" i="24"/>
  <c r="CR145" i="24" s="1"/>
  <c r="CT145" i="24" s="1"/>
  <c r="CR209" i="25"/>
  <c r="CS209" i="25" s="1"/>
  <c r="CO114" i="24"/>
  <c r="CO193" i="24"/>
  <c r="CQ191" i="24"/>
  <c r="CR191" i="24" s="1"/>
  <c r="CT191" i="24" s="1"/>
  <c r="CR136" i="25"/>
  <c r="CS136" i="25" s="1"/>
  <c r="CR117" i="25"/>
  <c r="CS117" i="25" s="1"/>
  <c r="CO148" i="24"/>
  <c r="CO120" i="24"/>
  <c r="CQ148" i="24"/>
  <c r="CR148" i="24" s="1"/>
  <c r="CT148" i="24" s="1"/>
  <c r="CQ152" i="24"/>
  <c r="CR152" i="24" s="1"/>
  <c r="CT152" i="24" s="1"/>
  <c r="CR198" i="25"/>
  <c r="CS198" i="25" s="1"/>
  <c r="CO155" i="24"/>
  <c r="CR188" i="25"/>
  <c r="CS188" i="25" s="1"/>
  <c r="CO205" i="24"/>
  <c r="CO202" i="24"/>
  <c r="CR203" i="25"/>
  <c r="CS203" i="25" s="1"/>
  <c r="CQ202" i="24"/>
  <c r="CR202" i="24" s="1"/>
  <c r="CT202" i="24" s="1"/>
  <c r="CO181" i="24"/>
  <c r="CQ168" i="24"/>
  <c r="CR168" i="24" s="1"/>
  <c r="CT168" i="24" s="1"/>
  <c r="CQ143" i="24"/>
  <c r="CR143" i="24" s="1"/>
  <c r="CT143" i="24" s="1"/>
  <c r="CQ146" i="24"/>
  <c r="CR146" i="24" s="1"/>
  <c r="CT146" i="24" s="1"/>
  <c r="CR191" i="25"/>
  <c r="CS191" i="25" s="1"/>
  <c r="CQ189" i="24"/>
  <c r="CR189" i="24" s="1"/>
  <c r="CT189" i="24" s="1"/>
  <c r="CR151" i="25"/>
  <c r="CS151" i="25" s="1"/>
  <c r="CR175" i="25"/>
  <c r="CS175" i="25" s="1"/>
  <c r="CO206" i="24"/>
  <c r="CQ150" i="24"/>
  <c r="CR150" i="24" s="1"/>
  <c r="CT150" i="24" s="1"/>
  <c r="CR202" i="25"/>
  <c r="CS202" i="25" s="1"/>
  <c r="CO153" i="24"/>
  <c r="CO209" i="24"/>
  <c r="CR204" i="25"/>
  <c r="CS204" i="25" s="1"/>
  <c r="CQ201" i="24"/>
  <c r="CR201" i="24" s="1"/>
  <c r="CT201" i="24" s="1"/>
  <c r="CO133" i="24"/>
  <c r="CR150" i="25"/>
  <c r="CS150" i="25" s="1"/>
  <c r="CO137" i="24"/>
  <c r="CQ137" i="24"/>
  <c r="CR137" i="24" s="1"/>
  <c r="CT137" i="24" s="1"/>
  <c r="CQ180" i="24"/>
  <c r="CR180" i="24" s="1"/>
  <c r="CT180" i="24" s="1"/>
  <c r="CQ141" i="24"/>
  <c r="CR141" i="24" s="1"/>
  <c r="CT141" i="24" s="1"/>
  <c r="CR148" i="25"/>
  <c r="CS148" i="25" s="1"/>
  <c r="CO201" i="24"/>
  <c r="CO182" i="24"/>
  <c r="CR187" i="25"/>
  <c r="CS187" i="25" s="1"/>
  <c r="CR190" i="25"/>
  <c r="CS190" i="25" s="1"/>
  <c r="CO183" i="24"/>
  <c r="CQ154" i="24"/>
  <c r="CR154" i="24" s="1"/>
  <c r="CT154" i="24" s="1"/>
  <c r="CQ182" i="24"/>
  <c r="CR182" i="24" s="1"/>
  <c r="CT182" i="24" s="1"/>
  <c r="CR129" i="25"/>
  <c r="CS129" i="25" s="1"/>
  <c r="CR182" i="25"/>
  <c r="CS182" i="25" s="1"/>
  <c r="CO187" i="24"/>
  <c r="CO141" i="24"/>
  <c r="CO180" i="24"/>
  <c r="CQ133" i="24"/>
  <c r="CR133" i="24" s="1"/>
  <c r="CT133" i="24" s="1"/>
  <c r="CQ187" i="24"/>
  <c r="CR187" i="24" s="1"/>
  <c r="CT187" i="24" s="1"/>
  <c r="CR158" i="25"/>
  <c r="CS158" i="25" s="1"/>
  <c r="CO184" i="24"/>
  <c r="CO162" i="24"/>
  <c r="CQ209" i="24"/>
  <c r="CR209" i="24" s="1"/>
  <c r="CT209" i="24" s="1"/>
  <c r="CQ162" i="24"/>
  <c r="CR162" i="24" s="1"/>
  <c r="CT162" i="24" s="1"/>
  <c r="CR168" i="25"/>
  <c r="CS168" i="25" s="1"/>
  <c r="CO134" i="24"/>
  <c r="CQ183" i="24"/>
  <c r="CR183" i="24" s="1"/>
  <c r="CT183" i="24" s="1"/>
  <c r="CQ134" i="24"/>
  <c r="CR134" i="24" s="1"/>
  <c r="CT134" i="24" s="1"/>
  <c r="CQ184" i="24"/>
  <c r="CR184" i="24" s="1"/>
  <c r="CT184" i="24" s="1"/>
  <c r="CO163" i="24"/>
  <c r="CQ197" i="24"/>
  <c r="CR197" i="24" s="1"/>
  <c r="CT197" i="24" s="1"/>
  <c r="CR146" i="25"/>
  <c r="CS146" i="25" s="1"/>
  <c r="CO130" i="24"/>
  <c r="CR5" i="24"/>
  <c r="DT5" i="24" s="1"/>
  <c r="CO179" i="24"/>
  <c r="CR171" i="25"/>
  <c r="CS171" i="25" s="1"/>
  <c r="CQ172" i="24"/>
  <c r="CR172" i="24" s="1"/>
  <c r="CT172" i="24" s="1"/>
  <c r="CR193" i="25"/>
  <c r="CS193" i="25" s="1"/>
  <c r="CR118" i="25"/>
  <c r="CS118" i="25" s="1"/>
  <c r="CR177" i="25"/>
  <c r="CS177" i="25" s="1"/>
  <c r="CQ171" i="24"/>
  <c r="CR171" i="24" s="1"/>
  <c r="CT171" i="24" s="1"/>
  <c r="CQ126" i="24"/>
  <c r="CR126" i="24" s="1"/>
  <c r="CT126" i="24" s="1"/>
  <c r="CO126" i="24"/>
  <c r="CO160" i="24"/>
  <c r="CO169" i="24"/>
  <c r="CQ160" i="24"/>
  <c r="CR160" i="24" s="1"/>
  <c r="CT160" i="24" s="1"/>
  <c r="CR196" i="25"/>
  <c r="CS196" i="25" s="1"/>
  <c r="CR121" i="25"/>
  <c r="CS121" i="25" s="1"/>
  <c r="CO123" i="24"/>
  <c r="CO197" i="24"/>
  <c r="CR135" i="25"/>
  <c r="CS135" i="25" s="1"/>
  <c r="CQ130" i="24"/>
  <c r="CR130" i="24" s="1"/>
  <c r="CT130" i="24" s="1"/>
  <c r="CR149" i="25"/>
  <c r="CS149" i="25" s="1"/>
  <c r="CO135" i="24"/>
  <c r="CO172" i="24"/>
  <c r="CQ169" i="24"/>
  <c r="CR169" i="24" s="1"/>
  <c r="CT169" i="24" s="1"/>
  <c r="CR166" i="25"/>
  <c r="CS166" i="25" s="1"/>
  <c r="CQ179" i="24"/>
  <c r="CR179" i="24" s="1"/>
  <c r="CT179" i="24" s="1"/>
  <c r="CQ144" i="24"/>
  <c r="CR144" i="24" s="1"/>
  <c r="CT144" i="24" s="1"/>
  <c r="CQ135" i="24"/>
  <c r="CR135" i="24" s="1"/>
  <c r="CT135" i="24" s="1"/>
  <c r="CR180" i="25"/>
  <c r="CS180" i="25" s="1"/>
  <c r="CO144" i="24"/>
  <c r="CQ123" i="24"/>
  <c r="CR123" i="24" s="1"/>
  <c r="CT123" i="24" s="1"/>
  <c r="CR154" i="25"/>
  <c r="CS154" i="25" s="1"/>
  <c r="L14" i="1"/>
  <c r="B83" i="2"/>
  <c r="CO139" i="24"/>
  <c r="CO203" i="24"/>
  <c r="CO190" i="24"/>
  <c r="CO159" i="24"/>
  <c r="CR208" i="25"/>
  <c r="CS208" i="25" s="1"/>
  <c r="CR119" i="25"/>
  <c r="CS119" i="25" s="1"/>
  <c r="CQ188" i="24"/>
  <c r="CR188" i="24" s="1"/>
  <c r="CT188" i="24" s="1"/>
  <c r="CR134" i="25"/>
  <c r="CS134" i="25" s="1"/>
  <c r="CR194" i="25"/>
  <c r="CS194" i="25" s="1"/>
  <c r="CO143" i="24"/>
  <c r="CR160" i="25"/>
  <c r="CS160" i="25" s="1"/>
  <c r="CO189" i="24"/>
  <c r="CQ207" i="24"/>
  <c r="CR207" i="24" s="1"/>
  <c r="CT207" i="24" s="1"/>
  <c r="CR130" i="25"/>
  <c r="CS130" i="25" s="1"/>
  <c r="CO200" i="24"/>
  <c r="CQ203" i="24"/>
  <c r="CR203" i="24" s="1"/>
  <c r="CT203" i="24" s="1"/>
  <c r="CO188" i="24"/>
  <c r="CR176" i="25"/>
  <c r="CS176" i="25" s="1"/>
  <c r="CQ147" i="24"/>
  <c r="CR147" i="24" s="1"/>
  <c r="CT147" i="24" s="1"/>
  <c r="CR165" i="25"/>
  <c r="CS165" i="25" s="1"/>
  <c r="CO146" i="24"/>
  <c r="CO186" i="24"/>
  <c r="CQ190" i="24"/>
  <c r="CR190" i="24" s="1"/>
  <c r="CT190" i="24" s="1"/>
  <c r="CO207" i="24"/>
  <c r="CQ139" i="24"/>
  <c r="CR139" i="24" s="1"/>
  <c r="CT139" i="24" s="1"/>
  <c r="CR163" i="25"/>
  <c r="CS163" i="25" s="1"/>
  <c r="CO147" i="24"/>
  <c r="CQ159" i="24"/>
  <c r="CR159" i="24" s="1"/>
  <c r="CT159" i="24" s="1"/>
  <c r="CR137" i="25"/>
  <c r="CS137" i="25" s="1"/>
  <c r="CQ186" i="24"/>
  <c r="CR186" i="24" s="1"/>
  <c r="CT186" i="24" s="1"/>
  <c r="CQ200" i="24"/>
  <c r="CR200" i="24" s="1"/>
  <c r="CT200" i="24" s="1"/>
  <c r="EO110" i="24"/>
  <c r="CW110" i="24"/>
  <c r="CX110" i="24" s="1"/>
  <c r="CN110" i="24" s="1"/>
  <c r="CN5" i="24"/>
  <c r="DA5" i="24" s="1"/>
  <c r="CS5" i="24"/>
  <c r="FD5" i="24" s="1"/>
  <c r="AW2" i="25"/>
  <c r="EA2" i="25"/>
  <c r="CZ5" i="24"/>
  <c r="CQ298" i="24"/>
  <c r="CR298" i="24" s="1"/>
  <c r="CT298" i="24" s="1"/>
  <c r="CO298" i="24"/>
  <c r="CO307" i="24"/>
  <c r="CQ307" i="24"/>
  <c r="CR307" i="24" s="1"/>
  <c r="CT307" i="24" s="1"/>
  <c r="CO236" i="24"/>
  <c r="CQ236" i="24"/>
  <c r="CR236" i="24" s="1"/>
  <c r="CT236" i="24" s="1"/>
  <c r="CO300" i="24"/>
  <c r="CQ300" i="24"/>
  <c r="CR300" i="24" s="1"/>
  <c r="CT300" i="24" s="1"/>
  <c r="CO309" i="24"/>
  <c r="CQ309" i="24"/>
  <c r="CR309" i="24" s="1"/>
  <c r="CT309" i="24" s="1"/>
  <c r="CQ262" i="24"/>
  <c r="CR262" i="24" s="1"/>
  <c r="CT262" i="24" s="1"/>
  <c r="CO262" i="24"/>
  <c r="CQ232" i="24"/>
  <c r="CR232" i="24" s="1"/>
  <c r="CT232" i="24" s="1"/>
  <c r="CO232" i="24"/>
  <c r="CO296" i="24"/>
  <c r="CQ296" i="24"/>
  <c r="CR296" i="24" s="1"/>
  <c r="CT296" i="24" s="1"/>
  <c r="CR247" i="25"/>
  <c r="CS247" i="25" s="1"/>
  <c r="CR311" i="25"/>
  <c r="CS311" i="25" s="1"/>
  <c r="CR264" i="25"/>
  <c r="CS264" i="25" s="1"/>
  <c r="CR217" i="25"/>
  <c r="CS217" i="25" s="1"/>
  <c r="CR281" i="25"/>
  <c r="CS281" i="25" s="1"/>
  <c r="CR234" i="25"/>
  <c r="CS234" i="25" s="1"/>
  <c r="CR298" i="25"/>
  <c r="CS298" i="25" s="1"/>
  <c r="CR243" i="25"/>
  <c r="CS243" i="25" s="1"/>
  <c r="CR307" i="25"/>
  <c r="CS307" i="25" s="1"/>
  <c r="CR252" i="25"/>
  <c r="CS252" i="25" s="1"/>
  <c r="CR316" i="25"/>
  <c r="CS316" i="25" s="1"/>
  <c r="CR253" i="25"/>
  <c r="CS253" i="25" s="1"/>
  <c r="CQ242" i="24"/>
  <c r="CR242" i="24" s="1"/>
  <c r="CT242" i="24" s="1"/>
  <c r="CO242" i="24"/>
  <c r="CO306" i="24"/>
  <c r="CQ306" i="24"/>
  <c r="CR306" i="24" s="1"/>
  <c r="CT306" i="24" s="1"/>
  <c r="CO251" i="24"/>
  <c r="CQ251" i="24"/>
  <c r="CR251" i="24" s="1"/>
  <c r="CT251" i="24" s="1"/>
  <c r="CO315" i="24"/>
  <c r="CQ315" i="24"/>
  <c r="CR315" i="24" s="1"/>
  <c r="CT315" i="24" s="1"/>
  <c r="CO244" i="24"/>
  <c r="CQ244" i="24"/>
  <c r="CR244" i="24" s="1"/>
  <c r="CT244" i="24" s="1"/>
  <c r="CQ308" i="24"/>
  <c r="CR308" i="24" s="1"/>
  <c r="CT308" i="24" s="1"/>
  <c r="CO308" i="24"/>
  <c r="CQ253" i="24"/>
  <c r="CR253" i="24" s="1"/>
  <c r="CT253" i="24" s="1"/>
  <c r="CO253" i="24"/>
  <c r="CO233" i="24"/>
  <c r="CQ233" i="24"/>
  <c r="CR233" i="24" s="1"/>
  <c r="CT233" i="24" s="1"/>
  <c r="CQ270" i="24"/>
  <c r="CR270" i="24" s="1"/>
  <c r="CT270" i="24" s="1"/>
  <c r="CO270" i="24"/>
  <c r="CW216" i="24"/>
  <c r="CX216" i="24" s="1"/>
  <c r="CO216" i="24"/>
  <c r="CQ216" i="24"/>
  <c r="CR216" i="24" s="1"/>
  <c r="CO279" i="24"/>
  <c r="CQ279" i="24"/>
  <c r="CR279" i="24" s="1"/>
  <c r="CT279" i="24" s="1"/>
  <c r="CQ240" i="24"/>
  <c r="CR240" i="24" s="1"/>
  <c r="CT240" i="24" s="1"/>
  <c r="CO240" i="24"/>
  <c r="CO304" i="24"/>
  <c r="CQ304" i="24"/>
  <c r="CR304" i="24" s="1"/>
  <c r="CT304" i="24" s="1"/>
  <c r="CR255" i="25"/>
  <c r="CS255" i="25" s="1"/>
  <c r="CR230" i="25"/>
  <c r="CS230" i="25" s="1"/>
  <c r="CR272" i="25"/>
  <c r="CS272" i="25" s="1"/>
  <c r="CR225" i="25"/>
  <c r="CS225" i="25" s="1"/>
  <c r="CR289" i="25"/>
  <c r="CS289" i="25" s="1"/>
  <c r="CR242" i="25"/>
  <c r="CS242" i="25" s="1"/>
  <c r="CR306" i="25"/>
  <c r="CS306" i="25" s="1"/>
  <c r="CR251" i="25"/>
  <c r="CS251" i="25" s="1"/>
  <c r="CR315" i="25"/>
  <c r="CS315" i="25" s="1"/>
  <c r="CR260" i="25"/>
  <c r="CS260" i="25" s="1"/>
  <c r="CR222" i="25"/>
  <c r="CS222" i="25" s="1"/>
  <c r="CR261" i="25"/>
  <c r="CS261" i="25" s="1"/>
  <c r="CQ218" i="24"/>
  <c r="CR218" i="24" s="1"/>
  <c r="CT218" i="24" s="1"/>
  <c r="CO218" i="24"/>
  <c r="CQ250" i="24"/>
  <c r="CR250" i="24" s="1"/>
  <c r="CT250" i="24" s="1"/>
  <c r="CO250" i="24"/>
  <c r="CO314" i="24"/>
  <c r="CQ314" i="24"/>
  <c r="CR314" i="24" s="1"/>
  <c r="CT314" i="24" s="1"/>
  <c r="CQ259" i="24"/>
  <c r="CR259" i="24" s="1"/>
  <c r="CT259" i="24" s="1"/>
  <c r="CO259" i="24"/>
  <c r="CO225" i="24"/>
  <c r="CQ225" i="24"/>
  <c r="CR225" i="24" s="1"/>
  <c r="CT225" i="24" s="1"/>
  <c r="CQ252" i="24"/>
  <c r="CR252" i="24" s="1"/>
  <c r="CT252" i="24" s="1"/>
  <c r="CO252" i="24"/>
  <c r="CO316" i="24"/>
  <c r="CQ316" i="24"/>
  <c r="CR316" i="24" s="1"/>
  <c r="CT316" i="24" s="1"/>
  <c r="CQ261" i="24"/>
  <c r="CR261" i="24" s="1"/>
  <c r="CT261" i="24" s="1"/>
  <c r="CO261" i="24"/>
  <c r="CO313" i="24"/>
  <c r="CQ313" i="24"/>
  <c r="CR313" i="24" s="1"/>
  <c r="CT313" i="24" s="1"/>
  <c r="CQ278" i="24"/>
  <c r="CR278" i="24" s="1"/>
  <c r="CT278" i="24" s="1"/>
  <c r="CO278" i="24"/>
  <c r="CQ223" i="24"/>
  <c r="CR223" i="24" s="1"/>
  <c r="CT223" i="24" s="1"/>
  <c r="CO223" i="24"/>
  <c r="CQ287" i="24"/>
  <c r="CR287" i="24" s="1"/>
  <c r="CT287" i="24" s="1"/>
  <c r="CO287" i="24"/>
  <c r="CQ248" i="24"/>
  <c r="CR248" i="24" s="1"/>
  <c r="CT248" i="24" s="1"/>
  <c r="CO248" i="24"/>
  <c r="CO312" i="24"/>
  <c r="CQ312" i="24"/>
  <c r="CR312" i="24" s="1"/>
  <c r="CT312" i="24" s="1"/>
  <c r="CR263" i="25"/>
  <c r="CS263" i="25" s="1"/>
  <c r="CR302" i="25"/>
  <c r="CS302" i="25" s="1"/>
  <c r="CR280" i="25"/>
  <c r="CS280" i="25" s="1"/>
  <c r="CR233" i="25"/>
  <c r="CS233" i="25" s="1"/>
  <c r="CR297" i="25"/>
  <c r="CS297" i="25" s="1"/>
  <c r="CR250" i="25"/>
  <c r="CS250" i="25" s="1"/>
  <c r="CR314" i="25"/>
  <c r="CS314" i="25" s="1"/>
  <c r="CR259" i="25"/>
  <c r="CS259" i="25" s="1"/>
  <c r="CR254" i="25"/>
  <c r="CS254" i="25" s="1"/>
  <c r="CR268" i="25"/>
  <c r="CS268" i="25" s="1"/>
  <c r="CR246" i="25"/>
  <c r="CS246" i="25" s="1"/>
  <c r="CR269" i="25"/>
  <c r="CS269" i="25" s="1"/>
  <c r="CO243" i="24"/>
  <c r="CQ243" i="24"/>
  <c r="CR243" i="24" s="1"/>
  <c r="CT243" i="24" s="1"/>
  <c r="CQ258" i="24"/>
  <c r="CR258" i="24" s="1"/>
  <c r="CT258" i="24" s="1"/>
  <c r="CO258" i="24"/>
  <c r="CO257" i="24"/>
  <c r="CQ257" i="24"/>
  <c r="CR257" i="24" s="1"/>
  <c r="CT257" i="24" s="1"/>
  <c r="CO267" i="24"/>
  <c r="CQ267" i="24"/>
  <c r="CR267" i="24" s="1"/>
  <c r="CT267" i="24" s="1"/>
  <c r="CO265" i="24"/>
  <c r="CQ265" i="24"/>
  <c r="CR265" i="24" s="1"/>
  <c r="CT265" i="24" s="1"/>
  <c r="CO260" i="24"/>
  <c r="CQ260" i="24"/>
  <c r="CR260" i="24" s="1"/>
  <c r="CT260" i="24" s="1"/>
  <c r="CQ249" i="24"/>
  <c r="CR249" i="24" s="1"/>
  <c r="CT249" i="24" s="1"/>
  <c r="CO249" i="24"/>
  <c r="CO269" i="24"/>
  <c r="CQ269" i="24"/>
  <c r="CR269" i="24" s="1"/>
  <c r="CT269" i="24" s="1"/>
  <c r="CO222" i="24"/>
  <c r="CQ222" i="24"/>
  <c r="CR222" i="24" s="1"/>
  <c r="CT222" i="24" s="1"/>
  <c r="CO286" i="24"/>
  <c r="CQ286" i="24"/>
  <c r="CR286" i="24" s="1"/>
  <c r="CT286" i="24" s="1"/>
  <c r="CQ231" i="24"/>
  <c r="CR231" i="24" s="1"/>
  <c r="CT231" i="24" s="1"/>
  <c r="CO231" i="24"/>
  <c r="CQ295" i="24"/>
  <c r="CR295" i="24" s="1"/>
  <c r="CT295" i="24" s="1"/>
  <c r="CO295" i="24"/>
  <c r="CO256" i="24"/>
  <c r="CQ256" i="24"/>
  <c r="CR256" i="24" s="1"/>
  <c r="CT256" i="24" s="1"/>
  <c r="CR310" i="25"/>
  <c r="CS310" i="25" s="1"/>
  <c r="CR271" i="25"/>
  <c r="CS271" i="25" s="1"/>
  <c r="CR224" i="25"/>
  <c r="CS224" i="25" s="1"/>
  <c r="CR288" i="25"/>
  <c r="CS288" i="25" s="1"/>
  <c r="CR241" i="25"/>
  <c r="CS241" i="25" s="1"/>
  <c r="CR305" i="25"/>
  <c r="CS305" i="25" s="1"/>
  <c r="CR258" i="25"/>
  <c r="CS258" i="25" s="1"/>
  <c r="CR238" i="25"/>
  <c r="CS238" i="25" s="1"/>
  <c r="CR267" i="25"/>
  <c r="CS267" i="25" s="1"/>
  <c r="CR278" i="25"/>
  <c r="CS278" i="25" s="1"/>
  <c r="CR276" i="25"/>
  <c r="CS276" i="25" s="1"/>
  <c r="CR262" i="25"/>
  <c r="CS262" i="25" s="1"/>
  <c r="CR277" i="25"/>
  <c r="CS277" i="25" s="1"/>
  <c r="CO245" i="24"/>
  <c r="CQ245" i="24"/>
  <c r="CR245" i="24" s="1"/>
  <c r="CT245" i="24" s="1"/>
  <c r="CO266" i="24"/>
  <c r="CQ266" i="24"/>
  <c r="CR266" i="24" s="1"/>
  <c r="CT266" i="24" s="1"/>
  <c r="CQ234" i="24"/>
  <c r="CR234" i="24" s="1"/>
  <c r="CT234" i="24" s="1"/>
  <c r="CO234" i="24"/>
  <c r="CQ275" i="24"/>
  <c r="CR275" i="24" s="1"/>
  <c r="CT275" i="24" s="1"/>
  <c r="CO275" i="24"/>
  <c r="CQ297" i="24"/>
  <c r="CR297" i="24" s="1"/>
  <c r="CT297" i="24" s="1"/>
  <c r="CO297" i="24"/>
  <c r="CO268" i="24"/>
  <c r="CQ268" i="24"/>
  <c r="CR268" i="24" s="1"/>
  <c r="CT268" i="24" s="1"/>
  <c r="CQ289" i="24"/>
  <c r="CR289" i="24" s="1"/>
  <c r="CT289" i="24" s="1"/>
  <c r="CO289" i="24"/>
  <c r="CQ277" i="24"/>
  <c r="CR277" i="24" s="1"/>
  <c r="CT277" i="24" s="1"/>
  <c r="CO277" i="24"/>
  <c r="CQ230" i="24"/>
  <c r="CR230" i="24" s="1"/>
  <c r="CT230" i="24" s="1"/>
  <c r="CO230" i="24"/>
  <c r="CQ294" i="24"/>
  <c r="CR294" i="24" s="1"/>
  <c r="CT294" i="24" s="1"/>
  <c r="CO294" i="24"/>
  <c r="CO239" i="24"/>
  <c r="CQ239" i="24"/>
  <c r="CR239" i="24" s="1"/>
  <c r="CT239" i="24" s="1"/>
  <c r="CQ303" i="24"/>
  <c r="CR303" i="24" s="1"/>
  <c r="CT303" i="24" s="1"/>
  <c r="CO303" i="24"/>
  <c r="CQ264" i="24"/>
  <c r="CR264" i="24" s="1"/>
  <c r="CT264" i="24" s="1"/>
  <c r="CO264" i="24"/>
  <c r="CR216" i="25"/>
  <c r="CX216" i="25" s="1"/>
  <c r="CY216" i="25" s="1"/>
  <c r="CR279" i="25"/>
  <c r="CS279" i="25" s="1"/>
  <c r="CR232" i="25"/>
  <c r="CS232" i="25" s="1"/>
  <c r="CR296" i="25"/>
  <c r="CS296" i="25" s="1"/>
  <c r="CR249" i="25"/>
  <c r="CS249" i="25" s="1"/>
  <c r="CR313" i="25"/>
  <c r="CS313" i="25" s="1"/>
  <c r="CR266" i="25"/>
  <c r="CS266" i="25" s="1"/>
  <c r="CR270" i="25"/>
  <c r="CS270" i="25" s="1"/>
  <c r="CR275" i="25"/>
  <c r="CS275" i="25" s="1"/>
  <c r="CR220" i="25"/>
  <c r="CS220" i="25" s="1"/>
  <c r="CR284" i="25"/>
  <c r="CS284" i="25" s="1"/>
  <c r="CR221" i="25"/>
  <c r="CS221" i="25" s="1"/>
  <c r="CR285" i="25"/>
  <c r="CS285" i="25" s="1"/>
  <c r="CQ305" i="24"/>
  <c r="CR305" i="24" s="1"/>
  <c r="CT305" i="24" s="1"/>
  <c r="CO305" i="24"/>
  <c r="CQ274" i="24"/>
  <c r="CR274" i="24" s="1"/>
  <c r="CT274" i="24" s="1"/>
  <c r="CO274" i="24"/>
  <c r="CO219" i="24"/>
  <c r="CQ219" i="24"/>
  <c r="CR219" i="24" s="1"/>
  <c r="CT219" i="24" s="1"/>
  <c r="CO283" i="24"/>
  <c r="CQ283" i="24"/>
  <c r="CR283" i="24" s="1"/>
  <c r="CT283" i="24" s="1"/>
  <c r="CQ226" i="24"/>
  <c r="CR226" i="24" s="1"/>
  <c r="CT226" i="24" s="1"/>
  <c r="CO226" i="24"/>
  <c r="CQ276" i="24"/>
  <c r="CR276" i="24" s="1"/>
  <c r="CT276" i="24" s="1"/>
  <c r="CO276" i="24"/>
  <c r="CQ221" i="24"/>
  <c r="CR221" i="24" s="1"/>
  <c r="CT221" i="24" s="1"/>
  <c r="CO221" i="24"/>
  <c r="CO285" i="24"/>
  <c r="CQ285" i="24"/>
  <c r="CR285" i="24" s="1"/>
  <c r="CT285" i="24" s="1"/>
  <c r="CO238" i="24"/>
  <c r="CQ238" i="24"/>
  <c r="CR238" i="24" s="1"/>
  <c r="CT238" i="24" s="1"/>
  <c r="CQ302" i="24"/>
  <c r="CR302" i="24" s="1"/>
  <c r="CT302" i="24" s="1"/>
  <c r="CO302" i="24"/>
  <c r="CQ247" i="24"/>
  <c r="CR247" i="24" s="1"/>
  <c r="CT247" i="24" s="1"/>
  <c r="CO247" i="24"/>
  <c r="CQ311" i="24"/>
  <c r="CR311" i="24" s="1"/>
  <c r="CT311" i="24" s="1"/>
  <c r="CO311" i="24"/>
  <c r="CQ272" i="24"/>
  <c r="CR272" i="24" s="1"/>
  <c r="CT272" i="24" s="1"/>
  <c r="CO272" i="24"/>
  <c r="CR223" i="25"/>
  <c r="CS223" i="25" s="1"/>
  <c r="CR287" i="25"/>
  <c r="CS287" i="25" s="1"/>
  <c r="CR240" i="25"/>
  <c r="CS240" i="25" s="1"/>
  <c r="CR304" i="25"/>
  <c r="CS304" i="25" s="1"/>
  <c r="CR257" i="25"/>
  <c r="CS257" i="25" s="1"/>
  <c r="CR294" i="25"/>
  <c r="CS294" i="25" s="1"/>
  <c r="CR274" i="25"/>
  <c r="CS274" i="25" s="1"/>
  <c r="CR219" i="25"/>
  <c r="CS219" i="25" s="1"/>
  <c r="CR283" i="25"/>
  <c r="CS283" i="25" s="1"/>
  <c r="CR228" i="25"/>
  <c r="CS228" i="25" s="1"/>
  <c r="CR292" i="25"/>
  <c r="CS292" i="25" s="1"/>
  <c r="CR229" i="25"/>
  <c r="CS229" i="25" s="1"/>
  <c r="CR293" i="25"/>
  <c r="CS293" i="25" s="1"/>
  <c r="CO217" i="24"/>
  <c r="CQ217" i="24"/>
  <c r="CR217" i="24" s="1"/>
  <c r="CT217" i="24" s="1"/>
  <c r="CQ282" i="24"/>
  <c r="CR282" i="24" s="1"/>
  <c r="CT282" i="24" s="1"/>
  <c r="CO282" i="24"/>
  <c r="CO227" i="24"/>
  <c r="CQ227" i="24"/>
  <c r="CR227" i="24" s="1"/>
  <c r="CT227" i="24" s="1"/>
  <c r="CQ291" i="24"/>
  <c r="CR291" i="24" s="1"/>
  <c r="CT291" i="24" s="1"/>
  <c r="CO291" i="24"/>
  <c r="CO220" i="24"/>
  <c r="CQ220" i="24"/>
  <c r="CR220" i="24" s="1"/>
  <c r="CT220" i="24" s="1"/>
  <c r="CQ284" i="24"/>
  <c r="CR284" i="24" s="1"/>
  <c r="CT284" i="24" s="1"/>
  <c r="CO284" i="24"/>
  <c r="CQ229" i="24"/>
  <c r="CR229" i="24" s="1"/>
  <c r="CT229" i="24" s="1"/>
  <c r="CO229" i="24"/>
  <c r="CO293" i="24"/>
  <c r="CQ293" i="24"/>
  <c r="CR293" i="24" s="1"/>
  <c r="CT293" i="24" s="1"/>
  <c r="CQ246" i="24"/>
  <c r="CR246" i="24" s="1"/>
  <c r="CT246" i="24" s="1"/>
  <c r="CO246" i="24"/>
  <c r="CO310" i="24"/>
  <c r="CQ310" i="24"/>
  <c r="CR310" i="24" s="1"/>
  <c r="CT310" i="24" s="1"/>
  <c r="CQ255" i="24"/>
  <c r="CR255" i="24" s="1"/>
  <c r="CT255" i="24" s="1"/>
  <c r="CO255" i="24"/>
  <c r="CO281" i="24"/>
  <c r="CQ281" i="24"/>
  <c r="CR281" i="24" s="1"/>
  <c r="CT281" i="24" s="1"/>
  <c r="CO280" i="24"/>
  <c r="CQ280" i="24"/>
  <c r="CR280" i="24" s="1"/>
  <c r="CT280" i="24" s="1"/>
  <c r="CR231" i="25"/>
  <c r="CS231" i="25" s="1"/>
  <c r="CR295" i="25"/>
  <c r="CS295" i="25" s="1"/>
  <c r="CR248" i="25"/>
  <c r="CS248" i="25" s="1"/>
  <c r="CR312" i="25"/>
  <c r="CS312" i="25" s="1"/>
  <c r="CR265" i="25"/>
  <c r="CS265" i="25" s="1"/>
  <c r="CR218" i="25"/>
  <c r="CS218" i="25" s="1"/>
  <c r="CR282" i="25"/>
  <c r="CS282" i="25" s="1"/>
  <c r="CR227" i="25"/>
  <c r="CS227" i="25" s="1"/>
  <c r="CR291" i="25"/>
  <c r="CS291" i="25" s="1"/>
  <c r="CR236" i="25"/>
  <c r="CS236" i="25" s="1"/>
  <c r="CR300" i="25"/>
  <c r="CS300" i="25" s="1"/>
  <c r="CR237" i="25"/>
  <c r="CS237" i="25" s="1"/>
  <c r="CR301" i="25"/>
  <c r="CS301" i="25" s="1"/>
  <c r="CQ271" i="24"/>
  <c r="CR271" i="24" s="1"/>
  <c r="CT271" i="24" s="1"/>
  <c r="CO271" i="24"/>
  <c r="CQ273" i="24"/>
  <c r="CR273" i="24" s="1"/>
  <c r="CT273" i="24" s="1"/>
  <c r="CO273" i="24"/>
  <c r="CQ290" i="24"/>
  <c r="CR290" i="24" s="1"/>
  <c r="CT290" i="24" s="1"/>
  <c r="CO290" i="24"/>
  <c r="CQ235" i="24"/>
  <c r="CR235" i="24" s="1"/>
  <c r="CT235" i="24" s="1"/>
  <c r="CO235" i="24"/>
  <c r="CQ299" i="24"/>
  <c r="CR299" i="24" s="1"/>
  <c r="CT299" i="24" s="1"/>
  <c r="CO299" i="24"/>
  <c r="CO228" i="24"/>
  <c r="CQ228" i="24"/>
  <c r="CR228" i="24" s="1"/>
  <c r="CT228" i="24" s="1"/>
  <c r="CO292" i="24"/>
  <c r="CQ292" i="24"/>
  <c r="CR292" i="24" s="1"/>
  <c r="CT292" i="24" s="1"/>
  <c r="CQ237" i="24"/>
  <c r="CR237" i="24" s="1"/>
  <c r="CT237" i="24" s="1"/>
  <c r="CO237" i="24"/>
  <c r="CO301" i="24"/>
  <c r="CQ301" i="24"/>
  <c r="CR301" i="24" s="1"/>
  <c r="CT301" i="24" s="1"/>
  <c r="CO254" i="24"/>
  <c r="CQ254" i="24"/>
  <c r="CR254" i="24" s="1"/>
  <c r="CT254" i="24" s="1"/>
  <c r="CO241" i="24"/>
  <c r="CQ241" i="24"/>
  <c r="CR241" i="24" s="1"/>
  <c r="CT241" i="24" s="1"/>
  <c r="CQ263" i="24"/>
  <c r="CR263" i="24" s="1"/>
  <c r="CT263" i="24" s="1"/>
  <c r="CO263" i="24"/>
  <c r="CO224" i="24"/>
  <c r="CQ224" i="24"/>
  <c r="CR224" i="24" s="1"/>
  <c r="CT224" i="24" s="1"/>
  <c r="CQ288" i="24"/>
  <c r="CR288" i="24" s="1"/>
  <c r="CT288" i="24" s="1"/>
  <c r="CO288" i="24"/>
  <c r="CR239" i="25"/>
  <c r="CS239" i="25" s="1"/>
  <c r="CR303" i="25"/>
  <c r="CS303" i="25" s="1"/>
  <c r="CR256" i="25"/>
  <c r="CS256" i="25" s="1"/>
  <c r="CR286" i="25"/>
  <c r="CS286" i="25" s="1"/>
  <c r="CR273" i="25"/>
  <c r="CS273" i="25" s="1"/>
  <c r="CR226" i="25"/>
  <c r="CS226" i="25" s="1"/>
  <c r="CR290" i="25"/>
  <c r="CS290" i="25" s="1"/>
  <c r="CR235" i="25"/>
  <c r="CS235" i="25" s="1"/>
  <c r="CR299" i="25"/>
  <c r="CS299" i="25" s="1"/>
  <c r="CR244" i="25"/>
  <c r="CS244" i="25" s="1"/>
  <c r="CR308" i="25"/>
  <c r="CS308" i="25" s="1"/>
  <c r="CR245" i="25"/>
  <c r="CS245" i="25" s="1"/>
  <c r="CR309" i="25"/>
  <c r="CS309" i="25" s="1"/>
  <c r="CS195" i="25"/>
  <c r="CS96" i="25"/>
  <c r="CS49" i="25"/>
  <c r="CS30" i="25"/>
  <c r="CS83" i="25"/>
  <c r="CS60" i="25"/>
  <c r="CS111" i="25"/>
  <c r="CS84" i="25"/>
  <c r="CS38" i="25"/>
  <c r="CS69" i="25"/>
  <c r="CS65" i="25"/>
  <c r="CS57" i="25"/>
  <c r="CS102" i="25"/>
  <c r="CS64" i="25"/>
  <c r="CS56" i="25"/>
  <c r="CS53" i="25"/>
  <c r="CS75" i="25"/>
  <c r="CS22" i="25"/>
  <c r="CS101" i="25"/>
  <c r="CS73" i="25"/>
  <c r="CS122" i="25"/>
  <c r="CS34" i="25"/>
  <c r="CS26" i="25"/>
  <c r="CS18" i="25"/>
  <c r="CS61" i="25"/>
  <c r="CS105" i="25"/>
  <c r="CS14" i="25"/>
  <c r="CS6" i="25"/>
  <c r="CS13" i="25"/>
  <c r="CS97" i="25"/>
  <c r="CS72" i="25"/>
  <c r="CS21" i="25"/>
  <c r="CS87" i="25"/>
  <c r="CS10" i="25"/>
  <c r="CS46" i="25"/>
  <c r="CS54" i="25"/>
  <c r="CS62" i="25"/>
  <c r="CS70" i="25"/>
  <c r="CS80" i="25"/>
  <c r="CS81" i="25"/>
  <c r="CS25" i="25"/>
  <c r="CS17" i="25"/>
  <c r="CS95" i="25"/>
  <c r="CS91" i="25"/>
  <c r="CS92" i="25"/>
  <c r="CS68" i="25"/>
  <c r="CS88" i="25"/>
  <c r="CS98" i="25"/>
  <c r="CS16" i="25"/>
  <c r="CS9" i="25"/>
  <c r="CS50" i="25"/>
  <c r="CS35" i="25"/>
  <c r="CS42" i="25"/>
  <c r="CS29" i="25"/>
  <c r="CS66" i="25"/>
  <c r="CS200" i="25"/>
  <c r="CS58" i="25"/>
  <c r="CS79" i="25"/>
  <c r="CS32" i="25"/>
  <c r="CS15" i="25"/>
  <c r="CS103" i="25"/>
  <c r="CS7" i="25"/>
  <c r="CS48" i="25"/>
  <c r="CS55" i="25"/>
  <c r="CS86" i="25"/>
  <c r="CS20" i="25"/>
  <c r="CS33" i="25"/>
  <c r="CS89" i="25"/>
  <c r="CS90" i="25"/>
  <c r="CS74" i="25"/>
  <c r="CS76" i="25"/>
  <c r="CS51" i="25"/>
  <c r="CS28" i="25"/>
  <c r="CS41" i="25"/>
  <c r="CS44" i="25"/>
  <c r="CS27" i="25"/>
  <c r="CS11" i="25"/>
  <c r="CS36" i="25"/>
  <c r="CS67" i="25"/>
  <c r="CS31" i="25"/>
  <c r="CS47" i="25"/>
  <c r="CS59" i="25"/>
  <c r="CS71" i="25"/>
  <c r="CS94" i="25"/>
  <c r="CS45" i="25"/>
  <c r="CS40" i="25"/>
  <c r="CS43" i="25"/>
  <c r="CS78" i="25"/>
  <c r="CS85" i="25"/>
  <c r="CS77" i="25"/>
  <c r="CS63" i="25"/>
  <c r="CS23" i="25"/>
  <c r="CS37" i="25"/>
  <c r="CS104" i="25"/>
  <c r="CS82" i="25"/>
  <c r="CS8" i="25"/>
  <c r="CS99" i="25"/>
  <c r="CS93" i="25"/>
  <c r="CS39" i="25"/>
  <c r="CS152" i="25"/>
  <c r="CS12" i="25"/>
  <c r="CS100" i="25"/>
  <c r="CS24" i="25"/>
  <c r="CS19" i="25"/>
  <c r="CS52" i="25"/>
  <c r="CJ306" i="25"/>
  <c r="CJ300" i="25"/>
  <c r="CJ299" i="25"/>
  <c r="CJ278" i="25"/>
  <c r="CJ263" i="25"/>
  <c r="CJ259" i="25"/>
  <c r="CJ256" i="25"/>
  <c r="CJ250" i="25"/>
  <c r="CJ235" i="25"/>
  <c r="CJ225" i="25"/>
  <c r="CJ220" i="25"/>
  <c r="CJ210" i="25"/>
  <c r="CJ207" i="25"/>
  <c r="CJ200" i="25"/>
  <c r="CJ197" i="25"/>
  <c r="CJ195" i="25"/>
  <c r="CJ194" i="25"/>
  <c r="CJ192" i="25"/>
  <c r="CJ186" i="25"/>
  <c r="CJ178" i="25"/>
  <c r="CJ167" i="25"/>
  <c r="CJ147" i="25"/>
  <c r="CJ309" i="25"/>
  <c r="CJ307" i="25"/>
  <c r="CJ275" i="25"/>
  <c r="CJ272" i="25"/>
  <c r="CJ271" i="25"/>
  <c r="CJ267" i="25"/>
  <c r="CJ255" i="25"/>
  <c r="CJ254" i="25"/>
  <c r="CJ251" i="25"/>
  <c r="CJ242" i="25"/>
  <c r="CJ241" i="25"/>
  <c r="CJ236" i="25"/>
  <c r="CJ231" i="25"/>
  <c r="CJ218" i="25"/>
  <c r="CJ205" i="25"/>
  <c r="CJ198" i="25"/>
  <c r="CJ182" i="25"/>
  <c r="CJ181" i="25"/>
  <c r="CJ180" i="25"/>
  <c r="CJ179" i="25"/>
  <c r="CJ166" i="25"/>
  <c r="CJ158" i="25"/>
  <c r="CJ155" i="25"/>
  <c r="CJ149" i="25"/>
  <c r="CJ314" i="25"/>
  <c r="CJ295" i="25"/>
  <c r="CJ294" i="25"/>
  <c r="CJ289" i="25"/>
  <c r="CJ279" i="25"/>
  <c r="CJ268" i="25"/>
  <c r="CJ260" i="25"/>
  <c r="CJ253" i="25"/>
  <c r="CJ252" i="25"/>
  <c r="CJ244" i="25"/>
  <c r="CJ237" i="25"/>
  <c r="CJ228" i="25"/>
  <c r="CJ204" i="25"/>
  <c r="CJ203" i="25"/>
  <c r="CJ187" i="25"/>
  <c r="CJ183" i="25"/>
  <c r="CJ168" i="25"/>
  <c r="CJ164" i="25"/>
  <c r="CJ161" i="25"/>
  <c r="CJ152" i="25"/>
  <c r="CJ310" i="25"/>
  <c r="CJ303" i="25"/>
  <c r="CJ301" i="25"/>
  <c r="CJ246" i="25"/>
  <c r="CJ245" i="25"/>
  <c r="CJ243" i="25"/>
  <c r="CJ238" i="25"/>
  <c r="CJ232" i="25"/>
  <c r="CJ223" i="25"/>
  <c r="CJ221" i="25"/>
  <c r="CJ191" i="25"/>
  <c r="CJ170" i="25"/>
  <c r="CJ169" i="25"/>
  <c r="CJ156" i="25"/>
  <c r="CJ146" i="25"/>
  <c r="CJ315" i="25"/>
  <c r="CJ311" i="25"/>
  <c r="CJ297" i="25"/>
  <c r="CJ296" i="25"/>
  <c r="CJ292" i="25"/>
  <c r="CJ290" i="25"/>
  <c r="CJ280" i="25"/>
  <c r="CJ276" i="25"/>
  <c r="CJ269" i="25"/>
  <c r="CJ261" i="25"/>
  <c r="CJ248" i="25"/>
  <c r="CJ229" i="25"/>
  <c r="CJ190" i="25"/>
  <c r="CJ189" i="25"/>
  <c r="CJ188" i="25"/>
  <c r="CJ185" i="25"/>
  <c r="CJ184" i="25"/>
  <c r="CJ165" i="25"/>
  <c r="CJ162" i="25"/>
  <c r="CJ159" i="25"/>
  <c r="CJ308" i="25"/>
  <c r="CJ287" i="25"/>
  <c r="CJ285" i="25"/>
  <c r="CJ283" i="25"/>
  <c r="CJ281" i="25"/>
  <c r="CJ274" i="25"/>
  <c r="CJ273" i="25"/>
  <c r="CJ270" i="25"/>
  <c r="CJ247" i="25"/>
  <c r="CJ239" i="25"/>
  <c r="CJ233" i="25"/>
  <c r="CJ226" i="25"/>
  <c r="CJ219" i="25"/>
  <c r="CJ217" i="25"/>
  <c r="CJ206" i="25"/>
  <c r="CJ202" i="25"/>
  <c r="CJ172" i="25"/>
  <c r="CJ171" i="25"/>
  <c r="CJ153" i="25"/>
  <c r="CJ148" i="25"/>
  <c r="CJ302" i="25"/>
  <c r="CJ291" i="25"/>
  <c r="CJ249" i="25"/>
  <c r="CJ222" i="25"/>
  <c r="CJ193" i="25"/>
  <c r="CJ173" i="25"/>
  <c r="CJ151" i="25"/>
  <c r="CJ143" i="25"/>
  <c r="CJ288" i="25"/>
  <c r="CJ282" i="25"/>
  <c r="CJ264" i="25"/>
  <c r="CJ224" i="25"/>
  <c r="CJ209" i="25"/>
  <c r="CJ140" i="25"/>
  <c r="CJ130" i="25"/>
  <c r="CJ129" i="25"/>
  <c r="CJ128" i="25"/>
  <c r="CJ124" i="25"/>
  <c r="CJ120" i="25"/>
  <c r="CJ118" i="25"/>
  <c r="CJ78" i="25"/>
  <c r="CJ69" i="25"/>
  <c r="CJ65" i="25"/>
  <c r="CJ57" i="25"/>
  <c r="CJ44" i="25"/>
  <c r="CJ32" i="25"/>
  <c r="CJ304" i="25"/>
  <c r="CJ293" i="25"/>
  <c r="CJ257" i="25"/>
  <c r="CJ227" i="25"/>
  <c r="CJ177" i="25"/>
  <c r="CJ145" i="25"/>
  <c r="CJ137" i="25"/>
  <c r="CJ134" i="25"/>
  <c r="CJ127" i="25"/>
  <c r="CJ123" i="25"/>
  <c r="CJ122" i="25"/>
  <c r="CJ121" i="25"/>
  <c r="CJ100" i="25"/>
  <c r="CJ85" i="25"/>
  <c r="CJ39" i="25"/>
  <c r="CJ312" i="25"/>
  <c r="CJ201" i="25"/>
  <c r="CJ174" i="25"/>
  <c r="CJ142" i="25"/>
  <c r="CJ139" i="25"/>
  <c r="CJ126" i="25"/>
  <c r="CJ125" i="25"/>
  <c r="CJ102" i="25"/>
  <c r="CJ101" i="25"/>
  <c r="CJ99" i="25"/>
  <c r="CJ94" i="25"/>
  <c r="CJ93" i="25"/>
  <c r="CJ88" i="25"/>
  <c r="CJ86" i="25"/>
  <c r="CJ79" i="25"/>
  <c r="CJ64" i="25"/>
  <c r="CJ56" i="25"/>
  <c r="CJ54" i="25"/>
  <c r="CJ50" i="25"/>
  <c r="CJ45" i="25"/>
  <c r="CJ40" i="25"/>
  <c r="CJ34" i="25"/>
  <c r="CJ33" i="25"/>
  <c r="CJ316" i="25"/>
  <c r="CJ286" i="25"/>
  <c r="CJ265" i="25"/>
  <c r="CJ150" i="25"/>
  <c r="CJ136" i="25"/>
  <c r="CJ95" i="25"/>
  <c r="CJ87" i="25"/>
  <c r="CJ74" i="25"/>
  <c r="CJ73" i="25"/>
  <c r="CJ63" i="25"/>
  <c r="CJ62" i="25"/>
  <c r="CJ52" i="25"/>
  <c r="CJ46" i="25"/>
  <c r="CJ298" i="25"/>
  <c r="CJ277" i="25"/>
  <c r="CJ262" i="25"/>
  <c r="CJ234" i="25"/>
  <c r="CJ196" i="25"/>
  <c r="CJ144" i="25"/>
  <c r="CJ138" i="25"/>
  <c r="CJ104" i="25"/>
  <c r="CJ96" i="25"/>
  <c r="CJ90" i="25"/>
  <c r="CJ89" i="25"/>
  <c r="CJ68" i="25"/>
  <c r="CJ67" i="25"/>
  <c r="CJ53" i="25"/>
  <c r="CJ51" i="25"/>
  <c r="CJ313" i="25"/>
  <c r="CJ284" i="25"/>
  <c r="CJ266" i="25"/>
  <c r="CJ119" i="25"/>
  <c r="CJ91" i="25"/>
  <c r="CJ84" i="25"/>
  <c r="CJ80" i="25"/>
  <c r="CJ75" i="25"/>
  <c r="CJ70" i="25"/>
  <c r="CJ48" i="25"/>
  <c r="CJ47" i="25"/>
  <c r="CJ22" i="25"/>
  <c r="CJ12" i="25"/>
  <c r="CJ11" i="25"/>
  <c r="CJ10" i="25"/>
  <c r="CJ258" i="25"/>
  <c r="CJ115" i="25"/>
  <c r="CJ71" i="25"/>
  <c r="CJ55" i="25"/>
  <c r="CJ43" i="25"/>
  <c r="CJ305" i="25"/>
  <c r="CJ135" i="25"/>
  <c r="CJ116" i="25"/>
  <c r="CJ111" i="25"/>
  <c r="CJ105" i="25"/>
  <c r="CJ92" i="25"/>
  <c r="CJ82" i="25"/>
  <c r="CJ59" i="25"/>
  <c r="CJ49" i="25"/>
  <c r="CJ36" i="25"/>
  <c r="CJ35" i="25"/>
  <c r="CJ41" i="25"/>
  <c r="CJ30" i="25"/>
  <c r="CJ28" i="25"/>
  <c r="CJ27" i="25"/>
  <c r="CJ25" i="25"/>
  <c r="CJ16" i="25"/>
  <c r="CJ61" i="25"/>
  <c r="CJ31" i="25"/>
  <c r="CJ141" i="25"/>
  <c r="CJ13" i="25"/>
  <c r="CJ9" i="25"/>
  <c r="CJ175" i="25"/>
  <c r="CJ117" i="25"/>
  <c r="CJ103" i="25"/>
  <c r="CJ97" i="25"/>
  <c r="CJ77" i="25"/>
  <c r="CJ21" i="25"/>
  <c r="CJ42" i="25"/>
  <c r="CJ17" i="25"/>
  <c r="CJ15" i="25"/>
  <c r="CJ230" i="25"/>
  <c r="CJ131" i="25"/>
  <c r="CJ83" i="25"/>
  <c r="CJ72" i="25"/>
  <c r="CJ66" i="25"/>
  <c r="CJ81" i="25"/>
  <c r="CJ176" i="25"/>
  <c r="CJ157" i="25"/>
  <c r="CJ154" i="25"/>
  <c r="CJ132" i="25"/>
  <c r="CJ113" i="25"/>
  <c r="CJ98" i="25"/>
  <c r="CJ60" i="25"/>
  <c r="CJ29" i="25"/>
  <c r="CJ14" i="25"/>
  <c r="CJ208" i="25"/>
  <c r="CJ199" i="25"/>
  <c r="CJ163" i="25"/>
  <c r="CJ160" i="25"/>
  <c r="CJ133" i="25"/>
  <c r="CJ114" i="25"/>
  <c r="CJ58" i="25"/>
  <c r="CJ37" i="25"/>
  <c r="CJ8" i="25"/>
  <c r="CJ240" i="25"/>
  <c r="CJ76" i="25"/>
  <c r="CJ26" i="25"/>
  <c r="CJ19" i="25"/>
  <c r="CJ23" i="25"/>
  <c r="CJ24" i="25"/>
  <c r="CJ38" i="25"/>
  <c r="CJ20" i="25"/>
  <c r="CJ18" i="25"/>
  <c r="CJ300" i="24"/>
  <c r="ES300" i="24" s="1"/>
  <c r="EV300" i="24" s="1"/>
  <c r="CJ296" i="24"/>
  <c r="ES296" i="24" s="1"/>
  <c r="EV296" i="24" s="1"/>
  <c r="CJ289" i="24"/>
  <c r="ES289" i="24" s="1"/>
  <c r="EV289" i="24" s="1"/>
  <c r="CJ280" i="24"/>
  <c r="ES280" i="24" s="1"/>
  <c r="EV280" i="24" s="1"/>
  <c r="CJ274" i="24"/>
  <c r="ES274" i="24" s="1"/>
  <c r="EV274" i="24" s="1"/>
  <c r="CJ269" i="24"/>
  <c r="ES269" i="24" s="1"/>
  <c r="EV269" i="24" s="1"/>
  <c r="CJ316" i="24"/>
  <c r="ES316" i="24" s="1"/>
  <c r="EV316" i="24" s="1"/>
  <c r="CJ313" i="24"/>
  <c r="ES313" i="24" s="1"/>
  <c r="EV313" i="24" s="1"/>
  <c r="CJ302" i="24"/>
  <c r="ES302" i="24" s="1"/>
  <c r="EV302" i="24" s="1"/>
  <c r="CJ283" i="24"/>
  <c r="ES283" i="24" s="1"/>
  <c r="EV283" i="24" s="1"/>
  <c r="CJ281" i="24"/>
  <c r="ES281" i="24" s="1"/>
  <c r="EV281" i="24" s="1"/>
  <c r="CJ278" i="24"/>
  <c r="ES278" i="24" s="1"/>
  <c r="EV278" i="24" s="1"/>
  <c r="CJ254" i="24"/>
  <c r="ES254" i="24" s="1"/>
  <c r="EV254" i="24" s="1"/>
  <c r="CJ252" i="24"/>
  <c r="ES252" i="24" s="1"/>
  <c r="EV252" i="24" s="1"/>
  <c r="CJ251" i="24"/>
  <c r="ES251" i="24" s="1"/>
  <c r="EV251" i="24" s="1"/>
  <c r="CJ246" i="24"/>
  <c r="ES246" i="24" s="1"/>
  <c r="EV246" i="24" s="1"/>
  <c r="CJ238" i="24"/>
  <c r="ES238" i="24" s="1"/>
  <c r="EV238" i="24" s="1"/>
  <c r="CJ236" i="24"/>
  <c r="ES236" i="24" s="1"/>
  <c r="EV236" i="24" s="1"/>
  <c r="CJ205" i="24"/>
  <c r="CJ204" i="24"/>
  <c r="CJ202" i="24"/>
  <c r="CJ199" i="24"/>
  <c r="CJ198" i="24"/>
  <c r="CJ196" i="24"/>
  <c r="CJ190" i="24"/>
  <c r="CJ189" i="24"/>
  <c r="CJ314" i="24"/>
  <c r="ES314" i="24" s="1"/>
  <c r="EV314" i="24" s="1"/>
  <c r="CJ311" i="24"/>
  <c r="ES311" i="24" s="1"/>
  <c r="EV311" i="24" s="1"/>
  <c r="CJ308" i="24"/>
  <c r="ES308" i="24" s="1"/>
  <c r="EV308" i="24" s="1"/>
  <c r="CJ304" i="24"/>
  <c r="ES304" i="24" s="1"/>
  <c r="EV304" i="24" s="1"/>
  <c r="CJ295" i="24"/>
  <c r="ES295" i="24" s="1"/>
  <c r="EV295" i="24" s="1"/>
  <c r="CJ290" i="24"/>
  <c r="ES290" i="24" s="1"/>
  <c r="EV290" i="24" s="1"/>
  <c r="CJ287" i="24"/>
  <c r="ES287" i="24" s="1"/>
  <c r="EV287" i="24" s="1"/>
  <c r="CJ284" i="24"/>
  <c r="ES284" i="24" s="1"/>
  <c r="EV284" i="24" s="1"/>
  <c r="CJ282" i="24"/>
  <c r="ES282" i="24" s="1"/>
  <c r="EV282" i="24" s="1"/>
  <c r="CJ262" i="24"/>
  <c r="ES262" i="24" s="1"/>
  <c r="EV262" i="24" s="1"/>
  <c r="CJ248" i="24"/>
  <c r="ES248" i="24" s="1"/>
  <c r="EV248" i="24" s="1"/>
  <c r="CJ247" i="24"/>
  <c r="ES247" i="24" s="1"/>
  <c r="EV247" i="24" s="1"/>
  <c r="CJ227" i="24"/>
  <c r="ES227" i="24" s="1"/>
  <c r="EV227" i="24" s="1"/>
  <c r="CJ223" i="24"/>
  <c r="ES223" i="24" s="1"/>
  <c r="EV223" i="24" s="1"/>
  <c r="CJ219" i="24"/>
  <c r="ES219" i="24" s="1"/>
  <c r="EV219" i="24" s="1"/>
  <c r="CJ206" i="24"/>
  <c r="CJ200" i="24"/>
  <c r="CJ293" i="24"/>
  <c r="ES293" i="24" s="1"/>
  <c r="EV293" i="24" s="1"/>
  <c r="CJ292" i="24"/>
  <c r="ES292" i="24" s="1"/>
  <c r="EV292" i="24" s="1"/>
  <c r="CJ273" i="24"/>
  <c r="ES273" i="24" s="1"/>
  <c r="EV273" i="24" s="1"/>
  <c r="CJ268" i="24"/>
  <c r="ES268" i="24" s="1"/>
  <c r="EV268" i="24" s="1"/>
  <c r="CJ260" i="24"/>
  <c r="ES260" i="24" s="1"/>
  <c r="EV260" i="24" s="1"/>
  <c r="CJ259" i="24"/>
  <c r="ES259" i="24" s="1"/>
  <c r="EV259" i="24" s="1"/>
  <c r="CJ255" i="24"/>
  <c r="ES255" i="24" s="1"/>
  <c r="EV255" i="24" s="1"/>
  <c r="CJ253" i="24"/>
  <c r="ES253" i="24" s="1"/>
  <c r="EV253" i="24" s="1"/>
  <c r="CJ245" i="24"/>
  <c r="ES245" i="24" s="1"/>
  <c r="EV245" i="24" s="1"/>
  <c r="CJ241" i="24"/>
  <c r="ES241" i="24" s="1"/>
  <c r="EV241" i="24" s="1"/>
  <c r="CJ231" i="24"/>
  <c r="ES231" i="24" s="1"/>
  <c r="EV231" i="24" s="1"/>
  <c r="CJ229" i="24"/>
  <c r="ES229" i="24" s="1"/>
  <c r="EV229" i="24" s="1"/>
  <c r="CJ225" i="24"/>
  <c r="ES225" i="24" s="1"/>
  <c r="EV225" i="24" s="1"/>
  <c r="CJ208" i="24"/>
  <c r="CJ203" i="24"/>
  <c r="CJ187" i="24"/>
  <c r="CJ185" i="24"/>
  <c r="CJ305" i="24"/>
  <c r="ES305" i="24" s="1"/>
  <c r="EV305" i="24" s="1"/>
  <c r="CJ303" i="24"/>
  <c r="ES303" i="24" s="1"/>
  <c r="EV303" i="24" s="1"/>
  <c r="CJ301" i="24"/>
  <c r="ES301" i="24" s="1"/>
  <c r="EV301" i="24" s="1"/>
  <c r="CJ299" i="24"/>
  <c r="ES299" i="24" s="1"/>
  <c r="EV299" i="24" s="1"/>
  <c r="CJ297" i="24"/>
  <c r="ES297" i="24" s="1"/>
  <c r="EV297" i="24" s="1"/>
  <c r="CJ285" i="24"/>
  <c r="ES285" i="24" s="1"/>
  <c r="EV285" i="24" s="1"/>
  <c r="CJ277" i="24"/>
  <c r="ES277" i="24" s="1"/>
  <c r="EV277" i="24" s="1"/>
  <c r="CJ276" i="24"/>
  <c r="ES276" i="24" s="1"/>
  <c r="EV276" i="24" s="1"/>
  <c r="CJ265" i="24"/>
  <c r="ES265" i="24" s="1"/>
  <c r="EV265" i="24" s="1"/>
  <c r="CJ261" i="24"/>
  <c r="ES261" i="24" s="1"/>
  <c r="EV261" i="24" s="1"/>
  <c r="CJ257" i="24"/>
  <c r="ES257" i="24" s="1"/>
  <c r="EV257" i="24" s="1"/>
  <c r="CJ239" i="24"/>
  <c r="ES239" i="24" s="1"/>
  <c r="EV239" i="24" s="1"/>
  <c r="CJ232" i="24"/>
  <c r="ES232" i="24" s="1"/>
  <c r="EV232" i="24" s="1"/>
  <c r="CJ226" i="24"/>
  <c r="ES226" i="24" s="1"/>
  <c r="EV226" i="24" s="1"/>
  <c r="CJ224" i="24"/>
  <c r="ES224" i="24" s="1"/>
  <c r="EV224" i="24" s="1"/>
  <c r="CJ222" i="24"/>
  <c r="ES222" i="24" s="1"/>
  <c r="EV222" i="24" s="1"/>
  <c r="CJ210" i="24"/>
  <c r="CJ197" i="24"/>
  <c r="CJ195" i="24"/>
  <c r="CJ315" i="24"/>
  <c r="ES315" i="24" s="1"/>
  <c r="EV315" i="24" s="1"/>
  <c r="CJ309" i="24"/>
  <c r="ES309" i="24" s="1"/>
  <c r="EV309" i="24" s="1"/>
  <c r="CJ294" i="24"/>
  <c r="ES294" i="24" s="1"/>
  <c r="EV294" i="24" s="1"/>
  <c r="CJ286" i="24"/>
  <c r="ES286" i="24" s="1"/>
  <c r="EV286" i="24" s="1"/>
  <c r="CJ279" i="24"/>
  <c r="ES279" i="24" s="1"/>
  <c r="EV279" i="24" s="1"/>
  <c r="CJ275" i="24"/>
  <c r="ES275" i="24" s="1"/>
  <c r="EV275" i="24" s="1"/>
  <c r="CJ270" i="24"/>
  <c r="ES270" i="24" s="1"/>
  <c r="EV270" i="24" s="1"/>
  <c r="CJ249" i="24"/>
  <c r="ES249" i="24" s="1"/>
  <c r="EV249" i="24" s="1"/>
  <c r="CJ237" i="24"/>
  <c r="ES237" i="24" s="1"/>
  <c r="EV237" i="24" s="1"/>
  <c r="CJ233" i="24"/>
  <c r="ES233" i="24" s="1"/>
  <c r="EV233" i="24" s="1"/>
  <c r="CJ221" i="24"/>
  <c r="ES221" i="24" s="1"/>
  <c r="EV221" i="24" s="1"/>
  <c r="CJ192" i="24"/>
  <c r="CJ191" i="24"/>
  <c r="CJ312" i="24"/>
  <c r="ES312" i="24" s="1"/>
  <c r="EV312" i="24" s="1"/>
  <c r="CJ288" i="24"/>
  <c r="ES288" i="24" s="1"/>
  <c r="EV288" i="24" s="1"/>
  <c r="CJ272" i="24"/>
  <c r="ES272" i="24" s="1"/>
  <c r="EV272" i="24" s="1"/>
  <c r="CJ271" i="24"/>
  <c r="ES271" i="24" s="1"/>
  <c r="EV271" i="24" s="1"/>
  <c r="CJ267" i="24"/>
  <c r="ES267" i="24" s="1"/>
  <c r="EV267" i="24" s="1"/>
  <c r="CJ263" i="24"/>
  <c r="ES263" i="24" s="1"/>
  <c r="EV263" i="24" s="1"/>
  <c r="CJ240" i="24"/>
  <c r="ES240" i="24" s="1"/>
  <c r="EV240" i="24" s="1"/>
  <c r="CJ235" i="24"/>
  <c r="ES235" i="24" s="1"/>
  <c r="EV235" i="24" s="1"/>
  <c r="CJ230" i="24"/>
  <c r="ES230" i="24" s="1"/>
  <c r="EV230" i="24" s="1"/>
  <c r="CJ220" i="24"/>
  <c r="ES220" i="24" s="1"/>
  <c r="EV220" i="24" s="1"/>
  <c r="CJ207" i="24"/>
  <c r="CJ201" i="24"/>
  <c r="CJ306" i="24"/>
  <c r="ES306" i="24" s="1"/>
  <c r="EV306" i="24" s="1"/>
  <c r="CJ298" i="24"/>
  <c r="ES298" i="24" s="1"/>
  <c r="EV298" i="24" s="1"/>
  <c r="CJ291" i="24"/>
  <c r="ES291" i="24" s="1"/>
  <c r="EV291" i="24" s="1"/>
  <c r="CJ243" i="24"/>
  <c r="ES243" i="24" s="1"/>
  <c r="EV243" i="24" s="1"/>
  <c r="CJ183" i="24"/>
  <c r="CJ181" i="24"/>
  <c r="CJ180" i="24"/>
  <c r="CJ176" i="24"/>
  <c r="CJ171" i="24"/>
  <c r="CJ157" i="24"/>
  <c r="CJ150" i="24"/>
  <c r="CJ143" i="24"/>
  <c r="CJ134" i="24"/>
  <c r="CJ131" i="24"/>
  <c r="CJ125" i="24"/>
  <c r="CJ114" i="24"/>
  <c r="CJ98" i="24"/>
  <c r="CJ83" i="24"/>
  <c r="CJ250" i="24"/>
  <c r="ES250" i="24" s="1"/>
  <c r="EV250" i="24" s="1"/>
  <c r="CJ228" i="24"/>
  <c r="ES228" i="24" s="1"/>
  <c r="EV228" i="24" s="1"/>
  <c r="CJ186" i="24"/>
  <c r="CJ184" i="24"/>
  <c r="CJ178" i="24"/>
  <c r="CJ174" i="24"/>
  <c r="CJ161" i="24"/>
  <c r="CJ153" i="24"/>
  <c r="CJ115" i="24"/>
  <c r="CJ112" i="24"/>
  <c r="CJ105" i="24"/>
  <c r="CJ101" i="24"/>
  <c r="CJ95" i="24"/>
  <c r="CJ310" i="24"/>
  <c r="ES310" i="24" s="1"/>
  <c r="EV310" i="24" s="1"/>
  <c r="CJ307" i="24"/>
  <c r="ES307" i="24" s="1"/>
  <c r="EV307" i="24" s="1"/>
  <c r="CJ209" i="24"/>
  <c r="CJ194" i="24"/>
  <c r="CJ175" i="24"/>
  <c r="CJ169" i="24"/>
  <c r="CJ160" i="24"/>
  <c r="CJ141" i="24"/>
  <c r="CJ138" i="24"/>
  <c r="CJ132" i="24"/>
  <c r="CJ123" i="24"/>
  <c r="CJ116" i="24"/>
  <c r="CJ104" i="24"/>
  <c r="CJ102" i="24"/>
  <c r="CJ100" i="24"/>
  <c r="CJ256" i="24"/>
  <c r="ES256" i="24" s="1"/>
  <c r="EV256" i="24" s="1"/>
  <c r="CJ188" i="24"/>
  <c r="CJ179" i="24"/>
  <c r="CJ177" i="24"/>
  <c r="CJ164" i="24"/>
  <c r="CJ154" i="24"/>
  <c r="CJ147" i="24"/>
  <c r="CJ135" i="24"/>
  <c r="CJ128" i="24"/>
  <c r="CJ124" i="24"/>
  <c r="CJ81" i="24"/>
  <c r="CJ244" i="24"/>
  <c r="ES244" i="24" s="1"/>
  <c r="EV244" i="24" s="1"/>
  <c r="CJ242" i="24"/>
  <c r="ES242" i="24" s="1"/>
  <c r="EV242" i="24" s="1"/>
  <c r="CJ182" i="24"/>
  <c r="CJ173" i="24"/>
  <c r="CJ165" i="24"/>
  <c r="CJ158" i="24"/>
  <c r="CJ151" i="24"/>
  <c r="CJ148" i="24"/>
  <c r="CJ146" i="24"/>
  <c r="CJ133" i="24"/>
  <c r="CJ129" i="24"/>
  <c r="CJ126" i="24"/>
  <c r="CJ121" i="24"/>
  <c r="CJ117" i="24"/>
  <c r="CJ99" i="24"/>
  <c r="CJ264" i="24"/>
  <c r="ES264" i="24" s="1"/>
  <c r="EV264" i="24" s="1"/>
  <c r="CJ217" i="24"/>
  <c r="ES217" i="24" s="1"/>
  <c r="EV217" i="24" s="1"/>
  <c r="CJ172" i="24"/>
  <c r="CJ166" i="24"/>
  <c r="CJ155" i="24"/>
  <c r="CJ144" i="24"/>
  <c r="CJ142" i="24"/>
  <c r="CJ140" i="24"/>
  <c r="CJ139" i="24"/>
  <c r="CJ136" i="24"/>
  <c r="CJ111" i="24"/>
  <c r="CJ82" i="24"/>
  <c r="CJ80" i="24"/>
  <c r="CJ78" i="24"/>
  <c r="CJ74" i="24"/>
  <c r="CJ69" i="24"/>
  <c r="CJ47" i="24"/>
  <c r="CJ40" i="24"/>
  <c r="CJ38" i="24"/>
  <c r="CJ37" i="24"/>
  <c r="CJ33" i="24"/>
  <c r="CJ32" i="24"/>
  <c r="CJ31" i="24"/>
  <c r="CJ266" i="24"/>
  <c r="ES266" i="24" s="1"/>
  <c r="EV266" i="24" s="1"/>
  <c r="CJ258" i="24"/>
  <c r="ES258" i="24" s="1"/>
  <c r="EV258" i="24" s="1"/>
  <c r="CJ234" i="24"/>
  <c r="ES234" i="24" s="1"/>
  <c r="EV234" i="24" s="1"/>
  <c r="CJ193" i="24"/>
  <c r="CJ170" i="24"/>
  <c r="CJ163" i="24"/>
  <c r="CJ159" i="24"/>
  <c r="CJ145" i="24"/>
  <c r="CJ127" i="24"/>
  <c r="CJ120" i="24"/>
  <c r="CJ113" i="24"/>
  <c r="CJ89" i="24"/>
  <c r="CJ88" i="24"/>
  <c r="CJ76" i="24"/>
  <c r="CJ68" i="24"/>
  <c r="CJ218" i="24"/>
  <c r="ES218" i="24" s="1"/>
  <c r="EV218" i="24" s="1"/>
  <c r="CJ168" i="24"/>
  <c r="CJ167" i="24"/>
  <c r="CJ162" i="24"/>
  <c r="CJ156" i="24"/>
  <c r="CJ152" i="24"/>
  <c r="CJ149" i="24"/>
  <c r="CJ137" i="24"/>
  <c r="CJ130" i="24"/>
  <c r="CJ122" i="24"/>
  <c r="CJ119" i="24"/>
  <c r="CJ118" i="24"/>
  <c r="CJ103" i="24"/>
  <c r="CJ97" i="24"/>
  <c r="CJ93" i="24"/>
  <c r="CJ63" i="24"/>
  <c r="CJ44" i="24"/>
  <c r="CJ43" i="24"/>
  <c r="CJ41" i="24"/>
  <c r="CJ70" i="24"/>
  <c r="CJ20" i="24"/>
  <c r="CJ7" i="24"/>
  <c r="CJ90" i="24"/>
  <c r="CJ85" i="24"/>
  <c r="CJ79" i="24"/>
  <c r="CJ71" i="24"/>
  <c r="CJ66" i="24"/>
  <c r="CJ64" i="24"/>
  <c r="CJ60" i="24"/>
  <c r="CJ56" i="24"/>
  <c r="CJ54" i="24"/>
  <c r="CJ51" i="24"/>
  <c r="CJ49" i="24"/>
  <c r="CJ39" i="24"/>
  <c r="CJ36" i="24"/>
  <c r="CJ14" i="24"/>
  <c r="CJ29" i="24"/>
  <c r="CJ19" i="24"/>
  <c r="CJ8" i="24"/>
  <c r="CJ13" i="24"/>
  <c r="CJ96" i="24"/>
  <c r="CJ91" i="24"/>
  <c r="CJ75" i="24"/>
  <c r="CJ73" i="24"/>
  <c r="CJ62" i="24"/>
  <c r="CJ55" i="24"/>
  <c r="CJ25" i="24"/>
  <c r="CJ23" i="24"/>
  <c r="CJ12" i="24"/>
  <c r="CJ11" i="24"/>
  <c r="CJ9" i="24"/>
  <c r="CJ6" i="24"/>
  <c r="CJ58" i="24"/>
  <c r="CJ27" i="24"/>
  <c r="CJ24" i="24"/>
  <c r="CJ35" i="24"/>
  <c r="CJ77" i="24"/>
  <c r="CJ42" i="24"/>
  <c r="CJ21" i="24"/>
  <c r="CJ52" i="24"/>
  <c r="CJ84" i="24"/>
  <c r="CJ67" i="24"/>
  <c r="CJ65" i="24"/>
  <c r="CJ61" i="24"/>
  <c r="CJ59" i="24"/>
  <c r="CJ53" i="24"/>
  <c r="CJ45" i="24"/>
  <c r="CJ18" i="24"/>
  <c r="CJ10" i="24"/>
  <c r="CJ48" i="24"/>
  <c r="CJ16" i="24"/>
  <c r="CJ94" i="24"/>
  <c r="CJ92" i="24"/>
  <c r="CJ87" i="24"/>
  <c r="CJ86" i="24"/>
  <c r="CJ72" i="24"/>
  <c r="CJ57" i="24"/>
  <c r="CJ50" i="24"/>
  <c r="CJ46" i="24"/>
  <c r="CJ28" i="24"/>
  <c r="CJ26" i="24"/>
  <c r="CJ34" i="24"/>
  <c r="CJ15" i="24"/>
  <c r="CJ30" i="24"/>
  <c r="CJ17" i="24"/>
  <c r="CJ22" i="24"/>
  <c r="I3" i="29"/>
  <c r="B206" i="2"/>
  <c r="B265" i="2"/>
  <c r="A28" i="16"/>
  <c r="BQ5" i="25"/>
  <c r="B261" i="2"/>
  <c r="D261" i="2" s="1"/>
  <c r="D34" i="16"/>
  <c r="W48" i="2"/>
  <c r="W49" i="2" s="1"/>
  <c r="W50" i="2" s="1"/>
  <c r="D54" i="16" s="1"/>
  <c r="R50" i="2"/>
  <c r="S29" i="1" s="1"/>
  <c r="R51" i="2"/>
  <c r="B26" i="2"/>
  <c r="I9" i="19"/>
  <c r="I8" i="19"/>
  <c r="I7" i="19"/>
  <c r="I6" i="19"/>
  <c r="B109" i="2"/>
  <c r="B22" i="2"/>
  <c r="F17" i="23"/>
  <c r="J17" i="23" s="1"/>
  <c r="I33" i="23"/>
  <c r="F54" i="23"/>
  <c r="J54" i="23" s="1"/>
  <c r="I9" i="23"/>
  <c r="I70" i="23"/>
  <c r="F32" i="23"/>
  <c r="J32" i="23" s="1"/>
  <c r="F49" i="23"/>
  <c r="G49" i="23" s="1"/>
  <c r="H49" i="23" s="1"/>
  <c r="F103" i="23"/>
  <c r="G103" i="23" s="1"/>
  <c r="H103" i="23" s="1"/>
  <c r="F53" i="23"/>
  <c r="J53" i="23" s="1"/>
  <c r="I16" i="23"/>
  <c r="F46" i="23"/>
  <c r="J46" i="23" s="1"/>
  <c r="I43" i="23"/>
  <c r="I36" i="23"/>
  <c r="F67" i="23"/>
  <c r="G67" i="23" s="1"/>
  <c r="H67" i="23" s="1"/>
  <c r="I59" i="23"/>
  <c r="F30" i="23"/>
  <c r="J30" i="23" s="1"/>
  <c r="F88" i="23"/>
  <c r="G88" i="23" s="1"/>
  <c r="H88" i="23" s="1"/>
  <c r="I78" i="23"/>
  <c r="I27" i="23"/>
  <c r="I75" i="23"/>
  <c r="F73" i="23"/>
  <c r="J73" i="23" s="1"/>
  <c r="F71" i="23"/>
  <c r="J71" i="23" s="1"/>
  <c r="I48" i="23"/>
  <c r="F84" i="23"/>
  <c r="G84" i="23" s="1"/>
  <c r="H84" i="23" s="1"/>
  <c r="F6" i="23"/>
  <c r="J6" i="23" s="1"/>
  <c r="F25" i="23"/>
  <c r="J25" i="23" s="1"/>
  <c r="I23" i="23"/>
  <c r="F60" i="23"/>
  <c r="G60" i="23" s="1"/>
  <c r="H60" i="23" s="1"/>
  <c r="I38" i="23"/>
  <c r="I62" i="23"/>
  <c r="F105" i="23"/>
  <c r="J105" i="23" s="1"/>
  <c r="F94" i="23"/>
  <c r="J94" i="23" s="1"/>
  <c r="I41" i="23"/>
  <c r="F92" i="23"/>
  <c r="J92" i="23" s="1"/>
  <c r="A242" i="2"/>
  <c r="C242" i="2"/>
  <c r="I11" i="23"/>
  <c r="F101" i="23"/>
  <c r="J101" i="23" s="1"/>
  <c r="F20" i="23"/>
  <c r="G20" i="23" s="1"/>
  <c r="H20" i="23" s="1"/>
  <c r="F81" i="23"/>
  <c r="J81" i="23" s="1"/>
  <c r="F14" i="23"/>
  <c r="J14" i="23" s="1"/>
  <c r="F22" i="23"/>
  <c r="J22" i="23" s="1"/>
  <c r="F63" i="23"/>
  <c r="G63" i="23" s="1"/>
  <c r="H63" i="23" s="1"/>
  <c r="I99" i="23"/>
  <c r="F80" i="23"/>
  <c r="J80" i="23" s="1"/>
  <c r="I31" i="23"/>
  <c r="I96" i="23"/>
  <c r="F77" i="23"/>
  <c r="G77" i="23" s="1"/>
  <c r="H77" i="23" s="1"/>
  <c r="I56" i="23"/>
  <c r="I86" i="23"/>
  <c r="I98" i="23"/>
  <c r="H109" i="19"/>
  <c r="H110" i="19"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66" i="2" s="1"/>
  <c r="F254" i="2" s="1"/>
  <c r="G165" i="2"/>
  <c r="F165" i="2"/>
  <c r="E50" i="1" s="1"/>
  <c r="H253" i="2" s="1"/>
  <c r="C48" i="16" s="1"/>
  <c r="I18" i="8"/>
  <c r="J18" i="8" s="1"/>
  <c r="G257" i="2" s="1"/>
  <c r="A260" i="2"/>
  <c r="B260" i="2"/>
  <c r="B241" i="2"/>
  <c r="R60" i="2"/>
  <c r="C34" i="16"/>
  <c r="B151" i="2"/>
  <c r="K55" i="2"/>
  <c r="K56" i="2"/>
  <c r="D241"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40" i="2"/>
  <c r="C241" i="2"/>
  <c r="B242" i="2"/>
  <c r="A243" i="2"/>
  <c r="B246"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B25" i="29" l="1"/>
  <c r="B26" i="29" s="1"/>
  <c r="D26" i="29" s="1"/>
  <c r="DC5" i="24"/>
  <c r="N329" i="25"/>
  <c r="L75" i="1" s="1"/>
  <c r="K76" i="1" s="1"/>
  <c r="O329" i="25"/>
  <c r="I25" i="8" s="1"/>
  <c r="J25" i="8" s="1"/>
  <c r="G329" i="24"/>
  <c r="H329" i="24"/>
  <c r="I23" i="8" s="1"/>
  <c r="J23" i="8" s="1"/>
  <c r="CS110" i="25"/>
  <c r="DS110" i="25" s="1"/>
  <c r="B15" i="29"/>
  <c r="B21" i="29" s="1"/>
  <c r="B22" i="29" s="1"/>
  <c r="CU212" i="25"/>
  <c r="CW212" i="25"/>
  <c r="CO212" i="25" s="1"/>
  <c r="CZ212" i="25" s="1"/>
  <c r="CV212" i="25"/>
  <c r="DS212" i="25"/>
  <c r="CY212" i="25"/>
  <c r="CT212" i="25"/>
  <c r="FD212" i="25" s="1"/>
  <c r="G329" i="25"/>
  <c r="I28" i="8"/>
  <c r="EQ266" i="25"/>
  <c r="EU266" i="25" s="1"/>
  <c r="FG266" i="25"/>
  <c r="EQ277" i="25"/>
  <c r="EU277" i="25" s="1"/>
  <c r="FG277" i="25"/>
  <c r="FG233" i="25"/>
  <c r="EQ233" i="25"/>
  <c r="EU233" i="25" s="1"/>
  <c r="EQ285" i="25"/>
  <c r="EU285" i="25" s="1"/>
  <c r="FG285" i="25"/>
  <c r="FG280" i="25"/>
  <c r="EQ280" i="25"/>
  <c r="EU280" i="25" s="1"/>
  <c r="FG243" i="25"/>
  <c r="EQ243" i="25"/>
  <c r="EU243" i="25" s="1"/>
  <c r="EQ244" i="25"/>
  <c r="EU244" i="25" s="1"/>
  <c r="FG244" i="25"/>
  <c r="FG295" i="25"/>
  <c r="EQ295" i="25"/>
  <c r="EU295" i="25" s="1"/>
  <c r="FG242" i="25"/>
  <c r="EQ242" i="25"/>
  <c r="EU242" i="25" s="1"/>
  <c r="EQ307" i="25"/>
  <c r="EU307" i="25" s="1"/>
  <c r="FG307" i="25"/>
  <c r="EQ250" i="25"/>
  <c r="EU250" i="25" s="1"/>
  <c r="FG250" i="25"/>
  <c r="FG284" i="25"/>
  <c r="EQ284" i="25"/>
  <c r="EU284" i="25" s="1"/>
  <c r="EQ298" i="25"/>
  <c r="EU298" i="25" s="1"/>
  <c r="FG298" i="25"/>
  <c r="EQ227" i="25"/>
  <c r="EU227" i="25" s="1"/>
  <c r="FG227" i="25"/>
  <c r="EQ239" i="25"/>
  <c r="EU239" i="25" s="1"/>
  <c r="FG239" i="25"/>
  <c r="EQ287" i="25"/>
  <c r="EU287" i="25" s="1"/>
  <c r="FG287" i="25"/>
  <c r="FG290" i="25"/>
  <c r="EQ290" i="25"/>
  <c r="EU290" i="25" s="1"/>
  <c r="EQ245" i="25"/>
  <c r="EU245" i="25" s="1"/>
  <c r="FG245" i="25"/>
  <c r="EQ252" i="25"/>
  <c r="EU252" i="25" s="1"/>
  <c r="FG252" i="25"/>
  <c r="FG314" i="25"/>
  <c r="EQ314" i="25"/>
  <c r="EU314" i="25" s="1"/>
  <c r="EQ251" i="25"/>
  <c r="EU251" i="25" s="1"/>
  <c r="FG251" i="25"/>
  <c r="FG309" i="25"/>
  <c r="EQ309" i="25"/>
  <c r="EU309" i="25" s="1"/>
  <c r="EQ256" i="25"/>
  <c r="EU256" i="25" s="1"/>
  <c r="FG256" i="25"/>
  <c r="FG313" i="25"/>
  <c r="EQ313" i="25"/>
  <c r="EU313" i="25" s="1"/>
  <c r="FG257" i="25"/>
  <c r="EQ257" i="25"/>
  <c r="EU257" i="25" s="1"/>
  <c r="FG247" i="25"/>
  <c r="EQ247" i="25"/>
  <c r="EU247" i="25" s="1"/>
  <c r="FG308" i="25"/>
  <c r="EQ308" i="25"/>
  <c r="EU308" i="25" s="1"/>
  <c r="EQ292" i="25"/>
  <c r="EU292" i="25" s="1"/>
  <c r="FG292" i="25"/>
  <c r="EQ246" i="25"/>
  <c r="EU246" i="25" s="1"/>
  <c r="FG246" i="25"/>
  <c r="FG253" i="25"/>
  <c r="EQ253" i="25"/>
  <c r="EU253" i="25" s="1"/>
  <c r="EQ254" i="25"/>
  <c r="EU254" i="25" s="1"/>
  <c r="FG254" i="25"/>
  <c r="FG259" i="25"/>
  <c r="EQ259" i="25"/>
  <c r="EU259" i="25" s="1"/>
  <c r="FG258" i="25"/>
  <c r="EQ258" i="25"/>
  <c r="EU258" i="25" s="1"/>
  <c r="EQ293" i="25"/>
  <c r="EU293" i="25" s="1"/>
  <c r="FG293" i="25"/>
  <c r="EQ224" i="25"/>
  <c r="EU224" i="25" s="1"/>
  <c r="FG224" i="25"/>
  <c r="FG222" i="25"/>
  <c r="EQ222" i="25"/>
  <c r="EU222" i="25" s="1"/>
  <c r="EQ270" i="25"/>
  <c r="EU270" i="25" s="1"/>
  <c r="FG270" i="25"/>
  <c r="FG229" i="25"/>
  <c r="EQ229" i="25"/>
  <c r="EU229" i="25" s="1"/>
  <c r="EQ296" i="25"/>
  <c r="EU296" i="25" s="1"/>
  <c r="FG296" i="25"/>
  <c r="EQ301" i="25"/>
  <c r="EU301" i="25" s="1"/>
  <c r="FG301" i="25"/>
  <c r="EQ260" i="25"/>
  <c r="EU260" i="25" s="1"/>
  <c r="FG260" i="25"/>
  <c r="EQ255" i="25"/>
  <c r="EU255" i="25" s="1"/>
  <c r="FG255" i="25"/>
  <c r="EQ263" i="25"/>
  <c r="EU263" i="25" s="1"/>
  <c r="FG263" i="25"/>
  <c r="EQ265" i="25"/>
  <c r="EU265" i="25" s="1"/>
  <c r="FG265" i="25"/>
  <c r="FG304" i="25"/>
  <c r="EQ304" i="25"/>
  <c r="EU304" i="25" s="1"/>
  <c r="FG264" i="25"/>
  <c r="EQ264" i="25"/>
  <c r="EU264" i="25" s="1"/>
  <c r="EQ249" i="25"/>
  <c r="EU249" i="25" s="1"/>
  <c r="FG249" i="25"/>
  <c r="FG273" i="25"/>
  <c r="EQ273" i="25"/>
  <c r="EU273" i="25" s="1"/>
  <c r="FG248" i="25"/>
  <c r="EQ248" i="25"/>
  <c r="EU248" i="25" s="1"/>
  <c r="EQ297" i="25"/>
  <c r="EU297" i="25" s="1"/>
  <c r="FG297" i="25"/>
  <c r="EQ221" i="25"/>
  <c r="EU221" i="25" s="1"/>
  <c r="FG221" i="25"/>
  <c r="EQ303" i="25"/>
  <c r="EU303" i="25" s="1"/>
  <c r="FG303" i="25"/>
  <c r="EQ268" i="25"/>
  <c r="EU268" i="25" s="1"/>
  <c r="FG268" i="25"/>
  <c r="FG218" i="25"/>
  <c r="EQ218" i="25"/>
  <c r="EU218" i="25" s="1"/>
  <c r="EQ267" i="25"/>
  <c r="EU267" i="25" s="1"/>
  <c r="FG267" i="25"/>
  <c r="EQ278" i="25"/>
  <c r="EU278" i="25" s="1"/>
  <c r="FG278" i="25"/>
  <c r="EQ286" i="25"/>
  <c r="EU286" i="25" s="1"/>
  <c r="FG286" i="25"/>
  <c r="EQ312" i="25"/>
  <c r="EU312" i="25" s="1"/>
  <c r="FG312" i="25"/>
  <c r="EQ282" i="25"/>
  <c r="EU282" i="25" s="1"/>
  <c r="FG282" i="25"/>
  <c r="EQ291" i="25"/>
  <c r="EU291" i="25" s="1"/>
  <c r="FG291" i="25"/>
  <c r="EQ217" i="25"/>
  <c r="EU217" i="25" s="1"/>
  <c r="FG217" i="25"/>
  <c r="FG274" i="25"/>
  <c r="EQ274" i="25"/>
  <c r="EU274" i="25" s="1"/>
  <c r="EQ261" i="25"/>
  <c r="EU261" i="25" s="1"/>
  <c r="FG261" i="25"/>
  <c r="EQ311" i="25"/>
  <c r="EU311" i="25" s="1"/>
  <c r="FG311" i="25"/>
  <c r="FG223" i="25"/>
  <c r="EQ223" i="25"/>
  <c r="EU223" i="25" s="1"/>
  <c r="EQ310" i="25"/>
  <c r="EU310" i="25" s="1"/>
  <c r="FG310" i="25"/>
  <c r="FG279" i="25"/>
  <c r="EQ279" i="25"/>
  <c r="EU279" i="25" s="1"/>
  <c r="EQ231" i="25"/>
  <c r="EU231" i="25" s="1"/>
  <c r="FG231" i="25"/>
  <c r="EQ271" i="25"/>
  <c r="EU271" i="25" s="1"/>
  <c r="FG271" i="25"/>
  <c r="EQ220" i="25"/>
  <c r="EU220" i="25" s="1"/>
  <c r="FG220" i="25"/>
  <c r="FG299" i="25"/>
  <c r="EQ299" i="25"/>
  <c r="EU299" i="25" s="1"/>
  <c r="FG305" i="25"/>
  <c r="EQ305" i="25"/>
  <c r="EU305" i="25" s="1"/>
  <c r="EQ234" i="25"/>
  <c r="EU234" i="25" s="1"/>
  <c r="FG234" i="25"/>
  <c r="EQ316" i="25"/>
  <c r="EU316" i="25" s="1"/>
  <c r="FG316" i="25"/>
  <c r="EQ288" i="25"/>
  <c r="EU288" i="25" s="1"/>
  <c r="FG288" i="25"/>
  <c r="EQ302" i="25"/>
  <c r="EU302" i="25" s="1"/>
  <c r="FG302" i="25"/>
  <c r="FG219" i="25"/>
  <c r="EQ219" i="25"/>
  <c r="EU219" i="25" s="1"/>
  <c r="FG281" i="25"/>
  <c r="EQ281" i="25"/>
  <c r="EU281" i="25" s="1"/>
  <c r="FG269" i="25"/>
  <c r="EQ269" i="25"/>
  <c r="EU269" i="25" s="1"/>
  <c r="EQ315" i="25"/>
  <c r="EU315" i="25" s="1"/>
  <c r="FG315" i="25"/>
  <c r="EQ232" i="25"/>
  <c r="EU232" i="25" s="1"/>
  <c r="FG232" i="25"/>
  <c r="FG228" i="25"/>
  <c r="EQ228" i="25"/>
  <c r="EU228" i="25" s="1"/>
  <c r="FG289" i="25"/>
  <c r="EQ289" i="25"/>
  <c r="EU289" i="25" s="1"/>
  <c r="EQ236" i="25"/>
  <c r="EU236" i="25" s="1"/>
  <c r="FG236" i="25"/>
  <c r="EQ272" i="25"/>
  <c r="EU272" i="25" s="1"/>
  <c r="FG272" i="25"/>
  <c r="EQ225" i="25"/>
  <c r="EU225" i="25" s="1"/>
  <c r="FG225" i="25"/>
  <c r="FG300" i="25"/>
  <c r="EQ300" i="25"/>
  <c r="EU300" i="25" s="1"/>
  <c r="EQ240" i="25"/>
  <c r="EU240" i="25" s="1"/>
  <c r="FG240" i="25"/>
  <c r="EQ230" i="25"/>
  <c r="EU230" i="25" s="1"/>
  <c r="FG230" i="25"/>
  <c r="EQ262" i="25"/>
  <c r="EU262" i="25" s="1"/>
  <c r="FG262" i="25"/>
  <c r="EQ226" i="25"/>
  <c r="EU226" i="25" s="1"/>
  <c r="FG226" i="25"/>
  <c r="EQ283" i="25"/>
  <c r="EU283" i="25" s="1"/>
  <c r="FG283" i="25"/>
  <c r="EQ276" i="25"/>
  <c r="EU276" i="25" s="1"/>
  <c r="FG276" i="25"/>
  <c r="FG238" i="25"/>
  <c r="EQ238" i="25"/>
  <c r="EU238" i="25" s="1"/>
  <c r="FG237" i="25"/>
  <c r="EQ237" i="25"/>
  <c r="EU237" i="25" s="1"/>
  <c r="FG294" i="25"/>
  <c r="EQ294" i="25"/>
  <c r="EU294" i="25" s="1"/>
  <c r="EQ241" i="25"/>
  <c r="EU241" i="25" s="1"/>
  <c r="FG241" i="25"/>
  <c r="FG275" i="25"/>
  <c r="EQ275" i="25"/>
  <c r="EU275" i="25" s="1"/>
  <c r="EQ235" i="25"/>
  <c r="EU235" i="25" s="1"/>
  <c r="FG235" i="25"/>
  <c r="EQ306" i="25"/>
  <c r="EU306" i="25" s="1"/>
  <c r="FG306" i="25"/>
  <c r="CU112" i="25"/>
  <c r="CV112" i="25"/>
  <c r="CL112" i="25"/>
  <c r="DP112" i="25"/>
  <c r="EQ112" i="25"/>
  <c r="EU112" i="25" s="1"/>
  <c r="FG112" i="25"/>
  <c r="CX112" i="25"/>
  <c r="CW112" i="25"/>
  <c r="CO112" i="25" s="1"/>
  <c r="B36" i="2"/>
  <c r="B94" i="2" s="1"/>
  <c r="CT112" i="25"/>
  <c r="CY110" i="24"/>
  <c r="DA110" i="24" s="1"/>
  <c r="CT110" i="24"/>
  <c r="CU110" i="24"/>
  <c r="CU5" i="24"/>
  <c r="CV5" i="24" s="1"/>
  <c r="CT5" i="24"/>
  <c r="CS216" i="25"/>
  <c r="DS216" i="25" s="1"/>
  <c r="CS110" i="24"/>
  <c r="FD110" i="24" s="1"/>
  <c r="DM110" i="24"/>
  <c r="DB110" i="24"/>
  <c r="DE110" i="24" s="1"/>
  <c r="DF110" i="24" s="1"/>
  <c r="DG110" i="24" s="1"/>
  <c r="DI110" i="24"/>
  <c r="DB5" i="24"/>
  <c r="DE5" i="24" s="1"/>
  <c r="DF5" i="24" s="1"/>
  <c r="DG5" i="24" s="1"/>
  <c r="DM5" i="24"/>
  <c r="DI5" i="24"/>
  <c r="CY216" i="24"/>
  <c r="CT216" i="24"/>
  <c r="DT216" i="24"/>
  <c r="CU216" i="24"/>
  <c r="CS216" i="24"/>
  <c r="FD216" i="24" s="1"/>
  <c r="CN216" i="24"/>
  <c r="CW113" i="25"/>
  <c r="CO113" i="25" s="1"/>
  <c r="CU113" i="25"/>
  <c r="CV113" i="25"/>
  <c r="FG20" i="25"/>
  <c r="DP20" i="25"/>
  <c r="EQ20" i="25"/>
  <c r="EU20" i="25" s="1"/>
  <c r="CL20" i="25"/>
  <c r="CX20" i="25"/>
  <c r="EQ8" i="25"/>
  <c r="EU8" i="25" s="1"/>
  <c r="DP8" i="25"/>
  <c r="FG8" i="25"/>
  <c r="CX8" i="25"/>
  <c r="CL8" i="25"/>
  <c r="EQ208" i="25"/>
  <c r="EU208" i="25" s="1"/>
  <c r="CL208" i="25"/>
  <c r="CX208" i="25"/>
  <c r="DP208" i="25"/>
  <c r="FG208" i="25"/>
  <c r="FG157" i="25"/>
  <c r="CL157" i="25"/>
  <c r="EQ157" i="25"/>
  <c r="EU157" i="25" s="1"/>
  <c r="DP157" i="25"/>
  <c r="CX157" i="25"/>
  <c r="CY157" i="25" s="1"/>
  <c r="DP15" i="25"/>
  <c r="CL15" i="25"/>
  <c r="EQ15" i="25"/>
  <c r="EU15" i="25" s="1"/>
  <c r="FG15" i="25"/>
  <c r="CX15" i="25"/>
  <c r="EQ117" i="25"/>
  <c r="EU117" i="25" s="1"/>
  <c r="CX117" i="25"/>
  <c r="DP117" i="25"/>
  <c r="CL117" i="25"/>
  <c r="FG117" i="25"/>
  <c r="EQ25" i="25"/>
  <c r="EU25" i="25" s="1"/>
  <c r="CL25" i="25"/>
  <c r="CX25" i="25"/>
  <c r="FG25" i="25"/>
  <c r="DP25" i="25"/>
  <c r="EQ59" i="25"/>
  <c r="EU59" i="25" s="1"/>
  <c r="DP59" i="25"/>
  <c r="CL59" i="25"/>
  <c r="FG59" i="25"/>
  <c r="CX59" i="25"/>
  <c r="EQ43" i="25"/>
  <c r="EU43" i="25" s="1"/>
  <c r="CL43" i="25"/>
  <c r="FG43" i="25"/>
  <c r="DP43" i="25"/>
  <c r="CX43" i="25"/>
  <c r="FG22" i="25"/>
  <c r="CX22" i="25"/>
  <c r="DP22" i="25"/>
  <c r="EQ22" i="25"/>
  <c r="EU22" i="25" s="1"/>
  <c r="CL22" i="25"/>
  <c r="EQ119" i="25"/>
  <c r="EU119" i="25" s="1"/>
  <c r="FG119" i="25"/>
  <c r="CX119" i="25"/>
  <c r="DP119" i="25"/>
  <c r="CL119" i="25"/>
  <c r="CL89" i="25"/>
  <c r="FG89" i="25"/>
  <c r="EQ89" i="25"/>
  <c r="EU89" i="25" s="1"/>
  <c r="DP89" i="25"/>
  <c r="CX89" i="25"/>
  <c r="DP262" i="25"/>
  <c r="CL262" i="25"/>
  <c r="CX262" i="25"/>
  <c r="CL74" i="25"/>
  <c r="DP74" i="25"/>
  <c r="EQ74" i="25"/>
  <c r="EU74" i="25" s="1"/>
  <c r="FG74" i="25"/>
  <c r="CX74" i="25"/>
  <c r="CL33" i="25"/>
  <c r="EQ33" i="25"/>
  <c r="EU33" i="25" s="1"/>
  <c r="FG33" i="25"/>
  <c r="DP33" i="25"/>
  <c r="CX33" i="25"/>
  <c r="DP79" i="25"/>
  <c r="EQ79" i="25"/>
  <c r="EU79" i="25" s="1"/>
  <c r="CX79" i="25"/>
  <c r="FG79" i="25"/>
  <c r="CL79" i="25"/>
  <c r="CX125" i="25"/>
  <c r="DP125" i="25"/>
  <c r="CL125" i="25"/>
  <c r="EQ125" i="25"/>
  <c r="EU125" i="25" s="1"/>
  <c r="FG125" i="25"/>
  <c r="FG85" i="25"/>
  <c r="CL85" i="25"/>
  <c r="DP85" i="25"/>
  <c r="EQ85" i="25"/>
  <c r="EU85" i="25" s="1"/>
  <c r="CX85" i="25"/>
  <c r="EQ145" i="25"/>
  <c r="EU145" i="25" s="1"/>
  <c r="FG145" i="25"/>
  <c r="CL145" i="25"/>
  <c r="DP145" i="25"/>
  <c r="CX145" i="25"/>
  <c r="EQ57" i="25"/>
  <c r="EU57" i="25" s="1"/>
  <c r="DP57" i="25"/>
  <c r="CX57" i="25"/>
  <c r="CL57" i="25"/>
  <c r="FG57" i="25"/>
  <c r="EQ129" i="25"/>
  <c r="EU129" i="25" s="1"/>
  <c r="FG129" i="25"/>
  <c r="CL129" i="25"/>
  <c r="DP129" i="25"/>
  <c r="CX129" i="25"/>
  <c r="FG143" i="25"/>
  <c r="CL143" i="25"/>
  <c r="DP143" i="25"/>
  <c r="CX143" i="25"/>
  <c r="EQ143" i="25"/>
  <c r="EU143" i="25" s="1"/>
  <c r="EQ148" i="25"/>
  <c r="EU148" i="25" s="1"/>
  <c r="FG148" i="25"/>
  <c r="DP148" i="25"/>
  <c r="CL148" i="25"/>
  <c r="CX148" i="25"/>
  <c r="DP226" i="25"/>
  <c r="CL226" i="25"/>
  <c r="CX226" i="25"/>
  <c r="CY226" i="25" s="1"/>
  <c r="DP283" i="25"/>
  <c r="CL283" i="25"/>
  <c r="CX283" i="25"/>
  <c r="EQ185" i="25"/>
  <c r="EU185" i="25" s="1"/>
  <c r="FG185" i="25"/>
  <c r="CL185" i="25"/>
  <c r="DP185" i="25"/>
  <c r="CX185" i="25"/>
  <c r="CL276" i="25"/>
  <c r="CX276" i="25"/>
  <c r="DP276" i="25"/>
  <c r="EQ146" i="25"/>
  <c r="EU146" i="25" s="1"/>
  <c r="FG146" i="25"/>
  <c r="CL146" i="25"/>
  <c r="DP146" i="25"/>
  <c r="CX146" i="25"/>
  <c r="CL238" i="25"/>
  <c r="DP238" i="25"/>
  <c r="CX238" i="25"/>
  <c r="CY238" i="25" s="1"/>
  <c r="CL161" i="25"/>
  <c r="FG161" i="25"/>
  <c r="DP161" i="25"/>
  <c r="EQ161" i="25"/>
  <c r="EU161" i="25" s="1"/>
  <c r="CX161" i="25"/>
  <c r="CL237" i="25"/>
  <c r="CX237" i="25"/>
  <c r="DP237" i="25"/>
  <c r="DP294" i="25"/>
  <c r="CX294" i="25"/>
  <c r="CL294" i="25"/>
  <c r="EQ180" i="25"/>
  <c r="EU180" i="25" s="1"/>
  <c r="DP180" i="25"/>
  <c r="CX180" i="25"/>
  <c r="FG180" i="25"/>
  <c r="CL180" i="25"/>
  <c r="CL241" i="25"/>
  <c r="CX241" i="25"/>
  <c r="DP241" i="25"/>
  <c r="CL275" i="25"/>
  <c r="DP275" i="25"/>
  <c r="CX275" i="25"/>
  <c r="FG194" i="25"/>
  <c r="CX194" i="25"/>
  <c r="DP194" i="25"/>
  <c r="CL194" i="25"/>
  <c r="EQ194" i="25"/>
  <c r="EU194" i="25" s="1"/>
  <c r="CX235" i="25"/>
  <c r="CL235" i="25"/>
  <c r="DP235" i="25"/>
  <c r="DP306" i="25"/>
  <c r="CL306" i="25"/>
  <c r="CX306" i="25"/>
  <c r="CU12" i="25"/>
  <c r="CW12" i="25"/>
  <c r="CO12" i="25" s="1"/>
  <c r="CV12" i="25"/>
  <c r="CV8" i="25"/>
  <c r="CW8" i="25"/>
  <c r="CO8" i="25" s="1"/>
  <c r="CU8" i="25"/>
  <c r="CW63" i="25"/>
  <c r="CO63" i="25" s="1"/>
  <c r="CU63" i="25"/>
  <c r="CV63" i="25"/>
  <c r="CV225" i="25"/>
  <c r="CU225" i="25"/>
  <c r="CW225" i="25"/>
  <c r="CO225" i="25" s="1"/>
  <c r="CV230" i="25"/>
  <c r="CU230" i="25"/>
  <c r="CW230" i="25"/>
  <c r="CO230" i="25" s="1"/>
  <c r="CW222" i="25"/>
  <c r="CO222" i="25" s="1"/>
  <c r="CU222" i="25"/>
  <c r="CV222" i="25"/>
  <c r="CU261" i="25"/>
  <c r="CV261" i="25"/>
  <c r="CW261" i="25"/>
  <c r="CO261" i="25" s="1"/>
  <c r="CW74" i="25"/>
  <c r="CO74" i="25" s="1"/>
  <c r="CV74" i="25"/>
  <c r="CU74" i="25"/>
  <c r="CV33" i="25"/>
  <c r="CU33" i="25"/>
  <c r="CW33" i="25"/>
  <c r="CO33" i="25" s="1"/>
  <c r="CU291" i="25"/>
  <c r="CV291" i="25"/>
  <c r="CW291" i="25"/>
  <c r="CO291" i="25" s="1"/>
  <c r="CW238" i="25"/>
  <c r="CO238" i="25" s="1"/>
  <c r="CV238" i="25"/>
  <c r="CU238" i="25"/>
  <c r="CU285" i="25"/>
  <c r="CW285" i="25"/>
  <c r="CO285" i="25" s="1"/>
  <c r="CV285" i="25"/>
  <c r="CU309" i="25"/>
  <c r="CW309" i="25"/>
  <c r="CO309" i="25" s="1"/>
  <c r="CV309" i="25"/>
  <c r="CV273" i="25"/>
  <c r="CW273" i="25"/>
  <c r="CO273" i="25" s="1"/>
  <c r="CU273" i="25"/>
  <c r="CW253" i="25"/>
  <c r="CO253" i="25" s="1"/>
  <c r="CU253" i="25"/>
  <c r="CV253" i="25"/>
  <c r="CV223" i="25"/>
  <c r="CU223" i="25"/>
  <c r="CW223" i="25"/>
  <c r="CO223" i="25" s="1"/>
  <c r="CU197" i="25"/>
  <c r="CW197" i="25"/>
  <c r="CO197" i="25" s="1"/>
  <c r="CV197" i="25"/>
  <c r="CW189" i="25"/>
  <c r="CO189" i="25" s="1"/>
  <c r="CV189" i="25"/>
  <c r="CU189" i="25"/>
  <c r="CU297" i="25"/>
  <c r="CW297" i="25"/>
  <c r="CO297" i="25" s="1"/>
  <c r="CV297" i="25"/>
  <c r="CV296" i="25"/>
  <c r="CU296" i="25"/>
  <c r="CW296" i="25"/>
  <c r="CO296" i="25" s="1"/>
  <c r="CW219" i="25"/>
  <c r="CO219" i="25" s="1"/>
  <c r="CV219" i="25"/>
  <c r="CU219" i="25"/>
  <c r="CW140" i="25"/>
  <c r="CO140" i="25" s="1"/>
  <c r="CV140" i="25"/>
  <c r="CU140" i="25"/>
  <c r="CU54" i="25"/>
  <c r="CW54" i="25"/>
  <c r="CO54" i="25" s="1"/>
  <c r="CV54" i="25"/>
  <c r="CV245" i="25"/>
  <c r="CU245" i="25"/>
  <c r="CW245" i="25"/>
  <c r="CO245" i="25" s="1"/>
  <c r="CW133" i="25"/>
  <c r="CO133" i="25" s="1"/>
  <c r="CU133" i="25"/>
  <c r="CV133" i="25"/>
  <c r="CW123" i="25"/>
  <c r="CO123" i="25" s="1"/>
  <c r="CV123" i="25"/>
  <c r="CU123" i="25"/>
  <c r="CW73" i="25"/>
  <c r="CO73" i="25" s="1"/>
  <c r="CV73" i="25"/>
  <c r="CU73" i="25"/>
  <c r="CW125" i="25"/>
  <c r="CO125" i="25" s="1"/>
  <c r="CV125" i="25"/>
  <c r="CU125" i="25"/>
  <c r="CU118" i="25"/>
  <c r="CW118" i="25"/>
  <c r="CO118" i="25" s="1"/>
  <c r="CV118" i="25"/>
  <c r="CW115" i="25"/>
  <c r="CO115" i="25" s="1"/>
  <c r="CV115" i="25"/>
  <c r="CU115" i="25"/>
  <c r="CW49" i="25"/>
  <c r="CO49" i="25" s="1"/>
  <c r="CU49" i="25"/>
  <c r="CV49" i="25"/>
  <c r="CV204" i="25"/>
  <c r="CU204" i="25"/>
  <c r="CW204" i="25"/>
  <c r="CO204" i="25" s="1"/>
  <c r="CW182" i="25"/>
  <c r="CO182" i="25" s="1"/>
  <c r="CU182" i="25"/>
  <c r="CV182" i="25"/>
  <c r="CW178" i="25"/>
  <c r="CO178" i="25" s="1"/>
  <c r="CU178" i="25"/>
  <c r="CV178" i="25"/>
  <c r="CV192" i="25"/>
  <c r="CW192" i="25"/>
  <c r="CO192" i="25" s="1"/>
  <c r="CU192" i="25"/>
  <c r="CW258" i="25"/>
  <c r="CO258" i="25" s="1"/>
  <c r="CV258" i="25"/>
  <c r="CU258" i="25"/>
  <c r="FG154" i="25"/>
  <c r="CL154" i="25"/>
  <c r="EQ154" i="25"/>
  <c r="EU154" i="25" s="1"/>
  <c r="DP154" i="25"/>
  <c r="CX154" i="25"/>
  <c r="CY154" i="25" s="1"/>
  <c r="DP305" i="25"/>
  <c r="CX305" i="25"/>
  <c r="CL305" i="25"/>
  <c r="FG68" i="25"/>
  <c r="CL68" i="25"/>
  <c r="DP68" i="25"/>
  <c r="EQ68" i="25"/>
  <c r="EU68" i="25" s="1"/>
  <c r="CX68" i="25"/>
  <c r="DP64" i="25"/>
  <c r="EQ64" i="25"/>
  <c r="EU64" i="25" s="1"/>
  <c r="FG64" i="25"/>
  <c r="CL64" i="25"/>
  <c r="CX64" i="25"/>
  <c r="EQ128" i="25"/>
  <c r="EU128" i="25" s="1"/>
  <c r="FG128" i="25"/>
  <c r="CL128" i="25"/>
  <c r="DP128" i="25"/>
  <c r="CX128" i="25"/>
  <c r="CL232" i="25"/>
  <c r="DP232" i="25"/>
  <c r="CX232" i="25"/>
  <c r="EQ179" i="25"/>
  <c r="EU179" i="25" s="1"/>
  <c r="DP179" i="25"/>
  <c r="CX179" i="25"/>
  <c r="FG179" i="25"/>
  <c r="CL179" i="25"/>
  <c r="CU250" i="25"/>
  <c r="CW250" i="25"/>
  <c r="CO250" i="25" s="1"/>
  <c r="CV250" i="25"/>
  <c r="CU94" i="25"/>
  <c r="CW94" i="25"/>
  <c r="CO94" i="25" s="1"/>
  <c r="CV94" i="25"/>
  <c r="CW55" i="25"/>
  <c r="CO55" i="25" s="1"/>
  <c r="CV55" i="25"/>
  <c r="CU55" i="25"/>
  <c r="CU260" i="25"/>
  <c r="CV260" i="25"/>
  <c r="CW260" i="25"/>
  <c r="CO260" i="25" s="1"/>
  <c r="CU124" i="25"/>
  <c r="CW124" i="25"/>
  <c r="CO124" i="25" s="1"/>
  <c r="CV124" i="25"/>
  <c r="CW145" i="25"/>
  <c r="CO145" i="25" s="1"/>
  <c r="CV145" i="25"/>
  <c r="CU145" i="25"/>
  <c r="CW62" i="25"/>
  <c r="CO62" i="25" s="1"/>
  <c r="CU62" i="25"/>
  <c r="CV62" i="25"/>
  <c r="CW139" i="25"/>
  <c r="CO139" i="25" s="1"/>
  <c r="CV139" i="25"/>
  <c r="CU139" i="25"/>
  <c r="CU315" i="25"/>
  <c r="CV315" i="25"/>
  <c r="CW315" i="25"/>
  <c r="CO315" i="25" s="1"/>
  <c r="CW69" i="25"/>
  <c r="CO69" i="25" s="1"/>
  <c r="CV69" i="25"/>
  <c r="CU69" i="25"/>
  <c r="CW177" i="25"/>
  <c r="CO177" i="25" s="1"/>
  <c r="CU177" i="25"/>
  <c r="CV177" i="25"/>
  <c r="FG38" i="25"/>
  <c r="CX38" i="25"/>
  <c r="DP38" i="25"/>
  <c r="EQ38" i="25"/>
  <c r="EU38" i="25" s="1"/>
  <c r="CL38" i="25"/>
  <c r="EQ37" i="25"/>
  <c r="EU37" i="25" s="1"/>
  <c r="CL37" i="25"/>
  <c r="CX37" i="25"/>
  <c r="DP37" i="25"/>
  <c r="FG37" i="25"/>
  <c r="FG14" i="25"/>
  <c r="CX14" i="25"/>
  <c r="CL14" i="25"/>
  <c r="EQ14" i="25"/>
  <c r="EU14" i="25" s="1"/>
  <c r="DP14" i="25"/>
  <c r="EQ176" i="25"/>
  <c r="EU176" i="25" s="1"/>
  <c r="DP176" i="25"/>
  <c r="FG176" i="25"/>
  <c r="CX176" i="25"/>
  <c r="CL176" i="25"/>
  <c r="FG17" i="25"/>
  <c r="CL17" i="25"/>
  <c r="EQ17" i="25"/>
  <c r="EU17" i="25" s="1"/>
  <c r="CX17" i="25"/>
  <c r="DP17" i="25"/>
  <c r="FG175" i="25"/>
  <c r="CX175" i="25"/>
  <c r="DP175" i="25"/>
  <c r="CL175" i="25"/>
  <c r="EQ175" i="25"/>
  <c r="EU175" i="25" s="1"/>
  <c r="EQ27" i="25"/>
  <c r="EU27" i="25" s="1"/>
  <c r="DP27" i="25"/>
  <c r="CL27" i="25"/>
  <c r="FG27" i="25"/>
  <c r="CX27" i="25"/>
  <c r="DP82" i="25"/>
  <c r="CL82" i="25"/>
  <c r="FG82" i="25"/>
  <c r="EQ82" i="25"/>
  <c r="EU82" i="25" s="1"/>
  <c r="CX82" i="25"/>
  <c r="CY82" i="25" s="1"/>
  <c r="CL55" i="25"/>
  <c r="FG55" i="25"/>
  <c r="EQ55" i="25"/>
  <c r="EU55" i="25" s="1"/>
  <c r="DP55" i="25"/>
  <c r="CX55" i="25"/>
  <c r="DP47" i="25"/>
  <c r="FG47" i="25"/>
  <c r="EQ47" i="25"/>
  <c r="EU47" i="25" s="1"/>
  <c r="CL47" i="25"/>
  <c r="CX47" i="25"/>
  <c r="CX266" i="25"/>
  <c r="DP266" i="25"/>
  <c r="CL266" i="25"/>
  <c r="DP90" i="25"/>
  <c r="CL90" i="25"/>
  <c r="CX90" i="25"/>
  <c r="EQ90" i="25"/>
  <c r="EU90" i="25" s="1"/>
  <c r="FG90" i="25"/>
  <c r="CX277" i="25"/>
  <c r="CL277" i="25"/>
  <c r="DP277" i="25"/>
  <c r="CL87" i="25"/>
  <c r="EQ87" i="25"/>
  <c r="EU87" i="25" s="1"/>
  <c r="CX87" i="25"/>
  <c r="FG87" i="25"/>
  <c r="DP87" i="25"/>
  <c r="EQ34" i="25"/>
  <c r="EU34" i="25" s="1"/>
  <c r="CX34" i="25"/>
  <c r="DP34" i="25"/>
  <c r="CL34" i="25"/>
  <c r="FG34" i="25"/>
  <c r="CL86" i="25"/>
  <c r="DP86" i="25"/>
  <c r="CX86" i="25"/>
  <c r="FG86" i="25"/>
  <c r="EQ86" i="25"/>
  <c r="EU86" i="25" s="1"/>
  <c r="DP126" i="25"/>
  <c r="CL126" i="25"/>
  <c r="EQ126" i="25"/>
  <c r="EU126" i="25" s="1"/>
  <c r="FG126" i="25"/>
  <c r="CX126" i="25"/>
  <c r="EQ100" i="25"/>
  <c r="EU100" i="25" s="1"/>
  <c r="DP100" i="25"/>
  <c r="CL100" i="25"/>
  <c r="CX100" i="25"/>
  <c r="FG100" i="25"/>
  <c r="EQ177" i="25"/>
  <c r="EU177" i="25" s="1"/>
  <c r="CL177" i="25"/>
  <c r="CX177" i="25"/>
  <c r="FG177" i="25"/>
  <c r="DP177" i="25"/>
  <c r="EQ65" i="25"/>
  <c r="EU65" i="25" s="1"/>
  <c r="DP65" i="25"/>
  <c r="CL65" i="25"/>
  <c r="CX65" i="25"/>
  <c r="FG65" i="25"/>
  <c r="EQ130" i="25"/>
  <c r="EU130" i="25" s="1"/>
  <c r="DP130" i="25"/>
  <c r="CX130" i="25"/>
  <c r="FG130" i="25"/>
  <c r="CL130" i="25"/>
  <c r="FG151" i="25"/>
  <c r="CL151" i="25"/>
  <c r="CX151" i="25"/>
  <c r="DP151" i="25"/>
  <c r="EQ151" i="25"/>
  <c r="EU151" i="25" s="1"/>
  <c r="FG153" i="25"/>
  <c r="CL153" i="25"/>
  <c r="EQ153" i="25"/>
  <c r="EU153" i="25" s="1"/>
  <c r="DP153" i="25"/>
  <c r="CX153" i="25"/>
  <c r="CX233" i="25"/>
  <c r="DP233" i="25"/>
  <c r="CL233" i="25"/>
  <c r="CL285" i="25"/>
  <c r="CX285" i="25"/>
  <c r="DP285" i="25"/>
  <c r="FG188" i="25"/>
  <c r="DP188" i="25"/>
  <c r="EQ188" i="25"/>
  <c r="EU188" i="25" s="1"/>
  <c r="CL188" i="25"/>
  <c r="CX188" i="25"/>
  <c r="CL280" i="25"/>
  <c r="DP280" i="25"/>
  <c r="CX280" i="25"/>
  <c r="CL156" i="25"/>
  <c r="FG156" i="25"/>
  <c r="DP156" i="25"/>
  <c r="EQ156" i="25"/>
  <c r="EU156" i="25" s="1"/>
  <c r="CX156" i="25"/>
  <c r="CL243" i="25"/>
  <c r="DP243" i="25"/>
  <c r="CX243" i="25"/>
  <c r="FG164" i="25"/>
  <c r="CL164" i="25"/>
  <c r="EQ164" i="25"/>
  <c r="EU164" i="25" s="1"/>
  <c r="DP164" i="25"/>
  <c r="CX164" i="25"/>
  <c r="CY164" i="25" s="1"/>
  <c r="CL244" i="25"/>
  <c r="DP244" i="25"/>
  <c r="CX244" i="25"/>
  <c r="CL295" i="25"/>
  <c r="CX295" i="25"/>
  <c r="DP295" i="25"/>
  <c r="EQ181" i="25"/>
  <c r="EU181" i="25" s="1"/>
  <c r="DP181" i="25"/>
  <c r="CL181" i="25"/>
  <c r="CX181" i="25"/>
  <c r="FG181" i="25"/>
  <c r="DP242" i="25"/>
  <c r="CL242" i="25"/>
  <c r="CX242" i="25"/>
  <c r="CL307" i="25"/>
  <c r="DP307" i="25"/>
  <c r="CX307" i="25"/>
  <c r="DP195" i="25"/>
  <c r="CX195" i="25"/>
  <c r="CL195" i="25"/>
  <c r="EQ195" i="25"/>
  <c r="EU195" i="25" s="1"/>
  <c r="FG195" i="25"/>
  <c r="DP250" i="25"/>
  <c r="CL250" i="25"/>
  <c r="CX250" i="25"/>
  <c r="CU159" i="25"/>
  <c r="CW159" i="25"/>
  <c r="CO159" i="25" s="1"/>
  <c r="CV159" i="25"/>
  <c r="CV152" i="25"/>
  <c r="CW152" i="25"/>
  <c r="CO152" i="25" s="1"/>
  <c r="CU152" i="25"/>
  <c r="CW82" i="25"/>
  <c r="CO82" i="25" s="1"/>
  <c r="CU82" i="25"/>
  <c r="CV82" i="25"/>
  <c r="CV154" i="25"/>
  <c r="CW154" i="25"/>
  <c r="CO154" i="25" s="1"/>
  <c r="CU154" i="25"/>
  <c r="CU288" i="25"/>
  <c r="CW288" i="25"/>
  <c r="CO288" i="25" s="1"/>
  <c r="CV288" i="25"/>
  <c r="CU236" i="25"/>
  <c r="CW236" i="25"/>
  <c r="CO236" i="25" s="1"/>
  <c r="CV236" i="25"/>
  <c r="CU36" i="25"/>
  <c r="CW36" i="25"/>
  <c r="CO36" i="25" s="1"/>
  <c r="CV36" i="25"/>
  <c r="CU313" i="25"/>
  <c r="CW313" i="25"/>
  <c r="CO313" i="25" s="1"/>
  <c r="CV313" i="25"/>
  <c r="CV163" i="25"/>
  <c r="CW163" i="25"/>
  <c r="CO163" i="25" s="1"/>
  <c r="CU163" i="25"/>
  <c r="CU90" i="25"/>
  <c r="CW90" i="25"/>
  <c r="CO90" i="25" s="1"/>
  <c r="CV90" i="25"/>
  <c r="CW221" i="25"/>
  <c r="CO221" i="25" s="1"/>
  <c r="CU221" i="25"/>
  <c r="CV221" i="25"/>
  <c r="CV224" i="25"/>
  <c r="CU224" i="25"/>
  <c r="CW224" i="25"/>
  <c r="CO224" i="25" s="1"/>
  <c r="CW155" i="25"/>
  <c r="CO155" i="25" s="1"/>
  <c r="CU155" i="25"/>
  <c r="CV155" i="25"/>
  <c r="CW281" i="25"/>
  <c r="CO281" i="25" s="1"/>
  <c r="CU281" i="25"/>
  <c r="CV281" i="25"/>
  <c r="CW310" i="25"/>
  <c r="CO310" i="25" s="1"/>
  <c r="CU310" i="25"/>
  <c r="CV310" i="25"/>
  <c r="CV278" i="25"/>
  <c r="CU278" i="25"/>
  <c r="CW278" i="25"/>
  <c r="CO278" i="25" s="1"/>
  <c r="CU263" i="25"/>
  <c r="CV263" i="25"/>
  <c r="CW263" i="25"/>
  <c r="CO263" i="25" s="1"/>
  <c r="CV194" i="25"/>
  <c r="CW194" i="25"/>
  <c r="CO194" i="25" s="1"/>
  <c r="CU194" i="25"/>
  <c r="CW142" i="25"/>
  <c r="CO142" i="25" s="1"/>
  <c r="CV142" i="25"/>
  <c r="CU142" i="25"/>
  <c r="CV170" i="25"/>
  <c r="CU170" i="25"/>
  <c r="CW170" i="25"/>
  <c r="CO170" i="25" s="1"/>
  <c r="CW167" i="25"/>
  <c r="CO167" i="25" s="1"/>
  <c r="CU167" i="25"/>
  <c r="CV167" i="25"/>
  <c r="CV293" i="25"/>
  <c r="CW293" i="25"/>
  <c r="CO293" i="25" s="1"/>
  <c r="CU293" i="25"/>
  <c r="CW135" i="25"/>
  <c r="CO135" i="25" s="1"/>
  <c r="CV135" i="25"/>
  <c r="CU135" i="25"/>
  <c r="CU17" i="25"/>
  <c r="CV17" i="25"/>
  <c r="CW17" i="25"/>
  <c r="CO17" i="25" s="1"/>
  <c r="CV46" i="25"/>
  <c r="CU46" i="25"/>
  <c r="CW46" i="25"/>
  <c r="CO46" i="25" s="1"/>
  <c r="CU21" i="25"/>
  <c r="CW21" i="25"/>
  <c r="CO21" i="25" s="1"/>
  <c r="CV21" i="25"/>
  <c r="CU13" i="25"/>
  <c r="CW13" i="25"/>
  <c r="CO13" i="25" s="1"/>
  <c r="CV13" i="25"/>
  <c r="CW127" i="25"/>
  <c r="CO127" i="25" s="1"/>
  <c r="CV127" i="25"/>
  <c r="CU127" i="25"/>
  <c r="CU101" i="25"/>
  <c r="CW101" i="25"/>
  <c r="CO101" i="25" s="1"/>
  <c r="CV101" i="25"/>
  <c r="CW126" i="25"/>
  <c r="CO126" i="25" s="1"/>
  <c r="CU126" i="25"/>
  <c r="CV126" i="25"/>
  <c r="CW128" i="25"/>
  <c r="CO128" i="25" s="1"/>
  <c r="CU128" i="25"/>
  <c r="CV128" i="25"/>
  <c r="CW117" i="25"/>
  <c r="CO117" i="25" s="1"/>
  <c r="CV117" i="25"/>
  <c r="CU117" i="25"/>
  <c r="CU96" i="25"/>
  <c r="CW96" i="25"/>
  <c r="CO96" i="25" s="1"/>
  <c r="CV96" i="25"/>
  <c r="CU243" i="25"/>
  <c r="CV243" i="25"/>
  <c r="CW243" i="25"/>
  <c r="CO243" i="25" s="1"/>
  <c r="CW198" i="25"/>
  <c r="CO198" i="25" s="1"/>
  <c r="CU198" i="25"/>
  <c r="CV198" i="25"/>
  <c r="CV208" i="25"/>
  <c r="CU208" i="25"/>
  <c r="CW208" i="25"/>
  <c r="CO208" i="25" s="1"/>
  <c r="CU195" i="25"/>
  <c r="CV195" i="25"/>
  <c r="CW195" i="25"/>
  <c r="CO195" i="25" s="1"/>
  <c r="CW171" i="25"/>
  <c r="CO171" i="25" s="1"/>
  <c r="CU171" i="25"/>
  <c r="CV171" i="25"/>
  <c r="EQ12" i="25"/>
  <c r="EU12" i="25" s="1"/>
  <c r="DP12" i="25"/>
  <c r="FG12" i="25"/>
  <c r="CL12" i="25"/>
  <c r="CX12" i="25"/>
  <c r="CX269" i="25"/>
  <c r="CL269" i="25"/>
  <c r="DP269" i="25"/>
  <c r="CL225" i="25"/>
  <c r="DP225" i="25"/>
  <c r="CX225" i="25"/>
  <c r="CW185" i="25"/>
  <c r="CO185" i="25" s="1"/>
  <c r="CV185" i="25"/>
  <c r="CU185" i="25"/>
  <c r="CU176" i="25"/>
  <c r="CW176" i="25"/>
  <c r="CO176" i="25" s="1"/>
  <c r="CV176" i="25"/>
  <c r="CT176" i="25"/>
  <c r="CT175" i="25"/>
  <c r="CT173" i="25"/>
  <c r="CT286" i="25"/>
  <c r="CT284" i="25"/>
  <c r="CT282" i="25"/>
  <c r="CT277" i="25"/>
  <c r="CT264" i="25"/>
  <c r="CT249" i="25"/>
  <c r="CT201" i="25"/>
  <c r="CT177" i="25"/>
  <c r="CT174" i="25"/>
  <c r="CT256" i="25"/>
  <c r="CT235" i="25"/>
  <c r="CT208" i="25"/>
  <c r="CT199" i="25"/>
  <c r="CT178" i="25"/>
  <c r="CT251" i="25"/>
  <c r="CT241" i="25"/>
  <c r="CT209" i="25"/>
  <c r="CT205" i="25"/>
  <c r="CT198" i="25"/>
  <c r="CT182" i="25"/>
  <c r="CT181" i="25"/>
  <c r="CT180" i="25"/>
  <c r="CT179" i="25"/>
  <c r="CT271" i="25"/>
  <c r="CT252" i="25"/>
  <c r="CT243" i="25"/>
  <c r="FD243" i="25" s="1"/>
  <c r="CT231" i="25"/>
  <c r="CT207" i="25"/>
  <c r="CT204" i="25"/>
  <c r="CT203" i="25"/>
  <c r="CT197" i="25"/>
  <c r="CT146" i="25"/>
  <c r="CT295" i="25"/>
  <c r="CT294" i="25"/>
  <c r="CT245" i="25"/>
  <c r="CT183" i="25"/>
  <c r="CT169" i="25"/>
  <c r="CT168" i="25"/>
  <c r="CT165" i="25"/>
  <c r="CT184" i="25"/>
  <c r="CT141" i="25"/>
  <c r="CT202" i="25"/>
  <c r="CT172" i="25"/>
  <c r="CT143" i="25"/>
  <c r="CT97" i="25"/>
  <c r="CT83" i="25"/>
  <c r="CT140" i="25"/>
  <c r="CT132" i="25"/>
  <c r="CT131" i="25"/>
  <c r="CT115" i="25"/>
  <c r="CT113" i="25"/>
  <c r="CT111" i="25"/>
  <c r="CT137" i="25"/>
  <c r="CT130" i="25"/>
  <c r="CT129" i="25"/>
  <c r="CT128" i="25"/>
  <c r="CT118" i="25"/>
  <c r="CT69" i="25"/>
  <c r="CT65" i="25"/>
  <c r="CT57" i="25"/>
  <c r="CT296" i="25"/>
  <c r="CT145" i="25"/>
  <c r="CT139" i="25"/>
  <c r="CT134" i="25"/>
  <c r="CT127" i="25"/>
  <c r="CT123" i="25"/>
  <c r="CT122" i="25"/>
  <c r="CT120" i="25"/>
  <c r="CT229" i="25"/>
  <c r="CT148" i="25"/>
  <c r="CT110" i="25"/>
  <c r="CT297" i="25"/>
  <c r="CT233" i="25"/>
  <c r="FD233" i="25" s="1"/>
  <c r="CT73" i="25"/>
  <c r="CT29" i="25"/>
  <c r="CT144" i="25"/>
  <c r="CT133" i="25"/>
  <c r="CT269" i="25"/>
  <c r="CT247" i="25"/>
  <c r="CT171" i="25"/>
  <c r="CT125" i="25"/>
  <c r="CT13" i="25"/>
  <c r="CT17" i="25"/>
  <c r="CT206" i="25"/>
  <c r="CT136" i="25"/>
  <c r="CT135" i="25"/>
  <c r="CT53" i="25"/>
  <c r="CT142" i="25"/>
  <c r="CT126" i="25"/>
  <c r="CT49" i="25"/>
  <c r="CT35" i="25"/>
  <c r="CT25" i="25"/>
  <c r="CT21" i="25"/>
  <c r="CT138" i="25"/>
  <c r="CT87" i="25"/>
  <c r="CT61" i="25"/>
  <c r="CT75" i="25"/>
  <c r="CT170" i="25"/>
  <c r="CT14" i="25"/>
  <c r="CT84" i="25"/>
  <c r="CT119" i="25"/>
  <c r="CT192" i="25"/>
  <c r="CT6" i="25"/>
  <c r="CT46" i="25"/>
  <c r="CT62" i="25"/>
  <c r="CT70" i="25"/>
  <c r="CT81" i="25"/>
  <c r="CT88" i="25"/>
  <c r="CT18" i="25"/>
  <c r="CT10" i="25"/>
  <c r="CT22" i="25"/>
  <c r="CT79" i="25"/>
  <c r="CT92" i="25"/>
  <c r="CT60" i="25"/>
  <c r="CT188" i="25"/>
  <c r="CT195" i="25"/>
  <c r="CT217" i="25"/>
  <c r="CT292" i="25"/>
  <c r="CT42" i="25"/>
  <c r="CT56" i="25"/>
  <c r="CT54" i="25"/>
  <c r="CT101" i="25"/>
  <c r="CT117" i="25"/>
  <c r="CT223" i="25"/>
  <c r="CT299" i="25"/>
  <c r="CT262" i="25"/>
  <c r="CT9" i="25"/>
  <c r="CT105" i="25"/>
  <c r="CT26" i="25"/>
  <c r="CT64" i="25"/>
  <c r="CT72" i="25"/>
  <c r="CT289" i="25"/>
  <c r="CT279" i="25"/>
  <c r="CT191" i="25"/>
  <c r="CT166" i="25"/>
  <c r="CT258" i="25"/>
  <c r="CT316" i="25"/>
  <c r="CT283" i="25"/>
  <c r="CT34" i="25"/>
  <c r="CT287" i="25"/>
  <c r="CT66" i="25"/>
  <c r="CT16" i="25"/>
  <c r="CT124" i="25"/>
  <c r="CT116" i="25"/>
  <c r="CT80" i="25"/>
  <c r="CT266" i="25"/>
  <c r="CT285" i="25"/>
  <c r="CT98" i="25"/>
  <c r="CT147" i="25"/>
  <c r="CT38" i="25"/>
  <c r="CT30" i="25"/>
  <c r="CT200" i="25"/>
  <c r="CT102" i="25"/>
  <c r="CT303" i="25"/>
  <c r="CT95" i="25"/>
  <c r="CT312" i="25"/>
  <c r="CT190" i="25"/>
  <c r="CT114" i="25"/>
  <c r="CT315" i="25"/>
  <c r="CT167" i="25"/>
  <c r="CT196" i="25"/>
  <c r="CT278" i="25"/>
  <c r="CT227" i="25"/>
  <c r="CT121" i="25"/>
  <c r="CT68" i="25"/>
  <c r="CT50" i="25"/>
  <c r="CT306" i="25"/>
  <c r="CT265" i="25"/>
  <c r="CT263" i="25"/>
  <c r="CT253" i="25"/>
  <c r="CT58" i="25"/>
  <c r="CT189" i="25"/>
  <c r="CT237" i="25"/>
  <c r="CT300" i="25"/>
  <c r="CT193" i="25"/>
  <c r="CT257" i="25"/>
  <c r="CT293" i="25"/>
  <c r="CT310" i="25"/>
  <c r="CT254" i="25"/>
  <c r="CT219" i="25"/>
  <c r="CT280" i="25"/>
  <c r="CT305" i="25"/>
  <c r="CT309" i="25"/>
  <c r="CT311" i="25"/>
  <c r="CT239" i="25"/>
  <c r="CT268" i="25"/>
  <c r="CT194" i="25"/>
  <c r="CT255" i="25"/>
  <c r="CT91" i="25"/>
  <c r="CT149" i="25"/>
  <c r="CT260" i="25"/>
  <c r="CT273" i="25"/>
  <c r="CT275" i="25"/>
  <c r="CT304" i="25"/>
  <c r="CT96" i="25"/>
  <c r="CT276" i="25"/>
  <c r="CT281" i="25"/>
  <c r="CT41" i="25"/>
  <c r="CT298" i="25"/>
  <c r="CT224" i="25"/>
  <c r="CT240" i="25"/>
  <c r="CT155" i="25"/>
  <c r="CT55" i="25"/>
  <c r="CT47" i="25"/>
  <c r="CT225" i="25"/>
  <c r="FD225" i="25" s="1"/>
  <c r="CT59" i="25"/>
  <c r="CT44" i="25"/>
  <c r="CT154" i="25"/>
  <c r="CT267" i="25"/>
  <c r="CT238" i="25"/>
  <c r="CT33" i="25"/>
  <c r="CT15" i="25"/>
  <c r="CT291" i="25"/>
  <c r="CT77" i="25"/>
  <c r="CT7" i="25"/>
  <c r="FD7" i="25" s="1"/>
  <c r="CT36" i="25"/>
  <c r="CT301" i="25"/>
  <c r="CT19" i="25"/>
  <c r="CT162" i="25"/>
  <c r="CT187" i="25"/>
  <c r="CT100" i="25"/>
  <c r="CT156" i="25"/>
  <c r="CT220" i="25"/>
  <c r="CT27" i="25"/>
  <c r="CT185" i="25"/>
  <c r="CT288" i="25"/>
  <c r="CT157" i="25"/>
  <c r="CT163" i="25"/>
  <c r="CT222" i="25"/>
  <c r="CT259" i="25"/>
  <c r="CT218" i="25"/>
  <c r="CT232" i="25"/>
  <c r="CT32" i="25"/>
  <c r="CT103" i="25"/>
  <c r="CT290" i="25"/>
  <c r="CT270" i="25"/>
  <c r="CT20" i="25"/>
  <c r="CT76" i="25"/>
  <c r="CT28" i="25"/>
  <c r="CT242" i="25"/>
  <c r="CT313" i="25"/>
  <c r="CT86" i="25"/>
  <c r="CT48" i="25"/>
  <c r="CT67" i="25"/>
  <c r="CT159" i="25"/>
  <c r="CT99" i="25"/>
  <c r="CT37" i="25"/>
  <c r="CT8" i="25"/>
  <c r="CT228" i="25"/>
  <c r="CT11" i="25"/>
  <c r="CT307" i="25"/>
  <c r="CT161" i="25"/>
  <c r="CT248" i="25"/>
  <c r="CT31" i="25"/>
  <c r="CT90" i="25"/>
  <c r="CT160" i="25"/>
  <c r="CT158" i="25"/>
  <c r="CT82" i="25"/>
  <c r="CT226" i="25"/>
  <c r="CT150" i="25"/>
  <c r="CT71" i="25"/>
  <c r="CT230" i="25"/>
  <c r="CT94" i="25"/>
  <c r="CT164" i="25"/>
  <c r="CT216" i="25"/>
  <c r="CT74" i="25"/>
  <c r="CT78" i="25"/>
  <c r="CT85" i="25"/>
  <c r="CT186" i="25"/>
  <c r="CT274" i="25"/>
  <c r="CT236" i="25"/>
  <c r="CT89" i="25"/>
  <c r="CT151" i="25"/>
  <c r="CT45" i="25"/>
  <c r="CT244" i="25"/>
  <c r="CT210" i="25"/>
  <c r="CT153" i="25"/>
  <c r="CT234" i="25"/>
  <c r="CT152" i="25"/>
  <c r="CT246" i="25"/>
  <c r="CT51" i="25"/>
  <c r="CT43" i="25"/>
  <c r="CT12" i="25"/>
  <c r="CT63" i="25"/>
  <c r="CT314" i="25"/>
  <c r="CT93" i="25"/>
  <c r="CT104" i="25"/>
  <c r="CT23" i="25"/>
  <c r="CT308" i="25"/>
  <c r="CT261" i="25"/>
  <c r="CT302" i="25"/>
  <c r="CT272" i="25"/>
  <c r="CT24" i="25"/>
  <c r="CT40" i="25"/>
  <c r="CT250" i="25"/>
  <c r="CT39" i="25"/>
  <c r="CT221" i="25"/>
  <c r="CT52" i="25"/>
  <c r="FG24" i="25"/>
  <c r="DP24" i="25"/>
  <c r="CX24" i="25"/>
  <c r="CL24" i="25"/>
  <c r="EQ24" i="25"/>
  <c r="EU24" i="25" s="1"/>
  <c r="FG58" i="25"/>
  <c r="EQ58" i="25"/>
  <c r="EU58" i="25" s="1"/>
  <c r="DP58" i="25"/>
  <c r="CL58" i="25"/>
  <c r="CX58" i="25"/>
  <c r="CL29" i="25"/>
  <c r="EQ29" i="25"/>
  <c r="EU29" i="25" s="1"/>
  <c r="CX29" i="25"/>
  <c r="FG29" i="25"/>
  <c r="DP29" i="25"/>
  <c r="CL81" i="25"/>
  <c r="FG81" i="25"/>
  <c r="DP81" i="25"/>
  <c r="EQ81" i="25"/>
  <c r="EU81" i="25" s="1"/>
  <c r="CX81" i="25"/>
  <c r="DP42" i="25"/>
  <c r="FG42" i="25"/>
  <c r="CX42" i="25"/>
  <c r="EQ42" i="25"/>
  <c r="EU42" i="25" s="1"/>
  <c r="CL42" i="25"/>
  <c r="CL9" i="25"/>
  <c r="FG9" i="25"/>
  <c r="EQ9" i="25"/>
  <c r="EU9" i="25" s="1"/>
  <c r="DP9" i="25"/>
  <c r="CX9" i="25"/>
  <c r="DP28" i="25"/>
  <c r="FG28" i="25"/>
  <c r="CX28" i="25"/>
  <c r="CL28" i="25"/>
  <c r="EQ28" i="25"/>
  <c r="EU28" i="25" s="1"/>
  <c r="CX92" i="25"/>
  <c r="DP92" i="25"/>
  <c r="CL92" i="25"/>
  <c r="EQ92" i="25"/>
  <c r="EU92" i="25" s="1"/>
  <c r="FG92" i="25"/>
  <c r="FG71" i="25"/>
  <c r="EQ71" i="25"/>
  <c r="EU71" i="25" s="1"/>
  <c r="DP71" i="25"/>
  <c r="CL71" i="25"/>
  <c r="CX71" i="25"/>
  <c r="DP48" i="25"/>
  <c r="CX48" i="25"/>
  <c r="CL48" i="25"/>
  <c r="EQ48" i="25"/>
  <c r="EU48" i="25" s="1"/>
  <c r="FG48" i="25"/>
  <c r="CL284" i="25"/>
  <c r="DP284" i="25"/>
  <c r="CX284" i="25"/>
  <c r="EQ96" i="25"/>
  <c r="EU96" i="25" s="1"/>
  <c r="FG96" i="25"/>
  <c r="CX96" i="25"/>
  <c r="DP96" i="25"/>
  <c r="CL96" i="25"/>
  <c r="DP298" i="25"/>
  <c r="CL298" i="25"/>
  <c r="CX298" i="25"/>
  <c r="CL95" i="25"/>
  <c r="EQ95" i="25"/>
  <c r="EU95" i="25" s="1"/>
  <c r="CX95" i="25"/>
  <c r="FG95" i="25"/>
  <c r="DP95" i="25"/>
  <c r="FG40" i="25"/>
  <c r="DP40" i="25"/>
  <c r="CX40" i="25"/>
  <c r="CL40" i="25"/>
  <c r="EQ40" i="25"/>
  <c r="EU40" i="25" s="1"/>
  <c r="DP88" i="25"/>
  <c r="CL88" i="25"/>
  <c r="FG88" i="25"/>
  <c r="CX88" i="25"/>
  <c r="EQ88" i="25"/>
  <c r="EU88" i="25" s="1"/>
  <c r="FG139" i="25"/>
  <c r="CL139" i="25"/>
  <c r="DP139" i="25"/>
  <c r="EQ139" i="25"/>
  <c r="EU139" i="25" s="1"/>
  <c r="CX139" i="25"/>
  <c r="EQ121" i="25"/>
  <c r="EU121" i="25" s="1"/>
  <c r="CL121" i="25"/>
  <c r="FG121" i="25"/>
  <c r="CX121" i="25"/>
  <c r="DP121" i="25"/>
  <c r="DP227" i="25"/>
  <c r="CX227" i="25"/>
  <c r="CL227" i="25"/>
  <c r="EQ69" i="25"/>
  <c r="EU69" i="25" s="1"/>
  <c r="CX69" i="25"/>
  <c r="DP69" i="25"/>
  <c r="FG69" i="25"/>
  <c r="CL69" i="25"/>
  <c r="FG140" i="25"/>
  <c r="DP140" i="25"/>
  <c r="CL140" i="25"/>
  <c r="EQ140" i="25"/>
  <c r="EU140" i="25" s="1"/>
  <c r="CX140" i="25"/>
  <c r="EQ173" i="25"/>
  <c r="EU173" i="25" s="1"/>
  <c r="DP173" i="25"/>
  <c r="CX173" i="25"/>
  <c r="CL173" i="25"/>
  <c r="FG173" i="25"/>
  <c r="EQ171" i="25"/>
  <c r="EU171" i="25" s="1"/>
  <c r="CL171" i="25"/>
  <c r="CX171" i="25"/>
  <c r="DP171" i="25"/>
  <c r="FG171" i="25"/>
  <c r="CL239" i="25"/>
  <c r="CX239" i="25"/>
  <c r="DP239" i="25"/>
  <c r="CL287" i="25"/>
  <c r="CX287" i="25"/>
  <c r="DP287" i="25"/>
  <c r="EQ189" i="25"/>
  <c r="EU189" i="25" s="1"/>
  <c r="CL189" i="25"/>
  <c r="CX189" i="25"/>
  <c r="FG189" i="25"/>
  <c r="DP189" i="25"/>
  <c r="DP290" i="25"/>
  <c r="CL290" i="25"/>
  <c r="CX290" i="25"/>
  <c r="EQ169" i="25"/>
  <c r="EU169" i="25" s="1"/>
  <c r="CL169" i="25"/>
  <c r="FG169" i="25"/>
  <c r="CX169" i="25"/>
  <c r="DP169" i="25"/>
  <c r="CL245" i="25"/>
  <c r="CX245" i="25"/>
  <c r="DP245" i="25"/>
  <c r="DP168" i="25"/>
  <c r="EQ168" i="25"/>
  <c r="EU168" i="25" s="1"/>
  <c r="FG168" i="25"/>
  <c r="CX168" i="25"/>
  <c r="CL168" i="25"/>
  <c r="DP252" i="25"/>
  <c r="CX252" i="25"/>
  <c r="CL252" i="25"/>
  <c r="CL314" i="25"/>
  <c r="DP314" i="25"/>
  <c r="CX314" i="25"/>
  <c r="EQ182" i="25"/>
  <c r="EU182" i="25" s="1"/>
  <c r="CL182" i="25"/>
  <c r="FG182" i="25"/>
  <c r="DP182" i="25"/>
  <c r="CX182" i="25"/>
  <c r="DP251" i="25"/>
  <c r="CL251" i="25"/>
  <c r="CX251" i="25"/>
  <c r="DP309" i="25"/>
  <c r="CL309" i="25"/>
  <c r="CX309" i="25"/>
  <c r="FG197" i="25"/>
  <c r="DP197" i="25"/>
  <c r="EQ197" i="25"/>
  <c r="EU197" i="25" s="1"/>
  <c r="CL197" i="25"/>
  <c r="CX197" i="25"/>
  <c r="DP256" i="25"/>
  <c r="CL256" i="25"/>
  <c r="CX256" i="25"/>
  <c r="CU52" i="25"/>
  <c r="CV52" i="25"/>
  <c r="CW52" i="25"/>
  <c r="CO52" i="25" s="1"/>
  <c r="CW39" i="25"/>
  <c r="CO39" i="25" s="1"/>
  <c r="CU39" i="25"/>
  <c r="CV39" i="25"/>
  <c r="CU246" i="25"/>
  <c r="CW246" i="25"/>
  <c r="CO246" i="25" s="1"/>
  <c r="CV246" i="25"/>
  <c r="CW77" i="25"/>
  <c r="CO77" i="25" s="1"/>
  <c r="CU77" i="25"/>
  <c r="CV77" i="25"/>
  <c r="CV153" i="25"/>
  <c r="CW153" i="25"/>
  <c r="CO153" i="25" s="1"/>
  <c r="CU153" i="25"/>
  <c r="CV71" i="25"/>
  <c r="CU71" i="25"/>
  <c r="CW71" i="25"/>
  <c r="CO71" i="25" s="1"/>
  <c r="CV150" i="25"/>
  <c r="CU150" i="25"/>
  <c r="CW150" i="25"/>
  <c r="CO150" i="25" s="1"/>
  <c r="CV162" i="25"/>
  <c r="CU162" i="25"/>
  <c r="CW162" i="25"/>
  <c r="CO162" i="25" s="1"/>
  <c r="CU242" i="25"/>
  <c r="CW242" i="25"/>
  <c r="CO242" i="25" s="1"/>
  <c r="CV242" i="25"/>
  <c r="CV89" i="25"/>
  <c r="CU89" i="25"/>
  <c r="CW89" i="25"/>
  <c r="CO89" i="25" s="1"/>
  <c r="CU20" i="25"/>
  <c r="CW20" i="25"/>
  <c r="CO20" i="25" s="1"/>
  <c r="CV20" i="25"/>
  <c r="CU48" i="25"/>
  <c r="CW48" i="25"/>
  <c r="CO48" i="25" s="1"/>
  <c r="CV48" i="25"/>
  <c r="CW240" i="25"/>
  <c r="CO240" i="25" s="1"/>
  <c r="CV240" i="25"/>
  <c r="CU240" i="25"/>
  <c r="CW303" i="25"/>
  <c r="CO303" i="25" s="1"/>
  <c r="CU303" i="25"/>
  <c r="CV303" i="25"/>
  <c r="CV300" i="25"/>
  <c r="CW300" i="25"/>
  <c r="CO300" i="25" s="1"/>
  <c r="CU300" i="25"/>
  <c r="CV316" i="25"/>
  <c r="CW316" i="25"/>
  <c r="CO316" i="25" s="1"/>
  <c r="CU316" i="25"/>
  <c r="CV265" i="25"/>
  <c r="CW265" i="25"/>
  <c r="CO265" i="25" s="1"/>
  <c r="CU265" i="25"/>
  <c r="CV193" i="25"/>
  <c r="CW193" i="25"/>
  <c r="CO193" i="25" s="1"/>
  <c r="CU193" i="25"/>
  <c r="CV114" i="25"/>
  <c r="CW114" i="25"/>
  <c r="CO114" i="25" s="1"/>
  <c r="CU114" i="25"/>
  <c r="CW116" i="25"/>
  <c r="CO116" i="25" s="1"/>
  <c r="CV116" i="25"/>
  <c r="CU116" i="25"/>
  <c r="CV119" i="25"/>
  <c r="CW119" i="25"/>
  <c r="CO119" i="25" s="1"/>
  <c r="CU119" i="25"/>
  <c r="CW146" i="25"/>
  <c r="CO146" i="25" s="1"/>
  <c r="CU146" i="25"/>
  <c r="CV146" i="25"/>
  <c r="CW137" i="25"/>
  <c r="CO137" i="25" s="1"/>
  <c r="CV137" i="25"/>
  <c r="CU137" i="25"/>
  <c r="CU25" i="25"/>
  <c r="CV25" i="25"/>
  <c r="CW25" i="25"/>
  <c r="CO25" i="25" s="1"/>
  <c r="CW10" i="25"/>
  <c r="CO10" i="25" s="1"/>
  <c r="CU10" i="25"/>
  <c r="CV10" i="25"/>
  <c r="CV72" i="25"/>
  <c r="CW72" i="25"/>
  <c r="CO72" i="25" s="1"/>
  <c r="CU72" i="25"/>
  <c r="CW134" i="25"/>
  <c r="CO134" i="25" s="1"/>
  <c r="CV134" i="25"/>
  <c r="CU134" i="25"/>
  <c r="CW61" i="25"/>
  <c r="CO61" i="25" s="1"/>
  <c r="CU61" i="25"/>
  <c r="CV61" i="25"/>
  <c r="CW22" i="25"/>
  <c r="CO22" i="25" s="1"/>
  <c r="CV22" i="25"/>
  <c r="CU22" i="25"/>
  <c r="CW183" i="25"/>
  <c r="CO183" i="25" s="1"/>
  <c r="CU183" i="25"/>
  <c r="CV183" i="25"/>
  <c r="CW129" i="25"/>
  <c r="CO129" i="25" s="1"/>
  <c r="CU129" i="25"/>
  <c r="CV129" i="25"/>
  <c r="CW131" i="25"/>
  <c r="CO131" i="25" s="1"/>
  <c r="CV131" i="25"/>
  <c r="CU131" i="25"/>
  <c r="CU169" i="25"/>
  <c r="CW169" i="25"/>
  <c r="CO169" i="25" s="1"/>
  <c r="CV169" i="25"/>
  <c r="CU271" i="25"/>
  <c r="CW271" i="25"/>
  <c r="CO271" i="25" s="1"/>
  <c r="CV271" i="25"/>
  <c r="CU205" i="25"/>
  <c r="CV205" i="25"/>
  <c r="CW205" i="25"/>
  <c r="CO205" i="25" s="1"/>
  <c r="CV235" i="25"/>
  <c r="CU235" i="25"/>
  <c r="CW235" i="25"/>
  <c r="CO235" i="25" s="1"/>
  <c r="CU201" i="25"/>
  <c r="CW201" i="25"/>
  <c r="CO201" i="25" s="1"/>
  <c r="CV201" i="25"/>
  <c r="CW172" i="25"/>
  <c r="CO172" i="25" s="1"/>
  <c r="CV172" i="25"/>
  <c r="CU172" i="25"/>
  <c r="EQ199" i="25"/>
  <c r="EU199" i="25" s="1"/>
  <c r="CX199" i="25"/>
  <c r="CL199" i="25"/>
  <c r="DP199" i="25"/>
  <c r="FG199" i="25"/>
  <c r="CL49" i="25"/>
  <c r="EQ49" i="25"/>
  <c r="EU49" i="25" s="1"/>
  <c r="DP49" i="25"/>
  <c r="FG49" i="25"/>
  <c r="CX49" i="25"/>
  <c r="EQ73" i="25"/>
  <c r="EU73" i="25" s="1"/>
  <c r="CL73" i="25"/>
  <c r="DP73" i="25"/>
  <c r="CX73" i="25"/>
  <c r="FG73" i="25"/>
  <c r="EQ39" i="25"/>
  <c r="EU39" i="25" s="1"/>
  <c r="CL39" i="25"/>
  <c r="FG39" i="25"/>
  <c r="DP39" i="25"/>
  <c r="CX39" i="25"/>
  <c r="DP302" i="25"/>
  <c r="CL302" i="25"/>
  <c r="CX302" i="25"/>
  <c r="EQ184" i="25"/>
  <c r="EU184" i="25" s="1"/>
  <c r="CX184" i="25"/>
  <c r="FG184" i="25"/>
  <c r="DP184" i="25"/>
  <c r="CL184" i="25"/>
  <c r="CX289" i="25"/>
  <c r="CL289" i="25"/>
  <c r="DP289" i="25"/>
  <c r="CL272" i="25"/>
  <c r="DP272" i="25"/>
  <c r="CX272" i="25"/>
  <c r="CW43" i="25"/>
  <c r="CO43" i="25" s="1"/>
  <c r="CV43" i="25"/>
  <c r="CU43" i="25"/>
  <c r="CV160" i="25"/>
  <c r="CU160" i="25"/>
  <c r="CW160" i="25"/>
  <c r="CO160" i="25" s="1"/>
  <c r="CV268" i="25"/>
  <c r="CU268" i="25"/>
  <c r="CW268" i="25"/>
  <c r="CO268" i="25" s="1"/>
  <c r="CW88" i="25"/>
  <c r="CO88" i="25" s="1"/>
  <c r="CV88" i="25"/>
  <c r="CU88" i="25"/>
  <c r="CW181" i="25"/>
  <c r="CO181" i="25" s="1"/>
  <c r="CU181" i="25"/>
  <c r="CV181" i="25"/>
  <c r="CL23" i="25"/>
  <c r="EQ23" i="25"/>
  <c r="EU23" i="25" s="1"/>
  <c r="DP23" i="25"/>
  <c r="FG23" i="25"/>
  <c r="CX23" i="25"/>
  <c r="EQ114" i="25"/>
  <c r="EU114" i="25" s="1"/>
  <c r="CL114" i="25"/>
  <c r="FG114" i="25"/>
  <c r="CX114" i="25"/>
  <c r="DP114" i="25"/>
  <c r="DP60" i="25"/>
  <c r="FG60" i="25"/>
  <c r="EQ60" i="25"/>
  <c r="EU60" i="25" s="1"/>
  <c r="CX60" i="25"/>
  <c r="CL60" i="25"/>
  <c r="DP66" i="25"/>
  <c r="EQ66" i="25"/>
  <c r="EU66" i="25" s="1"/>
  <c r="FG66" i="25"/>
  <c r="CL66" i="25"/>
  <c r="CX66" i="25"/>
  <c r="CY66" i="25" s="1"/>
  <c r="EQ21" i="25"/>
  <c r="EU21" i="25" s="1"/>
  <c r="FG21" i="25"/>
  <c r="CL21" i="25"/>
  <c r="DP21" i="25"/>
  <c r="CX21" i="25"/>
  <c r="EQ13" i="25"/>
  <c r="EU13" i="25" s="1"/>
  <c r="FG13" i="25"/>
  <c r="CL13" i="25"/>
  <c r="DP13" i="25"/>
  <c r="CX13" i="25"/>
  <c r="FG30" i="25"/>
  <c r="CX30" i="25"/>
  <c r="DP30" i="25"/>
  <c r="EQ30" i="25"/>
  <c r="EU30" i="25" s="1"/>
  <c r="CL30" i="25"/>
  <c r="CL105" i="25"/>
  <c r="FG105" i="25"/>
  <c r="EQ105" i="25"/>
  <c r="EU105" i="25" s="1"/>
  <c r="CX105" i="25"/>
  <c r="DP105" i="25"/>
  <c r="CX115" i="25"/>
  <c r="DP115" i="25"/>
  <c r="CL115" i="25"/>
  <c r="FG115" i="25"/>
  <c r="EQ115" i="25"/>
  <c r="EU115" i="25" s="1"/>
  <c r="EQ70" i="25"/>
  <c r="EU70" i="25" s="1"/>
  <c r="DP70" i="25"/>
  <c r="FG70" i="25"/>
  <c r="CX70" i="25"/>
  <c r="CL70" i="25"/>
  <c r="DP313" i="25"/>
  <c r="CL313" i="25"/>
  <c r="CX313" i="25"/>
  <c r="DP104" i="25"/>
  <c r="CL104" i="25"/>
  <c r="EQ104" i="25"/>
  <c r="EU104" i="25" s="1"/>
  <c r="FG104" i="25"/>
  <c r="CX104" i="25"/>
  <c r="CL46" i="25"/>
  <c r="CX46" i="25"/>
  <c r="DP46" i="25"/>
  <c r="EQ46" i="25"/>
  <c r="EU46" i="25" s="1"/>
  <c r="FG46" i="25"/>
  <c r="FG136" i="25"/>
  <c r="CL136" i="25"/>
  <c r="DP136" i="25"/>
  <c r="CX136" i="25"/>
  <c r="EQ136" i="25"/>
  <c r="EU136" i="25" s="1"/>
  <c r="CL45" i="25"/>
  <c r="EQ45" i="25"/>
  <c r="EU45" i="25" s="1"/>
  <c r="FG45" i="25"/>
  <c r="DP45" i="25"/>
  <c r="CX45" i="25"/>
  <c r="CL93" i="25"/>
  <c r="FG93" i="25"/>
  <c r="EQ93" i="25"/>
  <c r="EU93" i="25" s="1"/>
  <c r="DP93" i="25"/>
  <c r="CX93" i="25"/>
  <c r="FG142" i="25"/>
  <c r="DP142" i="25"/>
  <c r="CL142" i="25"/>
  <c r="EQ142" i="25"/>
  <c r="EU142" i="25" s="1"/>
  <c r="CX142" i="25"/>
  <c r="EQ122" i="25"/>
  <c r="EU122" i="25" s="1"/>
  <c r="DP122" i="25"/>
  <c r="CL122" i="25"/>
  <c r="FG122" i="25"/>
  <c r="CX122" i="25"/>
  <c r="DP257" i="25"/>
  <c r="CL257" i="25"/>
  <c r="CX257" i="25"/>
  <c r="EQ78" i="25"/>
  <c r="EU78" i="25" s="1"/>
  <c r="DP78" i="25"/>
  <c r="CL78" i="25"/>
  <c r="FG78" i="25"/>
  <c r="CX78" i="25"/>
  <c r="EQ209" i="25"/>
  <c r="EU209" i="25" s="1"/>
  <c r="FG209" i="25"/>
  <c r="DP209" i="25"/>
  <c r="CX209" i="25"/>
  <c r="CL209" i="25"/>
  <c r="EQ193" i="25"/>
  <c r="EU193" i="25" s="1"/>
  <c r="CL193" i="25"/>
  <c r="DP193" i="25"/>
  <c r="CX193" i="25"/>
  <c r="FG193" i="25"/>
  <c r="EQ172" i="25"/>
  <c r="EU172" i="25" s="1"/>
  <c r="CL172" i="25"/>
  <c r="FG172" i="25"/>
  <c r="CX172" i="25"/>
  <c r="DP172" i="25"/>
  <c r="CL247" i="25"/>
  <c r="DP247" i="25"/>
  <c r="CX247" i="25"/>
  <c r="CL308" i="25"/>
  <c r="CX308" i="25"/>
  <c r="DP308" i="25"/>
  <c r="FG190" i="25"/>
  <c r="CL190" i="25"/>
  <c r="EQ190" i="25"/>
  <c r="EU190" i="25" s="1"/>
  <c r="CX190" i="25"/>
  <c r="DP190" i="25"/>
  <c r="CL292" i="25"/>
  <c r="CX292" i="25"/>
  <c r="DP292" i="25"/>
  <c r="CL170" i="25"/>
  <c r="EQ170" i="25"/>
  <c r="EU170" i="25" s="1"/>
  <c r="CX170" i="25"/>
  <c r="DP170" i="25"/>
  <c r="FG170" i="25"/>
  <c r="CL246" i="25"/>
  <c r="DP246" i="25"/>
  <c r="CX246" i="25"/>
  <c r="EQ183" i="25"/>
  <c r="EU183" i="25" s="1"/>
  <c r="DP183" i="25"/>
  <c r="CX183" i="25"/>
  <c r="CL183" i="25"/>
  <c r="FG183" i="25"/>
  <c r="CL253" i="25"/>
  <c r="DP253" i="25"/>
  <c r="CX253" i="25"/>
  <c r="DP149" i="25"/>
  <c r="CL149" i="25"/>
  <c r="FG149" i="25"/>
  <c r="CX149" i="25"/>
  <c r="EQ149" i="25"/>
  <c r="EU149" i="25" s="1"/>
  <c r="CL198" i="25"/>
  <c r="FG198" i="25"/>
  <c r="DP198" i="25"/>
  <c r="CX198" i="25"/>
  <c r="EQ198" i="25"/>
  <c r="EU198" i="25" s="1"/>
  <c r="DP254" i="25"/>
  <c r="CL254" i="25"/>
  <c r="CX254" i="25"/>
  <c r="EQ147" i="25"/>
  <c r="EU147" i="25" s="1"/>
  <c r="CL147" i="25"/>
  <c r="FG147" i="25"/>
  <c r="DP147" i="25"/>
  <c r="CX147" i="25"/>
  <c r="EQ200" i="25"/>
  <c r="EU200" i="25" s="1"/>
  <c r="DP200" i="25"/>
  <c r="CL200" i="25"/>
  <c r="FG200" i="25"/>
  <c r="CX200" i="25"/>
  <c r="DP259" i="25"/>
  <c r="CL259" i="25"/>
  <c r="CX259" i="25"/>
  <c r="CY259" i="25" s="1"/>
  <c r="CU19" i="25"/>
  <c r="CV19" i="25"/>
  <c r="CW19" i="25"/>
  <c r="CO19" i="25" s="1"/>
  <c r="CU272" i="25"/>
  <c r="CW272" i="25"/>
  <c r="CO272" i="25" s="1"/>
  <c r="CV272" i="25"/>
  <c r="CU307" i="25"/>
  <c r="CV307" i="25"/>
  <c r="CW307" i="25"/>
  <c r="CO307" i="25" s="1"/>
  <c r="CV186" i="25"/>
  <c r="CU186" i="25"/>
  <c r="CW186" i="25"/>
  <c r="CO186" i="25" s="1"/>
  <c r="CW218" i="25"/>
  <c r="CO218" i="25" s="1"/>
  <c r="CV218" i="25"/>
  <c r="CU218" i="25"/>
  <c r="CV274" i="25"/>
  <c r="CU274" i="25"/>
  <c r="CW274" i="25"/>
  <c r="CO274" i="25" s="1"/>
  <c r="CV161" i="25"/>
  <c r="CU161" i="25"/>
  <c r="CW161" i="25"/>
  <c r="CO161" i="25" s="1"/>
  <c r="CU301" i="25"/>
  <c r="CW301" i="25"/>
  <c r="CO301" i="25" s="1"/>
  <c r="CV301" i="25"/>
  <c r="CV28" i="25"/>
  <c r="CU28" i="25"/>
  <c r="CW28" i="25"/>
  <c r="CO28" i="25" s="1"/>
  <c r="CV270" i="25"/>
  <c r="CU270" i="25"/>
  <c r="CW270" i="25"/>
  <c r="CO270" i="25" s="1"/>
  <c r="CW86" i="25"/>
  <c r="CO86" i="25" s="1"/>
  <c r="CV86" i="25"/>
  <c r="CU86" i="25"/>
  <c r="CV151" i="25"/>
  <c r="CU151" i="25"/>
  <c r="CW151" i="25"/>
  <c r="CO151" i="25" s="1"/>
  <c r="CU298" i="25"/>
  <c r="CW298" i="25"/>
  <c r="CO298" i="25" s="1"/>
  <c r="CV298" i="25"/>
  <c r="CW305" i="25"/>
  <c r="CO305" i="25" s="1"/>
  <c r="CU305" i="25"/>
  <c r="CV305" i="25"/>
  <c r="CW255" i="25"/>
  <c r="CO255" i="25" s="1"/>
  <c r="CU255" i="25"/>
  <c r="CV255" i="25"/>
  <c r="CW312" i="25"/>
  <c r="CO312" i="25" s="1"/>
  <c r="CV312" i="25"/>
  <c r="CU312" i="25"/>
  <c r="CU287" i="25"/>
  <c r="CV287" i="25"/>
  <c r="CW287" i="25"/>
  <c r="CO287" i="25" s="1"/>
  <c r="CV66" i="25"/>
  <c r="CU66" i="25"/>
  <c r="CW66" i="25"/>
  <c r="CO66" i="25" s="1"/>
  <c r="CW121" i="25"/>
  <c r="CO121" i="25" s="1"/>
  <c r="CU121" i="25"/>
  <c r="CV121" i="25"/>
  <c r="CW16" i="25"/>
  <c r="CO16" i="25" s="1"/>
  <c r="CU16" i="25"/>
  <c r="CV16" i="25"/>
  <c r="CW68" i="25"/>
  <c r="CO68" i="25" s="1"/>
  <c r="CU68" i="25"/>
  <c r="CV68" i="25"/>
  <c r="CW141" i="25"/>
  <c r="CO141" i="25" s="1"/>
  <c r="CV141" i="25"/>
  <c r="CU141" i="25"/>
  <c r="CW136" i="25"/>
  <c r="CO136" i="25" s="1"/>
  <c r="CV136" i="25"/>
  <c r="CU136" i="25"/>
  <c r="CW149" i="25"/>
  <c r="CO149" i="25" s="1"/>
  <c r="CU149" i="25"/>
  <c r="CV149" i="25"/>
  <c r="CV229" i="25"/>
  <c r="CU229" i="25"/>
  <c r="CW229" i="25"/>
  <c r="CO229" i="25" s="1"/>
  <c r="CW148" i="25"/>
  <c r="CO148" i="25" s="1"/>
  <c r="CV148" i="25"/>
  <c r="CU148" i="25"/>
  <c r="CW6" i="25"/>
  <c r="CO6" i="25" s="1"/>
  <c r="CV6" i="25"/>
  <c r="CU6" i="25"/>
  <c r="FD6" i="25"/>
  <c r="DS6" i="25"/>
  <c r="CW18" i="25"/>
  <c r="CO18" i="25" s="1"/>
  <c r="CV18" i="25"/>
  <c r="CU18" i="25"/>
  <c r="CV75" i="25"/>
  <c r="CU75" i="25"/>
  <c r="CW75" i="25"/>
  <c r="CO75" i="25" s="1"/>
  <c r="CU247" i="25"/>
  <c r="CV247" i="25"/>
  <c r="CW247" i="25"/>
  <c r="CO247" i="25" s="1"/>
  <c r="CW130" i="25"/>
  <c r="CO130" i="25" s="1"/>
  <c r="CV130" i="25"/>
  <c r="CU130" i="25"/>
  <c r="CV165" i="25"/>
  <c r="CW165" i="25"/>
  <c r="CO165" i="25" s="1"/>
  <c r="CU165" i="25"/>
  <c r="CW184" i="25"/>
  <c r="CO184" i="25" s="1"/>
  <c r="CV184" i="25"/>
  <c r="CU184" i="25"/>
  <c r="CW279" i="25"/>
  <c r="CO279" i="25" s="1"/>
  <c r="CU279" i="25"/>
  <c r="CV279" i="25"/>
  <c r="CV209" i="25"/>
  <c r="CU209" i="25"/>
  <c r="CW209" i="25"/>
  <c r="CO209" i="25" s="1"/>
  <c r="CV256" i="25"/>
  <c r="CU256" i="25"/>
  <c r="CW256" i="25"/>
  <c r="CO256" i="25" s="1"/>
  <c r="CV264" i="25"/>
  <c r="CU264" i="25"/>
  <c r="CW264" i="25"/>
  <c r="CO264" i="25" s="1"/>
  <c r="CW196" i="25"/>
  <c r="CO196" i="25" s="1"/>
  <c r="CV196" i="25"/>
  <c r="CU196" i="25"/>
  <c r="DP230" i="25"/>
  <c r="CL230" i="25"/>
  <c r="CX230" i="25"/>
  <c r="FG137" i="25"/>
  <c r="CL137" i="25"/>
  <c r="DP137" i="25"/>
  <c r="EQ137" i="25"/>
  <c r="EU137" i="25" s="1"/>
  <c r="CX137" i="25"/>
  <c r="CL228" i="25"/>
  <c r="DP228" i="25"/>
  <c r="CX228" i="25"/>
  <c r="DP300" i="25"/>
  <c r="CL300" i="25"/>
  <c r="CX300" i="25"/>
  <c r="CY300" i="25" s="1"/>
  <c r="CW11" i="25"/>
  <c r="CO11" i="25" s="1"/>
  <c r="CV11" i="25"/>
  <c r="CU11" i="25"/>
  <c r="CV227" i="25"/>
  <c r="CU227" i="25"/>
  <c r="CW227" i="25"/>
  <c r="CO227" i="25" s="1"/>
  <c r="CV30" i="25"/>
  <c r="CW30" i="25"/>
  <c r="CO30" i="25" s="1"/>
  <c r="CU30" i="25"/>
  <c r="CL19" i="25"/>
  <c r="EQ19" i="25"/>
  <c r="EU19" i="25" s="1"/>
  <c r="DP19" i="25"/>
  <c r="FG19" i="25"/>
  <c r="CX19" i="25"/>
  <c r="CY19" i="25" s="1"/>
  <c r="FG133" i="25"/>
  <c r="DP133" i="25"/>
  <c r="CL133" i="25"/>
  <c r="EQ133" i="25"/>
  <c r="EU133" i="25" s="1"/>
  <c r="CX133" i="25"/>
  <c r="CX98" i="25"/>
  <c r="FG98" i="25"/>
  <c r="CL98" i="25"/>
  <c r="EQ98" i="25"/>
  <c r="EU98" i="25" s="1"/>
  <c r="DP98" i="25"/>
  <c r="DP72" i="25"/>
  <c r="CL72" i="25"/>
  <c r="EQ72" i="25"/>
  <c r="EU72" i="25" s="1"/>
  <c r="FG72" i="25"/>
  <c r="CX72" i="25"/>
  <c r="FG77" i="25"/>
  <c r="CL77" i="25"/>
  <c r="EQ77" i="25"/>
  <c r="EU77" i="25" s="1"/>
  <c r="DP77" i="25"/>
  <c r="CX77" i="25"/>
  <c r="FG141" i="25"/>
  <c r="DP141" i="25"/>
  <c r="CL141" i="25"/>
  <c r="EQ141" i="25"/>
  <c r="EU141" i="25" s="1"/>
  <c r="CX141" i="25"/>
  <c r="CL41" i="25"/>
  <c r="EQ41" i="25"/>
  <c r="EU41" i="25" s="1"/>
  <c r="FG41" i="25"/>
  <c r="DP41" i="25"/>
  <c r="CX41" i="25"/>
  <c r="EQ111" i="25"/>
  <c r="EU111" i="25" s="1"/>
  <c r="DP111" i="25"/>
  <c r="CL111" i="25"/>
  <c r="FG111" i="25"/>
  <c r="CX111" i="25"/>
  <c r="DP258" i="25"/>
  <c r="CL258" i="25"/>
  <c r="CX258" i="25"/>
  <c r="EQ75" i="25"/>
  <c r="EU75" i="25" s="1"/>
  <c r="FG75" i="25"/>
  <c r="CX75" i="25"/>
  <c r="CL75" i="25"/>
  <c r="DP75" i="25"/>
  <c r="DP51" i="25"/>
  <c r="CL51" i="25"/>
  <c r="FG51" i="25"/>
  <c r="EQ51" i="25"/>
  <c r="EU51" i="25" s="1"/>
  <c r="CX51" i="25"/>
  <c r="CY51" i="25" s="1"/>
  <c r="FG138" i="25"/>
  <c r="DP138" i="25"/>
  <c r="CL138" i="25"/>
  <c r="EQ138" i="25"/>
  <c r="EU138" i="25" s="1"/>
  <c r="CX138" i="25"/>
  <c r="DP52" i="25"/>
  <c r="CL52" i="25"/>
  <c r="EQ52" i="25"/>
  <c r="EU52" i="25" s="1"/>
  <c r="FG52" i="25"/>
  <c r="CX52" i="25"/>
  <c r="FG150" i="25"/>
  <c r="CL150" i="25"/>
  <c r="EQ150" i="25"/>
  <c r="EU150" i="25" s="1"/>
  <c r="DP150" i="25"/>
  <c r="CX150" i="25"/>
  <c r="FG50" i="25"/>
  <c r="CX50" i="25"/>
  <c r="DP50" i="25"/>
  <c r="EQ50" i="25"/>
  <c r="EU50" i="25" s="1"/>
  <c r="CL50" i="25"/>
  <c r="CL94" i="25"/>
  <c r="DP94" i="25"/>
  <c r="FG94" i="25"/>
  <c r="EQ94" i="25"/>
  <c r="EU94" i="25" s="1"/>
  <c r="CX94" i="25"/>
  <c r="EQ174" i="25"/>
  <c r="EU174" i="25" s="1"/>
  <c r="DP174" i="25"/>
  <c r="CX174" i="25"/>
  <c r="FG174" i="25"/>
  <c r="CL174" i="25"/>
  <c r="DP123" i="25"/>
  <c r="CL123" i="25"/>
  <c r="EQ123" i="25"/>
  <c r="EU123" i="25" s="1"/>
  <c r="CX123" i="25"/>
  <c r="FG123" i="25"/>
  <c r="CL293" i="25"/>
  <c r="CX293" i="25"/>
  <c r="DP293" i="25"/>
  <c r="EQ118" i="25"/>
  <c r="EU118" i="25" s="1"/>
  <c r="DP118" i="25"/>
  <c r="CX118" i="25"/>
  <c r="CL118" i="25"/>
  <c r="FG118" i="25"/>
  <c r="DP224" i="25"/>
  <c r="CL224" i="25"/>
  <c r="CX224" i="25"/>
  <c r="CL222" i="25"/>
  <c r="DP222" i="25"/>
  <c r="CX222" i="25"/>
  <c r="DP202" i="25"/>
  <c r="CL202" i="25"/>
  <c r="CX202" i="25"/>
  <c r="FG202" i="25"/>
  <c r="EQ202" i="25"/>
  <c r="EU202" i="25" s="1"/>
  <c r="CL270" i="25"/>
  <c r="DP270" i="25"/>
  <c r="CX270" i="25"/>
  <c r="CY270" i="25" s="1"/>
  <c r="FG159" i="25"/>
  <c r="CL159" i="25"/>
  <c r="DP159" i="25"/>
  <c r="EQ159" i="25"/>
  <c r="EU159" i="25" s="1"/>
  <c r="CX159" i="25"/>
  <c r="CL229" i="25"/>
  <c r="CX229" i="25"/>
  <c r="DP229" i="25"/>
  <c r="DP296" i="25"/>
  <c r="CX296" i="25"/>
  <c r="CL296" i="25"/>
  <c r="FG191" i="25"/>
  <c r="DP191" i="25"/>
  <c r="CX191" i="25"/>
  <c r="EQ191" i="25"/>
  <c r="EU191" i="25" s="1"/>
  <c r="CL191" i="25"/>
  <c r="CL301" i="25"/>
  <c r="DP301" i="25"/>
  <c r="CX301" i="25"/>
  <c r="DP187" i="25"/>
  <c r="FG187" i="25"/>
  <c r="EQ187" i="25"/>
  <c r="EU187" i="25" s="1"/>
  <c r="CL187" i="25"/>
  <c r="CX187" i="25"/>
  <c r="DP260" i="25"/>
  <c r="CX260" i="25"/>
  <c r="CL260" i="25"/>
  <c r="FG155" i="25"/>
  <c r="CL155" i="25"/>
  <c r="DP155" i="25"/>
  <c r="EQ155" i="25"/>
  <c r="EU155" i="25" s="1"/>
  <c r="CX155" i="25"/>
  <c r="CY155" i="25" s="1"/>
  <c r="DP205" i="25"/>
  <c r="CX205" i="25"/>
  <c r="FG205" i="25"/>
  <c r="CL205" i="25"/>
  <c r="EQ205" i="25"/>
  <c r="EU205" i="25" s="1"/>
  <c r="DP255" i="25"/>
  <c r="CX255" i="25"/>
  <c r="CL255" i="25"/>
  <c r="DP167" i="25"/>
  <c r="CL167" i="25"/>
  <c r="CX167" i="25"/>
  <c r="FG167" i="25"/>
  <c r="EQ167" i="25"/>
  <c r="EU167" i="25" s="1"/>
  <c r="EQ207" i="25"/>
  <c r="EU207" i="25" s="1"/>
  <c r="CX207" i="25"/>
  <c r="CY207" i="25" s="1"/>
  <c r="CL207" i="25"/>
  <c r="FG207" i="25"/>
  <c r="DP207" i="25"/>
  <c r="DP263" i="25"/>
  <c r="CX263" i="25"/>
  <c r="CL263" i="25"/>
  <c r="CV24" i="25"/>
  <c r="CU24" i="25"/>
  <c r="CW24" i="25"/>
  <c r="CO24" i="25" s="1"/>
  <c r="CW93" i="25"/>
  <c r="CO93" i="25" s="1"/>
  <c r="CV93" i="25"/>
  <c r="CU93" i="25"/>
  <c r="CV104" i="25"/>
  <c r="CU104" i="25"/>
  <c r="CW104" i="25"/>
  <c r="CO104" i="25" s="1"/>
  <c r="CV85" i="25"/>
  <c r="CU85" i="25"/>
  <c r="CW85" i="25"/>
  <c r="CO85" i="25" s="1"/>
  <c r="CU244" i="25"/>
  <c r="CW244" i="25"/>
  <c r="CO244" i="25" s="1"/>
  <c r="CV244" i="25"/>
  <c r="CW59" i="25"/>
  <c r="CO59" i="25" s="1"/>
  <c r="CV59" i="25"/>
  <c r="CU59" i="25"/>
  <c r="CV232" i="25"/>
  <c r="CU232" i="25"/>
  <c r="CW232" i="25"/>
  <c r="CO232" i="25" s="1"/>
  <c r="CU248" i="25"/>
  <c r="CW248" i="25"/>
  <c r="CO248" i="25" s="1"/>
  <c r="CV248" i="25"/>
  <c r="CV51" i="25"/>
  <c r="CU51" i="25"/>
  <c r="CW51" i="25"/>
  <c r="CO51" i="25" s="1"/>
  <c r="CW234" i="25"/>
  <c r="CO234" i="25" s="1"/>
  <c r="CV234" i="25"/>
  <c r="CU234" i="25"/>
  <c r="CU157" i="25"/>
  <c r="CV157" i="25"/>
  <c r="CW157" i="25"/>
  <c r="CO157" i="25" s="1"/>
  <c r="CU290" i="25"/>
  <c r="CW290" i="25"/>
  <c r="CO290" i="25" s="1"/>
  <c r="CV290" i="25"/>
  <c r="CV226" i="25"/>
  <c r="CU226" i="25"/>
  <c r="CW226" i="25"/>
  <c r="CO226" i="25" s="1"/>
  <c r="CV266" i="25"/>
  <c r="CW266" i="25"/>
  <c r="CO266" i="25" s="1"/>
  <c r="CU266" i="25"/>
  <c r="CV257" i="25"/>
  <c r="CU257" i="25"/>
  <c r="CW257" i="25"/>
  <c r="CO257" i="25" s="1"/>
  <c r="CW304" i="25"/>
  <c r="CO304" i="25" s="1"/>
  <c r="CV304" i="25"/>
  <c r="CU304" i="25"/>
  <c r="CU217" i="25"/>
  <c r="CV217" i="25"/>
  <c r="CW217" i="25"/>
  <c r="CO217" i="25" s="1"/>
  <c r="CU29" i="25"/>
  <c r="CW29" i="25"/>
  <c r="CO29" i="25" s="1"/>
  <c r="CV29" i="25"/>
  <c r="CW50" i="25"/>
  <c r="CO50" i="25" s="1"/>
  <c r="CU50" i="25"/>
  <c r="CV50" i="25"/>
  <c r="CW282" i="25"/>
  <c r="CO282" i="25" s="1"/>
  <c r="CU282" i="25"/>
  <c r="CV282" i="25"/>
  <c r="CV207" i="25"/>
  <c r="CU207" i="25"/>
  <c r="CW207" i="25"/>
  <c r="CO207" i="25" s="1"/>
  <c r="CW249" i="25"/>
  <c r="CO249" i="25" s="1"/>
  <c r="CU249" i="25"/>
  <c r="CV249" i="25"/>
  <c r="CV81" i="25"/>
  <c r="CW81" i="25"/>
  <c r="CO81" i="25" s="1"/>
  <c r="CU81" i="25"/>
  <c r="CW252" i="25"/>
  <c r="CO252" i="25" s="1"/>
  <c r="CV252" i="25"/>
  <c r="CU252" i="25"/>
  <c r="CW286" i="25"/>
  <c r="CO286" i="25" s="1"/>
  <c r="CU286" i="25"/>
  <c r="CV286" i="25"/>
  <c r="CV14" i="25"/>
  <c r="CW14" i="25"/>
  <c r="CO14" i="25" s="1"/>
  <c r="CU14" i="25"/>
  <c r="CW26" i="25"/>
  <c r="CO26" i="25" s="1"/>
  <c r="CV26" i="25"/>
  <c r="CU26" i="25"/>
  <c r="CW53" i="25"/>
  <c r="CO53" i="25" s="1"/>
  <c r="CU53" i="25"/>
  <c r="CV53" i="25"/>
  <c r="CW269" i="25"/>
  <c r="CO269" i="25" s="1"/>
  <c r="CU269" i="25"/>
  <c r="CV269" i="25"/>
  <c r="CV38" i="25"/>
  <c r="CU38" i="25"/>
  <c r="CW38" i="25"/>
  <c r="CO38" i="25" s="1"/>
  <c r="CU60" i="25"/>
  <c r="CV60" i="25"/>
  <c r="CW60" i="25"/>
  <c r="CO60" i="25" s="1"/>
  <c r="CW188" i="25"/>
  <c r="CO188" i="25" s="1"/>
  <c r="CV188" i="25"/>
  <c r="CU188" i="25"/>
  <c r="CW289" i="25"/>
  <c r="CO289" i="25" s="1"/>
  <c r="CV289" i="25"/>
  <c r="CU289" i="25"/>
  <c r="CV237" i="25"/>
  <c r="CU237" i="25"/>
  <c r="CW237" i="25"/>
  <c r="CO237" i="25" s="1"/>
  <c r="CV299" i="25"/>
  <c r="CU299" i="25"/>
  <c r="CW299" i="25"/>
  <c r="CO299" i="25" s="1"/>
  <c r="CU277" i="25"/>
  <c r="CW277" i="25"/>
  <c r="CO277" i="25" s="1"/>
  <c r="CV277" i="25"/>
  <c r="CW206" i="25"/>
  <c r="CO206" i="25" s="1"/>
  <c r="CV206" i="25"/>
  <c r="CU206" i="25"/>
  <c r="DP240" i="25"/>
  <c r="CL240" i="25"/>
  <c r="CX240" i="25"/>
  <c r="DP16" i="25"/>
  <c r="FG16" i="25"/>
  <c r="EQ16" i="25"/>
  <c r="EU16" i="25" s="1"/>
  <c r="CX16" i="25"/>
  <c r="CL16" i="25"/>
  <c r="EQ91" i="25"/>
  <c r="EU91" i="25" s="1"/>
  <c r="CL91" i="25"/>
  <c r="FG91" i="25"/>
  <c r="CX91" i="25"/>
  <c r="DP91" i="25"/>
  <c r="CL102" i="25"/>
  <c r="DP102" i="25"/>
  <c r="EQ102" i="25"/>
  <c r="EU102" i="25" s="1"/>
  <c r="FG102" i="25"/>
  <c r="CX102" i="25"/>
  <c r="DP288" i="25"/>
  <c r="CL288" i="25"/>
  <c r="CX288" i="25"/>
  <c r="CX219" i="25"/>
  <c r="DP219" i="25"/>
  <c r="CL219" i="25"/>
  <c r="CL152" i="25"/>
  <c r="FG152" i="25"/>
  <c r="EQ152" i="25"/>
  <c r="EU152" i="25" s="1"/>
  <c r="DP152" i="25"/>
  <c r="CX152" i="25"/>
  <c r="EQ192" i="25"/>
  <c r="EU192" i="25" s="1"/>
  <c r="FG192" i="25"/>
  <c r="CX192" i="25"/>
  <c r="CL192" i="25"/>
  <c r="DP192" i="25"/>
  <c r="CW23" i="25"/>
  <c r="CO23" i="25" s="1"/>
  <c r="CV23" i="25"/>
  <c r="CU23" i="25"/>
  <c r="CV41" i="25"/>
  <c r="CW41" i="25"/>
  <c r="CO41" i="25" s="1"/>
  <c r="CU41" i="25"/>
  <c r="CW15" i="25"/>
  <c r="CO15" i="25" s="1"/>
  <c r="CV15" i="25"/>
  <c r="CU15" i="25"/>
  <c r="CV58" i="25"/>
  <c r="CU58" i="25"/>
  <c r="CW58" i="25"/>
  <c r="CO58" i="25" s="1"/>
  <c r="CW91" i="25"/>
  <c r="CO91" i="25" s="1"/>
  <c r="CU91" i="25"/>
  <c r="CV91" i="25"/>
  <c r="CU95" i="25"/>
  <c r="CW95" i="25"/>
  <c r="CO95" i="25" s="1"/>
  <c r="CV95" i="25"/>
  <c r="CU132" i="25"/>
  <c r="CW132" i="25"/>
  <c r="CO132" i="25" s="1"/>
  <c r="CV132" i="25"/>
  <c r="CU105" i="25"/>
  <c r="CW105" i="25"/>
  <c r="CO105" i="25" s="1"/>
  <c r="CV105" i="25"/>
  <c r="CU102" i="25"/>
  <c r="CV102" i="25"/>
  <c r="CW102" i="25"/>
  <c r="CO102" i="25" s="1"/>
  <c r="CW166" i="25"/>
  <c r="CO166" i="25" s="1"/>
  <c r="CU166" i="25"/>
  <c r="CV166" i="25"/>
  <c r="FG26" i="25"/>
  <c r="CX26" i="25"/>
  <c r="DP26" i="25"/>
  <c r="CL26" i="25"/>
  <c r="EQ26" i="25"/>
  <c r="EU26" i="25" s="1"/>
  <c r="FG160" i="25"/>
  <c r="CL160" i="25"/>
  <c r="CX160" i="25"/>
  <c r="DP160" i="25"/>
  <c r="EQ160" i="25"/>
  <c r="EU160" i="25" s="1"/>
  <c r="EQ113" i="25"/>
  <c r="EU113" i="25" s="1"/>
  <c r="CL113" i="25"/>
  <c r="FG113" i="25"/>
  <c r="CX113" i="25"/>
  <c r="DP113" i="25"/>
  <c r="EQ83" i="25"/>
  <c r="EU83" i="25" s="1"/>
  <c r="CL83" i="25"/>
  <c r="DP83" i="25"/>
  <c r="FG83" i="25"/>
  <c r="CX83" i="25"/>
  <c r="CL97" i="25"/>
  <c r="DP97" i="25"/>
  <c r="EQ97" i="25"/>
  <c r="EU97" i="25" s="1"/>
  <c r="FG97" i="25"/>
  <c r="CX97" i="25"/>
  <c r="EQ31" i="25"/>
  <c r="EU31" i="25" s="1"/>
  <c r="CL31" i="25"/>
  <c r="FG31" i="25"/>
  <c r="DP31" i="25"/>
  <c r="CX31" i="25"/>
  <c r="EQ35" i="25"/>
  <c r="EU35" i="25" s="1"/>
  <c r="CL35" i="25"/>
  <c r="DP35" i="25"/>
  <c r="CX35" i="25"/>
  <c r="FG35" i="25"/>
  <c r="EQ116" i="25"/>
  <c r="EU116" i="25" s="1"/>
  <c r="DP116" i="25"/>
  <c r="CL116" i="25"/>
  <c r="FG116" i="25"/>
  <c r="CX116" i="25"/>
  <c r="DP10" i="25"/>
  <c r="FG10" i="25"/>
  <c r="CL10" i="25"/>
  <c r="CX10" i="25"/>
  <c r="EQ10" i="25"/>
  <c r="EU10" i="25" s="1"/>
  <c r="EQ80" i="25"/>
  <c r="EU80" i="25" s="1"/>
  <c r="DP80" i="25"/>
  <c r="CL80" i="25"/>
  <c r="FG80" i="25"/>
  <c r="CX80" i="25"/>
  <c r="EQ53" i="25"/>
  <c r="EU53" i="25" s="1"/>
  <c r="CL53" i="25"/>
  <c r="DP53" i="25"/>
  <c r="CX53" i="25"/>
  <c r="FG53" i="25"/>
  <c r="EQ144" i="25"/>
  <c r="EU144" i="25" s="1"/>
  <c r="FG144" i="25"/>
  <c r="DP144" i="25"/>
  <c r="CL144" i="25"/>
  <c r="CX144" i="25"/>
  <c r="EQ62" i="25"/>
  <c r="EU62" i="25" s="1"/>
  <c r="DP62" i="25"/>
  <c r="FG62" i="25"/>
  <c r="CX62" i="25"/>
  <c r="CL62" i="25"/>
  <c r="DP265" i="25"/>
  <c r="CL265" i="25"/>
  <c r="CX265" i="25"/>
  <c r="CY265" i="25" s="1"/>
  <c r="FG54" i="25"/>
  <c r="CX54" i="25"/>
  <c r="DP54" i="25"/>
  <c r="CL54" i="25"/>
  <c r="EQ54" i="25"/>
  <c r="EU54" i="25" s="1"/>
  <c r="CL99" i="25"/>
  <c r="DP99" i="25"/>
  <c r="FG99" i="25"/>
  <c r="EQ99" i="25"/>
  <c r="EU99" i="25" s="1"/>
  <c r="CX99" i="25"/>
  <c r="DP201" i="25"/>
  <c r="CL201" i="25"/>
  <c r="FG201" i="25"/>
  <c r="CX201" i="25"/>
  <c r="EQ201" i="25"/>
  <c r="EU201" i="25" s="1"/>
  <c r="EQ127" i="25"/>
  <c r="EU127" i="25" s="1"/>
  <c r="CL127" i="25"/>
  <c r="FG127" i="25"/>
  <c r="DP127" i="25"/>
  <c r="CX127" i="25"/>
  <c r="DP304" i="25"/>
  <c r="CL304" i="25"/>
  <c r="CX304" i="25"/>
  <c r="CX120" i="25"/>
  <c r="CL120" i="25"/>
  <c r="FG120" i="25"/>
  <c r="DP120" i="25"/>
  <c r="EQ120" i="25"/>
  <c r="EU120" i="25" s="1"/>
  <c r="CX264" i="25"/>
  <c r="DP264" i="25"/>
  <c r="CL264" i="25"/>
  <c r="CX249" i="25"/>
  <c r="CL249" i="25"/>
  <c r="DP249" i="25"/>
  <c r="FG206" i="25"/>
  <c r="DP206" i="25"/>
  <c r="CL206" i="25"/>
  <c r="EQ206" i="25"/>
  <c r="EU206" i="25" s="1"/>
  <c r="CX206" i="25"/>
  <c r="CL273" i="25"/>
  <c r="DP273" i="25"/>
  <c r="CX273" i="25"/>
  <c r="FG162" i="25"/>
  <c r="CL162" i="25"/>
  <c r="DP162" i="25"/>
  <c r="EQ162" i="25"/>
  <c r="EU162" i="25" s="1"/>
  <c r="CX162" i="25"/>
  <c r="CY162" i="25" s="1"/>
  <c r="CL248" i="25"/>
  <c r="DP248" i="25"/>
  <c r="CX248" i="25"/>
  <c r="CL297" i="25"/>
  <c r="CX297" i="25"/>
  <c r="DP297" i="25"/>
  <c r="DP221" i="25"/>
  <c r="CL221" i="25"/>
  <c r="CX221" i="25"/>
  <c r="CX303" i="25"/>
  <c r="DP303" i="25"/>
  <c r="CL303" i="25"/>
  <c r="CX203" i="25"/>
  <c r="FG203" i="25"/>
  <c r="CL203" i="25"/>
  <c r="EQ203" i="25"/>
  <c r="EU203" i="25" s="1"/>
  <c r="DP203" i="25"/>
  <c r="DP268" i="25"/>
  <c r="CX268" i="25"/>
  <c r="CL268" i="25"/>
  <c r="FG158" i="25"/>
  <c r="CL158" i="25"/>
  <c r="EQ158" i="25"/>
  <c r="EU158" i="25" s="1"/>
  <c r="DP158" i="25"/>
  <c r="CX158" i="25"/>
  <c r="CX218" i="25"/>
  <c r="DP218" i="25"/>
  <c r="CL218" i="25"/>
  <c r="DP267" i="25"/>
  <c r="CL267" i="25"/>
  <c r="CX267" i="25"/>
  <c r="EQ178" i="25"/>
  <c r="EU178" i="25" s="1"/>
  <c r="FG178" i="25"/>
  <c r="CL178" i="25"/>
  <c r="DP178" i="25"/>
  <c r="CX178" i="25"/>
  <c r="FG210" i="25"/>
  <c r="EQ210" i="25"/>
  <c r="EU210" i="25" s="1"/>
  <c r="DP210" i="25"/>
  <c r="CL210" i="25"/>
  <c r="CX210" i="25"/>
  <c r="CX278" i="25"/>
  <c r="DP278" i="25"/>
  <c r="CL278" i="25"/>
  <c r="CW302" i="25"/>
  <c r="CO302" i="25" s="1"/>
  <c r="CU302" i="25"/>
  <c r="CV302" i="25"/>
  <c r="CU228" i="25"/>
  <c r="CW228" i="25"/>
  <c r="CO228" i="25" s="1"/>
  <c r="CV228" i="25"/>
  <c r="CU314" i="25"/>
  <c r="CW314" i="25"/>
  <c r="CO314" i="25" s="1"/>
  <c r="CV314" i="25"/>
  <c r="CW78" i="25"/>
  <c r="CO78" i="25" s="1"/>
  <c r="CV78" i="25"/>
  <c r="CU78" i="25"/>
  <c r="CW40" i="25"/>
  <c r="CO40" i="25" s="1"/>
  <c r="CV40" i="25"/>
  <c r="CU40" i="25"/>
  <c r="CW47" i="25"/>
  <c r="CO47" i="25" s="1"/>
  <c r="CV47" i="25"/>
  <c r="CU47" i="25"/>
  <c r="CV308" i="25"/>
  <c r="CW308" i="25"/>
  <c r="CO308" i="25" s="1"/>
  <c r="CU308" i="25"/>
  <c r="CW27" i="25"/>
  <c r="CO27" i="25" s="1"/>
  <c r="CV27" i="25"/>
  <c r="CU27" i="25"/>
  <c r="CU210" i="25"/>
  <c r="CW210" i="25"/>
  <c r="CO210" i="25" s="1"/>
  <c r="CV210" i="25"/>
  <c r="CV220" i="25"/>
  <c r="CW220" i="25"/>
  <c r="CO220" i="25" s="1"/>
  <c r="CU220" i="25"/>
  <c r="CV267" i="25"/>
  <c r="CW267" i="25"/>
  <c r="CO267" i="25" s="1"/>
  <c r="CU267" i="25"/>
  <c r="CU7" i="25"/>
  <c r="CW7" i="25"/>
  <c r="CO7" i="25" s="1"/>
  <c r="CV7" i="25"/>
  <c r="DS7" i="25"/>
  <c r="CV32" i="25"/>
  <c r="CU32" i="25"/>
  <c r="CW32" i="25"/>
  <c r="CO32" i="25" s="1"/>
  <c r="CV254" i="25"/>
  <c r="CW254" i="25"/>
  <c r="CO254" i="25" s="1"/>
  <c r="CU254" i="25"/>
  <c r="CU79" i="25"/>
  <c r="CW79" i="25"/>
  <c r="CO79" i="25" s="1"/>
  <c r="CV79" i="25"/>
  <c r="CV276" i="25"/>
  <c r="CU276" i="25"/>
  <c r="CW276" i="25"/>
  <c r="CO276" i="25" s="1"/>
  <c r="CV200" i="25"/>
  <c r="CW200" i="25"/>
  <c r="CO200" i="25" s="1"/>
  <c r="CU200" i="25"/>
  <c r="CU42" i="25"/>
  <c r="CV42" i="25"/>
  <c r="CW42" i="25"/>
  <c r="CO42" i="25" s="1"/>
  <c r="CW147" i="25"/>
  <c r="CO147" i="25" s="1"/>
  <c r="CV147" i="25"/>
  <c r="CU147" i="25"/>
  <c r="CW138" i="25"/>
  <c r="CO138" i="25" s="1"/>
  <c r="CV138" i="25"/>
  <c r="CU138" i="25"/>
  <c r="CW120" i="25"/>
  <c r="CO120" i="25" s="1"/>
  <c r="CV120" i="25"/>
  <c r="CU120" i="25"/>
  <c r="CV294" i="25"/>
  <c r="CW294" i="25"/>
  <c r="CO294" i="25" s="1"/>
  <c r="CU294" i="25"/>
  <c r="CW199" i="25"/>
  <c r="CO199" i="25" s="1"/>
  <c r="CV199" i="25"/>
  <c r="CU199" i="25"/>
  <c r="CW80" i="25"/>
  <c r="CO80" i="25" s="1"/>
  <c r="CU80" i="25"/>
  <c r="CV80" i="25"/>
  <c r="CU87" i="25"/>
  <c r="CW87" i="25"/>
  <c r="CO87" i="25" s="1"/>
  <c r="CV87" i="25"/>
  <c r="CU231" i="25"/>
  <c r="CW231" i="25"/>
  <c r="CO231" i="25" s="1"/>
  <c r="CV231" i="25"/>
  <c r="CW190" i="25"/>
  <c r="CO190" i="25" s="1"/>
  <c r="CV190" i="25"/>
  <c r="CU190" i="25"/>
  <c r="CU34" i="25"/>
  <c r="CW34" i="25"/>
  <c r="CO34" i="25" s="1"/>
  <c r="CV34" i="25"/>
  <c r="CU56" i="25"/>
  <c r="CV56" i="25"/>
  <c r="CW56" i="25"/>
  <c r="CO56" i="25" s="1"/>
  <c r="CW57" i="25"/>
  <c r="CO57" i="25" s="1"/>
  <c r="CV57" i="25"/>
  <c r="CU57" i="25"/>
  <c r="CV84" i="25"/>
  <c r="CW84" i="25"/>
  <c r="CO84" i="25" s="1"/>
  <c r="CU84" i="25"/>
  <c r="CW83" i="25"/>
  <c r="CO83" i="25" s="1"/>
  <c r="CU83" i="25"/>
  <c r="CV83" i="25"/>
  <c r="CW262" i="25"/>
  <c r="CO262" i="25" s="1"/>
  <c r="CV262" i="25"/>
  <c r="CU262" i="25"/>
  <c r="CW179" i="25"/>
  <c r="CO179" i="25" s="1"/>
  <c r="CU179" i="25"/>
  <c r="CV179" i="25"/>
  <c r="CU241" i="25"/>
  <c r="CW241" i="25"/>
  <c r="CO241" i="25" s="1"/>
  <c r="CV241" i="25"/>
  <c r="CV306" i="25"/>
  <c r="CW306" i="25"/>
  <c r="CO306" i="25" s="1"/>
  <c r="CU306" i="25"/>
  <c r="CW173" i="25"/>
  <c r="CO173" i="25" s="1"/>
  <c r="CU173" i="25"/>
  <c r="CV173" i="25"/>
  <c r="CW233" i="25"/>
  <c r="CO233" i="25" s="1"/>
  <c r="CV233" i="25"/>
  <c r="CU233" i="25"/>
  <c r="FG18" i="25"/>
  <c r="CX18" i="25"/>
  <c r="DP18" i="25"/>
  <c r="CL18" i="25"/>
  <c r="EQ18" i="25"/>
  <c r="EU18" i="25" s="1"/>
  <c r="DP234" i="25"/>
  <c r="CL234" i="25"/>
  <c r="CX234" i="25"/>
  <c r="CX316" i="25"/>
  <c r="CL316" i="25"/>
  <c r="DP316" i="25"/>
  <c r="DP44" i="25"/>
  <c r="EQ44" i="25"/>
  <c r="EU44" i="25" s="1"/>
  <c r="FG44" i="25"/>
  <c r="CL44" i="25"/>
  <c r="CX44" i="25"/>
  <c r="DP281" i="25"/>
  <c r="CX281" i="25"/>
  <c r="CL281" i="25"/>
  <c r="DP315" i="25"/>
  <c r="CX315" i="25"/>
  <c r="CL315" i="25"/>
  <c r="DP236" i="25"/>
  <c r="CL236" i="25"/>
  <c r="CX236" i="25"/>
  <c r="CY236" i="25" s="1"/>
  <c r="CU259" i="25"/>
  <c r="CV259" i="25"/>
  <c r="CW259" i="25"/>
  <c r="CO259" i="25" s="1"/>
  <c r="CW67" i="25"/>
  <c r="CO67" i="25" s="1"/>
  <c r="CV67" i="25"/>
  <c r="CU67" i="25"/>
  <c r="CU311" i="25"/>
  <c r="CW311" i="25"/>
  <c r="CO311" i="25" s="1"/>
  <c r="CV311" i="25"/>
  <c r="CW9" i="25"/>
  <c r="CO9" i="25" s="1"/>
  <c r="CV9" i="25"/>
  <c r="CU9" i="25"/>
  <c r="CV203" i="25"/>
  <c r="CW203" i="25"/>
  <c r="CO203" i="25" s="1"/>
  <c r="CU203" i="25"/>
  <c r="EQ76" i="25"/>
  <c r="EU76" i="25" s="1"/>
  <c r="FG76" i="25"/>
  <c r="CX76" i="25"/>
  <c r="DP76" i="25"/>
  <c r="CL76" i="25"/>
  <c r="FG163" i="25"/>
  <c r="CL163" i="25"/>
  <c r="DP163" i="25"/>
  <c r="EQ163" i="25"/>
  <c r="EU163" i="25" s="1"/>
  <c r="CX163" i="25"/>
  <c r="FG132" i="25"/>
  <c r="DP132" i="25"/>
  <c r="CL132" i="25"/>
  <c r="CX132" i="25"/>
  <c r="EQ132" i="25"/>
  <c r="EU132" i="25" s="1"/>
  <c r="FG131" i="25"/>
  <c r="DP131" i="25"/>
  <c r="CX131" i="25"/>
  <c r="CL131" i="25"/>
  <c r="EQ131" i="25"/>
  <c r="EU131" i="25" s="1"/>
  <c r="CL103" i="25"/>
  <c r="DP103" i="25"/>
  <c r="CX103" i="25"/>
  <c r="EQ103" i="25"/>
  <c r="EU103" i="25" s="1"/>
  <c r="FG103" i="25"/>
  <c r="EQ61" i="25"/>
  <c r="EU61" i="25" s="1"/>
  <c r="DP61" i="25"/>
  <c r="CX61" i="25"/>
  <c r="FG61" i="25"/>
  <c r="CL61" i="25"/>
  <c r="DP36" i="25"/>
  <c r="FG36" i="25"/>
  <c r="CL36" i="25"/>
  <c r="CX36" i="25"/>
  <c r="EQ36" i="25"/>
  <c r="EU36" i="25" s="1"/>
  <c r="FG135" i="25"/>
  <c r="DP135" i="25"/>
  <c r="CL135" i="25"/>
  <c r="EQ135" i="25"/>
  <c r="EU135" i="25" s="1"/>
  <c r="CX135" i="25"/>
  <c r="DP11" i="25"/>
  <c r="EQ11" i="25"/>
  <c r="EU11" i="25" s="1"/>
  <c r="CL11" i="25"/>
  <c r="FG11" i="25"/>
  <c r="CX11" i="25"/>
  <c r="EQ84" i="25"/>
  <c r="EU84" i="25" s="1"/>
  <c r="FG84" i="25"/>
  <c r="CL84" i="25"/>
  <c r="CX84" i="25"/>
  <c r="DP84" i="25"/>
  <c r="DP67" i="25"/>
  <c r="CL67" i="25"/>
  <c r="FG67" i="25"/>
  <c r="EQ67" i="25"/>
  <c r="EU67" i="25" s="1"/>
  <c r="CX67" i="25"/>
  <c r="FG196" i="25"/>
  <c r="EQ196" i="25"/>
  <c r="EU196" i="25" s="1"/>
  <c r="DP196" i="25"/>
  <c r="CL196" i="25"/>
  <c r="CX196" i="25"/>
  <c r="CL63" i="25"/>
  <c r="FG63" i="25"/>
  <c r="EQ63" i="25"/>
  <c r="EU63" i="25" s="1"/>
  <c r="DP63" i="25"/>
  <c r="CX63" i="25"/>
  <c r="CY63" i="25" s="1"/>
  <c r="CX286" i="25"/>
  <c r="CL286" i="25"/>
  <c r="DP286" i="25"/>
  <c r="DP56" i="25"/>
  <c r="EQ56" i="25"/>
  <c r="EU56" i="25" s="1"/>
  <c r="CX56" i="25"/>
  <c r="CL56" i="25"/>
  <c r="FG56" i="25"/>
  <c r="CL101" i="25"/>
  <c r="FG101" i="25"/>
  <c r="DP101" i="25"/>
  <c r="EQ101" i="25"/>
  <c r="EU101" i="25" s="1"/>
  <c r="CX101" i="25"/>
  <c r="DP312" i="25"/>
  <c r="CL312" i="25"/>
  <c r="CX312" i="25"/>
  <c r="FG134" i="25"/>
  <c r="DP134" i="25"/>
  <c r="CL134" i="25"/>
  <c r="CX134" i="25"/>
  <c r="EQ134" i="25"/>
  <c r="EU134" i="25" s="1"/>
  <c r="FG32" i="25"/>
  <c r="DP32" i="25"/>
  <c r="CL32" i="25"/>
  <c r="EQ32" i="25"/>
  <c r="EU32" i="25" s="1"/>
  <c r="CX32" i="25"/>
  <c r="DP124" i="25"/>
  <c r="CL124" i="25"/>
  <c r="EQ124" i="25"/>
  <c r="EU124" i="25" s="1"/>
  <c r="FG124" i="25"/>
  <c r="CX124" i="25"/>
  <c r="CL282" i="25"/>
  <c r="DP282" i="25"/>
  <c r="CX282" i="25"/>
  <c r="DP291" i="25"/>
  <c r="CX291" i="25"/>
  <c r="CL291" i="25"/>
  <c r="CL217" i="25"/>
  <c r="CX217" i="25"/>
  <c r="DP217" i="25"/>
  <c r="CL274" i="25"/>
  <c r="DP274" i="25"/>
  <c r="CX274" i="25"/>
  <c r="EQ165" i="25"/>
  <c r="EU165" i="25" s="1"/>
  <c r="DP165" i="25"/>
  <c r="CX165" i="25"/>
  <c r="CL165" i="25"/>
  <c r="FG165" i="25"/>
  <c r="CL261" i="25"/>
  <c r="DP261" i="25"/>
  <c r="CX261" i="25"/>
  <c r="CX311" i="25"/>
  <c r="DP311" i="25"/>
  <c r="CL311" i="25"/>
  <c r="CX223" i="25"/>
  <c r="CL223" i="25"/>
  <c r="DP223" i="25"/>
  <c r="CL310" i="25"/>
  <c r="DP310" i="25"/>
  <c r="CX310" i="25"/>
  <c r="DP204" i="25"/>
  <c r="CX204" i="25"/>
  <c r="CL204" i="25"/>
  <c r="FG204" i="25"/>
  <c r="EQ204" i="25"/>
  <c r="EU204" i="25" s="1"/>
  <c r="CL279" i="25"/>
  <c r="DP279" i="25"/>
  <c r="CX279" i="25"/>
  <c r="EQ166" i="25"/>
  <c r="EU166" i="25" s="1"/>
  <c r="DP166" i="25"/>
  <c r="CL166" i="25"/>
  <c r="CX166" i="25"/>
  <c r="FG166" i="25"/>
  <c r="DP231" i="25"/>
  <c r="CL231" i="25"/>
  <c r="CX231" i="25"/>
  <c r="DP271" i="25"/>
  <c r="CX271" i="25"/>
  <c r="CL271" i="25"/>
  <c r="FG186" i="25"/>
  <c r="EQ186" i="25"/>
  <c r="EU186" i="25" s="1"/>
  <c r="CX186" i="25"/>
  <c r="DP186" i="25"/>
  <c r="CL186" i="25"/>
  <c r="DP220" i="25"/>
  <c r="CL220" i="25"/>
  <c r="CX220" i="25"/>
  <c r="CY220" i="25" s="1"/>
  <c r="DP299" i="25"/>
  <c r="CX299" i="25"/>
  <c r="CL299" i="25"/>
  <c r="CW100" i="25"/>
  <c r="CO100" i="25" s="1"/>
  <c r="CV100" i="25"/>
  <c r="CU100" i="25"/>
  <c r="CW99" i="25"/>
  <c r="CO99" i="25" s="1"/>
  <c r="CV99" i="25"/>
  <c r="CU99" i="25"/>
  <c r="CV37" i="25"/>
  <c r="CU37" i="25"/>
  <c r="CW37" i="25"/>
  <c r="CO37" i="25" s="1"/>
  <c r="CV187" i="25"/>
  <c r="CU187" i="25"/>
  <c r="CW187" i="25"/>
  <c r="CO187" i="25" s="1"/>
  <c r="CU45" i="25"/>
  <c r="CW45" i="25"/>
  <c r="CO45" i="25" s="1"/>
  <c r="CV45" i="25"/>
  <c r="CV31" i="25"/>
  <c r="CU31" i="25"/>
  <c r="CW31" i="25"/>
  <c r="CO31" i="25" s="1"/>
  <c r="CU158" i="25"/>
  <c r="CW158" i="25"/>
  <c r="CO158" i="25" s="1"/>
  <c r="CV158" i="25"/>
  <c r="CU44" i="25"/>
  <c r="CV44" i="25"/>
  <c r="CW44" i="25"/>
  <c r="CO44" i="25" s="1"/>
  <c r="CV76" i="25"/>
  <c r="CW76" i="25"/>
  <c r="CO76" i="25" s="1"/>
  <c r="CU76" i="25"/>
  <c r="CV164" i="25"/>
  <c r="CU164" i="25"/>
  <c r="CW164" i="25"/>
  <c r="CO164" i="25" s="1"/>
  <c r="CV156" i="25"/>
  <c r="CU156" i="25"/>
  <c r="CW156" i="25"/>
  <c r="CO156" i="25" s="1"/>
  <c r="CV103" i="25"/>
  <c r="CW103" i="25"/>
  <c r="CO103" i="25" s="1"/>
  <c r="CU103" i="25"/>
  <c r="CW275" i="25"/>
  <c r="CO275" i="25" s="1"/>
  <c r="CV275" i="25"/>
  <c r="CU275" i="25"/>
  <c r="CU283" i="25"/>
  <c r="CV283" i="25"/>
  <c r="CW283" i="25"/>
  <c r="CO283" i="25" s="1"/>
  <c r="CW280" i="25"/>
  <c r="CO280" i="25" s="1"/>
  <c r="CU280" i="25"/>
  <c r="CV280" i="25"/>
  <c r="CW239" i="25"/>
  <c r="CO239" i="25" s="1"/>
  <c r="CV239" i="25"/>
  <c r="CU239" i="25"/>
  <c r="CW284" i="25"/>
  <c r="CO284" i="25" s="1"/>
  <c r="CU284" i="25"/>
  <c r="CV284" i="25"/>
  <c r="CW35" i="25"/>
  <c r="CO35" i="25" s="1"/>
  <c r="CV35" i="25"/>
  <c r="CU35" i="25"/>
  <c r="CU295" i="25"/>
  <c r="CW295" i="25"/>
  <c r="CO295" i="25" s="1"/>
  <c r="CV295" i="25"/>
  <c r="CV98" i="25"/>
  <c r="CU98" i="25"/>
  <c r="CW98" i="25"/>
  <c r="CO98" i="25" s="1"/>
  <c r="CU92" i="25"/>
  <c r="CW92" i="25"/>
  <c r="CO92" i="25" s="1"/>
  <c r="CV92" i="25"/>
  <c r="CV168" i="25"/>
  <c r="CW168" i="25"/>
  <c r="CO168" i="25" s="1"/>
  <c r="CU168" i="25"/>
  <c r="CW144" i="25"/>
  <c r="CO144" i="25" s="1"/>
  <c r="CV144" i="25"/>
  <c r="CU144" i="25"/>
  <c r="CV70" i="25"/>
  <c r="CU70" i="25"/>
  <c r="CW70" i="25"/>
  <c r="CO70" i="25" s="1"/>
  <c r="CW143" i="25"/>
  <c r="CO143" i="25" s="1"/>
  <c r="CU143" i="25"/>
  <c r="CV143" i="25"/>
  <c r="CW97" i="25"/>
  <c r="CO97" i="25" s="1"/>
  <c r="CV97" i="25"/>
  <c r="CU97" i="25"/>
  <c r="CV122" i="25"/>
  <c r="CU122" i="25"/>
  <c r="CW122" i="25"/>
  <c r="CO122" i="25" s="1"/>
  <c r="CU64" i="25"/>
  <c r="CV64" i="25"/>
  <c r="CW64" i="25"/>
  <c r="CO64" i="25" s="1"/>
  <c r="CW65" i="25"/>
  <c r="CO65" i="25" s="1"/>
  <c r="CV65" i="25"/>
  <c r="CU65" i="25"/>
  <c r="CV111" i="25"/>
  <c r="CU111" i="25"/>
  <c r="CW111" i="25"/>
  <c r="CO111" i="25" s="1"/>
  <c r="CV202" i="25"/>
  <c r="CU202" i="25"/>
  <c r="CW202" i="25"/>
  <c r="CO202" i="25" s="1"/>
  <c r="CV191" i="25"/>
  <c r="CW191" i="25"/>
  <c r="CO191" i="25" s="1"/>
  <c r="CU191" i="25"/>
  <c r="CW180" i="25"/>
  <c r="CO180" i="25" s="1"/>
  <c r="CV180" i="25"/>
  <c r="CU180" i="25"/>
  <c r="CU251" i="25"/>
  <c r="CW251" i="25"/>
  <c r="CO251" i="25" s="1"/>
  <c r="CV251" i="25"/>
  <c r="CU174" i="25"/>
  <c r="CW174" i="25"/>
  <c r="CO174" i="25" s="1"/>
  <c r="CV174" i="25"/>
  <c r="CU175" i="25"/>
  <c r="CV175" i="25"/>
  <c r="CW175" i="25"/>
  <c r="CO175" i="25" s="1"/>
  <c r="CW292" i="25"/>
  <c r="CO292" i="25" s="1"/>
  <c r="CU292" i="25"/>
  <c r="CV292" i="25"/>
  <c r="CL34" i="24"/>
  <c r="CW34" i="24"/>
  <c r="CX34" i="24" s="1"/>
  <c r="DQ34" i="24"/>
  <c r="ES34" i="24"/>
  <c r="EV34" i="24" s="1"/>
  <c r="CY34" i="24"/>
  <c r="CU34" i="24"/>
  <c r="CV34" i="24" s="1"/>
  <c r="CY87" i="24"/>
  <c r="CL87" i="24"/>
  <c r="ES87" i="24"/>
  <c r="EV87" i="24" s="1"/>
  <c r="CW87" i="24"/>
  <c r="CX87" i="24" s="1"/>
  <c r="DQ87" i="24"/>
  <c r="CU87" i="24"/>
  <c r="CV87" i="24" s="1"/>
  <c r="ES53" i="24"/>
  <c r="EV53" i="24" s="1"/>
  <c r="CL53" i="24"/>
  <c r="DQ53" i="24"/>
  <c r="CW53" i="24"/>
  <c r="CX53" i="24" s="1"/>
  <c r="CY53" i="24"/>
  <c r="CU53" i="24"/>
  <c r="CV53" i="24" s="1"/>
  <c r="ES42" i="24"/>
  <c r="EV42" i="24" s="1"/>
  <c r="CL42" i="24"/>
  <c r="CW42" i="24"/>
  <c r="CX42" i="24" s="1"/>
  <c r="CY42" i="24"/>
  <c r="DQ42" i="24"/>
  <c r="CU42" i="24"/>
  <c r="CV42" i="24" s="1"/>
  <c r="CU11" i="24"/>
  <c r="CV11" i="24" s="1"/>
  <c r="CL11" i="24"/>
  <c r="DQ11" i="24"/>
  <c r="ES11" i="24"/>
  <c r="EV11" i="24" s="1"/>
  <c r="CW11" i="24"/>
  <c r="CX11" i="24" s="1"/>
  <c r="CY11" i="24"/>
  <c r="CZ11" i="24" s="1"/>
  <c r="CL91" i="24"/>
  <c r="DQ91" i="24"/>
  <c r="ES91" i="24"/>
  <c r="EV91" i="24" s="1"/>
  <c r="CW91" i="24"/>
  <c r="CX91" i="24" s="1"/>
  <c r="CY91" i="24"/>
  <c r="CZ91" i="24" s="1"/>
  <c r="CU91" i="24"/>
  <c r="CV91" i="24" s="1"/>
  <c r="CL39" i="24"/>
  <c r="CU39" i="24"/>
  <c r="CV39" i="24" s="1"/>
  <c r="ES39" i="24"/>
  <c r="EV39" i="24" s="1"/>
  <c r="CY39" i="24"/>
  <c r="CW39" i="24"/>
  <c r="CX39" i="24" s="1"/>
  <c r="DQ39" i="24"/>
  <c r="CW71" i="24"/>
  <c r="CX71" i="24" s="1"/>
  <c r="DQ71" i="24"/>
  <c r="ES71" i="24"/>
  <c r="EV71" i="24" s="1"/>
  <c r="CL71" i="24"/>
  <c r="CY71" i="24"/>
  <c r="CU71" i="24"/>
  <c r="CV71" i="24" s="1"/>
  <c r="CW43" i="24"/>
  <c r="CX43" i="24" s="1"/>
  <c r="CL43" i="24"/>
  <c r="ES43" i="24"/>
  <c r="EV43" i="24" s="1"/>
  <c r="CU43" i="24"/>
  <c r="CV43" i="24" s="1"/>
  <c r="DQ43" i="24"/>
  <c r="CY43" i="24"/>
  <c r="DQ122" i="24"/>
  <c r="CY122" i="24"/>
  <c r="CZ122" i="24" s="1"/>
  <c r="CU122" i="24"/>
  <c r="ES122" i="24"/>
  <c r="EV122" i="24" s="1"/>
  <c r="CW122" i="24"/>
  <c r="CX122" i="24" s="1"/>
  <c r="CL122" i="24"/>
  <c r="ES168" i="24"/>
  <c r="EV168" i="24" s="1"/>
  <c r="CL168" i="24"/>
  <c r="CU168" i="24"/>
  <c r="CW168" i="24"/>
  <c r="CX168" i="24" s="1"/>
  <c r="DQ168" i="24"/>
  <c r="CY168" i="24"/>
  <c r="CZ168" i="24" s="1"/>
  <c r="ES127" i="24"/>
  <c r="EV127" i="24" s="1"/>
  <c r="DQ127" i="24"/>
  <c r="CW127" i="24"/>
  <c r="CX127" i="24" s="1"/>
  <c r="CL127" i="24"/>
  <c r="CY127" i="24"/>
  <c r="CU127" i="24"/>
  <c r="CW266" i="24"/>
  <c r="CX266" i="24" s="1"/>
  <c r="CU266" i="24"/>
  <c r="CL266" i="24"/>
  <c r="DQ266" i="24"/>
  <c r="CY266" i="24"/>
  <c r="ES69" i="24"/>
  <c r="EV69" i="24" s="1"/>
  <c r="CW69" i="24"/>
  <c r="CX69" i="24" s="1"/>
  <c r="CL69" i="24"/>
  <c r="DQ69" i="24"/>
  <c r="CU69" i="24"/>
  <c r="CV69" i="24" s="1"/>
  <c r="CY69" i="24"/>
  <c r="CL140" i="24"/>
  <c r="ES140" i="24"/>
  <c r="EV140" i="24" s="1"/>
  <c r="DQ140" i="24"/>
  <c r="CW140" i="24"/>
  <c r="CX140" i="24" s="1"/>
  <c r="CY140" i="24"/>
  <c r="CU140" i="24"/>
  <c r="ES99" i="24"/>
  <c r="EV99" i="24" s="1"/>
  <c r="CW99" i="24"/>
  <c r="CX99" i="24" s="1"/>
  <c r="CY99" i="24"/>
  <c r="DQ99" i="24"/>
  <c r="CL99" i="24"/>
  <c r="CU99" i="24"/>
  <c r="CV99" i="24" s="1"/>
  <c r="DQ151" i="24"/>
  <c r="CL151" i="24"/>
  <c r="CW151" i="24"/>
  <c r="CX151" i="24" s="1"/>
  <c r="ES151" i="24"/>
  <c r="EV151" i="24" s="1"/>
  <c r="CY151" i="24"/>
  <c r="CU151" i="24"/>
  <c r="CY124" i="24"/>
  <c r="DQ124" i="24"/>
  <c r="ES124" i="24"/>
  <c r="EV124" i="24" s="1"/>
  <c r="CL124" i="24"/>
  <c r="CW124" i="24"/>
  <c r="CX124" i="24" s="1"/>
  <c r="CU124" i="24"/>
  <c r="DQ188" i="24"/>
  <c r="CY188" i="24"/>
  <c r="ES188" i="24"/>
  <c r="EV188" i="24" s="1"/>
  <c r="CU188" i="24"/>
  <c r="CL188" i="24"/>
  <c r="CW188" i="24"/>
  <c r="CX188" i="24" s="1"/>
  <c r="ES138" i="24"/>
  <c r="EV138" i="24" s="1"/>
  <c r="CL138" i="24"/>
  <c r="DQ138" i="24"/>
  <c r="CY138" i="24"/>
  <c r="CW138" i="24"/>
  <c r="CX138" i="24" s="1"/>
  <c r="CU138" i="24"/>
  <c r="CL310" i="24"/>
  <c r="CW310" i="24"/>
  <c r="CX310" i="24" s="1"/>
  <c r="CU310" i="24"/>
  <c r="CY310" i="24"/>
  <c r="DQ310" i="24"/>
  <c r="CL174" i="24"/>
  <c r="ES174" i="24"/>
  <c r="EV174" i="24" s="1"/>
  <c r="DQ174" i="24"/>
  <c r="CU174" i="24"/>
  <c r="CW174" i="24"/>
  <c r="CX174" i="24" s="1"/>
  <c r="CY174" i="24"/>
  <c r="ES114" i="24"/>
  <c r="EV114" i="24" s="1"/>
  <c r="CW114" i="24"/>
  <c r="CX114" i="24" s="1"/>
  <c r="DQ114" i="24"/>
  <c r="CL114" i="24"/>
  <c r="CY114" i="24"/>
  <c r="CU114" i="24"/>
  <c r="CL176" i="24"/>
  <c r="CU176" i="24"/>
  <c r="ES176" i="24"/>
  <c r="EV176" i="24" s="1"/>
  <c r="CW176" i="24"/>
  <c r="CX176" i="24" s="1"/>
  <c r="DQ176" i="24"/>
  <c r="CY176" i="24"/>
  <c r="ES201" i="24"/>
  <c r="EV201" i="24" s="1"/>
  <c r="DQ201" i="24"/>
  <c r="CW201" i="24"/>
  <c r="CX201" i="24" s="1"/>
  <c r="CU201" i="24"/>
  <c r="CL201" i="24"/>
  <c r="CY201" i="24"/>
  <c r="CZ201" i="24" s="1"/>
  <c r="CW271" i="24"/>
  <c r="CX271" i="24" s="1"/>
  <c r="CL271" i="24"/>
  <c r="DQ271" i="24"/>
  <c r="CY271" i="24"/>
  <c r="CU271" i="24"/>
  <c r="DQ237" i="24"/>
  <c r="CL237" i="24"/>
  <c r="CW237" i="24"/>
  <c r="CX237" i="24" s="1"/>
  <c r="CU237" i="24"/>
  <c r="CY237" i="24"/>
  <c r="DQ315" i="24"/>
  <c r="CL315" i="24"/>
  <c r="CW315" i="24"/>
  <c r="CX315" i="24" s="1"/>
  <c r="CY315" i="24"/>
  <c r="CU315" i="24"/>
  <c r="DQ239" i="24"/>
  <c r="CW239" i="24"/>
  <c r="CX239" i="24" s="1"/>
  <c r="CL239" i="24"/>
  <c r="CY239" i="24"/>
  <c r="CU239" i="24"/>
  <c r="DQ299" i="24"/>
  <c r="CL299" i="24"/>
  <c r="CY299" i="24"/>
  <c r="CZ299" i="24" s="1"/>
  <c r="CW299" i="24"/>
  <c r="CX299" i="24" s="1"/>
  <c r="CU299" i="24"/>
  <c r="CY225" i="24"/>
  <c r="CW225" i="24"/>
  <c r="CX225" i="24" s="1"/>
  <c r="CU225" i="24"/>
  <c r="DQ225" i="24"/>
  <c r="CL225" i="24"/>
  <c r="CW260" i="24"/>
  <c r="CX260" i="24" s="1"/>
  <c r="CU260" i="24"/>
  <c r="CL260" i="24"/>
  <c r="DQ260" i="24"/>
  <c r="CY260" i="24"/>
  <c r="CU223" i="24"/>
  <c r="CW223" i="24"/>
  <c r="CX223" i="24" s="1"/>
  <c r="CY223" i="24"/>
  <c r="DQ223" i="24"/>
  <c r="CL223" i="24"/>
  <c r="DQ290" i="24"/>
  <c r="CL290" i="24"/>
  <c r="CW290" i="24"/>
  <c r="CX290" i="24" s="1"/>
  <c r="CY290" i="24"/>
  <c r="CU290" i="24"/>
  <c r="ES196" i="24"/>
  <c r="EV196" i="24" s="1"/>
  <c r="CU196" i="24"/>
  <c r="CY196" i="24"/>
  <c r="DQ196" i="24"/>
  <c r="CW196" i="24"/>
  <c r="CX196" i="24" s="1"/>
  <c r="CL196" i="24"/>
  <c r="DQ246" i="24"/>
  <c r="CU246" i="24"/>
  <c r="CL246" i="24"/>
  <c r="CW246" i="24"/>
  <c r="CX246" i="24" s="1"/>
  <c r="CY246" i="24"/>
  <c r="CL313" i="24"/>
  <c r="DQ313" i="24"/>
  <c r="CY313" i="24"/>
  <c r="CW313" i="24"/>
  <c r="CX313" i="24" s="1"/>
  <c r="CU313" i="24"/>
  <c r="CL26" i="24"/>
  <c r="CW26" i="24"/>
  <c r="CX26" i="24" s="1"/>
  <c r="CY26" i="24"/>
  <c r="ES26" i="24"/>
  <c r="EV26" i="24" s="1"/>
  <c r="DQ26" i="24"/>
  <c r="CU26" i="24"/>
  <c r="CV26" i="24" s="1"/>
  <c r="DQ92" i="24"/>
  <c r="CL92" i="24"/>
  <c r="CW92" i="24"/>
  <c r="CX92" i="24" s="1"/>
  <c r="CY92" i="24"/>
  <c r="CU92" i="24"/>
  <c r="CV92" i="24" s="1"/>
  <c r="ES92" i="24"/>
  <c r="EV92" i="24" s="1"/>
  <c r="DQ59" i="24"/>
  <c r="ES59" i="24"/>
  <c r="EV59" i="24" s="1"/>
  <c r="CL59" i="24"/>
  <c r="CW59" i="24"/>
  <c r="CX59" i="24" s="1"/>
  <c r="CY59" i="24"/>
  <c r="CU59" i="24"/>
  <c r="CV59" i="24" s="1"/>
  <c r="CW77" i="24"/>
  <c r="CX77" i="24" s="1"/>
  <c r="ES77" i="24"/>
  <c r="EV77" i="24" s="1"/>
  <c r="CL77" i="24"/>
  <c r="CY77" i="24"/>
  <c r="DQ77" i="24"/>
  <c r="CU77" i="24"/>
  <c r="CV77" i="24" s="1"/>
  <c r="CY12" i="24"/>
  <c r="ES12" i="24"/>
  <c r="EV12" i="24" s="1"/>
  <c r="CW12" i="24"/>
  <c r="CX12" i="24" s="1"/>
  <c r="CU12" i="24"/>
  <c r="CV12" i="24" s="1"/>
  <c r="DQ12" i="24"/>
  <c r="CL12" i="24"/>
  <c r="ES96" i="24"/>
  <c r="EV96" i="24" s="1"/>
  <c r="CL96" i="24"/>
  <c r="DQ96" i="24"/>
  <c r="CW96" i="24"/>
  <c r="CX96" i="24" s="1"/>
  <c r="CU96" i="24"/>
  <c r="CV96" i="24" s="1"/>
  <c r="CY96" i="24"/>
  <c r="ES49" i="24"/>
  <c r="EV49" i="24" s="1"/>
  <c r="CL49" i="24"/>
  <c r="CW49" i="24"/>
  <c r="CX49" i="24" s="1"/>
  <c r="CY49" i="24"/>
  <c r="DQ49" i="24"/>
  <c r="CU49" i="24"/>
  <c r="CV49" i="24" s="1"/>
  <c r="ES79" i="24"/>
  <c r="EV79" i="24" s="1"/>
  <c r="CW79" i="24"/>
  <c r="CX79" i="24" s="1"/>
  <c r="CY79" i="24"/>
  <c r="DQ79" i="24"/>
  <c r="CU79" i="24"/>
  <c r="CV79" i="24" s="1"/>
  <c r="CL79" i="24"/>
  <c r="CW44" i="24"/>
  <c r="CX44" i="24" s="1"/>
  <c r="CL44" i="24"/>
  <c r="DQ44" i="24"/>
  <c r="ES44" i="24"/>
  <c r="EV44" i="24" s="1"/>
  <c r="CY44" i="24"/>
  <c r="CU44" i="24"/>
  <c r="CV44" i="24" s="1"/>
  <c r="ES130" i="24"/>
  <c r="EV130" i="24" s="1"/>
  <c r="DQ130" i="24"/>
  <c r="CL130" i="24"/>
  <c r="CU130" i="24"/>
  <c r="CW130" i="24"/>
  <c r="CX130" i="24" s="1"/>
  <c r="CY130" i="24"/>
  <c r="CU218" i="24"/>
  <c r="CW218" i="24"/>
  <c r="CX218" i="24" s="1"/>
  <c r="CL218" i="24"/>
  <c r="CY218" i="24"/>
  <c r="DQ218" i="24"/>
  <c r="ES145" i="24"/>
  <c r="EV145" i="24" s="1"/>
  <c r="CW145" i="24"/>
  <c r="CX145" i="24" s="1"/>
  <c r="DQ145" i="24"/>
  <c r="CL145" i="24"/>
  <c r="CU145" i="24"/>
  <c r="CY145" i="24"/>
  <c r="ES31" i="24"/>
  <c r="EV31" i="24" s="1"/>
  <c r="DQ31" i="24"/>
  <c r="CY31" i="24"/>
  <c r="CW31" i="24"/>
  <c r="CX31" i="24" s="1"/>
  <c r="CU31" i="24"/>
  <c r="CV31" i="24" s="1"/>
  <c r="CL31" i="24"/>
  <c r="DQ74" i="24"/>
  <c r="ES74" i="24"/>
  <c r="EV74" i="24" s="1"/>
  <c r="CL74" i="24"/>
  <c r="CW74" i="24"/>
  <c r="CX74" i="24" s="1"/>
  <c r="CU74" i="24"/>
  <c r="CV74" i="24" s="1"/>
  <c r="CY74" i="24"/>
  <c r="DQ142" i="24"/>
  <c r="CW142" i="24"/>
  <c r="CX142" i="24" s="1"/>
  <c r="CL142" i="24"/>
  <c r="ES142" i="24"/>
  <c r="EV142" i="24" s="1"/>
  <c r="CU142" i="24"/>
  <c r="CY142" i="24"/>
  <c r="ES117" i="24"/>
  <c r="EV117" i="24" s="1"/>
  <c r="DQ117" i="24"/>
  <c r="CL117" i="24"/>
  <c r="CW117" i="24"/>
  <c r="CX117" i="24" s="1"/>
  <c r="CU117" i="24"/>
  <c r="CY117" i="24"/>
  <c r="DQ158" i="24"/>
  <c r="CL158" i="24"/>
  <c r="ES158" i="24"/>
  <c r="EV158" i="24" s="1"/>
  <c r="CY158" i="24"/>
  <c r="CW158" i="24"/>
  <c r="CX158" i="24" s="1"/>
  <c r="CU158" i="24"/>
  <c r="CW128" i="24"/>
  <c r="CX128" i="24" s="1"/>
  <c r="ES128" i="24"/>
  <c r="EV128" i="24" s="1"/>
  <c r="DQ128" i="24"/>
  <c r="CU128" i="24"/>
  <c r="CY128" i="24"/>
  <c r="CL128" i="24"/>
  <c r="CW256" i="24"/>
  <c r="CX256" i="24" s="1"/>
  <c r="CU256" i="24"/>
  <c r="CY256" i="24"/>
  <c r="DQ256" i="24"/>
  <c r="CL256" i="24"/>
  <c r="ES141" i="24"/>
  <c r="EV141" i="24" s="1"/>
  <c r="CL141" i="24"/>
  <c r="DQ141" i="24"/>
  <c r="CW141" i="24"/>
  <c r="CX141" i="24" s="1"/>
  <c r="CY141" i="24"/>
  <c r="CU141" i="24"/>
  <c r="ES95" i="24"/>
  <c r="EV95" i="24" s="1"/>
  <c r="DQ95" i="24"/>
  <c r="CL95" i="24"/>
  <c r="CU95" i="24"/>
  <c r="CV95" i="24" s="1"/>
  <c r="CW95" i="24"/>
  <c r="CX95" i="24" s="1"/>
  <c r="CY95" i="24"/>
  <c r="DQ178" i="24"/>
  <c r="CL178" i="24"/>
  <c r="CW178" i="24"/>
  <c r="CX178" i="24" s="1"/>
  <c r="CY178" i="24"/>
  <c r="ES178" i="24"/>
  <c r="EV178" i="24" s="1"/>
  <c r="CU178" i="24"/>
  <c r="ES125" i="24"/>
  <c r="EV125" i="24" s="1"/>
  <c r="DQ125" i="24"/>
  <c r="CL125" i="24"/>
  <c r="CW125" i="24"/>
  <c r="CX125" i="24" s="1"/>
  <c r="CY125" i="24"/>
  <c r="CU125" i="24"/>
  <c r="ES180" i="24"/>
  <c r="EV180" i="24" s="1"/>
  <c r="DQ180" i="24"/>
  <c r="CU180" i="24"/>
  <c r="CL180" i="24"/>
  <c r="CY180" i="24"/>
  <c r="CW180" i="24"/>
  <c r="CX180" i="24" s="1"/>
  <c r="ES207" i="24"/>
  <c r="EV207" i="24" s="1"/>
  <c r="CL207" i="24"/>
  <c r="DQ207" i="24"/>
  <c r="CY207" i="24"/>
  <c r="CW207" i="24"/>
  <c r="CX207" i="24" s="1"/>
  <c r="CU207" i="24"/>
  <c r="DQ272" i="24"/>
  <c r="CW272" i="24"/>
  <c r="CX272" i="24" s="1"/>
  <c r="CL272" i="24"/>
  <c r="CY272" i="24"/>
  <c r="CU272" i="24"/>
  <c r="DQ249" i="24"/>
  <c r="CL249" i="24"/>
  <c r="CW249" i="24"/>
  <c r="CX249" i="24" s="1"/>
  <c r="CU249" i="24"/>
  <c r="CY249" i="24"/>
  <c r="DQ195" i="24"/>
  <c r="CW195" i="24"/>
  <c r="CX195" i="24" s="1"/>
  <c r="ES195" i="24"/>
  <c r="EV195" i="24" s="1"/>
  <c r="CY195" i="24"/>
  <c r="CL195" i="24"/>
  <c r="CU195" i="24"/>
  <c r="DQ257" i="24"/>
  <c r="CL257" i="24"/>
  <c r="CW257" i="24"/>
  <c r="CX257" i="24" s="1"/>
  <c r="CY257" i="24"/>
  <c r="CU257" i="24"/>
  <c r="DQ301" i="24"/>
  <c r="CL301" i="24"/>
  <c r="CW301" i="24"/>
  <c r="CX301" i="24" s="1"/>
  <c r="CY301" i="24"/>
  <c r="CU301" i="24"/>
  <c r="DQ229" i="24"/>
  <c r="CY229" i="24"/>
  <c r="CZ229" i="24" s="1"/>
  <c r="CL229" i="24"/>
  <c r="CW229" i="24"/>
  <c r="CX229" i="24" s="1"/>
  <c r="CU229" i="24"/>
  <c r="DQ268" i="24"/>
  <c r="CL268" i="24"/>
  <c r="CW268" i="24"/>
  <c r="CX268" i="24" s="1"/>
  <c r="CY268" i="24"/>
  <c r="CU268" i="24"/>
  <c r="CY227" i="24"/>
  <c r="CZ227" i="24" s="1"/>
  <c r="CL227" i="24"/>
  <c r="DQ227" i="24"/>
  <c r="CW227" i="24"/>
  <c r="CX227" i="24" s="1"/>
  <c r="CU227" i="24"/>
  <c r="CY295" i="24"/>
  <c r="CW295" i="24"/>
  <c r="CX295" i="24" s="1"/>
  <c r="CL295" i="24"/>
  <c r="DQ295" i="24"/>
  <c r="CU295" i="24"/>
  <c r="ES198" i="24"/>
  <c r="EV198" i="24" s="1"/>
  <c r="CL198" i="24"/>
  <c r="CY198" i="24"/>
  <c r="DQ198" i="24"/>
  <c r="CW198" i="24"/>
  <c r="CX198" i="24" s="1"/>
  <c r="CU198" i="24"/>
  <c r="DQ251" i="24"/>
  <c r="CY251" i="24"/>
  <c r="CL251" i="24"/>
  <c r="CW251" i="24"/>
  <c r="CX251" i="24" s="1"/>
  <c r="CU251" i="24"/>
  <c r="DQ316" i="24"/>
  <c r="CY316" i="24"/>
  <c r="CL316" i="24"/>
  <c r="CW316" i="24"/>
  <c r="CX316" i="24" s="1"/>
  <c r="CU316" i="24"/>
  <c r="CL28" i="24"/>
  <c r="CU28" i="24"/>
  <c r="CV28" i="24" s="1"/>
  <c r="DQ28" i="24"/>
  <c r="CW28" i="24"/>
  <c r="CX28" i="24" s="1"/>
  <c r="CY28" i="24"/>
  <c r="CZ28" i="24" s="1"/>
  <c r="ES28" i="24"/>
  <c r="EV28" i="24" s="1"/>
  <c r="CL94" i="24"/>
  <c r="CY94" i="24"/>
  <c r="CW94" i="24"/>
  <c r="CX94" i="24" s="1"/>
  <c r="ES94" i="24"/>
  <c r="EV94" i="24" s="1"/>
  <c r="DQ94" i="24"/>
  <c r="CU94" i="24"/>
  <c r="CV94" i="24" s="1"/>
  <c r="CL61" i="24"/>
  <c r="CY61" i="24"/>
  <c r="CW61" i="24"/>
  <c r="CX61" i="24" s="1"/>
  <c r="DQ61" i="24"/>
  <c r="ES61" i="24"/>
  <c r="EV61" i="24" s="1"/>
  <c r="CU61" i="24"/>
  <c r="CV61" i="24" s="1"/>
  <c r="CL35" i="24"/>
  <c r="ES35" i="24"/>
  <c r="EV35" i="24" s="1"/>
  <c r="DQ35" i="24"/>
  <c r="CU35" i="24"/>
  <c r="CV35" i="24" s="1"/>
  <c r="CY35" i="24"/>
  <c r="CW35" i="24"/>
  <c r="CX35" i="24" s="1"/>
  <c r="ES23" i="24"/>
  <c r="EV23" i="24" s="1"/>
  <c r="DQ23" i="24"/>
  <c r="CY23" i="24"/>
  <c r="CW23" i="24"/>
  <c r="CX23" i="24" s="1"/>
  <c r="CL23" i="24"/>
  <c r="CU23" i="24"/>
  <c r="CV23" i="24" s="1"/>
  <c r="ES13" i="24"/>
  <c r="EV13" i="24" s="1"/>
  <c r="CL13" i="24"/>
  <c r="CW13" i="24"/>
  <c r="CX13" i="24" s="1"/>
  <c r="CY13" i="24"/>
  <c r="CU13" i="24"/>
  <c r="CV13" i="24" s="1"/>
  <c r="DQ13" i="24"/>
  <c r="CU51" i="24"/>
  <c r="CV51" i="24" s="1"/>
  <c r="CY51" i="24"/>
  <c r="CW51" i="24"/>
  <c r="CX51" i="24" s="1"/>
  <c r="CL51" i="24"/>
  <c r="ES51" i="24"/>
  <c r="EV51" i="24" s="1"/>
  <c r="DQ51" i="24"/>
  <c r="CL85" i="24"/>
  <c r="CW85" i="24"/>
  <c r="CX85" i="24" s="1"/>
  <c r="ES85" i="24"/>
  <c r="EV85" i="24" s="1"/>
  <c r="DQ85" i="24"/>
  <c r="CY85" i="24"/>
  <c r="CU85" i="24"/>
  <c r="CV85" i="24" s="1"/>
  <c r="CU63" i="24"/>
  <c r="CV63" i="24" s="1"/>
  <c r="DQ63" i="24"/>
  <c r="CW63" i="24"/>
  <c r="CX63" i="24" s="1"/>
  <c r="CL63" i="24"/>
  <c r="ES63" i="24"/>
  <c r="EV63" i="24" s="1"/>
  <c r="CY63" i="24"/>
  <c r="ES137" i="24"/>
  <c r="EV137" i="24" s="1"/>
  <c r="CW137" i="24"/>
  <c r="CX137" i="24" s="1"/>
  <c r="CL137" i="24"/>
  <c r="DQ137" i="24"/>
  <c r="CY137" i="24"/>
  <c r="CU137" i="24"/>
  <c r="DQ68" i="24"/>
  <c r="CL68" i="24"/>
  <c r="CW68" i="24"/>
  <c r="CX68" i="24" s="1"/>
  <c r="CU68" i="24"/>
  <c r="CV68" i="24" s="1"/>
  <c r="ES68" i="24"/>
  <c r="EV68" i="24" s="1"/>
  <c r="CY68" i="24"/>
  <c r="DQ159" i="24"/>
  <c r="CW159" i="24"/>
  <c r="CX159" i="24" s="1"/>
  <c r="CY159" i="24"/>
  <c r="CU159" i="24"/>
  <c r="ES159" i="24"/>
  <c r="EV159" i="24" s="1"/>
  <c r="CL159" i="24"/>
  <c r="ES32" i="24"/>
  <c r="EV32" i="24" s="1"/>
  <c r="CL32" i="24"/>
  <c r="DQ32" i="24"/>
  <c r="CW32" i="24"/>
  <c r="CX32" i="24" s="1"/>
  <c r="CY32" i="24"/>
  <c r="CU32" i="24"/>
  <c r="CV32" i="24" s="1"/>
  <c r="DQ78" i="24"/>
  <c r="CW78" i="24"/>
  <c r="CX78" i="24" s="1"/>
  <c r="CU78" i="24"/>
  <c r="CV78" i="24" s="1"/>
  <c r="CL78" i="24"/>
  <c r="ES78" i="24"/>
  <c r="EV78" i="24" s="1"/>
  <c r="CY78" i="24"/>
  <c r="ES144" i="24"/>
  <c r="EV144" i="24" s="1"/>
  <c r="CW144" i="24"/>
  <c r="CX144" i="24" s="1"/>
  <c r="CL144" i="24"/>
  <c r="CU144" i="24"/>
  <c r="DQ144" i="24"/>
  <c r="CY144" i="24"/>
  <c r="DQ121" i="24"/>
  <c r="ES121" i="24"/>
  <c r="EV121" i="24" s="1"/>
  <c r="CU121" i="24"/>
  <c r="CY121" i="24"/>
  <c r="CW121" i="24"/>
  <c r="CX121" i="24" s="1"/>
  <c r="CL121" i="24"/>
  <c r="ES165" i="24"/>
  <c r="EV165" i="24" s="1"/>
  <c r="CU165" i="24"/>
  <c r="CY165" i="24"/>
  <c r="CL165" i="24"/>
  <c r="CW165" i="24"/>
  <c r="CX165" i="24" s="1"/>
  <c r="DQ165" i="24"/>
  <c r="CL135" i="24"/>
  <c r="ES135" i="24"/>
  <c r="EV135" i="24" s="1"/>
  <c r="DQ135" i="24"/>
  <c r="CY135" i="24"/>
  <c r="CW135" i="24"/>
  <c r="CX135" i="24" s="1"/>
  <c r="CU135" i="24"/>
  <c r="DQ100" i="24"/>
  <c r="CL100" i="24"/>
  <c r="ES100" i="24"/>
  <c r="EV100" i="24" s="1"/>
  <c r="CU100" i="24"/>
  <c r="CV100" i="24" s="1"/>
  <c r="CY100" i="24"/>
  <c r="CW100" i="24"/>
  <c r="CX100" i="24" s="1"/>
  <c r="CL160" i="24"/>
  <c r="ES160" i="24"/>
  <c r="EV160" i="24" s="1"/>
  <c r="CU160" i="24"/>
  <c r="DQ160" i="24"/>
  <c r="CW160" i="24"/>
  <c r="CX160" i="24" s="1"/>
  <c r="CY160" i="24"/>
  <c r="CY101" i="24"/>
  <c r="CU101" i="24"/>
  <c r="CV101" i="24" s="1"/>
  <c r="DQ101" i="24"/>
  <c r="ES101" i="24"/>
  <c r="EV101" i="24" s="1"/>
  <c r="CL101" i="24"/>
  <c r="CW101" i="24"/>
  <c r="CX101" i="24" s="1"/>
  <c r="DQ184" i="24"/>
  <c r="ES184" i="24"/>
  <c r="EV184" i="24" s="1"/>
  <c r="CL184" i="24"/>
  <c r="CU184" i="24"/>
  <c r="CW184" i="24"/>
  <c r="CX184" i="24" s="1"/>
  <c r="CY184" i="24"/>
  <c r="CZ184" i="24" s="1"/>
  <c r="CU131" i="24"/>
  <c r="CL131" i="24"/>
  <c r="CY131" i="24"/>
  <c r="DQ131" i="24"/>
  <c r="ES131" i="24"/>
  <c r="EV131" i="24" s="1"/>
  <c r="CW131" i="24"/>
  <c r="CX131" i="24" s="1"/>
  <c r="DQ181" i="24"/>
  <c r="CW181" i="24"/>
  <c r="CX181" i="24" s="1"/>
  <c r="CY181" i="24"/>
  <c r="ES181" i="24"/>
  <c r="EV181" i="24" s="1"/>
  <c r="CL181" i="24"/>
  <c r="CU181" i="24"/>
  <c r="CL220" i="24"/>
  <c r="DQ220" i="24"/>
  <c r="CY220" i="24"/>
  <c r="CW220" i="24"/>
  <c r="CX220" i="24" s="1"/>
  <c r="CU220" i="24"/>
  <c r="DQ288" i="24"/>
  <c r="CY288" i="24"/>
  <c r="CL288" i="24"/>
  <c r="CU288" i="24"/>
  <c r="CW288" i="24"/>
  <c r="CX288" i="24" s="1"/>
  <c r="CY270" i="24"/>
  <c r="DQ270" i="24"/>
  <c r="CL270" i="24"/>
  <c r="CU270" i="24"/>
  <c r="CW270" i="24"/>
  <c r="CX270" i="24" s="1"/>
  <c r="CL197" i="24"/>
  <c r="CW197" i="24"/>
  <c r="CX197" i="24" s="1"/>
  <c r="ES197" i="24"/>
  <c r="EV197" i="24" s="1"/>
  <c r="DQ197" i="24"/>
  <c r="CY197" i="24"/>
  <c r="CU197" i="24"/>
  <c r="CW261" i="24"/>
  <c r="CX261" i="24" s="1"/>
  <c r="CY261" i="24"/>
  <c r="CZ261" i="24" s="1"/>
  <c r="DQ261" i="24"/>
  <c r="CL261" i="24"/>
  <c r="CU261" i="24"/>
  <c r="CW303" i="24"/>
  <c r="CX303" i="24" s="1"/>
  <c r="DQ303" i="24"/>
  <c r="CL303" i="24"/>
  <c r="CY303" i="24"/>
  <c r="CU303" i="24"/>
  <c r="CL231" i="24"/>
  <c r="CU231" i="24"/>
  <c r="CY231" i="24"/>
  <c r="DQ231" i="24"/>
  <c r="CW231" i="24"/>
  <c r="CX231" i="24" s="1"/>
  <c r="CL273" i="24"/>
  <c r="CW273" i="24"/>
  <c r="CX273" i="24" s="1"/>
  <c r="DQ273" i="24"/>
  <c r="CY273" i="24"/>
  <c r="CU273" i="24"/>
  <c r="CL247" i="24"/>
  <c r="DQ247" i="24"/>
  <c r="CW247" i="24"/>
  <c r="CX247" i="24" s="1"/>
  <c r="CY247" i="24"/>
  <c r="CU247" i="24"/>
  <c r="CL304" i="24"/>
  <c r="DQ304" i="24"/>
  <c r="CW304" i="24"/>
  <c r="CX304" i="24" s="1"/>
  <c r="CY304" i="24"/>
  <c r="CU304" i="24"/>
  <c r="DQ199" i="24"/>
  <c r="CW199" i="24"/>
  <c r="CX199" i="24" s="1"/>
  <c r="CL199" i="24"/>
  <c r="ES199" i="24"/>
  <c r="EV199" i="24" s="1"/>
  <c r="CY199" i="24"/>
  <c r="CU199" i="24"/>
  <c r="CW252" i="24"/>
  <c r="CX252" i="24" s="1"/>
  <c r="CL252" i="24"/>
  <c r="CU252" i="24"/>
  <c r="DQ252" i="24"/>
  <c r="CY252" i="24"/>
  <c r="CL269" i="24"/>
  <c r="DQ269" i="24"/>
  <c r="CW269" i="24"/>
  <c r="CX269" i="24" s="1"/>
  <c r="CU269" i="24"/>
  <c r="CY269" i="24"/>
  <c r="ES46" i="24"/>
  <c r="EV46" i="24" s="1"/>
  <c r="DQ46" i="24"/>
  <c r="CU46" i="24"/>
  <c r="CV46" i="24" s="1"/>
  <c r="CW46" i="24"/>
  <c r="CX46" i="24" s="1"/>
  <c r="CL46" i="24"/>
  <c r="CY46" i="24"/>
  <c r="CL16" i="24"/>
  <c r="ES16" i="24"/>
  <c r="EV16" i="24" s="1"/>
  <c r="DQ16" i="24"/>
  <c r="CW16" i="24"/>
  <c r="CX16" i="24" s="1"/>
  <c r="CY16" i="24"/>
  <c r="CU16" i="24"/>
  <c r="CV16" i="24" s="1"/>
  <c r="ES65" i="24"/>
  <c r="EV65" i="24" s="1"/>
  <c r="DQ65" i="24"/>
  <c r="CY65" i="24"/>
  <c r="CZ65" i="24" s="1"/>
  <c r="CL65" i="24"/>
  <c r="CW65" i="24"/>
  <c r="CX65" i="24" s="1"/>
  <c r="CU65" i="24"/>
  <c r="CV65" i="24" s="1"/>
  <c r="CL24" i="24"/>
  <c r="ES24" i="24"/>
  <c r="EV24" i="24" s="1"/>
  <c r="DQ24" i="24"/>
  <c r="CW24" i="24"/>
  <c r="CX24" i="24" s="1"/>
  <c r="CY24" i="24"/>
  <c r="CU24" i="24"/>
  <c r="CV24" i="24" s="1"/>
  <c r="DQ25" i="24"/>
  <c r="ES25" i="24"/>
  <c r="EV25" i="24" s="1"/>
  <c r="CW25" i="24"/>
  <c r="CX25" i="24" s="1"/>
  <c r="CL25" i="24"/>
  <c r="CY25" i="24"/>
  <c r="CU25" i="24"/>
  <c r="CV25" i="24" s="1"/>
  <c r="CL8" i="24"/>
  <c r="ES8" i="24"/>
  <c r="EV8" i="24" s="1"/>
  <c r="DQ8" i="24"/>
  <c r="CW8" i="24"/>
  <c r="CX8" i="24" s="1"/>
  <c r="CY8" i="24"/>
  <c r="CU8" i="24"/>
  <c r="CV8" i="24" s="1"/>
  <c r="DQ54" i="24"/>
  <c r="CY54" i="24"/>
  <c r="CL54" i="24"/>
  <c r="CU54" i="24"/>
  <c r="CV54" i="24" s="1"/>
  <c r="ES54" i="24"/>
  <c r="EV54" i="24" s="1"/>
  <c r="CW54" i="24"/>
  <c r="CX54" i="24" s="1"/>
  <c r="CL90" i="24"/>
  <c r="CW90" i="24"/>
  <c r="CX90" i="24" s="1"/>
  <c r="ES90" i="24"/>
  <c r="EV90" i="24" s="1"/>
  <c r="DQ90" i="24"/>
  <c r="CU90" i="24"/>
  <c r="CV90" i="24" s="1"/>
  <c r="CY90" i="24"/>
  <c r="DQ93" i="24"/>
  <c r="ES93" i="24"/>
  <c r="EV93" i="24" s="1"/>
  <c r="CY93" i="24"/>
  <c r="CL93" i="24"/>
  <c r="CW93" i="24"/>
  <c r="CX93" i="24" s="1"/>
  <c r="CU93" i="24"/>
  <c r="CV93" i="24" s="1"/>
  <c r="DQ149" i="24"/>
  <c r="CY149" i="24"/>
  <c r="CU149" i="24"/>
  <c r="CW149" i="24"/>
  <c r="CX149" i="24" s="1"/>
  <c r="ES149" i="24"/>
  <c r="EV149" i="24" s="1"/>
  <c r="CL149" i="24"/>
  <c r="CL76" i="24"/>
  <c r="ES76" i="24"/>
  <c r="EV76" i="24" s="1"/>
  <c r="CY76" i="24"/>
  <c r="CZ76" i="24" s="1"/>
  <c r="CW76" i="24"/>
  <c r="CX76" i="24" s="1"/>
  <c r="DQ76" i="24"/>
  <c r="CU76" i="24"/>
  <c r="CV76" i="24" s="1"/>
  <c r="DQ163" i="24"/>
  <c r="ES163" i="24"/>
  <c r="EV163" i="24" s="1"/>
  <c r="CL163" i="24"/>
  <c r="CW163" i="24"/>
  <c r="CX163" i="24" s="1"/>
  <c r="CY163" i="24"/>
  <c r="CZ163" i="24" s="1"/>
  <c r="CU163" i="24"/>
  <c r="ES33" i="24"/>
  <c r="EV33" i="24" s="1"/>
  <c r="DQ33" i="24"/>
  <c r="CY33" i="24"/>
  <c r="CL33" i="24"/>
  <c r="CW33" i="24"/>
  <c r="CX33" i="24" s="1"/>
  <c r="CU33" i="24"/>
  <c r="CV33" i="24" s="1"/>
  <c r="DQ80" i="24"/>
  <c r="CW80" i="24"/>
  <c r="CX80" i="24" s="1"/>
  <c r="ES80" i="24"/>
  <c r="EV80" i="24" s="1"/>
  <c r="CU80" i="24"/>
  <c r="CV80" i="24" s="1"/>
  <c r="CL80" i="24"/>
  <c r="CY80" i="24"/>
  <c r="ES155" i="24"/>
  <c r="EV155" i="24" s="1"/>
  <c r="DQ155" i="24"/>
  <c r="CL155" i="24"/>
  <c r="CW155" i="24"/>
  <c r="CX155" i="24" s="1"/>
  <c r="CY155" i="24"/>
  <c r="CU155" i="24"/>
  <c r="DQ126" i="24"/>
  <c r="CW126" i="24"/>
  <c r="CX126" i="24" s="1"/>
  <c r="CL126" i="24"/>
  <c r="ES126" i="24"/>
  <c r="EV126" i="24" s="1"/>
  <c r="CU126" i="24"/>
  <c r="CY126" i="24"/>
  <c r="CW173" i="24"/>
  <c r="CX173" i="24" s="1"/>
  <c r="CL173" i="24"/>
  <c r="ES173" i="24"/>
  <c r="EV173" i="24" s="1"/>
  <c r="DQ173" i="24"/>
  <c r="CY173" i="24"/>
  <c r="CU173" i="24"/>
  <c r="CY147" i="24"/>
  <c r="CU147" i="24"/>
  <c r="DQ147" i="24"/>
  <c r="CW147" i="24"/>
  <c r="CX147" i="24" s="1"/>
  <c r="ES147" i="24"/>
  <c r="EV147" i="24" s="1"/>
  <c r="CL147" i="24"/>
  <c r="ES102" i="24"/>
  <c r="EV102" i="24" s="1"/>
  <c r="CL102" i="24"/>
  <c r="DQ102" i="24"/>
  <c r="CW102" i="24"/>
  <c r="CX102" i="24" s="1"/>
  <c r="CY102" i="24"/>
  <c r="CU102" i="24"/>
  <c r="CV102" i="24" s="1"/>
  <c r="DQ169" i="24"/>
  <c r="CW169" i="24"/>
  <c r="CX169" i="24" s="1"/>
  <c r="CL169" i="24"/>
  <c r="ES169" i="24"/>
  <c r="EV169" i="24" s="1"/>
  <c r="CY169" i="24"/>
  <c r="CU169" i="24"/>
  <c r="CL105" i="24"/>
  <c r="ES105" i="24"/>
  <c r="EV105" i="24" s="1"/>
  <c r="DQ105" i="24"/>
  <c r="CW105" i="24"/>
  <c r="CX105" i="24" s="1"/>
  <c r="CY105" i="24"/>
  <c r="CU105" i="24"/>
  <c r="CV105" i="24" s="1"/>
  <c r="DQ186" i="24"/>
  <c r="CW186" i="24"/>
  <c r="CX186" i="24" s="1"/>
  <c r="CL186" i="24"/>
  <c r="ES186" i="24"/>
  <c r="EV186" i="24" s="1"/>
  <c r="CY186" i="24"/>
  <c r="CU186" i="24"/>
  <c r="DQ134" i="24"/>
  <c r="CL134" i="24"/>
  <c r="CW134" i="24"/>
  <c r="CX134" i="24" s="1"/>
  <c r="CY134" i="24"/>
  <c r="ES134" i="24"/>
  <c r="EV134" i="24" s="1"/>
  <c r="CU134" i="24"/>
  <c r="ES183" i="24"/>
  <c r="EV183" i="24" s="1"/>
  <c r="DQ183" i="24"/>
  <c r="CY183" i="24"/>
  <c r="CL183" i="24"/>
  <c r="CW183" i="24"/>
  <c r="CX183" i="24" s="1"/>
  <c r="CU183" i="24"/>
  <c r="DQ230" i="24"/>
  <c r="CW230" i="24"/>
  <c r="CX230" i="24" s="1"/>
  <c r="CL230" i="24"/>
  <c r="CY230" i="24"/>
  <c r="CU230" i="24"/>
  <c r="DQ312" i="24"/>
  <c r="CL312" i="24"/>
  <c r="CY312" i="24"/>
  <c r="CW312" i="24"/>
  <c r="CX312" i="24" s="1"/>
  <c r="CU312" i="24"/>
  <c r="CL275" i="24"/>
  <c r="DQ275" i="24"/>
  <c r="CW275" i="24"/>
  <c r="CX275" i="24" s="1"/>
  <c r="CU275" i="24"/>
  <c r="CY275" i="24"/>
  <c r="ES210" i="24"/>
  <c r="EV210" i="24" s="1"/>
  <c r="CW210" i="24"/>
  <c r="CX210" i="24" s="1"/>
  <c r="CY210" i="24"/>
  <c r="CU210" i="24"/>
  <c r="CL210" i="24"/>
  <c r="DQ210" i="24"/>
  <c r="DQ265" i="24"/>
  <c r="CL265" i="24"/>
  <c r="CU265" i="24"/>
  <c r="CW265" i="24"/>
  <c r="CX265" i="24" s="1"/>
  <c r="CY265" i="24"/>
  <c r="DQ305" i="24"/>
  <c r="CW305" i="24"/>
  <c r="CX305" i="24" s="1"/>
  <c r="CY305" i="24"/>
  <c r="CZ305" i="24" s="1"/>
  <c r="CL305" i="24"/>
  <c r="CU305" i="24"/>
  <c r="DQ241" i="24"/>
  <c r="CW241" i="24"/>
  <c r="CX241" i="24" s="1"/>
  <c r="CL241" i="24"/>
  <c r="CU241" i="24"/>
  <c r="CY241" i="24"/>
  <c r="CL292" i="24"/>
  <c r="DQ292" i="24"/>
  <c r="CY292" i="24"/>
  <c r="CW292" i="24"/>
  <c r="CX292" i="24" s="1"/>
  <c r="CU292" i="24"/>
  <c r="CY248" i="24"/>
  <c r="CZ248" i="24" s="1"/>
  <c r="DQ248" i="24"/>
  <c r="CU248" i="24"/>
  <c r="CW248" i="24"/>
  <c r="CX248" i="24" s="1"/>
  <c r="CL248" i="24"/>
  <c r="CL308" i="24"/>
  <c r="DQ308" i="24"/>
  <c r="CU308" i="24"/>
  <c r="CY308" i="24"/>
  <c r="CW308" i="24"/>
  <c r="CX308" i="24" s="1"/>
  <c r="ES202" i="24"/>
  <c r="EV202" i="24" s="1"/>
  <c r="DQ202" i="24"/>
  <c r="CW202" i="24"/>
  <c r="CX202" i="24" s="1"/>
  <c r="CL202" i="24"/>
  <c r="CU202" i="24"/>
  <c r="CY202" i="24"/>
  <c r="CZ202" i="24" s="1"/>
  <c r="DQ254" i="24"/>
  <c r="CW254" i="24"/>
  <c r="CX254" i="24" s="1"/>
  <c r="CL254" i="24"/>
  <c r="CY254" i="24"/>
  <c r="CU254" i="24"/>
  <c r="CU274" i="24"/>
  <c r="CL274" i="24"/>
  <c r="CW274" i="24"/>
  <c r="CX274" i="24" s="1"/>
  <c r="DQ274" i="24"/>
  <c r="CY274" i="24"/>
  <c r="ES22" i="24"/>
  <c r="EV22" i="24" s="1"/>
  <c r="DQ22" i="24"/>
  <c r="CW22" i="24"/>
  <c r="CX22" i="24" s="1"/>
  <c r="CY22" i="24"/>
  <c r="CU22" i="24"/>
  <c r="CV22" i="24" s="1"/>
  <c r="CL22" i="24"/>
  <c r="ES50" i="24"/>
  <c r="EV50" i="24" s="1"/>
  <c r="CL50" i="24"/>
  <c r="CU50" i="24"/>
  <c r="CV50" i="24" s="1"/>
  <c r="CW50" i="24"/>
  <c r="CX50" i="24" s="1"/>
  <c r="DQ50" i="24"/>
  <c r="CY50" i="24"/>
  <c r="CZ50" i="24" s="1"/>
  <c r="CW48" i="24"/>
  <c r="CX48" i="24" s="1"/>
  <c r="DQ48" i="24"/>
  <c r="ES48" i="24"/>
  <c r="EV48" i="24" s="1"/>
  <c r="CL48" i="24"/>
  <c r="CY48" i="24"/>
  <c r="CU48" i="24"/>
  <c r="CV48" i="24" s="1"/>
  <c r="DQ67" i="24"/>
  <c r="ES67" i="24"/>
  <c r="EV67" i="24" s="1"/>
  <c r="CL67" i="24"/>
  <c r="CW67" i="24"/>
  <c r="CX67" i="24" s="1"/>
  <c r="CY67" i="24"/>
  <c r="CU67" i="24"/>
  <c r="CV67" i="24" s="1"/>
  <c r="CL27" i="24"/>
  <c r="CU27" i="24"/>
  <c r="CV27" i="24" s="1"/>
  <c r="CW27" i="24"/>
  <c r="CX27" i="24" s="1"/>
  <c r="DQ27" i="24"/>
  <c r="ES27" i="24"/>
  <c r="EV27" i="24" s="1"/>
  <c r="CY27" i="24"/>
  <c r="CL55" i="24"/>
  <c r="CW55" i="24"/>
  <c r="CX55" i="24" s="1"/>
  <c r="ES55" i="24"/>
  <c r="EV55" i="24" s="1"/>
  <c r="CY55" i="24"/>
  <c r="DQ55" i="24"/>
  <c r="CU55" i="24"/>
  <c r="CV55" i="24" s="1"/>
  <c r="CU19" i="24"/>
  <c r="CV19" i="24" s="1"/>
  <c r="CL19" i="24"/>
  <c r="CY19" i="24"/>
  <c r="ES19" i="24"/>
  <c r="EV19" i="24" s="1"/>
  <c r="DQ19" i="24"/>
  <c r="CW19" i="24"/>
  <c r="CX19" i="24" s="1"/>
  <c r="CL56" i="24"/>
  <c r="ES56" i="24"/>
  <c r="EV56" i="24" s="1"/>
  <c r="CY56" i="24"/>
  <c r="CW56" i="24"/>
  <c r="CX56" i="24" s="1"/>
  <c r="DQ56" i="24"/>
  <c r="CU56" i="24"/>
  <c r="CV56" i="24" s="1"/>
  <c r="ES7" i="24"/>
  <c r="EV7" i="24" s="1"/>
  <c r="CL7" i="24"/>
  <c r="DQ7" i="24"/>
  <c r="CW7" i="24"/>
  <c r="CX7" i="24" s="1"/>
  <c r="CY7" i="24"/>
  <c r="CU7" i="24"/>
  <c r="CV7" i="24" s="1"/>
  <c r="DQ97" i="24"/>
  <c r="CL97" i="24"/>
  <c r="ES97" i="24"/>
  <c r="EV97" i="24" s="1"/>
  <c r="CW97" i="24"/>
  <c r="CX97" i="24" s="1"/>
  <c r="CY97" i="24"/>
  <c r="CU97" i="24"/>
  <c r="CV97" i="24" s="1"/>
  <c r="ES152" i="24"/>
  <c r="EV152" i="24" s="1"/>
  <c r="CU152" i="24"/>
  <c r="CY152" i="24"/>
  <c r="CW152" i="24"/>
  <c r="CX152" i="24" s="1"/>
  <c r="CL152" i="24"/>
  <c r="DQ152" i="24"/>
  <c r="ES88" i="24"/>
  <c r="EV88" i="24" s="1"/>
  <c r="CU88" i="24"/>
  <c r="CV88" i="24" s="1"/>
  <c r="CL88" i="24"/>
  <c r="CW88" i="24"/>
  <c r="CX88" i="24" s="1"/>
  <c r="DQ88" i="24"/>
  <c r="CY88" i="24"/>
  <c r="DQ170" i="24"/>
  <c r="CL170" i="24"/>
  <c r="CW170" i="24"/>
  <c r="CX170" i="24" s="1"/>
  <c r="CU170" i="24"/>
  <c r="ES170" i="24"/>
  <c r="EV170" i="24" s="1"/>
  <c r="CY170" i="24"/>
  <c r="ES37" i="24"/>
  <c r="EV37" i="24" s="1"/>
  <c r="CL37" i="24"/>
  <c r="CY37" i="24"/>
  <c r="CW37" i="24"/>
  <c r="CX37" i="24" s="1"/>
  <c r="DQ37" i="24"/>
  <c r="CU37" i="24"/>
  <c r="CV37" i="24" s="1"/>
  <c r="ES82" i="24"/>
  <c r="EV82" i="24" s="1"/>
  <c r="DQ82" i="24"/>
  <c r="CL82" i="24"/>
  <c r="CY82" i="24"/>
  <c r="CW82" i="24"/>
  <c r="CX82" i="24" s="1"/>
  <c r="CU82" i="24"/>
  <c r="CV82" i="24" s="1"/>
  <c r="ES166" i="24"/>
  <c r="EV166" i="24" s="1"/>
  <c r="DQ166" i="24"/>
  <c r="CL166" i="24"/>
  <c r="CW166" i="24"/>
  <c r="CX166" i="24" s="1"/>
  <c r="CY166" i="24"/>
  <c r="CU166" i="24"/>
  <c r="DQ129" i="24"/>
  <c r="CW129" i="24"/>
  <c r="CX129" i="24" s="1"/>
  <c r="CL129" i="24"/>
  <c r="ES129" i="24"/>
  <c r="EV129" i="24" s="1"/>
  <c r="CU129" i="24"/>
  <c r="CY129" i="24"/>
  <c r="ES182" i="24"/>
  <c r="EV182" i="24" s="1"/>
  <c r="DQ182" i="24"/>
  <c r="CL182" i="24"/>
  <c r="CW182" i="24"/>
  <c r="CX182" i="24" s="1"/>
  <c r="CU182" i="24"/>
  <c r="CY182" i="24"/>
  <c r="DQ154" i="24"/>
  <c r="CL154" i="24"/>
  <c r="CW154" i="24"/>
  <c r="CX154" i="24" s="1"/>
  <c r="CY154" i="24"/>
  <c r="ES154" i="24"/>
  <c r="EV154" i="24" s="1"/>
  <c r="CU154" i="24"/>
  <c r="ES104" i="24"/>
  <c r="EV104" i="24" s="1"/>
  <c r="DQ104" i="24"/>
  <c r="CW104" i="24"/>
  <c r="CX104" i="24" s="1"/>
  <c r="CY104" i="24"/>
  <c r="CL104" i="24"/>
  <c r="CU104" i="24"/>
  <c r="CV104" i="24" s="1"/>
  <c r="CY175" i="24"/>
  <c r="DQ175" i="24"/>
  <c r="CW175" i="24"/>
  <c r="CX175" i="24" s="1"/>
  <c r="ES175" i="24"/>
  <c r="EV175" i="24" s="1"/>
  <c r="CL175" i="24"/>
  <c r="CU175" i="24"/>
  <c r="DQ112" i="24"/>
  <c r="CW112" i="24"/>
  <c r="CX112" i="24" s="1"/>
  <c r="ES112" i="24"/>
  <c r="EV112" i="24" s="1"/>
  <c r="CL112" i="24"/>
  <c r="CY112" i="24"/>
  <c r="CU112" i="24"/>
  <c r="DQ228" i="24"/>
  <c r="CL228" i="24"/>
  <c r="CW228" i="24"/>
  <c r="CX228" i="24" s="1"/>
  <c r="CY228" i="24"/>
  <c r="CU228" i="24"/>
  <c r="DQ143" i="24"/>
  <c r="CL143" i="24"/>
  <c r="CW143" i="24"/>
  <c r="CX143" i="24" s="1"/>
  <c r="ES143" i="24"/>
  <c r="EV143" i="24" s="1"/>
  <c r="CU143" i="24"/>
  <c r="CY143" i="24"/>
  <c r="DQ243" i="24"/>
  <c r="CW243" i="24"/>
  <c r="CX243" i="24" s="1"/>
  <c r="CL243" i="24"/>
  <c r="CU243" i="24"/>
  <c r="CY243" i="24"/>
  <c r="DQ235" i="24"/>
  <c r="CL235" i="24"/>
  <c r="CY235" i="24"/>
  <c r="CW235" i="24"/>
  <c r="CX235" i="24" s="1"/>
  <c r="CU235" i="24"/>
  <c r="CL191" i="24"/>
  <c r="CU191" i="24"/>
  <c r="CY191" i="24"/>
  <c r="ES191" i="24"/>
  <c r="EV191" i="24" s="1"/>
  <c r="CW191" i="24"/>
  <c r="CX191" i="24" s="1"/>
  <c r="DQ191" i="24"/>
  <c r="DQ279" i="24"/>
  <c r="CL279" i="24"/>
  <c r="CW279" i="24"/>
  <c r="CX279" i="24" s="1"/>
  <c r="CU279" i="24"/>
  <c r="CY279" i="24"/>
  <c r="DQ222" i="24"/>
  <c r="CW222" i="24"/>
  <c r="CX222" i="24" s="1"/>
  <c r="CL222" i="24"/>
  <c r="CY222" i="24"/>
  <c r="CU222" i="24"/>
  <c r="CL276" i="24"/>
  <c r="CY276" i="24"/>
  <c r="CZ276" i="24" s="1"/>
  <c r="CW276" i="24"/>
  <c r="CX276" i="24" s="1"/>
  <c r="DQ276" i="24"/>
  <c r="CU276" i="24"/>
  <c r="ES185" i="24"/>
  <c r="EV185" i="24" s="1"/>
  <c r="CL185" i="24"/>
  <c r="CW185" i="24"/>
  <c r="CX185" i="24" s="1"/>
  <c r="DQ185" i="24"/>
  <c r="CU185" i="24"/>
  <c r="CY185" i="24"/>
  <c r="CL245" i="24"/>
  <c r="CY245" i="24"/>
  <c r="CZ245" i="24" s="1"/>
  <c r="DQ245" i="24"/>
  <c r="CW245" i="24"/>
  <c r="CX245" i="24" s="1"/>
  <c r="CU245" i="24"/>
  <c r="CU293" i="24"/>
  <c r="CW293" i="24"/>
  <c r="CX293" i="24" s="1"/>
  <c r="DQ293" i="24"/>
  <c r="CL293" i="24"/>
  <c r="CY293" i="24"/>
  <c r="CL262" i="24"/>
  <c r="DQ262" i="24"/>
  <c r="CW262" i="24"/>
  <c r="CX262" i="24" s="1"/>
  <c r="CU262" i="24"/>
  <c r="CY262" i="24"/>
  <c r="CL311" i="24"/>
  <c r="DQ311" i="24"/>
  <c r="CY311" i="24"/>
  <c r="CW311" i="24"/>
  <c r="CX311" i="24" s="1"/>
  <c r="CU311" i="24"/>
  <c r="ES204" i="24"/>
  <c r="EV204" i="24" s="1"/>
  <c r="CW204" i="24"/>
  <c r="CX204" i="24" s="1"/>
  <c r="CY204" i="24"/>
  <c r="CL204" i="24"/>
  <c r="DQ204" i="24"/>
  <c r="CU204" i="24"/>
  <c r="CL278" i="24"/>
  <c r="DQ278" i="24"/>
  <c r="CW278" i="24"/>
  <c r="CX278" i="24" s="1"/>
  <c r="CY278" i="24"/>
  <c r="CU278" i="24"/>
  <c r="CY280" i="24"/>
  <c r="CL280" i="24"/>
  <c r="CW280" i="24"/>
  <c r="CX280" i="24" s="1"/>
  <c r="CU280" i="24"/>
  <c r="DQ280" i="24"/>
  <c r="ES17" i="24"/>
  <c r="EV17" i="24" s="1"/>
  <c r="CW17" i="24"/>
  <c r="CX17" i="24" s="1"/>
  <c r="DQ17" i="24"/>
  <c r="CL17" i="24"/>
  <c r="CU17" i="24"/>
  <c r="CV17" i="24" s="1"/>
  <c r="CY17" i="24"/>
  <c r="ES57" i="24"/>
  <c r="EV57" i="24" s="1"/>
  <c r="DQ57" i="24"/>
  <c r="CW57" i="24"/>
  <c r="CX57" i="24" s="1"/>
  <c r="CL57" i="24"/>
  <c r="CY57" i="24"/>
  <c r="CU57" i="24"/>
  <c r="CV57" i="24" s="1"/>
  <c r="CL10" i="24"/>
  <c r="ES10" i="24"/>
  <c r="EV10" i="24" s="1"/>
  <c r="CW10" i="24"/>
  <c r="CX10" i="24" s="1"/>
  <c r="DQ10" i="24"/>
  <c r="CU10" i="24"/>
  <c r="CV10" i="24" s="1"/>
  <c r="CY10" i="24"/>
  <c r="DQ84" i="24"/>
  <c r="ES84" i="24"/>
  <c r="EV84" i="24" s="1"/>
  <c r="CU84" i="24"/>
  <c r="CV84" i="24" s="1"/>
  <c r="CW84" i="24"/>
  <c r="CX84" i="24" s="1"/>
  <c r="CL84" i="24"/>
  <c r="CY84" i="24"/>
  <c r="DQ58" i="24"/>
  <c r="ES58" i="24"/>
  <c r="EV58" i="24" s="1"/>
  <c r="CL58" i="24"/>
  <c r="CY58" i="24"/>
  <c r="CU58" i="24"/>
  <c r="CV58" i="24" s="1"/>
  <c r="CW58" i="24"/>
  <c r="CX58" i="24" s="1"/>
  <c r="ES62" i="24"/>
  <c r="EV62" i="24" s="1"/>
  <c r="CL62" i="24"/>
  <c r="CW62" i="24"/>
  <c r="CX62" i="24" s="1"/>
  <c r="CU62" i="24"/>
  <c r="CV62" i="24" s="1"/>
  <c r="CY62" i="24"/>
  <c r="DQ62" i="24"/>
  <c r="ES29" i="24"/>
  <c r="EV29" i="24" s="1"/>
  <c r="CL29" i="24"/>
  <c r="CW29" i="24"/>
  <c r="CX29" i="24" s="1"/>
  <c r="CY29" i="24"/>
  <c r="CU29" i="24"/>
  <c r="CV29" i="24" s="1"/>
  <c r="DQ29" i="24"/>
  <c r="CY60" i="24"/>
  <c r="CW60" i="24"/>
  <c r="CX60" i="24" s="1"/>
  <c r="ES60" i="24"/>
  <c r="EV60" i="24" s="1"/>
  <c r="DQ60" i="24"/>
  <c r="CL60" i="24"/>
  <c r="CU60" i="24"/>
  <c r="CV60" i="24" s="1"/>
  <c r="CY20" i="24"/>
  <c r="CU20" i="24"/>
  <c r="CV20" i="24" s="1"/>
  <c r="CL20" i="24"/>
  <c r="CW20" i="24"/>
  <c r="CX20" i="24" s="1"/>
  <c r="ES20" i="24"/>
  <c r="EV20" i="24" s="1"/>
  <c r="DQ20" i="24"/>
  <c r="DQ103" i="24"/>
  <c r="ES103" i="24"/>
  <c r="EV103" i="24" s="1"/>
  <c r="CL103" i="24"/>
  <c r="CW103" i="24"/>
  <c r="CX103" i="24" s="1"/>
  <c r="CY103" i="24"/>
  <c r="CU103" i="24"/>
  <c r="CV103" i="24" s="1"/>
  <c r="ES156" i="24"/>
  <c r="EV156" i="24" s="1"/>
  <c r="DQ156" i="24"/>
  <c r="CW156" i="24"/>
  <c r="CX156" i="24" s="1"/>
  <c r="CL156" i="24"/>
  <c r="CY156" i="24"/>
  <c r="CU156" i="24"/>
  <c r="CU89" i="24"/>
  <c r="CV89" i="24" s="1"/>
  <c r="DQ89" i="24"/>
  <c r="CL89" i="24"/>
  <c r="ES89" i="24"/>
  <c r="EV89" i="24" s="1"/>
  <c r="CW89" i="24"/>
  <c r="CX89" i="24" s="1"/>
  <c r="CY89" i="24"/>
  <c r="CZ89" i="24" s="1"/>
  <c r="ES193" i="24"/>
  <c r="EV193" i="24" s="1"/>
  <c r="DQ193" i="24"/>
  <c r="CW193" i="24"/>
  <c r="CX193" i="24" s="1"/>
  <c r="CL193" i="24"/>
  <c r="CY193" i="24"/>
  <c r="CU193" i="24"/>
  <c r="ES38" i="24"/>
  <c r="EV38" i="24" s="1"/>
  <c r="DQ38" i="24"/>
  <c r="CW38" i="24"/>
  <c r="CX38" i="24" s="1"/>
  <c r="CU38" i="24"/>
  <c r="CV38" i="24" s="1"/>
  <c r="CY38" i="24"/>
  <c r="CL38" i="24"/>
  <c r="DQ111" i="24"/>
  <c r="CW111" i="24"/>
  <c r="CX111" i="24" s="1"/>
  <c r="ES111" i="24"/>
  <c r="EV111" i="24" s="1"/>
  <c r="CY111" i="24"/>
  <c r="CL111" i="24"/>
  <c r="CU111" i="24"/>
  <c r="ES172" i="24"/>
  <c r="EV172" i="24" s="1"/>
  <c r="CW172" i="24"/>
  <c r="CX172" i="24" s="1"/>
  <c r="CU172" i="24"/>
  <c r="CL172" i="24"/>
  <c r="DQ172" i="24"/>
  <c r="CY172" i="24"/>
  <c r="ES133" i="24"/>
  <c r="EV133" i="24" s="1"/>
  <c r="DQ133" i="24"/>
  <c r="CL133" i="24"/>
  <c r="CW133" i="24"/>
  <c r="CX133" i="24" s="1"/>
  <c r="CY133" i="24"/>
  <c r="CU133" i="24"/>
  <c r="CW242" i="24"/>
  <c r="CX242" i="24" s="1"/>
  <c r="DQ242" i="24"/>
  <c r="CL242" i="24"/>
  <c r="CY242" i="24"/>
  <c r="CU242" i="24"/>
  <c r="ES164" i="24"/>
  <c r="EV164" i="24" s="1"/>
  <c r="CL164" i="24"/>
  <c r="DQ164" i="24"/>
  <c r="CW164" i="24"/>
  <c r="CX164" i="24" s="1"/>
  <c r="CU164" i="24"/>
  <c r="CY164" i="24"/>
  <c r="CL116" i="24"/>
  <c r="ES116" i="24"/>
  <c r="EV116" i="24" s="1"/>
  <c r="CW116" i="24"/>
  <c r="CX116" i="24" s="1"/>
  <c r="DQ116" i="24"/>
  <c r="CY116" i="24"/>
  <c r="CU116" i="24"/>
  <c r="CW194" i="24"/>
  <c r="CX194" i="24" s="1"/>
  <c r="CY194" i="24"/>
  <c r="CZ194" i="24" s="1"/>
  <c r="DQ194" i="24"/>
  <c r="CU194" i="24"/>
  <c r="ES194" i="24"/>
  <c r="EV194" i="24" s="1"/>
  <c r="CL194" i="24"/>
  <c r="CY115" i="24"/>
  <c r="CZ115" i="24" s="1"/>
  <c r="CW115" i="24"/>
  <c r="CX115" i="24" s="1"/>
  <c r="CU115" i="24"/>
  <c r="DQ115" i="24"/>
  <c r="ES115" i="24"/>
  <c r="EV115" i="24" s="1"/>
  <c r="CL115" i="24"/>
  <c r="DQ250" i="24"/>
  <c r="CY250" i="24"/>
  <c r="CZ250" i="24" s="1"/>
  <c r="CW250" i="24"/>
  <c r="CX250" i="24" s="1"/>
  <c r="CL250" i="24"/>
  <c r="CU250" i="24"/>
  <c r="ES150" i="24"/>
  <c r="EV150" i="24" s="1"/>
  <c r="CL150" i="24"/>
  <c r="DQ150" i="24"/>
  <c r="CU150" i="24"/>
  <c r="CW150" i="24"/>
  <c r="CX150" i="24" s="1"/>
  <c r="CY150" i="24"/>
  <c r="DQ291" i="24"/>
  <c r="CL291" i="24"/>
  <c r="CW291" i="24"/>
  <c r="CX291" i="24" s="1"/>
  <c r="CY291" i="24"/>
  <c r="CU291" i="24"/>
  <c r="CL240" i="24"/>
  <c r="CW240" i="24"/>
  <c r="CX240" i="24" s="1"/>
  <c r="DQ240" i="24"/>
  <c r="CY240" i="24"/>
  <c r="CU240" i="24"/>
  <c r="ES192" i="24"/>
  <c r="EV192" i="24" s="1"/>
  <c r="CW192" i="24"/>
  <c r="CX192" i="24" s="1"/>
  <c r="CL192" i="24"/>
  <c r="DQ192" i="24"/>
  <c r="CY192" i="24"/>
  <c r="CU192" i="24"/>
  <c r="DQ286" i="24"/>
  <c r="CY286" i="24"/>
  <c r="CL286" i="24"/>
  <c r="CW286" i="24"/>
  <c r="CX286" i="24" s="1"/>
  <c r="CU286" i="24"/>
  <c r="CL224" i="24"/>
  <c r="DQ224" i="24"/>
  <c r="CW224" i="24"/>
  <c r="CX224" i="24" s="1"/>
  <c r="CU224" i="24"/>
  <c r="CY224" i="24"/>
  <c r="DQ277" i="24"/>
  <c r="CY277" i="24"/>
  <c r="CL277" i="24"/>
  <c r="CW277" i="24"/>
  <c r="CX277" i="24" s="1"/>
  <c r="CU277" i="24"/>
  <c r="CL187" i="24"/>
  <c r="CY187" i="24"/>
  <c r="ES187" i="24"/>
  <c r="EV187" i="24" s="1"/>
  <c r="CU187" i="24"/>
  <c r="CW187" i="24"/>
  <c r="CX187" i="24" s="1"/>
  <c r="DQ187" i="24"/>
  <c r="CY253" i="24"/>
  <c r="DQ253" i="24"/>
  <c r="CW253" i="24"/>
  <c r="CX253" i="24" s="1"/>
  <c r="CL253" i="24"/>
  <c r="CU253" i="24"/>
  <c r="CL200" i="24"/>
  <c r="CW200" i="24"/>
  <c r="CX200" i="24" s="1"/>
  <c r="DQ200" i="24"/>
  <c r="ES200" i="24"/>
  <c r="EV200" i="24" s="1"/>
  <c r="CY200" i="24"/>
  <c r="CU200" i="24"/>
  <c r="CL282" i="24"/>
  <c r="CY282" i="24"/>
  <c r="CU282" i="24"/>
  <c r="CW282" i="24"/>
  <c r="CX282" i="24" s="1"/>
  <c r="DQ282" i="24"/>
  <c r="CW314" i="24"/>
  <c r="CX314" i="24" s="1"/>
  <c r="CU314" i="24"/>
  <c r="CL314" i="24"/>
  <c r="CY314" i="24"/>
  <c r="DQ314" i="24"/>
  <c r="CW205" i="24"/>
  <c r="CX205" i="24" s="1"/>
  <c r="CY205" i="24"/>
  <c r="DQ205" i="24"/>
  <c r="CU205" i="24"/>
  <c r="CL205" i="24"/>
  <c r="ES205" i="24"/>
  <c r="EV205" i="24" s="1"/>
  <c r="CL281" i="24"/>
  <c r="DQ281" i="24"/>
  <c r="CW281" i="24"/>
  <c r="CX281" i="24" s="1"/>
  <c r="CU281" i="24"/>
  <c r="CY281" i="24"/>
  <c r="CU289" i="24"/>
  <c r="CL289" i="24"/>
  <c r="CY289" i="24"/>
  <c r="DQ289" i="24"/>
  <c r="CW289" i="24"/>
  <c r="CX289" i="24" s="1"/>
  <c r="ES30" i="24"/>
  <c r="EV30" i="24" s="1"/>
  <c r="DQ30" i="24"/>
  <c r="CY30" i="24"/>
  <c r="CW30" i="24"/>
  <c r="CX30" i="24" s="1"/>
  <c r="CL30" i="24"/>
  <c r="CU30" i="24"/>
  <c r="CV30" i="24" s="1"/>
  <c r="CY72" i="24"/>
  <c r="ES72" i="24"/>
  <c r="EV72" i="24" s="1"/>
  <c r="DQ72" i="24"/>
  <c r="CW72" i="24"/>
  <c r="CX72" i="24" s="1"/>
  <c r="CL72" i="24"/>
  <c r="CU72" i="24"/>
  <c r="CV72" i="24" s="1"/>
  <c r="CL18" i="24"/>
  <c r="ES18" i="24"/>
  <c r="EV18" i="24" s="1"/>
  <c r="CW18" i="24"/>
  <c r="CX18" i="24" s="1"/>
  <c r="DQ18" i="24"/>
  <c r="CY18" i="24"/>
  <c r="CZ18" i="24" s="1"/>
  <c r="CU18" i="24"/>
  <c r="CV18" i="24" s="1"/>
  <c r="ES52" i="24"/>
  <c r="EV52" i="24" s="1"/>
  <c r="DQ52" i="24"/>
  <c r="CW52" i="24"/>
  <c r="CX52" i="24" s="1"/>
  <c r="CU52" i="24"/>
  <c r="CV52" i="24" s="1"/>
  <c r="CL52" i="24"/>
  <c r="CY52" i="24"/>
  <c r="CZ52" i="24" s="1"/>
  <c r="DQ6" i="24"/>
  <c r="CY6" i="24"/>
  <c r="CU6" i="24"/>
  <c r="CV6" i="24" s="1"/>
  <c r="CL6" i="24"/>
  <c r="CW6" i="24"/>
  <c r="CX6" i="24" s="1"/>
  <c r="ES6" i="24"/>
  <c r="EV6" i="24" s="1"/>
  <c r="ES73" i="24"/>
  <c r="EV73" i="24" s="1"/>
  <c r="DQ73" i="24"/>
  <c r="CU73" i="24"/>
  <c r="CV73" i="24" s="1"/>
  <c r="CW73" i="24"/>
  <c r="CX73" i="24" s="1"/>
  <c r="CY73" i="24"/>
  <c r="CL73" i="24"/>
  <c r="ES14" i="24"/>
  <c r="EV14" i="24" s="1"/>
  <c r="DQ14" i="24"/>
  <c r="CY14" i="24"/>
  <c r="CZ14" i="24" s="1"/>
  <c r="CW14" i="24"/>
  <c r="CX14" i="24" s="1"/>
  <c r="CL14" i="24"/>
  <c r="CU14" i="24"/>
  <c r="CV14" i="24" s="1"/>
  <c r="CL64" i="24"/>
  <c r="DQ64" i="24"/>
  <c r="CY64" i="24"/>
  <c r="CW64" i="24"/>
  <c r="CX64" i="24" s="1"/>
  <c r="ES64" i="24"/>
  <c r="EV64" i="24" s="1"/>
  <c r="CU64" i="24"/>
  <c r="CV64" i="24" s="1"/>
  <c r="CL70" i="24"/>
  <c r="DQ70" i="24"/>
  <c r="CY70" i="24"/>
  <c r="CZ70" i="24" s="1"/>
  <c r="CW70" i="24"/>
  <c r="CX70" i="24" s="1"/>
  <c r="CU70" i="24"/>
  <c r="CV70" i="24" s="1"/>
  <c r="ES70" i="24"/>
  <c r="EV70" i="24" s="1"/>
  <c r="DQ118" i="24"/>
  <c r="CU118" i="24"/>
  <c r="CL118" i="24"/>
  <c r="CY118" i="24"/>
  <c r="CW118" i="24"/>
  <c r="CX118" i="24" s="1"/>
  <c r="ES118" i="24"/>
  <c r="EV118" i="24" s="1"/>
  <c r="DQ162" i="24"/>
  <c r="CL162" i="24"/>
  <c r="CW162" i="24"/>
  <c r="CX162" i="24" s="1"/>
  <c r="CY162" i="24"/>
  <c r="CU162" i="24"/>
  <c r="ES162" i="24"/>
  <c r="EV162" i="24" s="1"/>
  <c r="ES113" i="24"/>
  <c r="EV113" i="24" s="1"/>
  <c r="CU113" i="24"/>
  <c r="CW113" i="24"/>
  <c r="CX113" i="24" s="1"/>
  <c r="DQ113" i="24"/>
  <c r="CL113" i="24"/>
  <c r="CY113" i="24"/>
  <c r="DQ234" i="24"/>
  <c r="CL234" i="24"/>
  <c r="CY234" i="24"/>
  <c r="CW234" i="24"/>
  <c r="CX234" i="24" s="1"/>
  <c r="CU234" i="24"/>
  <c r="ES40" i="24"/>
  <c r="EV40" i="24" s="1"/>
  <c r="DQ40" i="24"/>
  <c r="CY40" i="24"/>
  <c r="CU40" i="24"/>
  <c r="CV40" i="24" s="1"/>
  <c r="CL40" i="24"/>
  <c r="CW40" i="24"/>
  <c r="CX40" i="24" s="1"/>
  <c r="ES136" i="24"/>
  <c r="EV136" i="24" s="1"/>
  <c r="CU136" i="24"/>
  <c r="CL136" i="24"/>
  <c r="DQ136" i="24"/>
  <c r="CW136" i="24"/>
  <c r="CX136" i="24" s="1"/>
  <c r="CY136" i="24"/>
  <c r="CY217" i="24"/>
  <c r="CW217" i="24"/>
  <c r="CX217" i="24" s="1"/>
  <c r="CU217" i="24"/>
  <c r="CL217" i="24"/>
  <c r="DQ217" i="24"/>
  <c r="ES146" i="24"/>
  <c r="EV146" i="24" s="1"/>
  <c r="CL146" i="24"/>
  <c r="DQ146" i="24"/>
  <c r="CW146" i="24"/>
  <c r="CX146" i="24" s="1"/>
  <c r="CU146" i="24"/>
  <c r="CY146" i="24"/>
  <c r="DQ244" i="24"/>
  <c r="CY244" i="24"/>
  <c r="CW244" i="24"/>
  <c r="CX244" i="24" s="1"/>
  <c r="CU244" i="24"/>
  <c r="CL244" i="24"/>
  <c r="DQ177" i="24"/>
  <c r="CW177" i="24"/>
  <c r="CX177" i="24" s="1"/>
  <c r="CY177" i="24"/>
  <c r="CL177" i="24"/>
  <c r="ES177" i="24"/>
  <c r="EV177" i="24" s="1"/>
  <c r="CU177" i="24"/>
  <c r="CY123" i="24"/>
  <c r="CU123" i="24"/>
  <c r="CL123" i="24"/>
  <c r="DQ123" i="24"/>
  <c r="ES123" i="24"/>
  <c r="EV123" i="24" s="1"/>
  <c r="CW123" i="24"/>
  <c r="CX123" i="24" s="1"/>
  <c r="DQ209" i="24"/>
  <c r="CL209" i="24"/>
  <c r="ES209" i="24"/>
  <c r="EV209" i="24" s="1"/>
  <c r="CW209" i="24"/>
  <c r="CX209" i="24" s="1"/>
  <c r="CY209" i="24"/>
  <c r="CU209" i="24"/>
  <c r="CL153" i="24"/>
  <c r="ES153" i="24"/>
  <c r="EV153" i="24" s="1"/>
  <c r="DQ153" i="24"/>
  <c r="CW153" i="24"/>
  <c r="CX153" i="24" s="1"/>
  <c r="CU153" i="24"/>
  <c r="CY153" i="24"/>
  <c r="ES83" i="24"/>
  <c r="EV83" i="24" s="1"/>
  <c r="CL83" i="24"/>
  <c r="DQ83" i="24"/>
  <c r="CW83" i="24"/>
  <c r="CX83" i="24" s="1"/>
  <c r="CY83" i="24"/>
  <c r="CZ83" i="24" s="1"/>
  <c r="CU83" i="24"/>
  <c r="CV83" i="24" s="1"/>
  <c r="ES157" i="24"/>
  <c r="EV157" i="24" s="1"/>
  <c r="CY157" i="24"/>
  <c r="CW157" i="24"/>
  <c r="CX157" i="24" s="1"/>
  <c r="DQ157" i="24"/>
  <c r="CL157" i="24"/>
  <c r="CU157" i="24"/>
  <c r="DQ298" i="24"/>
  <c r="CW298" i="24"/>
  <c r="CX298" i="24" s="1"/>
  <c r="CL298" i="24"/>
  <c r="CU298" i="24"/>
  <c r="CY298" i="24"/>
  <c r="DQ263" i="24"/>
  <c r="CL263" i="24"/>
  <c r="CW263" i="24"/>
  <c r="CX263" i="24" s="1"/>
  <c r="CU263" i="24"/>
  <c r="CY263" i="24"/>
  <c r="CL221" i="24"/>
  <c r="CY221" i="24"/>
  <c r="CU221" i="24"/>
  <c r="CW221" i="24"/>
  <c r="CX221" i="24" s="1"/>
  <c r="DQ221" i="24"/>
  <c r="CW294" i="24"/>
  <c r="CX294" i="24" s="1"/>
  <c r="DQ294" i="24"/>
  <c r="CY294" i="24"/>
  <c r="CL294" i="24"/>
  <c r="CU294" i="24"/>
  <c r="CL226" i="24"/>
  <c r="CW226" i="24"/>
  <c r="CX226" i="24" s="1"/>
  <c r="DQ226" i="24"/>
  <c r="CU226" i="24"/>
  <c r="CY226" i="24"/>
  <c r="CL285" i="24"/>
  <c r="DQ285" i="24"/>
  <c r="CW285" i="24"/>
  <c r="CX285" i="24" s="1"/>
  <c r="CY285" i="24"/>
  <c r="CU285" i="24"/>
  <c r="ES203" i="24"/>
  <c r="EV203" i="24" s="1"/>
  <c r="DQ203" i="24"/>
  <c r="CL203" i="24"/>
  <c r="CW203" i="24"/>
  <c r="CX203" i="24" s="1"/>
  <c r="CY203" i="24"/>
  <c r="CU203" i="24"/>
  <c r="DQ255" i="24"/>
  <c r="CL255" i="24"/>
  <c r="CY255" i="24"/>
  <c r="CU255" i="24"/>
  <c r="CW255" i="24"/>
  <c r="CX255" i="24" s="1"/>
  <c r="ES206" i="24"/>
  <c r="EV206" i="24" s="1"/>
  <c r="CL206" i="24"/>
  <c r="DQ206" i="24"/>
  <c r="CW206" i="24"/>
  <c r="CX206" i="24" s="1"/>
  <c r="CY206" i="24"/>
  <c r="CU206" i="24"/>
  <c r="CL284" i="24"/>
  <c r="CW284" i="24"/>
  <c r="CX284" i="24" s="1"/>
  <c r="CY284" i="24"/>
  <c r="DQ284" i="24"/>
  <c r="CU284" i="24"/>
  <c r="DQ189" i="24"/>
  <c r="CU189" i="24"/>
  <c r="CL189" i="24"/>
  <c r="CY189" i="24"/>
  <c r="CZ189" i="24" s="1"/>
  <c r="CW189" i="24"/>
  <c r="CX189" i="24" s="1"/>
  <c r="ES189" i="24"/>
  <c r="EV189" i="24" s="1"/>
  <c r="DQ236" i="24"/>
  <c r="CL236" i="24"/>
  <c r="CW236" i="24"/>
  <c r="CX236" i="24" s="1"/>
  <c r="CY236" i="24"/>
  <c r="CU236" i="24"/>
  <c r="CL283" i="24"/>
  <c r="DQ283" i="24"/>
  <c r="CW283" i="24"/>
  <c r="CX283" i="24" s="1"/>
  <c r="CY283" i="24"/>
  <c r="CU283" i="24"/>
  <c r="DQ296" i="24"/>
  <c r="CL296" i="24"/>
  <c r="CY296" i="24"/>
  <c r="CW296" i="24"/>
  <c r="CX296" i="24" s="1"/>
  <c r="CU296" i="24"/>
  <c r="DQ15" i="24"/>
  <c r="ES15" i="24"/>
  <c r="EV15" i="24" s="1"/>
  <c r="CL15" i="24"/>
  <c r="CW15" i="24"/>
  <c r="CX15" i="24" s="1"/>
  <c r="CY15" i="24"/>
  <c r="CU15" i="24"/>
  <c r="CV15" i="24" s="1"/>
  <c r="CW86" i="24"/>
  <c r="CX86" i="24" s="1"/>
  <c r="ES86" i="24"/>
  <c r="EV86" i="24" s="1"/>
  <c r="DQ86" i="24"/>
  <c r="CL86" i="24"/>
  <c r="CU86" i="24"/>
  <c r="CV86" i="24" s="1"/>
  <c r="CY86" i="24"/>
  <c r="CW45" i="24"/>
  <c r="CX45" i="24" s="1"/>
  <c r="DQ45" i="24"/>
  <c r="CL45" i="24"/>
  <c r="ES45" i="24"/>
  <c r="EV45" i="24" s="1"/>
  <c r="CY45" i="24"/>
  <c r="CU45" i="24"/>
  <c r="CV45" i="24" s="1"/>
  <c r="ES21" i="24"/>
  <c r="EV21" i="24" s="1"/>
  <c r="CL21" i="24"/>
  <c r="CY21" i="24"/>
  <c r="CW21" i="24"/>
  <c r="CX21" i="24" s="1"/>
  <c r="CU21" i="24"/>
  <c r="CV21" i="24" s="1"/>
  <c r="DQ21" i="24"/>
  <c r="DQ9" i="24"/>
  <c r="CL9" i="24"/>
  <c r="CU9" i="24"/>
  <c r="CV9" i="24" s="1"/>
  <c r="CW9" i="24"/>
  <c r="CX9" i="24" s="1"/>
  <c r="ES9" i="24"/>
  <c r="EV9" i="24" s="1"/>
  <c r="CY9" i="24"/>
  <c r="ES75" i="24"/>
  <c r="EV75" i="24" s="1"/>
  <c r="CL75" i="24"/>
  <c r="DQ75" i="24"/>
  <c r="CW75" i="24"/>
  <c r="CX75" i="24" s="1"/>
  <c r="CY75" i="24"/>
  <c r="CU75" i="24"/>
  <c r="CV75" i="24" s="1"/>
  <c r="DQ36" i="24"/>
  <c r="CU36" i="24"/>
  <c r="CV36" i="24" s="1"/>
  <c r="ES36" i="24"/>
  <c r="EV36" i="24" s="1"/>
  <c r="CW36" i="24"/>
  <c r="CX36" i="24" s="1"/>
  <c r="CL36" i="24"/>
  <c r="CY36" i="24"/>
  <c r="CL66" i="24"/>
  <c r="ES66" i="24"/>
  <c r="EV66" i="24" s="1"/>
  <c r="DQ66" i="24"/>
  <c r="CW66" i="24"/>
  <c r="CX66" i="24" s="1"/>
  <c r="CY66" i="24"/>
  <c r="CU66" i="24"/>
  <c r="CV66" i="24" s="1"/>
  <c r="DQ41" i="24"/>
  <c r="ES41" i="24"/>
  <c r="EV41" i="24" s="1"/>
  <c r="CL41" i="24"/>
  <c r="CW41" i="24"/>
  <c r="CX41" i="24" s="1"/>
  <c r="CY41" i="24"/>
  <c r="CU41" i="24"/>
  <c r="CV41" i="24" s="1"/>
  <c r="DQ119" i="24"/>
  <c r="CY119" i="24"/>
  <c r="CU119" i="24"/>
  <c r="CL119" i="24"/>
  <c r="ES119" i="24"/>
  <c r="EV119" i="24" s="1"/>
  <c r="CW119" i="24"/>
  <c r="CX119" i="24" s="1"/>
  <c r="DQ167" i="24"/>
  <c r="CY167" i="24"/>
  <c r="CW167" i="24"/>
  <c r="CX167" i="24" s="1"/>
  <c r="CU167" i="24"/>
  <c r="ES167" i="24"/>
  <c r="EV167" i="24" s="1"/>
  <c r="CL167" i="24"/>
  <c r="DQ120" i="24"/>
  <c r="ES120" i="24"/>
  <c r="EV120" i="24" s="1"/>
  <c r="CW120" i="24"/>
  <c r="CX120" i="24" s="1"/>
  <c r="CL120" i="24"/>
  <c r="CY120" i="24"/>
  <c r="CU120" i="24"/>
  <c r="DQ258" i="24"/>
  <c r="CW258" i="24"/>
  <c r="CX258" i="24" s="1"/>
  <c r="CL258" i="24"/>
  <c r="CY258" i="24"/>
  <c r="CU258" i="24"/>
  <c r="CW47" i="24"/>
  <c r="CX47" i="24" s="1"/>
  <c r="DQ47" i="24"/>
  <c r="CL47" i="24"/>
  <c r="CY47" i="24"/>
  <c r="ES47" i="24"/>
  <c r="EV47" i="24" s="1"/>
  <c r="CU47" i="24"/>
  <c r="CV47" i="24" s="1"/>
  <c r="CU139" i="24"/>
  <c r="CL139" i="24"/>
  <c r="ES139" i="24"/>
  <c r="EV139" i="24" s="1"/>
  <c r="CY139" i="24"/>
  <c r="CW139" i="24"/>
  <c r="CX139" i="24" s="1"/>
  <c r="DQ139" i="24"/>
  <c r="CU264" i="24"/>
  <c r="CL264" i="24"/>
  <c r="CW264" i="24"/>
  <c r="CX264" i="24" s="1"/>
  <c r="CY264" i="24"/>
  <c r="DQ264" i="24"/>
  <c r="ES148" i="24"/>
  <c r="EV148" i="24" s="1"/>
  <c r="CL148" i="24"/>
  <c r="CW148" i="24"/>
  <c r="CX148" i="24" s="1"/>
  <c r="DQ148" i="24"/>
  <c r="CY148" i="24"/>
  <c r="CU148" i="24"/>
  <c r="DQ81" i="24"/>
  <c r="ES81" i="24"/>
  <c r="EV81" i="24" s="1"/>
  <c r="CY81" i="24"/>
  <c r="CZ81" i="24" s="1"/>
  <c r="CU81" i="24"/>
  <c r="CV81" i="24" s="1"/>
  <c r="CL81" i="24"/>
  <c r="CW81" i="24"/>
  <c r="CX81" i="24" s="1"/>
  <c r="ES179" i="24"/>
  <c r="EV179" i="24" s="1"/>
  <c r="CL179" i="24"/>
  <c r="CY179" i="24"/>
  <c r="DQ179" i="24"/>
  <c r="CW179" i="24"/>
  <c r="CX179" i="24" s="1"/>
  <c r="CU179" i="24"/>
  <c r="CL132" i="24"/>
  <c r="ES132" i="24"/>
  <c r="EV132" i="24" s="1"/>
  <c r="CW132" i="24"/>
  <c r="CX132" i="24" s="1"/>
  <c r="DQ132" i="24"/>
  <c r="CY132" i="24"/>
  <c r="CU132" i="24"/>
  <c r="DQ307" i="24"/>
  <c r="CW307" i="24"/>
  <c r="CX307" i="24" s="1"/>
  <c r="CL307" i="24"/>
  <c r="CY307" i="24"/>
  <c r="CU307" i="24"/>
  <c r="ES161" i="24"/>
  <c r="EV161" i="24" s="1"/>
  <c r="CY161" i="24"/>
  <c r="DQ161" i="24"/>
  <c r="CL161" i="24"/>
  <c r="CW161" i="24"/>
  <c r="CX161" i="24" s="1"/>
  <c r="CU161" i="24"/>
  <c r="ES98" i="24"/>
  <c r="EV98" i="24" s="1"/>
  <c r="CL98" i="24"/>
  <c r="DQ98" i="24"/>
  <c r="CW98" i="24"/>
  <c r="CX98" i="24" s="1"/>
  <c r="CY98" i="24"/>
  <c r="CU98" i="24"/>
  <c r="CV98" i="24" s="1"/>
  <c r="DQ171" i="24"/>
  <c r="CL171" i="24"/>
  <c r="ES171" i="24"/>
  <c r="EV171" i="24" s="1"/>
  <c r="CY171" i="24"/>
  <c r="CZ171" i="24" s="1"/>
  <c r="CW171" i="24"/>
  <c r="CX171" i="24" s="1"/>
  <c r="CU171" i="24"/>
  <c r="CW306" i="24"/>
  <c r="CX306" i="24" s="1"/>
  <c r="CL306" i="24"/>
  <c r="CU306" i="24"/>
  <c r="CY306" i="24"/>
  <c r="DQ306" i="24"/>
  <c r="DQ267" i="24"/>
  <c r="CL267" i="24"/>
  <c r="CY267" i="24"/>
  <c r="CU267" i="24"/>
  <c r="CW267" i="24"/>
  <c r="CX267" i="24" s="1"/>
  <c r="CW233" i="24"/>
  <c r="CX233" i="24" s="1"/>
  <c r="CU233" i="24"/>
  <c r="CL233" i="24"/>
  <c r="DQ233" i="24"/>
  <c r="CY233" i="24"/>
  <c r="DQ309" i="24"/>
  <c r="CY309" i="24"/>
  <c r="CL309" i="24"/>
  <c r="CW309" i="24"/>
  <c r="CX309" i="24" s="1"/>
  <c r="CU309" i="24"/>
  <c r="CL232" i="24"/>
  <c r="DQ232" i="24"/>
  <c r="CY232" i="24"/>
  <c r="CZ232" i="24" s="1"/>
  <c r="CW232" i="24"/>
  <c r="CX232" i="24" s="1"/>
  <c r="CU232" i="24"/>
  <c r="CL297" i="24"/>
  <c r="CU297" i="24"/>
  <c r="DQ297" i="24"/>
  <c r="CY297" i="24"/>
  <c r="CW297" i="24"/>
  <c r="CX297" i="24" s="1"/>
  <c r="CL208" i="24"/>
  <c r="CW208" i="24"/>
  <c r="CX208" i="24" s="1"/>
  <c r="DQ208" i="24"/>
  <c r="ES208" i="24"/>
  <c r="EV208" i="24" s="1"/>
  <c r="CY208" i="24"/>
  <c r="CU208" i="24"/>
  <c r="CL259" i="24"/>
  <c r="DQ259" i="24"/>
  <c r="CY259" i="24"/>
  <c r="CW259" i="24"/>
  <c r="CX259" i="24" s="1"/>
  <c r="CU259" i="24"/>
  <c r="DQ219" i="24"/>
  <c r="CU219" i="24"/>
  <c r="CL219" i="24"/>
  <c r="CW219" i="24"/>
  <c r="CX219" i="24" s="1"/>
  <c r="CY219" i="24"/>
  <c r="CL287" i="24"/>
  <c r="CW287" i="24"/>
  <c r="CX287" i="24" s="1"/>
  <c r="DQ287" i="24"/>
  <c r="CY287" i="24"/>
  <c r="CU287" i="24"/>
  <c r="CW190" i="24"/>
  <c r="CX190" i="24" s="1"/>
  <c r="CL190" i="24"/>
  <c r="DQ190" i="24"/>
  <c r="ES190" i="24"/>
  <c r="EV190" i="24" s="1"/>
  <c r="CU190" i="24"/>
  <c r="CY190" i="24"/>
  <c r="CW238" i="24"/>
  <c r="CX238" i="24" s="1"/>
  <c r="CL238" i="24"/>
  <c r="DQ238" i="24"/>
  <c r="CU238" i="24"/>
  <c r="CY238" i="24"/>
  <c r="CU302" i="24"/>
  <c r="DQ302" i="24"/>
  <c r="CW302" i="24"/>
  <c r="CX302" i="24" s="1"/>
  <c r="CL302" i="24"/>
  <c r="CY302" i="24"/>
  <c r="DQ300" i="24"/>
  <c r="CL300" i="24"/>
  <c r="CW300" i="24"/>
  <c r="CX300" i="24" s="1"/>
  <c r="CY300" i="24"/>
  <c r="CU300" i="24"/>
  <c r="J77" i="23"/>
  <c r="L77" i="23" s="1"/>
  <c r="B25" i="2"/>
  <c r="AY7" i="19"/>
  <c r="BD7" i="19" s="1"/>
  <c r="BN7" i="19"/>
  <c r="AY8" i="19"/>
  <c r="BC8" i="19" s="1"/>
  <c r="BN8" i="19"/>
  <c r="AY6" i="19"/>
  <c r="BJ6" i="19" s="1"/>
  <c r="BN6" i="19"/>
  <c r="AY9" i="19"/>
  <c r="BN9" i="19"/>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79" i="2" s="1"/>
  <c r="B243" i="2" s="1"/>
  <c r="J84" i="23"/>
  <c r="L84" i="23" s="1"/>
  <c r="G81" i="23"/>
  <c r="H81" i="23" s="1"/>
  <c r="G52" i="23"/>
  <c r="H52" i="23" s="1"/>
  <c r="G87" i="23"/>
  <c r="H87" i="23" s="1"/>
  <c r="G47" i="23"/>
  <c r="H47" i="23" s="1"/>
  <c r="G15" i="23"/>
  <c r="H15" i="23" s="1"/>
  <c r="G34" i="23"/>
  <c r="H34" i="23" s="1"/>
  <c r="Q34" i="23"/>
  <c r="Q44" i="23"/>
  <c r="Q106" i="23"/>
  <c r="Q14" i="23"/>
  <c r="Q81" i="23"/>
  <c r="Q91" i="23"/>
  <c r="Q6" i="23"/>
  <c r="Q48" i="23"/>
  <c r="Q82" i="23"/>
  <c r="Q93" i="23"/>
  <c r="Q22" i="23"/>
  <c r="Q99" i="23"/>
  <c r="Q42" i="23"/>
  <c r="Q35" i="23"/>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5" i="24"/>
  <c r="Q23" i="23"/>
  <c r="Q59" i="23"/>
  <c r="Q13" i="23"/>
  <c r="Q76" i="23"/>
  <c r="Q17" i="23"/>
  <c r="Q96" i="23"/>
  <c r="Q21" i="23"/>
  <c r="Q87" i="23"/>
  <c r="Q94" i="23"/>
  <c r="Q71" i="23"/>
  <c r="Q84" i="23"/>
  <c r="Q24" i="23"/>
  <c r="Q97" i="23"/>
  <c r="Q54" i="23"/>
  <c r="Q103" i="23"/>
  <c r="Q20" i="23"/>
  <c r="Q31" i="23"/>
  <c r="Q10" i="23"/>
  <c r="Q40" i="23"/>
  <c r="Q64" i="23"/>
  <c r="Q61" i="23"/>
  <c r="Q57" i="23"/>
  <c r="Q62" i="23"/>
  <c r="Q67" i="23"/>
  <c r="Q36" i="23"/>
  <c r="Q85" i="23"/>
  <c r="Q68" i="23"/>
  <c r="Q86" i="23"/>
  <c r="Q73" i="23"/>
  <c r="Q104" i="23"/>
  <c r="Q100" i="23"/>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53" i="2"/>
  <c r="B253" i="2"/>
  <c r="B169" i="2"/>
  <c r="A212" i="2"/>
  <c r="F253" i="2"/>
  <c r="B254" i="2"/>
  <c r="H254" i="2"/>
  <c r="C49" i="16" s="1"/>
  <c r="F166" i="2"/>
  <c r="E51" i="1" s="1"/>
  <c r="A213" i="2" s="1"/>
  <c r="G166" i="2"/>
  <c r="G254" i="2"/>
  <c r="C254" i="2"/>
  <c r="A254" i="2" s="1"/>
  <c r="B168" i="2"/>
  <c r="AO2" i="19"/>
  <c r="H257" i="2"/>
  <c r="F257" i="2"/>
  <c r="K57" i="16"/>
  <c r="M57" i="16" s="1"/>
  <c r="B219" i="2"/>
  <c r="A219" i="2"/>
  <c r="E43" i="1"/>
  <c r="A2" i="21"/>
  <c r="K54" i="2"/>
  <c r="G89" i="19"/>
  <c r="G64" i="19"/>
  <c r="G65" i="19"/>
  <c r="G90" i="19"/>
  <c r="G91" i="19"/>
  <c r="AY106" i="19"/>
  <c r="G66" i="19"/>
  <c r="BN106" i="19"/>
  <c r="DB212" i="25" l="1"/>
  <c r="CV110" i="25"/>
  <c r="B42" i="2"/>
  <c r="CW110" i="25"/>
  <c r="CO110" i="25" s="1"/>
  <c r="DH110" i="25" s="1"/>
  <c r="CU110" i="25"/>
  <c r="FD110" i="25"/>
  <c r="B96" i="2"/>
  <c r="B97" i="2" s="1"/>
  <c r="L6" i="1"/>
  <c r="M76" i="1"/>
  <c r="L76" i="1"/>
  <c r="L77" i="1" s="1"/>
  <c r="E75" i="1"/>
  <c r="B38" i="2"/>
  <c r="D25" i="29"/>
  <c r="Q3" i="29" s="1"/>
  <c r="B27" i="29"/>
  <c r="D27" i="29" s="1"/>
  <c r="DH212" i="25"/>
  <c r="DA212" i="25"/>
  <c r="DD212" i="25" s="1"/>
  <c r="DE212" i="25" s="1"/>
  <c r="DF212" i="25" s="1"/>
  <c r="DM212" i="25" s="1"/>
  <c r="DW212" i="25" s="1"/>
  <c r="DS193" i="25"/>
  <c r="DS204" i="25"/>
  <c r="DS203" i="25"/>
  <c r="DS99" i="25"/>
  <c r="DS96" i="25"/>
  <c r="DS194" i="25"/>
  <c r="DS206" i="25"/>
  <c r="DS209" i="25"/>
  <c r="DS100" i="25"/>
  <c r="DS201" i="25"/>
  <c r="DS205" i="25"/>
  <c r="DS105" i="25"/>
  <c r="DS103" i="25"/>
  <c r="DS198" i="25"/>
  <c r="DS102" i="25"/>
  <c r="DS202" i="25"/>
  <c r="DS200" i="25"/>
  <c r="DS199" i="25"/>
  <c r="DS196" i="25"/>
  <c r="DS97" i="25"/>
  <c r="DS197" i="25"/>
  <c r="DS208" i="25"/>
  <c r="DS101" i="25"/>
  <c r="DS207" i="25"/>
  <c r="DS210" i="25"/>
  <c r="DS98" i="25"/>
  <c r="DS104" i="25"/>
  <c r="DS195" i="25"/>
  <c r="DS91" i="25"/>
  <c r="DS94" i="25"/>
  <c r="DS93" i="25"/>
  <c r="DS95" i="25"/>
  <c r="DS92" i="25"/>
  <c r="DT120" i="24"/>
  <c r="DT189" i="24"/>
  <c r="DT157" i="24"/>
  <c r="DT153" i="24"/>
  <c r="DT193" i="24"/>
  <c r="DT204" i="24"/>
  <c r="DT202" i="24"/>
  <c r="DT155" i="24"/>
  <c r="DT198" i="24"/>
  <c r="DT180" i="24"/>
  <c r="DT117" i="24"/>
  <c r="DT174" i="24"/>
  <c r="DT139" i="24"/>
  <c r="DT192" i="24"/>
  <c r="DT115" i="24"/>
  <c r="DT133" i="24"/>
  <c r="DT143" i="24"/>
  <c r="DT129" i="24"/>
  <c r="DT183" i="24"/>
  <c r="DT134" i="24"/>
  <c r="DT184" i="24"/>
  <c r="DT137" i="24"/>
  <c r="DT195" i="24"/>
  <c r="DT128" i="24"/>
  <c r="DT140" i="24"/>
  <c r="DT122" i="24"/>
  <c r="DT208" i="24"/>
  <c r="DT179" i="24"/>
  <c r="DT123" i="24"/>
  <c r="DT150" i="24"/>
  <c r="DT116" i="24"/>
  <c r="DT191" i="24"/>
  <c r="DT112" i="24"/>
  <c r="DT170" i="24"/>
  <c r="DT169" i="24"/>
  <c r="DT126" i="24"/>
  <c r="DT163" i="24"/>
  <c r="DT197" i="24"/>
  <c r="DT121" i="24"/>
  <c r="DT159" i="24"/>
  <c r="DT141" i="24"/>
  <c r="DT201" i="24"/>
  <c r="DT138" i="24"/>
  <c r="DT118" i="24"/>
  <c r="DT200" i="24"/>
  <c r="DT111" i="24"/>
  <c r="DT182" i="24"/>
  <c r="DT152" i="24"/>
  <c r="DT210" i="24"/>
  <c r="H67" i="2" s="1"/>
  <c r="DT147" i="24"/>
  <c r="DT149" i="24"/>
  <c r="DT181" i="24"/>
  <c r="DT135" i="24"/>
  <c r="DT144" i="24"/>
  <c r="DT158" i="24"/>
  <c r="DT130" i="24"/>
  <c r="DT190" i="24"/>
  <c r="DT167" i="24"/>
  <c r="DT119" i="24"/>
  <c r="DT206" i="24"/>
  <c r="DT146" i="24"/>
  <c r="DT156" i="24"/>
  <c r="DT185" i="24"/>
  <c r="DT199" i="24"/>
  <c r="DT131" i="24"/>
  <c r="DT207" i="24"/>
  <c r="DT176" i="24"/>
  <c r="DT124" i="24"/>
  <c r="DT151" i="24"/>
  <c r="DT171" i="24"/>
  <c r="DT132" i="24"/>
  <c r="DT209" i="24"/>
  <c r="DT113" i="24"/>
  <c r="DT173" i="24"/>
  <c r="DT188" i="24"/>
  <c r="DT148" i="24"/>
  <c r="DT203" i="24"/>
  <c r="DT136" i="24"/>
  <c r="DT162" i="24"/>
  <c r="DT187" i="24"/>
  <c r="DT172" i="24"/>
  <c r="DT154" i="24"/>
  <c r="DT186" i="24"/>
  <c r="DT165" i="24"/>
  <c r="DT178" i="24"/>
  <c r="DT142" i="24"/>
  <c r="DT196" i="24"/>
  <c r="DT161" i="24"/>
  <c r="DT177" i="24"/>
  <c r="DT205" i="24"/>
  <c r="DT194" i="24"/>
  <c r="DT164" i="24"/>
  <c r="DT175" i="24"/>
  <c r="DT166" i="24"/>
  <c r="DT160" i="24"/>
  <c r="DT125" i="24"/>
  <c r="DT145" i="24"/>
  <c r="DT114" i="24"/>
  <c r="DT127" i="24"/>
  <c r="DT168" i="24"/>
  <c r="FD266" i="25"/>
  <c r="FD232" i="25"/>
  <c r="FD305" i="25"/>
  <c r="FD235" i="25"/>
  <c r="FD216" i="25"/>
  <c r="FD241" i="25"/>
  <c r="FD269" i="25"/>
  <c r="FD277" i="25"/>
  <c r="FD237" i="25"/>
  <c r="FD276" i="25"/>
  <c r="FD307" i="25"/>
  <c r="FD238" i="25"/>
  <c r="FD242" i="25"/>
  <c r="FD226" i="25"/>
  <c r="FD294" i="25"/>
  <c r="FD275" i="25"/>
  <c r="FD295" i="25"/>
  <c r="FD154" i="25"/>
  <c r="FD250" i="25"/>
  <c r="FD306" i="25"/>
  <c r="FD262" i="25"/>
  <c r="FD280" i="25"/>
  <c r="FD244" i="25"/>
  <c r="FD285" i="25"/>
  <c r="FD283" i="25"/>
  <c r="FD234" i="25"/>
  <c r="FD274" i="25"/>
  <c r="FD230" i="25"/>
  <c r="FD259" i="25"/>
  <c r="FD300" i="25"/>
  <c r="FD292" i="25"/>
  <c r="FD249" i="25"/>
  <c r="FD314" i="25"/>
  <c r="FD248" i="25"/>
  <c r="FD222" i="25"/>
  <c r="FD291" i="25"/>
  <c r="FD281" i="25"/>
  <c r="FD279" i="25"/>
  <c r="FD299" i="25"/>
  <c r="FD217" i="25"/>
  <c r="FD229" i="25"/>
  <c r="FD296" i="25"/>
  <c r="FD264" i="25"/>
  <c r="FD272" i="25"/>
  <c r="FD270" i="25"/>
  <c r="FD255" i="25"/>
  <c r="FD219" i="25"/>
  <c r="FD312" i="25"/>
  <c r="FD287" i="25"/>
  <c r="FD289" i="25"/>
  <c r="FD223" i="25"/>
  <c r="FD302" i="25"/>
  <c r="FD290" i="25"/>
  <c r="FD254" i="25"/>
  <c r="FD227" i="25"/>
  <c r="FD245" i="25"/>
  <c r="FD231" i="25"/>
  <c r="FD282" i="25"/>
  <c r="FD261" i="25"/>
  <c r="FD288" i="25"/>
  <c r="FD304" i="25"/>
  <c r="FD268" i="25"/>
  <c r="FD310" i="25"/>
  <c r="FD253" i="25"/>
  <c r="FD278" i="25"/>
  <c r="FD303" i="25"/>
  <c r="FD256" i="25"/>
  <c r="FD284" i="25"/>
  <c r="FD221" i="25"/>
  <c r="FD308" i="25"/>
  <c r="FD228" i="25"/>
  <c r="FD313" i="25"/>
  <c r="FD301" i="25"/>
  <c r="FD267" i="25"/>
  <c r="FD240" i="25"/>
  <c r="FD239" i="25"/>
  <c r="FD293" i="25"/>
  <c r="FD263" i="25"/>
  <c r="FD316" i="25"/>
  <c r="FD252" i="25"/>
  <c r="FD286" i="25"/>
  <c r="FD246" i="25"/>
  <c r="FD224" i="25"/>
  <c r="FD273" i="25"/>
  <c r="FD311" i="25"/>
  <c r="FD257" i="25"/>
  <c r="FD265" i="25"/>
  <c r="FD258" i="25"/>
  <c r="FD297" i="25"/>
  <c r="FD271" i="25"/>
  <c r="FD236" i="25"/>
  <c r="FD218" i="25"/>
  <c r="FD220" i="25"/>
  <c r="FD298" i="25"/>
  <c r="FD260" i="25"/>
  <c r="FD309" i="25"/>
  <c r="FD315" i="25"/>
  <c r="FD247" i="25"/>
  <c r="FD251" i="25"/>
  <c r="B40" i="2"/>
  <c r="FD112" i="25"/>
  <c r="DL112" i="25"/>
  <c r="DS112" i="25"/>
  <c r="DA112" i="25"/>
  <c r="DD112" i="25" s="1"/>
  <c r="DE112" i="25" s="1"/>
  <c r="DF112" i="25" s="1"/>
  <c r="DH112" i="25"/>
  <c r="CY112" i="25"/>
  <c r="CZ112" i="25"/>
  <c r="CZ110" i="24"/>
  <c r="DC110" i="24" s="1"/>
  <c r="DN5" i="24"/>
  <c r="DZ5" i="24" s="1"/>
  <c r="FD27" i="25"/>
  <c r="CW216" i="25"/>
  <c r="FD51" i="25"/>
  <c r="DS24" i="25"/>
  <c r="FD31" i="25"/>
  <c r="CV216" i="25"/>
  <c r="CU216" i="25"/>
  <c r="DS87" i="25"/>
  <c r="DN110" i="24"/>
  <c r="DX110" i="24" s="1"/>
  <c r="DJ5" i="24"/>
  <c r="DK5" i="24"/>
  <c r="DJ110" i="24"/>
  <c r="DK110" i="24"/>
  <c r="DI216" i="24"/>
  <c r="DM216" i="24"/>
  <c r="DB216" i="24"/>
  <c r="DE216" i="24" s="1"/>
  <c r="DF216" i="24" s="1"/>
  <c r="DG216" i="24" s="1"/>
  <c r="DA216" i="24"/>
  <c r="CZ216" i="24"/>
  <c r="DT35" i="24"/>
  <c r="DT289" i="24"/>
  <c r="DT221" i="24"/>
  <c r="DT37" i="24"/>
  <c r="DT50" i="24"/>
  <c r="FD19" i="25"/>
  <c r="DS9" i="25"/>
  <c r="DS83" i="25"/>
  <c r="DS49" i="25"/>
  <c r="DS245" i="25"/>
  <c r="DA180" i="25"/>
  <c r="DD180" i="25" s="1"/>
  <c r="DE180" i="25" s="1"/>
  <c r="DF180" i="25" s="1"/>
  <c r="DH180" i="25"/>
  <c r="DA122" i="25"/>
  <c r="DD122" i="25" s="1"/>
  <c r="DE122" i="25" s="1"/>
  <c r="DF122" i="25" s="1"/>
  <c r="DH122" i="25"/>
  <c r="DL271" i="25"/>
  <c r="DS271" i="25"/>
  <c r="DL231" i="25"/>
  <c r="DS231" i="25"/>
  <c r="DS166" i="25"/>
  <c r="FD166" i="25"/>
  <c r="DL166" i="25"/>
  <c r="DS279" i="25"/>
  <c r="DL279" i="25"/>
  <c r="CY204" i="25"/>
  <c r="CZ204" i="25"/>
  <c r="CY165" i="25"/>
  <c r="CZ165" i="25"/>
  <c r="DL274" i="25"/>
  <c r="DS274" i="25"/>
  <c r="CY32" i="25"/>
  <c r="CZ32" i="25"/>
  <c r="CZ101" i="25"/>
  <c r="CY101" i="25"/>
  <c r="DL36" i="25"/>
  <c r="FD36" i="25"/>
  <c r="DS36" i="25"/>
  <c r="DA203" i="25"/>
  <c r="DD203" i="25" s="1"/>
  <c r="DE203" i="25" s="1"/>
  <c r="DF203" i="25" s="1"/>
  <c r="DH203" i="25"/>
  <c r="CY315" i="25"/>
  <c r="CZ315" i="25"/>
  <c r="DA233" i="25"/>
  <c r="DD233" i="25" s="1"/>
  <c r="DE233" i="25" s="1"/>
  <c r="DF233" i="25" s="1"/>
  <c r="DH233" i="25"/>
  <c r="DA241" i="25"/>
  <c r="DD241" i="25" s="1"/>
  <c r="DE241" i="25" s="1"/>
  <c r="DF241" i="25" s="1"/>
  <c r="DH241" i="25"/>
  <c r="DA57" i="25"/>
  <c r="DD57" i="25" s="1"/>
  <c r="DE57" i="25" s="1"/>
  <c r="DF57" i="25" s="1"/>
  <c r="DH57" i="25"/>
  <c r="DH276" i="25"/>
  <c r="DA276" i="25"/>
  <c r="DD276" i="25" s="1"/>
  <c r="DE276" i="25" s="1"/>
  <c r="DF276" i="25" s="1"/>
  <c r="CZ7" i="25"/>
  <c r="DB7" i="25" s="1"/>
  <c r="DH7" i="25"/>
  <c r="DA7" i="25"/>
  <c r="DD7" i="25" s="1"/>
  <c r="DE7" i="25" s="1"/>
  <c r="DF7" i="25" s="1"/>
  <c r="DM7" i="25" s="1"/>
  <c r="CZ278" i="25"/>
  <c r="CY278" i="25"/>
  <c r="CY221" i="25"/>
  <c r="CZ221" i="25"/>
  <c r="DL297" i="25"/>
  <c r="DS264" i="25"/>
  <c r="DL264" i="25"/>
  <c r="CY304" i="25"/>
  <c r="CZ304" i="25"/>
  <c r="DL127" i="25"/>
  <c r="FD127" i="25"/>
  <c r="DS127" i="25"/>
  <c r="CZ201" i="25"/>
  <c r="CY201" i="25"/>
  <c r="CY99" i="25"/>
  <c r="CZ99" i="25"/>
  <c r="DL62" i="25"/>
  <c r="DS62" i="25"/>
  <c r="FD62" i="25"/>
  <c r="CZ144" i="25"/>
  <c r="CY144" i="25"/>
  <c r="FD116" i="25"/>
  <c r="DS116" i="25"/>
  <c r="DL116" i="25"/>
  <c r="DS113" i="25"/>
  <c r="FD113" i="25"/>
  <c r="DL113" i="25"/>
  <c r="CY160" i="25"/>
  <c r="CZ160" i="25"/>
  <c r="FD26" i="25"/>
  <c r="DS26" i="25"/>
  <c r="DL26" i="25"/>
  <c r="DL240" i="25"/>
  <c r="DS240" i="25"/>
  <c r="DH206" i="25"/>
  <c r="DA206" i="25"/>
  <c r="DD206" i="25" s="1"/>
  <c r="DE206" i="25" s="1"/>
  <c r="DF206" i="25" s="1"/>
  <c r="DA60" i="25"/>
  <c r="DD60" i="25" s="1"/>
  <c r="DE60" i="25" s="1"/>
  <c r="DF60" i="25" s="1"/>
  <c r="DH60" i="25"/>
  <c r="DH269" i="25"/>
  <c r="DA269" i="25"/>
  <c r="DD269" i="25" s="1"/>
  <c r="DE269" i="25" s="1"/>
  <c r="DF269" i="25" s="1"/>
  <c r="DH14" i="25"/>
  <c r="DA14" i="25"/>
  <c r="DD14" i="25" s="1"/>
  <c r="DE14" i="25" s="1"/>
  <c r="DF14" i="25" s="1"/>
  <c r="FD50" i="25"/>
  <c r="DL50" i="25"/>
  <c r="DS50" i="25"/>
  <c r="DH174" i="25"/>
  <c r="DA174" i="25"/>
  <c r="DD174" i="25" s="1"/>
  <c r="DE174" i="25" s="1"/>
  <c r="DF174" i="25" s="1"/>
  <c r="DH92" i="25"/>
  <c r="DA92" i="25"/>
  <c r="DD92" i="25" s="1"/>
  <c r="DE92" i="25" s="1"/>
  <c r="DF92" i="25" s="1"/>
  <c r="DA239" i="25"/>
  <c r="DD239" i="25" s="1"/>
  <c r="DE239" i="25" s="1"/>
  <c r="DF239" i="25" s="1"/>
  <c r="DH239" i="25"/>
  <c r="CZ164" i="25"/>
  <c r="DB164" i="25" s="1"/>
  <c r="DH164" i="25"/>
  <c r="DA164" i="25"/>
  <c r="DD164" i="25" s="1"/>
  <c r="DE164" i="25" s="1"/>
  <c r="DF164" i="25" s="1"/>
  <c r="DL220" i="25"/>
  <c r="DS220" i="25"/>
  <c r="CY186" i="25"/>
  <c r="CZ186" i="25"/>
  <c r="CY271" i="25"/>
  <c r="CZ271" i="25"/>
  <c r="DS311" i="25"/>
  <c r="DL311" i="25"/>
  <c r="DL261" i="25"/>
  <c r="DS261" i="25"/>
  <c r="DS282" i="25"/>
  <c r="DL282" i="25"/>
  <c r="CZ134" i="25"/>
  <c r="CY134" i="25"/>
  <c r="CZ312" i="25"/>
  <c r="CY312" i="25"/>
  <c r="CZ196" i="25"/>
  <c r="CY196" i="25"/>
  <c r="CY61" i="25"/>
  <c r="CZ61" i="25"/>
  <c r="DH56" i="25"/>
  <c r="DA56" i="25"/>
  <c r="DD56" i="25" s="1"/>
  <c r="DE56" i="25" s="1"/>
  <c r="DF56" i="25" s="1"/>
  <c r="DA190" i="25"/>
  <c r="DD190" i="25" s="1"/>
  <c r="DE190" i="25" s="1"/>
  <c r="DF190" i="25" s="1"/>
  <c r="DH190" i="25"/>
  <c r="DH147" i="25"/>
  <c r="DA147" i="25"/>
  <c r="DD147" i="25" s="1"/>
  <c r="DE147" i="25" s="1"/>
  <c r="DF147" i="25" s="1"/>
  <c r="DA32" i="25"/>
  <c r="DD32" i="25" s="1"/>
  <c r="DE32" i="25" s="1"/>
  <c r="DF32" i="25" s="1"/>
  <c r="DH32" i="25"/>
  <c r="DA210" i="25"/>
  <c r="DD210" i="25" s="1"/>
  <c r="DE210" i="25" s="1"/>
  <c r="DF210" i="25" s="1"/>
  <c r="DH210" i="25"/>
  <c r="DA78" i="25"/>
  <c r="DD78" i="25" s="1"/>
  <c r="DE78" i="25" s="1"/>
  <c r="DF78" i="25" s="1"/>
  <c r="DH78" i="25"/>
  <c r="DL221" i="25"/>
  <c r="DS221" i="25"/>
  <c r="CZ206" i="25"/>
  <c r="CY206" i="25"/>
  <c r="DL304" i="25"/>
  <c r="DS304" i="25"/>
  <c r="CY62" i="25"/>
  <c r="CZ62" i="25"/>
  <c r="CY35" i="25"/>
  <c r="CZ35" i="25"/>
  <c r="CY31" i="25"/>
  <c r="CZ31" i="25"/>
  <c r="DL160" i="25"/>
  <c r="FD160" i="25"/>
  <c r="DS160" i="25"/>
  <c r="DH105" i="25"/>
  <c r="DA105" i="25"/>
  <c r="DD105" i="25" s="1"/>
  <c r="DE105" i="25" s="1"/>
  <c r="DF105" i="25" s="1"/>
  <c r="DH15" i="25"/>
  <c r="DA15" i="25"/>
  <c r="DD15" i="25" s="1"/>
  <c r="DE15" i="25" s="1"/>
  <c r="DF15" i="25" s="1"/>
  <c r="DL219" i="25"/>
  <c r="DS219" i="25"/>
  <c r="CY16" i="25"/>
  <c r="CZ16" i="25"/>
  <c r="CZ226" i="25"/>
  <c r="DB226" i="25" s="1"/>
  <c r="DH226" i="25"/>
  <c r="DA226" i="25"/>
  <c r="DD226" i="25" s="1"/>
  <c r="DE226" i="25" s="1"/>
  <c r="DF226" i="25" s="1"/>
  <c r="DH59" i="25"/>
  <c r="DA59" i="25"/>
  <c r="DD59" i="25" s="1"/>
  <c r="DE59" i="25" s="1"/>
  <c r="DF59" i="25" s="1"/>
  <c r="CY167" i="25"/>
  <c r="CZ167" i="25"/>
  <c r="CZ229" i="25"/>
  <c r="CY229" i="25"/>
  <c r="DL202" i="25"/>
  <c r="FD202" i="25"/>
  <c r="DL224" i="25"/>
  <c r="DS224" i="25"/>
  <c r="DS123" i="25"/>
  <c r="DL123" i="25"/>
  <c r="FD123" i="25"/>
  <c r="DL150" i="25"/>
  <c r="DS150" i="25"/>
  <c r="FD150" i="25"/>
  <c r="DL41" i="25"/>
  <c r="FD41" i="25"/>
  <c r="DS41" i="25"/>
  <c r="DH191" i="25"/>
  <c r="DA191" i="25"/>
  <c r="DD191" i="25" s="1"/>
  <c r="DE191" i="25" s="1"/>
  <c r="DF191" i="25" s="1"/>
  <c r="DA275" i="25"/>
  <c r="DD275" i="25" s="1"/>
  <c r="DE275" i="25" s="1"/>
  <c r="DF275" i="25" s="1"/>
  <c r="DH275" i="25"/>
  <c r="DH45" i="25"/>
  <c r="DA45" i="25"/>
  <c r="DD45" i="25" s="1"/>
  <c r="DE45" i="25" s="1"/>
  <c r="DF45" i="25" s="1"/>
  <c r="DS299" i="25"/>
  <c r="DL299" i="25"/>
  <c r="DL291" i="25"/>
  <c r="DS291" i="25"/>
  <c r="DS124" i="25"/>
  <c r="FD124" i="25"/>
  <c r="DL124" i="25"/>
  <c r="DL32" i="25"/>
  <c r="DS32" i="25"/>
  <c r="FD32" i="25"/>
  <c r="DS134" i="25"/>
  <c r="FD134" i="25"/>
  <c r="DL134" i="25"/>
  <c r="DL312" i="25"/>
  <c r="DS312" i="25"/>
  <c r="DL286" i="25"/>
  <c r="DS286" i="25"/>
  <c r="FD196" i="25"/>
  <c r="DL196" i="25"/>
  <c r="CZ67" i="25"/>
  <c r="CY67" i="25"/>
  <c r="CY103" i="25"/>
  <c r="CZ103" i="25"/>
  <c r="DL131" i="25"/>
  <c r="DS131" i="25"/>
  <c r="FD131" i="25"/>
  <c r="DH67" i="25"/>
  <c r="DA67" i="25"/>
  <c r="DD67" i="25" s="1"/>
  <c r="DE67" i="25" s="1"/>
  <c r="DF67" i="25" s="1"/>
  <c r="DL236" i="25"/>
  <c r="DS236" i="25"/>
  <c r="CY234" i="25"/>
  <c r="CZ234" i="25"/>
  <c r="DH83" i="25"/>
  <c r="DA83" i="25"/>
  <c r="DD83" i="25" s="1"/>
  <c r="DE83" i="25" s="1"/>
  <c r="DF83" i="25" s="1"/>
  <c r="DA80" i="25"/>
  <c r="DD80" i="25" s="1"/>
  <c r="DE80" i="25" s="1"/>
  <c r="DF80" i="25" s="1"/>
  <c r="DH80" i="25"/>
  <c r="DH42" i="25"/>
  <c r="DA42" i="25"/>
  <c r="DD42" i="25" s="1"/>
  <c r="DE42" i="25" s="1"/>
  <c r="DF42" i="25" s="1"/>
  <c r="DH302" i="25"/>
  <c r="DA302" i="25"/>
  <c r="DD302" i="25" s="1"/>
  <c r="DE302" i="25" s="1"/>
  <c r="DF302" i="25" s="1"/>
  <c r="DS303" i="25"/>
  <c r="DL303" i="25"/>
  <c r="CY264" i="25"/>
  <c r="CZ264" i="25"/>
  <c r="FD201" i="25"/>
  <c r="DL201" i="25"/>
  <c r="FD54" i="25"/>
  <c r="DS54" i="25"/>
  <c r="DL54" i="25"/>
  <c r="DL265" i="25"/>
  <c r="DS265" i="25"/>
  <c r="FD144" i="25"/>
  <c r="DS144" i="25"/>
  <c r="DL144" i="25"/>
  <c r="CY97" i="25"/>
  <c r="CZ97" i="25"/>
  <c r="CZ26" i="25"/>
  <c r="CY26" i="25"/>
  <c r="DH277" i="25"/>
  <c r="DA277" i="25"/>
  <c r="DD277" i="25" s="1"/>
  <c r="DE277" i="25" s="1"/>
  <c r="DF277" i="25" s="1"/>
  <c r="DH304" i="25"/>
  <c r="DA304" i="25"/>
  <c r="DD304" i="25" s="1"/>
  <c r="DE304" i="25" s="1"/>
  <c r="DF304" i="25" s="1"/>
  <c r="DA97" i="25"/>
  <c r="DD97" i="25" s="1"/>
  <c r="DE97" i="25" s="1"/>
  <c r="DF97" i="25" s="1"/>
  <c r="DH97" i="25"/>
  <c r="DH98" i="25"/>
  <c r="DA98" i="25"/>
  <c r="DD98" i="25" s="1"/>
  <c r="DE98" i="25" s="1"/>
  <c r="DF98" i="25" s="1"/>
  <c r="DH35" i="25"/>
  <c r="DA35" i="25"/>
  <c r="DD35" i="25" s="1"/>
  <c r="DE35" i="25" s="1"/>
  <c r="DF35" i="25" s="1"/>
  <c r="DH158" i="25"/>
  <c r="DA158" i="25"/>
  <c r="DD158" i="25" s="1"/>
  <c r="DE158" i="25" s="1"/>
  <c r="DF158" i="25" s="1"/>
  <c r="CZ299" i="25"/>
  <c r="CY299" i="25"/>
  <c r="CY311" i="25"/>
  <c r="CZ311" i="25"/>
  <c r="CY291" i="25"/>
  <c r="CZ291" i="25"/>
  <c r="DL56" i="25"/>
  <c r="DS56" i="25"/>
  <c r="FD56" i="25"/>
  <c r="CY286" i="25"/>
  <c r="CZ286" i="25"/>
  <c r="CZ131" i="25"/>
  <c r="CY131" i="25"/>
  <c r="CZ132" i="25"/>
  <c r="CY132" i="25"/>
  <c r="CY163" i="25"/>
  <c r="CZ163" i="25"/>
  <c r="CZ259" i="25"/>
  <c r="DB259" i="25" s="1"/>
  <c r="DH259" i="25"/>
  <c r="DA259" i="25"/>
  <c r="DD259" i="25" s="1"/>
  <c r="DE259" i="25" s="1"/>
  <c r="DF259" i="25" s="1"/>
  <c r="DL234" i="25"/>
  <c r="DS234" i="25"/>
  <c r="DL18" i="25"/>
  <c r="DS18" i="25"/>
  <c r="FD18" i="25"/>
  <c r="DH173" i="25"/>
  <c r="DA173" i="25"/>
  <c r="DD173" i="25" s="1"/>
  <c r="DE173" i="25" s="1"/>
  <c r="DF173" i="25" s="1"/>
  <c r="DH231" i="25"/>
  <c r="DA231" i="25"/>
  <c r="DD231" i="25" s="1"/>
  <c r="DE231" i="25" s="1"/>
  <c r="DF231" i="25" s="1"/>
  <c r="DA120" i="25"/>
  <c r="DD120" i="25" s="1"/>
  <c r="DE120" i="25" s="1"/>
  <c r="DF120" i="25" s="1"/>
  <c r="DH120" i="25"/>
  <c r="DH267" i="25"/>
  <c r="DA267" i="25"/>
  <c r="DD267" i="25" s="1"/>
  <c r="DE267" i="25" s="1"/>
  <c r="DF267" i="25" s="1"/>
  <c r="DH47" i="25"/>
  <c r="DA47" i="25"/>
  <c r="DD47" i="25" s="1"/>
  <c r="DE47" i="25" s="1"/>
  <c r="DF47" i="25" s="1"/>
  <c r="DH314" i="25"/>
  <c r="DA314" i="25"/>
  <c r="DD314" i="25" s="1"/>
  <c r="DE314" i="25" s="1"/>
  <c r="DF314" i="25" s="1"/>
  <c r="CZ158" i="25"/>
  <c r="CY158" i="25"/>
  <c r="DS268" i="25"/>
  <c r="DL268" i="25"/>
  <c r="CY273" i="25"/>
  <c r="CZ273" i="25"/>
  <c r="FD206" i="25"/>
  <c r="DL206" i="25"/>
  <c r="DL249" i="25"/>
  <c r="DS249" i="25"/>
  <c r="FD120" i="25"/>
  <c r="DS120" i="25"/>
  <c r="DL120" i="25"/>
  <c r="DS35" i="25"/>
  <c r="DL35" i="25"/>
  <c r="FD35" i="25"/>
  <c r="CZ83" i="25"/>
  <c r="CY83" i="25"/>
  <c r="DH91" i="25"/>
  <c r="DA91" i="25"/>
  <c r="DD91" i="25" s="1"/>
  <c r="DE91" i="25" s="1"/>
  <c r="DF91" i="25" s="1"/>
  <c r="DH41" i="25"/>
  <c r="DA41" i="25"/>
  <c r="DD41" i="25" s="1"/>
  <c r="DE41" i="25" s="1"/>
  <c r="DF41" i="25" s="1"/>
  <c r="CY152" i="25"/>
  <c r="CZ152" i="25"/>
  <c r="DA257" i="25"/>
  <c r="DD257" i="25" s="1"/>
  <c r="DE257" i="25" s="1"/>
  <c r="DF257" i="25" s="1"/>
  <c r="DH257" i="25"/>
  <c r="DH244" i="25"/>
  <c r="DA244" i="25"/>
  <c r="DD244" i="25" s="1"/>
  <c r="DE244" i="25" s="1"/>
  <c r="DF244" i="25" s="1"/>
  <c r="DH292" i="25"/>
  <c r="DA292" i="25"/>
  <c r="DD292" i="25" s="1"/>
  <c r="DE292" i="25" s="1"/>
  <c r="DF292" i="25" s="1"/>
  <c r="DH251" i="25"/>
  <c r="DA251" i="25"/>
  <c r="DD251" i="25" s="1"/>
  <c r="DE251" i="25" s="1"/>
  <c r="DF251" i="25" s="1"/>
  <c r="DH202" i="25"/>
  <c r="DA202" i="25"/>
  <c r="DD202" i="25" s="1"/>
  <c r="DE202" i="25" s="1"/>
  <c r="DF202" i="25" s="1"/>
  <c r="DA65" i="25"/>
  <c r="DD65" i="25" s="1"/>
  <c r="DE65" i="25" s="1"/>
  <c r="DF65" i="25" s="1"/>
  <c r="DH65" i="25"/>
  <c r="DH144" i="25"/>
  <c r="DA144" i="25"/>
  <c r="DD144" i="25" s="1"/>
  <c r="DE144" i="25" s="1"/>
  <c r="DF144" i="25" s="1"/>
  <c r="DA280" i="25"/>
  <c r="DD280" i="25" s="1"/>
  <c r="DE280" i="25" s="1"/>
  <c r="DF280" i="25" s="1"/>
  <c r="DH280" i="25"/>
  <c r="DH103" i="25"/>
  <c r="DA103" i="25"/>
  <c r="DD103" i="25" s="1"/>
  <c r="DE103" i="25" s="1"/>
  <c r="DF103" i="25" s="1"/>
  <c r="DA187" i="25"/>
  <c r="DD187" i="25" s="1"/>
  <c r="DE187" i="25" s="1"/>
  <c r="DF187" i="25" s="1"/>
  <c r="DH187" i="25"/>
  <c r="DH99" i="25"/>
  <c r="DA99" i="25"/>
  <c r="DD99" i="25" s="1"/>
  <c r="DE99" i="25" s="1"/>
  <c r="DF99" i="25" s="1"/>
  <c r="DL223" i="25"/>
  <c r="DS223" i="25"/>
  <c r="FD101" i="25"/>
  <c r="DL101" i="25"/>
  <c r="CY56" i="25"/>
  <c r="CZ56" i="25"/>
  <c r="DL63" i="25"/>
  <c r="DS63" i="25"/>
  <c r="FD63" i="25"/>
  <c r="CZ84" i="25"/>
  <c r="CY84" i="25"/>
  <c r="CY11" i="25"/>
  <c r="CZ11" i="25"/>
  <c r="CZ135" i="25"/>
  <c r="CY135" i="25"/>
  <c r="DL103" i="25"/>
  <c r="FD103" i="25"/>
  <c r="DS132" i="25"/>
  <c r="DL132" i="25"/>
  <c r="FD132" i="25"/>
  <c r="DS76" i="25"/>
  <c r="DL76" i="25"/>
  <c r="FD76" i="25"/>
  <c r="DH9" i="25"/>
  <c r="DA9" i="25"/>
  <c r="DD9" i="25" s="1"/>
  <c r="DE9" i="25" s="1"/>
  <c r="DF9" i="25" s="1"/>
  <c r="CY44" i="25"/>
  <c r="CZ44" i="25"/>
  <c r="DA179" i="25"/>
  <c r="DD179" i="25" s="1"/>
  <c r="DE179" i="25" s="1"/>
  <c r="DF179" i="25" s="1"/>
  <c r="DH179" i="25"/>
  <c r="DA84" i="25"/>
  <c r="DD84" i="25" s="1"/>
  <c r="DE84" i="25" s="1"/>
  <c r="DF84" i="25" s="1"/>
  <c r="DH84" i="25"/>
  <c r="DA79" i="25"/>
  <c r="DD79" i="25" s="1"/>
  <c r="DE79" i="25" s="1"/>
  <c r="DF79" i="25" s="1"/>
  <c r="DH79" i="25"/>
  <c r="DL218" i="25"/>
  <c r="DS218" i="25"/>
  <c r="CY268" i="25"/>
  <c r="CZ268" i="25"/>
  <c r="DL203" i="25"/>
  <c r="FD203" i="25"/>
  <c r="CY303" i="25"/>
  <c r="CZ303" i="25"/>
  <c r="CY248" i="25"/>
  <c r="CZ248" i="25"/>
  <c r="CY249" i="25"/>
  <c r="CZ249" i="25"/>
  <c r="CZ120" i="25"/>
  <c r="CY120" i="25"/>
  <c r="DL99" i="25"/>
  <c r="FD99" i="25"/>
  <c r="CY54" i="25"/>
  <c r="CZ54" i="25"/>
  <c r="CY53" i="25"/>
  <c r="CZ53" i="25"/>
  <c r="CY80" i="25"/>
  <c r="CZ80" i="25"/>
  <c r="DL31" i="25"/>
  <c r="DS31" i="25"/>
  <c r="DH166" i="25"/>
  <c r="DA166" i="25"/>
  <c r="DD166" i="25" s="1"/>
  <c r="DE166" i="25" s="1"/>
  <c r="DF166" i="25" s="1"/>
  <c r="DH132" i="25"/>
  <c r="DA132" i="25"/>
  <c r="DD132" i="25" s="1"/>
  <c r="DE132" i="25" s="1"/>
  <c r="DF132" i="25" s="1"/>
  <c r="DA58" i="25"/>
  <c r="DD58" i="25" s="1"/>
  <c r="DE58" i="25" s="1"/>
  <c r="DF58" i="25" s="1"/>
  <c r="DH58" i="25"/>
  <c r="DS192" i="25"/>
  <c r="FD192" i="25"/>
  <c r="DL192" i="25"/>
  <c r="DL91" i="25"/>
  <c r="DH299" i="25"/>
  <c r="DA299" i="25"/>
  <c r="DD299" i="25" s="1"/>
  <c r="DE299" i="25" s="1"/>
  <c r="DF299" i="25" s="1"/>
  <c r="DA289" i="25"/>
  <c r="DD289" i="25" s="1"/>
  <c r="DE289" i="25" s="1"/>
  <c r="DF289" i="25" s="1"/>
  <c r="DH289" i="25"/>
  <c r="DH286" i="25"/>
  <c r="DA286" i="25"/>
  <c r="DD286" i="25" s="1"/>
  <c r="DE286" i="25" s="1"/>
  <c r="DF286" i="25" s="1"/>
  <c r="DH234" i="25"/>
  <c r="DA234" i="25"/>
  <c r="DD234" i="25" s="1"/>
  <c r="DE234" i="25" s="1"/>
  <c r="DF234" i="25" s="1"/>
  <c r="DA232" i="25"/>
  <c r="DD232" i="25" s="1"/>
  <c r="DE232" i="25" s="1"/>
  <c r="DF232" i="25" s="1"/>
  <c r="DH232" i="25"/>
  <c r="DL270" i="25"/>
  <c r="DS270" i="25"/>
  <c r="DL293" i="25"/>
  <c r="DS138" i="25"/>
  <c r="DL138" i="25"/>
  <c r="FD138" i="25"/>
  <c r="DH175" i="25"/>
  <c r="DA175" i="25"/>
  <c r="DD175" i="25" s="1"/>
  <c r="DE175" i="25" s="1"/>
  <c r="DF175" i="25" s="1"/>
  <c r="DA64" i="25"/>
  <c r="DD64" i="25" s="1"/>
  <c r="DE64" i="25" s="1"/>
  <c r="DF64" i="25" s="1"/>
  <c r="DH64" i="25"/>
  <c r="DH283" i="25"/>
  <c r="DA283" i="25"/>
  <c r="DD283" i="25" s="1"/>
  <c r="DE283" i="25" s="1"/>
  <c r="DF283" i="25" s="1"/>
  <c r="DA76" i="25"/>
  <c r="DD76" i="25" s="1"/>
  <c r="DE76" i="25" s="1"/>
  <c r="DF76" i="25" s="1"/>
  <c r="DH76" i="25"/>
  <c r="DA31" i="25"/>
  <c r="DD31" i="25" s="1"/>
  <c r="DE31" i="25" s="1"/>
  <c r="DF31" i="25" s="1"/>
  <c r="DH31" i="25"/>
  <c r="CY310" i="25"/>
  <c r="CZ310" i="25"/>
  <c r="CZ223" i="25"/>
  <c r="CY223" i="25"/>
  <c r="CY217" i="25"/>
  <c r="CZ217" i="25"/>
  <c r="DL67" i="25"/>
  <c r="DS67" i="25"/>
  <c r="FD67" i="25"/>
  <c r="DS84" i="25"/>
  <c r="FD84" i="25"/>
  <c r="DL84" i="25"/>
  <c r="DS281" i="25"/>
  <c r="DL281" i="25"/>
  <c r="DL44" i="25"/>
  <c r="DS44" i="25"/>
  <c r="DS316" i="25"/>
  <c r="DL316" i="25"/>
  <c r="CZ18" i="25"/>
  <c r="CY18" i="25"/>
  <c r="DH306" i="25"/>
  <c r="DA306" i="25"/>
  <c r="DD306" i="25" s="1"/>
  <c r="DE306" i="25" s="1"/>
  <c r="DF306" i="25" s="1"/>
  <c r="DH34" i="25"/>
  <c r="DA34" i="25"/>
  <c r="DD34" i="25" s="1"/>
  <c r="DE34" i="25" s="1"/>
  <c r="DF34" i="25" s="1"/>
  <c r="DA199" i="25"/>
  <c r="DD199" i="25" s="1"/>
  <c r="DE199" i="25" s="1"/>
  <c r="DF199" i="25" s="1"/>
  <c r="DH199" i="25"/>
  <c r="DH27" i="25"/>
  <c r="DA27" i="25"/>
  <c r="DD27" i="25" s="1"/>
  <c r="DE27" i="25" s="1"/>
  <c r="DF27" i="25" s="1"/>
  <c r="CY210" i="25"/>
  <c r="CZ210" i="25"/>
  <c r="CY178" i="25"/>
  <c r="CZ178" i="25"/>
  <c r="DL273" i="25"/>
  <c r="DS273" i="25"/>
  <c r="CZ127" i="25"/>
  <c r="CY127" i="25"/>
  <c r="DH102" i="25"/>
  <c r="DA102" i="25"/>
  <c r="DD102" i="25" s="1"/>
  <c r="DE102" i="25" s="1"/>
  <c r="DF102" i="25" s="1"/>
  <c r="CZ192" i="25"/>
  <c r="CY192" i="25"/>
  <c r="DH249" i="25"/>
  <c r="DA249" i="25"/>
  <c r="DD249" i="25" s="1"/>
  <c r="DE249" i="25" s="1"/>
  <c r="DF249" i="25" s="1"/>
  <c r="DH217" i="25"/>
  <c r="DA217" i="25"/>
  <c r="DD217" i="25" s="1"/>
  <c r="DE217" i="25" s="1"/>
  <c r="DF217" i="25" s="1"/>
  <c r="CY205" i="25"/>
  <c r="CZ205" i="25"/>
  <c r="DH143" i="25"/>
  <c r="DA143" i="25"/>
  <c r="DD143" i="25" s="1"/>
  <c r="DE143" i="25" s="1"/>
  <c r="DF143" i="25" s="1"/>
  <c r="DA168" i="25"/>
  <c r="DD168" i="25" s="1"/>
  <c r="DE168" i="25" s="1"/>
  <c r="DF168" i="25" s="1"/>
  <c r="DH168" i="25"/>
  <c r="DH284" i="25"/>
  <c r="DA284" i="25"/>
  <c r="DD284" i="25" s="1"/>
  <c r="DE284" i="25" s="1"/>
  <c r="DF284" i="25" s="1"/>
  <c r="DH156" i="25"/>
  <c r="DA156" i="25"/>
  <c r="DD156" i="25" s="1"/>
  <c r="DE156" i="25" s="1"/>
  <c r="DF156" i="25" s="1"/>
  <c r="CY279" i="25"/>
  <c r="CZ279" i="25"/>
  <c r="CY274" i="25"/>
  <c r="CZ274" i="25"/>
  <c r="DL217" i="25"/>
  <c r="DS217" i="25"/>
  <c r="DL11" i="25"/>
  <c r="DS11" i="25"/>
  <c r="FD11" i="25"/>
  <c r="DL163" i="25"/>
  <c r="FD163" i="25"/>
  <c r="DS163" i="25"/>
  <c r="CY76" i="25"/>
  <c r="CZ76" i="25"/>
  <c r="DH311" i="25"/>
  <c r="DA311" i="25"/>
  <c r="DD311" i="25" s="1"/>
  <c r="DE311" i="25" s="1"/>
  <c r="DF311" i="25" s="1"/>
  <c r="CZ281" i="25"/>
  <c r="CY281" i="25"/>
  <c r="CY316" i="25"/>
  <c r="CZ316" i="25"/>
  <c r="DA87" i="25"/>
  <c r="DD87" i="25" s="1"/>
  <c r="DE87" i="25" s="1"/>
  <c r="DF87" i="25" s="1"/>
  <c r="DH87" i="25"/>
  <c r="DH138" i="25"/>
  <c r="DA138" i="25"/>
  <c r="DD138" i="25" s="1"/>
  <c r="DE138" i="25" s="1"/>
  <c r="DF138" i="25" s="1"/>
  <c r="DH200" i="25"/>
  <c r="DA200" i="25"/>
  <c r="DD200" i="25" s="1"/>
  <c r="DE200" i="25" s="1"/>
  <c r="DF200" i="25" s="1"/>
  <c r="CZ220" i="25"/>
  <c r="DB220" i="25" s="1"/>
  <c r="DH220" i="25"/>
  <c r="DA220" i="25"/>
  <c r="DD220" i="25" s="1"/>
  <c r="DE220" i="25" s="1"/>
  <c r="DF220" i="25" s="1"/>
  <c r="DH40" i="25"/>
  <c r="DA40" i="25"/>
  <c r="DD40" i="25" s="1"/>
  <c r="DE40" i="25" s="1"/>
  <c r="DF40" i="25" s="1"/>
  <c r="DH228" i="25"/>
  <c r="DA228" i="25"/>
  <c r="DD228" i="25" s="1"/>
  <c r="DE228" i="25" s="1"/>
  <c r="DF228" i="25" s="1"/>
  <c r="DL278" i="25"/>
  <c r="DS278" i="25"/>
  <c r="DL210" i="25"/>
  <c r="FD210" i="25"/>
  <c r="CY267" i="25"/>
  <c r="CZ267" i="25"/>
  <c r="CY218" i="25"/>
  <c r="CZ218" i="25"/>
  <c r="DL158" i="25"/>
  <c r="DS158" i="25"/>
  <c r="FD158" i="25"/>
  <c r="CZ203" i="25"/>
  <c r="CY203" i="25"/>
  <c r="DS297" i="25"/>
  <c r="DL248" i="25"/>
  <c r="DS248" i="25"/>
  <c r="DL162" i="25"/>
  <c r="DS162" i="25"/>
  <c r="FD162" i="25"/>
  <c r="DS53" i="25"/>
  <c r="FD53" i="25"/>
  <c r="DL53" i="25"/>
  <c r="DS80" i="25"/>
  <c r="FD80" i="25"/>
  <c r="DL80" i="25"/>
  <c r="CY10" i="25"/>
  <c r="CZ10" i="25"/>
  <c r="CY116" i="25"/>
  <c r="CZ116" i="25"/>
  <c r="DL97" i="25"/>
  <c r="FD97" i="25"/>
  <c r="DL83" i="25"/>
  <c r="FD83" i="25"/>
  <c r="CY113" i="25"/>
  <c r="CZ113" i="25"/>
  <c r="CY288" i="25"/>
  <c r="CZ288" i="25"/>
  <c r="DS191" i="25"/>
  <c r="FD191" i="25"/>
  <c r="DL191" i="25"/>
  <c r="CY118" i="25"/>
  <c r="CZ118" i="25"/>
  <c r="CZ174" i="25"/>
  <c r="CY174" i="25"/>
  <c r="CY133" i="25"/>
  <c r="CZ133" i="25"/>
  <c r="DA111" i="25"/>
  <c r="DD111" i="25" s="1"/>
  <c r="DE111" i="25" s="1"/>
  <c r="DF111" i="25" s="1"/>
  <c r="DH111" i="25"/>
  <c r="DH70" i="25"/>
  <c r="DA70" i="25"/>
  <c r="DD70" i="25" s="1"/>
  <c r="DE70" i="25" s="1"/>
  <c r="DF70" i="25" s="1"/>
  <c r="DA295" i="25"/>
  <c r="DD295" i="25" s="1"/>
  <c r="DE295" i="25" s="1"/>
  <c r="DF295" i="25" s="1"/>
  <c r="DH295" i="25"/>
  <c r="DH44" i="25"/>
  <c r="DA44" i="25"/>
  <c r="DD44" i="25" s="1"/>
  <c r="DE44" i="25" s="1"/>
  <c r="DF44" i="25" s="1"/>
  <c r="DH37" i="25"/>
  <c r="DA37" i="25"/>
  <c r="DD37" i="25" s="1"/>
  <c r="DE37" i="25" s="1"/>
  <c r="DF37" i="25" s="1"/>
  <c r="DH100" i="25"/>
  <c r="DA100" i="25"/>
  <c r="DD100" i="25" s="1"/>
  <c r="DE100" i="25" s="1"/>
  <c r="DF100" i="25" s="1"/>
  <c r="DL186" i="25"/>
  <c r="FD186" i="25"/>
  <c r="DS186" i="25"/>
  <c r="CZ231" i="25"/>
  <c r="CY231" i="25"/>
  <c r="CZ166" i="25"/>
  <c r="CY166" i="25"/>
  <c r="DL204" i="25"/>
  <c r="FD204" i="25"/>
  <c r="DL310" i="25"/>
  <c r="DS310" i="25"/>
  <c r="CY261" i="25"/>
  <c r="CZ261" i="25"/>
  <c r="DL165" i="25"/>
  <c r="DS165" i="25"/>
  <c r="FD165" i="25"/>
  <c r="CY282" i="25"/>
  <c r="CZ282" i="25"/>
  <c r="CZ124" i="25"/>
  <c r="CY124" i="25"/>
  <c r="DL135" i="25"/>
  <c r="FD135" i="25"/>
  <c r="DS135" i="25"/>
  <c r="CY36" i="25"/>
  <c r="CZ36" i="25"/>
  <c r="DS61" i="25"/>
  <c r="DL61" i="25"/>
  <c r="FD61" i="25"/>
  <c r="DL315" i="25"/>
  <c r="DS315" i="25"/>
  <c r="DH262" i="25"/>
  <c r="DA262" i="25"/>
  <c r="DD262" i="25" s="1"/>
  <c r="DE262" i="25" s="1"/>
  <c r="DF262" i="25" s="1"/>
  <c r="DA294" i="25"/>
  <c r="DD294" i="25" s="1"/>
  <c r="DE294" i="25" s="1"/>
  <c r="DF294" i="25" s="1"/>
  <c r="DH294" i="25"/>
  <c r="DA254" i="25"/>
  <c r="DD254" i="25" s="1"/>
  <c r="DE254" i="25" s="1"/>
  <c r="DF254" i="25" s="1"/>
  <c r="DH254" i="25"/>
  <c r="DH308" i="25"/>
  <c r="DA308" i="25"/>
  <c r="DD308" i="25" s="1"/>
  <c r="DE308" i="25" s="1"/>
  <c r="DF308" i="25" s="1"/>
  <c r="DS178" i="25"/>
  <c r="FD178" i="25"/>
  <c r="DL178" i="25"/>
  <c r="DL267" i="25"/>
  <c r="DS267" i="25"/>
  <c r="CY297" i="25"/>
  <c r="CZ297" i="25"/>
  <c r="FD10" i="25"/>
  <c r="DS10" i="25"/>
  <c r="DL10" i="25"/>
  <c r="DA95" i="25"/>
  <c r="DD95" i="25" s="1"/>
  <c r="DE95" i="25" s="1"/>
  <c r="DF95" i="25" s="1"/>
  <c r="DH95" i="25"/>
  <c r="DH23" i="25"/>
  <c r="DA23" i="25"/>
  <c r="DD23" i="25" s="1"/>
  <c r="DE23" i="25" s="1"/>
  <c r="DF23" i="25" s="1"/>
  <c r="DL152" i="25"/>
  <c r="FD152" i="25"/>
  <c r="DS152" i="25"/>
  <c r="DL288" i="25"/>
  <c r="DS288" i="25"/>
  <c r="FD102" i="25"/>
  <c r="DL102" i="25"/>
  <c r="DA266" i="25"/>
  <c r="DD266" i="25" s="1"/>
  <c r="DE266" i="25" s="1"/>
  <c r="DF266" i="25" s="1"/>
  <c r="DH266" i="25"/>
  <c r="CZ157" i="25"/>
  <c r="DB157" i="25" s="1"/>
  <c r="DH157" i="25"/>
  <c r="DA157" i="25"/>
  <c r="DD157" i="25" s="1"/>
  <c r="DE157" i="25" s="1"/>
  <c r="DF157" i="25" s="1"/>
  <c r="CZ91" i="25"/>
  <c r="CY91" i="25"/>
  <c r="DL16" i="25"/>
  <c r="DS16" i="25"/>
  <c r="FD16" i="25"/>
  <c r="CY240" i="25"/>
  <c r="CZ240" i="25"/>
  <c r="DH38" i="25"/>
  <c r="DA38" i="25"/>
  <c r="DD38" i="25" s="1"/>
  <c r="DE38" i="25" s="1"/>
  <c r="DF38" i="25" s="1"/>
  <c r="DA53" i="25"/>
  <c r="DD53" i="25" s="1"/>
  <c r="DE53" i="25" s="1"/>
  <c r="DF53" i="25" s="1"/>
  <c r="DH53" i="25"/>
  <c r="DH29" i="25"/>
  <c r="DA29" i="25"/>
  <c r="DD29" i="25" s="1"/>
  <c r="DE29" i="25" s="1"/>
  <c r="DF29" i="25" s="1"/>
  <c r="DA248" i="25"/>
  <c r="DD248" i="25" s="1"/>
  <c r="DE248" i="25" s="1"/>
  <c r="DF248" i="25" s="1"/>
  <c r="DH248" i="25"/>
  <c r="CY202" i="25"/>
  <c r="CZ202" i="25"/>
  <c r="DL222" i="25"/>
  <c r="DS222" i="25"/>
  <c r="DL94" i="25"/>
  <c r="FD94" i="25"/>
  <c r="CY50" i="25"/>
  <c r="CZ50" i="25"/>
  <c r="CZ111" i="25"/>
  <c r="CY111" i="25"/>
  <c r="DS133" i="25"/>
  <c r="DL133" i="25"/>
  <c r="FD133" i="25"/>
  <c r="DH141" i="25"/>
  <c r="DA141" i="25"/>
  <c r="DD141" i="25" s="1"/>
  <c r="DE141" i="25" s="1"/>
  <c r="DF141" i="25" s="1"/>
  <c r="DL147" i="25"/>
  <c r="DS147" i="25"/>
  <c r="FD198" i="25"/>
  <c r="DL198" i="25"/>
  <c r="FD149" i="25"/>
  <c r="DL149" i="25"/>
  <c r="DS149" i="25"/>
  <c r="DS247" i="25"/>
  <c r="CY193" i="25"/>
  <c r="CZ193" i="25"/>
  <c r="DL209" i="25"/>
  <c r="FD209" i="25"/>
  <c r="CY122" i="25"/>
  <c r="CZ122" i="25"/>
  <c r="CZ142" i="25"/>
  <c r="CY142" i="25"/>
  <c r="CY46" i="25"/>
  <c r="CZ46" i="25"/>
  <c r="DS115" i="25"/>
  <c r="DL115" i="25"/>
  <c r="FD115" i="25"/>
  <c r="CY105" i="25"/>
  <c r="CZ105" i="25"/>
  <c r="FD30" i="25"/>
  <c r="DL30" i="25"/>
  <c r="DS30" i="25"/>
  <c r="CY114" i="25"/>
  <c r="CZ114" i="25"/>
  <c r="CZ23" i="25"/>
  <c r="CY23" i="25"/>
  <c r="DH268" i="25"/>
  <c r="DA268" i="25"/>
  <c r="DD268" i="25" s="1"/>
  <c r="DE268" i="25" s="1"/>
  <c r="DF268" i="25" s="1"/>
  <c r="DH43" i="25"/>
  <c r="DA43" i="25"/>
  <c r="DD43" i="25" s="1"/>
  <c r="DE43" i="25" s="1"/>
  <c r="DF43" i="25" s="1"/>
  <c r="DH134" i="25"/>
  <c r="DA134" i="25"/>
  <c r="DD134" i="25" s="1"/>
  <c r="DE134" i="25" s="1"/>
  <c r="DF134" i="25" s="1"/>
  <c r="DA316" i="25"/>
  <c r="DD316" i="25" s="1"/>
  <c r="DE316" i="25" s="1"/>
  <c r="DF316" i="25" s="1"/>
  <c r="DH316" i="25"/>
  <c r="CZ251" i="25"/>
  <c r="CY251" i="25"/>
  <c r="CZ95" i="25"/>
  <c r="CY95" i="25"/>
  <c r="FD92" i="25"/>
  <c r="DL92" i="25"/>
  <c r="DL28" i="25"/>
  <c r="DS28" i="25"/>
  <c r="CZ9" i="25"/>
  <c r="CY9" i="25"/>
  <c r="DS29" i="25"/>
  <c r="FD29" i="25"/>
  <c r="DL29" i="25"/>
  <c r="CY24" i="25"/>
  <c r="CZ24" i="25"/>
  <c r="CZ269" i="25"/>
  <c r="CY269" i="25"/>
  <c r="DA208" i="25"/>
  <c r="DD208" i="25" s="1"/>
  <c r="DE208" i="25" s="1"/>
  <c r="DF208" i="25" s="1"/>
  <c r="DH208" i="25"/>
  <c r="DH170" i="25"/>
  <c r="DA170" i="25"/>
  <c r="DD170" i="25" s="1"/>
  <c r="DE170" i="25" s="1"/>
  <c r="DF170" i="25" s="1"/>
  <c r="DA224" i="25"/>
  <c r="DD224" i="25" s="1"/>
  <c r="DE224" i="25" s="1"/>
  <c r="DF224" i="25" s="1"/>
  <c r="DH224" i="25"/>
  <c r="DH90" i="25"/>
  <c r="DA90" i="25"/>
  <c r="DD90" i="25" s="1"/>
  <c r="DE90" i="25" s="1"/>
  <c r="DF90" i="25" s="1"/>
  <c r="CY307" i="25"/>
  <c r="CZ307" i="25"/>
  <c r="CZ188" i="25"/>
  <c r="CY188" i="25"/>
  <c r="CY14" i="25"/>
  <c r="CZ14" i="25"/>
  <c r="CY37" i="25"/>
  <c r="CZ37" i="25"/>
  <c r="DS128" i="25"/>
  <c r="DL128" i="25"/>
  <c r="FD128" i="25"/>
  <c r="DS64" i="25"/>
  <c r="DL64" i="25"/>
  <c r="FD64" i="25"/>
  <c r="CY68" i="25"/>
  <c r="CZ68" i="25"/>
  <c r="DS305" i="25"/>
  <c r="DL305" i="25"/>
  <c r="DA178" i="25"/>
  <c r="DD178" i="25" s="1"/>
  <c r="DE178" i="25" s="1"/>
  <c r="DF178" i="25" s="1"/>
  <c r="DH178" i="25"/>
  <c r="DH123" i="25"/>
  <c r="DA123" i="25"/>
  <c r="DD123" i="25" s="1"/>
  <c r="DE123" i="25" s="1"/>
  <c r="DF123" i="25" s="1"/>
  <c r="DH54" i="25"/>
  <c r="DA54" i="25"/>
  <c r="DD54" i="25" s="1"/>
  <c r="DE54" i="25" s="1"/>
  <c r="DF54" i="25" s="1"/>
  <c r="DA296" i="25"/>
  <c r="DD296" i="25" s="1"/>
  <c r="DE296" i="25" s="1"/>
  <c r="DF296" i="25" s="1"/>
  <c r="DH296" i="25"/>
  <c r="DA189" i="25"/>
  <c r="DD189" i="25" s="1"/>
  <c r="DE189" i="25" s="1"/>
  <c r="DF189" i="25" s="1"/>
  <c r="DH189" i="25"/>
  <c r="DH225" i="25"/>
  <c r="DA225" i="25"/>
  <c r="DD225" i="25" s="1"/>
  <c r="DE225" i="25" s="1"/>
  <c r="DF225" i="25" s="1"/>
  <c r="DS306" i="25"/>
  <c r="DL306" i="25"/>
  <c r="CY235" i="25"/>
  <c r="CZ235" i="25"/>
  <c r="CY194" i="25"/>
  <c r="CZ194" i="25"/>
  <c r="DS180" i="25"/>
  <c r="FD180" i="25"/>
  <c r="DL180" i="25"/>
  <c r="CY237" i="25"/>
  <c r="CZ237" i="25"/>
  <c r="DL238" i="25"/>
  <c r="DS238" i="25"/>
  <c r="CY148" i="25"/>
  <c r="CZ148" i="25"/>
  <c r="DL85" i="25"/>
  <c r="FD85" i="25"/>
  <c r="DS85" i="25"/>
  <c r="DS125" i="25"/>
  <c r="FD125" i="25"/>
  <c r="DL125" i="25"/>
  <c r="CY33" i="25"/>
  <c r="CZ33" i="25"/>
  <c r="DS119" i="25"/>
  <c r="FD119" i="25"/>
  <c r="DL119" i="25"/>
  <c r="CY117" i="25"/>
  <c r="CZ117" i="25"/>
  <c r="CY258" i="25"/>
  <c r="CZ258" i="25"/>
  <c r="CY41" i="25"/>
  <c r="CZ41" i="25"/>
  <c r="CY141" i="25"/>
  <c r="CZ141" i="25"/>
  <c r="CZ98" i="25"/>
  <c r="CY98" i="25"/>
  <c r="DA11" i="25"/>
  <c r="DD11" i="25" s="1"/>
  <c r="DE11" i="25" s="1"/>
  <c r="DF11" i="25" s="1"/>
  <c r="DH11" i="25"/>
  <c r="DA256" i="25"/>
  <c r="DD256" i="25" s="1"/>
  <c r="DE256" i="25" s="1"/>
  <c r="DF256" i="25" s="1"/>
  <c r="DH256" i="25"/>
  <c r="DH279" i="25"/>
  <c r="DA279" i="25"/>
  <c r="DD279" i="25" s="1"/>
  <c r="DE279" i="25" s="1"/>
  <c r="DF279" i="25" s="1"/>
  <c r="DA6" i="25"/>
  <c r="DD6" i="25" s="1"/>
  <c r="DE6" i="25" s="1"/>
  <c r="DF6" i="25" s="1"/>
  <c r="DM6" i="25" s="1"/>
  <c r="DH6" i="25"/>
  <c r="CZ6" i="25"/>
  <c r="DB6" i="25" s="1"/>
  <c r="DH121" i="25"/>
  <c r="DA121" i="25"/>
  <c r="DD121" i="25" s="1"/>
  <c r="DE121" i="25" s="1"/>
  <c r="DF121" i="25" s="1"/>
  <c r="DH305" i="25"/>
  <c r="DA305" i="25"/>
  <c r="DD305" i="25" s="1"/>
  <c r="DE305" i="25" s="1"/>
  <c r="DF305" i="25" s="1"/>
  <c r="DA307" i="25"/>
  <c r="DD307" i="25" s="1"/>
  <c r="DE307" i="25" s="1"/>
  <c r="DF307" i="25" s="1"/>
  <c r="DH307" i="25"/>
  <c r="DL247" i="25"/>
  <c r="DL172" i="25"/>
  <c r="DS172" i="25"/>
  <c r="FD172" i="25"/>
  <c r="CZ209" i="25"/>
  <c r="CY209" i="25"/>
  <c r="CY78" i="25"/>
  <c r="CZ78" i="25"/>
  <c r="CZ257" i="25"/>
  <c r="CY257" i="25"/>
  <c r="DS46" i="25"/>
  <c r="DL46" i="25"/>
  <c r="FD46" i="25"/>
  <c r="DL104" i="25"/>
  <c r="FD104" i="25"/>
  <c r="CY39" i="25"/>
  <c r="CZ39" i="25"/>
  <c r="DA201" i="25"/>
  <c r="DD201" i="25" s="1"/>
  <c r="DE201" i="25" s="1"/>
  <c r="DF201" i="25" s="1"/>
  <c r="DH201" i="25"/>
  <c r="DA131" i="25"/>
  <c r="DD131" i="25" s="1"/>
  <c r="DE131" i="25" s="1"/>
  <c r="DF131" i="25" s="1"/>
  <c r="DH131" i="25"/>
  <c r="DH119" i="25"/>
  <c r="DA119" i="25"/>
  <c r="DD119" i="25" s="1"/>
  <c r="DE119" i="25" s="1"/>
  <c r="DF119" i="25" s="1"/>
  <c r="DH89" i="25"/>
  <c r="DA89" i="25"/>
  <c r="DD89" i="25" s="1"/>
  <c r="DE89" i="25" s="1"/>
  <c r="DF89" i="25" s="1"/>
  <c r="DH153" i="25"/>
  <c r="DA153" i="25"/>
  <c r="DD153" i="25" s="1"/>
  <c r="DE153" i="25" s="1"/>
  <c r="DF153" i="25" s="1"/>
  <c r="CY197" i="25"/>
  <c r="CZ197" i="25"/>
  <c r="CZ309" i="25"/>
  <c r="CY309" i="25"/>
  <c r="DS251" i="25"/>
  <c r="DL251" i="25"/>
  <c r="DL314" i="25"/>
  <c r="DS314" i="25"/>
  <c r="CY140" i="25"/>
  <c r="CZ140" i="25"/>
  <c r="CY28" i="25"/>
  <c r="CZ28" i="25"/>
  <c r="DS42" i="25"/>
  <c r="FD42" i="25"/>
  <c r="DL42" i="25"/>
  <c r="DL225" i="25"/>
  <c r="DA128" i="25"/>
  <c r="DD128" i="25" s="1"/>
  <c r="DE128" i="25" s="1"/>
  <c r="DF128" i="25" s="1"/>
  <c r="DH128" i="25"/>
  <c r="DH46" i="25"/>
  <c r="DA46" i="25"/>
  <c r="DD46" i="25" s="1"/>
  <c r="DE46" i="25" s="1"/>
  <c r="DF46" i="25" s="1"/>
  <c r="DH135" i="25"/>
  <c r="DA135" i="25"/>
  <c r="DD135" i="25" s="1"/>
  <c r="DE135" i="25" s="1"/>
  <c r="DF135" i="25" s="1"/>
  <c r="DH263" i="25"/>
  <c r="DA263" i="25"/>
  <c r="DD263" i="25" s="1"/>
  <c r="DE263" i="25" s="1"/>
  <c r="DF263" i="25" s="1"/>
  <c r="DA310" i="25"/>
  <c r="DD310" i="25" s="1"/>
  <c r="DE310" i="25" s="1"/>
  <c r="DF310" i="25" s="1"/>
  <c r="DH310" i="25"/>
  <c r="DH36" i="25"/>
  <c r="DA36" i="25"/>
  <c r="DD36" i="25" s="1"/>
  <c r="DE36" i="25" s="1"/>
  <c r="DF36" i="25" s="1"/>
  <c r="DH152" i="25"/>
  <c r="DA152" i="25"/>
  <c r="DD152" i="25" s="1"/>
  <c r="DE152" i="25" s="1"/>
  <c r="DF152" i="25" s="1"/>
  <c r="CZ250" i="25"/>
  <c r="CY250" i="25"/>
  <c r="CY156" i="25"/>
  <c r="CZ156" i="25"/>
  <c r="CY280" i="25"/>
  <c r="CZ280" i="25"/>
  <c r="FD188" i="25"/>
  <c r="DS188" i="25"/>
  <c r="DL188" i="25"/>
  <c r="CY285" i="25"/>
  <c r="CZ285" i="25"/>
  <c r="CZ233" i="25"/>
  <c r="CY233" i="25"/>
  <c r="DL153" i="25"/>
  <c r="FD153" i="25"/>
  <c r="DS153" i="25"/>
  <c r="CY151" i="25"/>
  <c r="CZ151" i="25"/>
  <c r="DL86" i="25"/>
  <c r="DS86" i="25"/>
  <c r="FD86" i="25"/>
  <c r="CZ34" i="25"/>
  <c r="CY34" i="25"/>
  <c r="CY87" i="25"/>
  <c r="CZ87" i="25"/>
  <c r="DS277" i="25"/>
  <c r="DL277" i="25"/>
  <c r="CY90" i="25"/>
  <c r="CZ90" i="25"/>
  <c r="CY266" i="25"/>
  <c r="CZ266" i="25"/>
  <c r="CZ27" i="25"/>
  <c r="CY27" i="25"/>
  <c r="DL37" i="25"/>
  <c r="DS37" i="25"/>
  <c r="FD37" i="25"/>
  <c r="DH250" i="25"/>
  <c r="DA250" i="25"/>
  <c r="DD250" i="25" s="1"/>
  <c r="DE250" i="25" s="1"/>
  <c r="DF250" i="25" s="1"/>
  <c r="CZ179" i="25"/>
  <c r="CY179" i="25"/>
  <c r="DL232" i="25"/>
  <c r="DS232" i="25"/>
  <c r="CZ305" i="25"/>
  <c r="CY305" i="25"/>
  <c r="DA49" i="25"/>
  <c r="DD49" i="25" s="1"/>
  <c r="DE49" i="25" s="1"/>
  <c r="DF49" i="25" s="1"/>
  <c r="DH49" i="25"/>
  <c r="DH253" i="25"/>
  <c r="DA253" i="25"/>
  <c r="DD253" i="25" s="1"/>
  <c r="DE253" i="25" s="1"/>
  <c r="DF253" i="25" s="1"/>
  <c r="DA285" i="25"/>
  <c r="DD285" i="25" s="1"/>
  <c r="DE285" i="25" s="1"/>
  <c r="DF285" i="25" s="1"/>
  <c r="DH285" i="25"/>
  <c r="DH33" i="25"/>
  <c r="DA33" i="25"/>
  <c r="DD33" i="25" s="1"/>
  <c r="DE33" i="25" s="1"/>
  <c r="DF33" i="25" s="1"/>
  <c r="DH12" i="25"/>
  <c r="DA12" i="25"/>
  <c r="DD12" i="25" s="1"/>
  <c r="DE12" i="25" s="1"/>
  <c r="DF12" i="25" s="1"/>
  <c r="DL294" i="25"/>
  <c r="DS294" i="25"/>
  <c r="DL237" i="25"/>
  <c r="DS237" i="25"/>
  <c r="CY143" i="25"/>
  <c r="CZ143" i="25"/>
  <c r="CY79" i="25"/>
  <c r="CZ79" i="25"/>
  <c r="CY74" i="25"/>
  <c r="CZ74" i="25"/>
  <c r="DL262" i="25"/>
  <c r="DS262" i="25"/>
  <c r="DS22" i="25"/>
  <c r="DL22" i="25"/>
  <c r="FD22" i="25"/>
  <c r="DL15" i="25"/>
  <c r="FD15" i="25"/>
  <c r="DS15" i="25"/>
  <c r="DL8" i="25"/>
  <c r="FD8" i="25"/>
  <c r="DS8" i="25"/>
  <c r="CY187" i="25"/>
  <c r="CZ187" i="25"/>
  <c r="CZ301" i="25"/>
  <c r="CY301" i="25"/>
  <c r="DL296" i="25"/>
  <c r="DS296" i="25"/>
  <c r="DL229" i="25"/>
  <c r="DS229" i="25"/>
  <c r="DL159" i="25"/>
  <c r="DS159" i="25"/>
  <c r="FD159" i="25"/>
  <c r="DS293" i="25"/>
  <c r="DL52" i="25"/>
  <c r="DS52" i="25"/>
  <c r="FD52" i="25"/>
  <c r="FD75" i="25"/>
  <c r="DS75" i="25"/>
  <c r="DL75" i="25"/>
  <c r="DS258" i="25"/>
  <c r="DL258" i="25"/>
  <c r="DL111" i="25"/>
  <c r="DS111" i="25"/>
  <c r="FD111" i="25"/>
  <c r="DH30" i="25"/>
  <c r="DA30" i="25"/>
  <c r="DD30" i="25" s="1"/>
  <c r="DE30" i="25" s="1"/>
  <c r="DF30" i="25" s="1"/>
  <c r="CZ137" i="25"/>
  <c r="CY137" i="25"/>
  <c r="DA130" i="25"/>
  <c r="DD130" i="25" s="1"/>
  <c r="DE130" i="25" s="1"/>
  <c r="DF130" i="25" s="1"/>
  <c r="DH130" i="25"/>
  <c r="DH149" i="25"/>
  <c r="DA149" i="25"/>
  <c r="DD149" i="25" s="1"/>
  <c r="DE149" i="25" s="1"/>
  <c r="DF149" i="25" s="1"/>
  <c r="CZ66" i="25"/>
  <c r="DB66" i="25" s="1"/>
  <c r="DA66" i="25"/>
  <c r="DD66" i="25" s="1"/>
  <c r="DE66" i="25" s="1"/>
  <c r="DF66" i="25" s="1"/>
  <c r="DH66" i="25"/>
  <c r="DH312" i="25"/>
  <c r="DA312" i="25"/>
  <c r="DD312" i="25" s="1"/>
  <c r="DE312" i="25" s="1"/>
  <c r="DF312" i="25" s="1"/>
  <c r="DH86" i="25"/>
  <c r="DA86" i="25"/>
  <c r="DD86" i="25" s="1"/>
  <c r="DE86" i="25" s="1"/>
  <c r="DF86" i="25" s="1"/>
  <c r="DH301" i="25"/>
  <c r="DA301" i="25"/>
  <c r="DD301" i="25" s="1"/>
  <c r="DE301" i="25" s="1"/>
  <c r="DF301" i="25" s="1"/>
  <c r="CY190" i="25"/>
  <c r="CZ190" i="25"/>
  <c r="CY308" i="25"/>
  <c r="CZ308" i="25"/>
  <c r="FD193" i="25"/>
  <c r="DL193" i="25"/>
  <c r="DL257" i="25"/>
  <c r="DS257" i="25"/>
  <c r="DS122" i="25"/>
  <c r="FD122" i="25"/>
  <c r="DL122" i="25"/>
  <c r="CZ93" i="25"/>
  <c r="CY93" i="25"/>
  <c r="CY115" i="25"/>
  <c r="CZ115" i="25"/>
  <c r="CY13" i="25"/>
  <c r="CZ13" i="25"/>
  <c r="FD114" i="25"/>
  <c r="DS114" i="25"/>
  <c r="DL114" i="25"/>
  <c r="DS184" i="25"/>
  <c r="DL184" i="25"/>
  <c r="FD184" i="25"/>
  <c r="CY302" i="25"/>
  <c r="CZ302" i="25"/>
  <c r="CY73" i="25"/>
  <c r="CZ73" i="25"/>
  <c r="CY49" i="25"/>
  <c r="CZ49" i="25"/>
  <c r="DH271" i="25"/>
  <c r="DA271" i="25"/>
  <c r="DD271" i="25" s="1"/>
  <c r="DE271" i="25" s="1"/>
  <c r="DF271" i="25" s="1"/>
  <c r="DH22" i="25"/>
  <c r="DA22" i="25"/>
  <c r="DD22" i="25" s="1"/>
  <c r="DE22" i="25" s="1"/>
  <c r="DF22" i="25" s="1"/>
  <c r="DH72" i="25"/>
  <c r="DA72" i="25"/>
  <c r="DD72" i="25" s="1"/>
  <c r="DE72" i="25" s="1"/>
  <c r="DF72" i="25" s="1"/>
  <c r="DA193" i="25"/>
  <c r="DD193" i="25" s="1"/>
  <c r="DE193" i="25" s="1"/>
  <c r="DF193" i="25" s="1"/>
  <c r="DH193" i="25"/>
  <c r="DA240" i="25"/>
  <c r="DD240" i="25" s="1"/>
  <c r="DE240" i="25" s="1"/>
  <c r="DF240" i="25" s="1"/>
  <c r="DH240" i="25"/>
  <c r="DH150" i="25"/>
  <c r="DA150" i="25"/>
  <c r="DD150" i="25" s="1"/>
  <c r="DE150" i="25" s="1"/>
  <c r="DF150" i="25" s="1"/>
  <c r="CZ256" i="25"/>
  <c r="CY256" i="25"/>
  <c r="FD197" i="25"/>
  <c r="DL197" i="25"/>
  <c r="DL309" i="25"/>
  <c r="DS309" i="25"/>
  <c r="FD182" i="25"/>
  <c r="DL182" i="25"/>
  <c r="DS182" i="25"/>
  <c r="CZ239" i="25"/>
  <c r="CY239" i="25"/>
  <c r="CY171" i="25"/>
  <c r="CZ171" i="25"/>
  <c r="DS173" i="25"/>
  <c r="FD173" i="25"/>
  <c r="DL173" i="25"/>
  <c r="DS69" i="25"/>
  <c r="FD69" i="25"/>
  <c r="DL69" i="25"/>
  <c r="CZ139" i="25"/>
  <c r="CY139" i="25"/>
  <c r="DL95" i="25"/>
  <c r="CY92" i="25"/>
  <c r="CZ92" i="25"/>
  <c r="CY81" i="25"/>
  <c r="CZ81" i="25"/>
  <c r="DA96" i="25"/>
  <c r="DD96" i="25" s="1"/>
  <c r="DE96" i="25" s="1"/>
  <c r="DF96" i="25" s="1"/>
  <c r="DH96" i="25"/>
  <c r="DA127" i="25"/>
  <c r="DD127" i="25" s="1"/>
  <c r="DE127" i="25" s="1"/>
  <c r="DF127" i="25" s="1"/>
  <c r="DH127" i="25"/>
  <c r="CZ154" i="25"/>
  <c r="DB154" i="25" s="1"/>
  <c r="DH154" i="25"/>
  <c r="DA154" i="25"/>
  <c r="DD154" i="25" s="1"/>
  <c r="DE154" i="25" s="1"/>
  <c r="DF154" i="25" s="1"/>
  <c r="DL250" i="25"/>
  <c r="DS250" i="25"/>
  <c r="FD195" i="25"/>
  <c r="DL195" i="25"/>
  <c r="DL307" i="25"/>
  <c r="DS307" i="25"/>
  <c r="CZ243" i="25"/>
  <c r="CY243" i="25"/>
  <c r="DS285" i="25"/>
  <c r="DL285" i="25"/>
  <c r="DL151" i="25"/>
  <c r="DS151" i="25"/>
  <c r="FD151" i="25"/>
  <c r="CZ130" i="25"/>
  <c r="CY130" i="25"/>
  <c r="CY65" i="25"/>
  <c r="CZ65" i="25"/>
  <c r="CY277" i="25"/>
  <c r="CZ277" i="25"/>
  <c r="DL90" i="25"/>
  <c r="FD90" i="25"/>
  <c r="DS90" i="25"/>
  <c r="CZ38" i="25"/>
  <c r="CY38" i="25"/>
  <c r="DH145" i="25"/>
  <c r="DA145" i="25"/>
  <c r="DD145" i="25" s="1"/>
  <c r="DE145" i="25" s="1"/>
  <c r="DF145" i="25" s="1"/>
  <c r="DL154" i="25"/>
  <c r="DS154" i="25"/>
  <c r="DH258" i="25"/>
  <c r="DA258" i="25"/>
  <c r="DD258" i="25" s="1"/>
  <c r="DE258" i="25" s="1"/>
  <c r="DF258" i="25" s="1"/>
  <c r="DH125" i="25"/>
  <c r="DA125" i="25"/>
  <c r="DD125" i="25" s="1"/>
  <c r="DE125" i="25" s="1"/>
  <c r="DF125" i="25" s="1"/>
  <c r="DA197" i="25"/>
  <c r="DD197" i="25" s="1"/>
  <c r="DE197" i="25" s="1"/>
  <c r="DF197" i="25" s="1"/>
  <c r="DH197" i="25"/>
  <c r="CY180" i="25"/>
  <c r="CZ180" i="25"/>
  <c r="CZ294" i="25"/>
  <c r="CY294" i="25"/>
  <c r="DL161" i="25"/>
  <c r="DS161" i="25"/>
  <c r="FD161" i="25"/>
  <c r="DS148" i="25"/>
  <c r="DL148" i="25"/>
  <c r="FD148" i="25"/>
  <c r="CZ129" i="25"/>
  <c r="CY129" i="25"/>
  <c r="CZ125" i="25"/>
  <c r="CY125" i="25"/>
  <c r="CY119" i="25"/>
  <c r="CZ119" i="25"/>
  <c r="CZ43" i="25"/>
  <c r="CY43" i="25"/>
  <c r="DL157" i="25"/>
  <c r="DS157" i="25"/>
  <c r="FD157" i="25"/>
  <c r="CZ208" i="25"/>
  <c r="CY208" i="25"/>
  <c r="CY8" i="25"/>
  <c r="CZ8" i="25"/>
  <c r="CY20" i="25"/>
  <c r="CZ20" i="25"/>
  <c r="CZ219" i="25"/>
  <c r="CY219" i="25"/>
  <c r="DH26" i="25"/>
  <c r="DA26" i="25"/>
  <c r="DD26" i="25" s="1"/>
  <c r="DE26" i="25" s="1"/>
  <c r="DF26" i="25" s="1"/>
  <c r="DH282" i="25"/>
  <c r="DA282" i="25"/>
  <c r="DD282" i="25" s="1"/>
  <c r="DE282" i="25" s="1"/>
  <c r="DF282" i="25" s="1"/>
  <c r="DH290" i="25"/>
  <c r="DA290" i="25"/>
  <c r="DD290" i="25" s="1"/>
  <c r="DE290" i="25" s="1"/>
  <c r="DF290" i="25" s="1"/>
  <c r="CZ51" i="25"/>
  <c r="DB51" i="25" s="1"/>
  <c r="DA51" i="25"/>
  <c r="DD51" i="25" s="1"/>
  <c r="DE51" i="25" s="1"/>
  <c r="DF51" i="25" s="1"/>
  <c r="DH51" i="25"/>
  <c r="DH85" i="25"/>
  <c r="DA85" i="25"/>
  <c r="DD85" i="25" s="1"/>
  <c r="DE85" i="25" s="1"/>
  <c r="DF85" i="25" s="1"/>
  <c r="DH93" i="25"/>
  <c r="DA93" i="25"/>
  <c r="DD93" i="25" s="1"/>
  <c r="DE93" i="25" s="1"/>
  <c r="DF93" i="25" s="1"/>
  <c r="DL263" i="25"/>
  <c r="DS263" i="25"/>
  <c r="DL255" i="25"/>
  <c r="DL205" i="25"/>
  <c r="FD205" i="25"/>
  <c r="DS260" i="25"/>
  <c r="DL260" i="25"/>
  <c r="DL187" i="25"/>
  <c r="FD187" i="25"/>
  <c r="DS187" i="25"/>
  <c r="CY191" i="25"/>
  <c r="CZ191" i="25"/>
  <c r="CY296" i="25"/>
  <c r="CZ296" i="25"/>
  <c r="CZ293" i="25"/>
  <c r="CY293" i="25"/>
  <c r="CY123" i="25"/>
  <c r="CZ123" i="25"/>
  <c r="DL174" i="25"/>
  <c r="DS174" i="25"/>
  <c r="FD174" i="25"/>
  <c r="DL51" i="25"/>
  <c r="DS51" i="25"/>
  <c r="CZ75" i="25"/>
  <c r="CY75" i="25"/>
  <c r="DS141" i="25"/>
  <c r="FD141" i="25"/>
  <c r="DL141" i="25"/>
  <c r="CY77" i="25"/>
  <c r="CZ77" i="25"/>
  <c r="DL19" i="25"/>
  <c r="DS19" i="25"/>
  <c r="CY230" i="25"/>
  <c r="CZ230" i="25"/>
  <c r="DH247" i="25"/>
  <c r="DA247" i="25"/>
  <c r="DD247" i="25" s="1"/>
  <c r="DE247" i="25" s="1"/>
  <c r="DF247" i="25" s="1"/>
  <c r="DH18" i="25"/>
  <c r="DA18" i="25"/>
  <c r="DD18" i="25" s="1"/>
  <c r="DE18" i="25" s="1"/>
  <c r="DF18" i="25" s="1"/>
  <c r="DA68" i="25"/>
  <c r="DD68" i="25" s="1"/>
  <c r="DE68" i="25" s="1"/>
  <c r="DF68" i="25" s="1"/>
  <c r="DH68" i="25"/>
  <c r="DA298" i="25"/>
  <c r="DD298" i="25" s="1"/>
  <c r="DE298" i="25" s="1"/>
  <c r="DF298" i="25" s="1"/>
  <c r="DH298" i="25"/>
  <c r="CZ270" i="25"/>
  <c r="DB270" i="25" s="1"/>
  <c r="DA270" i="25"/>
  <c r="DD270" i="25" s="1"/>
  <c r="DE270" i="25" s="1"/>
  <c r="DF270" i="25" s="1"/>
  <c r="DH270" i="25"/>
  <c r="CY198" i="25"/>
  <c r="CZ198" i="25"/>
  <c r="CY246" i="25"/>
  <c r="CZ246" i="25"/>
  <c r="CZ292" i="25"/>
  <c r="CY292" i="25"/>
  <c r="DL308" i="25"/>
  <c r="DS308" i="25"/>
  <c r="DL78" i="25"/>
  <c r="FD78" i="25"/>
  <c r="DS78" i="25"/>
  <c r="DL142" i="25"/>
  <c r="DS142" i="25"/>
  <c r="FD142" i="25"/>
  <c r="CY45" i="25"/>
  <c r="CZ45" i="25"/>
  <c r="FD105" i="25"/>
  <c r="DL105" i="25"/>
  <c r="CZ30" i="25"/>
  <c r="CY30" i="25"/>
  <c r="DS13" i="25"/>
  <c r="CZ21" i="25"/>
  <c r="CY21" i="25"/>
  <c r="DH160" i="25"/>
  <c r="DA160" i="25"/>
  <c r="DD160" i="25" s="1"/>
  <c r="DE160" i="25" s="1"/>
  <c r="DF160" i="25" s="1"/>
  <c r="DL289" i="25"/>
  <c r="DS289" i="25"/>
  <c r="DL302" i="25"/>
  <c r="DS302" i="25"/>
  <c r="DA235" i="25"/>
  <c r="DD235" i="25" s="1"/>
  <c r="DE235" i="25" s="1"/>
  <c r="DF235" i="25" s="1"/>
  <c r="DH235" i="25"/>
  <c r="CZ300" i="25"/>
  <c r="DB300" i="25" s="1"/>
  <c r="DH300" i="25"/>
  <c r="DA300" i="25"/>
  <c r="DD300" i="25" s="1"/>
  <c r="DE300" i="25" s="1"/>
  <c r="DF300" i="25" s="1"/>
  <c r="DH39" i="25"/>
  <c r="DA39" i="25"/>
  <c r="DD39" i="25" s="1"/>
  <c r="DE39" i="25" s="1"/>
  <c r="DF39" i="25" s="1"/>
  <c r="DS256" i="25"/>
  <c r="DL256" i="25"/>
  <c r="DL239" i="25"/>
  <c r="DS239" i="25"/>
  <c r="DS171" i="25"/>
  <c r="DL171" i="25"/>
  <c r="FD171" i="25"/>
  <c r="CZ173" i="25"/>
  <c r="CY173" i="25"/>
  <c r="DL227" i="25"/>
  <c r="DS227" i="25"/>
  <c r="CY121" i="25"/>
  <c r="CZ121" i="25"/>
  <c r="CY42" i="25"/>
  <c r="CZ42" i="25"/>
  <c r="FD28" i="25"/>
  <c r="FD44" i="25"/>
  <c r="DA185" i="25"/>
  <c r="DD185" i="25" s="1"/>
  <c r="DE185" i="25" s="1"/>
  <c r="DF185" i="25" s="1"/>
  <c r="DH185" i="25"/>
  <c r="DH293" i="25"/>
  <c r="DA293" i="25"/>
  <c r="DD293" i="25" s="1"/>
  <c r="DE293" i="25" s="1"/>
  <c r="DF293" i="25" s="1"/>
  <c r="DH163" i="25"/>
  <c r="DA163" i="25"/>
  <c r="DD163" i="25" s="1"/>
  <c r="DE163" i="25" s="1"/>
  <c r="DF163" i="25" s="1"/>
  <c r="CY195" i="25"/>
  <c r="CZ195" i="25"/>
  <c r="CZ244" i="25"/>
  <c r="CY244" i="25"/>
  <c r="DS243" i="25"/>
  <c r="DL280" i="25"/>
  <c r="DS280" i="25"/>
  <c r="FD65" i="25"/>
  <c r="DL65" i="25"/>
  <c r="DS65" i="25"/>
  <c r="FD87" i="25"/>
  <c r="DL87" i="25"/>
  <c r="DL55" i="25"/>
  <c r="DS55" i="25"/>
  <c r="DL82" i="25"/>
  <c r="FD82" i="25"/>
  <c r="DS82" i="25"/>
  <c r="DL27" i="25"/>
  <c r="DS27" i="25"/>
  <c r="DS175" i="25"/>
  <c r="DL175" i="25"/>
  <c r="FD175" i="25"/>
  <c r="DS17" i="25"/>
  <c r="DA177" i="25"/>
  <c r="DD177" i="25" s="1"/>
  <c r="DE177" i="25" s="1"/>
  <c r="DF177" i="25" s="1"/>
  <c r="DH177" i="25"/>
  <c r="DH55" i="25"/>
  <c r="DA55" i="25"/>
  <c r="DD55" i="25" s="1"/>
  <c r="DE55" i="25" s="1"/>
  <c r="DF55" i="25" s="1"/>
  <c r="DL68" i="25"/>
  <c r="FD68" i="25"/>
  <c r="DS68" i="25"/>
  <c r="DH182" i="25"/>
  <c r="DA182" i="25"/>
  <c r="DD182" i="25" s="1"/>
  <c r="DE182" i="25" s="1"/>
  <c r="DF182" i="25" s="1"/>
  <c r="DH133" i="25"/>
  <c r="DA133" i="25"/>
  <c r="DD133" i="25" s="1"/>
  <c r="DE133" i="25" s="1"/>
  <c r="DF133" i="25" s="1"/>
  <c r="DH273" i="25"/>
  <c r="DA273" i="25"/>
  <c r="DD273" i="25" s="1"/>
  <c r="DE273" i="25" s="1"/>
  <c r="DF273" i="25" s="1"/>
  <c r="DS225" i="25"/>
  <c r="CZ63" i="25"/>
  <c r="DB63" i="25" s="1"/>
  <c r="DH63" i="25"/>
  <c r="DA63" i="25"/>
  <c r="DD63" i="25" s="1"/>
  <c r="DE63" i="25" s="1"/>
  <c r="DF63" i="25" s="1"/>
  <c r="DL226" i="25"/>
  <c r="DS226" i="25"/>
  <c r="FD143" i="25"/>
  <c r="DS143" i="25"/>
  <c r="DL143" i="25"/>
  <c r="DL89" i="25"/>
  <c r="DS89" i="25"/>
  <c r="FD89" i="25"/>
  <c r="CY59" i="25"/>
  <c r="CZ59" i="25"/>
  <c r="DL208" i="25"/>
  <c r="FD208" i="25"/>
  <c r="FD20" i="25"/>
  <c r="DL20" i="25"/>
  <c r="DS20" i="25"/>
  <c r="DA237" i="25"/>
  <c r="DD237" i="25" s="1"/>
  <c r="DE237" i="25" s="1"/>
  <c r="DF237" i="25" s="1"/>
  <c r="DH237" i="25"/>
  <c r="DH188" i="25"/>
  <c r="DA188" i="25"/>
  <c r="DD188" i="25" s="1"/>
  <c r="DE188" i="25" s="1"/>
  <c r="DF188" i="25" s="1"/>
  <c r="DH252" i="25"/>
  <c r="DA252" i="25"/>
  <c r="DD252" i="25" s="1"/>
  <c r="DE252" i="25" s="1"/>
  <c r="DF252" i="25" s="1"/>
  <c r="DH24" i="25"/>
  <c r="DA24" i="25"/>
  <c r="DD24" i="25" s="1"/>
  <c r="DE24" i="25" s="1"/>
  <c r="DF24" i="25" s="1"/>
  <c r="CY263" i="25"/>
  <c r="CZ263" i="25"/>
  <c r="DL207" i="25"/>
  <c r="FD207" i="25"/>
  <c r="CY255" i="25"/>
  <c r="CZ255" i="25"/>
  <c r="CZ260" i="25"/>
  <c r="CY260" i="25"/>
  <c r="DL301" i="25"/>
  <c r="DS301" i="25"/>
  <c r="CZ224" i="25"/>
  <c r="CY224" i="25"/>
  <c r="FD118" i="25"/>
  <c r="DS118" i="25"/>
  <c r="DL118" i="25"/>
  <c r="CZ94" i="25"/>
  <c r="CY94" i="25"/>
  <c r="CY72" i="25"/>
  <c r="CZ72" i="25"/>
  <c r="DH227" i="25"/>
  <c r="DA227" i="25"/>
  <c r="DD227" i="25" s="1"/>
  <c r="DE227" i="25" s="1"/>
  <c r="DF227" i="25" s="1"/>
  <c r="CY228" i="25"/>
  <c r="CZ228" i="25"/>
  <c r="DL230" i="25"/>
  <c r="DS230" i="25"/>
  <c r="DH209" i="25"/>
  <c r="DA209" i="25"/>
  <c r="DD209" i="25" s="1"/>
  <c r="DE209" i="25" s="1"/>
  <c r="DF209" i="25" s="1"/>
  <c r="DH184" i="25"/>
  <c r="DA184" i="25"/>
  <c r="DD184" i="25" s="1"/>
  <c r="DE184" i="25" s="1"/>
  <c r="DF184" i="25" s="1"/>
  <c r="DH148" i="25"/>
  <c r="DA148" i="25"/>
  <c r="DD148" i="25" s="1"/>
  <c r="DE148" i="25" s="1"/>
  <c r="DF148" i="25" s="1"/>
  <c r="DH161" i="25"/>
  <c r="DA161" i="25"/>
  <c r="DD161" i="25" s="1"/>
  <c r="DE161" i="25" s="1"/>
  <c r="DF161" i="25" s="1"/>
  <c r="DH218" i="25"/>
  <c r="DA218" i="25"/>
  <c r="DD218" i="25" s="1"/>
  <c r="DE218" i="25" s="1"/>
  <c r="DF218" i="25" s="1"/>
  <c r="DL183" i="25"/>
  <c r="FD183" i="25"/>
  <c r="DS183" i="25"/>
  <c r="CY170" i="25"/>
  <c r="CZ170" i="25"/>
  <c r="DS292" i="25"/>
  <c r="DL292" i="25"/>
  <c r="DL190" i="25"/>
  <c r="DS190" i="25"/>
  <c r="FD190" i="25"/>
  <c r="CY136" i="25"/>
  <c r="CZ136" i="25"/>
  <c r="DL13" i="25"/>
  <c r="FD13" i="25"/>
  <c r="DL23" i="25"/>
  <c r="FD23" i="25"/>
  <c r="DS23" i="25"/>
  <c r="DH181" i="25"/>
  <c r="DA181" i="25"/>
  <c r="DD181" i="25" s="1"/>
  <c r="DE181" i="25" s="1"/>
  <c r="DF181" i="25" s="1"/>
  <c r="CY272" i="25"/>
  <c r="CZ272" i="25"/>
  <c r="CZ289" i="25"/>
  <c r="CY289" i="25"/>
  <c r="DL39" i="25"/>
  <c r="FD39" i="25"/>
  <c r="DS39" i="25"/>
  <c r="DL73" i="25"/>
  <c r="DS73" i="25"/>
  <c r="FD73" i="25"/>
  <c r="DA129" i="25"/>
  <c r="DD129" i="25" s="1"/>
  <c r="DE129" i="25" s="1"/>
  <c r="DF129" i="25" s="1"/>
  <c r="DH129" i="25"/>
  <c r="DH137" i="25"/>
  <c r="DA137" i="25"/>
  <c r="DD137" i="25" s="1"/>
  <c r="DE137" i="25" s="1"/>
  <c r="DF137" i="25" s="1"/>
  <c r="DH48" i="25"/>
  <c r="DA48" i="25"/>
  <c r="DD48" i="25" s="1"/>
  <c r="DE48" i="25" s="1"/>
  <c r="DF48" i="25" s="1"/>
  <c r="DH52" i="25"/>
  <c r="DA52" i="25"/>
  <c r="DD52" i="25" s="1"/>
  <c r="DE52" i="25" s="1"/>
  <c r="DF52" i="25" s="1"/>
  <c r="CY290" i="25"/>
  <c r="CZ290" i="25"/>
  <c r="CY287" i="25"/>
  <c r="CZ287" i="25"/>
  <c r="FD140" i="25"/>
  <c r="DS140" i="25"/>
  <c r="DL140" i="25"/>
  <c r="CY227" i="25"/>
  <c r="CZ227" i="25"/>
  <c r="CY284" i="25"/>
  <c r="CZ284" i="25"/>
  <c r="FD9" i="25"/>
  <c r="DL9" i="25"/>
  <c r="DH171" i="25"/>
  <c r="DA171" i="25"/>
  <c r="DD171" i="25" s="1"/>
  <c r="DE171" i="25" s="1"/>
  <c r="DF171" i="25" s="1"/>
  <c r="DH126" i="25"/>
  <c r="DA126" i="25"/>
  <c r="DD126" i="25" s="1"/>
  <c r="DE126" i="25" s="1"/>
  <c r="DF126" i="25" s="1"/>
  <c r="DH13" i="25"/>
  <c r="DA13" i="25"/>
  <c r="DD13" i="25" s="1"/>
  <c r="DE13" i="25" s="1"/>
  <c r="DF13" i="25" s="1"/>
  <c r="DH17" i="25"/>
  <c r="DA17" i="25"/>
  <c r="DD17" i="25" s="1"/>
  <c r="DE17" i="25" s="1"/>
  <c r="DF17" i="25" s="1"/>
  <c r="DH278" i="25"/>
  <c r="DA278" i="25"/>
  <c r="DD278" i="25" s="1"/>
  <c r="DE278" i="25" s="1"/>
  <c r="DF278" i="25" s="1"/>
  <c r="DA281" i="25"/>
  <c r="DD281" i="25" s="1"/>
  <c r="DE281" i="25" s="1"/>
  <c r="DF281" i="25" s="1"/>
  <c r="DH281" i="25"/>
  <c r="CZ236" i="25"/>
  <c r="DB236" i="25" s="1"/>
  <c r="DH236" i="25"/>
  <c r="DA236" i="25"/>
  <c r="DD236" i="25" s="1"/>
  <c r="DE236" i="25" s="1"/>
  <c r="DF236" i="25" s="1"/>
  <c r="DH159" i="25"/>
  <c r="DA159" i="25"/>
  <c r="DD159" i="25" s="1"/>
  <c r="DE159" i="25" s="1"/>
  <c r="DF159" i="25" s="1"/>
  <c r="DL243" i="25"/>
  <c r="CY177" i="25"/>
  <c r="CZ177" i="25"/>
  <c r="CY100" i="25"/>
  <c r="CZ100" i="25"/>
  <c r="CY126" i="25"/>
  <c r="CZ126" i="25"/>
  <c r="CY17" i="25"/>
  <c r="CZ17" i="25"/>
  <c r="DS176" i="25"/>
  <c r="FD176" i="25"/>
  <c r="DL176" i="25"/>
  <c r="DH139" i="25"/>
  <c r="DA139" i="25"/>
  <c r="DD139" i="25" s="1"/>
  <c r="DE139" i="25" s="1"/>
  <c r="DF139" i="25" s="1"/>
  <c r="DH124" i="25"/>
  <c r="DA124" i="25"/>
  <c r="DD124" i="25" s="1"/>
  <c r="DE124" i="25" s="1"/>
  <c r="DF124" i="25" s="1"/>
  <c r="FD55" i="25"/>
  <c r="DA192" i="25"/>
  <c r="DD192" i="25" s="1"/>
  <c r="DE192" i="25" s="1"/>
  <c r="DF192" i="25" s="1"/>
  <c r="DH192" i="25"/>
  <c r="DA204" i="25"/>
  <c r="DD204" i="25" s="1"/>
  <c r="DE204" i="25" s="1"/>
  <c r="DF204" i="25" s="1"/>
  <c r="DH204" i="25"/>
  <c r="DH115" i="25"/>
  <c r="DA115" i="25"/>
  <c r="DD115" i="25" s="1"/>
  <c r="DE115" i="25" s="1"/>
  <c r="DF115" i="25" s="1"/>
  <c r="DH245" i="25"/>
  <c r="DA245" i="25"/>
  <c r="DD245" i="25" s="1"/>
  <c r="DE245" i="25" s="1"/>
  <c r="DF245" i="25" s="1"/>
  <c r="DH140" i="25"/>
  <c r="DA140" i="25"/>
  <c r="DD140" i="25" s="1"/>
  <c r="DE140" i="25" s="1"/>
  <c r="DF140" i="25" s="1"/>
  <c r="DH297" i="25"/>
  <c r="DA297" i="25"/>
  <c r="DD297" i="25" s="1"/>
  <c r="DE297" i="25" s="1"/>
  <c r="DF297" i="25" s="1"/>
  <c r="DH223" i="25"/>
  <c r="DA223" i="25"/>
  <c r="DD223" i="25" s="1"/>
  <c r="DE223" i="25" s="1"/>
  <c r="DF223" i="25" s="1"/>
  <c r="DH222" i="25"/>
  <c r="DA222" i="25"/>
  <c r="DD222" i="25" s="1"/>
  <c r="DE222" i="25" s="1"/>
  <c r="DF222" i="25" s="1"/>
  <c r="CZ241" i="25"/>
  <c r="CY241" i="25"/>
  <c r="CY146" i="25"/>
  <c r="CZ146" i="25"/>
  <c r="CY185" i="25"/>
  <c r="CZ185" i="25"/>
  <c r="CZ283" i="25"/>
  <c r="CY283" i="25"/>
  <c r="DS129" i="25"/>
  <c r="DL129" i="25"/>
  <c r="FD129" i="25"/>
  <c r="DL57" i="25"/>
  <c r="DS57" i="25"/>
  <c r="FD57" i="25"/>
  <c r="CZ145" i="25"/>
  <c r="CY145" i="25"/>
  <c r="DL33" i="25"/>
  <c r="FD33" i="25"/>
  <c r="DS33" i="25"/>
  <c r="CY22" i="25"/>
  <c r="CZ22" i="25"/>
  <c r="DS25" i="25"/>
  <c r="DA196" i="25"/>
  <c r="DD196" i="25" s="1"/>
  <c r="DE196" i="25" s="1"/>
  <c r="DF196" i="25" s="1"/>
  <c r="DH196" i="25"/>
  <c r="DA229" i="25"/>
  <c r="DD229" i="25" s="1"/>
  <c r="DE229" i="25" s="1"/>
  <c r="DF229" i="25" s="1"/>
  <c r="DH229" i="25"/>
  <c r="DH136" i="25"/>
  <c r="DA136" i="25"/>
  <c r="DD136" i="25" s="1"/>
  <c r="DE136" i="25" s="1"/>
  <c r="DF136" i="25" s="1"/>
  <c r="DA287" i="25"/>
  <c r="DD287" i="25" s="1"/>
  <c r="DE287" i="25" s="1"/>
  <c r="DF287" i="25" s="1"/>
  <c r="DH287" i="25"/>
  <c r="DA255" i="25"/>
  <c r="DD255" i="25" s="1"/>
  <c r="DE255" i="25" s="1"/>
  <c r="DF255" i="25" s="1"/>
  <c r="DH255" i="25"/>
  <c r="DH151" i="25"/>
  <c r="DA151" i="25"/>
  <c r="DD151" i="25" s="1"/>
  <c r="DE151" i="25" s="1"/>
  <c r="DF151" i="25" s="1"/>
  <c r="DA186" i="25"/>
  <c r="DD186" i="25" s="1"/>
  <c r="DE186" i="25" s="1"/>
  <c r="DF186" i="25" s="1"/>
  <c r="DH186" i="25"/>
  <c r="DH272" i="25"/>
  <c r="DA272" i="25"/>
  <c r="DD272" i="25" s="1"/>
  <c r="DE272" i="25" s="1"/>
  <c r="DF272" i="25" s="1"/>
  <c r="CY200" i="25"/>
  <c r="CZ200" i="25"/>
  <c r="CY147" i="25"/>
  <c r="CZ147" i="25"/>
  <c r="CY254" i="25"/>
  <c r="CZ254" i="25"/>
  <c r="CY253" i="25"/>
  <c r="CZ253" i="25"/>
  <c r="CZ183" i="25"/>
  <c r="CY183" i="25"/>
  <c r="DL246" i="25"/>
  <c r="DS246" i="25"/>
  <c r="FD70" i="25"/>
  <c r="DS70" i="25"/>
  <c r="DL70" i="25"/>
  <c r="DL21" i="25"/>
  <c r="FD21" i="25"/>
  <c r="DS21" i="25"/>
  <c r="DS66" i="25"/>
  <c r="DL66" i="25"/>
  <c r="FD66" i="25"/>
  <c r="CZ184" i="25"/>
  <c r="CY184" i="25"/>
  <c r="FD199" i="25"/>
  <c r="DL199" i="25"/>
  <c r="DH169" i="25"/>
  <c r="DA169" i="25"/>
  <c r="DD169" i="25" s="1"/>
  <c r="DE169" i="25" s="1"/>
  <c r="DF169" i="25" s="1"/>
  <c r="DA61" i="25"/>
  <c r="DD61" i="25" s="1"/>
  <c r="DE61" i="25" s="1"/>
  <c r="DF61" i="25" s="1"/>
  <c r="DH61" i="25"/>
  <c r="DH116" i="25"/>
  <c r="DA116" i="25"/>
  <c r="DD116" i="25" s="1"/>
  <c r="DE116" i="25" s="1"/>
  <c r="DF116" i="25" s="1"/>
  <c r="CZ265" i="25"/>
  <c r="DB265" i="25" s="1"/>
  <c r="DA265" i="25"/>
  <c r="DD265" i="25" s="1"/>
  <c r="DE265" i="25" s="1"/>
  <c r="DF265" i="25" s="1"/>
  <c r="DH265" i="25"/>
  <c r="DH242" i="25"/>
  <c r="DA242" i="25"/>
  <c r="DD242" i="25" s="1"/>
  <c r="DE242" i="25" s="1"/>
  <c r="DF242" i="25" s="1"/>
  <c r="DA71" i="25"/>
  <c r="DD71" i="25" s="1"/>
  <c r="DE71" i="25" s="1"/>
  <c r="DF71" i="25" s="1"/>
  <c r="DH71" i="25"/>
  <c r="DH77" i="25"/>
  <c r="DA77" i="25"/>
  <c r="DD77" i="25" s="1"/>
  <c r="DE77" i="25" s="1"/>
  <c r="DF77" i="25" s="1"/>
  <c r="FD168" i="25"/>
  <c r="DS168" i="25"/>
  <c r="DL168" i="25"/>
  <c r="CY169" i="25"/>
  <c r="CZ169" i="25"/>
  <c r="DS290" i="25"/>
  <c r="DL290" i="25"/>
  <c r="CZ189" i="25"/>
  <c r="CY189" i="25"/>
  <c r="DS287" i="25"/>
  <c r="DL287" i="25"/>
  <c r="FD121" i="25"/>
  <c r="DS121" i="25"/>
  <c r="DL121" i="25"/>
  <c r="CY88" i="25"/>
  <c r="CZ88" i="25"/>
  <c r="FD96" i="25"/>
  <c r="DL96" i="25"/>
  <c r="CY71" i="25"/>
  <c r="CZ71" i="25"/>
  <c r="CY58" i="25"/>
  <c r="CZ58" i="25"/>
  <c r="FD91" i="25"/>
  <c r="FD147" i="25"/>
  <c r="CY12" i="25"/>
  <c r="CZ12" i="25"/>
  <c r="DA195" i="25"/>
  <c r="DD195" i="25" s="1"/>
  <c r="DE195" i="25" s="1"/>
  <c r="DF195" i="25" s="1"/>
  <c r="DH195" i="25"/>
  <c r="DA198" i="25"/>
  <c r="DD198" i="25" s="1"/>
  <c r="DE198" i="25" s="1"/>
  <c r="DF198" i="25" s="1"/>
  <c r="DH198" i="25"/>
  <c r="DH142" i="25"/>
  <c r="DA142" i="25"/>
  <c r="DD142" i="25" s="1"/>
  <c r="DE142" i="25" s="1"/>
  <c r="DF142" i="25" s="1"/>
  <c r="DH221" i="25"/>
  <c r="DA221" i="25"/>
  <c r="DD221" i="25" s="1"/>
  <c r="DE221" i="25" s="1"/>
  <c r="DF221" i="25" s="1"/>
  <c r="CY181" i="25"/>
  <c r="CZ181" i="25"/>
  <c r="DS295" i="25"/>
  <c r="DL244" i="25"/>
  <c r="DS244" i="25"/>
  <c r="DL164" i="25"/>
  <c r="FD164" i="25"/>
  <c r="DS164" i="25"/>
  <c r="DL156" i="25"/>
  <c r="DS156" i="25"/>
  <c r="FD156" i="25"/>
  <c r="DL177" i="25"/>
  <c r="DS177" i="25"/>
  <c r="FD177" i="25"/>
  <c r="DL100" i="25"/>
  <c r="FD100" i="25"/>
  <c r="CZ175" i="25"/>
  <c r="CY175" i="25"/>
  <c r="CZ176" i="25"/>
  <c r="CY176" i="25"/>
  <c r="CZ128" i="25"/>
  <c r="CY128" i="25"/>
  <c r="DA73" i="25"/>
  <c r="DD73" i="25" s="1"/>
  <c r="DE73" i="25" s="1"/>
  <c r="DF73" i="25" s="1"/>
  <c r="DH73" i="25"/>
  <c r="CZ238" i="25"/>
  <c r="DB238" i="25" s="1"/>
  <c r="DH238" i="25"/>
  <c r="DA238" i="25"/>
  <c r="DD238" i="25" s="1"/>
  <c r="DE238" i="25" s="1"/>
  <c r="DF238" i="25" s="1"/>
  <c r="DA230" i="25"/>
  <c r="DD230" i="25" s="1"/>
  <c r="DE230" i="25" s="1"/>
  <c r="DF230" i="25" s="1"/>
  <c r="DH230" i="25"/>
  <c r="CY275" i="25"/>
  <c r="CZ275" i="25"/>
  <c r="DL241" i="25"/>
  <c r="DS241" i="25"/>
  <c r="DS283" i="25"/>
  <c r="DL283" i="25"/>
  <c r="CY57" i="25"/>
  <c r="CZ57" i="25"/>
  <c r="CY85" i="25"/>
  <c r="CZ85" i="25"/>
  <c r="DL74" i="25"/>
  <c r="FD74" i="25"/>
  <c r="DS74" i="25"/>
  <c r="DL43" i="25"/>
  <c r="FD43" i="25"/>
  <c r="DS43" i="25"/>
  <c r="DL59" i="25"/>
  <c r="DS59" i="25"/>
  <c r="FD59" i="25"/>
  <c r="CY102" i="25"/>
  <c r="CZ102" i="25"/>
  <c r="DH81" i="25"/>
  <c r="DA81" i="25"/>
  <c r="DD81" i="25" s="1"/>
  <c r="DE81" i="25" s="1"/>
  <c r="DF81" i="25" s="1"/>
  <c r="CZ207" i="25"/>
  <c r="DB207" i="25" s="1"/>
  <c r="DH207" i="25"/>
  <c r="DA207" i="25"/>
  <c r="DD207" i="25" s="1"/>
  <c r="DE207" i="25" s="1"/>
  <c r="DF207" i="25" s="1"/>
  <c r="DH50" i="25"/>
  <c r="DA50" i="25"/>
  <c r="DD50" i="25" s="1"/>
  <c r="DE50" i="25" s="1"/>
  <c r="DF50" i="25" s="1"/>
  <c r="DH104" i="25"/>
  <c r="DA104" i="25"/>
  <c r="DD104" i="25" s="1"/>
  <c r="DE104" i="25" s="1"/>
  <c r="DF104" i="25" s="1"/>
  <c r="DS167" i="25"/>
  <c r="DL167" i="25"/>
  <c r="FD167" i="25"/>
  <c r="DL155" i="25"/>
  <c r="DS155" i="25"/>
  <c r="FD155" i="25"/>
  <c r="CY222" i="25"/>
  <c r="CZ222" i="25"/>
  <c r="CZ150" i="25"/>
  <c r="CY150" i="25"/>
  <c r="CZ138" i="25"/>
  <c r="CY138" i="25"/>
  <c r="DL77" i="25"/>
  <c r="DS77" i="25"/>
  <c r="FD77" i="25"/>
  <c r="DL228" i="25"/>
  <c r="DS228" i="25"/>
  <c r="DS137" i="25"/>
  <c r="FD137" i="25"/>
  <c r="DL137" i="25"/>
  <c r="DH264" i="25"/>
  <c r="DA264" i="25"/>
  <c r="DD264" i="25" s="1"/>
  <c r="DE264" i="25" s="1"/>
  <c r="DF264" i="25" s="1"/>
  <c r="DH165" i="25"/>
  <c r="DA165" i="25"/>
  <c r="DD165" i="25" s="1"/>
  <c r="DE165" i="25" s="1"/>
  <c r="DF165" i="25" s="1"/>
  <c r="DA75" i="25"/>
  <c r="DD75" i="25" s="1"/>
  <c r="DE75" i="25" s="1"/>
  <c r="DF75" i="25" s="1"/>
  <c r="DH75" i="25"/>
  <c r="DH16" i="25"/>
  <c r="DA16" i="25"/>
  <c r="DD16" i="25" s="1"/>
  <c r="DE16" i="25" s="1"/>
  <c r="DF16" i="25" s="1"/>
  <c r="DS255" i="25"/>
  <c r="DH28" i="25"/>
  <c r="DA28" i="25"/>
  <c r="DD28" i="25" s="1"/>
  <c r="DE28" i="25" s="1"/>
  <c r="DF28" i="25" s="1"/>
  <c r="DL254" i="25"/>
  <c r="DS254" i="25"/>
  <c r="CZ149" i="25"/>
  <c r="CY149" i="25"/>
  <c r="DS170" i="25"/>
  <c r="FD170" i="25"/>
  <c r="DL170" i="25"/>
  <c r="DL93" i="25"/>
  <c r="FD93" i="25"/>
  <c r="CY104" i="25"/>
  <c r="CZ104" i="25"/>
  <c r="CY313" i="25"/>
  <c r="CZ313" i="25"/>
  <c r="CY70" i="25"/>
  <c r="CZ70" i="25"/>
  <c r="FD60" i="25"/>
  <c r="DL60" i="25"/>
  <c r="DS60" i="25"/>
  <c r="DL272" i="25"/>
  <c r="DS272" i="25"/>
  <c r="DL49" i="25"/>
  <c r="FD49" i="25"/>
  <c r="CZ199" i="25"/>
  <c r="CY199" i="25"/>
  <c r="DH205" i="25"/>
  <c r="DA205" i="25"/>
  <c r="DD205" i="25" s="1"/>
  <c r="DE205" i="25" s="1"/>
  <c r="DF205" i="25" s="1"/>
  <c r="DH10" i="25"/>
  <c r="DA10" i="25"/>
  <c r="DD10" i="25" s="1"/>
  <c r="DE10" i="25" s="1"/>
  <c r="DF10" i="25" s="1"/>
  <c r="DS252" i="25"/>
  <c r="DL252" i="25"/>
  <c r="CZ168" i="25"/>
  <c r="CY168" i="25"/>
  <c r="CY245" i="25"/>
  <c r="CZ245" i="25"/>
  <c r="DL189" i="25"/>
  <c r="FD189" i="25"/>
  <c r="DS189" i="25"/>
  <c r="CY69" i="25"/>
  <c r="CZ69" i="25"/>
  <c r="DS139" i="25"/>
  <c r="DL139" i="25"/>
  <c r="FD139" i="25"/>
  <c r="DL40" i="25"/>
  <c r="FD40" i="25"/>
  <c r="DS40" i="25"/>
  <c r="CY298" i="25"/>
  <c r="CZ298" i="25"/>
  <c r="DS284" i="25"/>
  <c r="DL284" i="25"/>
  <c r="DL48" i="25"/>
  <c r="DS48" i="25"/>
  <c r="FD71" i="25"/>
  <c r="DL71" i="25"/>
  <c r="DS71" i="25"/>
  <c r="DL81" i="25"/>
  <c r="DS81" i="25"/>
  <c r="FD81" i="25"/>
  <c r="CZ29" i="25"/>
  <c r="CY29" i="25"/>
  <c r="DS58" i="25"/>
  <c r="DL58" i="25"/>
  <c r="FD58" i="25"/>
  <c r="DL12" i="25"/>
  <c r="DS12" i="25"/>
  <c r="FD12" i="25"/>
  <c r="DH243" i="25"/>
  <c r="DA243" i="25"/>
  <c r="DD243" i="25" s="1"/>
  <c r="DE243" i="25" s="1"/>
  <c r="DF243" i="25" s="1"/>
  <c r="DA117" i="25"/>
  <c r="DD117" i="25" s="1"/>
  <c r="DE117" i="25" s="1"/>
  <c r="DF117" i="25" s="1"/>
  <c r="DH117" i="25"/>
  <c r="DH101" i="25"/>
  <c r="DA101" i="25"/>
  <c r="DD101" i="25" s="1"/>
  <c r="DE101" i="25" s="1"/>
  <c r="DF101" i="25" s="1"/>
  <c r="DH313" i="25"/>
  <c r="DA313" i="25"/>
  <c r="DD313" i="25" s="1"/>
  <c r="DE313" i="25" s="1"/>
  <c r="DF313" i="25" s="1"/>
  <c r="CY242" i="25"/>
  <c r="CZ242" i="25"/>
  <c r="DS181" i="25"/>
  <c r="FD181" i="25"/>
  <c r="DL181" i="25"/>
  <c r="CY295" i="25"/>
  <c r="CZ295" i="25"/>
  <c r="CY153" i="25"/>
  <c r="CZ153" i="25"/>
  <c r="CY47" i="25"/>
  <c r="CZ47" i="25"/>
  <c r="FD17" i="25"/>
  <c r="DL17" i="25"/>
  <c r="DA69" i="25"/>
  <c r="DD69" i="25" s="1"/>
  <c r="DE69" i="25" s="1"/>
  <c r="DF69" i="25" s="1"/>
  <c r="DH69" i="25"/>
  <c r="DH260" i="25"/>
  <c r="DA260" i="25"/>
  <c r="DD260" i="25" s="1"/>
  <c r="DE260" i="25" s="1"/>
  <c r="DF260" i="25" s="1"/>
  <c r="DH94" i="25"/>
  <c r="DA94" i="25"/>
  <c r="DD94" i="25" s="1"/>
  <c r="DE94" i="25" s="1"/>
  <c r="DF94" i="25" s="1"/>
  <c r="DH118" i="25"/>
  <c r="DA118" i="25"/>
  <c r="DD118" i="25" s="1"/>
  <c r="DE118" i="25" s="1"/>
  <c r="DF118" i="25" s="1"/>
  <c r="DH309" i="25"/>
  <c r="DA309" i="25"/>
  <c r="DD309" i="25" s="1"/>
  <c r="DE309" i="25" s="1"/>
  <c r="DF309" i="25" s="1"/>
  <c r="DA291" i="25"/>
  <c r="DD291" i="25" s="1"/>
  <c r="DE291" i="25" s="1"/>
  <c r="DF291" i="25" s="1"/>
  <c r="DH291" i="25"/>
  <c r="DH74" i="25"/>
  <c r="DA74" i="25"/>
  <c r="DD74" i="25" s="1"/>
  <c r="DE74" i="25" s="1"/>
  <c r="DF74" i="25" s="1"/>
  <c r="DH8" i="25"/>
  <c r="DA8" i="25"/>
  <c r="DD8" i="25" s="1"/>
  <c r="DE8" i="25" s="1"/>
  <c r="DF8" i="25" s="1"/>
  <c r="FD194" i="25"/>
  <c r="DL194" i="25"/>
  <c r="CZ161" i="25"/>
  <c r="CY161" i="25"/>
  <c r="CY276" i="25"/>
  <c r="CZ276" i="25"/>
  <c r="DL185" i="25"/>
  <c r="DS185" i="25"/>
  <c r="FD185" i="25"/>
  <c r="DS145" i="25"/>
  <c r="DL145" i="25"/>
  <c r="FD145" i="25"/>
  <c r="CY25" i="25"/>
  <c r="CZ25" i="25"/>
  <c r="DS117" i="25"/>
  <c r="DL117" i="25"/>
  <c r="FD117" i="25"/>
  <c r="CY15" i="25"/>
  <c r="CZ15" i="25"/>
  <c r="CY159" i="25"/>
  <c r="CZ159" i="25"/>
  <c r="CY52" i="25"/>
  <c r="CZ52" i="25"/>
  <c r="DL72" i="25"/>
  <c r="DS72" i="25"/>
  <c r="FD72" i="25"/>
  <c r="FD98" i="25"/>
  <c r="DL98" i="25"/>
  <c r="DS300" i="25"/>
  <c r="DL300" i="25"/>
  <c r="DH274" i="25"/>
  <c r="DA274" i="25"/>
  <c r="DD274" i="25" s="1"/>
  <c r="DE274" i="25" s="1"/>
  <c r="DF274" i="25" s="1"/>
  <c r="CZ19" i="25"/>
  <c r="DB19" i="25" s="1"/>
  <c r="DH19" i="25"/>
  <c r="DA19" i="25"/>
  <c r="DD19" i="25" s="1"/>
  <c r="DE19" i="25" s="1"/>
  <c r="DF19" i="25" s="1"/>
  <c r="DL259" i="25"/>
  <c r="DS259" i="25"/>
  <c r="DL200" i="25"/>
  <c r="FD200" i="25"/>
  <c r="DL253" i="25"/>
  <c r="DS253" i="25"/>
  <c r="CY247" i="25"/>
  <c r="CZ247" i="25"/>
  <c r="CZ172" i="25"/>
  <c r="CY172" i="25"/>
  <c r="DL45" i="25"/>
  <c r="DS45" i="25"/>
  <c r="FD45" i="25"/>
  <c r="FD136" i="25"/>
  <c r="DS136" i="25"/>
  <c r="DL136" i="25"/>
  <c r="DL313" i="25"/>
  <c r="DS313" i="25"/>
  <c r="CY60" i="25"/>
  <c r="CZ60" i="25"/>
  <c r="DH88" i="25"/>
  <c r="DA88" i="25"/>
  <c r="DD88" i="25" s="1"/>
  <c r="DE88" i="25" s="1"/>
  <c r="DF88" i="25" s="1"/>
  <c r="DA172" i="25"/>
  <c r="DD172" i="25" s="1"/>
  <c r="DE172" i="25" s="1"/>
  <c r="DF172" i="25" s="1"/>
  <c r="DH172" i="25"/>
  <c r="DH183" i="25"/>
  <c r="DA183" i="25"/>
  <c r="DD183" i="25" s="1"/>
  <c r="DE183" i="25" s="1"/>
  <c r="DF183" i="25" s="1"/>
  <c r="DH25" i="25"/>
  <c r="DA25" i="25"/>
  <c r="DD25" i="25" s="1"/>
  <c r="DE25" i="25" s="1"/>
  <c r="DF25" i="25" s="1"/>
  <c r="DH146" i="25"/>
  <c r="DA146" i="25"/>
  <c r="DD146" i="25" s="1"/>
  <c r="DE146" i="25" s="1"/>
  <c r="DF146" i="25" s="1"/>
  <c r="DA114" i="25"/>
  <c r="DD114" i="25" s="1"/>
  <c r="DE114" i="25" s="1"/>
  <c r="DF114" i="25" s="1"/>
  <c r="DH114" i="25"/>
  <c r="DH303" i="25"/>
  <c r="DA303" i="25"/>
  <c r="DD303" i="25" s="1"/>
  <c r="DE303" i="25" s="1"/>
  <c r="DF303" i="25" s="1"/>
  <c r="DH20" i="25"/>
  <c r="DA20" i="25"/>
  <c r="DD20" i="25" s="1"/>
  <c r="DE20" i="25" s="1"/>
  <c r="DF20" i="25" s="1"/>
  <c r="CZ162" i="25"/>
  <c r="DB162" i="25" s="1"/>
  <c r="DH162" i="25"/>
  <c r="DA162" i="25"/>
  <c r="DD162" i="25" s="1"/>
  <c r="DE162" i="25" s="1"/>
  <c r="DF162" i="25" s="1"/>
  <c r="DH246" i="25"/>
  <c r="DA246" i="25"/>
  <c r="DD246" i="25" s="1"/>
  <c r="DE246" i="25" s="1"/>
  <c r="DF246" i="25" s="1"/>
  <c r="CY182" i="25"/>
  <c r="CZ182" i="25"/>
  <c r="CY314" i="25"/>
  <c r="CZ314" i="25"/>
  <c r="CZ252" i="25"/>
  <c r="CY252" i="25"/>
  <c r="DL245" i="25"/>
  <c r="FD169" i="25"/>
  <c r="DS169" i="25"/>
  <c r="DL169" i="25"/>
  <c r="DL88" i="25"/>
  <c r="DS88" i="25"/>
  <c r="FD88" i="25"/>
  <c r="CY40" i="25"/>
  <c r="CZ40" i="25"/>
  <c r="DL298" i="25"/>
  <c r="DS298" i="25"/>
  <c r="CZ96" i="25"/>
  <c r="CY96" i="25"/>
  <c r="CY48" i="25"/>
  <c r="CZ48" i="25"/>
  <c r="DL24" i="25"/>
  <c r="FD24" i="25"/>
  <c r="FD48" i="25"/>
  <c r="FD95" i="25"/>
  <c r="DH176" i="25"/>
  <c r="DA176" i="25"/>
  <c r="DD176" i="25" s="1"/>
  <c r="DE176" i="25" s="1"/>
  <c r="DF176" i="25" s="1"/>
  <c r="CY225" i="25"/>
  <c r="CZ225" i="25"/>
  <c r="DL269" i="25"/>
  <c r="DS269" i="25"/>
  <c r="DH21" i="25"/>
  <c r="DA21" i="25"/>
  <c r="DD21" i="25" s="1"/>
  <c r="DE21" i="25" s="1"/>
  <c r="DF21" i="25" s="1"/>
  <c r="DH167" i="25"/>
  <c r="DA167" i="25"/>
  <c r="DD167" i="25" s="1"/>
  <c r="DE167" i="25" s="1"/>
  <c r="DF167" i="25" s="1"/>
  <c r="DA194" i="25"/>
  <c r="DD194" i="25" s="1"/>
  <c r="DE194" i="25" s="1"/>
  <c r="DF194" i="25" s="1"/>
  <c r="DH194" i="25"/>
  <c r="CZ155" i="25"/>
  <c r="DB155" i="25" s="1"/>
  <c r="DH155" i="25"/>
  <c r="DA155" i="25"/>
  <c r="DD155" i="25" s="1"/>
  <c r="DE155" i="25" s="1"/>
  <c r="DF155" i="25" s="1"/>
  <c r="DH288" i="25"/>
  <c r="DA288" i="25"/>
  <c r="DD288" i="25" s="1"/>
  <c r="DE288" i="25" s="1"/>
  <c r="DF288" i="25" s="1"/>
  <c r="CZ82" i="25"/>
  <c r="DB82" i="25" s="1"/>
  <c r="DH82" i="25"/>
  <c r="DA82" i="25"/>
  <c r="DD82" i="25" s="1"/>
  <c r="DE82" i="25" s="1"/>
  <c r="DF82" i="25" s="1"/>
  <c r="DL242" i="25"/>
  <c r="DS242" i="25"/>
  <c r="DL295" i="25"/>
  <c r="DS233" i="25"/>
  <c r="DL233" i="25"/>
  <c r="FD130" i="25"/>
  <c r="DL130" i="25"/>
  <c r="DS130" i="25"/>
  <c r="DS126" i="25"/>
  <c r="FD126" i="25"/>
  <c r="DL126" i="25"/>
  <c r="CY86" i="25"/>
  <c r="CZ86" i="25"/>
  <c r="FD34" i="25"/>
  <c r="DL34" i="25"/>
  <c r="DS34" i="25"/>
  <c r="DS266" i="25"/>
  <c r="DL266" i="25"/>
  <c r="DL47" i="25"/>
  <c r="DS47" i="25"/>
  <c r="FD47" i="25"/>
  <c r="CY55" i="25"/>
  <c r="CZ55" i="25"/>
  <c r="DL14" i="25"/>
  <c r="DS14" i="25"/>
  <c r="FD14" i="25"/>
  <c r="DS38" i="25"/>
  <c r="FD38" i="25"/>
  <c r="DL38" i="25"/>
  <c r="DH315" i="25"/>
  <c r="DA315" i="25"/>
  <c r="DD315" i="25" s="1"/>
  <c r="DE315" i="25" s="1"/>
  <c r="DF315" i="25" s="1"/>
  <c r="DA62" i="25"/>
  <c r="DD62" i="25" s="1"/>
  <c r="DE62" i="25" s="1"/>
  <c r="DF62" i="25" s="1"/>
  <c r="DH62" i="25"/>
  <c r="DL179" i="25"/>
  <c r="FD179" i="25"/>
  <c r="DS179" i="25"/>
  <c r="CY232" i="25"/>
  <c r="CZ232" i="25"/>
  <c r="CY64" i="25"/>
  <c r="CZ64" i="25"/>
  <c r="DH219" i="25"/>
  <c r="DA219" i="25"/>
  <c r="DD219" i="25" s="1"/>
  <c r="DE219" i="25" s="1"/>
  <c r="DF219" i="25" s="1"/>
  <c r="DA261" i="25"/>
  <c r="DD261" i="25" s="1"/>
  <c r="DE261" i="25" s="1"/>
  <c r="DF261" i="25" s="1"/>
  <c r="DH261" i="25"/>
  <c r="CZ306" i="25"/>
  <c r="CY306" i="25"/>
  <c r="DL235" i="25"/>
  <c r="DS235" i="25"/>
  <c r="DL275" i="25"/>
  <c r="DS275" i="25"/>
  <c r="DS146" i="25"/>
  <c r="FD146" i="25"/>
  <c r="DL146" i="25"/>
  <c r="DL276" i="25"/>
  <c r="DS276" i="25"/>
  <c r="DS79" i="25"/>
  <c r="DL79" i="25"/>
  <c r="FD79" i="25"/>
  <c r="CY262" i="25"/>
  <c r="CZ262" i="25"/>
  <c r="CY89" i="25"/>
  <c r="CZ89" i="25"/>
  <c r="DL25" i="25"/>
  <c r="FD25" i="25"/>
  <c r="DH113" i="25"/>
  <c r="DA113" i="25"/>
  <c r="DD113" i="25" s="1"/>
  <c r="DE113" i="25" s="1"/>
  <c r="DF113" i="25" s="1"/>
  <c r="DT43" i="24"/>
  <c r="DT282" i="24"/>
  <c r="DT29" i="24"/>
  <c r="DT11" i="24"/>
  <c r="CN302" i="24"/>
  <c r="DA302" i="24" s="1"/>
  <c r="CS302" i="24"/>
  <c r="FD302" i="24" s="1"/>
  <c r="DT287" i="24"/>
  <c r="DT219" i="24"/>
  <c r="CS267" i="24"/>
  <c r="FD267" i="24" s="1"/>
  <c r="CN267" i="24"/>
  <c r="DA267" i="24" s="1"/>
  <c r="CZ47" i="24"/>
  <c r="DT66" i="24"/>
  <c r="DT36" i="24"/>
  <c r="CS9" i="24"/>
  <c r="FD9" i="24" s="1"/>
  <c r="CN9" i="24"/>
  <c r="DA9" i="24" s="1"/>
  <c r="CZ86" i="24"/>
  <c r="DT15" i="24"/>
  <c r="CS236" i="24"/>
  <c r="FD236" i="24" s="1"/>
  <c r="CN236" i="24"/>
  <c r="DA236" i="24" s="1"/>
  <c r="CN206" i="24"/>
  <c r="DA206" i="24" s="1"/>
  <c r="CS206" i="24"/>
  <c r="FD206" i="24" s="1"/>
  <c r="CZ226" i="24"/>
  <c r="DT263" i="24"/>
  <c r="DT83" i="24"/>
  <c r="CZ153" i="24"/>
  <c r="CN73" i="24"/>
  <c r="DA73" i="24" s="1"/>
  <c r="CS73" i="24"/>
  <c r="FD73" i="24" s="1"/>
  <c r="CS52" i="24"/>
  <c r="FD52" i="24" s="1"/>
  <c r="CN52" i="24"/>
  <c r="CZ72" i="24"/>
  <c r="CS30" i="24"/>
  <c r="FD30" i="24" s="1"/>
  <c r="CN30" i="24"/>
  <c r="DA30" i="24" s="1"/>
  <c r="DT281" i="24"/>
  <c r="DT277" i="24"/>
  <c r="CN192" i="24"/>
  <c r="DA192" i="24" s="1"/>
  <c r="CS192" i="24"/>
  <c r="FD192" i="24" s="1"/>
  <c r="CZ240" i="24"/>
  <c r="CN116" i="24"/>
  <c r="DA116" i="24" s="1"/>
  <c r="CS116" i="24"/>
  <c r="FD116" i="24" s="1"/>
  <c r="CN133" i="24"/>
  <c r="DA133" i="24" s="1"/>
  <c r="CS133" i="24"/>
  <c r="FD133" i="24" s="1"/>
  <c r="CZ172" i="24"/>
  <c r="DT38" i="24"/>
  <c r="DT103" i="24"/>
  <c r="CN20" i="24"/>
  <c r="DA20" i="24" s="1"/>
  <c r="CS20" i="24"/>
  <c r="FD20" i="24" s="1"/>
  <c r="CN311" i="24"/>
  <c r="DA311" i="24" s="1"/>
  <c r="CS311" i="24"/>
  <c r="FD311" i="24" s="1"/>
  <c r="DT238" i="24"/>
  <c r="CS259" i="24"/>
  <c r="FD259" i="24" s="1"/>
  <c r="CN259" i="24"/>
  <c r="DA259" i="24" s="1"/>
  <c r="CS232" i="24"/>
  <c r="FD232" i="24" s="1"/>
  <c r="CN232" i="24"/>
  <c r="CN233" i="24"/>
  <c r="DA233" i="24" s="1"/>
  <c r="CS233" i="24"/>
  <c r="FD233" i="24" s="1"/>
  <c r="DT306" i="24"/>
  <c r="DT98" i="24"/>
  <c r="CS161" i="24"/>
  <c r="FD161" i="24" s="1"/>
  <c r="CN161" i="24"/>
  <c r="DA161" i="24" s="1"/>
  <c r="CS132" i="24"/>
  <c r="FD132" i="24" s="1"/>
  <c r="CN132" i="24"/>
  <c r="DA132" i="24" s="1"/>
  <c r="CZ148" i="24"/>
  <c r="DT47" i="24"/>
  <c r="CS120" i="24"/>
  <c r="FD120" i="24" s="1"/>
  <c r="CN120" i="24"/>
  <c r="DA120" i="24" s="1"/>
  <c r="CZ119" i="24"/>
  <c r="CZ41" i="24"/>
  <c r="CZ66" i="24"/>
  <c r="CS36" i="24"/>
  <c r="FD36" i="24" s="1"/>
  <c r="CN36" i="24"/>
  <c r="DA36" i="24" s="1"/>
  <c r="DT21" i="24"/>
  <c r="DT45" i="24"/>
  <c r="DT236" i="24"/>
  <c r="CS189" i="24"/>
  <c r="FD189" i="24" s="1"/>
  <c r="CN189" i="24"/>
  <c r="CS255" i="24"/>
  <c r="FD255" i="24" s="1"/>
  <c r="CN255" i="24"/>
  <c r="DA255" i="24" s="1"/>
  <c r="DT285" i="24"/>
  <c r="DT298" i="24"/>
  <c r="CS146" i="24"/>
  <c r="FD146" i="24" s="1"/>
  <c r="CN146" i="24"/>
  <c r="DA146" i="24" s="1"/>
  <c r="DT217" i="24"/>
  <c r="CZ40" i="24"/>
  <c r="DT70" i="24"/>
  <c r="CZ30" i="24"/>
  <c r="CZ314" i="24"/>
  <c r="CN200" i="24"/>
  <c r="DA200" i="24" s="1"/>
  <c r="CS200" i="24"/>
  <c r="FD200" i="24" s="1"/>
  <c r="CZ277" i="24"/>
  <c r="CN224" i="24"/>
  <c r="DA224" i="24" s="1"/>
  <c r="CS224" i="24"/>
  <c r="FD224" i="24" s="1"/>
  <c r="DT242" i="24"/>
  <c r="CS29" i="24"/>
  <c r="FD29" i="24" s="1"/>
  <c r="CN29" i="24"/>
  <c r="DA29" i="24" s="1"/>
  <c r="CZ259" i="24"/>
  <c r="CZ208" i="24"/>
  <c r="DT297" i="24"/>
  <c r="CZ267" i="24"/>
  <c r="CN179" i="24"/>
  <c r="DA179" i="24" s="1"/>
  <c r="CS179" i="24"/>
  <c r="FD179" i="24" s="1"/>
  <c r="CN41" i="24"/>
  <c r="CS41" i="24"/>
  <c r="FD41" i="24" s="1"/>
  <c r="DT9" i="24"/>
  <c r="CN296" i="24"/>
  <c r="DA296" i="24" s="1"/>
  <c r="CS296" i="24"/>
  <c r="FD296" i="24" s="1"/>
  <c r="CS298" i="24"/>
  <c r="FD298" i="24" s="1"/>
  <c r="CN298" i="24"/>
  <c r="DA298" i="24" s="1"/>
  <c r="CS153" i="24"/>
  <c r="FD153" i="24" s="1"/>
  <c r="CN153" i="24"/>
  <c r="DA153" i="24" s="1"/>
  <c r="CS234" i="24"/>
  <c r="FD234" i="24" s="1"/>
  <c r="CN234" i="24"/>
  <c r="DA234" i="24" s="1"/>
  <c r="CN118" i="24"/>
  <c r="DA118" i="24" s="1"/>
  <c r="CS118" i="24"/>
  <c r="FD118" i="24" s="1"/>
  <c r="CS64" i="24"/>
  <c r="FD64" i="24" s="1"/>
  <c r="CN64" i="24"/>
  <c r="CS6" i="24"/>
  <c r="FD6" i="24" s="1"/>
  <c r="CN6" i="24"/>
  <c r="DA6" i="24" s="1"/>
  <c r="DT18" i="24"/>
  <c r="CN289" i="24"/>
  <c r="DA289" i="24" s="1"/>
  <c r="CS289" i="24"/>
  <c r="FD289" i="24" s="1"/>
  <c r="CZ205" i="24"/>
  <c r="DT314" i="24"/>
  <c r="DT253" i="24"/>
  <c r="CN240" i="24"/>
  <c r="DA240" i="24" s="1"/>
  <c r="CS240" i="24"/>
  <c r="FD240" i="24" s="1"/>
  <c r="CZ111" i="24"/>
  <c r="DT58" i="24"/>
  <c r="CN238" i="24"/>
  <c r="DA238" i="24" s="1"/>
  <c r="CS238" i="24"/>
  <c r="FD238" i="24" s="1"/>
  <c r="DT267" i="24"/>
  <c r="CN306" i="24"/>
  <c r="DA306" i="24" s="1"/>
  <c r="CS306" i="24"/>
  <c r="FD306" i="24" s="1"/>
  <c r="CS171" i="24"/>
  <c r="FD171" i="24" s="1"/>
  <c r="CN171" i="24"/>
  <c r="CS148" i="24"/>
  <c r="FD148" i="24" s="1"/>
  <c r="CN148" i="24"/>
  <c r="DA148" i="24" s="1"/>
  <c r="CZ258" i="24"/>
  <c r="DT41" i="24"/>
  <c r="CS45" i="24"/>
  <c r="FD45" i="24" s="1"/>
  <c r="CN45" i="24"/>
  <c r="DA45" i="24" s="1"/>
  <c r="DT86" i="24"/>
  <c r="CZ296" i="24"/>
  <c r="CZ255" i="24"/>
  <c r="CZ285" i="24"/>
  <c r="CS226" i="24"/>
  <c r="FD226" i="24" s="1"/>
  <c r="CN226" i="24"/>
  <c r="DT294" i="24"/>
  <c r="CZ123" i="24"/>
  <c r="CZ136" i="24"/>
  <c r="CZ234" i="24"/>
  <c r="CZ113" i="24"/>
  <c r="CZ118" i="24"/>
  <c r="CZ64" i="24"/>
  <c r="DT6" i="24"/>
  <c r="CS18" i="24"/>
  <c r="FD18" i="24" s="1"/>
  <c r="CN18" i="24"/>
  <c r="CS205" i="24"/>
  <c r="FD205" i="24" s="1"/>
  <c r="CN205" i="24"/>
  <c r="CN253" i="24"/>
  <c r="DA253" i="24" s="1"/>
  <c r="CS253" i="24"/>
  <c r="FD253" i="24" s="1"/>
  <c r="DT224" i="24"/>
  <c r="CS286" i="24"/>
  <c r="FD286" i="24" s="1"/>
  <c r="CN286" i="24"/>
  <c r="DA286" i="24" s="1"/>
  <c r="DT240" i="24"/>
  <c r="CZ150" i="24"/>
  <c r="CN242" i="24"/>
  <c r="DA242" i="24" s="1"/>
  <c r="CS242" i="24"/>
  <c r="FD242" i="24" s="1"/>
  <c r="CN89" i="24"/>
  <c r="CS89" i="24"/>
  <c r="FD89" i="24" s="1"/>
  <c r="CZ20" i="24"/>
  <c r="DT280" i="24"/>
  <c r="DT311" i="24"/>
  <c r="CZ300" i="24"/>
  <c r="DT259" i="24"/>
  <c r="DT232" i="24"/>
  <c r="CS309" i="24"/>
  <c r="FD309" i="24" s="1"/>
  <c r="CN309" i="24"/>
  <c r="DA309" i="24" s="1"/>
  <c r="CZ161" i="24"/>
  <c r="CZ307" i="24"/>
  <c r="CZ179" i="24"/>
  <c r="CS81" i="24"/>
  <c r="FD81" i="24" s="1"/>
  <c r="CN81" i="24"/>
  <c r="CZ264" i="24"/>
  <c r="CN47" i="24"/>
  <c r="DA47" i="24" s="1"/>
  <c r="CS47" i="24"/>
  <c r="FD47" i="24" s="1"/>
  <c r="CS167" i="24"/>
  <c r="FD167" i="24" s="1"/>
  <c r="CN167" i="24"/>
  <c r="DA167" i="24" s="1"/>
  <c r="CZ75" i="24"/>
  <c r="CN21" i="24"/>
  <c r="DA21" i="24" s="1"/>
  <c r="CS21" i="24"/>
  <c r="FD21" i="24" s="1"/>
  <c r="DT296" i="24"/>
  <c r="CZ283" i="24"/>
  <c r="DT255" i="24"/>
  <c r="CZ203" i="24"/>
  <c r="DT226" i="24"/>
  <c r="CZ294" i="24"/>
  <c r="CS221" i="24"/>
  <c r="FD221" i="24" s="1"/>
  <c r="CN221" i="24"/>
  <c r="DA221" i="24" s="1"/>
  <c r="CS157" i="24"/>
  <c r="FD157" i="24" s="1"/>
  <c r="CN157" i="24"/>
  <c r="DA157" i="24" s="1"/>
  <c r="CZ209" i="24"/>
  <c r="CZ177" i="24"/>
  <c r="DT244" i="24"/>
  <c r="CS217" i="24"/>
  <c r="FD217" i="24" s="1"/>
  <c r="CN217" i="24"/>
  <c r="DA217" i="24" s="1"/>
  <c r="CS136" i="24"/>
  <c r="FD136" i="24" s="1"/>
  <c r="CN136" i="24"/>
  <c r="DT234" i="24"/>
  <c r="DT14" i="24"/>
  <c r="DT72" i="24"/>
  <c r="CZ289" i="24"/>
  <c r="CZ281" i="24"/>
  <c r="CS282" i="24"/>
  <c r="FD282" i="24" s="1"/>
  <c r="CN282" i="24"/>
  <c r="DA282" i="24" s="1"/>
  <c r="CN187" i="24"/>
  <c r="DA187" i="24" s="1"/>
  <c r="CS187" i="24"/>
  <c r="FD187" i="24" s="1"/>
  <c r="DT286" i="24"/>
  <c r="CN291" i="24"/>
  <c r="DA291" i="24" s="1"/>
  <c r="CS291" i="24"/>
  <c r="FD291" i="24" s="1"/>
  <c r="CN150" i="24"/>
  <c r="CS150" i="24"/>
  <c r="FD150" i="24" s="1"/>
  <c r="CN115" i="24"/>
  <c r="CS115" i="24"/>
  <c r="FD115" i="24" s="1"/>
  <c r="CS172" i="24"/>
  <c r="FD172" i="24" s="1"/>
  <c r="CN172" i="24"/>
  <c r="DA172" i="24" s="1"/>
  <c r="CZ17" i="24"/>
  <c r="CS300" i="24"/>
  <c r="FD300" i="24" s="1"/>
  <c r="CN300" i="24"/>
  <c r="DA300" i="24" s="1"/>
  <c r="CZ238" i="24"/>
  <c r="CS190" i="24"/>
  <c r="FD190" i="24" s="1"/>
  <c r="CN190" i="24"/>
  <c r="DA190" i="24" s="1"/>
  <c r="CZ287" i="24"/>
  <c r="DT309" i="24"/>
  <c r="CZ233" i="24"/>
  <c r="DT307" i="24"/>
  <c r="DT81" i="24"/>
  <c r="CN264" i="24"/>
  <c r="DA264" i="24" s="1"/>
  <c r="CS264" i="24"/>
  <c r="FD264" i="24" s="1"/>
  <c r="DT258" i="24"/>
  <c r="CZ167" i="24"/>
  <c r="CN119" i="24"/>
  <c r="DA119" i="24" s="1"/>
  <c r="CS119" i="24"/>
  <c r="FD119" i="24" s="1"/>
  <c r="CN66" i="24"/>
  <c r="CS66" i="24"/>
  <c r="FD66" i="24" s="1"/>
  <c r="CN75" i="24"/>
  <c r="DA75" i="24" s="1"/>
  <c r="CS75" i="24"/>
  <c r="FD75" i="24" s="1"/>
  <c r="CZ21" i="24"/>
  <c r="CS283" i="24"/>
  <c r="FD283" i="24" s="1"/>
  <c r="CN283" i="24"/>
  <c r="DA283" i="24" s="1"/>
  <c r="DT284" i="24"/>
  <c r="CS203" i="24"/>
  <c r="FD203" i="24" s="1"/>
  <c r="CN203" i="24"/>
  <c r="DA203" i="24" s="1"/>
  <c r="CZ263" i="24"/>
  <c r="CZ157" i="24"/>
  <c r="CN209" i="24"/>
  <c r="DA209" i="24" s="1"/>
  <c r="CS209" i="24"/>
  <c r="FD209" i="24" s="1"/>
  <c r="CS177" i="24"/>
  <c r="FD177" i="24" s="1"/>
  <c r="CN177" i="24"/>
  <c r="CZ217" i="24"/>
  <c r="DT64" i="24"/>
  <c r="CS14" i="24"/>
  <c r="FD14" i="24" s="1"/>
  <c r="CN14" i="24"/>
  <c r="CZ6" i="24"/>
  <c r="CN72" i="24"/>
  <c r="CS72" i="24"/>
  <c r="FD72" i="24" s="1"/>
  <c r="CS314" i="24"/>
  <c r="FD314" i="24" s="1"/>
  <c r="CN314" i="24"/>
  <c r="CZ253" i="24"/>
  <c r="CZ286" i="24"/>
  <c r="CZ192" i="24"/>
  <c r="DT291" i="24"/>
  <c r="CZ116" i="24"/>
  <c r="CS193" i="24"/>
  <c r="FD193" i="24" s="1"/>
  <c r="CN193" i="24"/>
  <c r="DA193" i="24" s="1"/>
  <c r="CZ156" i="24"/>
  <c r="DT300" i="24"/>
  <c r="CZ302" i="24"/>
  <c r="CZ190" i="24"/>
  <c r="CZ219" i="24"/>
  <c r="CN208" i="24"/>
  <c r="CS208" i="24"/>
  <c r="FD208" i="24" s="1"/>
  <c r="CN297" i="24"/>
  <c r="DA297" i="24" s="1"/>
  <c r="CS297" i="24"/>
  <c r="FD297" i="24" s="1"/>
  <c r="CZ309" i="24"/>
  <c r="CZ98" i="24"/>
  <c r="CN307" i="24"/>
  <c r="DA307" i="24" s="1"/>
  <c r="CS307" i="24"/>
  <c r="FD307" i="24" s="1"/>
  <c r="DT264" i="24"/>
  <c r="CN139" i="24"/>
  <c r="DA139" i="24" s="1"/>
  <c r="CS139" i="24"/>
  <c r="FD139" i="24" s="1"/>
  <c r="CS258" i="24"/>
  <c r="FD258" i="24" s="1"/>
  <c r="CN258" i="24"/>
  <c r="CZ9" i="24"/>
  <c r="CS86" i="24"/>
  <c r="FD86" i="24" s="1"/>
  <c r="CN86" i="24"/>
  <c r="DA86" i="24" s="1"/>
  <c r="CZ15" i="24"/>
  <c r="CZ284" i="24"/>
  <c r="CN294" i="24"/>
  <c r="DA294" i="24" s="1"/>
  <c r="CS294" i="24"/>
  <c r="FD294" i="24" s="1"/>
  <c r="CZ221" i="24"/>
  <c r="CS83" i="24"/>
  <c r="FD83" i="24" s="1"/>
  <c r="CN83" i="24"/>
  <c r="CS123" i="24"/>
  <c r="FD123" i="24" s="1"/>
  <c r="CN123" i="24"/>
  <c r="CS244" i="24"/>
  <c r="FD244" i="24" s="1"/>
  <c r="CN244" i="24"/>
  <c r="DA244" i="24" s="1"/>
  <c r="CZ146" i="24"/>
  <c r="CN40" i="24"/>
  <c r="CS40" i="24"/>
  <c r="FD40" i="24" s="1"/>
  <c r="CN113" i="24"/>
  <c r="DA113" i="24" s="1"/>
  <c r="CS113" i="24"/>
  <c r="FD113" i="24" s="1"/>
  <c r="CZ162" i="24"/>
  <c r="CS70" i="24"/>
  <c r="FD70" i="24" s="1"/>
  <c r="CN70" i="24"/>
  <c r="DT73" i="24"/>
  <c r="DT52" i="24"/>
  <c r="CS281" i="24"/>
  <c r="FD281" i="24" s="1"/>
  <c r="CN281" i="24"/>
  <c r="DA281" i="24" s="1"/>
  <c r="CZ282" i="24"/>
  <c r="CZ200" i="24"/>
  <c r="CZ224" i="24"/>
  <c r="DT250" i="24"/>
  <c r="CZ103" i="24"/>
  <c r="CZ57" i="24"/>
  <c r="CN262" i="24"/>
  <c r="DA262" i="24" s="1"/>
  <c r="CS262" i="24"/>
  <c r="FD262" i="24" s="1"/>
  <c r="DT302" i="24"/>
  <c r="CN287" i="24"/>
  <c r="DA287" i="24" s="1"/>
  <c r="CS287" i="24"/>
  <c r="FD287" i="24" s="1"/>
  <c r="CN219" i="24"/>
  <c r="CS219" i="24"/>
  <c r="FD219" i="24" s="1"/>
  <c r="CZ297" i="24"/>
  <c r="DT233" i="24"/>
  <c r="CZ306" i="24"/>
  <c r="CS98" i="24"/>
  <c r="FD98" i="24" s="1"/>
  <c r="CN98" i="24"/>
  <c r="CZ132" i="24"/>
  <c r="CZ139" i="24"/>
  <c r="CZ120" i="24"/>
  <c r="CZ36" i="24"/>
  <c r="DT75" i="24"/>
  <c r="CZ45" i="24"/>
  <c r="CN15" i="24"/>
  <c r="CS15" i="24"/>
  <c r="FD15" i="24" s="1"/>
  <c r="DT283" i="24"/>
  <c r="CZ236" i="24"/>
  <c r="CS284" i="24"/>
  <c r="FD284" i="24" s="1"/>
  <c r="CN284" i="24"/>
  <c r="CZ206" i="24"/>
  <c r="CS285" i="24"/>
  <c r="FD285" i="24" s="1"/>
  <c r="CN285" i="24"/>
  <c r="DA285" i="24" s="1"/>
  <c r="CS263" i="24"/>
  <c r="FD263" i="24" s="1"/>
  <c r="CN263" i="24"/>
  <c r="CZ298" i="24"/>
  <c r="CZ244" i="24"/>
  <c r="DT40" i="24"/>
  <c r="CN162" i="24"/>
  <c r="DA162" i="24" s="1"/>
  <c r="CS162" i="24"/>
  <c r="FD162" i="24" s="1"/>
  <c r="CZ73" i="24"/>
  <c r="DT30" i="24"/>
  <c r="CZ187" i="24"/>
  <c r="CN277" i="24"/>
  <c r="DA277" i="24" s="1"/>
  <c r="CS277" i="24"/>
  <c r="FD277" i="24" s="1"/>
  <c r="CS250" i="24"/>
  <c r="FD250" i="24" s="1"/>
  <c r="CN250" i="24"/>
  <c r="CN194" i="24"/>
  <c r="CS194" i="24"/>
  <c r="FD194" i="24" s="1"/>
  <c r="CZ164" i="24"/>
  <c r="CZ242" i="24"/>
  <c r="CZ133" i="24"/>
  <c r="CS103" i="24"/>
  <c r="FD103" i="24" s="1"/>
  <c r="CN103" i="24"/>
  <c r="DA103" i="24" s="1"/>
  <c r="DT60" i="24"/>
  <c r="CS58" i="24"/>
  <c r="FD58" i="24" s="1"/>
  <c r="CN58" i="24"/>
  <c r="DA58" i="24" s="1"/>
  <c r="CZ84" i="24"/>
  <c r="CZ185" i="24"/>
  <c r="CZ222" i="24"/>
  <c r="CZ235" i="24"/>
  <c r="DT228" i="24"/>
  <c r="CZ112" i="24"/>
  <c r="CS104" i="24"/>
  <c r="FD104" i="24" s="1"/>
  <c r="CN104" i="24"/>
  <c r="DA104" i="24" s="1"/>
  <c r="DT82" i="24"/>
  <c r="CS67" i="24"/>
  <c r="FD67" i="24" s="1"/>
  <c r="CN67" i="24"/>
  <c r="DA67" i="24" s="1"/>
  <c r="CN50" i="24"/>
  <c r="CS50" i="24"/>
  <c r="FD50" i="24" s="1"/>
  <c r="DT22" i="24"/>
  <c r="DT274" i="24"/>
  <c r="CN248" i="24"/>
  <c r="CS248" i="24"/>
  <c r="FD248" i="24" s="1"/>
  <c r="CZ183" i="24"/>
  <c r="CN186" i="24"/>
  <c r="DA186" i="24" s="1"/>
  <c r="CS186" i="24"/>
  <c r="FD186" i="24" s="1"/>
  <c r="CZ105" i="24"/>
  <c r="CN102" i="24"/>
  <c r="DA102" i="24" s="1"/>
  <c r="CS102" i="24"/>
  <c r="FD102" i="24" s="1"/>
  <c r="DT80" i="24"/>
  <c r="CS163" i="24"/>
  <c r="FD163" i="24" s="1"/>
  <c r="CN163" i="24"/>
  <c r="DT54" i="24"/>
  <c r="CZ8" i="24"/>
  <c r="CN25" i="24"/>
  <c r="DA25" i="24" s="1"/>
  <c r="CS25" i="24"/>
  <c r="FD25" i="24" s="1"/>
  <c r="CS269" i="24"/>
  <c r="FD269" i="24" s="1"/>
  <c r="CN269" i="24"/>
  <c r="DA269" i="24" s="1"/>
  <c r="CZ252" i="24"/>
  <c r="CS247" i="24"/>
  <c r="FD247" i="24" s="1"/>
  <c r="CN247" i="24"/>
  <c r="DA247" i="24" s="1"/>
  <c r="CN303" i="24"/>
  <c r="DA303" i="24" s="1"/>
  <c r="CS303" i="24"/>
  <c r="FD303" i="24" s="1"/>
  <c r="CZ288" i="24"/>
  <c r="CN160" i="24"/>
  <c r="DA160" i="24" s="1"/>
  <c r="CS160" i="24"/>
  <c r="FD160" i="24" s="1"/>
  <c r="CZ135" i="24"/>
  <c r="CZ144" i="24"/>
  <c r="CN78" i="24"/>
  <c r="DA78" i="24" s="1"/>
  <c r="CS78" i="24"/>
  <c r="FD78" i="24" s="1"/>
  <c r="CZ32" i="24"/>
  <c r="CS68" i="24"/>
  <c r="FD68" i="24" s="1"/>
  <c r="CN68" i="24"/>
  <c r="DA68" i="24" s="1"/>
  <c r="CZ94" i="24"/>
  <c r="CS268" i="24"/>
  <c r="FD268" i="24" s="1"/>
  <c r="CN268" i="24"/>
  <c r="DA268" i="24" s="1"/>
  <c r="CN257" i="24"/>
  <c r="DA257" i="24" s="1"/>
  <c r="CS257" i="24"/>
  <c r="FD257" i="24" s="1"/>
  <c r="DT272" i="24"/>
  <c r="CS125" i="24"/>
  <c r="FD125" i="24" s="1"/>
  <c r="CN125" i="24"/>
  <c r="DA125" i="24" s="1"/>
  <c r="CZ141" i="24"/>
  <c r="CZ158" i="24"/>
  <c r="CN142" i="24"/>
  <c r="DA142" i="24" s="1"/>
  <c r="CS142" i="24"/>
  <c r="FD142" i="24" s="1"/>
  <c r="CS74" i="24"/>
  <c r="FD74" i="24" s="1"/>
  <c r="CN74" i="24"/>
  <c r="DA74" i="24" s="1"/>
  <c r="DT218" i="24"/>
  <c r="DT44" i="24"/>
  <c r="CS59" i="24"/>
  <c r="FD59" i="24" s="1"/>
  <c r="CN59" i="24"/>
  <c r="DA59" i="24" s="1"/>
  <c r="DT26" i="24"/>
  <c r="CS313" i="24"/>
  <c r="FD313" i="24" s="1"/>
  <c r="CN313" i="24"/>
  <c r="DA313" i="24" s="1"/>
  <c r="CN290" i="24"/>
  <c r="DA290" i="24" s="1"/>
  <c r="CS290" i="24"/>
  <c r="FD290" i="24" s="1"/>
  <c r="CS225" i="24"/>
  <c r="FD225" i="24" s="1"/>
  <c r="CN225" i="24"/>
  <c r="DA225" i="24" s="1"/>
  <c r="CN237" i="24"/>
  <c r="DA237" i="24" s="1"/>
  <c r="CS237" i="24"/>
  <c r="FD237" i="24" s="1"/>
  <c r="CZ271" i="24"/>
  <c r="CZ114" i="24"/>
  <c r="CZ310" i="24"/>
  <c r="CZ188" i="24"/>
  <c r="DT69" i="24"/>
  <c r="CZ266" i="24"/>
  <c r="CS122" i="24"/>
  <c r="FD122" i="24" s="1"/>
  <c r="CN122" i="24"/>
  <c r="CS43" i="24"/>
  <c r="FD43" i="24" s="1"/>
  <c r="CN43" i="24"/>
  <c r="DA43" i="24" s="1"/>
  <c r="DT71" i="24"/>
  <c r="DT91" i="24"/>
  <c r="DT53" i="24"/>
  <c r="CS60" i="24"/>
  <c r="FD60" i="24" s="1"/>
  <c r="CN60" i="24"/>
  <c r="DA60" i="24" s="1"/>
  <c r="CS17" i="24"/>
  <c r="FD17" i="24" s="1"/>
  <c r="CN17" i="24"/>
  <c r="CZ311" i="24"/>
  <c r="CZ262" i="24"/>
  <c r="DT222" i="24"/>
  <c r="CZ279" i="24"/>
  <c r="DT235" i="24"/>
  <c r="DT243" i="24"/>
  <c r="CN37" i="24"/>
  <c r="DA37" i="24" s="1"/>
  <c r="CS37" i="24"/>
  <c r="FD37" i="24" s="1"/>
  <c r="CS152" i="24"/>
  <c r="FD152" i="24" s="1"/>
  <c r="CN152" i="24"/>
  <c r="DA152" i="24" s="1"/>
  <c r="DT7" i="24"/>
  <c r="CZ55" i="24"/>
  <c r="DT67" i="24"/>
  <c r="CZ254" i="24"/>
  <c r="DT308" i="24"/>
  <c r="CS305" i="24"/>
  <c r="FD305" i="24" s="1"/>
  <c r="CN305" i="24"/>
  <c r="CZ265" i="24"/>
  <c r="CS275" i="24"/>
  <c r="FD275" i="24" s="1"/>
  <c r="CN275" i="24"/>
  <c r="DA275" i="24" s="1"/>
  <c r="CN173" i="24"/>
  <c r="DA173" i="24" s="1"/>
  <c r="CS173" i="24"/>
  <c r="FD173" i="24" s="1"/>
  <c r="CZ149" i="24"/>
  <c r="CS93" i="24"/>
  <c r="FD93" i="24" s="1"/>
  <c r="CN93" i="24"/>
  <c r="DA93" i="24" s="1"/>
  <c r="CZ90" i="24"/>
  <c r="CZ54" i="24"/>
  <c r="CS16" i="24"/>
  <c r="FD16" i="24" s="1"/>
  <c r="CN16" i="24"/>
  <c r="DA16" i="24" s="1"/>
  <c r="DT304" i="24"/>
  <c r="CZ273" i="24"/>
  <c r="CZ197" i="24"/>
  <c r="CS220" i="24"/>
  <c r="FD220" i="24" s="1"/>
  <c r="CN220" i="24"/>
  <c r="DA220" i="24" s="1"/>
  <c r="CZ131" i="24"/>
  <c r="CZ101" i="24"/>
  <c r="CS32" i="24"/>
  <c r="FD32" i="24" s="1"/>
  <c r="CN32" i="24"/>
  <c r="DA32" i="24" s="1"/>
  <c r="DT68" i="24"/>
  <c r="DT94" i="24"/>
  <c r="CS28" i="24"/>
  <c r="FD28" i="24" s="1"/>
  <c r="CN28" i="24"/>
  <c r="CZ198" i="24"/>
  <c r="DT268" i="24"/>
  <c r="DT257" i="24"/>
  <c r="CN272" i="24"/>
  <c r="DA272" i="24" s="1"/>
  <c r="CS272" i="24"/>
  <c r="FD272" i="24" s="1"/>
  <c r="CN207" i="24"/>
  <c r="DA207" i="24" s="1"/>
  <c r="CS207" i="24"/>
  <c r="FD207" i="24" s="1"/>
  <c r="CN141" i="24"/>
  <c r="CS141" i="24"/>
  <c r="FD141" i="24" s="1"/>
  <c r="CZ128" i="24"/>
  <c r="CZ117" i="24"/>
  <c r="DT74" i="24"/>
  <c r="DT31" i="24"/>
  <c r="CZ145" i="24"/>
  <c r="CS218" i="24"/>
  <c r="FD218" i="24" s="1"/>
  <c r="CN218" i="24"/>
  <c r="DA218" i="24" s="1"/>
  <c r="CZ130" i="24"/>
  <c r="CN44" i="24"/>
  <c r="DA44" i="24" s="1"/>
  <c r="CS44" i="24"/>
  <c r="FD44" i="24" s="1"/>
  <c r="DT96" i="24"/>
  <c r="DT12" i="24"/>
  <c r="CN77" i="24"/>
  <c r="DA77" i="24" s="1"/>
  <c r="CS77" i="24"/>
  <c r="FD77" i="24" s="1"/>
  <c r="DT59" i="24"/>
  <c r="CZ313" i="24"/>
  <c r="CZ246" i="24"/>
  <c r="DT290" i="24"/>
  <c r="DT223" i="24"/>
  <c r="CZ260" i="24"/>
  <c r="CZ225" i="24"/>
  <c r="CN299" i="24"/>
  <c r="CS299" i="24"/>
  <c r="FD299" i="24" s="1"/>
  <c r="DT237" i="24"/>
  <c r="CN124" i="24"/>
  <c r="DA124" i="24" s="1"/>
  <c r="CS124" i="24"/>
  <c r="FD124" i="24" s="1"/>
  <c r="CZ99" i="24"/>
  <c r="CN69" i="24"/>
  <c r="DA69" i="24" s="1"/>
  <c r="CS69" i="24"/>
  <c r="FD69" i="24" s="1"/>
  <c r="CZ127" i="24"/>
  <c r="CN39" i="24"/>
  <c r="DA39" i="24" s="1"/>
  <c r="CS39" i="24"/>
  <c r="FD39" i="24" s="1"/>
  <c r="CS87" i="24"/>
  <c r="FD87" i="24" s="1"/>
  <c r="CN87" i="24"/>
  <c r="DA87" i="24" s="1"/>
  <c r="CZ291" i="24"/>
  <c r="CS111" i="24"/>
  <c r="FD111" i="24" s="1"/>
  <c r="CN111" i="24"/>
  <c r="DA111" i="24" s="1"/>
  <c r="CZ38" i="24"/>
  <c r="DT89" i="24"/>
  <c r="CZ60" i="24"/>
  <c r="CZ29" i="24"/>
  <c r="CZ58" i="24"/>
  <c r="CN10" i="24"/>
  <c r="DA10" i="24" s="1"/>
  <c r="CS10" i="24"/>
  <c r="FD10" i="24" s="1"/>
  <c r="CN280" i="24"/>
  <c r="DA280" i="24" s="1"/>
  <c r="CS280" i="24"/>
  <c r="FD280" i="24" s="1"/>
  <c r="CZ293" i="24"/>
  <c r="DT245" i="24"/>
  <c r="CS222" i="24"/>
  <c r="FD222" i="24" s="1"/>
  <c r="CN222" i="24"/>
  <c r="CS243" i="24"/>
  <c r="FD243" i="24" s="1"/>
  <c r="CN243" i="24"/>
  <c r="DA243" i="24" s="1"/>
  <c r="CZ143" i="24"/>
  <c r="CZ37" i="24"/>
  <c r="CZ170" i="24"/>
  <c r="CZ152" i="24"/>
  <c r="CZ27" i="24"/>
  <c r="DT254" i="24"/>
  <c r="CS292" i="24"/>
  <c r="FD292" i="24" s="1"/>
  <c r="CN292" i="24"/>
  <c r="DA292" i="24" s="1"/>
  <c r="CN265" i="24"/>
  <c r="CS265" i="24"/>
  <c r="FD265" i="24" s="1"/>
  <c r="CN312" i="24"/>
  <c r="DA312" i="24" s="1"/>
  <c r="CS312" i="24"/>
  <c r="FD312" i="24" s="1"/>
  <c r="CZ134" i="24"/>
  <c r="CS105" i="24"/>
  <c r="FD105" i="24" s="1"/>
  <c r="CN105" i="24"/>
  <c r="CZ169" i="24"/>
  <c r="DT102" i="24"/>
  <c r="DT93" i="24"/>
  <c r="CZ24" i="24"/>
  <c r="CZ46" i="24"/>
  <c r="DT269" i="24"/>
  <c r="CZ199" i="24"/>
  <c r="DT247" i="24"/>
  <c r="DT273" i="24"/>
  <c r="CS231" i="24"/>
  <c r="FD231" i="24" s="1"/>
  <c r="CN231" i="24"/>
  <c r="DA231" i="24" s="1"/>
  <c r="CN261" i="24"/>
  <c r="CS261" i="24"/>
  <c r="FD261" i="24" s="1"/>
  <c r="CZ220" i="24"/>
  <c r="CS184" i="24"/>
  <c r="FD184" i="24" s="1"/>
  <c r="CN184" i="24"/>
  <c r="CS100" i="24"/>
  <c r="FD100" i="24" s="1"/>
  <c r="CN100" i="24"/>
  <c r="DA100" i="24" s="1"/>
  <c r="CN165" i="24"/>
  <c r="DA165" i="24" s="1"/>
  <c r="CS165" i="24"/>
  <c r="FD165" i="24" s="1"/>
  <c r="CZ78" i="24"/>
  <c r="CN137" i="24"/>
  <c r="DA137" i="24" s="1"/>
  <c r="CS137" i="24"/>
  <c r="FD137" i="24" s="1"/>
  <c r="CN85" i="24"/>
  <c r="DA85" i="24" s="1"/>
  <c r="CS85" i="24"/>
  <c r="FD85" i="24" s="1"/>
  <c r="DT23" i="24"/>
  <c r="CN229" i="24"/>
  <c r="CS229" i="24"/>
  <c r="FD229" i="24" s="1"/>
  <c r="CZ195" i="24"/>
  <c r="CZ207" i="24"/>
  <c r="DT256" i="24"/>
  <c r="CN130" i="24"/>
  <c r="DA130" i="24" s="1"/>
  <c r="CS130" i="24"/>
  <c r="FD130" i="24" s="1"/>
  <c r="CZ79" i="24"/>
  <c r="CZ92" i="24"/>
  <c r="CN246" i="24"/>
  <c r="DA246" i="24" s="1"/>
  <c r="CS246" i="24"/>
  <c r="FD246" i="24" s="1"/>
  <c r="CS310" i="24"/>
  <c r="FD310" i="24" s="1"/>
  <c r="CN310" i="24"/>
  <c r="CS138" i="24"/>
  <c r="FD138" i="24" s="1"/>
  <c r="CN138" i="24"/>
  <c r="CN99" i="24"/>
  <c r="CS99" i="24"/>
  <c r="FD99" i="24" s="1"/>
  <c r="DT266" i="24"/>
  <c r="CZ39" i="24"/>
  <c r="DT293" i="24"/>
  <c r="CS185" i="24"/>
  <c r="FD185" i="24" s="1"/>
  <c r="CN185" i="24"/>
  <c r="DA185" i="24" s="1"/>
  <c r="CS279" i="24"/>
  <c r="FD279" i="24" s="1"/>
  <c r="CN279" i="24"/>
  <c r="CN112" i="24"/>
  <c r="CS112" i="24"/>
  <c r="FD112" i="24" s="1"/>
  <c r="CZ154" i="24"/>
  <c r="CS129" i="24"/>
  <c r="FD129" i="24" s="1"/>
  <c r="CN129" i="24"/>
  <c r="DA129" i="24" s="1"/>
  <c r="CZ166" i="24"/>
  <c r="CZ88" i="24"/>
  <c r="CZ97" i="24"/>
  <c r="CS56" i="24"/>
  <c r="FD56" i="24" s="1"/>
  <c r="CN56" i="24"/>
  <c r="DA56" i="24" s="1"/>
  <c r="CN55" i="24"/>
  <c r="CS55" i="24"/>
  <c r="FD55" i="24" s="1"/>
  <c r="CZ48" i="24"/>
  <c r="CZ22" i="24"/>
  <c r="CS254" i="24"/>
  <c r="FD254" i="24" s="1"/>
  <c r="CN254" i="24"/>
  <c r="CZ292" i="24"/>
  <c r="CZ241" i="24"/>
  <c r="DT275" i="24"/>
  <c r="CZ312" i="24"/>
  <c r="CS134" i="24"/>
  <c r="FD134" i="24" s="1"/>
  <c r="CN134" i="24"/>
  <c r="CN147" i="24"/>
  <c r="DA147" i="24" s="1"/>
  <c r="CS147" i="24"/>
  <c r="FD147" i="24" s="1"/>
  <c r="CS126" i="24"/>
  <c r="FD126" i="24" s="1"/>
  <c r="CN126" i="24"/>
  <c r="DA126" i="24" s="1"/>
  <c r="CN80" i="24"/>
  <c r="DA80" i="24" s="1"/>
  <c r="CS80" i="24"/>
  <c r="FD80" i="24" s="1"/>
  <c r="CS76" i="24"/>
  <c r="FD76" i="24" s="1"/>
  <c r="CN76" i="24"/>
  <c r="CZ93" i="24"/>
  <c r="CN8" i="24"/>
  <c r="DA8" i="24" s="1"/>
  <c r="CS8" i="24"/>
  <c r="FD8" i="24" s="1"/>
  <c r="CS24" i="24"/>
  <c r="FD24" i="24" s="1"/>
  <c r="CN24" i="24"/>
  <c r="DA24" i="24" s="1"/>
  <c r="DT46" i="24"/>
  <c r="DT252" i="24"/>
  <c r="CN273" i="24"/>
  <c r="DA273" i="24" s="1"/>
  <c r="CS273" i="24"/>
  <c r="FD273" i="24" s="1"/>
  <c r="DT231" i="24"/>
  <c r="CS270" i="24"/>
  <c r="FD270" i="24" s="1"/>
  <c r="CN270" i="24"/>
  <c r="DA270" i="24" s="1"/>
  <c r="CZ100" i="24"/>
  <c r="DT32" i="24"/>
  <c r="CZ63" i="24"/>
  <c r="DT85" i="24"/>
  <c r="DT51" i="24"/>
  <c r="DT13" i="24"/>
  <c r="CN23" i="24"/>
  <c r="DA23" i="24" s="1"/>
  <c r="CS23" i="24"/>
  <c r="FD23" i="24" s="1"/>
  <c r="DT61" i="24"/>
  <c r="CN316" i="24"/>
  <c r="DA316" i="24" s="1"/>
  <c r="CS316" i="24"/>
  <c r="FD316" i="24" s="1"/>
  <c r="DT295" i="24"/>
  <c r="DT229" i="24"/>
  <c r="CS180" i="24"/>
  <c r="FD180" i="24" s="1"/>
  <c r="CN180" i="24"/>
  <c r="DA180" i="24" s="1"/>
  <c r="CZ178" i="24"/>
  <c r="CS117" i="24"/>
  <c r="FD117" i="24" s="1"/>
  <c r="CN117" i="24"/>
  <c r="CZ142" i="24"/>
  <c r="CN31" i="24"/>
  <c r="DA31" i="24" s="1"/>
  <c r="CS31" i="24"/>
  <c r="FD31" i="24" s="1"/>
  <c r="CN79" i="24"/>
  <c r="CS79" i="24"/>
  <c r="FD79" i="24" s="1"/>
  <c r="CS92" i="24"/>
  <c r="FD92" i="24" s="1"/>
  <c r="CN92" i="24"/>
  <c r="DA92" i="24" s="1"/>
  <c r="DT313" i="24"/>
  <c r="DT246" i="24"/>
  <c r="CZ223" i="24"/>
  <c r="DT260" i="24"/>
  <c r="DT299" i="24"/>
  <c r="CZ239" i="24"/>
  <c r="DT271" i="24"/>
  <c r="DT310" i="24"/>
  <c r="CZ138" i="24"/>
  <c r="CZ140" i="24"/>
  <c r="CZ43" i="24"/>
  <c r="CN71" i="24"/>
  <c r="DA71" i="24" s="1"/>
  <c r="CS71" i="24"/>
  <c r="FD71" i="24" s="1"/>
  <c r="CZ42" i="24"/>
  <c r="DT87" i="24"/>
  <c r="CZ34" i="24"/>
  <c r="CS38" i="24"/>
  <c r="FD38" i="24" s="1"/>
  <c r="CN38" i="24"/>
  <c r="DA38" i="24" s="1"/>
  <c r="DT20" i="24"/>
  <c r="DT62" i="24"/>
  <c r="DT84" i="24"/>
  <c r="DT10" i="24"/>
  <c r="DT57" i="24"/>
  <c r="CZ280" i="24"/>
  <c r="CZ278" i="24"/>
  <c r="DT279" i="24"/>
  <c r="CN191" i="24"/>
  <c r="DA191" i="24" s="1"/>
  <c r="CS191" i="24"/>
  <c r="FD191" i="24" s="1"/>
  <c r="DT104" i="24"/>
  <c r="CS154" i="24"/>
  <c r="FD154" i="24" s="1"/>
  <c r="CN154" i="24"/>
  <c r="DA154" i="24" s="1"/>
  <c r="CZ182" i="24"/>
  <c r="CS166" i="24"/>
  <c r="FD166" i="24" s="1"/>
  <c r="CN166" i="24"/>
  <c r="DA166" i="24" s="1"/>
  <c r="CN97" i="24"/>
  <c r="CS97" i="24"/>
  <c r="FD97" i="24" s="1"/>
  <c r="CZ7" i="24"/>
  <c r="CZ56" i="24"/>
  <c r="CN19" i="24"/>
  <c r="DA19" i="24" s="1"/>
  <c r="CS19" i="24"/>
  <c r="FD19" i="24" s="1"/>
  <c r="DT55" i="24"/>
  <c r="DT48" i="24"/>
  <c r="CS22" i="24"/>
  <c r="FD22" i="24" s="1"/>
  <c r="CN22" i="24"/>
  <c r="DA22" i="24" s="1"/>
  <c r="DT265" i="24"/>
  <c r="DT312" i="24"/>
  <c r="CZ230" i="24"/>
  <c r="CZ155" i="24"/>
  <c r="CS33" i="24"/>
  <c r="FD33" i="24" s="1"/>
  <c r="CN33" i="24"/>
  <c r="DA33" i="24" s="1"/>
  <c r="DT16" i="24"/>
  <c r="CS46" i="24"/>
  <c r="FD46" i="24" s="1"/>
  <c r="CN46" i="24"/>
  <c r="CS252" i="24"/>
  <c r="FD252" i="24" s="1"/>
  <c r="CN252" i="24"/>
  <c r="DA252" i="24" s="1"/>
  <c r="CZ247" i="24"/>
  <c r="CZ231" i="24"/>
  <c r="CS197" i="24"/>
  <c r="FD197" i="24" s="1"/>
  <c r="CN197" i="24"/>
  <c r="DT220" i="24"/>
  <c r="CN101" i="24"/>
  <c r="CS101" i="24"/>
  <c r="FD101" i="24" s="1"/>
  <c r="CZ165" i="24"/>
  <c r="CN51" i="24"/>
  <c r="DA51" i="24" s="1"/>
  <c r="CS51" i="24"/>
  <c r="FD51" i="24" s="1"/>
  <c r="CZ23" i="24"/>
  <c r="CN61" i="24"/>
  <c r="DA61" i="24" s="1"/>
  <c r="CS61" i="24"/>
  <c r="FD61" i="24" s="1"/>
  <c r="DT28" i="24"/>
  <c r="DT316" i="24"/>
  <c r="CN295" i="24"/>
  <c r="DA295" i="24" s="1"/>
  <c r="CS295" i="24"/>
  <c r="FD295" i="24" s="1"/>
  <c r="CS195" i="24"/>
  <c r="FD195" i="24" s="1"/>
  <c r="CN195" i="24"/>
  <c r="DA195" i="24" s="1"/>
  <c r="CZ249" i="24"/>
  <c r="CZ180" i="24"/>
  <c r="CS178" i="24"/>
  <c r="FD178" i="24" s="1"/>
  <c r="CN178" i="24"/>
  <c r="DA178" i="24" s="1"/>
  <c r="CZ95" i="24"/>
  <c r="CZ256" i="24"/>
  <c r="CZ74" i="24"/>
  <c r="CZ31" i="24"/>
  <c r="CZ44" i="24"/>
  <c r="CZ96" i="24"/>
  <c r="CN12" i="24"/>
  <c r="DA12" i="24" s="1"/>
  <c r="CS12" i="24"/>
  <c r="FD12" i="24" s="1"/>
  <c r="DT92" i="24"/>
  <c r="CS196" i="24"/>
  <c r="FD196" i="24" s="1"/>
  <c r="CN196" i="24"/>
  <c r="DA196" i="24" s="1"/>
  <c r="CS223" i="24"/>
  <c r="FD223" i="24" s="1"/>
  <c r="CN223" i="24"/>
  <c r="DT225" i="24"/>
  <c r="DT239" i="24"/>
  <c r="CN271" i="24"/>
  <c r="CS271" i="24"/>
  <c r="FD271" i="24" s="1"/>
  <c r="CZ174" i="24"/>
  <c r="CS188" i="24"/>
  <c r="FD188" i="24" s="1"/>
  <c r="CN188" i="24"/>
  <c r="CZ151" i="24"/>
  <c r="CS140" i="24"/>
  <c r="FD140" i="24" s="1"/>
  <c r="CN140" i="24"/>
  <c r="DA140" i="24" s="1"/>
  <c r="CS266" i="24"/>
  <c r="FD266" i="24" s="1"/>
  <c r="CN266" i="24"/>
  <c r="CN127" i="24"/>
  <c r="DA127" i="24" s="1"/>
  <c r="CS127" i="24"/>
  <c r="FD127" i="24" s="1"/>
  <c r="CS42" i="24"/>
  <c r="FD42" i="24" s="1"/>
  <c r="CN42" i="24"/>
  <c r="DA42" i="24" s="1"/>
  <c r="CZ87" i="24"/>
  <c r="CN164" i="24"/>
  <c r="DA164" i="24" s="1"/>
  <c r="CS164" i="24"/>
  <c r="FD164" i="24" s="1"/>
  <c r="CZ193" i="24"/>
  <c r="CS156" i="24"/>
  <c r="FD156" i="24" s="1"/>
  <c r="CN156" i="24"/>
  <c r="CZ62" i="24"/>
  <c r="CS84" i="24"/>
  <c r="FD84" i="24" s="1"/>
  <c r="CN84" i="24"/>
  <c r="CS57" i="24"/>
  <c r="FD57" i="24" s="1"/>
  <c r="CN57" i="24"/>
  <c r="DA57" i="24" s="1"/>
  <c r="CS278" i="24"/>
  <c r="FD278" i="24" s="1"/>
  <c r="CN278" i="24"/>
  <c r="DA278" i="24" s="1"/>
  <c r="DT262" i="24"/>
  <c r="DT276" i="24"/>
  <c r="CS143" i="24"/>
  <c r="FD143" i="24" s="1"/>
  <c r="CN143" i="24"/>
  <c r="CS175" i="24"/>
  <c r="FD175" i="24" s="1"/>
  <c r="CN175" i="24"/>
  <c r="DA175" i="24" s="1"/>
  <c r="CN170" i="24"/>
  <c r="CS170" i="24"/>
  <c r="FD170" i="24" s="1"/>
  <c r="DT19" i="24"/>
  <c r="CS27" i="24"/>
  <c r="FD27" i="24" s="1"/>
  <c r="CN27" i="24"/>
  <c r="CZ274" i="24"/>
  <c r="CS202" i="24"/>
  <c r="FD202" i="24" s="1"/>
  <c r="CN202" i="24"/>
  <c r="CS308" i="24"/>
  <c r="FD308" i="24" s="1"/>
  <c r="CN308" i="24"/>
  <c r="DA308" i="24" s="1"/>
  <c r="DT292" i="24"/>
  <c r="DT241" i="24"/>
  <c r="DT230" i="24"/>
  <c r="CZ186" i="24"/>
  <c r="DT105" i="24"/>
  <c r="CZ173" i="24"/>
  <c r="CN155" i="24"/>
  <c r="DA155" i="24" s="1"/>
  <c r="CS155" i="24"/>
  <c r="FD155" i="24" s="1"/>
  <c r="DT33" i="24"/>
  <c r="CS54" i="24"/>
  <c r="FD54" i="24" s="1"/>
  <c r="CN54" i="24"/>
  <c r="CS65" i="24"/>
  <c r="FD65" i="24" s="1"/>
  <c r="CN65" i="24"/>
  <c r="CZ304" i="24"/>
  <c r="CZ303" i="24"/>
  <c r="DT270" i="24"/>
  <c r="CN288" i="24"/>
  <c r="DA288" i="24" s="1"/>
  <c r="CS288" i="24"/>
  <c r="FD288" i="24" s="1"/>
  <c r="CZ181" i="24"/>
  <c r="DT101" i="24"/>
  <c r="CS144" i="24"/>
  <c r="FD144" i="24" s="1"/>
  <c r="CN144" i="24"/>
  <c r="CZ159" i="24"/>
  <c r="CZ68" i="24"/>
  <c r="CZ137" i="24"/>
  <c r="DT63" i="24"/>
  <c r="CZ51" i="24"/>
  <c r="CZ13" i="24"/>
  <c r="CS35" i="24"/>
  <c r="FD35" i="24" s="1"/>
  <c r="CN35" i="24"/>
  <c r="DA35" i="24" s="1"/>
  <c r="CZ61" i="24"/>
  <c r="CZ316" i="24"/>
  <c r="CS251" i="24"/>
  <c r="FD251" i="24" s="1"/>
  <c r="CN251" i="24"/>
  <c r="DA251" i="24" s="1"/>
  <c r="CZ295" i="24"/>
  <c r="CN227" i="24"/>
  <c r="CS227" i="24"/>
  <c r="FD227" i="24" s="1"/>
  <c r="CZ301" i="24"/>
  <c r="CS95" i="24"/>
  <c r="FD95" i="24" s="1"/>
  <c r="CN95" i="24"/>
  <c r="CZ49" i="24"/>
  <c r="CN239" i="24"/>
  <c r="CS239" i="24"/>
  <c r="FD239" i="24" s="1"/>
  <c r="CZ315" i="24"/>
  <c r="CS201" i="24"/>
  <c r="FD201" i="24" s="1"/>
  <c r="CN201" i="24"/>
  <c r="CZ176" i="24"/>
  <c r="CN114" i="24"/>
  <c r="CS114" i="24"/>
  <c r="FD114" i="24" s="1"/>
  <c r="CS174" i="24"/>
  <c r="FD174" i="24" s="1"/>
  <c r="CN174" i="24"/>
  <c r="CZ124" i="24"/>
  <c r="CZ69" i="24"/>
  <c r="DT39" i="24"/>
  <c r="CN91" i="24"/>
  <c r="CS91" i="24"/>
  <c r="FD91" i="24" s="1"/>
  <c r="DT42" i="24"/>
  <c r="CZ53" i="24"/>
  <c r="DT34" i="24"/>
  <c r="CZ204" i="24"/>
  <c r="CS293" i="24"/>
  <c r="FD293" i="24" s="1"/>
  <c r="CN293" i="24"/>
  <c r="DA293" i="24" s="1"/>
  <c r="CS276" i="24"/>
  <c r="FD276" i="24" s="1"/>
  <c r="CN276" i="24"/>
  <c r="CZ191" i="24"/>
  <c r="CZ228" i="24"/>
  <c r="CS182" i="24"/>
  <c r="FD182" i="24" s="1"/>
  <c r="CN182" i="24"/>
  <c r="CZ129" i="24"/>
  <c r="CN82" i="24"/>
  <c r="DA82" i="24" s="1"/>
  <c r="CS82" i="24"/>
  <c r="FD82" i="24" s="1"/>
  <c r="CN88" i="24"/>
  <c r="CS88" i="24"/>
  <c r="FD88" i="24" s="1"/>
  <c r="DT97" i="24"/>
  <c r="DT56" i="24"/>
  <c r="CZ308" i="24"/>
  <c r="CS241" i="24"/>
  <c r="FD241" i="24" s="1"/>
  <c r="CN241" i="24"/>
  <c r="CZ210" i="24"/>
  <c r="CN230" i="24"/>
  <c r="DA230" i="24" s="1"/>
  <c r="CS230" i="24"/>
  <c r="FD230" i="24" s="1"/>
  <c r="CN183" i="24"/>
  <c r="DA183" i="24" s="1"/>
  <c r="CS183" i="24"/>
  <c r="FD183" i="24" s="1"/>
  <c r="CZ147" i="24"/>
  <c r="CZ33" i="24"/>
  <c r="DT76" i="24"/>
  <c r="CN90" i="24"/>
  <c r="CS90" i="24"/>
  <c r="FD90" i="24" s="1"/>
  <c r="DT8" i="24"/>
  <c r="CZ25" i="24"/>
  <c r="DT24" i="24"/>
  <c r="DT65" i="24"/>
  <c r="CZ269" i="24"/>
  <c r="CN199" i="24"/>
  <c r="DA199" i="24" s="1"/>
  <c r="CS199" i="24"/>
  <c r="FD199" i="24" s="1"/>
  <c r="DT303" i="24"/>
  <c r="CN181" i="24"/>
  <c r="CS181" i="24"/>
  <c r="FD181" i="24" s="1"/>
  <c r="CN131" i="24"/>
  <c r="DA131" i="24" s="1"/>
  <c r="CS131" i="24"/>
  <c r="FD131" i="24" s="1"/>
  <c r="DT100" i="24"/>
  <c r="CN121" i="24"/>
  <c r="DA121" i="24" s="1"/>
  <c r="CS121" i="24"/>
  <c r="FD121" i="24" s="1"/>
  <c r="DT78" i="24"/>
  <c r="CS159" i="24"/>
  <c r="FD159" i="24" s="1"/>
  <c r="CN159" i="24"/>
  <c r="CS63" i="24"/>
  <c r="FD63" i="24" s="1"/>
  <c r="CN63" i="24"/>
  <c r="CZ35" i="24"/>
  <c r="DT251" i="24"/>
  <c r="CS301" i="24"/>
  <c r="FD301" i="24" s="1"/>
  <c r="CN301" i="24"/>
  <c r="DA301" i="24" s="1"/>
  <c r="CN249" i="24"/>
  <c r="CS249" i="24"/>
  <c r="FD249" i="24" s="1"/>
  <c r="CN256" i="24"/>
  <c r="CS256" i="24"/>
  <c r="FD256" i="24" s="1"/>
  <c r="CS49" i="24"/>
  <c r="FD49" i="24" s="1"/>
  <c r="CN49" i="24"/>
  <c r="DA49" i="24" s="1"/>
  <c r="CZ12" i="24"/>
  <c r="CZ77" i="24"/>
  <c r="CZ26" i="24"/>
  <c r="CZ196" i="24"/>
  <c r="CN260" i="24"/>
  <c r="DA260" i="24" s="1"/>
  <c r="CS260" i="24"/>
  <c r="FD260" i="24" s="1"/>
  <c r="CN315" i="24"/>
  <c r="CS315" i="24"/>
  <c r="FD315" i="24" s="1"/>
  <c r="CZ237" i="24"/>
  <c r="CS151" i="24"/>
  <c r="FD151" i="24" s="1"/>
  <c r="CN151" i="24"/>
  <c r="DA151" i="24" s="1"/>
  <c r="CN168" i="24"/>
  <c r="CS168" i="24"/>
  <c r="FD168" i="24" s="1"/>
  <c r="CN53" i="24"/>
  <c r="DA53" i="24" s="1"/>
  <c r="CS53" i="24"/>
  <c r="FD53" i="24" s="1"/>
  <c r="CS34" i="24"/>
  <c r="FD34" i="24" s="1"/>
  <c r="CN34" i="24"/>
  <c r="DA34" i="24" s="1"/>
  <c r="CN62" i="24"/>
  <c r="DA62" i="24" s="1"/>
  <c r="CS62" i="24"/>
  <c r="FD62" i="24" s="1"/>
  <c r="CZ10" i="24"/>
  <c r="DT17" i="24"/>
  <c r="DT278" i="24"/>
  <c r="CS204" i="24"/>
  <c r="FD204" i="24" s="1"/>
  <c r="CN204" i="24"/>
  <c r="DA204" i="24" s="1"/>
  <c r="CN245" i="24"/>
  <c r="CS245" i="24"/>
  <c r="FD245" i="24" s="1"/>
  <c r="CN235" i="24"/>
  <c r="CS235" i="24"/>
  <c r="FD235" i="24" s="1"/>
  <c r="CZ243" i="24"/>
  <c r="CS228" i="24"/>
  <c r="FD228" i="24" s="1"/>
  <c r="CN228" i="24"/>
  <c r="CZ175" i="24"/>
  <c r="CZ104" i="24"/>
  <c r="CZ82" i="24"/>
  <c r="DT88" i="24"/>
  <c r="CS7" i="24"/>
  <c r="FD7" i="24" s="1"/>
  <c r="CN7" i="24"/>
  <c r="DA7" i="24" s="1"/>
  <c r="CZ19" i="24"/>
  <c r="DT27" i="24"/>
  <c r="CZ67" i="24"/>
  <c r="CS48" i="24"/>
  <c r="FD48" i="24" s="1"/>
  <c r="CN48" i="24"/>
  <c r="DA48" i="24" s="1"/>
  <c r="CS274" i="24"/>
  <c r="FD274" i="24" s="1"/>
  <c r="CN274" i="24"/>
  <c r="DT248" i="24"/>
  <c r="DT305" i="24"/>
  <c r="CN210" i="24"/>
  <c r="CS210" i="24"/>
  <c r="FD210" i="24" s="1"/>
  <c r="CZ275" i="24"/>
  <c r="CN169" i="24"/>
  <c r="DA169" i="24" s="1"/>
  <c r="CS169" i="24"/>
  <c r="FD169" i="24" s="1"/>
  <c r="CZ102" i="24"/>
  <c r="CZ126" i="24"/>
  <c r="CZ80" i="24"/>
  <c r="CS149" i="24"/>
  <c r="FD149" i="24" s="1"/>
  <c r="CN149" i="24"/>
  <c r="DA149" i="24" s="1"/>
  <c r="DT90" i="24"/>
  <c r="DT25" i="24"/>
  <c r="CZ16" i="24"/>
  <c r="CS304" i="24"/>
  <c r="FD304" i="24" s="1"/>
  <c r="CN304" i="24"/>
  <c r="DT261" i="24"/>
  <c r="CZ270" i="24"/>
  <c r="DT288" i="24"/>
  <c r="CZ160" i="24"/>
  <c r="CS135" i="24"/>
  <c r="FD135" i="24" s="1"/>
  <c r="CN135" i="24"/>
  <c r="DA135" i="24" s="1"/>
  <c r="CZ121" i="24"/>
  <c r="CZ85" i="24"/>
  <c r="CN13" i="24"/>
  <c r="DA13" i="24" s="1"/>
  <c r="CS13" i="24"/>
  <c r="FD13" i="24" s="1"/>
  <c r="CS94" i="24"/>
  <c r="FD94" i="24" s="1"/>
  <c r="CN94" i="24"/>
  <c r="CZ251" i="24"/>
  <c r="CS198" i="24"/>
  <c r="FD198" i="24" s="1"/>
  <c r="CN198" i="24"/>
  <c r="DA198" i="24" s="1"/>
  <c r="DT227" i="24"/>
  <c r="CZ268" i="24"/>
  <c r="DT301" i="24"/>
  <c r="CZ257" i="24"/>
  <c r="DT249" i="24"/>
  <c r="CZ272" i="24"/>
  <c r="CZ125" i="24"/>
  <c r="DT95" i="24"/>
  <c r="CN128" i="24"/>
  <c r="DA128" i="24" s="1"/>
  <c r="CS128" i="24"/>
  <c r="FD128" i="24" s="1"/>
  <c r="CN158" i="24"/>
  <c r="CS158" i="24"/>
  <c r="FD158" i="24" s="1"/>
  <c r="CS145" i="24"/>
  <c r="FD145" i="24" s="1"/>
  <c r="CN145" i="24"/>
  <c r="CZ218" i="24"/>
  <c r="DT79" i="24"/>
  <c r="DT49" i="24"/>
  <c r="CN96" i="24"/>
  <c r="CS96" i="24"/>
  <c r="FD96" i="24" s="1"/>
  <c r="DT77" i="24"/>
  <c r="CZ59" i="24"/>
  <c r="CN26" i="24"/>
  <c r="DA26" i="24" s="1"/>
  <c r="CS26" i="24"/>
  <c r="FD26" i="24" s="1"/>
  <c r="CZ290" i="24"/>
  <c r="DT315" i="24"/>
  <c r="CN176" i="24"/>
  <c r="DA176" i="24" s="1"/>
  <c r="CS176" i="24"/>
  <c r="FD176" i="24" s="1"/>
  <c r="DT99" i="24"/>
  <c r="CZ71" i="24"/>
  <c r="CS11" i="24"/>
  <c r="FD11" i="24" s="1"/>
  <c r="CN11" i="24"/>
  <c r="Q5" i="29"/>
  <c r="BC7" i="19"/>
  <c r="K77" i="23"/>
  <c r="M77" i="23" s="1"/>
  <c r="B217" i="2"/>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K67" i="23"/>
  <c r="M67" i="23" s="1"/>
  <c r="L103" i="23"/>
  <c r="M103" i="23" s="1"/>
  <c r="L88" i="23"/>
  <c r="M88" i="23" s="1"/>
  <c r="K20" i="23"/>
  <c r="M20" i="23" s="1"/>
  <c r="K63" i="23"/>
  <c r="M63" i="23" s="1"/>
  <c r="L49" i="23"/>
  <c r="M49" i="23" s="1"/>
  <c r="K84" i="23"/>
  <c r="M84" i="23" s="1"/>
  <c r="L60" i="23"/>
  <c r="M60" i="23" s="1"/>
  <c r="L100" i="23"/>
  <c r="M100" i="23" s="1"/>
  <c r="L24" i="23"/>
  <c r="M24" i="23" s="1"/>
  <c r="K42" i="23"/>
  <c r="M42" i="23" s="1"/>
  <c r="K66" i="23"/>
  <c r="M66" i="23" s="1"/>
  <c r="K74" i="23"/>
  <c r="M74" i="23" s="1"/>
  <c r="K58" i="23"/>
  <c r="M58" i="23" s="1"/>
  <c r="K93" i="23"/>
  <c r="M93" i="23" s="1"/>
  <c r="L57" i="23"/>
  <c r="M57" i="23" s="1"/>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212" i="2"/>
  <c r="A253" i="2"/>
  <c r="D48" i="16"/>
  <c r="B213" i="2"/>
  <c r="D49" i="16"/>
  <c r="DC58" i="24" l="1"/>
  <c r="DC85" i="24"/>
  <c r="DC29" i="24"/>
  <c r="E76" i="1"/>
  <c r="E77" i="1" s="1"/>
  <c r="F76" i="1"/>
  <c r="DC25" i="24"/>
  <c r="DC87" i="24"/>
  <c r="DC74" i="24"/>
  <c r="DC19" i="24"/>
  <c r="DC45" i="24"/>
  <c r="DC82" i="24"/>
  <c r="DC73" i="24"/>
  <c r="DC77" i="24"/>
  <c r="DC67" i="24"/>
  <c r="DB210" i="25"/>
  <c r="DC43" i="24"/>
  <c r="DC23" i="24"/>
  <c r="DC35" i="24"/>
  <c r="DC80" i="24"/>
  <c r="DC93" i="24"/>
  <c r="DC16" i="24"/>
  <c r="DC9" i="24"/>
  <c r="DC104" i="24"/>
  <c r="DC12" i="24"/>
  <c r="DC33" i="24"/>
  <c r="DC102" i="24"/>
  <c r="DC10" i="24"/>
  <c r="DC31" i="24"/>
  <c r="DC61" i="24"/>
  <c r="DC32" i="24"/>
  <c r="DC59" i="24"/>
  <c r="DC60" i="24"/>
  <c r="DC30" i="24"/>
  <c r="DC20" i="24"/>
  <c r="DC51" i="24"/>
  <c r="DC44" i="24"/>
  <c r="DC6" i="24"/>
  <c r="DC21" i="24"/>
  <c r="DC68" i="24"/>
  <c r="DC24" i="24"/>
  <c r="DC36" i="24"/>
  <c r="DC75" i="24"/>
  <c r="DC22" i="24"/>
  <c r="DC86" i="24"/>
  <c r="DC53" i="24"/>
  <c r="DC62" i="24"/>
  <c r="DC48" i="24"/>
  <c r="DC13" i="24"/>
  <c r="DC26" i="24"/>
  <c r="DC49" i="24"/>
  <c r="DC34" i="24"/>
  <c r="DC100" i="24"/>
  <c r="DC39" i="24"/>
  <c r="DC78" i="24"/>
  <c r="DC57" i="24"/>
  <c r="CZ110" i="25"/>
  <c r="DB110" i="25" s="1"/>
  <c r="DC56" i="24"/>
  <c r="DC42" i="24"/>
  <c r="DC92" i="24"/>
  <c r="DC37" i="24"/>
  <c r="DC38" i="24"/>
  <c r="DC8" i="24"/>
  <c r="DC103" i="24"/>
  <c r="DC47" i="24"/>
  <c r="DA110" i="25"/>
  <c r="DD110" i="25" s="1"/>
  <c r="DE110" i="25" s="1"/>
  <c r="DF110" i="25" s="1"/>
  <c r="DM110" i="25" s="1"/>
  <c r="DW110" i="25" s="1"/>
  <c r="DC71" i="24"/>
  <c r="DC69" i="24"/>
  <c r="DC7" i="24"/>
  <c r="DM101" i="25"/>
  <c r="DW101" i="25" s="1"/>
  <c r="K345" i="29"/>
  <c r="K107" i="29"/>
  <c r="K578" i="29"/>
  <c r="L563" i="29"/>
  <c r="L532" i="29"/>
  <c r="K493" i="29"/>
  <c r="K433" i="29"/>
  <c r="K405" i="29"/>
  <c r="L438" i="29"/>
  <c r="L23" i="29"/>
  <c r="L603" i="29"/>
  <c r="L566" i="29"/>
  <c r="K503" i="29"/>
  <c r="L482" i="29"/>
  <c r="K492" i="29"/>
  <c r="K411" i="29"/>
  <c r="L429" i="29"/>
  <c r="L344" i="29"/>
  <c r="L601" i="29"/>
  <c r="K575" i="29"/>
  <c r="K565" i="29"/>
  <c r="L536" i="29"/>
  <c r="L485" i="29"/>
  <c r="L31" i="29"/>
  <c r="L607" i="29"/>
  <c r="L571" i="29"/>
  <c r="K543" i="29"/>
  <c r="K526" i="29"/>
  <c r="K474" i="29"/>
  <c r="L443" i="29"/>
  <c r="K396" i="29"/>
  <c r="K386" i="29"/>
  <c r="K79" i="29"/>
  <c r="K582" i="29"/>
  <c r="K555" i="29"/>
  <c r="K522" i="29"/>
  <c r="L476" i="29"/>
  <c r="K449" i="29"/>
  <c r="L424" i="29"/>
  <c r="K383" i="29"/>
  <c r="K336" i="29"/>
  <c r="L600" i="29"/>
  <c r="K574" i="29"/>
  <c r="L539" i="29"/>
  <c r="L500" i="29"/>
  <c r="K467" i="29"/>
  <c r="K428" i="29"/>
  <c r="L442" i="29"/>
  <c r="L410" i="29"/>
  <c r="K126" i="29"/>
  <c r="K604" i="29"/>
  <c r="K547" i="29"/>
  <c r="K514" i="29"/>
  <c r="L468" i="29"/>
  <c r="K441" i="29"/>
  <c r="K414" i="29"/>
  <c r="K375" i="29"/>
  <c r="K328" i="29"/>
  <c r="K442" i="29"/>
  <c r="L314" i="29"/>
  <c r="K317" i="29"/>
  <c r="L249" i="29"/>
  <c r="K271" i="29"/>
  <c r="K217" i="29"/>
  <c r="K183" i="29"/>
  <c r="L188" i="29"/>
  <c r="K154" i="29"/>
  <c r="K26" i="29"/>
  <c r="K451" i="29"/>
  <c r="K319" i="29"/>
  <c r="L332" i="29"/>
  <c r="K234" i="29"/>
  <c r="L278" i="29"/>
  <c r="L217" i="29"/>
  <c r="L183" i="29"/>
  <c r="L194" i="29"/>
  <c r="L97" i="29"/>
  <c r="L99" i="29"/>
  <c r="K516" i="29"/>
  <c r="L343" i="29"/>
  <c r="K296" i="29"/>
  <c r="L277" i="29"/>
  <c r="K243" i="29"/>
  <c r="L609" i="29"/>
  <c r="K596" i="29"/>
  <c r="K525" i="29"/>
  <c r="K513" i="29"/>
  <c r="K500" i="29"/>
  <c r="L456" i="29"/>
  <c r="K373" i="29"/>
  <c r="L398" i="29"/>
  <c r="L52" i="29"/>
  <c r="L593" i="29"/>
  <c r="L547" i="29"/>
  <c r="L510" i="29"/>
  <c r="K497" i="29"/>
  <c r="K461" i="29"/>
  <c r="L433" i="29"/>
  <c r="K395" i="29"/>
  <c r="K348" i="29"/>
  <c r="L612" i="29"/>
  <c r="L574" i="29"/>
  <c r="K524" i="29"/>
  <c r="L515" i="29"/>
  <c r="K485" i="29"/>
  <c r="K54" i="29"/>
  <c r="K599" i="29"/>
  <c r="L567" i="29"/>
  <c r="K530" i="29"/>
  <c r="K506" i="29"/>
  <c r="K478" i="29"/>
  <c r="L411" i="29"/>
  <c r="L412" i="29"/>
  <c r="L397" i="29"/>
  <c r="K602" i="29"/>
  <c r="L568" i="29"/>
  <c r="K541" i="29"/>
  <c r="L509" i="29"/>
  <c r="K472" i="29"/>
  <c r="K417" i="29"/>
  <c r="K389" i="29"/>
  <c r="K416" i="29"/>
  <c r="L39" i="29"/>
  <c r="L599" i="29"/>
  <c r="K568" i="29"/>
  <c r="K535" i="29"/>
  <c r="K508" i="29"/>
  <c r="K466" i="29"/>
  <c r="L435" i="29"/>
  <c r="K388" i="29"/>
  <c r="K378" i="29"/>
  <c r="K594" i="29"/>
  <c r="L560" i="29"/>
  <c r="K533" i="29"/>
  <c r="K521" i="29"/>
  <c r="K464" i="29"/>
  <c r="K409" i="29"/>
  <c r="K381" i="29"/>
  <c r="K404" i="29"/>
  <c r="L581" i="29"/>
  <c r="L422" i="29"/>
  <c r="L341" i="29"/>
  <c r="K314" i="29"/>
  <c r="K275" i="29"/>
  <c r="K239" i="29"/>
  <c r="K185" i="29"/>
  <c r="K162" i="29"/>
  <c r="L142" i="29"/>
  <c r="L116" i="29"/>
  <c r="L24" i="29"/>
  <c r="K377" i="29"/>
  <c r="L342" i="29"/>
  <c r="K303" i="29"/>
  <c r="L275" i="29"/>
  <c r="L243" i="29"/>
  <c r="L185" i="29"/>
  <c r="K211" i="29"/>
  <c r="K147" i="29"/>
  <c r="L65" i="29"/>
  <c r="L67" i="29"/>
  <c r="L448" i="29"/>
  <c r="K85" i="29"/>
  <c r="K189" i="29"/>
  <c r="K142" i="29"/>
  <c r="K597" i="29"/>
  <c r="K585" i="29"/>
  <c r="K532" i="29"/>
  <c r="L504" i="29"/>
  <c r="K502" i="29"/>
  <c r="K448" i="29"/>
  <c r="L392" i="29"/>
  <c r="K454" i="29"/>
  <c r="K44" i="29"/>
  <c r="K577" i="29"/>
  <c r="K561" i="29"/>
  <c r="L521" i="29"/>
  <c r="L489" i="29"/>
  <c r="K429" i="29"/>
  <c r="K401" i="29"/>
  <c r="L430" i="29"/>
  <c r="L43" i="29"/>
  <c r="K627" i="29"/>
  <c r="K572" i="29"/>
  <c r="L545" i="29"/>
  <c r="L480" i="29"/>
  <c r="L478" i="29"/>
  <c r="K101" i="29"/>
  <c r="L591" i="29"/>
  <c r="L558" i="29"/>
  <c r="L534" i="29"/>
  <c r="K512" i="29"/>
  <c r="K480" i="29"/>
  <c r="K435" i="29"/>
  <c r="L379" i="29"/>
  <c r="L368" i="29"/>
  <c r="K613" i="29"/>
  <c r="K567" i="29"/>
  <c r="L549" i="29"/>
  <c r="L520" i="29"/>
  <c r="L471" i="29"/>
  <c r="L474" i="29"/>
  <c r="K418" i="29"/>
  <c r="L382" i="29"/>
  <c r="K86" i="29"/>
  <c r="K588" i="29"/>
  <c r="K553" i="29"/>
  <c r="L541" i="29"/>
  <c r="K499" i="29"/>
  <c r="L473" i="29"/>
  <c r="K459" i="29"/>
  <c r="L403" i="29"/>
  <c r="L389" i="29"/>
  <c r="K605" i="29"/>
  <c r="K559" i="29"/>
  <c r="K540" i="29"/>
  <c r="L512" i="29"/>
  <c r="L463" i="29"/>
  <c r="K456" i="29"/>
  <c r="L400" i="29"/>
  <c r="L374" i="29"/>
  <c r="L589" i="29"/>
  <c r="L401" i="29"/>
  <c r="K329" i="29"/>
  <c r="K286" i="29"/>
  <c r="K241" i="29"/>
  <c r="L242" i="29"/>
  <c r="L220" i="29"/>
  <c r="K157" i="29"/>
  <c r="L110" i="29"/>
  <c r="L84" i="29"/>
  <c r="L613" i="29"/>
  <c r="L395" i="29"/>
  <c r="L369" i="29"/>
  <c r="K311" i="29"/>
  <c r="L245" i="29"/>
  <c r="K267" i="29"/>
  <c r="K213" i="29"/>
  <c r="K179" i="29"/>
  <c r="L170" i="29"/>
  <c r="K146" i="29"/>
  <c r="K38" i="29"/>
  <c r="K439" i="29"/>
  <c r="K315" i="29"/>
  <c r="L331" i="29"/>
  <c r="K230" i="29"/>
  <c r="K45" i="29"/>
  <c r="K81" i="29"/>
  <c r="K446" i="29"/>
  <c r="L35" i="29"/>
  <c r="I633" i="29"/>
  <c r="K562" i="29"/>
  <c r="L527" i="29"/>
  <c r="L488" i="29"/>
  <c r="L505" i="29"/>
  <c r="L455" i="29"/>
  <c r="L417" i="29"/>
  <c r="K398" i="29"/>
  <c r="L605" i="29"/>
  <c r="L585" i="29"/>
  <c r="L578" i="29"/>
  <c r="K509" i="29"/>
  <c r="K489" i="29"/>
  <c r="L452" i="29"/>
  <c r="K450" i="29"/>
  <c r="L394" i="29"/>
  <c r="K70" i="29"/>
  <c r="K607" i="29"/>
  <c r="L573" i="29"/>
  <c r="K534" i="29"/>
  <c r="L487" i="29"/>
  <c r="L479" i="29"/>
  <c r="K20" i="29"/>
  <c r="L595" i="29"/>
  <c r="K556" i="29"/>
  <c r="L544" i="29"/>
  <c r="L502" i="29"/>
  <c r="L457" i="29"/>
  <c r="L470" i="29"/>
  <c r="L421" i="29"/>
  <c r="L372" i="29"/>
  <c r="L604" i="29"/>
  <c r="K583" i="29"/>
  <c r="L543" i="29"/>
  <c r="L503" i="29"/>
  <c r="K471" i="29"/>
  <c r="K432" i="29"/>
  <c r="L376" i="29"/>
  <c r="K420" i="29"/>
  <c r="K103" i="29"/>
  <c r="K591" i="29"/>
  <c r="L548" i="29"/>
  <c r="K519" i="29"/>
  <c r="L498" i="29"/>
  <c r="K477" i="29"/>
  <c r="K427" i="29"/>
  <c r="L371" i="29"/>
  <c r="L360" i="29"/>
  <c r="L596" i="29"/>
  <c r="K570" i="29"/>
  <c r="L535" i="29"/>
  <c r="L496" i="29"/>
  <c r="K463" i="29"/>
  <c r="K424" i="29"/>
  <c r="K434" i="29"/>
  <c r="K406" i="29"/>
  <c r="K510" i="29"/>
  <c r="K324" i="29"/>
  <c r="L284" i="29"/>
  <c r="K318" i="29"/>
  <c r="L252" i="29"/>
  <c r="L214" i="29"/>
  <c r="K220" i="29"/>
  <c r="K125" i="29"/>
  <c r="L78" i="29"/>
  <c r="K116" i="29"/>
  <c r="L556" i="29"/>
  <c r="L402" i="29"/>
  <c r="L337" i="29"/>
  <c r="L312" i="29"/>
  <c r="K269" i="29"/>
  <c r="L270" i="29"/>
  <c r="K181" i="29"/>
  <c r="K158" i="29"/>
  <c r="L138" i="29"/>
  <c r="L112" i="29"/>
  <c r="K36" i="29"/>
  <c r="L434" i="29"/>
  <c r="L338" i="29"/>
  <c r="K362" i="29"/>
  <c r="L274" i="29"/>
  <c r="E55" i="1"/>
  <c r="L21" i="29"/>
  <c r="K60" i="29"/>
  <c r="K59" i="29"/>
  <c r="L584" i="29"/>
  <c r="K550" i="29"/>
  <c r="K542" i="29"/>
  <c r="L495" i="29"/>
  <c r="K484" i="29"/>
  <c r="L423" i="29"/>
  <c r="K376" i="29"/>
  <c r="K410" i="29"/>
  <c r="K593" i="29"/>
  <c r="L583" i="29"/>
  <c r="K528" i="29"/>
  <c r="K520" i="29"/>
  <c r="K496" i="29"/>
  <c r="K444" i="29"/>
  <c r="L388" i="29"/>
  <c r="K438" i="29"/>
  <c r="K32" i="29"/>
  <c r="K600" i="29"/>
  <c r="L562" i="29"/>
  <c r="L569" i="29"/>
  <c r="L530" i="29"/>
  <c r="L497" i="29"/>
  <c r="L54" i="29"/>
  <c r="K586" i="29"/>
  <c r="L561" i="29"/>
  <c r="L538" i="29"/>
  <c r="L481" i="29"/>
  <c r="K453" i="29"/>
  <c r="L425" i="29"/>
  <c r="K387" i="29"/>
  <c r="K340" i="29"/>
  <c r="L606" i="29"/>
  <c r="K569" i="29"/>
  <c r="K539" i="29"/>
  <c r="L519" i="29"/>
  <c r="K470" i="29"/>
  <c r="L439" i="29"/>
  <c r="K392" i="29"/>
  <c r="K382" i="29"/>
  <c r="K28" i="29"/>
  <c r="L590" i="29"/>
  <c r="K548" i="29"/>
  <c r="K523" i="29"/>
  <c r="K494" i="29"/>
  <c r="L449" i="29"/>
  <c r="L458" i="29"/>
  <c r="K412" i="29"/>
  <c r="K364" i="29"/>
  <c r="L598" i="29"/>
  <c r="L557" i="29"/>
  <c r="K531" i="29"/>
  <c r="L506" i="29"/>
  <c r="K462" i="29"/>
  <c r="L431" i="29"/>
  <c r="K384" i="29"/>
  <c r="K374" i="29"/>
  <c r="L464" i="29"/>
  <c r="L351" i="29"/>
  <c r="K304" i="29"/>
  <c r="L285" i="29"/>
  <c r="K285" i="29"/>
  <c r="K222" i="29"/>
  <c r="K188" i="29"/>
  <c r="L160" i="29"/>
  <c r="K168" i="29"/>
  <c r="K84" i="29"/>
  <c r="K529" i="29"/>
  <c r="L381" i="29"/>
  <c r="K321" i="29"/>
  <c r="K282" i="29"/>
  <c r="L327" i="29"/>
  <c r="L238" i="29"/>
  <c r="L216" i="29"/>
  <c r="K153" i="29"/>
  <c r="L106" i="29"/>
  <c r="L80" i="29"/>
  <c r="K601" i="29"/>
  <c r="L383" i="29"/>
  <c r="L365" i="29"/>
  <c r="L310" i="29"/>
  <c r="K62" i="29"/>
  <c r="K113" i="29"/>
  <c r="K166" i="29"/>
  <c r="L345" i="29"/>
  <c r="L68" i="29"/>
  <c r="G623" i="29"/>
  <c r="K581" i="29"/>
  <c r="L529" i="29"/>
  <c r="K487" i="29"/>
  <c r="L577" i="29"/>
  <c r="K447" i="29"/>
  <c r="L391" i="29"/>
  <c r="L377" i="29"/>
  <c r="L627" i="29"/>
  <c r="K589" i="29"/>
  <c r="L553" i="29"/>
  <c r="L484" i="29"/>
  <c r="K488" i="29"/>
  <c r="L451" i="29"/>
  <c r="L408" i="29"/>
  <c r="K394" i="29"/>
  <c r="K61" i="29"/>
  <c r="L602" i="29"/>
  <c r="K558" i="29"/>
  <c r="L546" i="29"/>
  <c r="L524" i="29"/>
  <c r="L461" i="29"/>
  <c r="K606" i="29"/>
  <c r="L572" i="29"/>
  <c r="L550" i="29"/>
  <c r="L513" i="29"/>
  <c r="K476" i="29"/>
  <c r="K421" i="29"/>
  <c r="K393" i="29"/>
  <c r="L420" i="29"/>
  <c r="L19" i="29"/>
  <c r="K592" i="29"/>
  <c r="K560" i="29"/>
  <c r="K557" i="29"/>
  <c r="K504" i="29"/>
  <c r="L477" i="29"/>
  <c r="L407" i="29"/>
  <c r="K408" i="29"/>
  <c r="L393" i="29"/>
  <c r="K56" i="29"/>
  <c r="K612" i="29"/>
  <c r="K551" i="29"/>
  <c r="K518" i="29"/>
  <c r="L472" i="29"/>
  <c r="K445" i="29"/>
  <c r="L418" i="29"/>
  <c r="K379" i="29"/>
  <c r="L27" i="29"/>
  <c r="K584" i="29"/>
  <c r="K549" i="29"/>
  <c r="L537" i="29"/>
  <c r="K495" i="29"/>
  <c r="L469" i="29"/>
  <c r="K455" i="29"/>
  <c r="L399" i="29"/>
  <c r="L385" i="29"/>
  <c r="K437" i="29"/>
  <c r="K355" i="29"/>
  <c r="K358" i="29"/>
  <c r="K270" i="29"/>
  <c r="K248" i="29"/>
  <c r="K190" i="29"/>
  <c r="L219" i="29"/>
  <c r="L151" i="29"/>
  <c r="K128" i="29"/>
  <c r="K140" i="29"/>
  <c r="K517" i="29"/>
  <c r="K320" i="29"/>
  <c r="L280" i="29"/>
  <c r="K312" i="29"/>
  <c r="L248" i="29"/>
  <c r="L210" i="29"/>
  <c r="K216" i="29"/>
  <c r="K121" i="29"/>
  <c r="L169" i="29"/>
  <c r="K112" i="29"/>
  <c r="L586" i="29"/>
  <c r="L390" i="29"/>
  <c r="L333" i="29"/>
  <c r="K310" i="29"/>
  <c r="K603" i="29"/>
  <c r="K13" i="29"/>
  <c r="K24" i="29"/>
  <c r="L610" i="29"/>
  <c r="L575" i="29"/>
  <c r="K507" i="29"/>
  <c r="L486" i="29"/>
  <c r="K465" i="29"/>
  <c r="K415" i="29"/>
  <c r="L436" i="29"/>
  <c r="L348" i="29"/>
  <c r="L580" i="29"/>
  <c r="K546" i="29"/>
  <c r="K538" i="29"/>
  <c r="L491" i="29"/>
  <c r="L483" i="29"/>
  <c r="L419" i="29"/>
  <c r="K458" i="29"/>
  <c r="L405" i="29"/>
  <c r="L70" i="29"/>
  <c r="K590" i="29"/>
  <c r="L565" i="29"/>
  <c r="K564" i="29"/>
  <c r="L493" i="29"/>
  <c r="K457" i="29"/>
  <c r="L597" i="29"/>
  <c r="K571" i="29"/>
  <c r="L554" i="29"/>
  <c r="L526" i="29"/>
  <c r="L475" i="29"/>
  <c r="L444" i="29"/>
  <c r="L426" i="29"/>
  <c r="L386" i="29"/>
  <c r="K40" i="29"/>
  <c r="L587" i="29"/>
  <c r="L552" i="29"/>
  <c r="L523" i="29"/>
  <c r="L507" i="29"/>
  <c r="K479" i="29"/>
  <c r="K431" i="29"/>
  <c r="L375" i="29"/>
  <c r="L364" i="29"/>
  <c r="K598" i="29"/>
  <c r="L564" i="29"/>
  <c r="K537" i="29"/>
  <c r="L542" i="29"/>
  <c r="K468" i="29"/>
  <c r="K413" i="29"/>
  <c r="K385" i="29"/>
  <c r="L406" i="29"/>
  <c r="K16" i="29"/>
  <c r="K587" i="29"/>
  <c r="L579" i="29"/>
  <c r="K515" i="29"/>
  <c r="L494" i="29"/>
  <c r="K473" i="29"/>
  <c r="K423" i="29"/>
  <c r="L446" i="29"/>
  <c r="L356" i="29"/>
  <c r="L415" i="29"/>
  <c r="K323" i="29"/>
  <c r="K341" i="29"/>
  <c r="K238" i="29"/>
  <c r="L279" i="29"/>
  <c r="L221" i="29"/>
  <c r="L187" i="29"/>
  <c r="L119" i="29"/>
  <c r="L101" i="29"/>
  <c r="L103" i="29"/>
  <c r="L511" i="29"/>
  <c r="L347" i="29"/>
  <c r="K300" i="29"/>
  <c r="L281" i="29"/>
  <c r="K277" i="29"/>
  <c r="K218" i="29"/>
  <c r="K184" i="29"/>
  <c r="L156" i="29"/>
  <c r="L153" i="29"/>
  <c r="K80" i="29"/>
  <c r="K536" i="29"/>
  <c r="K371" i="29"/>
  <c r="L308" i="29"/>
  <c r="K278" i="29"/>
  <c r="L146" i="29"/>
  <c r="K283" i="29"/>
  <c r="K90" i="29"/>
  <c r="K595" i="29"/>
  <c r="L551" i="29"/>
  <c r="L514" i="29"/>
  <c r="K482" i="29"/>
  <c r="L466" i="29"/>
  <c r="L440" i="29"/>
  <c r="K399" i="29"/>
  <c r="K352" i="29"/>
  <c r="K608" i="29"/>
  <c r="K573" i="29"/>
  <c r="L525" i="29"/>
  <c r="K483" i="29"/>
  <c r="K501" i="29"/>
  <c r="K443" i="29"/>
  <c r="L387" i="29"/>
  <c r="L373" i="29"/>
  <c r="K610" i="29"/>
  <c r="L576" i="29"/>
  <c r="L559" i="29"/>
  <c r="L517" i="29"/>
  <c r="K481" i="29"/>
  <c r="K425" i="29"/>
  <c r="L608" i="29"/>
  <c r="L570" i="29"/>
  <c r="L582" i="29"/>
  <c r="K505" i="29"/>
  <c r="K475" i="29"/>
  <c r="K436" i="29"/>
  <c r="L380" i="29"/>
  <c r="K422" i="29"/>
  <c r="K72" i="29"/>
  <c r="L594" i="29"/>
  <c r="K552" i="29"/>
  <c r="L528" i="29"/>
  <c r="K498" i="29"/>
  <c r="L453" i="29"/>
  <c r="L462" i="29"/>
  <c r="L416" i="29"/>
  <c r="K368" i="29"/>
  <c r="K609" i="29"/>
  <c r="K563" i="29"/>
  <c r="K544" i="29"/>
  <c r="L516" i="29"/>
  <c r="L467" i="29"/>
  <c r="K460" i="29"/>
  <c r="L413" i="29"/>
  <c r="L378" i="29"/>
  <c r="K105" i="29"/>
  <c r="K611" i="29"/>
  <c r="K579" i="29"/>
  <c r="L522" i="29"/>
  <c r="K490" i="29"/>
  <c r="L445" i="29"/>
  <c r="L454" i="29"/>
  <c r="L404" i="29"/>
  <c r="K360" i="29"/>
  <c r="K397" i="29"/>
  <c r="L346" i="29"/>
  <c r="K307" i="29"/>
  <c r="L282" i="29"/>
  <c r="L247" i="29"/>
  <c r="L189" i="29"/>
  <c r="K215" i="29"/>
  <c r="K151" i="29"/>
  <c r="L69" i="29"/>
  <c r="L71" i="29"/>
  <c r="L460" i="29"/>
  <c r="K351" i="29"/>
  <c r="K342" i="29"/>
  <c r="K266" i="29"/>
  <c r="K365" i="29"/>
  <c r="K186" i="29"/>
  <c r="L215" i="29"/>
  <c r="L147" i="29"/>
  <c r="L121" i="29"/>
  <c r="L133" i="29"/>
  <c r="L508" i="29"/>
  <c r="K316" i="29"/>
  <c r="L276" i="29"/>
  <c r="L309" i="29"/>
  <c r="K347" i="29"/>
  <c r="L328" i="29"/>
  <c r="K182" i="29"/>
  <c r="L211" i="29"/>
  <c r="L143" i="29"/>
  <c r="L120" i="29"/>
  <c r="K132" i="29"/>
  <c r="K566" i="29"/>
  <c r="L370" i="29"/>
  <c r="L329" i="29"/>
  <c r="K306" i="29"/>
  <c r="K261" i="29"/>
  <c r="L262" i="29"/>
  <c r="K173" i="29"/>
  <c r="L186" i="29"/>
  <c r="L130" i="29"/>
  <c r="L104" i="29"/>
  <c r="L588" i="29"/>
  <c r="L428" i="29"/>
  <c r="L357" i="29"/>
  <c r="L302" i="29"/>
  <c r="K299" i="29"/>
  <c r="K255" i="29"/>
  <c r="K201" i="29"/>
  <c r="L182" i="29"/>
  <c r="L158" i="29"/>
  <c r="K122" i="29"/>
  <c r="K48" i="29"/>
  <c r="K426" i="29"/>
  <c r="L326" i="29"/>
  <c r="L336" i="29"/>
  <c r="L261" i="29"/>
  <c r="K295" i="29"/>
  <c r="K229" i="29"/>
  <c r="K195" i="29"/>
  <c r="K131" i="29"/>
  <c r="L49" i="29"/>
  <c r="L51" i="29"/>
  <c r="L447" i="29"/>
  <c r="K331" i="29"/>
  <c r="L303" i="29"/>
  <c r="K246" i="29"/>
  <c r="L287" i="29"/>
  <c r="L229" i="29"/>
  <c r="L195" i="29"/>
  <c r="L127" i="29"/>
  <c r="L109" i="29"/>
  <c r="L111" i="29"/>
  <c r="K94" i="29"/>
  <c r="K325" i="29"/>
  <c r="K49" i="29"/>
  <c r="L193" i="29"/>
  <c r="K65" i="29"/>
  <c r="L286" i="29"/>
  <c r="L72" i="29"/>
  <c r="K252" i="29"/>
  <c r="K69" i="29"/>
  <c r="K308" i="29"/>
  <c r="K119" i="29"/>
  <c r="K332" i="29"/>
  <c r="K33" i="29"/>
  <c r="K290" i="29"/>
  <c r="L48" i="29"/>
  <c r="K134" i="29"/>
  <c r="K31" i="29"/>
  <c r="L34" i="29"/>
  <c r="L38" i="29"/>
  <c r="K68" i="29"/>
  <c r="L492" i="29"/>
  <c r="L144" i="29"/>
  <c r="K366" i="29"/>
  <c r="L94" i="29"/>
  <c r="L321" i="29"/>
  <c r="L254" i="29"/>
  <c r="L96" i="29"/>
  <c r="L322" i="29"/>
  <c r="K225" i="29"/>
  <c r="K127" i="29"/>
  <c r="L157" i="29"/>
  <c r="L283" i="29"/>
  <c r="K276" i="29"/>
  <c r="K129" i="29"/>
  <c r="K330" i="29"/>
  <c r="L271" i="29"/>
  <c r="L213" i="29"/>
  <c r="L179" i="29"/>
  <c r="L178" i="29"/>
  <c r="L93" i="29"/>
  <c r="L95" i="29"/>
  <c r="L531" i="29"/>
  <c r="L352" i="29"/>
  <c r="L304" i="29"/>
  <c r="K274" i="29"/>
  <c r="L272" i="29"/>
  <c r="L230" i="29"/>
  <c r="L208" i="29"/>
  <c r="K145" i="29"/>
  <c r="L98" i="29"/>
  <c r="L148" i="29"/>
  <c r="K554" i="29"/>
  <c r="K430" i="29"/>
  <c r="L325" i="29"/>
  <c r="K302" i="29"/>
  <c r="K257" i="29"/>
  <c r="L258" i="29"/>
  <c r="K244" i="29"/>
  <c r="L174" i="29"/>
  <c r="L126" i="29"/>
  <c r="L100" i="29"/>
  <c r="K580" i="29"/>
  <c r="K403" i="29"/>
  <c r="L353" i="29"/>
  <c r="L298" i="29"/>
  <c r="K297" i="29"/>
  <c r="K251" i="29"/>
  <c r="K197" i="29"/>
  <c r="L171" i="29"/>
  <c r="L154" i="29"/>
  <c r="K120" i="29"/>
  <c r="K64" i="29"/>
  <c r="L432" i="29"/>
  <c r="L354" i="29"/>
  <c r="L315" i="29"/>
  <c r="L290" i="29"/>
  <c r="L255" i="29"/>
  <c r="L197" i="29"/>
  <c r="K223" i="29"/>
  <c r="K159" i="29"/>
  <c r="L77" i="29"/>
  <c r="L79" i="29"/>
  <c r="K58" i="29"/>
  <c r="L318" i="29"/>
  <c r="K37" i="29"/>
  <c r="L251" i="29"/>
  <c r="K17" i="29"/>
  <c r="K242" i="29"/>
  <c r="K63" i="29"/>
  <c r="K281" i="29"/>
  <c r="K88" i="29"/>
  <c r="L355" i="29"/>
  <c r="L82" i="29"/>
  <c r="L518" i="29"/>
  <c r="L44" i="29"/>
  <c r="K354" i="29"/>
  <c r="L46" i="29"/>
  <c r="K73" i="29"/>
  <c r="K115" i="29"/>
  <c r="K97" i="29"/>
  <c r="K34" i="29"/>
  <c r="K43" i="29"/>
  <c r="K372" i="29"/>
  <c r="K104" i="29"/>
  <c r="L300" i="29"/>
  <c r="L204" i="29"/>
  <c r="L140" i="29"/>
  <c r="K298" i="29"/>
  <c r="K169" i="29"/>
  <c r="L15" i="29"/>
  <c r="L257" i="29"/>
  <c r="K191" i="29"/>
  <c r="K380" i="29"/>
  <c r="K109" i="29"/>
  <c r="K114" i="29"/>
  <c r="K67" i="29"/>
  <c r="K262" i="29"/>
  <c r="L239" i="29"/>
  <c r="L181" i="29"/>
  <c r="K207" i="29"/>
  <c r="K143" i="29"/>
  <c r="L61" i="29"/>
  <c r="K370" i="29"/>
  <c r="L305" i="29"/>
  <c r="L240" i="29"/>
  <c r="L202" i="29"/>
  <c r="L196" i="29"/>
  <c r="L340" i="29"/>
  <c r="K237" i="29"/>
  <c r="K545" i="29"/>
  <c r="K233" i="29"/>
  <c r="K333" i="29"/>
  <c r="L47" i="29"/>
  <c r="L40" i="29"/>
  <c r="K349" i="29"/>
  <c r="K263" i="29"/>
  <c r="K209" i="29"/>
  <c r="K175" i="29"/>
  <c r="L166" i="29"/>
  <c r="K138" i="29"/>
  <c r="K42" i="29"/>
  <c r="L540" i="29"/>
  <c r="L339" i="29"/>
  <c r="K292" i="29"/>
  <c r="L273" i="29"/>
  <c r="K268" i="29"/>
  <c r="K210" i="29"/>
  <c r="K176" i="29"/>
  <c r="L184" i="29"/>
  <c r="L145" i="29"/>
  <c r="L173" i="29"/>
  <c r="L499" i="29"/>
  <c r="L367" i="29"/>
  <c r="K369" i="29"/>
  <c r="L301" i="29"/>
  <c r="L236" i="29"/>
  <c r="L198" i="29"/>
  <c r="K204" i="29"/>
  <c r="L180" i="29"/>
  <c r="L136" i="29"/>
  <c r="K100" i="29"/>
  <c r="L533" i="29"/>
  <c r="K356" i="29"/>
  <c r="L296" i="29"/>
  <c r="K350" i="29"/>
  <c r="L264" i="29"/>
  <c r="L226" i="29"/>
  <c r="K235" i="29"/>
  <c r="K137" i="29"/>
  <c r="L90" i="29"/>
  <c r="L132" i="29"/>
  <c r="L611" i="29"/>
  <c r="K391" i="29"/>
  <c r="L349" i="29"/>
  <c r="K361" i="29"/>
  <c r="K291" i="29"/>
  <c r="K247" i="29"/>
  <c r="K193" i="29"/>
  <c r="K170" i="29"/>
  <c r="L150" i="29"/>
  <c r="K117" i="29"/>
  <c r="L56" i="29"/>
  <c r="K123" i="29"/>
  <c r="K77" i="29"/>
  <c r="K74" i="29"/>
  <c r="L311" i="29"/>
  <c r="L107" i="29"/>
  <c r="K327" i="29"/>
  <c r="L141" i="29"/>
  <c r="K359" i="29"/>
  <c r="L164" i="29"/>
  <c r="L29" i="29"/>
  <c r="K224" i="29"/>
  <c r="L17" i="29"/>
  <c r="L114" i="29"/>
  <c r="L555" i="29"/>
  <c r="L66" i="29"/>
  <c r="K75" i="29"/>
  <c r="L14" i="29"/>
  <c r="K30" i="29"/>
  <c r="K82" i="29"/>
  <c r="K71" i="29"/>
  <c r="L626" i="29"/>
  <c r="L152" i="29"/>
  <c r="L235" i="29"/>
  <c r="K139" i="29"/>
  <c r="L362" i="29"/>
  <c r="L205" i="29"/>
  <c r="L85" i="29"/>
  <c r="K335" i="29"/>
  <c r="L294" i="29"/>
  <c r="L113" i="29"/>
  <c r="L359" i="29"/>
  <c r="K231" i="29"/>
  <c r="L118" i="29"/>
  <c r="L45" i="29"/>
  <c r="L191" i="29"/>
  <c r="K293" i="29"/>
  <c r="L41" i="29"/>
  <c r="K265" i="29"/>
  <c r="L266" i="29"/>
  <c r="K177" i="29"/>
  <c r="L192" i="29"/>
  <c r="L134" i="29"/>
  <c r="L108" i="29"/>
  <c r="L28" i="29"/>
  <c r="K452" i="29"/>
  <c r="K343" i="29"/>
  <c r="K322" i="29"/>
  <c r="K258" i="29"/>
  <c r="K309" i="29"/>
  <c r="K178" i="29"/>
  <c r="L207" i="29"/>
  <c r="L139" i="29"/>
  <c r="K118" i="29"/>
  <c r="L125" i="29"/>
  <c r="L501" i="29"/>
  <c r="L335" i="29"/>
  <c r="K288" i="29"/>
  <c r="L319" i="29"/>
  <c r="K264" i="29"/>
  <c r="K206" i="29"/>
  <c r="K172" i="29"/>
  <c r="L167" i="29"/>
  <c r="K144" i="29"/>
  <c r="K160" i="29"/>
  <c r="K491" i="29"/>
  <c r="L363" i="29"/>
  <c r="K353" i="29"/>
  <c r="L297" i="29"/>
  <c r="L232" i="29"/>
  <c r="L241" i="29"/>
  <c r="K200" i="29"/>
  <c r="K174" i="29"/>
  <c r="L128" i="29"/>
  <c r="K96" i="29"/>
  <c r="K576" i="29"/>
  <c r="K390" i="29"/>
  <c r="L317" i="29"/>
  <c r="K294" i="29"/>
  <c r="K249" i="29"/>
  <c r="L250" i="29"/>
  <c r="L228" i="29"/>
  <c r="K165" i="29"/>
  <c r="K164" i="29"/>
  <c r="L92" i="29"/>
  <c r="L33" i="29"/>
  <c r="K187" i="29"/>
  <c r="L60" i="29"/>
  <c r="L75" i="29"/>
  <c r="L350" i="29"/>
  <c r="L105" i="29"/>
  <c r="L427" i="29"/>
  <c r="L129" i="29"/>
  <c r="L441" i="29"/>
  <c r="K192" i="29"/>
  <c r="L13" i="29"/>
  <c r="L218" i="29"/>
  <c r="K87" i="29"/>
  <c r="K161" i="29"/>
  <c r="K19" i="29"/>
  <c r="K57" i="29"/>
  <c r="K52" i="29"/>
  <c r="K23" i="29"/>
  <c r="K27" i="29"/>
  <c r="K39" i="29"/>
  <c r="L22" i="29"/>
  <c r="K626" i="29"/>
  <c r="K108" i="29"/>
  <c r="L177" i="29"/>
  <c r="L59" i="29"/>
  <c r="L323" i="29"/>
  <c r="L237" i="29"/>
  <c r="L87" i="29"/>
  <c r="K250" i="29"/>
  <c r="L131" i="29"/>
  <c r="L490" i="29"/>
  <c r="K337" i="29"/>
  <c r="L168" i="29"/>
  <c r="K279" i="29"/>
  <c r="L76" i="29"/>
  <c r="K18" i="29"/>
  <c r="K326" i="29"/>
  <c r="K273" i="29"/>
  <c r="L234" i="29"/>
  <c r="L212" i="29"/>
  <c r="K149" i="29"/>
  <c r="L102" i="29"/>
  <c r="L161" i="29"/>
  <c r="K78" i="29"/>
  <c r="K419" i="29"/>
  <c r="L366" i="29"/>
  <c r="L324" i="29"/>
  <c r="K301" i="29"/>
  <c r="L267" i="29"/>
  <c r="L209" i="29"/>
  <c r="L175" i="29"/>
  <c r="L172" i="29"/>
  <c r="L89" i="29"/>
  <c r="L91" i="29"/>
  <c r="K440" i="29"/>
  <c r="K339" i="29"/>
  <c r="K313" i="29"/>
  <c r="K254" i="29"/>
  <c r="L295" i="29"/>
  <c r="K240" i="29"/>
  <c r="L203" i="29"/>
  <c r="L135" i="29"/>
  <c r="L117" i="29"/>
  <c r="K124" i="29"/>
  <c r="L465" i="29"/>
  <c r="K367" i="29"/>
  <c r="K284" i="29"/>
  <c r="K305" i="29"/>
  <c r="K260" i="29"/>
  <c r="K202" i="29"/>
  <c r="K236" i="29"/>
  <c r="L163" i="29"/>
  <c r="L137" i="29"/>
  <c r="L149" i="29"/>
  <c r="K511" i="29"/>
  <c r="K344" i="29"/>
  <c r="L292" i="29"/>
  <c r="K334" i="29"/>
  <c r="L260" i="29"/>
  <c r="L222" i="29"/>
  <c r="K228" i="29"/>
  <c r="K133" i="29"/>
  <c r="L86" i="29"/>
  <c r="L124" i="29"/>
  <c r="K25" i="29"/>
  <c r="K221" i="29"/>
  <c r="K51" i="29"/>
  <c r="L73" i="29"/>
  <c r="L409" i="29"/>
  <c r="L123" i="29"/>
  <c r="L37" i="29"/>
  <c r="L155" i="29"/>
  <c r="L25" i="29"/>
  <c r="K226" i="29"/>
  <c r="K83" i="29"/>
  <c r="L256" i="29"/>
  <c r="K102" i="29"/>
  <c r="L224" i="29"/>
  <c r="K106" i="29"/>
  <c r="K47" i="29"/>
  <c r="K35" i="29"/>
  <c r="L62" i="29"/>
  <c r="K46" i="29"/>
  <c r="K110" i="29"/>
  <c r="K150" i="29"/>
  <c r="L396" i="29"/>
  <c r="L57" i="29"/>
  <c r="L299" i="29"/>
  <c r="K167" i="29"/>
  <c r="L307" i="29"/>
  <c r="K232" i="29"/>
  <c r="L115" i="29"/>
  <c r="L293" i="29"/>
  <c r="K196" i="29"/>
  <c r="L20" i="29"/>
  <c r="K155" i="29"/>
  <c r="L223" i="29"/>
  <c r="K21" i="29"/>
  <c r="L244" i="29"/>
  <c r="L206" i="29"/>
  <c r="K212" i="29"/>
  <c r="L200" i="29"/>
  <c r="L36" i="29"/>
  <c r="L334" i="29"/>
  <c r="K346" i="29"/>
  <c r="L269" i="29"/>
  <c r="K203" i="29"/>
  <c r="K407" i="29"/>
  <c r="L263" i="29"/>
  <c r="L459" i="29"/>
  <c r="L199" i="29"/>
  <c r="L313" i="29"/>
  <c r="K92" i="29"/>
  <c r="K22" i="29"/>
  <c r="K272" i="29"/>
  <c r="K214" i="29"/>
  <c r="K180" i="29"/>
  <c r="L190" i="29"/>
  <c r="K152" i="29"/>
  <c r="K76" i="29"/>
  <c r="L592" i="29"/>
  <c r="L437" i="29"/>
  <c r="L361" i="29"/>
  <c r="L306" i="29"/>
  <c r="L320" i="29"/>
  <c r="K259" i="29"/>
  <c r="K205" i="29"/>
  <c r="K171" i="29"/>
  <c r="L162" i="29"/>
  <c r="K130" i="29"/>
  <c r="L16" i="29"/>
  <c r="L384" i="29"/>
  <c r="L330" i="29"/>
  <c r="K338" i="29"/>
  <c r="L265" i="29"/>
  <c r="L231" i="29"/>
  <c r="L233" i="29"/>
  <c r="K199" i="29"/>
  <c r="K135" i="29"/>
  <c r="L53" i="29"/>
  <c r="L55" i="29"/>
  <c r="L450" i="29"/>
  <c r="L358" i="29"/>
  <c r="L316" i="29"/>
  <c r="L291" i="29"/>
  <c r="L259" i="29"/>
  <c r="L201" i="29"/>
  <c r="K227" i="29"/>
  <c r="K163" i="29"/>
  <c r="L81" i="29"/>
  <c r="L83" i="29"/>
  <c r="K469" i="29"/>
  <c r="K363" i="29"/>
  <c r="K280" i="29"/>
  <c r="K289" i="29"/>
  <c r="K256" i="29"/>
  <c r="K198" i="29"/>
  <c r="L227" i="29"/>
  <c r="L159" i="29"/>
  <c r="K136" i="29"/>
  <c r="K148" i="29"/>
  <c r="K111" i="29"/>
  <c r="L253" i="29"/>
  <c r="L58" i="29"/>
  <c r="K219" i="29"/>
  <c r="L74" i="29"/>
  <c r="L225" i="29"/>
  <c r="K29" i="29"/>
  <c r="K194" i="29"/>
  <c r="K41" i="29"/>
  <c r="L289" i="29"/>
  <c r="K53" i="29"/>
  <c r="L288" i="29"/>
  <c r="K98" i="29"/>
  <c r="K245" i="29"/>
  <c r="K15" i="29"/>
  <c r="L30" i="29"/>
  <c r="L165" i="29"/>
  <c r="K55" i="29"/>
  <c r="K50" i="29"/>
  <c r="L18" i="29"/>
  <c r="L63" i="29"/>
  <c r="K208" i="29"/>
  <c r="K527" i="29"/>
  <c r="L268" i="29"/>
  <c r="K141" i="29"/>
  <c r="K402" i="29"/>
  <c r="K253" i="29"/>
  <c r="L122" i="29"/>
  <c r="K400" i="29"/>
  <c r="K287" i="29"/>
  <c r="L176" i="29"/>
  <c r="L32" i="29"/>
  <c r="K357" i="29"/>
  <c r="K486" i="29"/>
  <c r="L88" i="29"/>
  <c r="L246" i="29"/>
  <c r="L64" i="29"/>
  <c r="L414" i="29"/>
  <c r="L50" i="29"/>
  <c r="K91" i="29"/>
  <c r="K95" i="29"/>
  <c r="K89" i="29"/>
  <c r="K99" i="29"/>
  <c r="K93" i="29"/>
  <c r="K66" i="29"/>
  <c r="K14" i="29"/>
  <c r="K156" i="29"/>
  <c r="L26" i="29"/>
  <c r="L42" i="29"/>
  <c r="K624" i="29"/>
  <c r="K625" i="29"/>
  <c r="L624" i="29"/>
  <c r="L625" i="29"/>
  <c r="Q4" i="29"/>
  <c r="EB212" i="25"/>
  <c r="EA212" i="25"/>
  <c r="DJ212" i="25"/>
  <c r="DI212" i="25"/>
  <c r="DM112" i="25"/>
  <c r="DW112" i="25" s="1"/>
  <c r="EB112" i="25" s="1"/>
  <c r="DB112" i="25"/>
  <c r="DI112" i="25"/>
  <c r="DJ112" i="25"/>
  <c r="CO216" i="25"/>
  <c r="DA216" i="25" s="1"/>
  <c r="DD216" i="25" s="1"/>
  <c r="DE216" i="25" s="1"/>
  <c r="DF216" i="25" s="1"/>
  <c r="DM216" i="25" s="1"/>
  <c r="DW216" i="25" s="1"/>
  <c r="DM219" i="25"/>
  <c r="DW219" i="25" s="1"/>
  <c r="DM229" i="25"/>
  <c r="DW229" i="25" s="1"/>
  <c r="DM163" i="25"/>
  <c r="DW163" i="25" s="1"/>
  <c r="DM184" i="25"/>
  <c r="DW184" i="25" s="1"/>
  <c r="DM297" i="25"/>
  <c r="DW297" i="25" s="1"/>
  <c r="DM224" i="25"/>
  <c r="DW224" i="25" s="1"/>
  <c r="DM152" i="25"/>
  <c r="DW152" i="25" s="1"/>
  <c r="DM135" i="25"/>
  <c r="DW135" i="25" s="1"/>
  <c r="DM166" i="25"/>
  <c r="DW166" i="25" s="1"/>
  <c r="DM69" i="25"/>
  <c r="DW69" i="25" s="1"/>
  <c r="DX5" i="24"/>
  <c r="EE5" i="24" s="1"/>
  <c r="DM207" i="25"/>
  <c r="DW207" i="25" s="1"/>
  <c r="DM192" i="25"/>
  <c r="DW192" i="25" s="1"/>
  <c r="DM204" i="25"/>
  <c r="DW204" i="25" s="1"/>
  <c r="DM201" i="25"/>
  <c r="DW201" i="25" s="1"/>
  <c r="DM142" i="25"/>
  <c r="DW142" i="25" s="1"/>
  <c r="DM151" i="25"/>
  <c r="DW151" i="25" s="1"/>
  <c r="DM209" i="25"/>
  <c r="DW209" i="25" s="1"/>
  <c r="DM237" i="25"/>
  <c r="DW237" i="25" s="1"/>
  <c r="DM196" i="25"/>
  <c r="DW196" i="25" s="1"/>
  <c r="DM76" i="25"/>
  <c r="DW76" i="25" s="1"/>
  <c r="DM61" i="25"/>
  <c r="DW61" i="25" s="1"/>
  <c r="DM240" i="25"/>
  <c r="DW240" i="25" s="1"/>
  <c r="DM221" i="25"/>
  <c r="DW221" i="25" s="1"/>
  <c r="DM222" i="25"/>
  <c r="DW222" i="25" s="1"/>
  <c r="DM53" i="25"/>
  <c r="DW53" i="25" s="1"/>
  <c r="DM238" i="25"/>
  <c r="DW238" i="25" s="1"/>
  <c r="DM273" i="25"/>
  <c r="DW273" i="25" s="1"/>
  <c r="DM270" i="25"/>
  <c r="DW270" i="25" s="1"/>
  <c r="DM288" i="25"/>
  <c r="DW288" i="25" s="1"/>
  <c r="DM104" i="25"/>
  <c r="DW104" i="25" s="1"/>
  <c r="DM183" i="25"/>
  <c r="DW183" i="25" s="1"/>
  <c r="DM75" i="25"/>
  <c r="DW75" i="25" s="1"/>
  <c r="DM149" i="25"/>
  <c r="DW149" i="25" s="1"/>
  <c r="DM125" i="25"/>
  <c r="DW125" i="25" s="1"/>
  <c r="DM223" i="25"/>
  <c r="DW223" i="25" s="1"/>
  <c r="DM165" i="25"/>
  <c r="DW165" i="25" s="1"/>
  <c r="DM162" i="25"/>
  <c r="DW162" i="25" s="1"/>
  <c r="DM188" i="25"/>
  <c r="DW188" i="25" s="1"/>
  <c r="DM182" i="25"/>
  <c r="DW182" i="25" s="1"/>
  <c r="DM274" i="25"/>
  <c r="DW274" i="25" s="1"/>
  <c r="DM255" i="25"/>
  <c r="DW255" i="25" s="1"/>
  <c r="DM62" i="25"/>
  <c r="DW62" i="25" s="1"/>
  <c r="DM268" i="25"/>
  <c r="DW268" i="25" s="1"/>
  <c r="DM303" i="25"/>
  <c r="DW303" i="25" s="1"/>
  <c r="DM113" i="25"/>
  <c r="DW113" i="25" s="1"/>
  <c r="DM159" i="25"/>
  <c r="DW159" i="25" s="1"/>
  <c r="DM63" i="25"/>
  <c r="DW63" i="25" s="1"/>
  <c r="DM10" i="25"/>
  <c r="DW10" i="25" s="1"/>
  <c r="DM312" i="25"/>
  <c r="DW312" i="25" s="1"/>
  <c r="DM282" i="25"/>
  <c r="DW282" i="25" s="1"/>
  <c r="DM57" i="25"/>
  <c r="DW57" i="25" s="1"/>
  <c r="DM54" i="25"/>
  <c r="DW54" i="25" s="1"/>
  <c r="DM246" i="25"/>
  <c r="DW246" i="25" s="1"/>
  <c r="DM260" i="25"/>
  <c r="DW260" i="25" s="1"/>
  <c r="DB10" i="25"/>
  <c r="DB186" i="25"/>
  <c r="DN216" i="24"/>
  <c r="DM315" i="25"/>
  <c r="DW315" i="25" s="1"/>
  <c r="DM197" i="25"/>
  <c r="DW197" i="25" s="1"/>
  <c r="DC198" i="24"/>
  <c r="DM16" i="25"/>
  <c r="DW16" i="25" s="1"/>
  <c r="DM20" i="25"/>
  <c r="DW20" i="25" s="1"/>
  <c r="EE110" i="24"/>
  <c r="DO110" i="24"/>
  <c r="DR110" i="24"/>
  <c r="DO5" i="24"/>
  <c r="DR5" i="24"/>
  <c r="DC216" i="24"/>
  <c r="DB278" i="25"/>
  <c r="DB304" i="25"/>
  <c r="DJ216" i="24"/>
  <c r="DK216" i="24"/>
  <c r="DM205" i="25"/>
  <c r="DW205" i="25" s="1"/>
  <c r="DM85" i="25"/>
  <c r="DW85" i="25" s="1"/>
  <c r="DM150" i="25"/>
  <c r="DW150" i="25" s="1"/>
  <c r="DM309" i="25"/>
  <c r="DW309" i="25" s="1"/>
  <c r="DM195" i="25"/>
  <c r="DW195" i="25" s="1"/>
  <c r="DM186" i="25"/>
  <c r="DW186" i="25" s="1"/>
  <c r="DM281" i="25"/>
  <c r="DW281" i="25" s="1"/>
  <c r="DM28" i="25"/>
  <c r="DW28" i="25" s="1"/>
  <c r="DM134" i="25"/>
  <c r="DW134" i="25" s="1"/>
  <c r="DM202" i="25"/>
  <c r="DW202" i="25" s="1"/>
  <c r="DM41" i="25"/>
  <c r="DW41" i="25" s="1"/>
  <c r="DM234" i="25"/>
  <c r="DW234" i="25" s="1"/>
  <c r="DM160" i="25"/>
  <c r="DW160" i="25" s="1"/>
  <c r="DM316" i="25"/>
  <c r="DW316" i="25" s="1"/>
  <c r="DM286" i="25"/>
  <c r="DW286" i="25" s="1"/>
  <c r="DM304" i="25"/>
  <c r="DW304" i="25" s="1"/>
  <c r="DM130" i="25"/>
  <c r="DW130" i="25" s="1"/>
  <c r="DM231" i="25"/>
  <c r="DW231" i="25" s="1"/>
  <c r="DC183" i="24"/>
  <c r="DC149" i="24"/>
  <c r="DM248" i="25"/>
  <c r="DW248" i="25" s="1"/>
  <c r="DM19" i="25"/>
  <c r="DW19" i="25" s="1"/>
  <c r="DM161" i="25"/>
  <c r="DW161" i="25" s="1"/>
  <c r="DM82" i="25"/>
  <c r="DW82" i="25" s="1"/>
  <c r="DC292" i="24"/>
  <c r="DM155" i="25"/>
  <c r="DW155" i="25" s="1"/>
  <c r="DM30" i="25"/>
  <c r="DW30" i="25" s="1"/>
  <c r="DB310" i="25"/>
  <c r="DB101" i="25"/>
  <c r="DC217" i="24"/>
  <c r="DM46" i="25"/>
  <c r="DW46" i="25" s="1"/>
  <c r="DC165" i="24"/>
  <c r="DB143" i="25"/>
  <c r="DB156" i="25"/>
  <c r="DB140" i="25"/>
  <c r="DB41" i="25"/>
  <c r="DB24" i="25"/>
  <c r="DC288" i="24"/>
  <c r="DB148" i="25"/>
  <c r="DC186" i="24"/>
  <c r="DB279" i="25"/>
  <c r="DM249" i="25"/>
  <c r="DW249" i="25" s="1"/>
  <c r="DM198" i="25"/>
  <c r="DW198" i="25" s="1"/>
  <c r="DM293" i="25"/>
  <c r="DW293" i="25" s="1"/>
  <c r="DM18" i="25"/>
  <c r="DW18" i="25" s="1"/>
  <c r="DM36" i="25"/>
  <c r="DW36" i="25" s="1"/>
  <c r="DM206" i="25"/>
  <c r="DW206" i="25" s="1"/>
  <c r="DM261" i="25"/>
  <c r="DW261" i="25" s="1"/>
  <c r="DB295" i="25"/>
  <c r="DB181" i="25"/>
  <c r="DB71" i="25"/>
  <c r="DB169" i="25"/>
  <c r="DB284" i="25"/>
  <c r="DM218" i="25"/>
  <c r="DW218" i="25" s="1"/>
  <c r="DM31" i="25"/>
  <c r="DW31" i="25" s="1"/>
  <c r="DM118" i="25"/>
  <c r="DW118" i="25" s="1"/>
  <c r="DM73" i="25"/>
  <c r="DW73" i="25" s="1"/>
  <c r="DM220" i="25"/>
  <c r="DW220" i="25" s="1"/>
  <c r="DM114" i="25"/>
  <c r="DW114" i="25" s="1"/>
  <c r="DM172" i="25"/>
  <c r="DW172" i="25" s="1"/>
  <c r="DM52" i="25"/>
  <c r="DW52" i="25" s="1"/>
  <c r="DM133" i="25"/>
  <c r="DW133" i="25" s="1"/>
  <c r="DM94" i="25"/>
  <c r="DW94" i="25" s="1"/>
  <c r="DM264" i="25"/>
  <c r="DW264" i="25" s="1"/>
  <c r="DM278" i="25"/>
  <c r="DW278" i="25" s="1"/>
  <c r="DB27" i="25"/>
  <c r="DB166" i="25"/>
  <c r="DB223" i="25"/>
  <c r="DB44" i="25"/>
  <c r="DB83" i="25"/>
  <c r="DB103" i="25"/>
  <c r="DM258" i="25"/>
  <c r="DW258" i="25" s="1"/>
  <c r="DB73" i="25"/>
  <c r="DB117" i="25"/>
  <c r="DB235" i="25"/>
  <c r="DM21" i="25"/>
  <c r="DW21" i="25" s="1"/>
  <c r="DB150" i="25"/>
  <c r="DB72" i="25"/>
  <c r="DB244" i="25"/>
  <c r="DM247" i="25"/>
  <c r="DW247" i="25" s="1"/>
  <c r="DB268" i="25"/>
  <c r="DB219" i="25"/>
  <c r="DB179" i="25"/>
  <c r="DM243" i="25"/>
  <c r="DW243" i="25" s="1"/>
  <c r="DB200" i="25"/>
  <c r="DB65" i="25"/>
  <c r="DB243" i="25"/>
  <c r="DB218" i="25"/>
  <c r="DB281" i="25"/>
  <c r="DB86" i="25"/>
  <c r="DM116" i="25"/>
  <c r="DW116" i="25" s="1"/>
  <c r="DM115" i="25"/>
  <c r="DW115" i="25" s="1"/>
  <c r="DB255" i="25"/>
  <c r="DM154" i="25"/>
  <c r="DW154" i="25" s="1"/>
  <c r="DM120" i="25"/>
  <c r="DW120" i="25" s="1"/>
  <c r="DM291" i="25"/>
  <c r="DW291" i="25" s="1"/>
  <c r="DM44" i="25"/>
  <c r="DW44" i="25" s="1"/>
  <c r="DM22" i="25"/>
  <c r="DW22" i="25" s="1"/>
  <c r="DB302" i="25"/>
  <c r="DB187" i="25"/>
  <c r="DB90" i="25"/>
  <c r="DB280" i="25"/>
  <c r="DB237" i="25"/>
  <c r="DB269" i="25"/>
  <c r="DB251" i="25"/>
  <c r="DB203" i="25"/>
  <c r="DB192" i="25"/>
  <c r="DM132" i="25"/>
  <c r="DW132" i="25" s="1"/>
  <c r="DM144" i="25"/>
  <c r="DW144" i="25" s="1"/>
  <c r="DM32" i="25"/>
  <c r="DW32" i="25" s="1"/>
  <c r="DB221" i="25"/>
  <c r="DB315" i="25"/>
  <c r="DB32" i="25"/>
  <c r="DM8" i="25"/>
  <c r="DW8" i="25" s="1"/>
  <c r="DM140" i="25"/>
  <c r="DW140" i="25" s="1"/>
  <c r="DM123" i="25"/>
  <c r="DW123" i="25" s="1"/>
  <c r="DB105" i="25"/>
  <c r="DB48" i="25"/>
  <c r="DB276" i="25"/>
  <c r="DB69" i="25"/>
  <c r="DB70" i="25"/>
  <c r="DB222" i="25"/>
  <c r="DB147" i="25"/>
  <c r="DB177" i="25"/>
  <c r="DB263" i="25"/>
  <c r="DB173" i="25"/>
  <c r="DM26" i="25"/>
  <c r="DW26" i="25" s="1"/>
  <c r="DB119" i="25"/>
  <c r="DB277" i="25"/>
  <c r="DB247" i="25"/>
  <c r="DB12" i="25"/>
  <c r="DB241" i="25"/>
  <c r="DM55" i="25"/>
  <c r="DW55" i="25" s="1"/>
  <c r="DB292" i="25"/>
  <c r="DB282" i="25"/>
  <c r="DB76" i="25"/>
  <c r="DB178" i="25"/>
  <c r="DB53" i="25"/>
  <c r="DM84" i="25"/>
  <c r="DW84" i="25" s="1"/>
  <c r="DB135" i="25"/>
  <c r="DB273" i="25"/>
  <c r="DM67" i="25"/>
  <c r="DW67" i="25" s="1"/>
  <c r="DB271" i="25"/>
  <c r="DM146" i="25"/>
  <c r="DW146" i="25" s="1"/>
  <c r="DM271" i="25"/>
  <c r="DW271" i="25" s="1"/>
  <c r="DM310" i="25"/>
  <c r="DW310" i="25" s="1"/>
  <c r="DM102" i="25"/>
  <c r="DW102" i="25" s="1"/>
  <c r="DB306" i="25"/>
  <c r="DB64" i="25"/>
  <c r="DM117" i="25"/>
  <c r="DW117" i="25" s="1"/>
  <c r="DB313" i="25"/>
  <c r="DB189" i="25"/>
  <c r="DM265" i="25"/>
  <c r="DW265" i="25" s="1"/>
  <c r="DB145" i="25"/>
  <c r="DB283" i="25"/>
  <c r="DB260" i="25"/>
  <c r="DB195" i="25"/>
  <c r="DM39" i="25"/>
  <c r="DW39" i="25" s="1"/>
  <c r="DB246" i="25"/>
  <c r="DB230" i="25"/>
  <c r="DB75" i="25"/>
  <c r="DB125" i="25"/>
  <c r="DM153" i="25"/>
  <c r="DW153" i="25" s="1"/>
  <c r="DB33" i="25"/>
  <c r="DB14" i="25"/>
  <c r="DB122" i="25"/>
  <c r="DB316" i="25"/>
  <c r="DB248" i="25"/>
  <c r="DB56" i="25"/>
  <c r="DB97" i="25"/>
  <c r="DM167" i="25"/>
  <c r="DW167" i="25" s="1"/>
  <c r="DM176" i="25"/>
  <c r="DW176" i="25" s="1"/>
  <c r="DM50" i="25"/>
  <c r="DW50" i="25" s="1"/>
  <c r="DM124" i="25"/>
  <c r="DW124" i="25" s="1"/>
  <c r="DM148" i="25"/>
  <c r="DW148" i="25" s="1"/>
  <c r="DB239" i="25"/>
  <c r="DB88" i="25"/>
  <c r="DB228" i="25"/>
  <c r="DM68" i="25"/>
  <c r="DW68" i="25" s="1"/>
  <c r="DB87" i="25"/>
  <c r="DM11" i="25"/>
  <c r="DW11" i="25" s="1"/>
  <c r="DB194" i="25"/>
  <c r="DB114" i="25"/>
  <c r="DB132" i="25"/>
  <c r="DM299" i="25"/>
  <c r="DW299" i="25" s="1"/>
  <c r="DB165" i="25"/>
  <c r="DM307" i="25"/>
  <c r="DW307" i="25" s="1"/>
  <c r="DB182" i="25"/>
  <c r="DB245" i="25"/>
  <c r="DB275" i="25"/>
  <c r="DB175" i="25"/>
  <c r="DB184" i="25"/>
  <c r="DB185" i="25"/>
  <c r="DB126" i="25"/>
  <c r="DM236" i="25"/>
  <c r="DW236" i="25" s="1"/>
  <c r="DB294" i="25"/>
  <c r="DB301" i="25"/>
  <c r="DB39" i="25"/>
  <c r="DB307" i="25"/>
  <c r="DB297" i="25"/>
  <c r="DB261" i="25"/>
  <c r="DB231" i="25"/>
  <c r="DB80" i="25"/>
  <c r="DM71" i="25"/>
  <c r="DW71" i="25" s="1"/>
  <c r="DB224" i="25"/>
  <c r="DB92" i="25"/>
  <c r="DB137" i="25"/>
  <c r="DB78" i="25"/>
  <c r="DM296" i="25"/>
  <c r="DW296" i="25" s="1"/>
  <c r="DB9" i="25"/>
  <c r="DB204" i="25"/>
  <c r="DC308" i="24"/>
  <c r="DC121" i="24"/>
  <c r="DC119" i="24"/>
  <c r="DC173" i="24"/>
  <c r="DC230" i="24"/>
  <c r="DC309" i="24"/>
  <c r="DC298" i="24"/>
  <c r="DC116" i="24"/>
  <c r="DC157" i="24"/>
  <c r="DC272" i="24"/>
  <c r="DJ219" i="25"/>
  <c r="DI219" i="25"/>
  <c r="DJ167" i="25"/>
  <c r="DI167" i="25"/>
  <c r="DJ303" i="25"/>
  <c r="DI303" i="25"/>
  <c r="DJ183" i="25"/>
  <c r="DI183" i="25"/>
  <c r="DJ8" i="25"/>
  <c r="DI8" i="25"/>
  <c r="DJ118" i="25"/>
  <c r="DI118" i="25"/>
  <c r="DJ104" i="25"/>
  <c r="DI104" i="25"/>
  <c r="DJ238" i="25"/>
  <c r="DI238" i="25"/>
  <c r="DM77" i="25"/>
  <c r="DJ186" i="25"/>
  <c r="DI186" i="25"/>
  <c r="DM136" i="25"/>
  <c r="DB22" i="25"/>
  <c r="DJ222" i="25"/>
  <c r="DI222" i="25"/>
  <c r="DJ245" i="25"/>
  <c r="DI245" i="25"/>
  <c r="DJ126" i="25"/>
  <c r="DI126" i="25"/>
  <c r="DJ129" i="25"/>
  <c r="DI129" i="25"/>
  <c r="DJ218" i="25"/>
  <c r="DI218" i="25"/>
  <c r="DJ209" i="25"/>
  <c r="DI209" i="25"/>
  <c r="DJ24" i="25"/>
  <c r="DI24" i="25"/>
  <c r="DB59" i="25"/>
  <c r="DJ185" i="25"/>
  <c r="DI185" i="25"/>
  <c r="DJ39" i="25"/>
  <c r="DI39" i="25"/>
  <c r="DB198" i="25"/>
  <c r="DM290" i="25"/>
  <c r="DW290" i="25" s="1"/>
  <c r="DB180" i="25"/>
  <c r="DM193" i="25"/>
  <c r="DB49" i="25"/>
  <c r="DB115" i="25"/>
  <c r="DJ66" i="25"/>
  <c r="DI66" i="25"/>
  <c r="DJ285" i="25"/>
  <c r="DI285" i="25"/>
  <c r="DJ131" i="25"/>
  <c r="DI131" i="25"/>
  <c r="DB258" i="25"/>
  <c r="DM141" i="25"/>
  <c r="DJ53" i="25"/>
  <c r="DI53" i="25"/>
  <c r="DM266" i="25"/>
  <c r="DW266" i="25" s="1"/>
  <c r="DM254" i="25"/>
  <c r="DW254" i="25" s="1"/>
  <c r="DJ44" i="25"/>
  <c r="DI44" i="25"/>
  <c r="DB133" i="25"/>
  <c r="DB267" i="25"/>
  <c r="DM228" i="25"/>
  <c r="DW228" i="25" s="1"/>
  <c r="DJ200" i="25"/>
  <c r="DI200" i="25"/>
  <c r="DJ168" i="25"/>
  <c r="DI168" i="25"/>
  <c r="DB205" i="25"/>
  <c r="DJ102" i="25"/>
  <c r="DI102" i="25"/>
  <c r="DM306" i="25"/>
  <c r="DW306" i="25" s="1"/>
  <c r="DJ283" i="25"/>
  <c r="DI283" i="25"/>
  <c r="DB303" i="25"/>
  <c r="DJ280" i="25"/>
  <c r="DI280" i="25"/>
  <c r="DM251" i="25"/>
  <c r="DW251" i="25" s="1"/>
  <c r="DM257" i="25"/>
  <c r="DW257" i="25" s="1"/>
  <c r="DM314" i="25"/>
  <c r="DW314" i="25" s="1"/>
  <c r="DM158" i="25"/>
  <c r="DB264" i="25"/>
  <c r="DJ80" i="25"/>
  <c r="DI80" i="25"/>
  <c r="DM226" i="25"/>
  <c r="DW226" i="25" s="1"/>
  <c r="DM15" i="25"/>
  <c r="DM78" i="25"/>
  <c r="DM190" i="25"/>
  <c r="DM164" i="25"/>
  <c r="DJ174" i="25"/>
  <c r="DI174" i="25"/>
  <c r="DJ269" i="25"/>
  <c r="DI269" i="25"/>
  <c r="DJ7" i="25"/>
  <c r="DI7" i="25"/>
  <c r="DJ233" i="25"/>
  <c r="DI233" i="25"/>
  <c r="DJ113" i="25"/>
  <c r="DI113" i="25"/>
  <c r="DB262" i="25"/>
  <c r="DJ288" i="25"/>
  <c r="DI288" i="25"/>
  <c r="DJ176" i="25"/>
  <c r="DI176" i="25"/>
  <c r="DB96" i="25"/>
  <c r="DJ246" i="25"/>
  <c r="DI246" i="25"/>
  <c r="DJ114" i="25"/>
  <c r="DI114" i="25"/>
  <c r="DJ172" i="25"/>
  <c r="DI172" i="25"/>
  <c r="DJ19" i="25"/>
  <c r="DI19" i="25"/>
  <c r="DB52" i="25"/>
  <c r="DB161" i="25"/>
  <c r="DM74" i="25"/>
  <c r="DJ101" i="25"/>
  <c r="DI101" i="25"/>
  <c r="DB168" i="25"/>
  <c r="DJ205" i="25"/>
  <c r="DI205" i="25"/>
  <c r="DB138" i="25"/>
  <c r="DB102" i="25"/>
  <c r="DB57" i="25"/>
  <c r="DJ221" i="25"/>
  <c r="DI221" i="25"/>
  <c r="DJ77" i="25"/>
  <c r="DI77" i="25"/>
  <c r="DB254" i="25"/>
  <c r="DJ136" i="25"/>
  <c r="DI136" i="25"/>
  <c r="DJ124" i="25"/>
  <c r="DI124" i="25"/>
  <c r="DB17" i="25"/>
  <c r="DM171" i="25"/>
  <c r="DB227" i="25"/>
  <c r="DB290" i="25"/>
  <c r="DM129" i="25"/>
  <c r="DB136" i="25"/>
  <c r="DB170" i="25"/>
  <c r="DM252" i="25"/>
  <c r="DW252" i="25" s="1"/>
  <c r="DJ273" i="25"/>
  <c r="DI273" i="25"/>
  <c r="DM185" i="25"/>
  <c r="DM300" i="25"/>
  <c r="DW300" i="25" s="1"/>
  <c r="DB30" i="25"/>
  <c r="DJ270" i="25"/>
  <c r="DI270" i="25"/>
  <c r="DJ18" i="25"/>
  <c r="DI18" i="25"/>
  <c r="DB77" i="25"/>
  <c r="DB123" i="25"/>
  <c r="DM93" i="25"/>
  <c r="DJ290" i="25"/>
  <c r="DI290" i="25"/>
  <c r="DJ197" i="25"/>
  <c r="DI197" i="25"/>
  <c r="DJ96" i="25"/>
  <c r="DI96" i="25"/>
  <c r="DB139" i="25"/>
  <c r="DB256" i="25"/>
  <c r="DM72" i="25"/>
  <c r="DB93" i="25"/>
  <c r="DB190" i="25"/>
  <c r="DM66" i="25"/>
  <c r="DB74" i="25"/>
  <c r="DM285" i="25"/>
  <c r="DW285" i="25" s="1"/>
  <c r="DJ152" i="25"/>
  <c r="DI152" i="25"/>
  <c r="DJ135" i="25"/>
  <c r="DI135" i="25"/>
  <c r="DB197" i="25"/>
  <c r="DJ6" i="25"/>
  <c r="DI6" i="25"/>
  <c r="DB98" i="25"/>
  <c r="DB188" i="25"/>
  <c r="DM170" i="25"/>
  <c r="DJ268" i="25"/>
  <c r="DI268" i="25"/>
  <c r="DB46" i="25"/>
  <c r="DJ141" i="25"/>
  <c r="DI141" i="25"/>
  <c r="DB50" i="25"/>
  <c r="DJ294" i="25"/>
  <c r="DI294" i="25"/>
  <c r="DJ295" i="25"/>
  <c r="DI295" i="25"/>
  <c r="DB174" i="25"/>
  <c r="DB288" i="25"/>
  <c r="DJ228" i="25"/>
  <c r="DI228" i="25"/>
  <c r="DM138" i="25"/>
  <c r="DM311" i="25"/>
  <c r="DW311" i="25" s="1"/>
  <c r="DB274" i="25"/>
  <c r="DM168" i="25"/>
  <c r="DM217" i="25"/>
  <c r="DW217" i="25" s="1"/>
  <c r="DB127" i="25"/>
  <c r="DJ306" i="25"/>
  <c r="DI306" i="25"/>
  <c r="DJ64" i="25"/>
  <c r="DI64" i="25"/>
  <c r="DJ234" i="25"/>
  <c r="DI234" i="25"/>
  <c r="DI132" i="25"/>
  <c r="DJ132" i="25"/>
  <c r="DB120" i="25"/>
  <c r="DM280" i="25"/>
  <c r="DW280" i="25" s="1"/>
  <c r="DJ251" i="25"/>
  <c r="DI251" i="25"/>
  <c r="DB152" i="25"/>
  <c r="DJ314" i="25"/>
  <c r="DI314" i="25"/>
  <c r="DJ231" i="25"/>
  <c r="DI231" i="25"/>
  <c r="DJ158" i="25"/>
  <c r="DI158" i="25"/>
  <c r="DJ304" i="25"/>
  <c r="DI304" i="25"/>
  <c r="DM80" i="25"/>
  <c r="DM45" i="25"/>
  <c r="DJ226" i="25"/>
  <c r="DI226" i="25"/>
  <c r="DJ15" i="25"/>
  <c r="DI15" i="25"/>
  <c r="DB31" i="25"/>
  <c r="DJ210" i="25"/>
  <c r="DI210" i="25"/>
  <c r="DM56" i="25"/>
  <c r="DB61" i="25"/>
  <c r="DJ164" i="25"/>
  <c r="DI164" i="25"/>
  <c r="DJ60" i="25"/>
  <c r="DI60" i="25"/>
  <c r="DM233" i="25"/>
  <c r="DW233" i="25" s="1"/>
  <c r="DJ62" i="25"/>
  <c r="DI62" i="25"/>
  <c r="DJ21" i="25"/>
  <c r="DI21" i="25"/>
  <c r="DB252" i="25"/>
  <c r="DB172" i="25"/>
  <c r="DJ74" i="25"/>
  <c r="DI74" i="25"/>
  <c r="DJ94" i="25"/>
  <c r="DI94" i="25"/>
  <c r="DB47" i="25"/>
  <c r="DJ117" i="25"/>
  <c r="DI117" i="25"/>
  <c r="DB199" i="25"/>
  <c r="DB104" i="25"/>
  <c r="DJ165" i="25"/>
  <c r="DI165" i="25"/>
  <c r="DJ50" i="25"/>
  <c r="DI50" i="25"/>
  <c r="DJ73" i="25"/>
  <c r="DI73" i="25"/>
  <c r="DJ71" i="25"/>
  <c r="DI71" i="25"/>
  <c r="DJ116" i="25"/>
  <c r="DI116" i="25"/>
  <c r="DJ229" i="25"/>
  <c r="DI229" i="25"/>
  <c r="DJ223" i="25"/>
  <c r="DI223" i="25"/>
  <c r="DJ115" i="25"/>
  <c r="DI115" i="25"/>
  <c r="DM139" i="25"/>
  <c r="DJ278" i="25"/>
  <c r="DI278" i="25"/>
  <c r="DJ171" i="25"/>
  <c r="DI171" i="25"/>
  <c r="DB289" i="25"/>
  <c r="DJ161" i="25"/>
  <c r="DI161" i="25"/>
  <c r="DB94" i="25"/>
  <c r="DJ252" i="25"/>
  <c r="DI252" i="25"/>
  <c r="DJ300" i="25"/>
  <c r="DI300" i="25"/>
  <c r="DB293" i="25"/>
  <c r="DJ93" i="25"/>
  <c r="DI93" i="25"/>
  <c r="DB20" i="25"/>
  <c r="DB129" i="25"/>
  <c r="DM145" i="25"/>
  <c r="DM96" i="25"/>
  <c r="DJ72" i="25"/>
  <c r="DI72" i="25"/>
  <c r="DM301" i="25"/>
  <c r="DW301" i="25" s="1"/>
  <c r="DJ30" i="25"/>
  <c r="DI30" i="25"/>
  <c r="DB79" i="25"/>
  <c r="DM253" i="25"/>
  <c r="DW253" i="25" s="1"/>
  <c r="DB233" i="25"/>
  <c r="DJ201" i="25"/>
  <c r="DI201" i="25"/>
  <c r="DB209" i="25"/>
  <c r="DJ307" i="25"/>
  <c r="DI307" i="25"/>
  <c r="DW6" i="25"/>
  <c r="DJ54" i="25"/>
  <c r="DI54" i="25"/>
  <c r="DB68" i="25"/>
  <c r="DM128" i="25"/>
  <c r="DJ170" i="25"/>
  <c r="DI170" i="25"/>
  <c r="DJ316" i="25"/>
  <c r="DI316" i="25"/>
  <c r="DB23" i="25"/>
  <c r="DB142" i="25"/>
  <c r="DB193" i="25"/>
  <c r="DB202" i="25"/>
  <c r="DM38" i="25"/>
  <c r="DB91" i="25"/>
  <c r="DM294" i="25"/>
  <c r="DW294" i="25" s="1"/>
  <c r="DB124" i="25"/>
  <c r="DM295" i="25"/>
  <c r="DW295" i="25" s="1"/>
  <c r="DM40" i="25"/>
  <c r="DJ138" i="25"/>
  <c r="DI138" i="25"/>
  <c r="DJ311" i="25"/>
  <c r="DI311" i="25"/>
  <c r="DM143" i="25"/>
  <c r="DJ217" i="25"/>
  <c r="DI217" i="25"/>
  <c r="DM27" i="25"/>
  <c r="DB18" i="25"/>
  <c r="DM64" i="25"/>
  <c r="DJ79" i="25"/>
  <c r="DI79" i="25"/>
  <c r="DM9" i="25"/>
  <c r="DB11" i="25"/>
  <c r="DM99" i="25"/>
  <c r="DM292" i="25"/>
  <c r="DW292" i="25" s="1"/>
  <c r="DM47" i="25"/>
  <c r="DM173" i="25"/>
  <c r="DB131" i="25"/>
  <c r="DB291" i="25"/>
  <c r="DM35" i="25"/>
  <c r="DM277" i="25"/>
  <c r="DW277" i="25" s="1"/>
  <c r="DM83" i="25"/>
  <c r="DB67" i="25"/>
  <c r="DJ45" i="25"/>
  <c r="DI45" i="25"/>
  <c r="DB229" i="25"/>
  <c r="DM105" i="25"/>
  <c r="DB35" i="25"/>
  <c r="DB206" i="25"/>
  <c r="DM210" i="25"/>
  <c r="DJ56" i="25"/>
  <c r="DI56" i="25"/>
  <c r="DB196" i="25"/>
  <c r="DM60" i="25"/>
  <c r="DM276" i="25"/>
  <c r="DW276" i="25" s="1"/>
  <c r="DJ155" i="25"/>
  <c r="DI155" i="25"/>
  <c r="DJ162" i="25"/>
  <c r="DI162" i="25"/>
  <c r="DM88" i="25"/>
  <c r="DJ291" i="25"/>
  <c r="DI291" i="25"/>
  <c r="DJ28" i="25"/>
  <c r="DI28" i="25"/>
  <c r="DJ142" i="25"/>
  <c r="DI142" i="25"/>
  <c r="DJ61" i="25"/>
  <c r="DI61" i="25"/>
  <c r="DJ151" i="25"/>
  <c r="DI151" i="25"/>
  <c r="DJ204" i="25"/>
  <c r="DI204" i="25"/>
  <c r="DJ139" i="25"/>
  <c r="DI139" i="25"/>
  <c r="DJ159" i="25"/>
  <c r="DI159" i="25"/>
  <c r="DM17" i="25"/>
  <c r="DJ52" i="25"/>
  <c r="DI52" i="25"/>
  <c r="DJ133" i="25"/>
  <c r="DI133" i="25"/>
  <c r="DJ55" i="25"/>
  <c r="DI55" i="25"/>
  <c r="DJ247" i="25"/>
  <c r="DI247" i="25"/>
  <c r="DJ282" i="25"/>
  <c r="DI282" i="25"/>
  <c r="DI145" i="25"/>
  <c r="DJ145" i="25"/>
  <c r="DJ301" i="25"/>
  <c r="DI301" i="25"/>
  <c r="DJ253" i="25"/>
  <c r="DI253" i="25"/>
  <c r="DJ36" i="25"/>
  <c r="DI36" i="25"/>
  <c r="DJ46" i="25"/>
  <c r="DI46" i="25"/>
  <c r="DJ153" i="25"/>
  <c r="DI153" i="25"/>
  <c r="DM225" i="25"/>
  <c r="DW225" i="25" s="1"/>
  <c r="DJ208" i="25"/>
  <c r="DI208" i="25"/>
  <c r="DJ38" i="25"/>
  <c r="DI38" i="25"/>
  <c r="DM262" i="25"/>
  <c r="DW262" i="25" s="1"/>
  <c r="DM100" i="25"/>
  <c r="DM70" i="25"/>
  <c r="DJ40" i="25"/>
  <c r="DI40" i="25"/>
  <c r="DJ87" i="25"/>
  <c r="DI87" i="25"/>
  <c r="DJ143" i="25"/>
  <c r="DI143" i="25"/>
  <c r="DJ27" i="25"/>
  <c r="DI27" i="25"/>
  <c r="DJ31" i="25"/>
  <c r="DI31" i="25"/>
  <c r="DM175" i="25"/>
  <c r="DI286" i="25"/>
  <c r="DJ286" i="25"/>
  <c r="DJ166" i="25"/>
  <c r="DI166" i="25"/>
  <c r="DM79" i="25"/>
  <c r="DJ9" i="25"/>
  <c r="DI9" i="25"/>
  <c r="DJ99" i="25"/>
  <c r="DI99" i="25"/>
  <c r="DJ144" i="25"/>
  <c r="DI144" i="25"/>
  <c r="DJ292" i="25"/>
  <c r="DI292" i="25"/>
  <c r="DJ47" i="25"/>
  <c r="DI47" i="25"/>
  <c r="DJ173" i="25"/>
  <c r="DI173" i="25"/>
  <c r="DM259" i="25"/>
  <c r="DW259" i="25" s="1"/>
  <c r="DJ35" i="25"/>
  <c r="DI35" i="25"/>
  <c r="DJ277" i="25"/>
  <c r="DI277" i="25"/>
  <c r="DJ83" i="25"/>
  <c r="DI83" i="25"/>
  <c r="DJ275" i="25"/>
  <c r="DI275" i="25"/>
  <c r="DJ105" i="25"/>
  <c r="DI105" i="25"/>
  <c r="DJ32" i="25"/>
  <c r="DI32" i="25"/>
  <c r="DJ239" i="25"/>
  <c r="DI239" i="25"/>
  <c r="DM127" i="25"/>
  <c r="DJ276" i="25"/>
  <c r="DI276" i="25"/>
  <c r="DB232" i="25"/>
  <c r="DB314" i="25"/>
  <c r="DJ146" i="25"/>
  <c r="DI146" i="25"/>
  <c r="DJ88" i="25"/>
  <c r="DI88" i="25"/>
  <c r="DJ274" i="25"/>
  <c r="DI274" i="25"/>
  <c r="DB159" i="25"/>
  <c r="DB25" i="25"/>
  <c r="DJ260" i="25"/>
  <c r="DI260" i="25"/>
  <c r="DB153" i="25"/>
  <c r="DB242" i="25"/>
  <c r="DB149" i="25"/>
  <c r="DJ264" i="25"/>
  <c r="DI264" i="25"/>
  <c r="DJ207" i="25"/>
  <c r="DI207" i="25"/>
  <c r="DB128" i="25"/>
  <c r="DJ198" i="25"/>
  <c r="DI198" i="25"/>
  <c r="DB58" i="25"/>
  <c r="DM242" i="25"/>
  <c r="DW242" i="25" s="1"/>
  <c r="DB183" i="25"/>
  <c r="DJ255" i="25"/>
  <c r="DI255" i="25"/>
  <c r="DJ196" i="25"/>
  <c r="DI196" i="25"/>
  <c r="DB146" i="25"/>
  <c r="DJ297" i="25"/>
  <c r="DI297" i="25"/>
  <c r="DB100" i="25"/>
  <c r="DJ17" i="25"/>
  <c r="DI17" i="25"/>
  <c r="DM48" i="25"/>
  <c r="DB272" i="25"/>
  <c r="DJ148" i="25"/>
  <c r="DI148" i="25"/>
  <c r="DJ188" i="25"/>
  <c r="DI188" i="25"/>
  <c r="DJ177" i="25"/>
  <c r="DI177" i="25"/>
  <c r="DB42" i="25"/>
  <c r="DJ235" i="25"/>
  <c r="DI235" i="25"/>
  <c r="DJ298" i="25"/>
  <c r="DI298" i="25"/>
  <c r="DB296" i="25"/>
  <c r="DJ85" i="25"/>
  <c r="DI85" i="25"/>
  <c r="DB8" i="25"/>
  <c r="DB43" i="25"/>
  <c r="DJ125" i="25"/>
  <c r="DI125" i="25"/>
  <c r="DB38" i="25"/>
  <c r="DB81" i="25"/>
  <c r="DB171" i="25"/>
  <c r="DJ150" i="25"/>
  <c r="DI150" i="25"/>
  <c r="DJ22" i="25"/>
  <c r="DI22" i="25"/>
  <c r="DM86" i="25"/>
  <c r="DJ149" i="25"/>
  <c r="DI149" i="25"/>
  <c r="DM12" i="25"/>
  <c r="DJ49" i="25"/>
  <c r="DI49" i="25"/>
  <c r="DB151" i="25"/>
  <c r="DB285" i="25"/>
  <c r="DJ310" i="25"/>
  <c r="DI310" i="25"/>
  <c r="DJ128" i="25"/>
  <c r="DI128" i="25"/>
  <c r="DB28" i="25"/>
  <c r="DM89" i="25"/>
  <c r="DM305" i="25"/>
  <c r="DW305" i="25" s="1"/>
  <c r="DJ279" i="25"/>
  <c r="DI279" i="25"/>
  <c r="DB141" i="25"/>
  <c r="DJ225" i="25"/>
  <c r="DI225" i="25"/>
  <c r="DJ123" i="25"/>
  <c r="DI123" i="25"/>
  <c r="DB37" i="25"/>
  <c r="DM208" i="25"/>
  <c r="DJ248" i="25"/>
  <c r="DI248" i="25"/>
  <c r="DB240" i="25"/>
  <c r="DM157" i="25"/>
  <c r="DM23" i="25"/>
  <c r="DJ262" i="25"/>
  <c r="DI262" i="25"/>
  <c r="DB36" i="25"/>
  <c r="DJ100" i="25"/>
  <c r="DI100" i="25"/>
  <c r="DJ70" i="25"/>
  <c r="DI70" i="25"/>
  <c r="DB118" i="25"/>
  <c r="DB113" i="25"/>
  <c r="DB116" i="25"/>
  <c r="DM87" i="25"/>
  <c r="DM156" i="25"/>
  <c r="DJ249" i="25"/>
  <c r="DI249" i="25"/>
  <c r="DJ199" i="25"/>
  <c r="DI199" i="25"/>
  <c r="DJ175" i="25"/>
  <c r="DI175" i="25"/>
  <c r="DJ289" i="25"/>
  <c r="DI289" i="25"/>
  <c r="DB54" i="25"/>
  <c r="DB249" i="25"/>
  <c r="DJ84" i="25"/>
  <c r="DI84" i="25"/>
  <c r="DB84" i="25"/>
  <c r="DJ187" i="25"/>
  <c r="DI187" i="25"/>
  <c r="DJ65" i="25"/>
  <c r="DI65" i="25"/>
  <c r="DJ41" i="25"/>
  <c r="DI41" i="25"/>
  <c r="DM267" i="25"/>
  <c r="DW267" i="25" s="1"/>
  <c r="DJ259" i="25"/>
  <c r="DI259" i="25"/>
  <c r="DM98" i="25"/>
  <c r="DB26" i="25"/>
  <c r="DM302" i="25"/>
  <c r="DW302" i="25" s="1"/>
  <c r="DJ67" i="25"/>
  <c r="DI67" i="25"/>
  <c r="DM275" i="25"/>
  <c r="DW275" i="25" s="1"/>
  <c r="DB167" i="25"/>
  <c r="DB16" i="25"/>
  <c r="DB62" i="25"/>
  <c r="DB312" i="25"/>
  <c r="DM239" i="25"/>
  <c r="DW239" i="25" s="1"/>
  <c r="DJ206" i="25"/>
  <c r="DI206" i="25"/>
  <c r="DB160" i="25"/>
  <c r="DB99" i="25"/>
  <c r="DJ57" i="25"/>
  <c r="DI57" i="25"/>
  <c r="DJ203" i="25"/>
  <c r="DI203" i="25"/>
  <c r="DJ122" i="25"/>
  <c r="DI122" i="25"/>
  <c r="DJ261" i="25"/>
  <c r="DI261" i="25"/>
  <c r="DJ315" i="25"/>
  <c r="DI315" i="25"/>
  <c r="DJ194" i="25"/>
  <c r="DI194" i="25"/>
  <c r="DM25" i="25"/>
  <c r="DJ69" i="25"/>
  <c r="DI69" i="25"/>
  <c r="DJ243" i="25"/>
  <c r="DI243" i="25"/>
  <c r="DJ230" i="25"/>
  <c r="DI230" i="25"/>
  <c r="DJ242" i="25"/>
  <c r="DI242" i="25"/>
  <c r="DM169" i="25"/>
  <c r="DJ192" i="25"/>
  <c r="DI192" i="25"/>
  <c r="DJ236" i="25"/>
  <c r="DI236" i="25"/>
  <c r="DM13" i="25"/>
  <c r="DJ48" i="25"/>
  <c r="DI48" i="25"/>
  <c r="DJ237" i="25"/>
  <c r="DI237" i="25"/>
  <c r="DJ63" i="25"/>
  <c r="DI63" i="25"/>
  <c r="DJ182" i="25"/>
  <c r="DI182" i="25"/>
  <c r="DM177" i="25"/>
  <c r="DJ163" i="25"/>
  <c r="DI163" i="25"/>
  <c r="DM235" i="25"/>
  <c r="DW235" i="25" s="1"/>
  <c r="DJ160" i="25"/>
  <c r="DI160" i="25"/>
  <c r="DM298" i="25"/>
  <c r="DW298" i="25" s="1"/>
  <c r="DJ51" i="25"/>
  <c r="DI51" i="25"/>
  <c r="DJ154" i="25"/>
  <c r="DI154" i="25"/>
  <c r="DJ240" i="25"/>
  <c r="DI240" i="25"/>
  <c r="DJ86" i="25"/>
  <c r="DI86" i="25"/>
  <c r="DJ130" i="25"/>
  <c r="DI130" i="25"/>
  <c r="DJ12" i="25"/>
  <c r="DI12" i="25"/>
  <c r="DM49" i="25"/>
  <c r="DM250" i="25"/>
  <c r="DW250" i="25" s="1"/>
  <c r="DJ89" i="25"/>
  <c r="DI89" i="25"/>
  <c r="DJ305" i="25"/>
  <c r="DI305" i="25"/>
  <c r="DJ256" i="25"/>
  <c r="DI256" i="25"/>
  <c r="DJ189" i="25"/>
  <c r="DI189" i="25"/>
  <c r="DJ178" i="25"/>
  <c r="DI178" i="25"/>
  <c r="DM90" i="25"/>
  <c r="DJ134" i="25"/>
  <c r="DI134" i="25"/>
  <c r="DJ157" i="25"/>
  <c r="DI157" i="25"/>
  <c r="DJ23" i="25"/>
  <c r="DI23" i="25"/>
  <c r="DM308" i="25"/>
  <c r="DW308" i="25" s="1"/>
  <c r="DM37" i="25"/>
  <c r="DJ111" i="25"/>
  <c r="DI111" i="25"/>
  <c r="DJ220" i="25"/>
  <c r="DI220" i="25"/>
  <c r="DJ156" i="25"/>
  <c r="DI156" i="25"/>
  <c r="DM199" i="25"/>
  <c r="DJ76" i="25"/>
  <c r="DI76" i="25"/>
  <c r="DM289" i="25"/>
  <c r="DW289" i="25" s="1"/>
  <c r="DM187" i="25"/>
  <c r="DM65" i="25"/>
  <c r="DM244" i="25"/>
  <c r="DW244" i="25" s="1"/>
  <c r="DM91" i="25"/>
  <c r="DJ267" i="25"/>
  <c r="DI267" i="25"/>
  <c r="DB286" i="25"/>
  <c r="DB311" i="25"/>
  <c r="DJ98" i="25"/>
  <c r="DI98" i="25"/>
  <c r="DJ302" i="25"/>
  <c r="DI302" i="25"/>
  <c r="DM191" i="25"/>
  <c r="DM147" i="25"/>
  <c r="DM92" i="25"/>
  <c r="DM14" i="25"/>
  <c r="DM203" i="25"/>
  <c r="DM122" i="25"/>
  <c r="DB89" i="25"/>
  <c r="DB55" i="25"/>
  <c r="DJ82" i="25"/>
  <c r="DI82" i="25"/>
  <c r="DM194" i="25"/>
  <c r="DB225" i="25"/>
  <c r="DB40" i="25"/>
  <c r="DJ20" i="25"/>
  <c r="DI20" i="25"/>
  <c r="DJ25" i="25"/>
  <c r="DI25" i="25"/>
  <c r="DB60" i="25"/>
  <c r="DB15" i="25"/>
  <c r="DJ309" i="25"/>
  <c r="DI309" i="25"/>
  <c r="DM313" i="25"/>
  <c r="DW313" i="25" s="1"/>
  <c r="DB29" i="25"/>
  <c r="DB298" i="25"/>
  <c r="DJ16" i="25"/>
  <c r="DI16" i="25"/>
  <c r="DM81" i="25"/>
  <c r="DB85" i="25"/>
  <c r="DM230" i="25"/>
  <c r="DW230" i="25" s="1"/>
  <c r="DB176" i="25"/>
  <c r="DJ195" i="25"/>
  <c r="DI195" i="25"/>
  <c r="DJ265" i="25"/>
  <c r="DI265" i="25"/>
  <c r="DJ169" i="25"/>
  <c r="DI169" i="25"/>
  <c r="DB253" i="25"/>
  <c r="DM272" i="25"/>
  <c r="DW272" i="25" s="1"/>
  <c r="DJ287" i="25"/>
  <c r="DI287" i="25"/>
  <c r="DJ140" i="25"/>
  <c r="DI140" i="25"/>
  <c r="DJ13" i="25"/>
  <c r="DI13" i="25"/>
  <c r="DB287" i="25"/>
  <c r="DM137" i="25"/>
  <c r="DM181" i="25"/>
  <c r="DJ184" i="25"/>
  <c r="DI184" i="25"/>
  <c r="DM227" i="25"/>
  <c r="DW227" i="25" s="1"/>
  <c r="DB121" i="25"/>
  <c r="DB21" i="25"/>
  <c r="DB45" i="25"/>
  <c r="DJ68" i="25"/>
  <c r="DI68" i="25"/>
  <c r="DB191" i="25"/>
  <c r="DM51" i="25"/>
  <c r="DB208" i="25"/>
  <c r="DJ258" i="25"/>
  <c r="DI258" i="25"/>
  <c r="DB130" i="25"/>
  <c r="DJ271" i="25"/>
  <c r="DI271" i="25"/>
  <c r="DB13" i="25"/>
  <c r="DB308" i="25"/>
  <c r="DM33" i="25"/>
  <c r="DB305" i="25"/>
  <c r="DJ250" i="25"/>
  <c r="DI250" i="25"/>
  <c r="DB266" i="25"/>
  <c r="DB34" i="25"/>
  <c r="DB250" i="25"/>
  <c r="DM263" i="25"/>
  <c r="DW263" i="25" s="1"/>
  <c r="DB309" i="25"/>
  <c r="DM119" i="25"/>
  <c r="DB257" i="25"/>
  <c r="DM121" i="25"/>
  <c r="DM256" i="25"/>
  <c r="DW256" i="25" s="1"/>
  <c r="DM189" i="25"/>
  <c r="DM178" i="25"/>
  <c r="DJ90" i="25"/>
  <c r="DI90" i="25"/>
  <c r="DB95" i="25"/>
  <c r="DM43" i="25"/>
  <c r="DB111" i="25"/>
  <c r="DM29" i="25"/>
  <c r="DJ95" i="25"/>
  <c r="DI95" i="25"/>
  <c r="DJ308" i="25"/>
  <c r="DI308" i="25"/>
  <c r="DJ37" i="25"/>
  <c r="DI37" i="25"/>
  <c r="DM111" i="25"/>
  <c r="DM284" i="25"/>
  <c r="DW284" i="25" s="1"/>
  <c r="DI110" i="25"/>
  <c r="DM34" i="25"/>
  <c r="DB217" i="25"/>
  <c r="DJ232" i="25"/>
  <c r="DI232" i="25"/>
  <c r="DJ58" i="25"/>
  <c r="DI58" i="25"/>
  <c r="DJ179" i="25"/>
  <c r="DI179" i="25"/>
  <c r="DM103" i="25"/>
  <c r="DJ244" i="25"/>
  <c r="DI244" i="25"/>
  <c r="DJ91" i="25"/>
  <c r="DI91" i="25"/>
  <c r="DB158" i="25"/>
  <c r="DJ120" i="25"/>
  <c r="DI120" i="25"/>
  <c r="DB163" i="25"/>
  <c r="DB299" i="25"/>
  <c r="DJ97" i="25"/>
  <c r="DI97" i="25"/>
  <c r="DM42" i="25"/>
  <c r="DB234" i="25"/>
  <c r="DJ191" i="25"/>
  <c r="DI191" i="25"/>
  <c r="DM59" i="25"/>
  <c r="DI147" i="25"/>
  <c r="DJ147" i="25"/>
  <c r="DB134" i="25"/>
  <c r="DJ92" i="25"/>
  <c r="DI92" i="25"/>
  <c r="DJ14" i="25"/>
  <c r="DI14" i="25"/>
  <c r="DB144" i="25"/>
  <c r="DB201" i="25"/>
  <c r="DJ241" i="25"/>
  <c r="DI241" i="25"/>
  <c r="DJ180" i="25"/>
  <c r="DI180" i="25"/>
  <c r="DJ313" i="25"/>
  <c r="DI313" i="25"/>
  <c r="DJ10" i="25"/>
  <c r="DI10" i="25"/>
  <c r="DJ75" i="25"/>
  <c r="DI75" i="25"/>
  <c r="DJ81" i="25"/>
  <c r="DI81" i="25"/>
  <c r="DJ272" i="25"/>
  <c r="DI272" i="25"/>
  <c r="DM287" i="25"/>
  <c r="DW287" i="25" s="1"/>
  <c r="DM245" i="25"/>
  <c r="DW245" i="25" s="1"/>
  <c r="DJ281" i="25"/>
  <c r="DI281" i="25"/>
  <c r="DM126" i="25"/>
  <c r="DJ137" i="25"/>
  <c r="DI137" i="25"/>
  <c r="DJ181" i="25"/>
  <c r="DI181" i="25"/>
  <c r="DJ227" i="25"/>
  <c r="DI227" i="25"/>
  <c r="DM24" i="25"/>
  <c r="DJ293" i="25"/>
  <c r="DI293" i="25"/>
  <c r="DJ26" i="25"/>
  <c r="DI26" i="25"/>
  <c r="DJ127" i="25"/>
  <c r="DI127" i="25"/>
  <c r="DJ193" i="25"/>
  <c r="DI193" i="25"/>
  <c r="DJ312" i="25"/>
  <c r="DI312" i="25"/>
  <c r="DJ33" i="25"/>
  <c r="DI33" i="25"/>
  <c r="DJ263" i="25"/>
  <c r="DI263" i="25"/>
  <c r="DJ119" i="25"/>
  <c r="DI119" i="25"/>
  <c r="DJ121" i="25"/>
  <c r="DI121" i="25"/>
  <c r="DJ11" i="25"/>
  <c r="DI11" i="25"/>
  <c r="DJ296" i="25"/>
  <c r="DI296" i="25"/>
  <c r="DJ224" i="25"/>
  <c r="DI224" i="25"/>
  <c r="DJ43" i="25"/>
  <c r="DI43" i="25"/>
  <c r="DJ29" i="25"/>
  <c r="DI29" i="25"/>
  <c r="DJ266" i="25"/>
  <c r="DI266" i="25"/>
  <c r="DM95" i="25"/>
  <c r="DJ254" i="25"/>
  <c r="DI254" i="25"/>
  <c r="DM200" i="25"/>
  <c r="DJ284" i="25"/>
  <c r="DI284" i="25"/>
  <c r="DJ34" i="25"/>
  <c r="DI34" i="25"/>
  <c r="DM283" i="25"/>
  <c r="DW283" i="25" s="1"/>
  <c r="DM232" i="25"/>
  <c r="DW232" i="25" s="1"/>
  <c r="DJ299" i="25"/>
  <c r="DI299" i="25"/>
  <c r="DM58" i="25"/>
  <c r="DM179" i="25"/>
  <c r="DJ103" i="25"/>
  <c r="DI103" i="25"/>
  <c r="DJ202" i="25"/>
  <c r="DI202" i="25"/>
  <c r="DJ257" i="25"/>
  <c r="DI257" i="25"/>
  <c r="DM97" i="25"/>
  <c r="DJ42" i="25"/>
  <c r="DI42" i="25"/>
  <c r="DM131" i="25"/>
  <c r="DJ59" i="25"/>
  <c r="DI59" i="25"/>
  <c r="DJ78" i="25"/>
  <c r="DI78" i="25"/>
  <c r="DJ190" i="25"/>
  <c r="DI190" i="25"/>
  <c r="DM174" i="25"/>
  <c r="DM269" i="25"/>
  <c r="DW269" i="25" s="1"/>
  <c r="DW7" i="25"/>
  <c r="DM241" i="25"/>
  <c r="DW241" i="25" s="1"/>
  <c r="DM279" i="25"/>
  <c r="DW279" i="25" s="1"/>
  <c r="DM180" i="25"/>
  <c r="DC251" i="24"/>
  <c r="DC196" i="24"/>
  <c r="DC191" i="24"/>
  <c r="DC297" i="24"/>
  <c r="DC237" i="24"/>
  <c r="DC220" i="24"/>
  <c r="DC313" i="24"/>
  <c r="DC282" i="24"/>
  <c r="DC286" i="24"/>
  <c r="DC290" i="24"/>
  <c r="DC244" i="24"/>
  <c r="DC306" i="24"/>
  <c r="DC224" i="24"/>
  <c r="DC233" i="24"/>
  <c r="DC126" i="24"/>
  <c r="DC147" i="24"/>
  <c r="DC137" i="24"/>
  <c r="DC193" i="24"/>
  <c r="DC247" i="24"/>
  <c r="DC118" i="24"/>
  <c r="DC312" i="24"/>
  <c r="DC225" i="24"/>
  <c r="DC218" i="24"/>
  <c r="DC270" i="24"/>
  <c r="DC175" i="24"/>
  <c r="DC295" i="24"/>
  <c r="DC207" i="24"/>
  <c r="DC311" i="24"/>
  <c r="DC167" i="24"/>
  <c r="DC179" i="24"/>
  <c r="DC180" i="24"/>
  <c r="DC125" i="24"/>
  <c r="DC303" i="24"/>
  <c r="DC231" i="24"/>
  <c r="DB210" i="24"/>
  <c r="DE210" i="24" s="1"/>
  <c r="DF210" i="24" s="1"/>
  <c r="DG210" i="24" s="1"/>
  <c r="DI210" i="24"/>
  <c r="DM210" i="24"/>
  <c r="DB181" i="24"/>
  <c r="DE181" i="24" s="1"/>
  <c r="DF181" i="24" s="1"/>
  <c r="DG181" i="24" s="1"/>
  <c r="DI181" i="24"/>
  <c r="DM181" i="24"/>
  <c r="DC204" i="24"/>
  <c r="DA91" i="24"/>
  <c r="DC91" i="24" s="1"/>
  <c r="DI91" i="24"/>
  <c r="DB91" i="24"/>
  <c r="DE91" i="24" s="1"/>
  <c r="DF91" i="24" s="1"/>
  <c r="DG91" i="24" s="1"/>
  <c r="DM91" i="24"/>
  <c r="DI27" i="24"/>
  <c r="DB27" i="24"/>
  <c r="DE27" i="24" s="1"/>
  <c r="DF27" i="24" s="1"/>
  <c r="DG27" i="24" s="1"/>
  <c r="DM27" i="24"/>
  <c r="DB271" i="24"/>
  <c r="DE271" i="24" s="1"/>
  <c r="DF271" i="24" s="1"/>
  <c r="DG271" i="24" s="1"/>
  <c r="DI271" i="24"/>
  <c r="DM271" i="24"/>
  <c r="DI197" i="24"/>
  <c r="DB197" i="24"/>
  <c r="DE197" i="24" s="1"/>
  <c r="DF197" i="24" s="1"/>
  <c r="DG197" i="24" s="1"/>
  <c r="DM197" i="24"/>
  <c r="DI79" i="24"/>
  <c r="DB79" i="24"/>
  <c r="DE79" i="24" s="1"/>
  <c r="DF79" i="24" s="1"/>
  <c r="DG79" i="24" s="1"/>
  <c r="DM79" i="24"/>
  <c r="DB80" i="24"/>
  <c r="DE80" i="24" s="1"/>
  <c r="DF80" i="24" s="1"/>
  <c r="DG80" i="24" s="1"/>
  <c r="DI80" i="24"/>
  <c r="DM80" i="24"/>
  <c r="DI254" i="24"/>
  <c r="DB254" i="24"/>
  <c r="DE254" i="24" s="1"/>
  <c r="DF254" i="24" s="1"/>
  <c r="DG254" i="24" s="1"/>
  <c r="DM254" i="24"/>
  <c r="DB56" i="24"/>
  <c r="DE56" i="24" s="1"/>
  <c r="DF56" i="24" s="1"/>
  <c r="DG56" i="24" s="1"/>
  <c r="DI56" i="24"/>
  <c r="DM56" i="24"/>
  <c r="DI112" i="24"/>
  <c r="DB112" i="24"/>
  <c r="DE112" i="24" s="1"/>
  <c r="DF112" i="24" s="1"/>
  <c r="DG112" i="24" s="1"/>
  <c r="DM112" i="24"/>
  <c r="DI137" i="24"/>
  <c r="DB137" i="24"/>
  <c r="DE137" i="24" s="1"/>
  <c r="DF137" i="24" s="1"/>
  <c r="DG137" i="24" s="1"/>
  <c r="DM137" i="24"/>
  <c r="DI100" i="24"/>
  <c r="DB100" i="24"/>
  <c r="DE100" i="24" s="1"/>
  <c r="DF100" i="24" s="1"/>
  <c r="DG100" i="24" s="1"/>
  <c r="DM100" i="24"/>
  <c r="DI312" i="24"/>
  <c r="DB312" i="24"/>
  <c r="DE312" i="24" s="1"/>
  <c r="DF312" i="24" s="1"/>
  <c r="DG312" i="24" s="1"/>
  <c r="DM312" i="24"/>
  <c r="DI222" i="24"/>
  <c r="DB222" i="24"/>
  <c r="DE222" i="24" s="1"/>
  <c r="DF222" i="24" s="1"/>
  <c r="DG222" i="24" s="1"/>
  <c r="DM222" i="24"/>
  <c r="DI207" i="24"/>
  <c r="DB207" i="24"/>
  <c r="DE207" i="24" s="1"/>
  <c r="DF207" i="24" s="1"/>
  <c r="DG207" i="24" s="1"/>
  <c r="DM207" i="24"/>
  <c r="DC131" i="24"/>
  <c r="DI173" i="24"/>
  <c r="DB173" i="24"/>
  <c r="DE173" i="24" s="1"/>
  <c r="DF173" i="24" s="1"/>
  <c r="DG173" i="24" s="1"/>
  <c r="DM173" i="24"/>
  <c r="DI60" i="24"/>
  <c r="DB60" i="24"/>
  <c r="DE60" i="24" s="1"/>
  <c r="DF60" i="24" s="1"/>
  <c r="DG60" i="24" s="1"/>
  <c r="DM60" i="24"/>
  <c r="DB290" i="24"/>
  <c r="DE290" i="24" s="1"/>
  <c r="DF290" i="24" s="1"/>
  <c r="DG290" i="24" s="1"/>
  <c r="DI290" i="24"/>
  <c r="DM290" i="24"/>
  <c r="DA222" i="24"/>
  <c r="DC222" i="24" s="1"/>
  <c r="DC242" i="24"/>
  <c r="DC132" i="24"/>
  <c r="DI123" i="24"/>
  <c r="DB123" i="24"/>
  <c r="DE123" i="24" s="1"/>
  <c r="DF123" i="24" s="1"/>
  <c r="DG123" i="24" s="1"/>
  <c r="DM123" i="24"/>
  <c r="DI72" i="24"/>
  <c r="DB72" i="24"/>
  <c r="DE72" i="24" s="1"/>
  <c r="DF72" i="24" s="1"/>
  <c r="DG72" i="24" s="1"/>
  <c r="DM72" i="24"/>
  <c r="DC283" i="24"/>
  <c r="DI309" i="24"/>
  <c r="DB309" i="24"/>
  <c r="DE309" i="24" s="1"/>
  <c r="DF309" i="24" s="1"/>
  <c r="DG309" i="24" s="1"/>
  <c r="DM309" i="24"/>
  <c r="DA89" i="24"/>
  <c r="DC89" i="24" s="1"/>
  <c r="DB89" i="24"/>
  <c r="DE89" i="24" s="1"/>
  <c r="DF89" i="24" s="1"/>
  <c r="DG89" i="24" s="1"/>
  <c r="DI89" i="24"/>
  <c r="DM89" i="24"/>
  <c r="DB205" i="24"/>
  <c r="DE205" i="24" s="1"/>
  <c r="DF205" i="24" s="1"/>
  <c r="DG205" i="24" s="1"/>
  <c r="DI205" i="24"/>
  <c r="DM205" i="24"/>
  <c r="DB289" i="24"/>
  <c r="DE289" i="24" s="1"/>
  <c r="DF289" i="24" s="1"/>
  <c r="DG289" i="24" s="1"/>
  <c r="DI289" i="24"/>
  <c r="DM289" i="24"/>
  <c r="DI234" i="24"/>
  <c r="DB234" i="24"/>
  <c r="DE234" i="24" s="1"/>
  <c r="DF234" i="24" s="1"/>
  <c r="DG234" i="24" s="1"/>
  <c r="DM234" i="24"/>
  <c r="DC267" i="24"/>
  <c r="DI29" i="24"/>
  <c r="DB29" i="24"/>
  <c r="DE29" i="24" s="1"/>
  <c r="DF29" i="24" s="1"/>
  <c r="DG29" i="24" s="1"/>
  <c r="DM29" i="24"/>
  <c r="DI224" i="24"/>
  <c r="DB224" i="24"/>
  <c r="DE224" i="24" s="1"/>
  <c r="DF224" i="24" s="1"/>
  <c r="DG224" i="24" s="1"/>
  <c r="DM224" i="24"/>
  <c r="DB20" i="24"/>
  <c r="DE20" i="24" s="1"/>
  <c r="DF20" i="24" s="1"/>
  <c r="DG20" i="24" s="1"/>
  <c r="DI20" i="24"/>
  <c r="DM20" i="24"/>
  <c r="DI73" i="24"/>
  <c r="DB73" i="24"/>
  <c r="DE73" i="24" s="1"/>
  <c r="DF73" i="24" s="1"/>
  <c r="DG73" i="24" s="1"/>
  <c r="DM73" i="24"/>
  <c r="DB267" i="24"/>
  <c r="DE267" i="24" s="1"/>
  <c r="DF267" i="24" s="1"/>
  <c r="DG267" i="24" s="1"/>
  <c r="DI267" i="24"/>
  <c r="DM267" i="24"/>
  <c r="DI158" i="24"/>
  <c r="DB158" i="24"/>
  <c r="DE158" i="24" s="1"/>
  <c r="DF158" i="24" s="1"/>
  <c r="DG158" i="24" s="1"/>
  <c r="DM158" i="24"/>
  <c r="DI94" i="24"/>
  <c r="DB94" i="24"/>
  <c r="DE94" i="24" s="1"/>
  <c r="DF94" i="24" s="1"/>
  <c r="DG94" i="24" s="1"/>
  <c r="DM94" i="24"/>
  <c r="DI135" i="24"/>
  <c r="DB135" i="24"/>
  <c r="DE135" i="24" s="1"/>
  <c r="DF135" i="24" s="1"/>
  <c r="DG135" i="24" s="1"/>
  <c r="DM135" i="24"/>
  <c r="DB235" i="24"/>
  <c r="DE235" i="24" s="1"/>
  <c r="DF235" i="24" s="1"/>
  <c r="DG235" i="24" s="1"/>
  <c r="DI235" i="24"/>
  <c r="DM235" i="24"/>
  <c r="DI256" i="24"/>
  <c r="DB256" i="24"/>
  <c r="DE256" i="24" s="1"/>
  <c r="DF256" i="24" s="1"/>
  <c r="DG256" i="24" s="1"/>
  <c r="DM256" i="24"/>
  <c r="DI241" i="24"/>
  <c r="DB241" i="24"/>
  <c r="DE241" i="24" s="1"/>
  <c r="DF241" i="24" s="1"/>
  <c r="DG241" i="24" s="1"/>
  <c r="DM241" i="24"/>
  <c r="DI82" i="24"/>
  <c r="DB82" i="24"/>
  <c r="DE82" i="24" s="1"/>
  <c r="DF82" i="24" s="1"/>
  <c r="DG82" i="24" s="1"/>
  <c r="DM82" i="24"/>
  <c r="DA201" i="24"/>
  <c r="DC201" i="24" s="1"/>
  <c r="DB201" i="24"/>
  <c r="DE201" i="24" s="1"/>
  <c r="DF201" i="24" s="1"/>
  <c r="DG201" i="24" s="1"/>
  <c r="DI201" i="24"/>
  <c r="DM201" i="24"/>
  <c r="DB251" i="24"/>
  <c r="DE251" i="24" s="1"/>
  <c r="DF251" i="24" s="1"/>
  <c r="DG251" i="24" s="1"/>
  <c r="DI251" i="24"/>
  <c r="DM251" i="24"/>
  <c r="DB84" i="24"/>
  <c r="DE84" i="24" s="1"/>
  <c r="DF84" i="24" s="1"/>
  <c r="DG84" i="24" s="1"/>
  <c r="DI84" i="24"/>
  <c r="DM84" i="24"/>
  <c r="DC151" i="24"/>
  <c r="DB61" i="24"/>
  <c r="DE61" i="24" s="1"/>
  <c r="DF61" i="24" s="1"/>
  <c r="DG61" i="24" s="1"/>
  <c r="DI61" i="24"/>
  <c r="DM61" i="24"/>
  <c r="DB46" i="24"/>
  <c r="DE46" i="24" s="1"/>
  <c r="DF46" i="24" s="1"/>
  <c r="DG46" i="24" s="1"/>
  <c r="DI46" i="24"/>
  <c r="DM46" i="24"/>
  <c r="DC155" i="24"/>
  <c r="DI273" i="24"/>
  <c r="DB273" i="24"/>
  <c r="DE273" i="24" s="1"/>
  <c r="DF273" i="24" s="1"/>
  <c r="DG273" i="24" s="1"/>
  <c r="DM273" i="24"/>
  <c r="DB126" i="24"/>
  <c r="DE126" i="24" s="1"/>
  <c r="DF126" i="24" s="1"/>
  <c r="DG126" i="24" s="1"/>
  <c r="DI126" i="24"/>
  <c r="DM126" i="24"/>
  <c r="DB129" i="24"/>
  <c r="DE129" i="24" s="1"/>
  <c r="DF129" i="24" s="1"/>
  <c r="DG129" i="24" s="1"/>
  <c r="DI129" i="24"/>
  <c r="DM129" i="24"/>
  <c r="DI99" i="24"/>
  <c r="DB99" i="24"/>
  <c r="DE99" i="24" s="1"/>
  <c r="DF99" i="24" s="1"/>
  <c r="DG99" i="24" s="1"/>
  <c r="DM99" i="24"/>
  <c r="DC199" i="24"/>
  <c r="DC169" i="24"/>
  <c r="DB10" i="24"/>
  <c r="DE10" i="24" s="1"/>
  <c r="DF10" i="24" s="1"/>
  <c r="DG10" i="24" s="1"/>
  <c r="DI10" i="24"/>
  <c r="DM10" i="24"/>
  <c r="DC291" i="24"/>
  <c r="DC128" i="24"/>
  <c r="DB93" i="24"/>
  <c r="DE93" i="24" s="1"/>
  <c r="DF93" i="24" s="1"/>
  <c r="DG93" i="24" s="1"/>
  <c r="DI93" i="24"/>
  <c r="DM93" i="24"/>
  <c r="DB43" i="24"/>
  <c r="DE43" i="24" s="1"/>
  <c r="DF43" i="24" s="1"/>
  <c r="DG43" i="24" s="1"/>
  <c r="DI43" i="24"/>
  <c r="DM43" i="24"/>
  <c r="DB313" i="24"/>
  <c r="DE313" i="24" s="1"/>
  <c r="DF313" i="24" s="1"/>
  <c r="DG313" i="24" s="1"/>
  <c r="DI313" i="24"/>
  <c r="DM313" i="24"/>
  <c r="DA158" i="24"/>
  <c r="DC158" i="24" s="1"/>
  <c r="DA94" i="24"/>
  <c r="DC94" i="24" s="1"/>
  <c r="DC252" i="24"/>
  <c r="DB186" i="24"/>
  <c r="DE186" i="24" s="1"/>
  <c r="DF186" i="24" s="1"/>
  <c r="DG186" i="24" s="1"/>
  <c r="DI186" i="24"/>
  <c r="DM186" i="24"/>
  <c r="DA112" i="24"/>
  <c r="DC112" i="24" s="1"/>
  <c r="DC164" i="24"/>
  <c r="DI162" i="24"/>
  <c r="DB162" i="24"/>
  <c r="DE162" i="24" s="1"/>
  <c r="DF162" i="24" s="1"/>
  <c r="DG162" i="24" s="1"/>
  <c r="DM162" i="24"/>
  <c r="DC206" i="24"/>
  <c r="DI15" i="24"/>
  <c r="DB15" i="24"/>
  <c r="DE15" i="24" s="1"/>
  <c r="DF15" i="24" s="1"/>
  <c r="DG15" i="24" s="1"/>
  <c r="DM15" i="24"/>
  <c r="DI98" i="24"/>
  <c r="DB98" i="24"/>
  <c r="DE98" i="24" s="1"/>
  <c r="DF98" i="24" s="1"/>
  <c r="DG98" i="24" s="1"/>
  <c r="DM98" i="24"/>
  <c r="DI40" i="24"/>
  <c r="DB40" i="24"/>
  <c r="DE40" i="24" s="1"/>
  <c r="DF40" i="24" s="1"/>
  <c r="DG40" i="24" s="1"/>
  <c r="DM40" i="24"/>
  <c r="DI66" i="24"/>
  <c r="DB66" i="24"/>
  <c r="DE66" i="24" s="1"/>
  <c r="DF66" i="24" s="1"/>
  <c r="DG66" i="24" s="1"/>
  <c r="DM66" i="24"/>
  <c r="DI264" i="24"/>
  <c r="DB264" i="24"/>
  <c r="DE264" i="24" s="1"/>
  <c r="DF264" i="24" s="1"/>
  <c r="DG264" i="24" s="1"/>
  <c r="DM264" i="24"/>
  <c r="DI291" i="24"/>
  <c r="DB291" i="24"/>
  <c r="DE291" i="24" s="1"/>
  <c r="DF291" i="24" s="1"/>
  <c r="DG291" i="24" s="1"/>
  <c r="DM291" i="24"/>
  <c r="DC281" i="24"/>
  <c r="DB136" i="24"/>
  <c r="DE136" i="24" s="1"/>
  <c r="DF136" i="24" s="1"/>
  <c r="DG136" i="24" s="1"/>
  <c r="DI136" i="24"/>
  <c r="DM136" i="24"/>
  <c r="DC209" i="24"/>
  <c r="DB226" i="24"/>
  <c r="DE226" i="24" s="1"/>
  <c r="DF226" i="24" s="1"/>
  <c r="DG226" i="24" s="1"/>
  <c r="DI226" i="24"/>
  <c r="DM226" i="24"/>
  <c r="DA171" i="24"/>
  <c r="DC171" i="24" s="1"/>
  <c r="DI171" i="24"/>
  <c r="DB171" i="24"/>
  <c r="DE171" i="24" s="1"/>
  <c r="DF171" i="24" s="1"/>
  <c r="DG171" i="24" s="1"/>
  <c r="DM171" i="24"/>
  <c r="DI41" i="24"/>
  <c r="DB41" i="24"/>
  <c r="DE41" i="24" s="1"/>
  <c r="DF41" i="24" s="1"/>
  <c r="DG41" i="24" s="1"/>
  <c r="DM41" i="24"/>
  <c r="DI146" i="24"/>
  <c r="DB146" i="24"/>
  <c r="DE146" i="24" s="1"/>
  <c r="DF146" i="24" s="1"/>
  <c r="DG146" i="24" s="1"/>
  <c r="DM146" i="24"/>
  <c r="DM255" i="24"/>
  <c r="DB255" i="24"/>
  <c r="DE255" i="24" s="1"/>
  <c r="DF255" i="24" s="1"/>
  <c r="DG255" i="24" s="1"/>
  <c r="DI255" i="24"/>
  <c r="DB259" i="24"/>
  <c r="DE259" i="24" s="1"/>
  <c r="DF259" i="24" s="1"/>
  <c r="DG259" i="24" s="1"/>
  <c r="DI259" i="24"/>
  <c r="DM259" i="24"/>
  <c r="DB133" i="24"/>
  <c r="DE133" i="24" s="1"/>
  <c r="DF133" i="24" s="1"/>
  <c r="DG133" i="24" s="1"/>
  <c r="DI133" i="24"/>
  <c r="DM133" i="24"/>
  <c r="DB30" i="24"/>
  <c r="DE30" i="24" s="1"/>
  <c r="DF30" i="24" s="1"/>
  <c r="DG30" i="24" s="1"/>
  <c r="DI30" i="24"/>
  <c r="DM30" i="24"/>
  <c r="DC268" i="24"/>
  <c r="DI53" i="24"/>
  <c r="DB53" i="24"/>
  <c r="DE53" i="24" s="1"/>
  <c r="DF53" i="24" s="1"/>
  <c r="DG53" i="24" s="1"/>
  <c r="DM53" i="24"/>
  <c r="DI121" i="24"/>
  <c r="DB121" i="24"/>
  <c r="DE121" i="24" s="1"/>
  <c r="DF121" i="24" s="1"/>
  <c r="DG121" i="24" s="1"/>
  <c r="DM121" i="24"/>
  <c r="DI90" i="24"/>
  <c r="DB90" i="24"/>
  <c r="DE90" i="24" s="1"/>
  <c r="DF90" i="24" s="1"/>
  <c r="DG90" i="24" s="1"/>
  <c r="DM90" i="24"/>
  <c r="DC129" i="24"/>
  <c r="DI308" i="24"/>
  <c r="DB308" i="24"/>
  <c r="DE308" i="24" s="1"/>
  <c r="DF308" i="24" s="1"/>
  <c r="DG308" i="24" s="1"/>
  <c r="DM308" i="24"/>
  <c r="DA256" i="24"/>
  <c r="DC256" i="24" s="1"/>
  <c r="DI295" i="24"/>
  <c r="DB295" i="24"/>
  <c r="DE295" i="24" s="1"/>
  <c r="DF295" i="24" s="1"/>
  <c r="DG295" i="24" s="1"/>
  <c r="DM295" i="24"/>
  <c r="DI97" i="24"/>
  <c r="DB97" i="24"/>
  <c r="DE97" i="24" s="1"/>
  <c r="DF97" i="24" s="1"/>
  <c r="DG97" i="24" s="1"/>
  <c r="DM97" i="24"/>
  <c r="DI31" i="24"/>
  <c r="DB31" i="24"/>
  <c r="DE31" i="24" s="1"/>
  <c r="DF31" i="24" s="1"/>
  <c r="DG31" i="24" s="1"/>
  <c r="DM31" i="24"/>
  <c r="DC178" i="24"/>
  <c r="DI8" i="24"/>
  <c r="DB8" i="24"/>
  <c r="DE8" i="24" s="1"/>
  <c r="DF8" i="24" s="1"/>
  <c r="DG8" i="24" s="1"/>
  <c r="DM8" i="24"/>
  <c r="DB279" i="24"/>
  <c r="DE279" i="24" s="1"/>
  <c r="DF279" i="24" s="1"/>
  <c r="DG279" i="24" s="1"/>
  <c r="DI279" i="24"/>
  <c r="DM279" i="24"/>
  <c r="DA79" i="24"/>
  <c r="DC79" i="24" s="1"/>
  <c r="DA184" i="24"/>
  <c r="DC184" i="24" s="1"/>
  <c r="DI184" i="24"/>
  <c r="DB184" i="24"/>
  <c r="DE184" i="24" s="1"/>
  <c r="DF184" i="24" s="1"/>
  <c r="DG184" i="24" s="1"/>
  <c r="DM184" i="24"/>
  <c r="DA261" i="24"/>
  <c r="DC261" i="24" s="1"/>
  <c r="DI261" i="24"/>
  <c r="DB261" i="24"/>
  <c r="DE261" i="24" s="1"/>
  <c r="DF261" i="24" s="1"/>
  <c r="DG261" i="24" s="1"/>
  <c r="DM261" i="24"/>
  <c r="DI265" i="24"/>
  <c r="DB265" i="24"/>
  <c r="DE265" i="24" s="1"/>
  <c r="DF265" i="24" s="1"/>
  <c r="DG265" i="24" s="1"/>
  <c r="DM265" i="24"/>
  <c r="DA27" i="24"/>
  <c r="DC27" i="24" s="1"/>
  <c r="DI69" i="24"/>
  <c r="DB69" i="24"/>
  <c r="DE69" i="24" s="1"/>
  <c r="DF69" i="24" s="1"/>
  <c r="DG69" i="24" s="1"/>
  <c r="DM69" i="24"/>
  <c r="DI44" i="24"/>
  <c r="DB44" i="24"/>
  <c r="DE44" i="24" s="1"/>
  <c r="DF44" i="24" s="1"/>
  <c r="DG44" i="24" s="1"/>
  <c r="DM44" i="24"/>
  <c r="DB272" i="24"/>
  <c r="DE272" i="24" s="1"/>
  <c r="DF272" i="24" s="1"/>
  <c r="DG272" i="24" s="1"/>
  <c r="DI272" i="24"/>
  <c r="DM272" i="24"/>
  <c r="DI220" i="24"/>
  <c r="DB220" i="24"/>
  <c r="DE220" i="24" s="1"/>
  <c r="DF220" i="24" s="1"/>
  <c r="DG220" i="24" s="1"/>
  <c r="DM220" i="24"/>
  <c r="DC262" i="24"/>
  <c r="DA271" i="24"/>
  <c r="DC271" i="24" s="1"/>
  <c r="DB160" i="24"/>
  <c r="DE160" i="24" s="1"/>
  <c r="DF160" i="24" s="1"/>
  <c r="DG160" i="24" s="1"/>
  <c r="DI160" i="24"/>
  <c r="DM160" i="24"/>
  <c r="DB284" i="24"/>
  <c r="DE284" i="24" s="1"/>
  <c r="DF284" i="24" s="1"/>
  <c r="DG284" i="24" s="1"/>
  <c r="DI284" i="24"/>
  <c r="DM284" i="24"/>
  <c r="DC120" i="24"/>
  <c r="DI281" i="24"/>
  <c r="DB281" i="24"/>
  <c r="DE281" i="24" s="1"/>
  <c r="DF281" i="24" s="1"/>
  <c r="DG281" i="24" s="1"/>
  <c r="DM281" i="24"/>
  <c r="DA70" i="24"/>
  <c r="DC70" i="24" s="1"/>
  <c r="DI70" i="24"/>
  <c r="DB70" i="24"/>
  <c r="DE70" i="24" s="1"/>
  <c r="DF70" i="24" s="1"/>
  <c r="DG70" i="24" s="1"/>
  <c r="DM70" i="24"/>
  <c r="DA83" i="24"/>
  <c r="DC83" i="24" s="1"/>
  <c r="DI83" i="24"/>
  <c r="DB83" i="24"/>
  <c r="DE83" i="24" s="1"/>
  <c r="DF83" i="24" s="1"/>
  <c r="DG83" i="24" s="1"/>
  <c r="DM83" i="24"/>
  <c r="DA284" i="24"/>
  <c r="DC284" i="24" s="1"/>
  <c r="DI307" i="24"/>
  <c r="DB307" i="24"/>
  <c r="DE307" i="24" s="1"/>
  <c r="DF307" i="24" s="1"/>
  <c r="DG307" i="24" s="1"/>
  <c r="DM307" i="24"/>
  <c r="DI297" i="24"/>
  <c r="DB297" i="24"/>
  <c r="DE297" i="24" s="1"/>
  <c r="DF297" i="24" s="1"/>
  <c r="DG297" i="24" s="1"/>
  <c r="DM297" i="24"/>
  <c r="DC302" i="24"/>
  <c r="DC253" i="24"/>
  <c r="DB283" i="24"/>
  <c r="DE283" i="24" s="1"/>
  <c r="DF283" i="24" s="1"/>
  <c r="DG283" i="24" s="1"/>
  <c r="DI283" i="24"/>
  <c r="DM283" i="24"/>
  <c r="DC238" i="24"/>
  <c r="DB172" i="24"/>
  <c r="DE172" i="24" s="1"/>
  <c r="DF172" i="24" s="1"/>
  <c r="DG172" i="24" s="1"/>
  <c r="DI172" i="24"/>
  <c r="DM172" i="24"/>
  <c r="DC289" i="24"/>
  <c r="DI47" i="24"/>
  <c r="DB47" i="24"/>
  <c r="DE47" i="24" s="1"/>
  <c r="DF47" i="24" s="1"/>
  <c r="DG47" i="24" s="1"/>
  <c r="DM47" i="24"/>
  <c r="DM242" i="24"/>
  <c r="DI242" i="24"/>
  <c r="DB242" i="24"/>
  <c r="DE242" i="24" s="1"/>
  <c r="DF242" i="24" s="1"/>
  <c r="DG242" i="24" s="1"/>
  <c r="DI286" i="24"/>
  <c r="DB286" i="24"/>
  <c r="DE286" i="24" s="1"/>
  <c r="DF286" i="24" s="1"/>
  <c r="DG286" i="24" s="1"/>
  <c r="DM286" i="24"/>
  <c r="DA18" i="24"/>
  <c r="DC18" i="24" s="1"/>
  <c r="DI18" i="24"/>
  <c r="DB18" i="24"/>
  <c r="DE18" i="24" s="1"/>
  <c r="DF18" i="24" s="1"/>
  <c r="DG18" i="24" s="1"/>
  <c r="DM18" i="24"/>
  <c r="DC113" i="24"/>
  <c r="DC296" i="24"/>
  <c r="DI6" i="24"/>
  <c r="DB6" i="24"/>
  <c r="DE6" i="24" s="1"/>
  <c r="DF6" i="24" s="1"/>
  <c r="DG6" i="24" s="1"/>
  <c r="DM6" i="24"/>
  <c r="DI153" i="24"/>
  <c r="DB153" i="24"/>
  <c r="DE153" i="24" s="1"/>
  <c r="DF153" i="24" s="1"/>
  <c r="DG153" i="24" s="1"/>
  <c r="DM153" i="24"/>
  <c r="DC277" i="24"/>
  <c r="DI36" i="24"/>
  <c r="DB36" i="24"/>
  <c r="DE36" i="24" s="1"/>
  <c r="DF36" i="24" s="1"/>
  <c r="DG36" i="24" s="1"/>
  <c r="DM36" i="24"/>
  <c r="DB192" i="24"/>
  <c r="DE192" i="24" s="1"/>
  <c r="DF192" i="24" s="1"/>
  <c r="DG192" i="24" s="1"/>
  <c r="DI192" i="24"/>
  <c r="DM192" i="24"/>
  <c r="DA226" i="24"/>
  <c r="DC226" i="24" s="1"/>
  <c r="DI96" i="24"/>
  <c r="DB96" i="24"/>
  <c r="DE96" i="24" s="1"/>
  <c r="DF96" i="24" s="1"/>
  <c r="DG96" i="24" s="1"/>
  <c r="DM96" i="24"/>
  <c r="DI145" i="24"/>
  <c r="DB145" i="24"/>
  <c r="DE145" i="24" s="1"/>
  <c r="DF145" i="24" s="1"/>
  <c r="DG145" i="24" s="1"/>
  <c r="DM145" i="24"/>
  <c r="DM128" i="24"/>
  <c r="DI128" i="24"/>
  <c r="DB128" i="24"/>
  <c r="DE128" i="24" s="1"/>
  <c r="DF128" i="24" s="1"/>
  <c r="DG128" i="24" s="1"/>
  <c r="DC160" i="24"/>
  <c r="DI304" i="24"/>
  <c r="DB304" i="24"/>
  <c r="DE304" i="24" s="1"/>
  <c r="DF304" i="24" s="1"/>
  <c r="DG304" i="24" s="1"/>
  <c r="DM304" i="24"/>
  <c r="DA245" i="24"/>
  <c r="DC245" i="24" s="1"/>
  <c r="DI245" i="24"/>
  <c r="DB245" i="24"/>
  <c r="DE245" i="24" s="1"/>
  <c r="DF245" i="24" s="1"/>
  <c r="DG245" i="24" s="1"/>
  <c r="DM245" i="24"/>
  <c r="DI315" i="24"/>
  <c r="DB315" i="24"/>
  <c r="DE315" i="24" s="1"/>
  <c r="DF315" i="24" s="1"/>
  <c r="DG315" i="24" s="1"/>
  <c r="DM315" i="24"/>
  <c r="DI249" i="24"/>
  <c r="DB249" i="24"/>
  <c r="DE249" i="24" s="1"/>
  <c r="DF249" i="24" s="1"/>
  <c r="DG249" i="24" s="1"/>
  <c r="DM249" i="24"/>
  <c r="DI63" i="24"/>
  <c r="DB63" i="24"/>
  <c r="DE63" i="24" s="1"/>
  <c r="DF63" i="24" s="1"/>
  <c r="DG63" i="24" s="1"/>
  <c r="DM63" i="24"/>
  <c r="DI174" i="24"/>
  <c r="DB174" i="24"/>
  <c r="DE174" i="24" s="1"/>
  <c r="DF174" i="24" s="1"/>
  <c r="DG174" i="24" s="1"/>
  <c r="DM174" i="24"/>
  <c r="DA315" i="24"/>
  <c r="DC315" i="24" s="1"/>
  <c r="DC316" i="24"/>
  <c r="DA65" i="24"/>
  <c r="DC65" i="24" s="1"/>
  <c r="DI65" i="24"/>
  <c r="DB65" i="24"/>
  <c r="DE65" i="24" s="1"/>
  <c r="DF65" i="24" s="1"/>
  <c r="DG65" i="24" s="1"/>
  <c r="DM65" i="24"/>
  <c r="DB175" i="24"/>
  <c r="DE175" i="24" s="1"/>
  <c r="DF175" i="24" s="1"/>
  <c r="DG175" i="24" s="1"/>
  <c r="DI175" i="24"/>
  <c r="DM175" i="24"/>
  <c r="DI188" i="24"/>
  <c r="DB188" i="24"/>
  <c r="DE188" i="24" s="1"/>
  <c r="DF188" i="24" s="1"/>
  <c r="DG188" i="24" s="1"/>
  <c r="DM188" i="24"/>
  <c r="DI101" i="24"/>
  <c r="DB101" i="24"/>
  <c r="DE101" i="24" s="1"/>
  <c r="DF101" i="24" s="1"/>
  <c r="DG101" i="24" s="1"/>
  <c r="DM101" i="24"/>
  <c r="DB166" i="24"/>
  <c r="DE166" i="24" s="1"/>
  <c r="DF166" i="24" s="1"/>
  <c r="DG166" i="24" s="1"/>
  <c r="DI166" i="24"/>
  <c r="DM166" i="24"/>
  <c r="DC140" i="24"/>
  <c r="DC142" i="24"/>
  <c r="DI316" i="24"/>
  <c r="DB316" i="24"/>
  <c r="DE316" i="24" s="1"/>
  <c r="DF316" i="24" s="1"/>
  <c r="DG316" i="24" s="1"/>
  <c r="DM316" i="24"/>
  <c r="DA97" i="24"/>
  <c r="DC97" i="24" s="1"/>
  <c r="DC154" i="24"/>
  <c r="DI231" i="24"/>
  <c r="DB231" i="24"/>
  <c r="DE231" i="24" s="1"/>
  <c r="DF231" i="24" s="1"/>
  <c r="DG231" i="24" s="1"/>
  <c r="DM231" i="24"/>
  <c r="DI105" i="24"/>
  <c r="DB105" i="24"/>
  <c r="DE105" i="24" s="1"/>
  <c r="DF105" i="24" s="1"/>
  <c r="DG105" i="24" s="1"/>
  <c r="DM105" i="24"/>
  <c r="DI292" i="24"/>
  <c r="DB292" i="24"/>
  <c r="DE292" i="24" s="1"/>
  <c r="DF292" i="24" s="1"/>
  <c r="DG292" i="24" s="1"/>
  <c r="DM292" i="24"/>
  <c r="DC152" i="24"/>
  <c r="DI87" i="24"/>
  <c r="DB87" i="24"/>
  <c r="DE87" i="24" s="1"/>
  <c r="DF87" i="24" s="1"/>
  <c r="DG87" i="24" s="1"/>
  <c r="DM87" i="24"/>
  <c r="DA99" i="24"/>
  <c r="DC99" i="24" s="1"/>
  <c r="DA28" i="24"/>
  <c r="DC28" i="24" s="1"/>
  <c r="DI28" i="24"/>
  <c r="DB28" i="24"/>
  <c r="DE28" i="24" s="1"/>
  <c r="DF28" i="24" s="1"/>
  <c r="DG28" i="24" s="1"/>
  <c r="DM28" i="24"/>
  <c r="DI32" i="24"/>
  <c r="DB32" i="24"/>
  <c r="DE32" i="24" s="1"/>
  <c r="DF32" i="24" s="1"/>
  <c r="DG32" i="24" s="1"/>
  <c r="DM32" i="24"/>
  <c r="DI16" i="24"/>
  <c r="DB16" i="24"/>
  <c r="DE16" i="24" s="1"/>
  <c r="DF16" i="24" s="1"/>
  <c r="DG16" i="24" s="1"/>
  <c r="DM16" i="24"/>
  <c r="DB275" i="24"/>
  <c r="DE275" i="24" s="1"/>
  <c r="DF275" i="24" s="1"/>
  <c r="DG275" i="24" s="1"/>
  <c r="DI275" i="24"/>
  <c r="DM275" i="24"/>
  <c r="DI152" i="24"/>
  <c r="DB152" i="24"/>
  <c r="DE152" i="24" s="1"/>
  <c r="DF152" i="24" s="1"/>
  <c r="DG152" i="24" s="1"/>
  <c r="DM152" i="24"/>
  <c r="DA122" i="24"/>
  <c r="DC122" i="24" s="1"/>
  <c r="DI122" i="24"/>
  <c r="DB122" i="24"/>
  <c r="DE122" i="24" s="1"/>
  <c r="DF122" i="24" s="1"/>
  <c r="DG122" i="24" s="1"/>
  <c r="DM122" i="24"/>
  <c r="DA188" i="24"/>
  <c r="DC188" i="24" s="1"/>
  <c r="DI269" i="24"/>
  <c r="DB269" i="24"/>
  <c r="DE269" i="24" s="1"/>
  <c r="DF269" i="24" s="1"/>
  <c r="DG269" i="24" s="1"/>
  <c r="DM269" i="24"/>
  <c r="DC185" i="24"/>
  <c r="DI103" i="24"/>
  <c r="DB103" i="24"/>
  <c r="DE103" i="24" s="1"/>
  <c r="DF103" i="24" s="1"/>
  <c r="DG103" i="24" s="1"/>
  <c r="DM103" i="24"/>
  <c r="DB263" i="24"/>
  <c r="DE263" i="24" s="1"/>
  <c r="DF263" i="24" s="1"/>
  <c r="DG263" i="24" s="1"/>
  <c r="DI263" i="24"/>
  <c r="DM263" i="24"/>
  <c r="DI262" i="24"/>
  <c r="DB262" i="24"/>
  <c r="DE262" i="24" s="1"/>
  <c r="DF262" i="24" s="1"/>
  <c r="DG262" i="24" s="1"/>
  <c r="DM262" i="24"/>
  <c r="DB258" i="24"/>
  <c r="DE258" i="24" s="1"/>
  <c r="DF258" i="24" s="1"/>
  <c r="DG258" i="24" s="1"/>
  <c r="DI258" i="24"/>
  <c r="DM258" i="24"/>
  <c r="DA98" i="24"/>
  <c r="DC98" i="24" s="1"/>
  <c r="DI119" i="24"/>
  <c r="DB119" i="24"/>
  <c r="DE119" i="24" s="1"/>
  <c r="DF119" i="24" s="1"/>
  <c r="DG119" i="24" s="1"/>
  <c r="DM119" i="24"/>
  <c r="DB300" i="24"/>
  <c r="DE300" i="24" s="1"/>
  <c r="DF300" i="24" s="1"/>
  <c r="DG300" i="24" s="1"/>
  <c r="DI300" i="24"/>
  <c r="DM300" i="24"/>
  <c r="DI217" i="24"/>
  <c r="DB217" i="24"/>
  <c r="DE217" i="24" s="1"/>
  <c r="DF217" i="24" s="1"/>
  <c r="DG217" i="24" s="1"/>
  <c r="DM217" i="24"/>
  <c r="DI157" i="24"/>
  <c r="DB157" i="24"/>
  <c r="DE157" i="24" s="1"/>
  <c r="DF157" i="24" s="1"/>
  <c r="DG157" i="24" s="1"/>
  <c r="DM157" i="24"/>
  <c r="DC203" i="24"/>
  <c r="DC264" i="24"/>
  <c r="DC307" i="24"/>
  <c r="DC285" i="24"/>
  <c r="DA258" i="24"/>
  <c r="DC258" i="24" s="1"/>
  <c r="DI238" i="24"/>
  <c r="DB238" i="24"/>
  <c r="DE238" i="24" s="1"/>
  <c r="DF238" i="24" s="1"/>
  <c r="DG238" i="24" s="1"/>
  <c r="DM238" i="24"/>
  <c r="DI179" i="24"/>
  <c r="DB179" i="24"/>
  <c r="DE179" i="24" s="1"/>
  <c r="DF179" i="24" s="1"/>
  <c r="DG179" i="24" s="1"/>
  <c r="DM179" i="24"/>
  <c r="DA189" i="24"/>
  <c r="DC189" i="24" s="1"/>
  <c r="DI189" i="24"/>
  <c r="DB189" i="24"/>
  <c r="DE189" i="24" s="1"/>
  <c r="DF189" i="24" s="1"/>
  <c r="DG189" i="24" s="1"/>
  <c r="DM189" i="24"/>
  <c r="DC148" i="24"/>
  <c r="DB116" i="24"/>
  <c r="DE116" i="24" s="1"/>
  <c r="DF116" i="24" s="1"/>
  <c r="DG116" i="24" s="1"/>
  <c r="DI116" i="24"/>
  <c r="DM116" i="24"/>
  <c r="DC153" i="24"/>
  <c r="DI13" i="24"/>
  <c r="DB13" i="24"/>
  <c r="DE13" i="24" s="1"/>
  <c r="DF13" i="24" s="1"/>
  <c r="DG13" i="24" s="1"/>
  <c r="DM13" i="24"/>
  <c r="DI228" i="24"/>
  <c r="DB228" i="24"/>
  <c r="DE228" i="24" s="1"/>
  <c r="DF228" i="24" s="1"/>
  <c r="DG228" i="24" s="1"/>
  <c r="DM228" i="24"/>
  <c r="DI204" i="24"/>
  <c r="DB204" i="24"/>
  <c r="DE204" i="24" s="1"/>
  <c r="DF204" i="24" s="1"/>
  <c r="DG204" i="24" s="1"/>
  <c r="DM204" i="24"/>
  <c r="DI301" i="24"/>
  <c r="DB301" i="24"/>
  <c r="DE301" i="24" s="1"/>
  <c r="DF301" i="24" s="1"/>
  <c r="DG301" i="24" s="1"/>
  <c r="DM301" i="24"/>
  <c r="DB183" i="24"/>
  <c r="DE183" i="24" s="1"/>
  <c r="DF183" i="24" s="1"/>
  <c r="DG183" i="24" s="1"/>
  <c r="DI183" i="24"/>
  <c r="DM183" i="24"/>
  <c r="DB88" i="24"/>
  <c r="DE88" i="24" s="1"/>
  <c r="DF88" i="24" s="1"/>
  <c r="DG88" i="24" s="1"/>
  <c r="DI88" i="24"/>
  <c r="DM88" i="24"/>
  <c r="DI182" i="24"/>
  <c r="DB182" i="24"/>
  <c r="DE182" i="24" s="1"/>
  <c r="DF182" i="24" s="1"/>
  <c r="DG182" i="24" s="1"/>
  <c r="DM182" i="24"/>
  <c r="DA276" i="24"/>
  <c r="DC276" i="24" s="1"/>
  <c r="DI276" i="24"/>
  <c r="DB276" i="24"/>
  <c r="DE276" i="24" s="1"/>
  <c r="DF276" i="24" s="1"/>
  <c r="DG276" i="24" s="1"/>
  <c r="DM276" i="24"/>
  <c r="DI95" i="24"/>
  <c r="DB95" i="24"/>
  <c r="DE95" i="24" s="1"/>
  <c r="DF95" i="24" s="1"/>
  <c r="DG95" i="24" s="1"/>
  <c r="DM95" i="24"/>
  <c r="DC301" i="24"/>
  <c r="DA202" i="24"/>
  <c r="DC202" i="24" s="1"/>
  <c r="DI202" i="24"/>
  <c r="DB202" i="24"/>
  <c r="DE202" i="24" s="1"/>
  <c r="DF202" i="24" s="1"/>
  <c r="DG202" i="24" s="1"/>
  <c r="DM202" i="24"/>
  <c r="DB170" i="24"/>
  <c r="DE170" i="24" s="1"/>
  <c r="DF170" i="24" s="1"/>
  <c r="DG170" i="24" s="1"/>
  <c r="DI170" i="24"/>
  <c r="DM170" i="24"/>
  <c r="DB164" i="24"/>
  <c r="DE164" i="24" s="1"/>
  <c r="DF164" i="24" s="1"/>
  <c r="DG164" i="24" s="1"/>
  <c r="DI164" i="24"/>
  <c r="DM164" i="24"/>
  <c r="DI127" i="24"/>
  <c r="DB127" i="24"/>
  <c r="DE127" i="24" s="1"/>
  <c r="DF127" i="24" s="1"/>
  <c r="DG127" i="24" s="1"/>
  <c r="DM127" i="24"/>
  <c r="DA95" i="24"/>
  <c r="DC95" i="24" s="1"/>
  <c r="DA249" i="24"/>
  <c r="DC249" i="24" s="1"/>
  <c r="DB22" i="24"/>
  <c r="DE22" i="24" s="1"/>
  <c r="DF22" i="24" s="1"/>
  <c r="DG22" i="24" s="1"/>
  <c r="DI22" i="24"/>
  <c r="DM22" i="24"/>
  <c r="DI19" i="24"/>
  <c r="DB19" i="24"/>
  <c r="DE19" i="24" s="1"/>
  <c r="DF19" i="24" s="1"/>
  <c r="DG19" i="24" s="1"/>
  <c r="DM19" i="24"/>
  <c r="DC278" i="24"/>
  <c r="DB180" i="24"/>
  <c r="DE180" i="24" s="1"/>
  <c r="DF180" i="24" s="1"/>
  <c r="DG180" i="24" s="1"/>
  <c r="DI180" i="24"/>
  <c r="DM180" i="24"/>
  <c r="DI147" i="24"/>
  <c r="DB147" i="24"/>
  <c r="DE147" i="24" s="1"/>
  <c r="DF147" i="24" s="1"/>
  <c r="DG147" i="24" s="1"/>
  <c r="DM147" i="24"/>
  <c r="DA241" i="24"/>
  <c r="DC241" i="24" s="1"/>
  <c r="DI185" i="24"/>
  <c r="DB185" i="24"/>
  <c r="DE185" i="24" s="1"/>
  <c r="DF185" i="24" s="1"/>
  <c r="DG185" i="24" s="1"/>
  <c r="DM185" i="24"/>
  <c r="DB138" i="24"/>
  <c r="DE138" i="24" s="1"/>
  <c r="DF138" i="24" s="1"/>
  <c r="DG138" i="24" s="1"/>
  <c r="DI138" i="24"/>
  <c r="DM138" i="24"/>
  <c r="DA46" i="24"/>
  <c r="DC46" i="24" s="1"/>
  <c r="DI111" i="24"/>
  <c r="DB111" i="24"/>
  <c r="DE111" i="24" s="1"/>
  <c r="DF111" i="24" s="1"/>
  <c r="DG111" i="24" s="1"/>
  <c r="DM111" i="24"/>
  <c r="DA299" i="24"/>
  <c r="DC299" i="24" s="1"/>
  <c r="DB299" i="24"/>
  <c r="DE299" i="24" s="1"/>
  <c r="DF299" i="24" s="1"/>
  <c r="DG299" i="24" s="1"/>
  <c r="DI299" i="24"/>
  <c r="DM299" i="24"/>
  <c r="DI77" i="24"/>
  <c r="DB77" i="24"/>
  <c r="DE77" i="24" s="1"/>
  <c r="DF77" i="24" s="1"/>
  <c r="DG77" i="24" s="1"/>
  <c r="DM77" i="24"/>
  <c r="DC130" i="24"/>
  <c r="DB141" i="24"/>
  <c r="DE141" i="24" s="1"/>
  <c r="DF141" i="24" s="1"/>
  <c r="DG141" i="24" s="1"/>
  <c r="DI141" i="24"/>
  <c r="DM141" i="24"/>
  <c r="DA254" i="24"/>
  <c r="DC254" i="24" s="1"/>
  <c r="DI237" i="24"/>
  <c r="DB237" i="24"/>
  <c r="DE237" i="24" s="1"/>
  <c r="DF237" i="24" s="1"/>
  <c r="DG237" i="24" s="1"/>
  <c r="DM237" i="24"/>
  <c r="DI74" i="24"/>
  <c r="DB74" i="24"/>
  <c r="DE74" i="24" s="1"/>
  <c r="DF74" i="24" s="1"/>
  <c r="DG74" i="24" s="1"/>
  <c r="DM74" i="24"/>
  <c r="DI257" i="24"/>
  <c r="DB257" i="24"/>
  <c r="DE257" i="24" s="1"/>
  <c r="DF257" i="24" s="1"/>
  <c r="DG257" i="24" s="1"/>
  <c r="DM257" i="24"/>
  <c r="DB78" i="24"/>
  <c r="DE78" i="24" s="1"/>
  <c r="DF78" i="24" s="1"/>
  <c r="DG78" i="24" s="1"/>
  <c r="DI78" i="24"/>
  <c r="DM78" i="24"/>
  <c r="DA163" i="24"/>
  <c r="DC163" i="24" s="1"/>
  <c r="DB163" i="24"/>
  <c r="DE163" i="24" s="1"/>
  <c r="DF163" i="24" s="1"/>
  <c r="DG163" i="24" s="1"/>
  <c r="DI163" i="24"/>
  <c r="DM163" i="24"/>
  <c r="DA194" i="24"/>
  <c r="DC194" i="24" s="1"/>
  <c r="DI194" i="24"/>
  <c r="DB194" i="24"/>
  <c r="DE194" i="24" s="1"/>
  <c r="DF194" i="24" s="1"/>
  <c r="DG194" i="24" s="1"/>
  <c r="DM194" i="24"/>
  <c r="DB277" i="24"/>
  <c r="DE277" i="24" s="1"/>
  <c r="DF277" i="24" s="1"/>
  <c r="DG277" i="24" s="1"/>
  <c r="DI277" i="24"/>
  <c r="DM277" i="24"/>
  <c r="DB208" i="24"/>
  <c r="DE208" i="24" s="1"/>
  <c r="DF208" i="24" s="1"/>
  <c r="DG208" i="24" s="1"/>
  <c r="DI208" i="24"/>
  <c r="DM208" i="24"/>
  <c r="DB314" i="24"/>
  <c r="DE314" i="24" s="1"/>
  <c r="DF314" i="24" s="1"/>
  <c r="DG314" i="24" s="1"/>
  <c r="DI314" i="24"/>
  <c r="DM314" i="24"/>
  <c r="DB177" i="24"/>
  <c r="DE177" i="24" s="1"/>
  <c r="DF177" i="24" s="1"/>
  <c r="DG177" i="24" s="1"/>
  <c r="DI177" i="24"/>
  <c r="DM177" i="24"/>
  <c r="DI21" i="24"/>
  <c r="DB21" i="24"/>
  <c r="DE21" i="24" s="1"/>
  <c r="DF21" i="24" s="1"/>
  <c r="DG21" i="24" s="1"/>
  <c r="DM21" i="24"/>
  <c r="DB306" i="24"/>
  <c r="DE306" i="24" s="1"/>
  <c r="DF306" i="24" s="1"/>
  <c r="DG306" i="24" s="1"/>
  <c r="DI306" i="24"/>
  <c r="DM306" i="24"/>
  <c r="DI64" i="24"/>
  <c r="DB64" i="24"/>
  <c r="DE64" i="24" s="1"/>
  <c r="DF64" i="24" s="1"/>
  <c r="DG64" i="24" s="1"/>
  <c r="DM64" i="24"/>
  <c r="DI296" i="24"/>
  <c r="DB296" i="24"/>
  <c r="DE296" i="24" s="1"/>
  <c r="DF296" i="24" s="1"/>
  <c r="DG296" i="24" s="1"/>
  <c r="DM296" i="24"/>
  <c r="DI200" i="24"/>
  <c r="DB200" i="24"/>
  <c r="DE200" i="24" s="1"/>
  <c r="DF200" i="24" s="1"/>
  <c r="DG200" i="24" s="1"/>
  <c r="DM200" i="24"/>
  <c r="DA66" i="24"/>
  <c r="DC66" i="24" s="1"/>
  <c r="DA72" i="24"/>
  <c r="DC72" i="24" s="1"/>
  <c r="DB206" i="24"/>
  <c r="DE206" i="24" s="1"/>
  <c r="DF206" i="24" s="1"/>
  <c r="DG206" i="24" s="1"/>
  <c r="DI206" i="24"/>
  <c r="DM206" i="24"/>
  <c r="DB9" i="24"/>
  <c r="DE9" i="24" s="1"/>
  <c r="DF9" i="24" s="1"/>
  <c r="DG9" i="24" s="1"/>
  <c r="DI9" i="24"/>
  <c r="DM9" i="24"/>
  <c r="DI26" i="24"/>
  <c r="DB26" i="24"/>
  <c r="DE26" i="24" s="1"/>
  <c r="DF26" i="24" s="1"/>
  <c r="DG26" i="24" s="1"/>
  <c r="DM26" i="24"/>
  <c r="DI198" i="24"/>
  <c r="DB198" i="24"/>
  <c r="DE198" i="24" s="1"/>
  <c r="DF198" i="24" s="1"/>
  <c r="DG198" i="24" s="1"/>
  <c r="DM198" i="24"/>
  <c r="DI149" i="24"/>
  <c r="DB149" i="24"/>
  <c r="DE149" i="24" s="1"/>
  <c r="DF149" i="24" s="1"/>
  <c r="DG149" i="24" s="1"/>
  <c r="DM149" i="24"/>
  <c r="DC275" i="24"/>
  <c r="DI274" i="24"/>
  <c r="DB274" i="24"/>
  <c r="DE274" i="24" s="1"/>
  <c r="DF274" i="24" s="1"/>
  <c r="DG274" i="24" s="1"/>
  <c r="DM274" i="24"/>
  <c r="DA168" i="24"/>
  <c r="DC168" i="24" s="1"/>
  <c r="DB168" i="24"/>
  <c r="DE168" i="24" s="1"/>
  <c r="DF168" i="24" s="1"/>
  <c r="DG168" i="24" s="1"/>
  <c r="DI168" i="24"/>
  <c r="DM168" i="24"/>
  <c r="DI260" i="24"/>
  <c r="DB260" i="24"/>
  <c r="DE260" i="24" s="1"/>
  <c r="DF260" i="24" s="1"/>
  <c r="DG260" i="24" s="1"/>
  <c r="DM260" i="24"/>
  <c r="DI159" i="24"/>
  <c r="DB159" i="24"/>
  <c r="DE159" i="24" s="1"/>
  <c r="DF159" i="24" s="1"/>
  <c r="DG159" i="24" s="1"/>
  <c r="DM159" i="24"/>
  <c r="DM199" i="24"/>
  <c r="DB199" i="24"/>
  <c r="DE199" i="24" s="1"/>
  <c r="DF199" i="24" s="1"/>
  <c r="DG199" i="24" s="1"/>
  <c r="DI199" i="24"/>
  <c r="DA159" i="24"/>
  <c r="DC159" i="24" s="1"/>
  <c r="DA181" i="24"/>
  <c r="DC181" i="24" s="1"/>
  <c r="DB54" i="24"/>
  <c r="DE54" i="24" s="1"/>
  <c r="DF54" i="24" s="1"/>
  <c r="DG54" i="24" s="1"/>
  <c r="DI54" i="24"/>
  <c r="DM54" i="24"/>
  <c r="DB155" i="24"/>
  <c r="DE155" i="24" s="1"/>
  <c r="DF155" i="24" s="1"/>
  <c r="DG155" i="24" s="1"/>
  <c r="DI155" i="24"/>
  <c r="DM155" i="24"/>
  <c r="DI143" i="24"/>
  <c r="DB143" i="24"/>
  <c r="DE143" i="24" s="1"/>
  <c r="DF143" i="24" s="1"/>
  <c r="DG143" i="24" s="1"/>
  <c r="DM143" i="24"/>
  <c r="DI278" i="24"/>
  <c r="DB278" i="24"/>
  <c r="DE278" i="24" s="1"/>
  <c r="DF278" i="24" s="1"/>
  <c r="DG278" i="24" s="1"/>
  <c r="DM278" i="24"/>
  <c r="DB156" i="24"/>
  <c r="DE156" i="24" s="1"/>
  <c r="DF156" i="24" s="1"/>
  <c r="DG156" i="24" s="1"/>
  <c r="DI156" i="24"/>
  <c r="DM156" i="24"/>
  <c r="DB266" i="24"/>
  <c r="DE266" i="24" s="1"/>
  <c r="DF266" i="24" s="1"/>
  <c r="DG266" i="24" s="1"/>
  <c r="DI266" i="24"/>
  <c r="DM266" i="24"/>
  <c r="DA174" i="24"/>
  <c r="DC174" i="24" s="1"/>
  <c r="DB223" i="24"/>
  <c r="DE223" i="24" s="1"/>
  <c r="DF223" i="24" s="1"/>
  <c r="DG223" i="24" s="1"/>
  <c r="DI223" i="24"/>
  <c r="DM223" i="24"/>
  <c r="DB12" i="24"/>
  <c r="DE12" i="24" s="1"/>
  <c r="DF12" i="24" s="1"/>
  <c r="DG12" i="24" s="1"/>
  <c r="DI12" i="24"/>
  <c r="DM12" i="24"/>
  <c r="DB51" i="24"/>
  <c r="DE51" i="24" s="1"/>
  <c r="DF51" i="24" s="1"/>
  <c r="DG51" i="24" s="1"/>
  <c r="DI51" i="24"/>
  <c r="DM51" i="24"/>
  <c r="DA182" i="24"/>
  <c r="DC182" i="24" s="1"/>
  <c r="DI191" i="24"/>
  <c r="DB191" i="24"/>
  <c r="DE191" i="24" s="1"/>
  <c r="DF191" i="24" s="1"/>
  <c r="DG191" i="24" s="1"/>
  <c r="DM191" i="24"/>
  <c r="DA138" i="24"/>
  <c r="DC138" i="24" s="1"/>
  <c r="DA223" i="24"/>
  <c r="DC223" i="24" s="1"/>
  <c r="DB92" i="24"/>
  <c r="DE92" i="24" s="1"/>
  <c r="DF92" i="24" s="1"/>
  <c r="DG92" i="24" s="1"/>
  <c r="DI92" i="24"/>
  <c r="DM92" i="24"/>
  <c r="DI117" i="24"/>
  <c r="DB117" i="24"/>
  <c r="DE117" i="24" s="1"/>
  <c r="DF117" i="24" s="1"/>
  <c r="DG117" i="24" s="1"/>
  <c r="DM117" i="24"/>
  <c r="DA63" i="24"/>
  <c r="DC63" i="24" s="1"/>
  <c r="DI270" i="24"/>
  <c r="DB270" i="24"/>
  <c r="DE270" i="24" s="1"/>
  <c r="DF270" i="24" s="1"/>
  <c r="DG270" i="24" s="1"/>
  <c r="DM270" i="24"/>
  <c r="DA76" i="24"/>
  <c r="DC76" i="24" s="1"/>
  <c r="DI76" i="24"/>
  <c r="DB76" i="24"/>
  <c r="DE76" i="24" s="1"/>
  <c r="DF76" i="24" s="1"/>
  <c r="DG76" i="24" s="1"/>
  <c r="DM76" i="24"/>
  <c r="DI134" i="24"/>
  <c r="DB134" i="24"/>
  <c r="DE134" i="24" s="1"/>
  <c r="DF134" i="24" s="1"/>
  <c r="DG134" i="24" s="1"/>
  <c r="DM134" i="24"/>
  <c r="DA88" i="24"/>
  <c r="DC88" i="24" s="1"/>
  <c r="DI130" i="24"/>
  <c r="DB130" i="24"/>
  <c r="DE130" i="24" s="1"/>
  <c r="DF130" i="24" s="1"/>
  <c r="DG130" i="24" s="1"/>
  <c r="DM130" i="24"/>
  <c r="DC195" i="24"/>
  <c r="DA170" i="24"/>
  <c r="DC170" i="24" s="1"/>
  <c r="DA143" i="24"/>
  <c r="DC143" i="24" s="1"/>
  <c r="DC293" i="24"/>
  <c r="DC246" i="24"/>
  <c r="DB218" i="24"/>
  <c r="DE218" i="24" s="1"/>
  <c r="DF218" i="24" s="1"/>
  <c r="DG218" i="24" s="1"/>
  <c r="DI218" i="24"/>
  <c r="DM218" i="24"/>
  <c r="DA101" i="24"/>
  <c r="DC101" i="24" s="1"/>
  <c r="DA197" i="24"/>
  <c r="DC197" i="24" s="1"/>
  <c r="DA54" i="24"/>
  <c r="DC54" i="24" s="1"/>
  <c r="DA265" i="24"/>
  <c r="DC265" i="24" s="1"/>
  <c r="DA279" i="24"/>
  <c r="DC279" i="24" s="1"/>
  <c r="DB225" i="24"/>
  <c r="DE225" i="24" s="1"/>
  <c r="DF225" i="24" s="1"/>
  <c r="DG225" i="24" s="1"/>
  <c r="DI225" i="24"/>
  <c r="DM225" i="24"/>
  <c r="DM59" i="24"/>
  <c r="DI59" i="24"/>
  <c r="DB59" i="24"/>
  <c r="DE59" i="24" s="1"/>
  <c r="DF59" i="24" s="1"/>
  <c r="DG59" i="24" s="1"/>
  <c r="DA141" i="24"/>
  <c r="DC141" i="24" s="1"/>
  <c r="DI268" i="24"/>
  <c r="DB268" i="24"/>
  <c r="DE268" i="24" s="1"/>
  <c r="DF268" i="24" s="1"/>
  <c r="DG268" i="24" s="1"/>
  <c r="DM268" i="24"/>
  <c r="DI102" i="24"/>
  <c r="DB102" i="24"/>
  <c r="DE102" i="24" s="1"/>
  <c r="DF102" i="24" s="1"/>
  <c r="DG102" i="24" s="1"/>
  <c r="DM102" i="24"/>
  <c r="DA50" i="24"/>
  <c r="DC50" i="24" s="1"/>
  <c r="DI50" i="24"/>
  <c r="DB50" i="24"/>
  <c r="DE50" i="24" s="1"/>
  <c r="DF50" i="24" s="1"/>
  <c r="DG50" i="24" s="1"/>
  <c r="DM50" i="24"/>
  <c r="DA235" i="24"/>
  <c r="DC235" i="24" s="1"/>
  <c r="DA84" i="24"/>
  <c r="DC84" i="24" s="1"/>
  <c r="DC133" i="24"/>
  <c r="DA250" i="24"/>
  <c r="DC250" i="24" s="1"/>
  <c r="DB250" i="24"/>
  <c r="DE250" i="24" s="1"/>
  <c r="DF250" i="24" s="1"/>
  <c r="DG250" i="24" s="1"/>
  <c r="DI250" i="24"/>
  <c r="DM250" i="24"/>
  <c r="DC187" i="24"/>
  <c r="DC236" i="24"/>
  <c r="DC139" i="24"/>
  <c r="DI219" i="24"/>
  <c r="DB219" i="24"/>
  <c r="DE219" i="24" s="1"/>
  <c r="DF219" i="24" s="1"/>
  <c r="DG219" i="24" s="1"/>
  <c r="DM219" i="24"/>
  <c r="DC162" i="24"/>
  <c r="DC146" i="24"/>
  <c r="DC221" i="24"/>
  <c r="DA15" i="24"/>
  <c r="DC15" i="24" s="1"/>
  <c r="DA219" i="24"/>
  <c r="DC219" i="24" s="1"/>
  <c r="DA14" i="24"/>
  <c r="DC14" i="24" s="1"/>
  <c r="DB14" i="24"/>
  <c r="DE14" i="24" s="1"/>
  <c r="DF14" i="24" s="1"/>
  <c r="DG14" i="24" s="1"/>
  <c r="DI14" i="24"/>
  <c r="DM14" i="24"/>
  <c r="DC287" i="24"/>
  <c r="DA115" i="24"/>
  <c r="DC115" i="24" s="1"/>
  <c r="DI115" i="24"/>
  <c r="DB115" i="24"/>
  <c r="DE115" i="24" s="1"/>
  <c r="DF115" i="24" s="1"/>
  <c r="DG115" i="24" s="1"/>
  <c r="DM115" i="24"/>
  <c r="DI187" i="24"/>
  <c r="DB187" i="24"/>
  <c r="DE187" i="24" s="1"/>
  <c r="DF187" i="24" s="1"/>
  <c r="DG187" i="24" s="1"/>
  <c r="DM187" i="24"/>
  <c r="DI221" i="24"/>
  <c r="DB221" i="24"/>
  <c r="DE221" i="24" s="1"/>
  <c r="DF221" i="24" s="1"/>
  <c r="DG221" i="24" s="1"/>
  <c r="DM221" i="24"/>
  <c r="DC161" i="24"/>
  <c r="DC234" i="24"/>
  <c r="DA123" i="24"/>
  <c r="DC123" i="24" s="1"/>
  <c r="DC255" i="24"/>
  <c r="DI148" i="24"/>
  <c r="DB148" i="24"/>
  <c r="DE148" i="24" s="1"/>
  <c r="DF148" i="24" s="1"/>
  <c r="DG148" i="24" s="1"/>
  <c r="DM148" i="24"/>
  <c r="DA205" i="24"/>
  <c r="DC205" i="24" s="1"/>
  <c r="DA208" i="24"/>
  <c r="DC208" i="24" s="1"/>
  <c r="DA314" i="24"/>
  <c r="DC314" i="24" s="1"/>
  <c r="DA40" i="24"/>
  <c r="DC40" i="24" s="1"/>
  <c r="DI120" i="24"/>
  <c r="DB120" i="24"/>
  <c r="DE120" i="24" s="1"/>
  <c r="DF120" i="24" s="1"/>
  <c r="DG120" i="24" s="1"/>
  <c r="DM120" i="24"/>
  <c r="DI132" i="24"/>
  <c r="DB132" i="24"/>
  <c r="DE132" i="24" s="1"/>
  <c r="DF132" i="24" s="1"/>
  <c r="DG132" i="24" s="1"/>
  <c r="DM132" i="24"/>
  <c r="DA52" i="24"/>
  <c r="DC52" i="24" s="1"/>
  <c r="DB52" i="24"/>
  <c r="DE52" i="24" s="1"/>
  <c r="DF52" i="24" s="1"/>
  <c r="DG52" i="24" s="1"/>
  <c r="DI52" i="24"/>
  <c r="DM52" i="24"/>
  <c r="DC257" i="24"/>
  <c r="DC243" i="24"/>
  <c r="DB62" i="24"/>
  <c r="DE62" i="24" s="1"/>
  <c r="DF62" i="24" s="1"/>
  <c r="DG62" i="24" s="1"/>
  <c r="DI62" i="24"/>
  <c r="DM62" i="24"/>
  <c r="DI151" i="24"/>
  <c r="DB151" i="24"/>
  <c r="DE151" i="24" s="1"/>
  <c r="DF151" i="24" s="1"/>
  <c r="DG151" i="24" s="1"/>
  <c r="DM151" i="24"/>
  <c r="DI49" i="24"/>
  <c r="DB49" i="24"/>
  <c r="DE49" i="24" s="1"/>
  <c r="DF49" i="24" s="1"/>
  <c r="DG49" i="24" s="1"/>
  <c r="DM49" i="24"/>
  <c r="DI131" i="24"/>
  <c r="DB131" i="24"/>
  <c r="DE131" i="24" s="1"/>
  <c r="DF131" i="24" s="1"/>
  <c r="DG131" i="24" s="1"/>
  <c r="DM131" i="24"/>
  <c r="DC269" i="24"/>
  <c r="DI230" i="24"/>
  <c r="DB230" i="24"/>
  <c r="DE230" i="24" s="1"/>
  <c r="DF230" i="24" s="1"/>
  <c r="DG230" i="24" s="1"/>
  <c r="DM230" i="24"/>
  <c r="DI293" i="24"/>
  <c r="DB293" i="24"/>
  <c r="DE293" i="24" s="1"/>
  <c r="DF293" i="24" s="1"/>
  <c r="DG293" i="24" s="1"/>
  <c r="DM293" i="24"/>
  <c r="DC124" i="24"/>
  <c r="DI114" i="24"/>
  <c r="DB114" i="24"/>
  <c r="DE114" i="24" s="1"/>
  <c r="DF114" i="24" s="1"/>
  <c r="DG114" i="24" s="1"/>
  <c r="DM114" i="24"/>
  <c r="DI239" i="24"/>
  <c r="DB239" i="24"/>
  <c r="DE239" i="24" s="1"/>
  <c r="DF239" i="24" s="1"/>
  <c r="DG239" i="24" s="1"/>
  <c r="DM239" i="24"/>
  <c r="DA227" i="24"/>
  <c r="DC227" i="24" s="1"/>
  <c r="DI227" i="24"/>
  <c r="DB227" i="24"/>
  <c r="DE227" i="24" s="1"/>
  <c r="DF227" i="24" s="1"/>
  <c r="DG227" i="24" s="1"/>
  <c r="DM227" i="24"/>
  <c r="DB144" i="24"/>
  <c r="DE144" i="24" s="1"/>
  <c r="DF144" i="24" s="1"/>
  <c r="DG144" i="24" s="1"/>
  <c r="DI144" i="24"/>
  <c r="DM144" i="24"/>
  <c r="DA304" i="24"/>
  <c r="DC304" i="24" s="1"/>
  <c r="DA96" i="24"/>
  <c r="DC96" i="24" s="1"/>
  <c r="DB178" i="24"/>
  <c r="DE178" i="24" s="1"/>
  <c r="DF178" i="24" s="1"/>
  <c r="DG178" i="24" s="1"/>
  <c r="DI178" i="24"/>
  <c r="DM178" i="24"/>
  <c r="DB195" i="24"/>
  <c r="DE195" i="24" s="1"/>
  <c r="DF195" i="24" s="1"/>
  <c r="DG195" i="24" s="1"/>
  <c r="DI195" i="24"/>
  <c r="DM195" i="24"/>
  <c r="DC280" i="24"/>
  <c r="DI38" i="24"/>
  <c r="DB38" i="24"/>
  <c r="DE38" i="24" s="1"/>
  <c r="DF38" i="24" s="1"/>
  <c r="DG38" i="24" s="1"/>
  <c r="DM38" i="24"/>
  <c r="DI23" i="24"/>
  <c r="DB23" i="24"/>
  <c r="DE23" i="24" s="1"/>
  <c r="DF23" i="24" s="1"/>
  <c r="DG23" i="24" s="1"/>
  <c r="DM23" i="24"/>
  <c r="DB310" i="24"/>
  <c r="DE310" i="24" s="1"/>
  <c r="DF310" i="24" s="1"/>
  <c r="DG310" i="24" s="1"/>
  <c r="DI310" i="24"/>
  <c r="DM310" i="24"/>
  <c r="DI85" i="24"/>
  <c r="DB85" i="24"/>
  <c r="DE85" i="24" s="1"/>
  <c r="DF85" i="24" s="1"/>
  <c r="DG85" i="24" s="1"/>
  <c r="DM85" i="24"/>
  <c r="DA134" i="24"/>
  <c r="DC134" i="24" s="1"/>
  <c r="DI243" i="24"/>
  <c r="DB243" i="24"/>
  <c r="DE243" i="24" s="1"/>
  <c r="DF243" i="24" s="1"/>
  <c r="DG243" i="24" s="1"/>
  <c r="DM243" i="24"/>
  <c r="DM39" i="24"/>
  <c r="DB39" i="24"/>
  <c r="DE39" i="24" s="1"/>
  <c r="DF39" i="24" s="1"/>
  <c r="DG39" i="24" s="1"/>
  <c r="DI39" i="24"/>
  <c r="DB124" i="24"/>
  <c r="DE124" i="24" s="1"/>
  <c r="DF124" i="24" s="1"/>
  <c r="DG124" i="24" s="1"/>
  <c r="DI124" i="24"/>
  <c r="DM124" i="24"/>
  <c r="DI37" i="24"/>
  <c r="DB37" i="24"/>
  <c r="DE37" i="24" s="1"/>
  <c r="DF37" i="24" s="1"/>
  <c r="DG37" i="24" s="1"/>
  <c r="DM37" i="24"/>
  <c r="DI17" i="24"/>
  <c r="DB17" i="24"/>
  <c r="DE17" i="24" s="1"/>
  <c r="DF17" i="24" s="1"/>
  <c r="DG17" i="24" s="1"/>
  <c r="DM17" i="24"/>
  <c r="DA310" i="24"/>
  <c r="DC310" i="24" s="1"/>
  <c r="DA144" i="24"/>
  <c r="DC144" i="24" s="1"/>
  <c r="DI303" i="24"/>
  <c r="DB303" i="24"/>
  <c r="DE303" i="24" s="1"/>
  <c r="DF303" i="24" s="1"/>
  <c r="DG303" i="24" s="1"/>
  <c r="DM303" i="24"/>
  <c r="DI25" i="24"/>
  <c r="DB25" i="24"/>
  <c r="DE25" i="24" s="1"/>
  <c r="DF25" i="24" s="1"/>
  <c r="DG25" i="24" s="1"/>
  <c r="DM25" i="24"/>
  <c r="DA248" i="24"/>
  <c r="DC248" i="24" s="1"/>
  <c r="DI248" i="24"/>
  <c r="DB248" i="24"/>
  <c r="DE248" i="24" s="1"/>
  <c r="DF248" i="24" s="1"/>
  <c r="DG248" i="24" s="1"/>
  <c r="DM248" i="24"/>
  <c r="DB67" i="24"/>
  <c r="DE67" i="24" s="1"/>
  <c r="DF67" i="24" s="1"/>
  <c r="DG67" i="24" s="1"/>
  <c r="DI67" i="24"/>
  <c r="DM67" i="24"/>
  <c r="DI104" i="24"/>
  <c r="DB104" i="24"/>
  <c r="DE104" i="24" s="1"/>
  <c r="DF104" i="24" s="1"/>
  <c r="DG104" i="24" s="1"/>
  <c r="DM104" i="24"/>
  <c r="DI58" i="24"/>
  <c r="DB58" i="24"/>
  <c r="DE58" i="24" s="1"/>
  <c r="DF58" i="24" s="1"/>
  <c r="DG58" i="24" s="1"/>
  <c r="DM58" i="24"/>
  <c r="DI285" i="24"/>
  <c r="DB285" i="24"/>
  <c r="DE285" i="24" s="1"/>
  <c r="DF285" i="24" s="1"/>
  <c r="DG285" i="24" s="1"/>
  <c r="DM285" i="24"/>
  <c r="DC200" i="24"/>
  <c r="DI244" i="24"/>
  <c r="DB244" i="24"/>
  <c r="DE244" i="24" s="1"/>
  <c r="DF244" i="24" s="1"/>
  <c r="DG244" i="24" s="1"/>
  <c r="DM244" i="24"/>
  <c r="DB86" i="24"/>
  <c r="DE86" i="24" s="1"/>
  <c r="DF86" i="24" s="1"/>
  <c r="DG86" i="24" s="1"/>
  <c r="DI86" i="24"/>
  <c r="DM86" i="24"/>
  <c r="DI139" i="24"/>
  <c r="DB139" i="24"/>
  <c r="DE139" i="24" s="1"/>
  <c r="DF139" i="24" s="1"/>
  <c r="DG139" i="24" s="1"/>
  <c r="DM139" i="24"/>
  <c r="DA156" i="24"/>
  <c r="DC156" i="24" s="1"/>
  <c r="DC192" i="24"/>
  <c r="DA263" i="24"/>
  <c r="DC263" i="24" s="1"/>
  <c r="DA17" i="24"/>
  <c r="DC17" i="24" s="1"/>
  <c r="DB282" i="24"/>
  <c r="DE282" i="24" s="1"/>
  <c r="DF282" i="24" s="1"/>
  <c r="DG282" i="24" s="1"/>
  <c r="DI282" i="24"/>
  <c r="DM282" i="24"/>
  <c r="DC300" i="24"/>
  <c r="DA64" i="24"/>
  <c r="DC64" i="24" s="1"/>
  <c r="DA136" i="24"/>
  <c r="DC136" i="24" s="1"/>
  <c r="DI45" i="24"/>
  <c r="DB45" i="24"/>
  <c r="DE45" i="24" s="1"/>
  <c r="DF45" i="24" s="1"/>
  <c r="DG45" i="24" s="1"/>
  <c r="DM45" i="24"/>
  <c r="DI240" i="24"/>
  <c r="DB240" i="24"/>
  <c r="DE240" i="24" s="1"/>
  <c r="DF240" i="24" s="1"/>
  <c r="DG240" i="24" s="1"/>
  <c r="DM240" i="24"/>
  <c r="DB298" i="24"/>
  <c r="DE298" i="24" s="1"/>
  <c r="DF298" i="24" s="1"/>
  <c r="DG298" i="24" s="1"/>
  <c r="DI298" i="24"/>
  <c r="DM298" i="24"/>
  <c r="DC259" i="24"/>
  <c r="DA41" i="24"/>
  <c r="DC41" i="24" s="1"/>
  <c r="DB233" i="24"/>
  <c r="DE233" i="24" s="1"/>
  <c r="DF233" i="24" s="1"/>
  <c r="DG233" i="24" s="1"/>
  <c r="DI233" i="24"/>
  <c r="DM233" i="24"/>
  <c r="DI311" i="24"/>
  <c r="DB311" i="24"/>
  <c r="DE311" i="24" s="1"/>
  <c r="DF311" i="24" s="1"/>
  <c r="DG311" i="24" s="1"/>
  <c r="DM311" i="24"/>
  <c r="DC172" i="24"/>
  <c r="DB236" i="24"/>
  <c r="DE236" i="24" s="1"/>
  <c r="DF236" i="24" s="1"/>
  <c r="DG236" i="24" s="1"/>
  <c r="DI236" i="24"/>
  <c r="DM236" i="24"/>
  <c r="DA11" i="24"/>
  <c r="DC11" i="24" s="1"/>
  <c r="DB11" i="24"/>
  <c r="DE11" i="24" s="1"/>
  <c r="DF11" i="24" s="1"/>
  <c r="DG11" i="24" s="1"/>
  <c r="DI11" i="24"/>
  <c r="DM11" i="24"/>
  <c r="DI176" i="24"/>
  <c r="DB176" i="24"/>
  <c r="DE176" i="24" s="1"/>
  <c r="DF176" i="24" s="1"/>
  <c r="DG176" i="24" s="1"/>
  <c r="DM176" i="24"/>
  <c r="DI169" i="24"/>
  <c r="DB169" i="24"/>
  <c r="DE169" i="24" s="1"/>
  <c r="DF169" i="24" s="1"/>
  <c r="DG169" i="24" s="1"/>
  <c r="DM169" i="24"/>
  <c r="DB48" i="24"/>
  <c r="DE48" i="24" s="1"/>
  <c r="DF48" i="24" s="1"/>
  <c r="DG48" i="24" s="1"/>
  <c r="DI48" i="24"/>
  <c r="DM48" i="24"/>
  <c r="DI7" i="24"/>
  <c r="DB7" i="24"/>
  <c r="DE7" i="24" s="1"/>
  <c r="DF7" i="24" s="1"/>
  <c r="DG7" i="24" s="1"/>
  <c r="DM7" i="24"/>
  <c r="DI34" i="24"/>
  <c r="DB34" i="24"/>
  <c r="DE34" i="24" s="1"/>
  <c r="DF34" i="24" s="1"/>
  <c r="DG34" i="24" s="1"/>
  <c r="DM34" i="24"/>
  <c r="DA210" i="24"/>
  <c r="DC210" i="24" s="1"/>
  <c r="DA228" i="24"/>
  <c r="DC228" i="24" s="1"/>
  <c r="DC176" i="24"/>
  <c r="DB35" i="24"/>
  <c r="DE35" i="24" s="1"/>
  <c r="DF35" i="24" s="1"/>
  <c r="DG35" i="24" s="1"/>
  <c r="DI35" i="24"/>
  <c r="DM35" i="24"/>
  <c r="DI288" i="24"/>
  <c r="DB288" i="24"/>
  <c r="DE288" i="24" s="1"/>
  <c r="DF288" i="24" s="1"/>
  <c r="DG288" i="24" s="1"/>
  <c r="DM288" i="24"/>
  <c r="DA274" i="24"/>
  <c r="DC274" i="24" s="1"/>
  <c r="DI57" i="24"/>
  <c r="DB57" i="24"/>
  <c r="DE57" i="24" s="1"/>
  <c r="DF57" i="24" s="1"/>
  <c r="DG57" i="24" s="1"/>
  <c r="DM57" i="24"/>
  <c r="DI42" i="24"/>
  <c r="DB42" i="24"/>
  <c r="DE42" i="24" s="1"/>
  <c r="DF42" i="24" s="1"/>
  <c r="DG42" i="24" s="1"/>
  <c r="DM42" i="24"/>
  <c r="DI140" i="24"/>
  <c r="DB140" i="24"/>
  <c r="DE140" i="24" s="1"/>
  <c r="DF140" i="24" s="1"/>
  <c r="DG140" i="24" s="1"/>
  <c r="DM140" i="24"/>
  <c r="DI196" i="24"/>
  <c r="DB196" i="24"/>
  <c r="DE196" i="24" s="1"/>
  <c r="DF196" i="24" s="1"/>
  <c r="DG196" i="24" s="1"/>
  <c r="DM196" i="24"/>
  <c r="DI252" i="24"/>
  <c r="DB252" i="24"/>
  <c r="DE252" i="24" s="1"/>
  <c r="DF252" i="24" s="1"/>
  <c r="DG252" i="24" s="1"/>
  <c r="DM252" i="24"/>
  <c r="DB33" i="24"/>
  <c r="DE33" i="24" s="1"/>
  <c r="DF33" i="24" s="1"/>
  <c r="DG33" i="24" s="1"/>
  <c r="DI33" i="24"/>
  <c r="DM33" i="24"/>
  <c r="DI154" i="24"/>
  <c r="DB154" i="24"/>
  <c r="DE154" i="24" s="1"/>
  <c r="DF154" i="24" s="1"/>
  <c r="DG154" i="24" s="1"/>
  <c r="DM154" i="24"/>
  <c r="DI71" i="24"/>
  <c r="DB71" i="24"/>
  <c r="DE71" i="24" s="1"/>
  <c r="DF71" i="24" s="1"/>
  <c r="DG71" i="24" s="1"/>
  <c r="DM71" i="24"/>
  <c r="DA239" i="24"/>
  <c r="DC239" i="24" s="1"/>
  <c r="DI24" i="24"/>
  <c r="DB24" i="24"/>
  <c r="DE24" i="24" s="1"/>
  <c r="DF24" i="24" s="1"/>
  <c r="DG24" i="24" s="1"/>
  <c r="DM24" i="24"/>
  <c r="DI55" i="24"/>
  <c r="DB55" i="24"/>
  <c r="DE55" i="24" s="1"/>
  <c r="DF55" i="24" s="1"/>
  <c r="DG55" i="24" s="1"/>
  <c r="DM55" i="24"/>
  <c r="DC166" i="24"/>
  <c r="DI246" i="24"/>
  <c r="DB246" i="24"/>
  <c r="DE246" i="24" s="1"/>
  <c r="DF246" i="24" s="1"/>
  <c r="DG246" i="24" s="1"/>
  <c r="DM246" i="24"/>
  <c r="DA229" i="24"/>
  <c r="DC229" i="24" s="1"/>
  <c r="DB229" i="24"/>
  <c r="DE229" i="24" s="1"/>
  <c r="DF229" i="24" s="1"/>
  <c r="DG229" i="24" s="1"/>
  <c r="DI229" i="24"/>
  <c r="DM229" i="24"/>
  <c r="DI165" i="24"/>
  <c r="DB165" i="24"/>
  <c r="DE165" i="24" s="1"/>
  <c r="DF165" i="24" s="1"/>
  <c r="DG165" i="24" s="1"/>
  <c r="DM165" i="24"/>
  <c r="DI280" i="24"/>
  <c r="DB280" i="24"/>
  <c r="DE280" i="24" s="1"/>
  <c r="DF280" i="24" s="1"/>
  <c r="DG280" i="24" s="1"/>
  <c r="DM280" i="24"/>
  <c r="DC127" i="24"/>
  <c r="DC260" i="24"/>
  <c r="DA145" i="24"/>
  <c r="DC145" i="24" s="1"/>
  <c r="DA117" i="24"/>
  <c r="DC117" i="24" s="1"/>
  <c r="DC273" i="24"/>
  <c r="DA90" i="24"/>
  <c r="DC90" i="24" s="1"/>
  <c r="DA305" i="24"/>
  <c r="DC305" i="24" s="1"/>
  <c r="DB305" i="24"/>
  <c r="DE305" i="24" s="1"/>
  <c r="DF305" i="24" s="1"/>
  <c r="DG305" i="24" s="1"/>
  <c r="DI305" i="24"/>
  <c r="DM305" i="24"/>
  <c r="DA55" i="24"/>
  <c r="DC55" i="24" s="1"/>
  <c r="DA266" i="24"/>
  <c r="DC266" i="24" s="1"/>
  <c r="DA114" i="24"/>
  <c r="DC114" i="24" s="1"/>
  <c r="DB142" i="24"/>
  <c r="DE142" i="24" s="1"/>
  <c r="DF142" i="24" s="1"/>
  <c r="DG142" i="24" s="1"/>
  <c r="DI142" i="24"/>
  <c r="DM142" i="24"/>
  <c r="DI125" i="24"/>
  <c r="DB125" i="24"/>
  <c r="DE125" i="24" s="1"/>
  <c r="DF125" i="24" s="1"/>
  <c r="DG125" i="24" s="1"/>
  <c r="DM125" i="24"/>
  <c r="DI68" i="24"/>
  <c r="DB68" i="24"/>
  <c r="DE68" i="24" s="1"/>
  <c r="DF68" i="24" s="1"/>
  <c r="DG68" i="24" s="1"/>
  <c r="DM68" i="24"/>
  <c r="DC135" i="24"/>
  <c r="DB247" i="24"/>
  <c r="DE247" i="24" s="1"/>
  <c r="DF247" i="24" s="1"/>
  <c r="DG247" i="24" s="1"/>
  <c r="DI247" i="24"/>
  <c r="DM247" i="24"/>
  <c r="DA105" i="24"/>
  <c r="DC105" i="24" s="1"/>
  <c r="DI287" i="24"/>
  <c r="DB287" i="24"/>
  <c r="DE287" i="24" s="1"/>
  <c r="DF287" i="24" s="1"/>
  <c r="DG287" i="24" s="1"/>
  <c r="DM287" i="24"/>
  <c r="DI113" i="24"/>
  <c r="DB113" i="24"/>
  <c r="DE113" i="24" s="1"/>
  <c r="DF113" i="24" s="1"/>
  <c r="DG113" i="24" s="1"/>
  <c r="DM113" i="24"/>
  <c r="DB294" i="24"/>
  <c r="DE294" i="24" s="1"/>
  <c r="DF294" i="24" s="1"/>
  <c r="DG294" i="24" s="1"/>
  <c r="DI294" i="24"/>
  <c r="DM294" i="24"/>
  <c r="DC190" i="24"/>
  <c r="DB193" i="24"/>
  <c r="DE193" i="24" s="1"/>
  <c r="DF193" i="24" s="1"/>
  <c r="DG193" i="24" s="1"/>
  <c r="DI193" i="24"/>
  <c r="DM193" i="24"/>
  <c r="DI209" i="24"/>
  <c r="DB209" i="24"/>
  <c r="DE209" i="24" s="1"/>
  <c r="DF209" i="24" s="1"/>
  <c r="DG209" i="24" s="1"/>
  <c r="DM209" i="24"/>
  <c r="DI203" i="24"/>
  <c r="DB203" i="24"/>
  <c r="DE203" i="24" s="1"/>
  <c r="DF203" i="24" s="1"/>
  <c r="DG203" i="24" s="1"/>
  <c r="DM203" i="24"/>
  <c r="DI75" i="24"/>
  <c r="DB75" i="24"/>
  <c r="DE75" i="24" s="1"/>
  <c r="DF75" i="24" s="1"/>
  <c r="DG75" i="24" s="1"/>
  <c r="DM75" i="24"/>
  <c r="DI190" i="24"/>
  <c r="DB190" i="24"/>
  <c r="DE190" i="24" s="1"/>
  <c r="DF190" i="24" s="1"/>
  <c r="DG190" i="24" s="1"/>
  <c r="DM190" i="24"/>
  <c r="DI150" i="24"/>
  <c r="DB150" i="24"/>
  <c r="DE150" i="24" s="1"/>
  <c r="DF150" i="24" s="1"/>
  <c r="DG150" i="24" s="1"/>
  <c r="DM150" i="24"/>
  <c r="DA177" i="24"/>
  <c r="DC177" i="24" s="1"/>
  <c r="DC294" i="24"/>
  <c r="DB167" i="24"/>
  <c r="DE167" i="24" s="1"/>
  <c r="DF167" i="24" s="1"/>
  <c r="DG167" i="24" s="1"/>
  <c r="DI167" i="24"/>
  <c r="DM167" i="24"/>
  <c r="DA81" i="24"/>
  <c r="DC81" i="24" s="1"/>
  <c r="DB81" i="24"/>
  <c r="DE81" i="24" s="1"/>
  <c r="DF81" i="24" s="1"/>
  <c r="DG81" i="24" s="1"/>
  <c r="DI81" i="24"/>
  <c r="DM81" i="24"/>
  <c r="DA150" i="24"/>
  <c r="DC150" i="24" s="1"/>
  <c r="DI253" i="24"/>
  <c r="DB253" i="24"/>
  <c r="DE253" i="24" s="1"/>
  <c r="DF253" i="24" s="1"/>
  <c r="DG253" i="24" s="1"/>
  <c r="DM253" i="24"/>
  <c r="DC111" i="24"/>
  <c r="DI118" i="24"/>
  <c r="DB118" i="24"/>
  <c r="DE118" i="24" s="1"/>
  <c r="DF118" i="24" s="1"/>
  <c r="DG118" i="24" s="1"/>
  <c r="DM118" i="24"/>
  <c r="DB161" i="24"/>
  <c r="DE161" i="24" s="1"/>
  <c r="DF161" i="24" s="1"/>
  <c r="DG161" i="24" s="1"/>
  <c r="DI161" i="24"/>
  <c r="DM161" i="24"/>
  <c r="DA232" i="24"/>
  <c r="DC232" i="24" s="1"/>
  <c r="DB232" i="24"/>
  <c r="DE232" i="24" s="1"/>
  <c r="DF232" i="24" s="1"/>
  <c r="DG232" i="24" s="1"/>
  <c r="DI232" i="24"/>
  <c r="DM232" i="24"/>
  <c r="DC240" i="24"/>
  <c r="DI302" i="24"/>
  <c r="DB302" i="24"/>
  <c r="DE302" i="24" s="1"/>
  <c r="DF302" i="24" s="1"/>
  <c r="DG302" i="24" s="1"/>
  <c r="DM302" i="24"/>
  <c r="E56" i="1"/>
  <c r="N53" i="29"/>
  <c r="N309" i="29"/>
  <c r="M226" i="29"/>
  <c r="N150" i="29"/>
  <c r="M67" i="29"/>
  <c r="M323" i="29"/>
  <c r="N239" i="29"/>
  <c r="M160" i="29"/>
  <c r="N185" i="29"/>
  <c r="M102" i="29"/>
  <c r="N26" i="29"/>
  <c r="N282" i="29"/>
  <c r="M199" i="29"/>
  <c r="N115" i="29"/>
  <c r="M36" i="29"/>
  <c r="M292" i="29"/>
  <c r="N212" i="29"/>
  <c r="N101" i="29"/>
  <c r="M18" i="29"/>
  <c r="M274" i="29"/>
  <c r="N198" i="29"/>
  <c r="M115" i="29"/>
  <c r="N31" i="29"/>
  <c r="N287" i="29"/>
  <c r="M208" i="29"/>
  <c r="N128" i="29"/>
  <c r="M285" i="29"/>
  <c r="M54" i="29"/>
  <c r="N130" i="29"/>
  <c r="M203" i="29"/>
  <c r="N267" i="29"/>
  <c r="M328" i="29"/>
  <c r="N332" i="29"/>
  <c r="M562" i="29"/>
  <c r="N486" i="29"/>
  <c r="M407" i="29"/>
  <c r="M233" i="29"/>
  <c r="N209" i="29"/>
  <c r="M342" i="29"/>
  <c r="M139" i="29"/>
  <c r="N263" i="29"/>
  <c r="N40" i="29"/>
  <c r="M378" i="29"/>
  <c r="M257" i="29"/>
  <c r="N384" i="29"/>
  <c r="M587" i="29"/>
  <c r="N543" i="29"/>
  <c r="M468" i="29"/>
  <c r="M74" i="29"/>
  <c r="N206" i="29"/>
  <c r="M335" i="29"/>
  <c r="M124" i="29"/>
  <c r="N200" i="29"/>
  <c r="M502" i="29"/>
  <c r="N462" i="29"/>
  <c r="M419" i="29"/>
  <c r="N383" i="29"/>
  <c r="M109" i="29"/>
  <c r="N169" i="29"/>
  <c r="N114" i="29"/>
  <c r="N71" i="29"/>
  <c r="M340" i="29"/>
  <c r="M446" i="29"/>
  <c r="N506" i="29"/>
  <c r="M559" i="29"/>
  <c r="N603" i="29"/>
  <c r="M592" i="29"/>
  <c r="M513" i="29"/>
  <c r="N105" i="29"/>
  <c r="N50" i="29"/>
  <c r="M343" i="29"/>
  <c r="M280" i="29"/>
  <c r="N109" i="29"/>
  <c r="N62" i="29"/>
  <c r="M347" i="29"/>
  <c r="M288" i="29"/>
  <c r="M410" i="29"/>
  <c r="N470" i="29"/>
  <c r="M523" i="29"/>
  <c r="N571" i="29"/>
  <c r="M568" i="29"/>
  <c r="M489" i="29"/>
  <c r="N437" i="29"/>
  <c r="M22" i="29"/>
  <c r="N306" i="29"/>
  <c r="N85" i="29"/>
  <c r="N341" i="29"/>
  <c r="M258" i="29"/>
  <c r="N182" i="29"/>
  <c r="M99" i="29"/>
  <c r="N15" i="29"/>
  <c r="N271" i="29"/>
  <c r="M192" i="29"/>
  <c r="N217" i="29"/>
  <c r="M134" i="29"/>
  <c r="N58" i="29"/>
  <c r="N314" i="29"/>
  <c r="M231" i="29"/>
  <c r="N147" i="29"/>
  <c r="M68" i="29"/>
  <c r="M324" i="29"/>
  <c r="N244" i="29"/>
  <c r="N133" i="29"/>
  <c r="M50" i="29"/>
  <c r="M306" i="29"/>
  <c r="N230" i="29"/>
  <c r="M147" i="29"/>
  <c r="N63" i="29"/>
  <c r="N319" i="29"/>
  <c r="M240" i="29"/>
  <c r="N160" i="29"/>
  <c r="N33" i="29"/>
  <c r="M106" i="29"/>
  <c r="N178" i="29"/>
  <c r="M251" i="29"/>
  <c r="N323" i="29"/>
  <c r="N36" i="29"/>
  <c r="M221" i="29"/>
  <c r="M594" i="29"/>
  <c r="N518" i="29"/>
  <c r="M439" i="29"/>
  <c r="N367" i="29"/>
  <c r="N269" i="29"/>
  <c r="N66" i="29"/>
  <c r="M191" i="29"/>
  <c r="N327" i="29"/>
  <c r="N88" i="29"/>
  <c r="M414" i="29"/>
  <c r="N374" i="29"/>
  <c r="M197" i="29"/>
  <c r="N392" i="29"/>
  <c r="N575" i="29"/>
  <c r="M500" i="29"/>
  <c r="M126" i="29"/>
  <c r="N266" i="29"/>
  <c r="N55" i="29"/>
  <c r="M184" i="29"/>
  <c r="N252" i="29"/>
  <c r="M538" i="29"/>
  <c r="N498" i="29"/>
  <c r="M455" i="29"/>
  <c r="N419" i="29"/>
  <c r="M352" i="29"/>
  <c r="N253" i="29"/>
  <c r="N202" i="29"/>
  <c r="N139" i="29"/>
  <c r="N68" i="29"/>
  <c r="M494" i="29"/>
  <c r="N554" i="29"/>
  <c r="M611" i="29"/>
  <c r="M77" i="29"/>
  <c r="M273" i="29"/>
  <c r="M545" i="29"/>
  <c r="N177" i="29"/>
  <c r="N138" i="29"/>
  <c r="N75" i="29"/>
  <c r="M348" i="29"/>
  <c r="N193" i="29"/>
  <c r="N142" i="29"/>
  <c r="N87" i="29"/>
  <c r="N16" i="29"/>
  <c r="M458" i="29"/>
  <c r="N514" i="29"/>
  <c r="M575" i="29"/>
  <c r="M49" i="29"/>
  <c r="M600" i="29"/>
  <c r="M521" i="29"/>
  <c r="N469" i="29"/>
  <c r="M90" i="29"/>
  <c r="N117" i="29"/>
  <c r="M34" i="29"/>
  <c r="M290" i="29"/>
  <c r="N214" i="29"/>
  <c r="M131" i="29"/>
  <c r="N47" i="29"/>
  <c r="N303" i="29"/>
  <c r="M224" i="29"/>
  <c r="N249" i="29"/>
  <c r="M166" i="29"/>
  <c r="N90" i="29"/>
  <c r="N346" i="29"/>
  <c r="M263" i="29"/>
  <c r="N179" i="29"/>
  <c r="M100" i="29"/>
  <c r="N20" i="29"/>
  <c r="N276" i="29"/>
  <c r="N165" i="29"/>
  <c r="M82" i="29"/>
  <c r="M338" i="29"/>
  <c r="N262" i="29"/>
  <c r="M179" i="29"/>
  <c r="N95" i="29"/>
  <c r="M16" i="29"/>
  <c r="M272" i="29"/>
  <c r="N192" i="29"/>
  <c r="N81" i="29"/>
  <c r="M154" i="29"/>
  <c r="N234" i="29"/>
  <c r="M303" i="29"/>
  <c r="M40" i="29"/>
  <c r="N76" i="29"/>
  <c r="M370" i="29"/>
  <c r="N388" i="29"/>
  <c r="N550" i="29"/>
  <c r="M471" i="29"/>
  <c r="N399" i="29"/>
  <c r="N329" i="29"/>
  <c r="N126" i="29"/>
  <c r="M255" i="29"/>
  <c r="M52" i="29"/>
  <c r="N136" i="29"/>
  <c r="M450" i="29"/>
  <c r="N410" i="29"/>
  <c r="M367" i="29"/>
  <c r="M201" i="29"/>
  <c r="N607" i="29"/>
  <c r="N61" i="29"/>
  <c r="M186" i="29"/>
  <c r="N322" i="29"/>
  <c r="N107" i="29"/>
  <c r="M248" i="29"/>
  <c r="N300" i="29"/>
  <c r="M574" i="29"/>
  <c r="N534" i="29"/>
  <c r="M491" i="29"/>
  <c r="N455" i="29"/>
  <c r="M384" i="29"/>
  <c r="N321" i="29"/>
  <c r="N274" i="29"/>
  <c r="N227" i="29"/>
  <c r="N132" i="29"/>
  <c r="M546" i="29"/>
  <c r="N602" i="29"/>
  <c r="M169" i="29"/>
  <c r="M360" i="29"/>
  <c r="M117" i="29"/>
  <c r="M577" i="29"/>
  <c r="N257" i="29"/>
  <c r="N210" i="29"/>
  <c r="N155" i="29"/>
  <c r="N72" i="29"/>
  <c r="N265" i="29"/>
  <c r="N222" i="29"/>
  <c r="N163" i="29"/>
  <c r="N80" i="29"/>
  <c r="M510" i="29"/>
  <c r="N566" i="29"/>
  <c r="M337" i="29"/>
  <c r="M173" i="29"/>
  <c r="N376" i="29"/>
  <c r="M553" i="29"/>
  <c r="N501" i="29"/>
  <c r="M174" i="29"/>
  <c r="N149" i="29"/>
  <c r="M66" i="29"/>
  <c r="M322" i="29"/>
  <c r="N246" i="29"/>
  <c r="M163" i="29"/>
  <c r="N79" i="29"/>
  <c r="N335" i="29"/>
  <c r="N25" i="29"/>
  <c r="N281" i="29"/>
  <c r="M198" i="29"/>
  <c r="N122" i="29"/>
  <c r="M39" i="29"/>
  <c r="M295" i="29"/>
  <c r="N211" i="29"/>
  <c r="M132" i="29"/>
  <c r="N52" i="29"/>
  <c r="N308" i="29"/>
  <c r="N197" i="29"/>
  <c r="M114" i="29"/>
  <c r="N38" i="29"/>
  <c r="N294" i="29"/>
  <c r="M211" i="29"/>
  <c r="N127" i="29"/>
  <c r="M48" i="29"/>
  <c r="M304" i="29"/>
  <c r="N224" i="29"/>
  <c r="N137" i="29"/>
  <c r="M206" i="29"/>
  <c r="N286" i="29"/>
  <c r="M351" i="29"/>
  <c r="M88" i="29"/>
  <c r="N120" i="29"/>
  <c r="M402" i="29"/>
  <c r="M161" i="29"/>
  <c r="N582" i="29"/>
  <c r="M503" i="29"/>
  <c r="N431" i="29"/>
  <c r="M46" i="29"/>
  <c r="N190" i="29"/>
  <c r="M315" i="29"/>
  <c r="M108" i="29"/>
  <c r="N184" i="29"/>
  <c r="M486" i="29"/>
  <c r="N446" i="29"/>
  <c r="M403" i="29"/>
  <c r="N371" i="29"/>
  <c r="N468" i="29"/>
  <c r="N113" i="29"/>
  <c r="M246" i="29"/>
  <c r="M43" i="29"/>
  <c r="N171" i="29"/>
  <c r="M296" i="29"/>
  <c r="N348" i="29"/>
  <c r="M610" i="29"/>
  <c r="N570" i="29"/>
  <c r="M527" i="29"/>
  <c r="N491" i="29"/>
  <c r="M416" i="29"/>
  <c r="M62" i="29"/>
  <c r="M15" i="29"/>
  <c r="N299" i="29"/>
  <c r="N196" i="29"/>
  <c r="M590" i="29"/>
  <c r="M101" i="29"/>
  <c r="N379" i="29"/>
  <c r="M400" i="29"/>
  <c r="M353" i="29"/>
  <c r="M609" i="29"/>
  <c r="N333" i="29"/>
  <c r="N290" i="29"/>
  <c r="N235" i="29"/>
  <c r="N140" i="29"/>
  <c r="N349" i="29"/>
  <c r="N298" i="29"/>
  <c r="N247" i="29"/>
  <c r="N144" i="29"/>
  <c r="M554" i="29"/>
  <c r="M145" i="29"/>
  <c r="M297" i="29"/>
  <c r="M368" i="29"/>
  <c r="M181" i="29"/>
  <c r="M585" i="29"/>
  <c r="N533" i="29"/>
  <c r="M250" i="29"/>
  <c r="N181" i="29"/>
  <c r="M98" i="29"/>
  <c r="N22" i="29"/>
  <c r="N278" i="29"/>
  <c r="M195" i="29"/>
  <c r="N111" i="29"/>
  <c r="M32" i="29"/>
  <c r="N57" i="29"/>
  <c r="N313" i="29"/>
  <c r="M230" i="29"/>
  <c r="N154" i="29"/>
  <c r="M71" i="29"/>
  <c r="M327" i="29"/>
  <c r="N243" i="29"/>
  <c r="M164" i="29"/>
  <c r="N84" i="29"/>
  <c r="N340" i="29"/>
  <c r="N229" i="29"/>
  <c r="M146" i="29"/>
  <c r="N70" i="29"/>
  <c r="N326" i="29"/>
  <c r="M243" i="29"/>
  <c r="N159" i="29"/>
  <c r="M80" i="29"/>
  <c r="M336" i="29"/>
  <c r="N256" i="29"/>
  <c r="N189" i="29"/>
  <c r="M254" i="29"/>
  <c r="N334" i="29"/>
  <c r="N67" i="29"/>
  <c r="M140" i="29"/>
  <c r="N164" i="29"/>
  <c r="M434" i="29"/>
  <c r="N358" i="29"/>
  <c r="M13" i="29"/>
  <c r="M535" i="29"/>
  <c r="N463" i="29"/>
  <c r="M110" i="29"/>
  <c r="N242" i="29"/>
  <c r="N35" i="29"/>
  <c r="M168" i="29"/>
  <c r="N232" i="29"/>
  <c r="M522" i="29"/>
  <c r="N482" i="29"/>
  <c r="M443" i="29"/>
  <c r="N407" i="29"/>
  <c r="M269" i="29"/>
  <c r="N173" i="29"/>
  <c r="M302" i="29"/>
  <c r="M107" i="29"/>
  <c r="N231" i="29"/>
  <c r="M344" i="29"/>
  <c r="M354" i="29"/>
  <c r="M65" i="29"/>
  <c r="N606" i="29"/>
  <c r="M563" i="29"/>
  <c r="N523" i="29"/>
  <c r="M448" i="29"/>
  <c r="M142" i="29"/>
  <c r="M91" i="29"/>
  <c r="M44" i="29"/>
  <c r="N264" i="29"/>
  <c r="M33" i="29"/>
  <c r="M363" i="29"/>
  <c r="N427" i="29"/>
  <c r="M444" i="29"/>
  <c r="M385" i="29"/>
  <c r="M217" i="29"/>
  <c r="M78" i="29"/>
  <c r="M27" i="29"/>
  <c r="N311" i="29"/>
  <c r="N208" i="29"/>
  <c r="M86" i="29"/>
  <c r="M31" i="29"/>
  <c r="N315" i="29"/>
  <c r="N216" i="29"/>
  <c r="M606" i="29"/>
  <c r="M165" i="29"/>
  <c r="N391" i="29"/>
  <c r="M412" i="29"/>
  <c r="M361" i="29"/>
  <c r="M25" i="29"/>
  <c r="N45" i="29"/>
  <c r="M330" i="29"/>
  <c r="N213" i="29"/>
  <c r="M130" i="29"/>
  <c r="N54" i="29"/>
  <c r="N310" i="29"/>
  <c r="M227" i="29"/>
  <c r="N143" i="29"/>
  <c r="M64" i="29"/>
  <c r="N89" i="29"/>
  <c r="N345" i="29"/>
  <c r="M262" i="29"/>
  <c r="N186" i="29"/>
  <c r="M103" i="29"/>
  <c r="N19" i="29"/>
  <c r="N275" i="29"/>
  <c r="M196" i="29"/>
  <c r="N116" i="29"/>
  <c r="M189" i="29"/>
  <c r="N261" i="29"/>
  <c r="M178" i="29"/>
  <c r="N102" i="29"/>
  <c r="M19" i="29"/>
  <c r="M275" i="29"/>
  <c r="N191" i="29"/>
  <c r="M112" i="29"/>
  <c r="N32" i="29"/>
  <c r="N288" i="29"/>
  <c r="N237" i="29"/>
  <c r="M310" i="29"/>
  <c r="M47" i="29"/>
  <c r="N119" i="29"/>
  <c r="M188" i="29"/>
  <c r="N204" i="29"/>
  <c r="M466" i="29"/>
  <c r="N390" i="29"/>
  <c r="M37" i="29"/>
  <c r="M567" i="29"/>
  <c r="N41" i="29"/>
  <c r="M170" i="29"/>
  <c r="N302" i="29"/>
  <c r="N91" i="29"/>
  <c r="M220" i="29"/>
  <c r="N280" i="29"/>
  <c r="M558" i="29"/>
  <c r="N522" i="29"/>
  <c r="M479" i="29"/>
  <c r="N443" i="29"/>
  <c r="M372" i="29"/>
  <c r="N233" i="29"/>
  <c r="N34" i="29"/>
  <c r="M159" i="29"/>
  <c r="N291" i="29"/>
  <c r="N56" i="29"/>
  <c r="M390" i="29"/>
  <c r="M349" i="29"/>
  <c r="N448" i="29"/>
  <c r="M603" i="29"/>
  <c r="N555" i="29"/>
  <c r="M480" i="29"/>
  <c r="M218" i="29"/>
  <c r="M175" i="29"/>
  <c r="M120" i="29"/>
  <c r="N324" i="29"/>
  <c r="N362" i="29"/>
  <c r="M415" i="29"/>
  <c r="N475" i="29"/>
  <c r="M488" i="29"/>
  <c r="M417" i="29"/>
  <c r="N365" i="29"/>
  <c r="M150" i="29"/>
  <c r="M111" i="29"/>
  <c r="M56" i="29"/>
  <c r="N268" i="29"/>
  <c r="M158" i="29"/>
  <c r="M119" i="29"/>
  <c r="M60" i="29"/>
  <c r="N272" i="29"/>
  <c r="M129" i="29"/>
  <c r="M379" i="29"/>
  <c r="N439" i="29"/>
  <c r="M456" i="29"/>
  <c r="M393" i="29"/>
  <c r="M281" i="29"/>
  <c r="N125" i="29"/>
  <c r="N74" i="29"/>
  <c r="N245" i="29"/>
  <c r="M162" i="29"/>
  <c r="N86" i="29"/>
  <c r="N342" i="29"/>
  <c r="M259" i="29"/>
  <c r="N175" i="29"/>
  <c r="M96" i="29"/>
  <c r="N121" i="29"/>
  <c r="M38" i="29"/>
  <c r="M294" i="29"/>
  <c r="N218" i="29"/>
  <c r="M135" i="29"/>
  <c r="N51" i="29"/>
  <c r="N307" i="29"/>
  <c r="M228" i="29"/>
  <c r="N148" i="29"/>
  <c r="N37" i="29"/>
  <c r="N293" i="29"/>
  <c r="M210" i="29"/>
  <c r="N134" i="29"/>
  <c r="M51" i="29"/>
  <c r="M307" i="29"/>
  <c r="N223" i="29"/>
  <c r="M144" i="29"/>
  <c r="N64" i="29"/>
  <c r="N320" i="29"/>
  <c r="N289" i="29"/>
  <c r="N30" i="29"/>
  <c r="M95" i="29"/>
  <c r="N167" i="29"/>
  <c r="M244" i="29"/>
  <c r="N248" i="29"/>
  <c r="M498" i="29"/>
  <c r="N422" i="29"/>
  <c r="M293" i="29"/>
  <c r="M599" i="29"/>
  <c r="N97" i="29"/>
  <c r="M222" i="29"/>
  <c r="M23" i="29"/>
  <c r="N151" i="29"/>
  <c r="M276" i="29"/>
  <c r="N328" i="29"/>
  <c r="M598" i="29"/>
  <c r="N558" i="29"/>
  <c r="M515" i="29"/>
  <c r="N479" i="29"/>
  <c r="M404" i="29"/>
  <c r="N297" i="29"/>
  <c r="N94" i="29"/>
  <c r="M219" i="29"/>
  <c r="N347" i="29"/>
  <c r="N104" i="29"/>
  <c r="M426" i="29"/>
  <c r="N386" i="29"/>
  <c r="M325" i="29"/>
  <c r="M41" i="29"/>
  <c r="N587" i="29"/>
  <c r="M512" i="29"/>
  <c r="M298" i="29"/>
  <c r="M247" i="29"/>
  <c r="M204" i="29"/>
  <c r="M346" i="29"/>
  <c r="N406" i="29"/>
  <c r="M463" i="29"/>
  <c r="N519" i="29"/>
  <c r="M528" i="29"/>
  <c r="M449" i="29"/>
  <c r="N397" i="29"/>
  <c r="M234" i="29"/>
  <c r="M183" i="29"/>
  <c r="M136" i="29"/>
  <c r="N336" i="29"/>
  <c r="M238" i="29"/>
  <c r="M187" i="29"/>
  <c r="M148" i="29"/>
  <c r="N344" i="29"/>
  <c r="N370" i="29"/>
  <c r="M427" i="29"/>
  <c r="N487" i="29"/>
  <c r="M496" i="29"/>
  <c r="M425" i="29"/>
  <c r="N373" i="29"/>
  <c r="N201" i="29"/>
  <c r="N158" i="29"/>
  <c r="N21" i="29"/>
  <c r="N277" i="29"/>
  <c r="M194" i="29"/>
  <c r="N118" i="29"/>
  <c r="M35" i="29"/>
  <c r="M291" i="29"/>
  <c r="N207" i="29"/>
  <c r="M128" i="29"/>
  <c r="N153" i="29"/>
  <c r="M70" i="29"/>
  <c r="M326" i="29"/>
  <c r="N250" i="29"/>
  <c r="M167" i="29"/>
  <c r="N83" i="29"/>
  <c r="N339" i="29"/>
  <c r="M260" i="29"/>
  <c r="N180" i="29"/>
  <c r="N69" i="29"/>
  <c r="N325" i="29"/>
  <c r="M242" i="29"/>
  <c r="N166" i="29"/>
  <c r="M83" i="29"/>
  <c r="M339" i="29"/>
  <c r="N255" i="29"/>
  <c r="M176" i="29"/>
  <c r="N96" i="29"/>
  <c r="M29" i="29"/>
  <c r="N337" i="29"/>
  <c r="N78" i="29"/>
  <c r="M151" i="29"/>
  <c r="N219" i="29"/>
  <c r="M284" i="29"/>
  <c r="N292" i="29"/>
  <c r="M530" i="29"/>
  <c r="N454" i="29"/>
  <c r="M375" i="29"/>
  <c r="N440" i="29"/>
  <c r="N157" i="29"/>
  <c r="M282" i="29"/>
  <c r="M79" i="29"/>
  <c r="N203" i="29"/>
  <c r="M320" i="29"/>
  <c r="M253" i="29"/>
  <c r="N436" i="29"/>
  <c r="N594" i="29"/>
  <c r="M551" i="29"/>
  <c r="N511" i="29"/>
  <c r="M436" i="29"/>
  <c r="M14" i="29"/>
  <c r="N146" i="29"/>
  <c r="M279" i="29"/>
  <c r="M72" i="29"/>
  <c r="N152" i="29"/>
  <c r="M462" i="29"/>
  <c r="N426" i="29"/>
  <c r="M383" i="29"/>
  <c r="M329" i="29"/>
  <c r="N360" i="29"/>
  <c r="N93" i="29"/>
  <c r="N46" i="29"/>
  <c r="M331" i="29"/>
  <c r="M268" i="29"/>
  <c r="M398" i="29"/>
  <c r="N458" i="29"/>
  <c r="M511" i="29"/>
  <c r="N563" i="29"/>
  <c r="M560" i="29"/>
  <c r="M481" i="29"/>
  <c r="N17" i="29"/>
  <c r="M314" i="29"/>
  <c r="M267" i="29"/>
  <c r="M212" i="29"/>
  <c r="N29" i="29"/>
  <c r="M318" i="29"/>
  <c r="M271" i="29"/>
  <c r="M216" i="29"/>
  <c r="M362" i="29"/>
  <c r="N418" i="29"/>
  <c r="M475" i="29"/>
  <c r="N531" i="29"/>
  <c r="M536" i="29"/>
  <c r="M457" i="29"/>
  <c r="N405" i="29"/>
  <c r="N273" i="29"/>
  <c r="N226" i="29"/>
  <c r="N251" i="29"/>
  <c r="N156" i="29"/>
  <c r="M566" i="29"/>
  <c r="M305" i="29"/>
  <c r="N351" i="29"/>
  <c r="M376" i="29"/>
  <c r="M213" i="29"/>
  <c r="M589" i="29"/>
  <c r="M42" i="29"/>
  <c r="N338" i="29"/>
  <c r="N283" i="29"/>
  <c r="N176" i="29"/>
  <c r="M582" i="29"/>
  <c r="N428" i="29"/>
  <c r="N363" i="29"/>
  <c r="M392" i="29"/>
  <c r="M309" i="29"/>
  <c r="M601" i="29"/>
  <c r="N350" i="29"/>
  <c r="M430" i="29"/>
  <c r="M543" i="29"/>
  <c r="M580" i="29"/>
  <c r="N429" i="29"/>
  <c r="N552" i="29"/>
  <c r="N361" i="29"/>
  <c r="N364" i="29"/>
  <c r="M59" i="29"/>
  <c r="M442" i="29"/>
  <c r="M555" i="29"/>
  <c r="M588" i="29"/>
  <c r="N433" i="29"/>
  <c r="N584" i="29"/>
  <c r="N241" i="29"/>
  <c r="M236" i="29"/>
  <c r="N510" i="29"/>
  <c r="N611" i="29"/>
  <c r="M517" i="29"/>
  <c r="N581" i="29"/>
  <c r="N354" i="29"/>
  <c r="M116" i="29"/>
  <c r="N285" i="29"/>
  <c r="M252" i="29"/>
  <c r="N530" i="29"/>
  <c r="N404" i="29"/>
  <c r="M529" i="29"/>
  <c r="N585" i="29"/>
  <c r="N27" i="29"/>
  <c r="N318" i="29"/>
  <c r="N77" i="29"/>
  <c r="M84" i="29"/>
  <c r="N438" i="29"/>
  <c r="N547" i="29"/>
  <c r="M469" i="29"/>
  <c r="N557" i="29"/>
  <c r="N270" i="29"/>
  <c r="N168" i="29"/>
  <c r="N546" i="29"/>
  <c r="N493" i="29"/>
  <c r="N59" i="29"/>
  <c r="M81" i="29"/>
  <c r="N403" i="29"/>
  <c r="M369" i="29"/>
  <c r="N497" i="29"/>
  <c r="N504" i="29"/>
  <c r="N417" i="29"/>
  <c r="N597" i="29"/>
  <c r="M55" i="29"/>
  <c r="N331" i="29"/>
  <c r="N220" i="29"/>
  <c r="N13" i="29"/>
  <c r="M229" i="29"/>
  <c r="N395" i="29"/>
  <c r="M420" i="29"/>
  <c r="M365" i="29"/>
  <c r="M57" i="29"/>
  <c r="M122" i="29"/>
  <c r="M75" i="29"/>
  <c r="M24" i="29"/>
  <c r="N240" i="29"/>
  <c r="N408" i="29"/>
  <c r="M355" i="29"/>
  <c r="N415" i="29"/>
  <c r="M432" i="29"/>
  <c r="M377" i="29"/>
  <c r="M153" i="29"/>
  <c r="M223" i="29"/>
  <c r="M526" i="29"/>
  <c r="M73" i="29"/>
  <c r="M21" i="29"/>
  <c r="N465" i="29"/>
  <c r="N496" i="29"/>
  <c r="N561" i="29"/>
  <c r="N369" i="29"/>
  <c r="M239" i="29"/>
  <c r="M542" i="29"/>
  <c r="M137" i="29"/>
  <c r="M85" i="29"/>
  <c r="N473" i="29"/>
  <c r="N528" i="29"/>
  <c r="M118" i="29"/>
  <c r="N60" i="29"/>
  <c r="N610" i="29"/>
  <c r="M364" i="29"/>
  <c r="M581" i="29"/>
  <c r="N613" i="29"/>
  <c r="M607" i="29"/>
  <c r="M602" i="29"/>
  <c r="M138" i="29"/>
  <c r="N100" i="29"/>
  <c r="N368" i="29"/>
  <c r="M380" i="29"/>
  <c r="M593" i="29"/>
  <c r="M177" i="29"/>
  <c r="M394" i="29"/>
  <c r="M312" i="29"/>
  <c r="N301" i="29"/>
  <c r="M264" i="29"/>
  <c r="N538" i="29"/>
  <c r="N424" i="29"/>
  <c r="M533" i="29"/>
  <c r="N589" i="29"/>
  <c r="M308" i="29"/>
  <c r="N562" i="29"/>
  <c r="N559" i="29"/>
  <c r="N488" i="29"/>
  <c r="N279" i="29"/>
  <c r="N382" i="29"/>
  <c r="N499" i="29"/>
  <c r="M433" i="29"/>
  <c r="N537" i="29"/>
  <c r="N604" i="29"/>
  <c r="N544" i="29"/>
  <c r="N572" i="29"/>
  <c r="M123" i="29"/>
  <c r="M76" i="29"/>
  <c r="N284" i="29"/>
  <c r="M193" i="29"/>
  <c r="M387" i="29"/>
  <c r="N447" i="29"/>
  <c r="M460" i="29"/>
  <c r="M397" i="29"/>
  <c r="M313" i="29"/>
  <c r="M202" i="29"/>
  <c r="M155" i="29"/>
  <c r="M104" i="29"/>
  <c r="N312" i="29"/>
  <c r="M321" i="29"/>
  <c r="M399" i="29"/>
  <c r="N467" i="29"/>
  <c r="M476" i="29"/>
  <c r="M409" i="29"/>
  <c r="N357" i="29"/>
  <c r="N103" i="29"/>
  <c r="N352" i="29"/>
  <c r="N411" i="29"/>
  <c r="M373" i="29"/>
  <c r="N505" i="29"/>
  <c r="N536" i="29"/>
  <c r="N556" i="29"/>
  <c r="N565" i="29"/>
  <c r="N123" i="29"/>
  <c r="N464" i="29"/>
  <c r="N423" i="29"/>
  <c r="M381" i="29"/>
  <c r="N509" i="29"/>
  <c r="N568" i="29"/>
  <c r="M334" i="29"/>
  <c r="N236" i="29"/>
  <c r="M371" i="29"/>
  <c r="M452" i="29"/>
  <c r="M249" i="29"/>
  <c r="N456" i="29"/>
  <c r="M484" i="29"/>
  <c r="M423" i="29"/>
  <c r="N14" i="29"/>
  <c r="N260" i="29"/>
  <c r="M391" i="29"/>
  <c r="M464" i="29"/>
  <c r="M345" i="29"/>
  <c r="N480" i="29"/>
  <c r="M411" i="29"/>
  <c r="N366" i="29"/>
  <c r="M182" i="29"/>
  <c r="N108" i="29"/>
  <c r="N400" i="29"/>
  <c r="M388" i="29"/>
  <c r="M597" i="29"/>
  <c r="M241" i="29"/>
  <c r="N450" i="29"/>
  <c r="N567" i="29"/>
  <c r="M413" i="29"/>
  <c r="N161" i="29"/>
  <c r="M156" i="29"/>
  <c r="N478" i="29"/>
  <c r="N583" i="29"/>
  <c r="M497" i="29"/>
  <c r="N569" i="29"/>
  <c r="M190" i="29"/>
  <c r="N39" i="29"/>
  <c r="M207" i="29"/>
  <c r="M152" i="29"/>
  <c r="M61" i="29"/>
  <c r="N378" i="29"/>
  <c r="M431" i="29"/>
  <c r="N495" i="29"/>
  <c r="M504" i="29"/>
  <c r="M429" i="29"/>
  <c r="N377" i="29"/>
  <c r="M278" i="29"/>
  <c r="M235" i="29"/>
  <c r="M180" i="29"/>
  <c r="M157" i="29"/>
  <c r="N398" i="29"/>
  <c r="M451" i="29"/>
  <c r="N507" i="29"/>
  <c r="M520" i="29"/>
  <c r="M441" i="29"/>
  <c r="N389" i="29"/>
  <c r="N295" i="29"/>
  <c r="N394" i="29"/>
  <c r="N503" i="29"/>
  <c r="M437" i="29"/>
  <c r="N541" i="29"/>
  <c r="M143" i="29"/>
  <c r="M214" i="29"/>
  <c r="N588" i="29"/>
  <c r="N343" i="29"/>
  <c r="N402" i="29"/>
  <c r="N515" i="29"/>
  <c r="M445" i="29"/>
  <c r="N545" i="29"/>
  <c r="N317" i="29"/>
  <c r="N194" i="29"/>
  <c r="M358" i="29"/>
  <c r="M467" i="29"/>
  <c r="M532" i="29"/>
  <c r="N401" i="29"/>
  <c r="N548" i="29"/>
  <c r="M605" i="29"/>
  <c r="M141" i="29"/>
  <c r="N238" i="29"/>
  <c r="M374" i="29"/>
  <c r="M487" i="29"/>
  <c r="M544" i="29"/>
  <c r="N409" i="29"/>
  <c r="N580" i="29"/>
  <c r="M45" i="29"/>
  <c r="M519" i="29"/>
  <c r="N42" i="29"/>
  <c r="N296" i="29"/>
  <c r="M395" i="29"/>
  <c r="M472" i="29"/>
  <c r="N353" i="29"/>
  <c r="N512" i="29"/>
  <c r="N375" i="29"/>
  <c r="M421" i="29"/>
  <c r="N593" i="29"/>
  <c r="M30" i="29"/>
  <c r="M332" i="29"/>
  <c r="N578" i="29"/>
  <c r="M237" i="29"/>
  <c r="M561" i="29"/>
  <c r="N601" i="29"/>
  <c r="M92" i="29"/>
  <c r="N316" i="29"/>
  <c r="M283" i="29"/>
  <c r="M232" i="29"/>
  <c r="M366" i="29"/>
  <c r="N430" i="29"/>
  <c r="M483" i="29"/>
  <c r="N535" i="29"/>
  <c r="M540" i="29"/>
  <c r="M461" i="29"/>
  <c r="N73" i="29"/>
  <c r="N18" i="29"/>
  <c r="M311" i="29"/>
  <c r="M256" i="29"/>
  <c r="M386" i="29"/>
  <c r="N442" i="29"/>
  <c r="M499" i="29"/>
  <c r="N551" i="29"/>
  <c r="M552" i="29"/>
  <c r="M473" i="29"/>
  <c r="N205" i="29"/>
  <c r="M172" i="29"/>
  <c r="N490" i="29"/>
  <c r="N591" i="29"/>
  <c r="M501" i="29"/>
  <c r="N573" i="29"/>
  <c r="N304" i="29"/>
  <c r="N259" i="29"/>
  <c r="N221" i="29"/>
  <c r="M200" i="29"/>
  <c r="N502" i="29"/>
  <c r="N599" i="29"/>
  <c r="M509" i="29"/>
  <c r="N577" i="29"/>
  <c r="M490" i="29"/>
  <c r="M63" i="29"/>
  <c r="M454" i="29"/>
  <c r="M571" i="29"/>
  <c r="M596" i="29"/>
  <c r="N441" i="29"/>
  <c r="N532" i="29"/>
  <c r="N453" i="29"/>
  <c r="M357" i="29"/>
  <c r="M87" i="29"/>
  <c r="M474" i="29"/>
  <c r="M583" i="29"/>
  <c r="M608" i="29"/>
  <c r="N445" i="29"/>
  <c r="N492" i="29"/>
  <c r="M477" i="29"/>
  <c r="M408" i="29"/>
  <c r="N254" i="29"/>
  <c r="M382" i="29"/>
  <c r="M495" i="29"/>
  <c r="M548" i="29"/>
  <c r="N413" i="29"/>
  <c r="N612" i="29"/>
  <c r="M341" i="29"/>
  <c r="N457" i="29"/>
  <c r="M506" i="29"/>
  <c r="M266" i="29"/>
  <c r="N172" i="29"/>
  <c r="M261" i="29"/>
  <c r="M424" i="29"/>
  <c r="M89" i="29"/>
  <c r="N396" i="29"/>
  <c r="M586" i="29"/>
  <c r="N466" i="29"/>
  <c r="N23" i="29"/>
  <c r="M300" i="29"/>
  <c r="M418" i="29"/>
  <c r="N474" i="29"/>
  <c r="M531" i="29"/>
  <c r="N579" i="29"/>
  <c r="M572" i="29"/>
  <c r="M493" i="29"/>
  <c r="N145" i="29"/>
  <c r="N106" i="29"/>
  <c r="N43" i="29"/>
  <c r="M316" i="29"/>
  <c r="M438" i="29"/>
  <c r="N494" i="29"/>
  <c r="M547" i="29"/>
  <c r="N595" i="29"/>
  <c r="M584" i="29"/>
  <c r="M505" i="29"/>
  <c r="M58" i="29"/>
  <c r="N28" i="29"/>
  <c r="N586" i="29"/>
  <c r="M301" i="29"/>
  <c r="M565" i="29"/>
  <c r="N605" i="29"/>
  <c r="M69" i="29"/>
  <c r="M406" i="29"/>
  <c r="M94" i="29"/>
  <c r="N44" i="29"/>
  <c r="N598" i="29"/>
  <c r="M356" i="29"/>
  <c r="M573" i="29"/>
  <c r="N609" i="29"/>
  <c r="M556" i="29"/>
  <c r="M287" i="29"/>
  <c r="M550" i="29"/>
  <c r="M265" i="29"/>
  <c r="M149" i="29"/>
  <c r="N477" i="29"/>
  <c r="N560" i="29"/>
  <c r="N356" i="29"/>
  <c r="N421" i="29"/>
  <c r="M299" i="29"/>
  <c r="M570" i="29"/>
  <c r="N355" i="29"/>
  <c r="M245" i="29"/>
  <c r="N481" i="29"/>
  <c r="N592" i="29"/>
  <c r="N489" i="29"/>
  <c r="M485" i="29"/>
  <c r="M127" i="29"/>
  <c r="M478" i="29"/>
  <c r="M591" i="29"/>
  <c r="M612" i="29"/>
  <c r="N449" i="29"/>
  <c r="N524" i="29"/>
  <c r="N525" i="29"/>
  <c r="N576" i="29"/>
  <c r="M17" i="29"/>
  <c r="N110" i="29"/>
  <c r="M93" i="29"/>
  <c r="M435" i="29"/>
  <c r="M508" i="29"/>
  <c r="N381" i="29"/>
  <c r="N608" i="29"/>
  <c r="M507" i="29"/>
  <c r="N387" i="29"/>
  <c r="N99" i="29"/>
  <c r="N24" i="29"/>
  <c r="M470" i="29"/>
  <c r="N526" i="29"/>
  <c r="M579" i="29"/>
  <c r="N380" i="29"/>
  <c r="M604" i="29"/>
  <c r="M525" i="29"/>
  <c r="N225" i="29"/>
  <c r="N174" i="29"/>
  <c r="N131" i="29"/>
  <c r="N48" i="29"/>
  <c r="M482" i="29"/>
  <c r="N542" i="29"/>
  <c r="M595" i="29"/>
  <c r="N444" i="29"/>
  <c r="G628" i="29"/>
  <c r="M537" i="29"/>
  <c r="M270" i="29"/>
  <c r="N188" i="29"/>
  <c r="M350" i="29"/>
  <c r="M428" i="29"/>
  <c r="M121" i="29"/>
  <c r="N412" i="29"/>
  <c r="N471" i="29"/>
  <c r="M133" i="29"/>
  <c r="M286" i="29"/>
  <c r="N228" i="29"/>
  <c r="M359" i="29"/>
  <c r="M440" i="29"/>
  <c r="M185" i="29"/>
  <c r="N432" i="29"/>
  <c r="M209" i="29"/>
  <c r="N135" i="29"/>
  <c r="M97" i="29"/>
  <c r="N435" i="29"/>
  <c r="M389" i="29"/>
  <c r="N513" i="29"/>
  <c r="N600" i="29"/>
  <c r="N540" i="29"/>
  <c r="N372" i="29"/>
  <c r="N187" i="29"/>
  <c r="M225" i="29"/>
  <c r="N451" i="29"/>
  <c r="M401" i="29"/>
  <c r="N517" i="29"/>
  <c r="N476" i="29"/>
  <c r="N596" i="29"/>
  <c r="N529" i="29"/>
  <c r="M319" i="29"/>
  <c r="M578" i="29"/>
  <c r="N359" i="29"/>
  <c r="M277" i="29"/>
  <c r="N485" i="29"/>
  <c r="N500" i="29"/>
  <c r="M26" i="29"/>
  <c r="N82" i="29"/>
  <c r="M492" i="29"/>
  <c r="N330" i="29"/>
  <c r="M422" i="29"/>
  <c r="M539" i="29"/>
  <c r="M576" i="29"/>
  <c r="N425" i="29"/>
  <c r="N520" i="29"/>
  <c r="M396" i="29"/>
  <c r="M564" i="29"/>
  <c r="N183" i="29"/>
  <c r="N92" i="29"/>
  <c r="M514" i="29"/>
  <c r="N574" i="29"/>
  <c r="N416" i="29"/>
  <c r="M205" i="29"/>
  <c r="N420" i="29"/>
  <c r="M557" i="29"/>
  <c r="N305" i="29"/>
  <c r="N258" i="29"/>
  <c r="N199" i="29"/>
  <c r="N112" i="29"/>
  <c r="M534" i="29"/>
  <c r="N590" i="29"/>
  <c r="M105" i="29"/>
  <c r="M333" i="29"/>
  <c r="M53" i="29"/>
  <c r="M569" i="29"/>
  <c r="N162" i="29"/>
  <c r="M125" i="29"/>
  <c r="M447" i="29"/>
  <c r="M516" i="29"/>
  <c r="N385" i="29"/>
  <c r="N484" i="29"/>
  <c r="M113" i="29"/>
  <c r="N483" i="29"/>
  <c r="N170" i="29"/>
  <c r="M317" i="29"/>
  <c r="M459" i="29"/>
  <c r="M524" i="29"/>
  <c r="N393" i="29"/>
  <c r="N516" i="29"/>
  <c r="N49" i="29"/>
  <c r="M20" i="29"/>
  <c r="N414" i="29"/>
  <c r="N527" i="29"/>
  <c r="M453" i="29"/>
  <c r="N549" i="29"/>
  <c r="N215" i="29"/>
  <c r="N98" i="29"/>
  <c r="N65" i="29"/>
  <c r="M28" i="29"/>
  <c r="N434" i="29"/>
  <c r="N539" i="29"/>
  <c r="M465" i="29"/>
  <c r="N553" i="29"/>
  <c r="N129" i="29"/>
  <c r="N141" i="29"/>
  <c r="N472" i="29"/>
  <c r="N195" i="29"/>
  <c r="M289" i="29"/>
  <c r="N459" i="29"/>
  <c r="M405" i="29"/>
  <c r="N521" i="29"/>
  <c r="N508" i="29"/>
  <c r="M171" i="29"/>
  <c r="N124" i="29"/>
  <c r="M549" i="29"/>
  <c r="M215" i="29"/>
  <c r="M518" i="29"/>
  <c r="N460" i="29"/>
  <c r="N452" i="29"/>
  <c r="N461" i="29"/>
  <c r="N564" i="29"/>
  <c r="M541" i="29"/>
  <c r="M613" i="29"/>
  <c r="DJ110" i="25" l="1"/>
  <c r="DQ110" i="25" s="1"/>
  <c r="CZ216" i="25"/>
  <c r="DB216" i="25" s="1"/>
  <c r="T623" i="29"/>
  <c r="O623" i="29"/>
  <c r="K623" i="29"/>
  <c r="L623" i="29"/>
  <c r="P623" i="29"/>
  <c r="U623" i="29"/>
  <c r="S623" i="29"/>
  <c r="V623" i="29"/>
  <c r="Q623" i="29"/>
  <c r="R623" i="29"/>
  <c r="DQ212" i="25"/>
  <c r="DN212" i="25"/>
  <c r="DX216" i="24"/>
  <c r="EE216" i="24" s="1"/>
  <c r="DH216" i="25"/>
  <c r="DJ216" i="25" s="1"/>
  <c r="EB269" i="25"/>
  <c r="EA269" i="25"/>
  <c r="EB245" i="25"/>
  <c r="EA245" i="25"/>
  <c r="EB289" i="25"/>
  <c r="EA289" i="25"/>
  <c r="EB280" i="25"/>
  <c r="EA280" i="25"/>
  <c r="EB285" i="25"/>
  <c r="EA285" i="25"/>
  <c r="EB257" i="25"/>
  <c r="EA257" i="25"/>
  <c r="EB243" i="25"/>
  <c r="EA243" i="25"/>
  <c r="EB293" i="25"/>
  <c r="EA293" i="25"/>
  <c r="EB286" i="25"/>
  <c r="EA286" i="25"/>
  <c r="EB281" i="25"/>
  <c r="EA281" i="25"/>
  <c r="EB274" i="25"/>
  <c r="EA274" i="25"/>
  <c r="EB222" i="25"/>
  <c r="EA222" i="25"/>
  <c r="EB237" i="25"/>
  <c r="EA237" i="25"/>
  <c r="EB287" i="25"/>
  <c r="EA287" i="25"/>
  <c r="EB227" i="25"/>
  <c r="EA227" i="25"/>
  <c r="EB225" i="25"/>
  <c r="EA225" i="25"/>
  <c r="EB251" i="25"/>
  <c r="EA251" i="25"/>
  <c r="EB236" i="25"/>
  <c r="EA236" i="25"/>
  <c r="EB307" i="25"/>
  <c r="EA307" i="25"/>
  <c r="EB316" i="25"/>
  <c r="EA316" i="25"/>
  <c r="EB221" i="25"/>
  <c r="EA221" i="25"/>
  <c r="EB229" i="25"/>
  <c r="EA229" i="25"/>
  <c r="EB263" i="25"/>
  <c r="EA263" i="25"/>
  <c r="EB239" i="25"/>
  <c r="EA239" i="25"/>
  <c r="EB302" i="25"/>
  <c r="EA302" i="25"/>
  <c r="EB292" i="25"/>
  <c r="EA292" i="25"/>
  <c r="EB252" i="25"/>
  <c r="EA252" i="25"/>
  <c r="EB226" i="25"/>
  <c r="EA226" i="25"/>
  <c r="EB310" i="25"/>
  <c r="EA310" i="25"/>
  <c r="EB220" i="25"/>
  <c r="EA220" i="25"/>
  <c r="EB249" i="25"/>
  <c r="EA249" i="25"/>
  <c r="EB248" i="25"/>
  <c r="EA248" i="25"/>
  <c r="EB260" i="25"/>
  <c r="EA260" i="25"/>
  <c r="EB219" i="25"/>
  <c r="EA219" i="25"/>
  <c r="EB295" i="25"/>
  <c r="EA295" i="25"/>
  <c r="EB253" i="25"/>
  <c r="EA253" i="25"/>
  <c r="EB217" i="25"/>
  <c r="EA217" i="25"/>
  <c r="EB296" i="25"/>
  <c r="EA296" i="25"/>
  <c r="EB299" i="25"/>
  <c r="EA299" i="25"/>
  <c r="EB265" i="25"/>
  <c r="EA265" i="25"/>
  <c r="EB271" i="25"/>
  <c r="EA271" i="25"/>
  <c r="EB278" i="25"/>
  <c r="EA278" i="25"/>
  <c r="EB234" i="25"/>
  <c r="EA234" i="25"/>
  <c r="EB309" i="25"/>
  <c r="EA309" i="25"/>
  <c r="EB246" i="25"/>
  <c r="EA246" i="25"/>
  <c r="EB288" i="25"/>
  <c r="EA288" i="25"/>
  <c r="EA216" i="25"/>
  <c r="EB216" i="25"/>
  <c r="EB308" i="25"/>
  <c r="EA308" i="25"/>
  <c r="EB298" i="25"/>
  <c r="EA298" i="25"/>
  <c r="EB242" i="25"/>
  <c r="EA242" i="25"/>
  <c r="EB262" i="25"/>
  <c r="EA262" i="25"/>
  <c r="EB277" i="25"/>
  <c r="EA277" i="25"/>
  <c r="EB254" i="25"/>
  <c r="EA254" i="25"/>
  <c r="EB290" i="25"/>
  <c r="EA290" i="25"/>
  <c r="EB291" i="25"/>
  <c r="EA291" i="25"/>
  <c r="EB247" i="25"/>
  <c r="EA247" i="25"/>
  <c r="EB258" i="25"/>
  <c r="EA258" i="25"/>
  <c r="EB264" i="25"/>
  <c r="EA264" i="25"/>
  <c r="EB261" i="25"/>
  <c r="EA261" i="25"/>
  <c r="EB303" i="25"/>
  <c r="EA303" i="25"/>
  <c r="EB270" i="25"/>
  <c r="EA270" i="25"/>
  <c r="EB240" i="25"/>
  <c r="EA240" i="25"/>
  <c r="EB279" i="25"/>
  <c r="EA279" i="25"/>
  <c r="EB284" i="25"/>
  <c r="EA284" i="25"/>
  <c r="EB256" i="25"/>
  <c r="EA256" i="25"/>
  <c r="EB244" i="25"/>
  <c r="EA244" i="25"/>
  <c r="EB305" i="25"/>
  <c r="EA305" i="25"/>
  <c r="EB259" i="25"/>
  <c r="EA259" i="25"/>
  <c r="EB294" i="25"/>
  <c r="EA294" i="25"/>
  <c r="EB233" i="25"/>
  <c r="EA233" i="25"/>
  <c r="EB266" i="25"/>
  <c r="EA266" i="25"/>
  <c r="EB231" i="25"/>
  <c r="EA231" i="25"/>
  <c r="EB268" i="25"/>
  <c r="EA268" i="25"/>
  <c r="EB223" i="25"/>
  <c r="EA223" i="25"/>
  <c r="EB273" i="25"/>
  <c r="EA273" i="25"/>
  <c r="EB224" i="25"/>
  <c r="EA224" i="25"/>
  <c r="EB241" i="25"/>
  <c r="EA241" i="25"/>
  <c r="EB232" i="25"/>
  <c r="EA232" i="25"/>
  <c r="EB272" i="25"/>
  <c r="EA272" i="25"/>
  <c r="EB313" i="25"/>
  <c r="EA313" i="25"/>
  <c r="EB250" i="25"/>
  <c r="EA250" i="25"/>
  <c r="EB276" i="25"/>
  <c r="EA276" i="25"/>
  <c r="EB311" i="25"/>
  <c r="EA311" i="25"/>
  <c r="EB300" i="25"/>
  <c r="EA300" i="25"/>
  <c r="EB218" i="25"/>
  <c r="EA218" i="25"/>
  <c r="EB315" i="25"/>
  <c r="EA315" i="25"/>
  <c r="EB282" i="25"/>
  <c r="EA282" i="25"/>
  <c r="EB238" i="25"/>
  <c r="EA238" i="25"/>
  <c r="EB297" i="25"/>
  <c r="EA297" i="25"/>
  <c r="EB283" i="25"/>
  <c r="EA283" i="25"/>
  <c r="EB230" i="25"/>
  <c r="EA230" i="25"/>
  <c r="EB235" i="25"/>
  <c r="EA235" i="25"/>
  <c r="EB275" i="25"/>
  <c r="EA275" i="25"/>
  <c r="EB267" i="25"/>
  <c r="EA267" i="25"/>
  <c r="EB301" i="25"/>
  <c r="EA301" i="25"/>
  <c r="EB314" i="25"/>
  <c r="EA314" i="25"/>
  <c r="EB306" i="25"/>
  <c r="EA306" i="25"/>
  <c r="EB228" i="25"/>
  <c r="EA228" i="25"/>
  <c r="EB304" i="25"/>
  <c r="EA304" i="25"/>
  <c r="EB312" i="25"/>
  <c r="EA312" i="25"/>
  <c r="EB255" i="25"/>
  <c r="EA255" i="25"/>
  <c r="EA112" i="25"/>
  <c r="DQ112" i="25"/>
  <c r="DN112" i="25"/>
  <c r="DN183" i="25"/>
  <c r="DN206" i="25"/>
  <c r="DN203" i="24"/>
  <c r="DX203" i="24" s="1"/>
  <c r="DN146" i="24"/>
  <c r="DX146" i="24" s="1"/>
  <c r="DN86" i="24"/>
  <c r="DX86" i="24" s="1"/>
  <c r="DN66" i="24"/>
  <c r="DX66" i="24" s="1"/>
  <c r="DN137" i="24"/>
  <c r="DX137" i="24" s="1"/>
  <c r="DN127" i="25"/>
  <c r="DN187" i="24"/>
  <c r="DX187" i="24" s="1"/>
  <c r="DN207" i="24"/>
  <c r="DX207" i="24" s="1"/>
  <c r="DW110" i="24"/>
  <c r="EN110" i="24"/>
  <c r="EM110" i="24"/>
  <c r="EP110" i="24" s="1"/>
  <c r="DU110" i="24"/>
  <c r="FA110" i="24"/>
  <c r="EL110" i="24"/>
  <c r="EY110" i="24"/>
  <c r="EB110" i="24"/>
  <c r="DN79" i="24"/>
  <c r="DZ79" i="24" s="1"/>
  <c r="DW5" i="24"/>
  <c r="EN5" i="24"/>
  <c r="EM5" i="24"/>
  <c r="EP5" i="24" s="1"/>
  <c r="DU5" i="24"/>
  <c r="FA5" i="24"/>
  <c r="EB5" i="24"/>
  <c r="EL5" i="24"/>
  <c r="EY5" i="24"/>
  <c r="DN234" i="24"/>
  <c r="DO216" i="24"/>
  <c r="DR216" i="24"/>
  <c r="EY216" i="24" s="1"/>
  <c r="DN182" i="25"/>
  <c r="DN69" i="25"/>
  <c r="DN93" i="24"/>
  <c r="DZ93" i="24" s="1"/>
  <c r="DN73" i="25"/>
  <c r="DN139" i="24"/>
  <c r="DX139" i="24" s="1"/>
  <c r="DN248" i="24"/>
  <c r="DN78" i="24"/>
  <c r="DZ78" i="24" s="1"/>
  <c r="DN57" i="25"/>
  <c r="DN196" i="25"/>
  <c r="DN198" i="25"/>
  <c r="DN262" i="25"/>
  <c r="DN94" i="24"/>
  <c r="DZ94" i="24" s="1"/>
  <c r="DN181" i="24"/>
  <c r="DX181" i="24" s="1"/>
  <c r="DN75" i="24"/>
  <c r="DZ75" i="24" s="1"/>
  <c r="DN168" i="24"/>
  <c r="DX168" i="24" s="1"/>
  <c r="DN165" i="24"/>
  <c r="DX165" i="24" s="1"/>
  <c r="DN131" i="24"/>
  <c r="DX131" i="24" s="1"/>
  <c r="DN113" i="24"/>
  <c r="DX113" i="24" s="1"/>
  <c r="DN237" i="24"/>
  <c r="DN116" i="24"/>
  <c r="DX116" i="24" s="1"/>
  <c r="DN291" i="24"/>
  <c r="DN273" i="24"/>
  <c r="DN312" i="24"/>
  <c r="DN254" i="24"/>
  <c r="DN27" i="24"/>
  <c r="DZ27" i="24" s="1"/>
  <c r="DN275" i="24"/>
  <c r="DN284" i="24"/>
  <c r="DN143" i="25"/>
  <c r="DN221" i="24"/>
  <c r="DN16" i="24"/>
  <c r="DZ16" i="24" s="1"/>
  <c r="DN255" i="24"/>
  <c r="DN264" i="24"/>
  <c r="DN162" i="24"/>
  <c r="DX162" i="24" s="1"/>
  <c r="DN310" i="24"/>
  <c r="DN163" i="24"/>
  <c r="DX163" i="24" s="1"/>
  <c r="DN299" i="24"/>
  <c r="DN139" i="25"/>
  <c r="DQ183" i="25"/>
  <c r="DT183" i="25" s="1"/>
  <c r="DN138" i="25"/>
  <c r="DN181" i="25"/>
  <c r="DN179" i="25"/>
  <c r="DN299" i="25"/>
  <c r="DQ73" i="25"/>
  <c r="DQ143" i="25"/>
  <c r="DT143" i="25" s="1"/>
  <c r="DQ138" i="25"/>
  <c r="DV138" i="25" s="1"/>
  <c r="DQ181" i="25"/>
  <c r="EJ181" i="25" s="1"/>
  <c r="DQ182" i="25"/>
  <c r="DV182" i="25" s="1"/>
  <c r="DN178" i="25"/>
  <c r="DN85" i="24"/>
  <c r="DX85" i="24" s="1"/>
  <c r="DN219" i="24"/>
  <c r="DN206" i="24"/>
  <c r="DX206" i="24" s="1"/>
  <c r="DN179" i="24"/>
  <c r="DX179" i="24" s="1"/>
  <c r="DN254" i="25"/>
  <c r="DQ254" i="25"/>
  <c r="DQ137" i="25"/>
  <c r="FA137" i="25" s="1"/>
  <c r="DN137" i="25"/>
  <c r="DW97" i="25"/>
  <c r="EB68" i="25"/>
  <c r="EA68" i="25"/>
  <c r="DN227" i="25"/>
  <c r="DQ227" i="25"/>
  <c r="EB195" i="25"/>
  <c r="EA195" i="25"/>
  <c r="DN115" i="24"/>
  <c r="DX115" i="24" s="1"/>
  <c r="DN95" i="24"/>
  <c r="DZ95" i="24" s="1"/>
  <c r="DN301" i="24"/>
  <c r="DN69" i="24"/>
  <c r="DX69" i="24" s="1"/>
  <c r="DN78" i="25"/>
  <c r="DQ78" i="25"/>
  <c r="DW200" i="25"/>
  <c r="DN196" i="24"/>
  <c r="DX196" i="24" s="1"/>
  <c r="DN169" i="24"/>
  <c r="DX169" i="24" s="1"/>
  <c r="DN243" i="24"/>
  <c r="DN151" i="24"/>
  <c r="DX151" i="24" s="1"/>
  <c r="DN278" i="24"/>
  <c r="DN149" i="24"/>
  <c r="DX149" i="24" s="1"/>
  <c r="DN208" i="24"/>
  <c r="DX208" i="24" s="1"/>
  <c r="DN103" i="25"/>
  <c r="DQ103" i="25"/>
  <c r="DT103" i="25" s="1"/>
  <c r="DN34" i="25"/>
  <c r="DQ34" i="25"/>
  <c r="DN266" i="25"/>
  <c r="DQ266" i="25"/>
  <c r="DN296" i="25"/>
  <c r="DQ296" i="25"/>
  <c r="DQ263" i="25"/>
  <c r="DN263" i="25"/>
  <c r="DQ81" i="25"/>
  <c r="DN81" i="25"/>
  <c r="DN184" i="24"/>
  <c r="DX184" i="24" s="1"/>
  <c r="DN97" i="24"/>
  <c r="DZ97" i="24" s="1"/>
  <c r="DQ241" i="25"/>
  <c r="DN241" i="25"/>
  <c r="DN176" i="24"/>
  <c r="DX176" i="24" s="1"/>
  <c r="DN130" i="24"/>
  <c r="DX130" i="24" s="1"/>
  <c r="DN76" i="24"/>
  <c r="DZ76" i="24" s="1"/>
  <c r="DN117" i="24"/>
  <c r="DX117" i="24" s="1"/>
  <c r="DN191" i="24"/>
  <c r="DX191" i="24" s="1"/>
  <c r="DN198" i="24"/>
  <c r="DX198" i="24" s="1"/>
  <c r="DN306" i="24"/>
  <c r="DN74" i="24"/>
  <c r="DX74" i="24" s="1"/>
  <c r="DN217" i="24"/>
  <c r="DN84" i="24"/>
  <c r="DX84" i="24" s="1"/>
  <c r="DN256" i="24"/>
  <c r="DN135" i="24"/>
  <c r="DX135" i="24" s="1"/>
  <c r="DN205" i="24"/>
  <c r="DX205" i="24" s="1"/>
  <c r="DW174" i="25"/>
  <c r="DW131" i="25"/>
  <c r="EB118" i="25"/>
  <c r="EA118" i="25"/>
  <c r="DN156" i="24"/>
  <c r="DX156" i="24" s="1"/>
  <c r="DN257" i="25"/>
  <c r="DQ257" i="25"/>
  <c r="EB102" i="25"/>
  <c r="EA102" i="25"/>
  <c r="DQ43" i="25"/>
  <c r="DN43" i="25"/>
  <c r="DQ121" i="25"/>
  <c r="FA121" i="25" s="1"/>
  <c r="DN121" i="25"/>
  <c r="DN312" i="25"/>
  <c r="DQ312" i="25"/>
  <c r="DN272" i="25"/>
  <c r="DQ272" i="25"/>
  <c r="DN91" i="24"/>
  <c r="DZ91" i="24" s="1"/>
  <c r="DW180" i="25"/>
  <c r="DW95" i="25"/>
  <c r="DQ224" i="25"/>
  <c r="DN224" i="25"/>
  <c r="DQ119" i="25"/>
  <c r="EJ119" i="25" s="1"/>
  <c r="DN119" i="25"/>
  <c r="DQ193" i="25"/>
  <c r="EJ193" i="25" s="1"/>
  <c r="DN193" i="25"/>
  <c r="DN75" i="25"/>
  <c r="DQ75" i="25"/>
  <c r="DQ299" i="25"/>
  <c r="DQ244" i="25"/>
  <c r="DN244" i="25"/>
  <c r="DW103" i="25"/>
  <c r="DW178" i="25"/>
  <c r="DW51" i="25"/>
  <c r="DN13" i="25"/>
  <c r="DQ13" i="25"/>
  <c r="EB10" i="25"/>
  <c r="EA10" i="25"/>
  <c r="DW91" i="25"/>
  <c r="DN237" i="25"/>
  <c r="DQ237" i="25"/>
  <c r="DN242" i="25"/>
  <c r="DQ242" i="25"/>
  <c r="EB16" i="25"/>
  <c r="EA16" i="25"/>
  <c r="DQ315" i="25"/>
  <c r="DN315" i="25"/>
  <c r="DQ187" i="25"/>
  <c r="EY187" i="25" s="1"/>
  <c r="DN187" i="25"/>
  <c r="EB31" i="25"/>
  <c r="EA31" i="25"/>
  <c r="DW89" i="25"/>
  <c r="DN85" i="25"/>
  <c r="DQ85" i="25"/>
  <c r="DQ148" i="25"/>
  <c r="DN148" i="25"/>
  <c r="DQ35" i="25"/>
  <c r="DN35" i="25"/>
  <c r="DQ144" i="25"/>
  <c r="DN144" i="25"/>
  <c r="DN286" i="25"/>
  <c r="DQ286" i="25"/>
  <c r="DN282" i="25"/>
  <c r="DQ282" i="25"/>
  <c r="DN159" i="25"/>
  <c r="DQ159" i="25"/>
  <c r="DQ151" i="25"/>
  <c r="DN151" i="25"/>
  <c r="EB146" i="25"/>
  <c r="EA146" i="25"/>
  <c r="DQ206" i="25"/>
  <c r="DT206" i="25" s="1"/>
  <c r="DW9" i="25"/>
  <c r="DW143" i="25"/>
  <c r="DQ316" i="25"/>
  <c r="DN316" i="25"/>
  <c r="EB46" i="25"/>
  <c r="EA46" i="25"/>
  <c r="DN72" i="25"/>
  <c r="DQ72" i="25"/>
  <c r="DN171" i="25"/>
  <c r="DQ171" i="25"/>
  <c r="EY171" i="25" s="1"/>
  <c r="DQ116" i="25"/>
  <c r="DN116" i="25"/>
  <c r="EB142" i="25"/>
  <c r="EA142" i="25"/>
  <c r="DQ69" i="25"/>
  <c r="DQ21" i="25"/>
  <c r="DN21" i="25"/>
  <c r="DW56" i="25"/>
  <c r="DW45" i="25"/>
  <c r="DN268" i="25"/>
  <c r="DQ268" i="25"/>
  <c r="DQ139" i="25"/>
  <c r="EJ139" i="25" s="1"/>
  <c r="DW185" i="25"/>
  <c r="DW171" i="25"/>
  <c r="DN113" i="25"/>
  <c r="DQ113" i="25"/>
  <c r="DQ174" i="25"/>
  <c r="FA174" i="25" s="1"/>
  <c r="DN174" i="25"/>
  <c r="DN280" i="25"/>
  <c r="DQ280" i="25"/>
  <c r="DQ168" i="25"/>
  <c r="FA168" i="25" s="1"/>
  <c r="DN168" i="25"/>
  <c r="EB135" i="25"/>
  <c r="EA135" i="25"/>
  <c r="DQ198" i="25"/>
  <c r="DT198" i="25" s="1"/>
  <c r="DQ24" i="25"/>
  <c r="DN24" i="25"/>
  <c r="DN126" i="25"/>
  <c r="DQ126" i="25"/>
  <c r="EJ126" i="25" s="1"/>
  <c r="EB124" i="25"/>
  <c r="EA124" i="25"/>
  <c r="DQ186" i="25"/>
  <c r="DN186" i="25"/>
  <c r="DN210" i="24"/>
  <c r="DX210" i="24" s="1"/>
  <c r="EB7" i="25"/>
  <c r="EA7" i="25"/>
  <c r="DN59" i="25"/>
  <c r="DQ59" i="25"/>
  <c r="DN202" i="25"/>
  <c r="DQ202" i="25"/>
  <c r="DT202" i="25" s="1"/>
  <c r="EB183" i="25"/>
  <c r="EA183" i="25"/>
  <c r="DW59" i="25"/>
  <c r="DN95" i="25"/>
  <c r="DQ95" i="25"/>
  <c r="DT95" i="25" s="1"/>
  <c r="DW189" i="25"/>
  <c r="DQ140" i="25"/>
  <c r="DN140" i="25"/>
  <c r="DN265" i="25"/>
  <c r="DQ265" i="25"/>
  <c r="DQ16" i="25"/>
  <c r="DN16" i="25"/>
  <c r="EB69" i="25"/>
  <c r="EA69" i="25"/>
  <c r="DN20" i="25"/>
  <c r="DQ20" i="25"/>
  <c r="DN302" i="25"/>
  <c r="DQ302" i="25"/>
  <c r="DQ220" i="25"/>
  <c r="DN220" i="25"/>
  <c r="DN157" i="25"/>
  <c r="DQ157" i="25"/>
  <c r="EJ157" i="25" s="1"/>
  <c r="DN189" i="25"/>
  <c r="DQ189" i="25"/>
  <c r="FA189" i="25" s="1"/>
  <c r="DQ86" i="25"/>
  <c r="DN86" i="25"/>
  <c r="DN163" i="25"/>
  <c r="DQ163" i="25"/>
  <c r="DN48" i="25"/>
  <c r="DQ48" i="25"/>
  <c r="DQ230" i="25"/>
  <c r="DN230" i="25"/>
  <c r="DN259" i="25"/>
  <c r="DQ259" i="25"/>
  <c r="DN175" i="25"/>
  <c r="DQ175" i="25"/>
  <c r="EJ175" i="25" s="1"/>
  <c r="DN123" i="25"/>
  <c r="DQ123" i="25"/>
  <c r="DQ49" i="25"/>
  <c r="DN49" i="25"/>
  <c r="DN150" i="25"/>
  <c r="DQ150" i="25"/>
  <c r="DQ105" i="25"/>
  <c r="DT105" i="25" s="1"/>
  <c r="DN105" i="25"/>
  <c r="DQ46" i="25"/>
  <c r="DN46" i="25"/>
  <c r="DN247" i="25"/>
  <c r="DQ247" i="25"/>
  <c r="EB71" i="25"/>
  <c r="EA71" i="25"/>
  <c r="DW88" i="25"/>
  <c r="EB62" i="25"/>
  <c r="EA62" i="25"/>
  <c r="DW35" i="25"/>
  <c r="EB166" i="25"/>
  <c r="EA166" i="25"/>
  <c r="EB153" i="25"/>
  <c r="EA153" i="25"/>
  <c r="DW96" i="25"/>
  <c r="EB197" i="25"/>
  <c r="EA197" i="25"/>
  <c r="EB133" i="25"/>
  <c r="EA133" i="25"/>
  <c r="EB159" i="25"/>
  <c r="EA159" i="25"/>
  <c r="DN62" i="25"/>
  <c r="DQ62" i="25"/>
  <c r="DW80" i="25"/>
  <c r="DQ314" i="25"/>
  <c r="DN314" i="25"/>
  <c r="DW168" i="25"/>
  <c r="DW170" i="25"/>
  <c r="EB54" i="25"/>
  <c r="EA54" i="25"/>
  <c r="DN152" i="25"/>
  <c r="DQ152" i="25"/>
  <c r="DN221" i="25"/>
  <c r="DQ221" i="25"/>
  <c r="DQ246" i="25"/>
  <c r="DN246" i="25"/>
  <c r="DW164" i="25"/>
  <c r="DN131" i="25"/>
  <c r="DQ131" i="25"/>
  <c r="DN285" i="25"/>
  <c r="DQ285" i="25"/>
  <c r="DW77" i="25"/>
  <c r="EB39" i="25"/>
  <c r="EA39" i="25"/>
  <c r="DQ10" i="25"/>
  <c r="DN10" i="25"/>
  <c r="EB8" i="25"/>
  <c r="EA8" i="25"/>
  <c r="EB167" i="25"/>
  <c r="EA167" i="25"/>
  <c r="DW29" i="25"/>
  <c r="DW122" i="25"/>
  <c r="DW65" i="25"/>
  <c r="EB84" i="25"/>
  <c r="EA84" i="25"/>
  <c r="DW49" i="25"/>
  <c r="DW177" i="25"/>
  <c r="DW13" i="25"/>
  <c r="DQ243" i="25"/>
  <c r="DN243" i="25"/>
  <c r="DN261" i="25"/>
  <c r="DQ261" i="25"/>
  <c r="DN199" i="25"/>
  <c r="DQ199" i="25"/>
  <c r="DT199" i="25" s="1"/>
  <c r="DW23" i="25"/>
  <c r="DW12" i="25"/>
  <c r="EB154" i="25"/>
  <c r="EA154" i="25"/>
  <c r="EB160" i="25"/>
  <c r="EA160" i="25"/>
  <c r="DW48" i="25"/>
  <c r="DN274" i="25"/>
  <c r="DQ274" i="25"/>
  <c r="EB206" i="25"/>
  <c r="EA206" i="25"/>
  <c r="EB67" i="25"/>
  <c r="EA67" i="25"/>
  <c r="DQ99" i="25"/>
  <c r="DT99" i="25" s="1"/>
  <c r="DN99" i="25"/>
  <c r="DW175" i="25"/>
  <c r="DN38" i="25"/>
  <c r="DQ38" i="25"/>
  <c r="DN61" i="25"/>
  <c r="DQ61" i="25"/>
  <c r="EB73" i="25"/>
  <c r="EA73" i="25"/>
  <c r="EB207" i="25"/>
  <c r="EA207" i="25"/>
  <c r="DN162" i="25"/>
  <c r="DQ162" i="25"/>
  <c r="EB130" i="25"/>
  <c r="EA130" i="25"/>
  <c r="DW105" i="25"/>
  <c r="DN79" i="25"/>
  <c r="DQ79" i="25"/>
  <c r="DQ311" i="25"/>
  <c r="DN311" i="25"/>
  <c r="DW38" i="25"/>
  <c r="DN170" i="25"/>
  <c r="DQ170" i="25"/>
  <c r="FA170" i="25" s="1"/>
  <c r="DN201" i="25"/>
  <c r="DQ201" i="25"/>
  <c r="DT201" i="25" s="1"/>
  <c r="DW145" i="25"/>
  <c r="EB55" i="25"/>
  <c r="EA55" i="25"/>
  <c r="DN278" i="25"/>
  <c r="DQ278" i="25"/>
  <c r="DW139" i="25"/>
  <c r="DQ71" i="25"/>
  <c r="DN71" i="25"/>
  <c r="DQ117" i="25"/>
  <c r="DN117" i="25"/>
  <c r="DN210" i="25"/>
  <c r="DQ210" i="25"/>
  <c r="DT210" i="25" s="1"/>
  <c r="DN234" i="25"/>
  <c r="DQ234" i="25"/>
  <c r="DN295" i="25"/>
  <c r="DQ295" i="25"/>
  <c r="EB53" i="25"/>
  <c r="EA53" i="25"/>
  <c r="EB30" i="25"/>
  <c r="EA30" i="25"/>
  <c r="DQ96" i="25"/>
  <c r="DT96" i="25" s="1"/>
  <c r="DN96" i="25"/>
  <c r="DN273" i="25"/>
  <c r="DQ273" i="25"/>
  <c r="EB161" i="25"/>
  <c r="EA161" i="25"/>
  <c r="DQ57" i="25"/>
  <c r="EB50" i="25"/>
  <c r="EA50" i="25"/>
  <c r="EB165" i="25"/>
  <c r="EA165" i="25"/>
  <c r="DN233" i="25"/>
  <c r="DQ233" i="25"/>
  <c r="DW190" i="25"/>
  <c r="DW158" i="25"/>
  <c r="DQ283" i="25"/>
  <c r="DN283" i="25"/>
  <c r="DN200" i="25"/>
  <c r="DQ200" i="25"/>
  <c r="DT200" i="25" s="1"/>
  <c r="DN39" i="25"/>
  <c r="DQ39" i="25"/>
  <c r="DQ209" i="25"/>
  <c r="DT209" i="25" s="1"/>
  <c r="DN209" i="25"/>
  <c r="DN245" i="25"/>
  <c r="DQ245" i="25"/>
  <c r="DQ303" i="25"/>
  <c r="DN303" i="25"/>
  <c r="EB176" i="25"/>
  <c r="EA176" i="25"/>
  <c r="DQ14" i="25"/>
  <c r="DN14" i="25"/>
  <c r="DQ191" i="25"/>
  <c r="EJ191" i="25" s="1"/>
  <c r="DN191" i="25"/>
  <c r="DN120" i="25"/>
  <c r="DQ120" i="25"/>
  <c r="DW111" i="25"/>
  <c r="DW121" i="25"/>
  <c r="DN271" i="25"/>
  <c r="DQ271" i="25"/>
  <c r="DN68" i="25"/>
  <c r="DQ68" i="25"/>
  <c r="DN184" i="25"/>
  <c r="DQ184" i="25"/>
  <c r="DQ287" i="25"/>
  <c r="DN287" i="25"/>
  <c r="DQ195" i="25"/>
  <c r="DT195" i="25" s="1"/>
  <c r="DN195" i="25"/>
  <c r="DN309" i="25"/>
  <c r="DQ309" i="25"/>
  <c r="DW203" i="25"/>
  <c r="DN98" i="25"/>
  <c r="DQ98" i="25"/>
  <c r="DT98" i="25" s="1"/>
  <c r="DW187" i="25"/>
  <c r="DQ111" i="25"/>
  <c r="DN111" i="25"/>
  <c r="DN256" i="25"/>
  <c r="DQ256" i="25"/>
  <c r="DQ51" i="25"/>
  <c r="DN51" i="25"/>
  <c r="EB196" i="25"/>
  <c r="EA196" i="25"/>
  <c r="DN67" i="25"/>
  <c r="DQ67" i="25"/>
  <c r="DQ84" i="25"/>
  <c r="DN84" i="25"/>
  <c r="DW157" i="25"/>
  <c r="DN225" i="25"/>
  <c r="DQ225" i="25"/>
  <c r="DQ128" i="25"/>
  <c r="EJ128" i="25" s="1"/>
  <c r="DN128" i="25"/>
  <c r="DN298" i="25"/>
  <c r="DQ298" i="25"/>
  <c r="DN276" i="25"/>
  <c r="DQ276" i="25"/>
  <c r="DQ275" i="25"/>
  <c r="DN275" i="25"/>
  <c r="DN173" i="25"/>
  <c r="DQ173" i="25"/>
  <c r="EJ173" i="25" s="1"/>
  <c r="DN87" i="25"/>
  <c r="DQ87" i="25"/>
  <c r="DQ36" i="25"/>
  <c r="DN36" i="25"/>
  <c r="DQ55" i="25"/>
  <c r="DN55" i="25"/>
  <c r="EB148" i="25"/>
  <c r="EA148" i="25"/>
  <c r="DN142" i="25"/>
  <c r="DQ142" i="25"/>
  <c r="DW60" i="25"/>
  <c r="DW64" i="25"/>
  <c r="DW128" i="25"/>
  <c r="DQ300" i="25"/>
  <c r="DN300" i="25"/>
  <c r="DQ252" i="25"/>
  <c r="DN252" i="25"/>
  <c r="DN304" i="25"/>
  <c r="DQ304" i="25"/>
  <c r="DW66" i="25"/>
  <c r="DQ18" i="25"/>
  <c r="DN18" i="25"/>
  <c r="EB115" i="25"/>
  <c r="EA115" i="25"/>
  <c r="DN19" i="25"/>
  <c r="DQ19" i="25"/>
  <c r="EB21" i="25"/>
  <c r="EA21" i="25"/>
  <c r="DW78" i="25"/>
  <c r="DN53" i="25"/>
  <c r="DQ53" i="25"/>
  <c r="DN66" i="25"/>
  <c r="DQ66" i="25"/>
  <c r="EB101" i="25"/>
  <c r="EA101" i="25"/>
  <c r="EB120" i="25"/>
  <c r="EA120" i="25"/>
  <c r="DW179" i="25"/>
  <c r="DQ178" i="25"/>
  <c r="DQ29" i="25"/>
  <c r="DN29" i="25"/>
  <c r="DN11" i="25"/>
  <c r="DQ11" i="25"/>
  <c r="DN33" i="25"/>
  <c r="DQ33" i="25"/>
  <c r="DQ26" i="25"/>
  <c r="DN26" i="25"/>
  <c r="DN293" i="25"/>
  <c r="DQ293" i="25"/>
  <c r="DW126" i="25"/>
  <c r="DQ313" i="25"/>
  <c r="DN313" i="25"/>
  <c r="DQ58" i="25"/>
  <c r="DN58" i="25"/>
  <c r="DW43" i="25"/>
  <c r="DQ250" i="25"/>
  <c r="DN250" i="25"/>
  <c r="DW181" i="25"/>
  <c r="DW194" i="25"/>
  <c r="DW14" i="25"/>
  <c r="DW37" i="25"/>
  <c r="DN134" i="25"/>
  <c r="DQ134" i="25"/>
  <c r="DN12" i="25"/>
  <c r="DQ12" i="25"/>
  <c r="DN240" i="25"/>
  <c r="DQ240" i="25"/>
  <c r="DN236" i="25"/>
  <c r="DQ236" i="25"/>
  <c r="DQ122" i="25"/>
  <c r="EY122" i="25" s="1"/>
  <c r="DN122" i="25"/>
  <c r="DN41" i="25"/>
  <c r="DQ41" i="25"/>
  <c r="DN249" i="25"/>
  <c r="DQ249" i="25"/>
  <c r="DN70" i="25"/>
  <c r="DQ70" i="25"/>
  <c r="EB134" i="25"/>
  <c r="EA134" i="25"/>
  <c r="DQ149" i="25"/>
  <c r="DN149" i="25"/>
  <c r="DN235" i="25"/>
  <c r="DQ235" i="25"/>
  <c r="EB163" i="25"/>
  <c r="EA163" i="25"/>
  <c r="EB63" i="25"/>
  <c r="EA63" i="25"/>
  <c r="DN17" i="25"/>
  <c r="DQ17" i="25"/>
  <c r="DQ255" i="25"/>
  <c r="DN255" i="25"/>
  <c r="EB61" i="25"/>
  <c r="EA61" i="25"/>
  <c r="DQ88" i="25"/>
  <c r="DN88" i="25"/>
  <c r="DW127" i="25"/>
  <c r="DN83" i="25"/>
  <c r="DQ83" i="25"/>
  <c r="EB41" i="25"/>
  <c r="EA41" i="25"/>
  <c r="DN9" i="25"/>
  <c r="DQ9" i="25"/>
  <c r="DN31" i="25"/>
  <c r="DQ31" i="25"/>
  <c r="EB123" i="25"/>
  <c r="EA123" i="25"/>
  <c r="DQ179" i="25"/>
  <c r="EY179" i="25" s="1"/>
  <c r="EB188" i="25"/>
  <c r="EA188" i="25"/>
  <c r="DQ204" i="25"/>
  <c r="DT204" i="25" s="1"/>
  <c r="DN204" i="25"/>
  <c r="EB117" i="25"/>
  <c r="EA117" i="25"/>
  <c r="DQ155" i="25"/>
  <c r="DN155" i="25"/>
  <c r="DQ196" i="25"/>
  <c r="DT196" i="25" s="1"/>
  <c r="DW173" i="25"/>
  <c r="DN30" i="25"/>
  <c r="DQ30" i="25"/>
  <c r="DQ115" i="25"/>
  <c r="DN115" i="25"/>
  <c r="DQ50" i="25"/>
  <c r="DN50" i="25"/>
  <c r="DN60" i="25"/>
  <c r="DQ60" i="25"/>
  <c r="DN251" i="25"/>
  <c r="DQ251" i="25"/>
  <c r="DN64" i="25"/>
  <c r="DQ64" i="25"/>
  <c r="DW138" i="25"/>
  <c r="DN294" i="25"/>
  <c r="DQ294" i="25"/>
  <c r="DQ6" i="25"/>
  <c r="DN6" i="25"/>
  <c r="DN197" i="25"/>
  <c r="DQ197" i="25"/>
  <c r="DT197" i="25" s="1"/>
  <c r="DQ124" i="25"/>
  <c r="DN124" i="25"/>
  <c r="DN205" i="25"/>
  <c r="DQ205" i="25"/>
  <c r="DT205" i="25" s="1"/>
  <c r="DN176" i="25"/>
  <c r="DQ176" i="25"/>
  <c r="DN7" i="25"/>
  <c r="DQ7" i="25"/>
  <c r="DW15" i="25"/>
  <c r="DW141" i="25"/>
  <c r="DN185" i="25"/>
  <c r="DQ185" i="25"/>
  <c r="DQ218" i="25"/>
  <c r="DN218" i="25"/>
  <c r="DN222" i="25"/>
  <c r="DQ222" i="25"/>
  <c r="DQ238" i="25"/>
  <c r="DN238" i="25"/>
  <c r="EB205" i="25"/>
  <c r="EA205" i="25"/>
  <c r="DN167" i="25"/>
  <c r="DQ167" i="25"/>
  <c r="DN190" i="25"/>
  <c r="DQ190" i="25"/>
  <c r="FA190" i="25" s="1"/>
  <c r="DQ42" i="25"/>
  <c r="DN42" i="25"/>
  <c r="DW58" i="25"/>
  <c r="DQ284" i="25"/>
  <c r="DN284" i="25"/>
  <c r="EB44" i="25"/>
  <c r="EA44" i="25"/>
  <c r="DW24" i="25"/>
  <c r="DN180" i="25"/>
  <c r="DQ92" i="25"/>
  <c r="DT92" i="25" s="1"/>
  <c r="DN92" i="25"/>
  <c r="DW42" i="25"/>
  <c r="EB76" i="25"/>
  <c r="EA76" i="25"/>
  <c r="DN37" i="25"/>
  <c r="DQ37" i="25"/>
  <c r="DW119" i="25"/>
  <c r="DW137" i="25"/>
  <c r="DW92" i="25"/>
  <c r="DQ76" i="25"/>
  <c r="DN76" i="25"/>
  <c r="EA110" i="25"/>
  <c r="EB110" i="25"/>
  <c r="DW90" i="25"/>
  <c r="DQ305" i="25"/>
  <c r="DN305" i="25"/>
  <c r="EB140" i="25"/>
  <c r="EA140" i="25"/>
  <c r="EB20" i="25"/>
  <c r="EA20" i="25"/>
  <c r="EB32" i="25"/>
  <c r="EA32" i="25"/>
  <c r="DW156" i="25"/>
  <c r="DQ310" i="25"/>
  <c r="DN310" i="25"/>
  <c r="DW86" i="25"/>
  <c r="DQ125" i="25"/>
  <c r="DN125" i="25"/>
  <c r="EB182" i="25"/>
  <c r="EA182" i="25"/>
  <c r="EB204" i="25"/>
  <c r="EA204" i="25"/>
  <c r="DQ207" i="25"/>
  <c r="DT207" i="25" s="1"/>
  <c r="DN207" i="25"/>
  <c r="DN260" i="25"/>
  <c r="DQ260" i="25"/>
  <c r="DN239" i="25"/>
  <c r="DQ239" i="25"/>
  <c r="DQ47" i="25"/>
  <c r="DN47" i="25"/>
  <c r="DW79" i="25"/>
  <c r="DN40" i="25"/>
  <c r="DQ40" i="25"/>
  <c r="DQ208" i="25"/>
  <c r="DT208" i="25" s="1"/>
  <c r="DN208" i="25"/>
  <c r="EB201" i="25"/>
  <c r="EA201" i="25"/>
  <c r="EB149" i="25"/>
  <c r="EA149" i="25"/>
  <c r="EB150" i="25"/>
  <c r="EA150" i="25"/>
  <c r="DQ133" i="25"/>
  <c r="DN133" i="25"/>
  <c r="DN52" i="25"/>
  <c r="DQ52" i="25"/>
  <c r="DQ28" i="25"/>
  <c r="DN28" i="25"/>
  <c r="DN45" i="25"/>
  <c r="DQ45" i="25"/>
  <c r="DW47" i="25"/>
  <c r="EB144" i="25"/>
  <c r="EA144" i="25"/>
  <c r="DW27" i="25"/>
  <c r="DW40" i="25"/>
  <c r="EB6" i="25"/>
  <c r="EA6" i="25"/>
  <c r="EB57" i="25"/>
  <c r="EA57" i="25"/>
  <c r="EB28" i="25"/>
  <c r="EA28" i="25"/>
  <c r="DQ94" i="25"/>
  <c r="DT94" i="25" s="1"/>
  <c r="DN94" i="25"/>
  <c r="EB162" i="25"/>
  <c r="EA162" i="25"/>
  <c r="DN15" i="25"/>
  <c r="DQ15" i="25"/>
  <c r="DN158" i="25"/>
  <c r="DQ158" i="25"/>
  <c r="EJ158" i="25" s="1"/>
  <c r="DQ141" i="25"/>
  <c r="DN141" i="25"/>
  <c r="DN270" i="25"/>
  <c r="DQ270" i="25"/>
  <c r="DW129" i="25"/>
  <c r="EB186" i="25"/>
  <c r="EA186" i="25"/>
  <c r="EB116" i="25"/>
  <c r="EA116" i="25"/>
  <c r="DN172" i="25"/>
  <c r="DQ172" i="25"/>
  <c r="DN288" i="25"/>
  <c r="DQ288" i="25"/>
  <c r="DQ102" i="25"/>
  <c r="DT102" i="25" s="1"/>
  <c r="DN102" i="25"/>
  <c r="EB75" i="25"/>
  <c r="EA75" i="25"/>
  <c r="DN118" i="25"/>
  <c r="DQ118" i="25"/>
  <c r="EB113" i="25"/>
  <c r="EA113" i="25"/>
  <c r="EB209" i="25"/>
  <c r="EA209" i="25"/>
  <c r="DQ281" i="25"/>
  <c r="DN281" i="25"/>
  <c r="EB104" i="25"/>
  <c r="EA104" i="25"/>
  <c r="DN91" i="25"/>
  <c r="DQ91" i="25"/>
  <c r="DT91" i="25" s="1"/>
  <c r="DQ232" i="25"/>
  <c r="DN232" i="25"/>
  <c r="DW33" i="25"/>
  <c r="DQ82" i="25"/>
  <c r="DN82" i="25"/>
  <c r="DW147" i="25"/>
  <c r="DW199" i="25"/>
  <c r="DQ154" i="25"/>
  <c r="DN154" i="25"/>
  <c r="DN160" i="25"/>
  <c r="DQ160" i="25"/>
  <c r="DQ63" i="25"/>
  <c r="DN63" i="25"/>
  <c r="EB184" i="25"/>
  <c r="EA184" i="25"/>
  <c r="DQ192" i="25"/>
  <c r="DN192" i="25"/>
  <c r="DW169" i="25"/>
  <c r="DW25" i="25"/>
  <c r="EB82" i="25"/>
  <c r="EA82" i="25"/>
  <c r="DQ203" i="25"/>
  <c r="DT203" i="25" s="1"/>
  <c r="DN203" i="25"/>
  <c r="DQ65" i="25"/>
  <c r="DN65" i="25"/>
  <c r="DW87" i="25"/>
  <c r="DN100" i="25"/>
  <c r="DQ100" i="25"/>
  <c r="DT100" i="25" s="1"/>
  <c r="DQ248" i="25"/>
  <c r="DN248" i="25"/>
  <c r="DW208" i="25"/>
  <c r="DQ279" i="25"/>
  <c r="DN279" i="25"/>
  <c r="DN177" i="25"/>
  <c r="DQ177" i="25"/>
  <c r="EJ177" i="25" s="1"/>
  <c r="DQ188" i="25"/>
  <c r="DN188" i="25"/>
  <c r="DQ146" i="25"/>
  <c r="DN146" i="25"/>
  <c r="DN277" i="25"/>
  <c r="DQ277" i="25"/>
  <c r="DN292" i="25"/>
  <c r="DQ292" i="25"/>
  <c r="DN27" i="25"/>
  <c r="DQ27" i="25"/>
  <c r="DW70" i="25"/>
  <c r="DN253" i="25"/>
  <c r="DQ253" i="25"/>
  <c r="EB22" i="25"/>
  <c r="EA22" i="25"/>
  <c r="DQ145" i="25"/>
  <c r="EJ145" i="25" s="1"/>
  <c r="DN145" i="25"/>
  <c r="EB125" i="25"/>
  <c r="EA125" i="25"/>
  <c r="DW17" i="25"/>
  <c r="DQ56" i="25"/>
  <c r="DN56" i="25"/>
  <c r="DW99" i="25"/>
  <c r="DN54" i="25"/>
  <c r="DQ54" i="25"/>
  <c r="DQ93" i="25"/>
  <c r="DT93" i="25" s="1"/>
  <c r="DN93" i="25"/>
  <c r="DQ161" i="25"/>
  <c r="DN161" i="25"/>
  <c r="EB52" i="25"/>
  <c r="EA52" i="25"/>
  <c r="DN223" i="25"/>
  <c r="DQ223" i="25"/>
  <c r="EB151" i="25"/>
  <c r="EA151" i="25"/>
  <c r="DN165" i="25"/>
  <c r="DQ165" i="25"/>
  <c r="EB114" i="25"/>
  <c r="EA114" i="25"/>
  <c r="DQ164" i="25"/>
  <c r="DN164" i="25"/>
  <c r="DQ306" i="25"/>
  <c r="DN306" i="25"/>
  <c r="DQ228" i="25"/>
  <c r="DN228" i="25"/>
  <c r="DW72" i="25"/>
  <c r="DQ290" i="25"/>
  <c r="DN290" i="25"/>
  <c r="DQ136" i="25"/>
  <c r="DN136" i="25"/>
  <c r="EB94" i="25"/>
  <c r="EA94" i="25"/>
  <c r="DQ262" i="25"/>
  <c r="DN269" i="25"/>
  <c r="DQ269" i="25"/>
  <c r="DW193" i="25"/>
  <c r="DQ129" i="25"/>
  <c r="DN129" i="25"/>
  <c r="DW136" i="25"/>
  <c r="DQ104" i="25"/>
  <c r="DT104" i="25" s="1"/>
  <c r="DN104" i="25"/>
  <c r="EB19" i="25"/>
  <c r="EA19" i="25"/>
  <c r="DQ147" i="25"/>
  <c r="EJ147" i="25" s="1"/>
  <c r="DN147" i="25"/>
  <c r="DN97" i="25"/>
  <c r="DQ97" i="25"/>
  <c r="DT97" i="25" s="1"/>
  <c r="EB202" i="25"/>
  <c r="EA202" i="25"/>
  <c r="DW34" i="25"/>
  <c r="DQ308" i="25"/>
  <c r="DN308" i="25"/>
  <c r="DN90" i="25"/>
  <c r="DQ90" i="25"/>
  <c r="DQ258" i="25"/>
  <c r="DN258" i="25"/>
  <c r="EB26" i="25"/>
  <c r="EA26" i="25"/>
  <c r="EB192" i="25"/>
  <c r="EA192" i="25"/>
  <c r="DQ169" i="25"/>
  <c r="DN169" i="25"/>
  <c r="DW81" i="25"/>
  <c r="DQ25" i="25"/>
  <c r="DN25" i="25"/>
  <c r="DW191" i="25"/>
  <c r="DN267" i="25"/>
  <c r="DQ267" i="25"/>
  <c r="DN156" i="25"/>
  <c r="DQ156" i="25"/>
  <c r="DN23" i="25"/>
  <c r="DQ23" i="25"/>
  <c r="DN89" i="25"/>
  <c r="DQ89" i="25"/>
  <c r="DN130" i="25"/>
  <c r="DQ130" i="25"/>
  <c r="EB198" i="25"/>
  <c r="EA198" i="25"/>
  <c r="DQ194" i="25"/>
  <c r="DT194" i="25" s="1"/>
  <c r="DN194" i="25"/>
  <c r="DW98" i="25"/>
  <c r="DN289" i="25"/>
  <c r="DQ289" i="25"/>
  <c r="DN22" i="25"/>
  <c r="DQ22" i="25"/>
  <c r="DQ297" i="25"/>
  <c r="DN297" i="25"/>
  <c r="DN264" i="25"/>
  <c r="DQ264" i="25"/>
  <c r="DQ32" i="25"/>
  <c r="DN32" i="25"/>
  <c r="DN166" i="25"/>
  <c r="DQ166" i="25"/>
  <c r="DW100" i="25"/>
  <c r="DQ153" i="25"/>
  <c r="DN153" i="25"/>
  <c r="DN301" i="25"/>
  <c r="DQ301" i="25"/>
  <c r="EB85" i="25"/>
  <c r="EA85" i="25"/>
  <c r="DN291" i="25"/>
  <c r="DQ291" i="25"/>
  <c r="DW210" i="25"/>
  <c r="DW83" i="25"/>
  <c r="DN217" i="25"/>
  <c r="DQ217" i="25"/>
  <c r="DQ307" i="25"/>
  <c r="DN307" i="25"/>
  <c r="EB36" i="25"/>
  <c r="EA36" i="25"/>
  <c r="DN229" i="25"/>
  <c r="DQ229" i="25"/>
  <c r="DQ74" i="25"/>
  <c r="DN74" i="25"/>
  <c r="EB172" i="25"/>
  <c r="EA172" i="25"/>
  <c r="EB155" i="25"/>
  <c r="EA155" i="25"/>
  <c r="DQ226" i="25"/>
  <c r="DN226" i="25"/>
  <c r="DN231" i="25"/>
  <c r="DQ231" i="25"/>
  <c r="DQ132" i="25"/>
  <c r="DN132" i="25"/>
  <c r="DQ127" i="25"/>
  <c r="FA127" i="25" s="1"/>
  <c r="DQ135" i="25"/>
  <c r="DN135" i="25"/>
  <c r="DW93" i="25"/>
  <c r="DQ77" i="25"/>
  <c r="DN77" i="25"/>
  <c r="DQ101" i="25"/>
  <c r="DT101" i="25" s="1"/>
  <c r="DN101" i="25"/>
  <c r="DW74" i="25"/>
  <c r="DQ114" i="25"/>
  <c r="DN114" i="25"/>
  <c r="DN80" i="25"/>
  <c r="DQ80" i="25"/>
  <c r="EB132" i="25"/>
  <c r="EA132" i="25"/>
  <c r="DQ44" i="25"/>
  <c r="DN44" i="25"/>
  <c r="EB11" i="25"/>
  <c r="EA11" i="25"/>
  <c r="EB152" i="25"/>
  <c r="EA152" i="25"/>
  <c r="DQ180" i="25"/>
  <c r="EB18" i="25"/>
  <c r="EA18" i="25"/>
  <c r="DN8" i="25"/>
  <c r="DQ8" i="25"/>
  <c r="DQ219" i="25"/>
  <c r="DN219" i="25"/>
  <c r="DN72" i="24"/>
  <c r="DX72" i="24" s="1"/>
  <c r="DN64" i="24"/>
  <c r="DZ64" i="24" s="1"/>
  <c r="DN57" i="24"/>
  <c r="DZ57" i="24" s="1"/>
  <c r="DN46" i="24"/>
  <c r="DX46" i="24" s="1"/>
  <c r="DN9" i="24"/>
  <c r="DZ9" i="24" s="1"/>
  <c r="DN45" i="24"/>
  <c r="DZ45" i="24" s="1"/>
  <c r="DN7" i="24"/>
  <c r="DZ7" i="24" s="1"/>
  <c r="DN59" i="24"/>
  <c r="DX59" i="24" s="1"/>
  <c r="DN20" i="24"/>
  <c r="DX20" i="24" s="1"/>
  <c r="DN140" i="24"/>
  <c r="DX140" i="24" s="1"/>
  <c r="DN233" i="24"/>
  <c r="DN19" i="24"/>
  <c r="DX19" i="24" s="1"/>
  <c r="DN58" i="24"/>
  <c r="DX58" i="24" s="1"/>
  <c r="DN303" i="24"/>
  <c r="DN49" i="24"/>
  <c r="DX49" i="24" s="1"/>
  <c r="DN143" i="24"/>
  <c r="DX143" i="24" s="1"/>
  <c r="DN245" i="24"/>
  <c r="DN297" i="24"/>
  <c r="DN12" i="24"/>
  <c r="DX12" i="24" s="1"/>
  <c r="DN295" i="24"/>
  <c r="DN125" i="24"/>
  <c r="DX125" i="24" s="1"/>
  <c r="DN313" i="24"/>
  <c r="DN28" i="24"/>
  <c r="DX28" i="24" s="1"/>
  <c r="DN166" i="24"/>
  <c r="DX166" i="24" s="1"/>
  <c r="DN315" i="24"/>
  <c r="DN36" i="24"/>
  <c r="DZ36" i="24" s="1"/>
  <c r="DN286" i="24"/>
  <c r="DN31" i="24"/>
  <c r="DZ31" i="24" s="1"/>
  <c r="DN246" i="24"/>
  <c r="DN34" i="24"/>
  <c r="DX34" i="24" s="1"/>
  <c r="DN11" i="24"/>
  <c r="DZ11" i="24" s="1"/>
  <c r="DN311" i="24"/>
  <c r="DN282" i="24"/>
  <c r="DN38" i="24"/>
  <c r="DX38" i="24" s="1"/>
  <c r="DN178" i="24"/>
  <c r="DX178" i="24" s="1"/>
  <c r="DN144" i="24"/>
  <c r="DX144" i="24" s="1"/>
  <c r="DN266" i="24"/>
  <c r="DN200" i="24"/>
  <c r="DX200" i="24" s="1"/>
  <c r="DN105" i="24"/>
  <c r="DZ105" i="24" s="1"/>
  <c r="DN316" i="24"/>
  <c r="DN101" i="24"/>
  <c r="DZ101" i="24" s="1"/>
  <c r="DN153" i="24"/>
  <c r="DX153" i="24" s="1"/>
  <c r="DN18" i="24"/>
  <c r="DZ18" i="24" s="1"/>
  <c r="DN265" i="24"/>
  <c r="DN182" i="24"/>
  <c r="DX182" i="24" s="1"/>
  <c r="DN263" i="24"/>
  <c r="DN32" i="24"/>
  <c r="DX32" i="24" s="1"/>
  <c r="DN87" i="24"/>
  <c r="DZ87" i="24" s="1"/>
  <c r="DN232" i="24"/>
  <c r="DN118" i="24"/>
  <c r="DX118" i="24" s="1"/>
  <c r="DN247" i="24"/>
  <c r="DN141" i="24"/>
  <c r="DX141" i="24" s="1"/>
  <c r="DN251" i="24"/>
  <c r="DN82" i="24"/>
  <c r="DX82" i="24" s="1"/>
  <c r="DN285" i="24"/>
  <c r="DN17" i="24"/>
  <c r="DZ17" i="24" s="1"/>
  <c r="DN120" i="24"/>
  <c r="DX120" i="24" s="1"/>
  <c r="DN148" i="24"/>
  <c r="DX148" i="24" s="1"/>
  <c r="DN102" i="24"/>
  <c r="DX102" i="24" s="1"/>
  <c r="DN274" i="24"/>
  <c r="DN238" i="24"/>
  <c r="DN188" i="24"/>
  <c r="DX188" i="24" s="1"/>
  <c r="DN304" i="24"/>
  <c r="DN6" i="24"/>
  <c r="DX6" i="24" s="1"/>
  <c r="DN220" i="24"/>
  <c r="DN261" i="24"/>
  <c r="DN90" i="24"/>
  <c r="DX90" i="24" s="1"/>
  <c r="DN259" i="24"/>
  <c r="DN15" i="24"/>
  <c r="DX15" i="24" s="1"/>
  <c r="DN222" i="24"/>
  <c r="DN56" i="24"/>
  <c r="DZ56" i="24" s="1"/>
  <c r="DN294" i="24"/>
  <c r="DN287" i="24"/>
  <c r="DN280" i="24"/>
  <c r="DN229" i="24"/>
  <c r="DN252" i="24"/>
  <c r="DN236" i="24"/>
  <c r="DN195" i="24"/>
  <c r="DX195" i="24" s="1"/>
  <c r="DN293" i="24"/>
  <c r="DN92" i="24"/>
  <c r="DZ92" i="24" s="1"/>
  <c r="DN21" i="24"/>
  <c r="DZ21" i="24" s="1"/>
  <c r="DN194" i="24"/>
  <c r="DX194" i="24" s="1"/>
  <c r="DN276" i="24"/>
  <c r="DN88" i="24"/>
  <c r="DZ88" i="24" s="1"/>
  <c r="DN204" i="24"/>
  <c r="DX204" i="24" s="1"/>
  <c r="DN189" i="24"/>
  <c r="DX189" i="24" s="1"/>
  <c r="DN119" i="24"/>
  <c r="DX119" i="24" s="1"/>
  <c r="DN262" i="24"/>
  <c r="DN292" i="24"/>
  <c r="DN96" i="24"/>
  <c r="DX96" i="24" s="1"/>
  <c r="DN241" i="24"/>
  <c r="DN73" i="24"/>
  <c r="DX73" i="24" s="1"/>
  <c r="DN225" i="24"/>
  <c r="DN51" i="24"/>
  <c r="DX51" i="24" s="1"/>
  <c r="DN180" i="24"/>
  <c r="DX180" i="24" s="1"/>
  <c r="DN22" i="24"/>
  <c r="DX22" i="24" s="1"/>
  <c r="DN308" i="24"/>
  <c r="DN121" i="24"/>
  <c r="DX121" i="24" s="1"/>
  <c r="DN235" i="24"/>
  <c r="DN289" i="24"/>
  <c r="DK165" i="24"/>
  <c r="DJ165" i="24"/>
  <c r="DK33" i="24"/>
  <c r="DJ33" i="24"/>
  <c r="DK34" i="24"/>
  <c r="DJ34" i="24"/>
  <c r="DK303" i="24"/>
  <c r="DJ303" i="24"/>
  <c r="DK226" i="24"/>
  <c r="DJ226" i="24"/>
  <c r="DK186" i="24"/>
  <c r="DJ186" i="24"/>
  <c r="DK135" i="24"/>
  <c r="DJ135" i="24"/>
  <c r="DN81" i="24"/>
  <c r="DN150" i="24"/>
  <c r="DN193" i="24"/>
  <c r="DK247" i="24"/>
  <c r="DJ247" i="24"/>
  <c r="DK125" i="24"/>
  <c r="DJ125" i="24"/>
  <c r="DK305" i="24"/>
  <c r="DJ305" i="24"/>
  <c r="DN71" i="24"/>
  <c r="DN33" i="24"/>
  <c r="DK57" i="24"/>
  <c r="DJ57" i="24"/>
  <c r="DN35" i="24"/>
  <c r="DK169" i="24"/>
  <c r="DJ169" i="24"/>
  <c r="DK298" i="24"/>
  <c r="DJ298" i="24"/>
  <c r="DK45" i="24"/>
  <c r="DJ45" i="24"/>
  <c r="DN104" i="24"/>
  <c r="DN37" i="24"/>
  <c r="DN239" i="24"/>
  <c r="DK293" i="24"/>
  <c r="DJ293" i="24"/>
  <c r="DK131" i="24"/>
  <c r="DJ131" i="24"/>
  <c r="DK62" i="24"/>
  <c r="DJ62" i="24"/>
  <c r="DN52" i="24"/>
  <c r="DK221" i="24"/>
  <c r="DJ221" i="24"/>
  <c r="DK102" i="24"/>
  <c r="DJ102" i="24"/>
  <c r="DK130" i="24"/>
  <c r="DJ130" i="24"/>
  <c r="DK76" i="24"/>
  <c r="DJ76" i="24"/>
  <c r="DK117" i="24"/>
  <c r="DJ117" i="24"/>
  <c r="DK191" i="24"/>
  <c r="DJ191" i="24"/>
  <c r="DK266" i="24"/>
  <c r="DJ266" i="24"/>
  <c r="DN54" i="24"/>
  <c r="DN159" i="24"/>
  <c r="DK200" i="24"/>
  <c r="DJ200" i="24"/>
  <c r="DK177" i="24"/>
  <c r="DJ177" i="24"/>
  <c r="DK194" i="24"/>
  <c r="DJ194" i="24"/>
  <c r="DK74" i="24"/>
  <c r="DJ74" i="24"/>
  <c r="DK138" i="24"/>
  <c r="DJ138" i="24"/>
  <c r="DN147" i="24"/>
  <c r="DN127" i="24"/>
  <c r="DK170" i="24"/>
  <c r="DJ170" i="24"/>
  <c r="DN183" i="24"/>
  <c r="DN228" i="24"/>
  <c r="DK217" i="24"/>
  <c r="DJ217" i="24"/>
  <c r="DN269" i="24"/>
  <c r="DN152" i="24"/>
  <c r="DK16" i="24"/>
  <c r="DJ16" i="24"/>
  <c r="DK175" i="24"/>
  <c r="DJ175" i="24"/>
  <c r="DN63" i="24"/>
  <c r="DN128" i="24"/>
  <c r="DK96" i="24"/>
  <c r="DJ96" i="24"/>
  <c r="DN242" i="24"/>
  <c r="DK172" i="24"/>
  <c r="DJ172" i="24"/>
  <c r="DN83" i="24"/>
  <c r="DN281" i="24"/>
  <c r="DK160" i="24"/>
  <c r="DJ160" i="24"/>
  <c r="DK272" i="24"/>
  <c r="DJ272" i="24"/>
  <c r="DN279" i="24"/>
  <c r="DK31" i="24"/>
  <c r="DJ31" i="24"/>
  <c r="DN30" i="24"/>
  <c r="DN41" i="24"/>
  <c r="DN226" i="24"/>
  <c r="DK291" i="24"/>
  <c r="DJ291" i="24"/>
  <c r="DN40" i="24"/>
  <c r="DN186" i="24"/>
  <c r="DN99" i="24"/>
  <c r="DK61" i="24"/>
  <c r="DJ61" i="24"/>
  <c r="DK251" i="24"/>
  <c r="DJ251" i="24"/>
  <c r="DK82" i="24"/>
  <c r="DJ82" i="24"/>
  <c r="DN267" i="24"/>
  <c r="DN224" i="24"/>
  <c r="DK234" i="24"/>
  <c r="DJ234" i="24"/>
  <c r="DK89" i="24"/>
  <c r="DJ89" i="24"/>
  <c r="DN60" i="24"/>
  <c r="DK137" i="24"/>
  <c r="DJ137" i="24"/>
  <c r="DK79" i="24"/>
  <c r="DJ79" i="24"/>
  <c r="DK81" i="24"/>
  <c r="DJ81" i="24"/>
  <c r="DK248" i="24"/>
  <c r="DJ248" i="24"/>
  <c r="DK85" i="24"/>
  <c r="DJ85" i="24"/>
  <c r="DK148" i="24"/>
  <c r="DJ148" i="24"/>
  <c r="DK219" i="24"/>
  <c r="DJ219" i="24"/>
  <c r="DK183" i="24"/>
  <c r="DJ183" i="24"/>
  <c r="DK166" i="24"/>
  <c r="DJ166" i="24"/>
  <c r="DK150" i="24"/>
  <c r="DJ150" i="24"/>
  <c r="DN142" i="24"/>
  <c r="DN305" i="24"/>
  <c r="DK229" i="24"/>
  <c r="DJ229" i="24"/>
  <c r="DN55" i="24"/>
  <c r="DK71" i="24"/>
  <c r="DJ71" i="24"/>
  <c r="DK233" i="24"/>
  <c r="DJ233" i="24"/>
  <c r="DN298" i="24"/>
  <c r="DK86" i="24"/>
  <c r="DJ86" i="24"/>
  <c r="DK104" i="24"/>
  <c r="DJ104" i="24"/>
  <c r="DJ37" i="24"/>
  <c r="DK37" i="24"/>
  <c r="DK310" i="24"/>
  <c r="DJ310" i="24"/>
  <c r="DK178" i="24"/>
  <c r="DJ178" i="24"/>
  <c r="DK144" i="24"/>
  <c r="DJ144" i="24"/>
  <c r="DK239" i="24"/>
  <c r="DJ239" i="24"/>
  <c r="DN62" i="24"/>
  <c r="DK12" i="24"/>
  <c r="DJ12" i="24"/>
  <c r="DK159" i="24"/>
  <c r="DJ159" i="24"/>
  <c r="DK306" i="24"/>
  <c r="DJ306" i="24"/>
  <c r="DN177" i="24"/>
  <c r="DK78" i="24"/>
  <c r="DJ78" i="24"/>
  <c r="DN138" i="24"/>
  <c r="DK147" i="24"/>
  <c r="DJ147" i="24"/>
  <c r="DN170" i="24"/>
  <c r="DK228" i="24"/>
  <c r="DJ228" i="24"/>
  <c r="DK116" i="24"/>
  <c r="DJ116" i="24"/>
  <c r="DK263" i="24"/>
  <c r="DJ263" i="24"/>
  <c r="DK269" i="24"/>
  <c r="DJ269" i="24"/>
  <c r="DK152" i="24"/>
  <c r="DJ152" i="24"/>
  <c r="DN175" i="24"/>
  <c r="DK63" i="24"/>
  <c r="DJ63" i="24"/>
  <c r="DK128" i="24"/>
  <c r="DJ128" i="24"/>
  <c r="DK242" i="24"/>
  <c r="DJ242" i="24"/>
  <c r="DN172" i="24"/>
  <c r="DK83" i="24"/>
  <c r="DJ83" i="24"/>
  <c r="DK281" i="24"/>
  <c r="DJ281" i="24"/>
  <c r="DN160" i="24"/>
  <c r="DN272" i="24"/>
  <c r="DK30" i="24"/>
  <c r="DJ30" i="24"/>
  <c r="DK255" i="24"/>
  <c r="DJ255" i="24"/>
  <c r="DK41" i="24"/>
  <c r="DJ41" i="24"/>
  <c r="DK40" i="24"/>
  <c r="DJ40" i="24"/>
  <c r="DK99" i="24"/>
  <c r="DJ99" i="24"/>
  <c r="DN61" i="24"/>
  <c r="DJ224" i="24"/>
  <c r="DK224" i="24"/>
  <c r="DN89" i="24"/>
  <c r="DK60" i="24"/>
  <c r="DJ60" i="24"/>
  <c r="DK232" i="24"/>
  <c r="DJ232" i="24"/>
  <c r="DK59" i="24"/>
  <c r="DJ59" i="24"/>
  <c r="DK262" i="24"/>
  <c r="DJ262" i="24"/>
  <c r="DK286" i="24"/>
  <c r="DJ286" i="24"/>
  <c r="DK90" i="24"/>
  <c r="DJ90" i="24"/>
  <c r="DK203" i="24"/>
  <c r="DJ203" i="24"/>
  <c r="DK142" i="24"/>
  <c r="DJ142" i="24"/>
  <c r="DK55" i="24"/>
  <c r="DJ55" i="24"/>
  <c r="DK140" i="24"/>
  <c r="DJ140" i="24"/>
  <c r="DK7" i="24"/>
  <c r="DJ7" i="24"/>
  <c r="DK236" i="24"/>
  <c r="DJ236" i="24"/>
  <c r="DK243" i="24"/>
  <c r="DJ243" i="24"/>
  <c r="DK38" i="24"/>
  <c r="DJ38" i="24"/>
  <c r="DK225" i="24"/>
  <c r="DJ225" i="24"/>
  <c r="DK92" i="24"/>
  <c r="DJ92" i="24"/>
  <c r="DK143" i="24"/>
  <c r="DJ143" i="24"/>
  <c r="DK198" i="24"/>
  <c r="DJ198" i="24"/>
  <c r="DK206" i="24"/>
  <c r="DJ206" i="24"/>
  <c r="DK19" i="24"/>
  <c r="DJ19" i="24"/>
  <c r="DK127" i="24"/>
  <c r="DJ127" i="24"/>
  <c r="DK182" i="24"/>
  <c r="DJ182" i="24"/>
  <c r="DK179" i="24"/>
  <c r="DJ179" i="24"/>
  <c r="DK300" i="24"/>
  <c r="DJ300" i="24"/>
  <c r="DK258" i="24"/>
  <c r="DJ258" i="24"/>
  <c r="DK105" i="24"/>
  <c r="DJ105" i="24"/>
  <c r="DK245" i="24"/>
  <c r="DJ245" i="24"/>
  <c r="DK297" i="24"/>
  <c r="DJ297" i="24"/>
  <c r="DK184" i="24"/>
  <c r="DJ184" i="24"/>
  <c r="DK308" i="24"/>
  <c r="DJ308" i="24"/>
  <c r="DK121" i="24"/>
  <c r="DJ121" i="24"/>
  <c r="DK43" i="24"/>
  <c r="DJ43" i="24"/>
  <c r="DK10" i="24"/>
  <c r="DJ10" i="24"/>
  <c r="DK273" i="24"/>
  <c r="DJ273" i="24"/>
  <c r="DK235" i="24"/>
  <c r="DJ235" i="24"/>
  <c r="DK94" i="24"/>
  <c r="DJ94" i="24"/>
  <c r="DK289" i="24"/>
  <c r="DJ289" i="24"/>
  <c r="DK72" i="24"/>
  <c r="DJ72" i="24"/>
  <c r="DK207" i="24"/>
  <c r="DJ207" i="24"/>
  <c r="DK312" i="24"/>
  <c r="DJ312" i="24"/>
  <c r="DK254" i="24"/>
  <c r="DJ254" i="24"/>
  <c r="DK27" i="24"/>
  <c r="DJ27" i="24"/>
  <c r="DK181" i="24"/>
  <c r="DJ181" i="24"/>
  <c r="DK118" i="24"/>
  <c r="DJ118" i="24"/>
  <c r="DK193" i="24"/>
  <c r="DJ193" i="24"/>
  <c r="DK139" i="24"/>
  <c r="DJ139" i="24"/>
  <c r="DK120" i="24"/>
  <c r="DJ120" i="24"/>
  <c r="DK54" i="24"/>
  <c r="DJ54" i="24"/>
  <c r="DK149" i="24"/>
  <c r="DJ149" i="24"/>
  <c r="DK9" i="24"/>
  <c r="DJ9" i="24"/>
  <c r="DK64" i="24"/>
  <c r="DJ64" i="24"/>
  <c r="DK292" i="24"/>
  <c r="DJ292" i="24"/>
  <c r="DK315" i="24"/>
  <c r="DJ315" i="24"/>
  <c r="DN302" i="24"/>
  <c r="DK161" i="24"/>
  <c r="DJ161" i="24"/>
  <c r="DN253" i="24"/>
  <c r="DK167" i="24"/>
  <c r="DJ167" i="24"/>
  <c r="DN190" i="24"/>
  <c r="DK294" i="24"/>
  <c r="DJ294" i="24"/>
  <c r="DK287" i="24"/>
  <c r="DJ287" i="24"/>
  <c r="DK280" i="24"/>
  <c r="DJ280" i="24"/>
  <c r="DN154" i="24"/>
  <c r="DK252" i="24"/>
  <c r="DJ252" i="24"/>
  <c r="DK176" i="24"/>
  <c r="DJ176" i="24"/>
  <c r="DK285" i="24"/>
  <c r="DJ285" i="24"/>
  <c r="DK67" i="24"/>
  <c r="DJ67" i="24"/>
  <c r="DN25" i="24"/>
  <c r="DK124" i="24"/>
  <c r="DJ124" i="24"/>
  <c r="DN114" i="24"/>
  <c r="DN230" i="24"/>
  <c r="DK49" i="24"/>
  <c r="DJ49" i="24"/>
  <c r="DN132" i="24"/>
  <c r="DK187" i="24"/>
  <c r="DJ187" i="24"/>
  <c r="DN50" i="24"/>
  <c r="DN268" i="24"/>
  <c r="DK218" i="24"/>
  <c r="DJ218" i="24"/>
  <c r="DN270" i="24"/>
  <c r="DK156" i="24"/>
  <c r="DJ156" i="24"/>
  <c r="DN260" i="24"/>
  <c r="DK274" i="24"/>
  <c r="DJ274" i="24"/>
  <c r="DN296" i="24"/>
  <c r="DK314" i="24"/>
  <c r="DJ314" i="24"/>
  <c r="DK237" i="24"/>
  <c r="DJ237" i="24"/>
  <c r="DN77" i="24"/>
  <c r="DN111" i="24"/>
  <c r="DN185" i="24"/>
  <c r="DN164" i="24"/>
  <c r="DN202" i="24"/>
  <c r="DK95" i="24"/>
  <c r="DJ95" i="24"/>
  <c r="DK301" i="24"/>
  <c r="DJ301" i="24"/>
  <c r="DN13" i="24"/>
  <c r="DN300" i="24"/>
  <c r="DN258" i="24"/>
  <c r="DK32" i="24"/>
  <c r="DJ32" i="24"/>
  <c r="DK87" i="24"/>
  <c r="DJ87" i="24"/>
  <c r="DK316" i="24"/>
  <c r="DJ316" i="24"/>
  <c r="DK101" i="24"/>
  <c r="DJ101" i="24"/>
  <c r="DN65" i="24"/>
  <c r="DN174" i="24"/>
  <c r="DN249" i="24"/>
  <c r="DK192" i="24"/>
  <c r="DJ192" i="24"/>
  <c r="DK153" i="24"/>
  <c r="DJ153" i="24"/>
  <c r="DK18" i="24"/>
  <c r="DJ18" i="24"/>
  <c r="DN44" i="24"/>
  <c r="DK265" i="24"/>
  <c r="DJ265" i="24"/>
  <c r="DN8" i="24"/>
  <c r="DK97" i="24"/>
  <c r="DJ97" i="24"/>
  <c r="DN171" i="24"/>
  <c r="DK136" i="24"/>
  <c r="DJ136" i="24"/>
  <c r="DK264" i="24"/>
  <c r="DJ264" i="24"/>
  <c r="DN98" i="24"/>
  <c r="DJ162" i="24"/>
  <c r="DK162" i="24"/>
  <c r="DN43" i="24"/>
  <c r="DN10" i="24"/>
  <c r="DK129" i="24"/>
  <c r="DJ129" i="24"/>
  <c r="DK201" i="24"/>
  <c r="DJ201" i="24"/>
  <c r="DK241" i="24"/>
  <c r="DJ241" i="24"/>
  <c r="DK73" i="24"/>
  <c r="DJ73" i="24"/>
  <c r="DN29" i="24"/>
  <c r="DN112" i="24"/>
  <c r="DN197" i="24"/>
  <c r="DK75" i="24"/>
  <c r="DJ75" i="24"/>
  <c r="DK52" i="24"/>
  <c r="DJ52" i="24"/>
  <c r="DK69" i="24"/>
  <c r="DJ69" i="24"/>
  <c r="DK302" i="24"/>
  <c r="DJ302" i="24"/>
  <c r="DN161" i="24"/>
  <c r="DK253" i="24"/>
  <c r="DJ253" i="24"/>
  <c r="DN167" i="24"/>
  <c r="DK190" i="24"/>
  <c r="DJ190" i="24"/>
  <c r="DN209" i="24"/>
  <c r="DN68" i="24"/>
  <c r="DN24" i="24"/>
  <c r="DK154" i="24"/>
  <c r="DJ154" i="24"/>
  <c r="DN42" i="24"/>
  <c r="DN288" i="24"/>
  <c r="DK48" i="24"/>
  <c r="DJ48" i="24"/>
  <c r="DN240" i="24"/>
  <c r="DN244" i="24"/>
  <c r="DN67" i="24"/>
  <c r="DK25" i="24"/>
  <c r="DJ25" i="24"/>
  <c r="DN124" i="24"/>
  <c r="DN23" i="24"/>
  <c r="DN227" i="24"/>
  <c r="DK114" i="24"/>
  <c r="DJ114" i="24"/>
  <c r="DK230" i="24"/>
  <c r="DJ230" i="24"/>
  <c r="DK132" i="24"/>
  <c r="DJ132" i="24"/>
  <c r="DK14" i="24"/>
  <c r="DJ14" i="24"/>
  <c r="DK250" i="24"/>
  <c r="DJ250" i="24"/>
  <c r="DK50" i="24"/>
  <c r="DJ50" i="24"/>
  <c r="DK268" i="24"/>
  <c r="DJ268" i="24"/>
  <c r="DN218" i="24"/>
  <c r="DN134" i="24"/>
  <c r="DK270" i="24"/>
  <c r="DJ270" i="24"/>
  <c r="DK51" i="24"/>
  <c r="DJ51" i="24"/>
  <c r="DK223" i="24"/>
  <c r="DJ223" i="24"/>
  <c r="DK155" i="24"/>
  <c r="DJ155" i="24"/>
  <c r="DK199" i="24"/>
  <c r="DJ199" i="24"/>
  <c r="DK260" i="24"/>
  <c r="DJ260" i="24"/>
  <c r="DN26" i="24"/>
  <c r="DK296" i="24"/>
  <c r="DJ296" i="24"/>
  <c r="DN314" i="24"/>
  <c r="DK277" i="24"/>
  <c r="DJ277" i="24"/>
  <c r="DN257" i="24"/>
  <c r="DK77" i="24"/>
  <c r="DJ77" i="24"/>
  <c r="DK111" i="24"/>
  <c r="DJ111" i="24"/>
  <c r="DK185" i="24"/>
  <c r="DJ185" i="24"/>
  <c r="DK180" i="24"/>
  <c r="DJ180" i="24"/>
  <c r="DK22" i="24"/>
  <c r="DJ22" i="24"/>
  <c r="DK164" i="24"/>
  <c r="DJ164" i="24"/>
  <c r="DK202" i="24"/>
  <c r="DJ202" i="24"/>
  <c r="DJ88" i="24"/>
  <c r="DK88" i="24"/>
  <c r="DK13" i="24"/>
  <c r="DJ13" i="24"/>
  <c r="DN157" i="24"/>
  <c r="DN103" i="24"/>
  <c r="DN122" i="24"/>
  <c r="DK275" i="24"/>
  <c r="DJ275" i="24"/>
  <c r="DN231" i="24"/>
  <c r="DK65" i="24"/>
  <c r="DJ65" i="24"/>
  <c r="DK174" i="24"/>
  <c r="DJ174" i="24"/>
  <c r="DK249" i="24"/>
  <c r="DJ249" i="24"/>
  <c r="DN145" i="24"/>
  <c r="DN192" i="24"/>
  <c r="DN47" i="24"/>
  <c r="DK283" i="24"/>
  <c r="DJ283" i="24"/>
  <c r="DN307" i="24"/>
  <c r="DN70" i="24"/>
  <c r="DK44" i="24"/>
  <c r="DJ44" i="24"/>
  <c r="DK8" i="24"/>
  <c r="DJ8" i="24"/>
  <c r="DN53" i="24"/>
  <c r="DK133" i="24"/>
  <c r="DJ133" i="24"/>
  <c r="DK171" i="24"/>
  <c r="DJ171" i="24"/>
  <c r="DN136" i="24"/>
  <c r="DK98" i="24"/>
  <c r="DJ98" i="24"/>
  <c r="DN129" i="24"/>
  <c r="DN201" i="24"/>
  <c r="DN158" i="24"/>
  <c r="DK29" i="24"/>
  <c r="DJ29" i="24"/>
  <c r="DN309" i="24"/>
  <c r="DN123" i="24"/>
  <c r="DK290" i="24"/>
  <c r="DJ290" i="24"/>
  <c r="DN173" i="24"/>
  <c r="DN100" i="24"/>
  <c r="DK112" i="24"/>
  <c r="DJ112" i="24"/>
  <c r="DK80" i="24"/>
  <c r="DJ80" i="24"/>
  <c r="DK197" i="24"/>
  <c r="DJ197" i="24"/>
  <c r="DK113" i="24"/>
  <c r="DJ113" i="24"/>
  <c r="DK35" i="24"/>
  <c r="DJ35" i="24"/>
  <c r="DK311" i="24"/>
  <c r="DJ311" i="24"/>
  <c r="DK278" i="24"/>
  <c r="DJ278" i="24"/>
  <c r="DK36" i="24"/>
  <c r="DJ36" i="24"/>
  <c r="DK256" i="24"/>
  <c r="DJ256" i="24"/>
  <c r="DK267" i="24"/>
  <c r="DJ267" i="24"/>
  <c r="DK209" i="24"/>
  <c r="DJ209" i="24"/>
  <c r="DK68" i="24"/>
  <c r="DJ68" i="24"/>
  <c r="DK24" i="24"/>
  <c r="DJ24" i="24"/>
  <c r="DK42" i="24"/>
  <c r="DJ42" i="24"/>
  <c r="DK288" i="24"/>
  <c r="DJ288" i="24"/>
  <c r="DN48" i="24"/>
  <c r="DK11" i="24"/>
  <c r="DJ11" i="24"/>
  <c r="DK240" i="24"/>
  <c r="DJ240" i="24"/>
  <c r="DK244" i="24"/>
  <c r="DJ244" i="24"/>
  <c r="DK17" i="24"/>
  <c r="DJ17" i="24"/>
  <c r="DK39" i="24"/>
  <c r="DJ39" i="24"/>
  <c r="DK23" i="24"/>
  <c r="DJ23" i="24"/>
  <c r="DK227" i="24"/>
  <c r="DJ227" i="24"/>
  <c r="DN14" i="24"/>
  <c r="DN250" i="24"/>
  <c r="DK134" i="24"/>
  <c r="DJ134" i="24"/>
  <c r="DN223" i="24"/>
  <c r="DN155" i="24"/>
  <c r="DN199" i="24"/>
  <c r="DK26" i="24"/>
  <c r="DJ26" i="24"/>
  <c r="DN277" i="24"/>
  <c r="DK163" i="24"/>
  <c r="DJ163" i="24"/>
  <c r="DK257" i="24"/>
  <c r="DJ257" i="24"/>
  <c r="DK238" i="24"/>
  <c r="DJ238" i="24"/>
  <c r="DK157" i="24"/>
  <c r="DJ157" i="24"/>
  <c r="DK103" i="24"/>
  <c r="DJ103" i="24"/>
  <c r="DK122" i="24"/>
  <c r="DJ122" i="24"/>
  <c r="DK231" i="24"/>
  <c r="DJ231" i="24"/>
  <c r="DK145" i="24"/>
  <c r="DJ145" i="24"/>
  <c r="DK47" i="24"/>
  <c r="DJ47" i="24"/>
  <c r="DN283" i="24"/>
  <c r="DJ307" i="24"/>
  <c r="DK307" i="24"/>
  <c r="DK70" i="24"/>
  <c r="DJ70" i="24"/>
  <c r="DK284" i="24"/>
  <c r="DJ284" i="24"/>
  <c r="DK53" i="24"/>
  <c r="DJ53" i="24"/>
  <c r="DN133" i="24"/>
  <c r="DK93" i="24"/>
  <c r="DJ93" i="24"/>
  <c r="DN126" i="24"/>
  <c r="DK46" i="24"/>
  <c r="DJ46" i="24"/>
  <c r="DK84" i="24"/>
  <c r="DJ84" i="24"/>
  <c r="DK158" i="24"/>
  <c r="DJ158" i="24"/>
  <c r="DK20" i="24"/>
  <c r="DJ20" i="24"/>
  <c r="DK205" i="24"/>
  <c r="DJ205" i="24"/>
  <c r="DK309" i="24"/>
  <c r="DJ309" i="24"/>
  <c r="DK123" i="24"/>
  <c r="DJ123" i="24"/>
  <c r="DN290" i="24"/>
  <c r="DK173" i="24"/>
  <c r="DJ173" i="24"/>
  <c r="DK100" i="24"/>
  <c r="DJ100" i="24"/>
  <c r="DN80" i="24"/>
  <c r="DN271" i="24"/>
  <c r="DK210" i="24"/>
  <c r="DJ210" i="24"/>
  <c r="DK196" i="24"/>
  <c r="DJ196" i="24"/>
  <c r="DK141" i="24"/>
  <c r="DJ141" i="24"/>
  <c r="DK279" i="24"/>
  <c r="DJ279" i="24"/>
  <c r="DK259" i="24"/>
  <c r="DJ259" i="24"/>
  <c r="DK15" i="24"/>
  <c r="DJ15" i="24"/>
  <c r="DK222" i="24"/>
  <c r="DJ222" i="24"/>
  <c r="DK246" i="24"/>
  <c r="DJ246" i="24"/>
  <c r="DK282" i="24"/>
  <c r="DJ282" i="24"/>
  <c r="DK58" i="24"/>
  <c r="DJ58" i="24"/>
  <c r="DN39" i="24"/>
  <c r="DK195" i="24"/>
  <c r="DJ195" i="24"/>
  <c r="DK151" i="24"/>
  <c r="DJ151" i="24"/>
  <c r="DK115" i="24"/>
  <c r="DJ115" i="24"/>
  <c r="DK168" i="24"/>
  <c r="DJ168" i="24"/>
  <c r="DK21" i="24"/>
  <c r="DJ21" i="24"/>
  <c r="DK208" i="24"/>
  <c r="DJ208" i="24"/>
  <c r="DK299" i="24"/>
  <c r="DJ299" i="24"/>
  <c r="DK276" i="24"/>
  <c r="DJ276" i="24"/>
  <c r="DJ204" i="24"/>
  <c r="DK204" i="24"/>
  <c r="DK189" i="24"/>
  <c r="DJ189" i="24"/>
  <c r="DK119" i="24"/>
  <c r="DJ119" i="24"/>
  <c r="DK28" i="24"/>
  <c r="DJ28" i="24"/>
  <c r="DK188" i="24"/>
  <c r="DJ188" i="24"/>
  <c r="DK304" i="24"/>
  <c r="DJ304" i="24"/>
  <c r="DK6" i="24"/>
  <c r="DJ6" i="24"/>
  <c r="DK220" i="24"/>
  <c r="DJ220" i="24"/>
  <c r="DK261" i="24"/>
  <c r="DJ261" i="24"/>
  <c r="DK295" i="24"/>
  <c r="DJ295" i="24"/>
  <c r="DK146" i="24"/>
  <c r="DJ146" i="24"/>
  <c r="DK66" i="24"/>
  <c r="DJ66" i="24"/>
  <c r="DK313" i="24"/>
  <c r="DJ313" i="24"/>
  <c r="DK126" i="24"/>
  <c r="DJ126" i="24"/>
  <c r="DK56" i="24"/>
  <c r="DJ56" i="24"/>
  <c r="DK271" i="24"/>
  <c r="DJ271" i="24"/>
  <c r="DK91" i="24"/>
  <c r="DJ91" i="24"/>
  <c r="O628" i="29"/>
  <c r="R628" i="29"/>
  <c r="L628" i="29"/>
  <c r="Q628" i="29"/>
  <c r="S628" i="29"/>
  <c r="K628" i="29"/>
  <c r="T628" i="29"/>
  <c r="P628" i="29"/>
  <c r="BQ106" i="19"/>
  <c r="DN110" i="25" l="1"/>
  <c r="DX79" i="24"/>
  <c r="AE623" i="29"/>
  <c r="AD623" i="29"/>
  <c r="EJ212" i="25"/>
  <c r="EY212" i="25"/>
  <c r="EL212" i="25"/>
  <c r="DV212" i="25"/>
  <c r="EK212" i="25"/>
  <c r="EN212" i="25" s="1"/>
  <c r="DT212" i="25"/>
  <c r="FA212" i="25"/>
  <c r="EY199" i="25"/>
  <c r="FA200" i="25"/>
  <c r="EY208" i="25"/>
  <c r="EJ210" i="25"/>
  <c r="DZ6" i="24"/>
  <c r="DI216" i="25"/>
  <c r="DN216" i="25" s="1"/>
  <c r="EB216" i="24"/>
  <c r="EL216" i="24"/>
  <c r="EM216" i="24"/>
  <c r="EP216" i="24" s="1"/>
  <c r="EN216" i="24"/>
  <c r="FA216" i="24"/>
  <c r="DX94" i="24"/>
  <c r="EE94" i="24" s="1"/>
  <c r="DX91" i="24"/>
  <c r="EE91" i="24" s="1"/>
  <c r="DX290" i="24"/>
  <c r="EE290" i="24" s="1"/>
  <c r="DX258" i="24"/>
  <c r="EE258" i="24" s="1"/>
  <c r="DX296" i="24"/>
  <c r="EE296" i="24" s="1"/>
  <c r="DX230" i="24"/>
  <c r="DX298" i="24"/>
  <c r="EE298" i="24" s="1"/>
  <c r="DX305" i="24"/>
  <c r="EE305" i="24" s="1"/>
  <c r="DX279" i="24"/>
  <c r="EE279" i="24" s="1"/>
  <c r="DX222" i="24"/>
  <c r="EE222" i="24" s="1"/>
  <c r="DX263" i="24"/>
  <c r="EE263" i="24" s="1"/>
  <c r="DX313" i="24"/>
  <c r="EE313" i="24" s="1"/>
  <c r="DX303" i="24"/>
  <c r="EE303" i="24" s="1"/>
  <c r="DX278" i="24"/>
  <c r="EE278" i="24" s="1"/>
  <c r="DX284" i="24"/>
  <c r="EE284" i="24" s="1"/>
  <c r="DX237" i="24"/>
  <c r="EE237" i="24" s="1"/>
  <c r="DX300" i="24"/>
  <c r="EE300" i="24" s="1"/>
  <c r="DX268" i="24"/>
  <c r="EE268" i="24" s="1"/>
  <c r="DX242" i="24"/>
  <c r="EE242" i="24" s="1"/>
  <c r="DX225" i="24"/>
  <c r="EE225" i="24" s="1"/>
  <c r="DX236" i="24"/>
  <c r="EE236" i="24" s="1"/>
  <c r="DX238" i="24"/>
  <c r="EE238" i="24" s="1"/>
  <c r="DX251" i="24"/>
  <c r="EE251" i="24" s="1"/>
  <c r="DX266" i="24"/>
  <c r="EE266" i="24" s="1"/>
  <c r="DX246" i="24"/>
  <c r="EE246" i="24" s="1"/>
  <c r="DX301" i="24"/>
  <c r="EE301" i="24" s="1"/>
  <c r="DX219" i="24"/>
  <c r="EE219" i="24" s="1"/>
  <c r="DX310" i="24"/>
  <c r="EE310" i="24" s="1"/>
  <c r="DX275" i="24"/>
  <c r="EE275" i="24" s="1"/>
  <c r="DX271" i="24"/>
  <c r="DX231" i="24"/>
  <c r="EE231" i="24" s="1"/>
  <c r="DX257" i="24"/>
  <c r="EE257" i="24" s="1"/>
  <c r="DX302" i="24"/>
  <c r="EE302" i="24" s="1"/>
  <c r="DX289" i="24"/>
  <c r="EE289" i="24" s="1"/>
  <c r="DX252" i="24"/>
  <c r="EE252" i="24" s="1"/>
  <c r="DX259" i="24"/>
  <c r="EE259" i="24" s="1"/>
  <c r="DX274" i="24"/>
  <c r="EE274" i="24" s="1"/>
  <c r="DX265" i="24"/>
  <c r="EE265" i="24" s="1"/>
  <c r="DX295" i="24"/>
  <c r="EE295" i="24" s="1"/>
  <c r="DX243" i="24"/>
  <c r="EE243" i="24" s="1"/>
  <c r="DX283" i="24"/>
  <c r="EE283" i="24" s="1"/>
  <c r="DX309" i="24"/>
  <c r="EE309" i="24" s="1"/>
  <c r="DX244" i="24"/>
  <c r="EE244" i="24" s="1"/>
  <c r="DX260" i="24"/>
  <c r="EE260" i="24" s="1"/>
  <c r="DX226" i="24"/>
  <c r="EE226" i="24" s="1"/>
  <c r="DX269" i="24"/>
  <c r="EE269" i="24" s="1"/>
  <c r="DX235" i="24"/>
  <c r="EE235" i="24" s="1"/>
  <c r="DX241" i="24"/>
  <c r="EE241" i="24" s="1"/>
  <c r="DX276" i="24"/>
  <c r="EE276" i="24" s="1"/>
  <c r="DX229" i="24"/>
  <c r="EE229" i="24" s="1"/>
  <c r="DX247" i="24"/>
  <c r="EE247" i="24" s="1"/>
  <c r="DX286" i="24"/>
  <c r="EE286" i="24" s="1"/>
  <c r="DX233" i="24"/>
  <c r="EE233" i="24" s="1"/>
  <c r="DX256" i="24"/>
  <c r="EE256" i="24" s="1"/>
  <c r="DX264" i="24"/>
  <c r="EE264" i="24" s="1"/>
  <c r="DX254" i="24"/>
  <c r="EE254" i="24" s="1"/>
  <c r="DX223" i="24"/>
  <c r="EE223" i="24" s="1"/>
  <c r="DX240" i="24"/>
  <c r="EE240" i="24" s="1"/>
  <c r="DX272" i="24"/>
  <c r="EE272" i="24" s="1"/>
  <c r="DX280" i="24"/>
  <c r="EE280" i="24" s="1"/>
  <c r="DX261" i="24"/>
  <c r="EE261" i="24" s="1"/>
  <c r="DX297" i="24"/>
  <c r="EE297" i="24" s="1"/>
  <c r="DX255" i="24"/>
  <c r="EE255" i="24" s="1"/>
  <c r="DX312" i="24"/>
  <c r="EE312" i="24" s="1"/>
  <c r="DX314" i="24"/>
  <c r="EE314" i="24" s="1"/>
  <c r="DX227" i="24"/>
  <c r="EE227" i="24" s="1"/>
  <c r="DX249" i="24"/>
  <c r="EE249" i="24" s="1"/>
  <c r="DX281" i="24"/>
  <c r="EE281" i="24" s="1"/>
  <c r="DX239" i="24"/>
  <c r="EE239" i="24" s="1"/>
  <c r="DX308" i="24"/>
  <c r="EE308" i="24" s="1"/>
  <c r="DX292" i="24"/>
  <c r="EE292" i="24" s="1"/>
  <c r="DX287" i="24"/>
  <c r="EE287" i="24" s="1"/>
  <c r="DX220" i="24"/>
  <c r="EE220" i="24" s="1"/>
  <c r="DX232" i="24"/>
  <c r="EE232" i="24" s="1"/>
  <c r="DX282" i="24"/>
  <c r="EE282" i="24" s="1"/>
  <c r="DX315" i="24"/>
  <c r="EE315" i="24" s="1"/>
  <c r="DX245" i="24"/>
  <c r="EE245" i="24" s="1"/>
  <c r="DX217" i="24"/>
  <c r="EE217" i="24" s="1"/>
  <c r="DX273" i="24"/>
  <c r="EE273" i="24" s="1"/>
  <c r="DX248" i="24"/>
  <c r="EE248" i="24" s="1"/>
  <c r="DX234" i="24"/>
  <c r="EE234" i="24" s="1"/>
  <c r="DX307" i="24"/>
  <c r="EE307" i="24" s="1"/>
  <c r="DX218" i="24"/>
  <c r="EE218" i="24" s="1"/>
  <c r="DX270" i="24"/>
  <c r="EE270" i="24" s="1"/>
  <c r="DX224" i="24"/>
  <c r="EE224" i="24" s="1"/>
  <c r="DX228" i="24"/>
  <c r="EE228" i="24" s="1"/>
  <c r="DX262" i="24"/>
  <c r="EE262" i="24" s="1"/>
  <c r="DX294" i="24"/>
  <c r="EE294" i="24" s="1"/>
  <c r="DX316" i="24"/>
  <c r="EE316" i="24" s="1"/>
  <c r="DX311" i="24"/>
  <c r="EE311" i="24" s="1"/>
  <c r="DX221" i="24"/>
  <c r="EE221" i="24" s="1"/>
  <c r="DX291" i="24"/>
  <c r="EE291" i="24" s="1"/>
  <c r="DX277" i="24"/>
  <c r="EE277" i="24" s="1"/>
  <c r="DX250" i="24"/>
  <c r="EE250" i="24" s="1"/>
  <c r="DX288" i="24"/>
  <c r="EE288" i="24" s="1"/>
  <c r="DX253" i="24"/>
  <c r="EE253" i="24" s="1"/>
  <c r="DX267" i="24"/>
  <c r="EE267" i="24" s="1"/>
  <c r="DX293" i="24"/>
  <c r="EE293" i="24" s="1"/>
  <c r="DX304" i="24"/>
  <c r="EE304" i="24" s="1"/>
  <c r="DX285" i="24"/>
  <c r="EE285" i="24" s="1"/>
  <c r="DX306" i="24"/>
  <c r="EE306" i="24" s="1"/>
  <c r="DX299" i="24"/>
  <c r="EE299" i="24" s="1"/>
  <c r="EJ229" i="25"/>
  <c r="EK229" i="25"/>
  <c r="EN229" i="25" s="1"/>
  <c r="EY229" i="25"/>
  <c r="FA229" i="25"/>
  <c r="EL229" i="25"/>
  <c r="EJ228" i="25"/>
  <c r="EY228" i="25"/>
  <c r="EK228" i="25"/>
  <c r="EN228" i="25" s="1"/>
  <c r="FA228" i="25"/>
  <c r="EL228" i="25"/>
  <c r="EJ270" i="25"/>
  <c r="FA270" i="25"/>
  <c r="EK270" i="25"/>
  <c r="EN270" i="25" s="1"/>
  <c r="EY270" i="25"/>
  <c r="EL270" i="25"/>
  <c r="EJ284" i="25"/>
  <c r="EY284" i="25"/>
  <c r="EK284" i="25"/>
  <c r="EN284" i="25" s="1"/>
  <c r="FA284" i="25"/>
  <c r="EL284" i="25"/>
  <c r="EJ294" i="25"/>
  <c r="FA294" i="25"/>
  <c r="EY294" i="25"/>
  <c r="EK294" i="25"/>
  <c r="EN294" i="25" s="1"/>
  <c r="EL294" i="25"/>
  <c r="EJ276" i="25"/>
  <c r="EY276" i="25"/>
  <c r="EK276" i="25"/>
  <c r="EN276" i="25" s="1"/>
  <c r="FA276" i="25"/>
  <c r="EL276" i="25"/>
  <c r="EY303" i="25"/>
  <c r="EJ303" i="25"/>
  <c r="FA303" i="25"/>
  <c r="EK303" i="25"/>
  <c r="EN303" i="25" s="1"/>
  <c r="EL303" i="25"/>
  <c r="EJ234" i="25"/>
  <c r="EY234" i="25"/>
  <c r="EK234" i="25"/>
  <c r="EN234" i="25" s="1"/>
  <c r="FA234" i="25"/>
  <c r="EL234" i="25"/>
  <c r="EY247" i="25"/>
  <c r="EJ247" i="25"/>
  <c r="FA247" i="25"/>
  <c r="EK247" i="25"/>
  <c r="EN247" i="25" s="1"/>
  <c r="EL247" i="25"/>
  <c r="EK242" i="25"/>
  <c r="EN242" i="25" s="1"/>
  <c r="EY242" i="25"/>
  <c r="FA242" i="25"/>
  <c r="EJ242" i="25"/>
  <c r="EL242" i="25"/>
  <c r="EJ296" i="25"/>
  <c r="EK296" i="25"/>
  <c r="EN296" i="25" s="1"/>
  <c r="EY296" i="25"/>
  <c r="FA296" i="25"/>
  <c r="EL296" i="25"/>
  <c r="EJ227" i="25"/>
  <c r="EK227" i="25"/>
  <c r="EN227" i="25" s="1"/>
  <c r="EY227" i="25"/>
  <c r="FA227" i="25"/>
  <c r="EL227" i="25"/>
  <c r="EJ219" i="25"/>
  <c r="EK219" i="25"/>
  <c r="EN219" i="25" s="1"/>
  <c r="EY219" i="25"/>
  <c r="FA219" i="25"/>
  <c r="EL219" i="25"/>
  <c r="EJ226" i="25"/>
  <c r="EK226" i="25"/>
  <c r="EN226" i="25" s="1"/>
  <c r="EY226" i="25"/>
  <c r="FA226" i="25"/>
  <c r="EL226" i="25"/>
  <c r="EJ258" i="25"/>
  <c r="EY258" i="25"/>
  <c r="FA258" i="25"/>
  <c r="EK258" i="25"/>
  <c r="EN258" i="25" s="1"/>
  <c r="EL258" i="25"/>
  <c r="EJ235" i="25"/>
  <c r="EK235" i="25"/>
  <c r="EN235" i="25" s="1"/>
  <c r="EY235" i="25"/>
  <c r="FA235" i="25"/>
  <c r="EL235" i="25"/>
  <c r="EY249" i="25"/>
  <c r="EJ249" i="25"/>
  <c r="FA249" i="25"/>
  <c r="EK249" i="25"/>
  <c r="EN249" i="25" s="1"/>
  <c r="EL249" i="25"/>
  <c r="EJ240" i="25"/>
  <c r="EK240" i="25"/>
  <c r="EN240" i="25" s="1"/>
  <c r="EY240" i="25"/>
  <c r="FA240" i="25"/>
  <c r="EL240" i="25"/>
  <c r="EJ313" i="25"/>
  <c r="EY313" i="25"/>
  <c r="EK313" i="25"/>
  <c r="EN313" i="25" s="1"/>
  <c r="FA313" i="25"/>
  <c r="EL313" i="25"/>
  <c r="EJ304" i="25"/>
  <c r="EK304" i="25"/>
  <c r="EN304" i="25" s="1"/>
  <c r="EY304" i="25"/>
  <c r="FA304" i="25"/>
  <c r="EL304" i="25"/>
  <c r="EY256" i="25"/>
  <c r="FA256" i="25"/>
  <c r="EJ256" i="25"/>
  <c r="EK256" i="25"/>
  <c r="EN256" i="25" s="1"/>
  <c r="EL256" i="25"/>
  <c r="EY309" i="25"/>
  <c r="EJ309" i="25"/>
  <c r="FA309" i="25"/>
  <c r="EK309" i="25"/>
  <c r="EN309" i="25" s="1"/>
  <c r="EL309" i="25"/>
  <c r="EJ245" i="25"/>
  <c r="EY245" i="25"/>
  <c r="EK245" i="25"/>
  <c r="EN245" i="25" s="1"/>
  <c r="FA245" i="25"/>
  <c r="EL245" i="25"/>
  <c r="EK278" i="25"/>
  <c r="EN278" i="25" s="1"/>
  <c r="FA278" i="25"/>
  <c r="EY278" i="25"/>
  <c r="EJ278" i="25"/>
  <c r="EL278" i="25"/>
  <c r="EJ243" i="25"/>
  <c r="EK243" i="25"/>
  <c r="EN243" i="25" s="1"/>
  <c r="EY243" i="25"/>
  <c r="FA243" i="25"/>
  <c r="EL243" i="25"/>
  <c r="EY246" i="25"/>
  <c r="EJ246" i="25"/>
  <c r="FA246" i="25"/>
  <c r="EK246" i="25"/>
  <c r="EN246" i="25" s="1"/>
  <c r="EL246" i="25"/>
  <c r="EK230" i="25"/>
  <c r="EN230" i="25" s="1"/>
  <c r="FA230" i="25"/>
  <c r="EJ230" i="25"/>
  <c r="EY230" i="25"/>
  <c r="EL230" i="25"/>
  <c r="EY316" i="25"/>
  <c r="EJ316" i="25"/>
  <c r="FA316" i="25"/>
  <c r="EK316" i="25"/>
  <c r="EN316" i="25" s="1"/>
  <c r="EL316" i="25"/>
  <c r="EJ241" i="25"/>
  <c r="EY241" i="25"/>
  <c r="EK241" i="25"/>
  <c r="EN241" i="25" s="1"/>
  <c r="FA241" i="25"/>
  <c r="EL241" i="25"/>
  <c r="EJ291" i="25"/>
  <c r="EY291" i="25"/>
  <c r="EK291" i="25"/>
  <c r="EN291" i="25" s="1"/>
  <c r="FA291" i="25"/>
  <c r="EL291" i="25"/>
  <c r="FA297" i="25"/>
  <c r="EJ297" i="25"/>
  <c r="EK297" i="25"/>
  <c r="EN297" i="25" s="1"/>
  <c r="EY297" i="25"/>
  <c r="EL297" i="25"/>
  <c r="EJ306" i="25"/>
  <c r="EY306" i="25"/>
  <c r="EK306" i="25"/>
  <c r="EN306" i="25" s="1"/>
  <c r="FA306" i="25"/>
  <c r="EL306" i="25"/>
  <c r="EK248" i="25"/>
  <c r="EN248" i="25" s="1"/>
  <c r="EY248" i="25"/>
  <c r="FA248" i="25"/>
  <c r="EJ248" i="25"/>
  <c r="EL248" i="25"/>
  <c r="EJ310" i="25"/>
  <c r="EK310" i="25"/>
  <c r="EN310" i="25" s="1"/>
  <c r="EY310" i="25"/>
  <c r="FA310" i="25"/>
  <c r="EL310" i="25"/>
  <c r="EY255" i="25"/>
  <c r="EJ255" i="25"/>
  <c r="FA255" i="25"/>
  <c r="EK255" i="25"/>
  <c r="EN255" i="25" s="1"/>
  <c r="EL255" i="25"/>
  <c r="EJ298" i="25"/>
  <c r="EY298" i="25"/>
  <c r="EK298" i="25"/>
  <c r="EN298" i="25" s="1"/>
  <c r="FA298" i="25"/>
  <c r="EL298" i="25"/>
  <c r="EK283" i="25"/>
  <c r="EN283" i="25" s="1"/>
  <c r="FA283" i="25"/>
  <c r="EY283" i="25"/>
  <c r="EJ283" i="25"/>
  <c r="EL283" i="25"/>
  <c r="EJ221" i="25"/>
  <c r="EK221" i="25"/>
  <c r="EN221" i="25" s="1"/>
  <c r="EY221" i="25"/>
  <c r="FA221" i="25"/>
  <c r="EL221" i="25"/>
  <c r="EJ237" i="25"/>
  <c r="EY237" i="25"/>
  <c r="EK237" i="25"/>
  <c r="EN237" i="25" s="1"/>
  <c r="FA237" i="25"/>
  <c r="EL237" i="25"/>
  <c r="EJ272" i="25"/>
  <c r="EK272" i="25"/>
  <c r="EN272" i="25" s="1"/>
  <c r="EY272" i="25"/>
  <c r="FA272" i="25"/>
  <c r="EL272" i="25"/>
  <c r="EJ266" i="25"/>
  <c r="EY266" i="25"/>
  <c r="EK266" i="25"/>
  <c r="EN266" i="25" s="1"/>
  <c r="FA266" i="25"/>
  <c r="EL266" i="25"/>
  <c r="EJ223" i="25"/>
  <c r="FA223" i="25"/>
  <c r="EK223" i="25"/>
  <c r="EN223" i="25" s="1"/>
  <c r="EY223" i="25"/>
  <c r="EL223" i="25"/>
  <c r="EJ305" i="25"/>
  <c r="EY305" i="25"/>
  <c r="EK305" i="25"/>
  <c r="EN305" i="25" s="1"/>
  <c r="FA305" i="25"/>
  <c r="EL305" i="25"/>
  <c r="EY238" i="25"/>
  <c r="EJ238" i="25"/>
  <c r="FA238" i="25"/>
  <c r="EK238" i="25"/>
  <c r="EN238" i="25" s="1"/>
  <c r="EL238" i="25"/>
  <c r="EJ293" i="25"/>
  <c r="EY293" i="25"/>
  <c r="EK293" i="25"/>
  <c r="EN293" i="25" s="1"/>
  <c r="FA293" i="25"/>
  <c r="EL293" i="25"/>
  <c r="EK271" i="25"/>
  <c r="EN271" i="25" s="1"/>
  <c r="EY271" i="25"/>
  <c r="EJ271" i="25"/>
  <c r="FA271" i="25"/>
  <c r="EL271" i="25"/>
  <c r="EK274" i="25"/>
  <c r="EN274" i="25" s="1"/>
  <c r="FA274" i="25"/>
  <c r="EJ274" i="25"/>
  <c r="EY274" i="25"/>
  <c r="EL274" i="25"/>
  <c r="EJ285" i="25"/>
  <c r="EY285" i="25"/>
  <c r="EK285" i="25"/>
  <c r="EN285" i="25" s="1"/>
  <c r="FA285" i="25"/>
  <c r="EL285" i="25"/>
  <c r="EJ314" i="25"/>
  <c r="EY314" i="25"/>
  <c r="EK314" i="25"/>
  <c r="EN314" i="25" s="1"/>
  <c r="FA314" i="25"/>
  <c r="EL314" i="25"/>
  <c r="EY282" i="25"/>
  <c r="EJ282" i="25"/>
  <c r="FA282" i="25"/>
  <c r="EK282" i="25"/>
  <c r="EN282" i="25" s="1"/>
  <c r="EL282" i="25"/>
  <c r="FA267" i="25"/>
  <c r="EJ267" i="25"/>
  <c r="EK267" i="25"/>
  <c r="EN267" i="25" s="1"/>
  <c r="EY267" i="25"/>
  <c r="EL267" i="25"/>
  <c r="EK292" i="25"/>
  <c r="EN292" i="25" s="1"/>
  <c r="FA292" i="25"/>
  <c r="EJ292" i="25"/>
  <c r="EY292" i="25"/>
  <c r="EL292" i="25"/>
  <c r="EK281" i="25"/>
  <c r="EN281" i="25" s="1"/>
  <c r="EY281" i="25"/>
  <c r="FA281" i="25"/>
  <c r="EJ281" i="25"/>
  <c r="EL281" i="25"/>
  <c r="EY239" i="25"/>
  <c r="EJ239" i="25"/>
  <c r="FA239" i="25"/>
  <c r="EK239" i="25"/>
  <c r="EN239" i="25" s="1"/>
  <c r="EL239" i="25"/>
  <c r="EJ222" i="25"/>
  <c r="EK222" i="25"/>
  <c r="EN222" i="25" s="1"/>
  <c r="EY222" i="25"/>
  <c r="FA222" i="25"/>
  <c r="EL222" i="25"/>
  <c r="EJ250" i="25"/>
  <c r="EY250" i="25"/>
  <c r="EK250" i="25"/>
  <c r="EN250" i="25" s="1"/>
  <c r="FA250" i="25"/>
  <c r="EL250" i="25"/>
  <c r="EJ252" i="25"/>
  <c r="EY252" i="25"/>
  <c r="EK252" i="25"/>
  <c r="EN252" i="25" s="1"/>
  <c r="FA252" i="25"/>
  <c r="EL252" i="25"/>
  <c r="EK311" i="25"/>
  <c r="EN311" i="25" s="1"/>
  <c r="FA311" i="25"/>
  <c r="EJ311" i="25"/>
  <c r="EY311" i="25"/>
  <c r="EL311" i="25"/>
  <c r="EJ312" i="25"/>
  <c r="EK312" i="25"/>
  <c r="EN312" i="25" s="1"/>
  <c r="EY312" i="25"/>
  <c r="FA312" i="25"/>
  <c r="EL312" i="25"/>
  <c r="EY257" i="25"/>
  <c r="EJ257" i="25"/>
  <c r="FA257" i="25"/>
  <c r="EK257" i="25"/>
  <c r="EN257" i="25" s="1"/>
  <c r="EL257" i="25"/>
  <c r="EJ307" i="25"/>
  <c r="EY307" i="25"/>
  <c r="EK307" i="25"/>
  <c r="EN307" i="25" s="1"/>
  <c r="FA307" i="25"/>
  <c r="EL307" i="25"/>
  <c r="FA289" i="25"/>
  <c r="EJ289" i="25"/>
  <c r="EK289" i="25"/>
  <c r="EN289" i="25" s="1"/>
  <c r="EY289" i="25"/>
  <c r="EL289" i="25"/>
  <c r="EY308" i="25"/>
  <c r="EJ308" i="25"/>
  <c r="FA308" i="25"/>
  <c r="EK308" i="25"/>
  <c r="EN308" i="25" s="1"/>
  <c r="EL308" i="25"/>
  <c r="EJ269" i="25"/>
  <c r="EY269" i="25"/>
  <c r="EK269" i="25"/>
  <c r="EN269" i="25" s="1"/>
  <c r="FA269" i="25"/>
  <c r="EL269" i="25"/>
  <c r="EJ290" i="25"/>
  <c r="EY290" i="25"/>
  <c r="EK290" i="25"/>
  <c r="EN290" i="25" s="1"/>
  <c r="FA290" i="25"/>
  <c r="EL290" i="25"/>
  <c r="EJ251" i="25"/>
  <c r="EK251" i="25"/>
  <c r="EN251" i="25" s="1"/>
  <c r="EY251" i="25"/>
  <c r="FA251" i="25"/>
  <c r="EL251" i="25"/>
  <c r="EK233" i="25"/>
  <c r="EN233" i="25" s="1"/>
  <c r="EY233" i="25"/>
  <c r="EJ233" i="25"/>
  <c r="FA233" i="25"/>
  <c r="EL233" i="25"/>
  <c r="EY220" i="25"/>
  <c r="EJ220" i="25"/>
  <c r="FA220" i="25"/>
  <c r="EK220" i="25"/>
  <c r="EN220" i="25" s="1"/>
  <c r="EL220" i="25"/>
  <c r="EK286" i="25"/>
  <c r="EN286" i="25" s="1"/>
  <c r="EY286" i="25"/>
  <c r="FA286" i="25"/>
  <c r="EJ286" i="25"/>
  <c r="EL286" i="25"/>
  <c r="EJ315" i="25"/>
  <c r="EY315" i="25"/>
  <c r="EK315" i="25"/>
  <c r="EN315" i="25" s="1"/>
  <c r="FA315" i="25"/>
  <c r="EL315" i="25"/>
  <c r="EK244" i="25"/>
  <c r="EN244" i="25" s="1"/>
  <c r="FA244" i="25"/>
  <c r="EJ244" i="25"/>
  <c r="EY244" i="25"/>
  <c r="EL244" i="25"/>
  <c r="EY231" i="25"/>
  <c r="EJ231" i="25"/>
  <c r="FA231" i="25"/>
  <c r="EK231" i="25"/>
  <c r="EN231" i="25" s="1"/>
  <c r="EL231" i="25"/>
  <c r="EJ217" i="25"/>
  <c r="EY217" i="25"/>
  <c r="EK217" i="25"/>
  <c r="EN217" i="25" s="1"/>
  <c r="FA217" i="25"/>
  <c r="EL217" i="25"/>
  <c r="EJ301" i="25"/>
  <c r="EY301" i="25"/>
  <c r="EK301" i="25"/>
  <c r="EN301" i="25" s="1"/>
  <c r="FA301" i="25"/>
  <c r="EL301" i="25"/>
  <c r="EJ277" i="25"/>
  <c r="EK277" i="25"/>
  <c r="EN277" i="25" s="1"/>
  <c r="EY277" i="25"/>
  <c r="FA277" i="25"/>
  <c r="EL277" i="25"/>
  <c r="EJ232" i="25"/>
  <c r="EK232" i="25"/>
  <c r="EN232" i="25" s="1"/>
  <c r="EY232" i="25"/>
  <c r="FA232" i="25"/>
  <c r="EL232" i="25"/>
  <c r="EY260" i="25"/>
  <c r="EJ260" i="25"/>
  <c r="FA260" i="25"/>
  <c r="EK260" i="25"/>
  <c r="EN260" i="25" s="1"/>
  <c r="EL260" i="25"/>
  <c r="EJ300" i="25"/>
  <c r="EY300" i="25"/>
  <c r="EK300" i="25"/>
  <c r="EN300" i="25" s="1"/>
  <c r="FA300" i="25"/>
  <c r="EL300" i="25"/>
  <c r="EJ225" i="25"/>
  <c r="EK225" i="25"/>
  <c r="EN225" i="25" s="1"/>
  <c r="EY225" i="25"/>
  <c r="FA225" i="25"/>
  <c r="EL225" i="25"/>
  <c r="EJ287" i="25"/>
  <c r="EY287" i="25"/>
  <c r="EK287" i="25"/>
  <c r="EN287" i="25" s="1"/>
  <c r="FA287" i="25"/>
  <c r="EL287" i="25"/>
  <c r="EK273" i="25"/>
  <c r="EN273" i="25" s="1"/>
  <c r="FA273" i="25"/>
  <c r="EY273" i="25"/>
  <c r="EJ273" i="25"/>
  <c r="EL273" i="25"/>
  <c r="EK295" i="25"/>
  <c r="EN295" i="25" s="1"/>
  <c r="EY295" i="25"/>
  <c r="FA295" i="25"/>
  <c r="EJ295" i="25"/>
  <c r="EL295" i="25"/>
  <c r="EK261" i="25"/>
  <c r="EN261" i="25" s="1"/>
  <c r="EY261" i="25"/>
  <c r="FA261" i="25"/>
  <c r="EJ261" i="25"/>
  <c r="EL261" i="25"/>
  <c r="EK259" i="25"/>
  <c r="EN259" i="25" s="1"/>
  <c r="EY259" i="25"/>
  <c r="FA259" i="25"/>
  <c r="EJ259" i="25"/>
  <c r="EL259" i="25"/>
  <c r="EK302" i="25"/>
  <c r="EN302" i="25" s="1"/>
  <c r="EY302" i="25"/>
  <c r="FA302" i="25"/>
  <c r="EJ302" i="25"/>
  <c r="EL302" i="25"/>
  <c r="EY265" i="25"/>
  <c r="EJ265" i="25"/>
  <c r="FA265" i="25"/>
  <c r="EK265" i="25"/>
  <c r="EN265" i="25" s="1"/>
  <c r="EL265" i="25"/>
  <c r="EJ280" i="25"/>
  <c r="FA280" i="25"/>
  <c r="EY280" i="25"/>
  <c r="EK280" i="25"/>
  <c r="EN280" i="25" s="1"/>
  <c r="EL280" i="25"/>
  <c r="EK299" i="25"/>
  <c r="EN299" i="25" s="1"/>
  <c r="EY299" i="25"/>
  <c r="FA299" i="25"/>
  <c r="EJ299" i="25"/>
  <c r="EL299" i="25"/>
  <c r="EJ224" i="25"/>
  <c r="EK224" i="25"/>
  <c r="EN224" i="25" s="1"/>
  <c r="EY224" i="25"/>
  <c r="FA224" i="25"/>
  <c r="EL224" i="25"/>
  <c r="EK264" i="25"/>
  <c r="EN264" i="25" s="1"/>
  <c r="EY264" i="25"/>
  <c r="FA264" i="25"/>
  <c r="EJ264" i="25"/>
  <c r="EL264" i="25"/>
  <c r="EJ262" i="25"/>
  <c r="EY262" i="25"/>
  <c r="EK262" i="25"/>
  <c r="EN262" i="25" s="1"/>
  <c r="FA262" i="25"/>
  <c r="EL262" i="25"/>
  <c r="FA253" i="25"/>
  <c r="EJ253" i="25"/>
  <c r="EK253" i="25"/>
  <c r="EN253" i="25" s="1"/>
  <c r="EY253" i="25"/>
  <c r="EL253" i="25"/>
  <c r="EJ279" i="25"/>
  <c r="EK279" i="25"/>
  <c r="EN279" i="25" s="1"/>
  <c r="EY279" i="25"/>
  <c r="FA279" i="25"/>
  <c r="EL279" i="25"/>
  <c r="EJ288" i="25"/>
  <c r="EK288" i="25"/>
  <c r="EN288" i="25" s="1"/>
  <c r="EY288" i="25"/>
  <c r="FA288" i="25"/>
  <c r="EL288" i="25"/>
  <c r="EJ218" i="25"/>
  <c r="EY218" i="25"/>
  <c r="EK218" i="25"/>
  <c r="EN218" i="25" s="1"/>
  <c r="FA218" i="25"/>
  <c r="EL218" i="25"/>
  <c r="EJ236" i="25"/>
  <c r="EY236" i="25"/>
  <c r="EK236" i="25"/>
  <c r="EN236" i="25" s="1"/>
  <c r="FA236" i="25"/>
  <c r="EL236" i="25"/>
  <c r="EJ275" i="25"/>
  <c r="EK275" i="25"/>
  <c r="EN275" i="25" s="1"/>
  <c r="EY275" i="25"/>
  <c r="FA275" i="25"/>
  <c r="EL275" i="25"/>
  <c r="EY268" i="25"/>
  <c r="EJ268" i="25"/>
  <c r="FA268" i="25"/>
  <c r="EK268" i="25"/>
  <c r="EN268" i="25" s="1"/>
  <c r="EL268" i="25"/>
  <c r="EY263" i="25"/>
  <c r="EJ263" i="25"/>
  <c r="FA263" i="25"/>
  <c r="EK263" i="25"/>
  <c r="EN263" i="25" s="1"/>
  <c r="EL263" i="25"/>
  <c r="EY254" i="25"/>
  <c r="EJ254" i="25"/>
  <c r="FA254" i="25"/>
  <c r="EK254" i="25"/>
  <c r="EN254" i="25" s="1"/>
  <c r="EL254" i="25"/>
  <c r="DQ216" i="25"/>
  <c r="DV216" i="25" s="1"/>
  <c r="EL112" i="25"/>
  <c r="DT112" i="25"/>
  <c r="EY112" i="25"/>
  <c r="EJ112" i="25"/>
  <c r="DV112" i="25"/>
  <c r="FA112" i="25"/>
  <c r="EK112" i="25"/>
  <c r="EN112" i="25" s="1"/>
  <c r="FA15" i="25"/>
  <c r="EY65" i="25"/>
  <c r="FA91" i="25"/>
  <c r="EY40" i="25"/>
  <c r="EY60" i="25"/>
  <c r="EY70" i="25"/>
  <c r="EY58" i="25"/>
  <c r="EY33" i="25"/>
  <c r="EJ81" i="25"/>
  <c r="EJ25" i="25"/>
  <c r="EY93" i="25"/>
  <c r="FA27" i="25"/>
  <c r="EY51" i="25"/>
  <c r="FA49" i="25"/>
  <c r="EJ86" i="25"/>
  <c r="EJ13" i="25"/>
  <c r="FA98" i="25"/>
  <c r="EJ99" i="25"/>
  <c r="FA59" i="25"/>
  <c r="FA72" i="25"/>
  <c r="EJ34" i="25"/>
  <c r="EJ92" i="25"/>
  <c r="EJ83" i="25"/>
  <c r="EJ87" i="25"/>
  <c r="EY38" i="25"/>
  <c r="EJ48" i="25"/>
  <c r="EY24" i="25"/>
  <c r="EJ78" i="25"/>
  <c r="EJ47" i="25"/>
  <c r="EY42" i="25"/>
  <c r="EJ17" i="25"/>
  <c r="EJ12" i="25"/>
  <c r="EY66" i="25"/>
  <c r="FA43" i="25"/>
  <c r="EY89" i="25"/>
  <c r="FA37" i="25"/>
  <c r="FA29" i="25"/>
  <c r="FA14" i="25"/>
  <c r="FA35" i="25"/>
  <c r="EJ73" i="25"/>
  <c r="EJ88" i="25"/>
  <c r="EJ80" i="25"/>
  <c r="EJ74" i="25"/>
  <c r="EY79" i="25"/>
  <c r="DX76" i="24"/>
  <c r="EE76" i="24" s="1"/>
  <c r="DX16" i="24"/>
  <c r="EE16" i="24" s="1"/>
  <c r="DZ66" i="24"/>
  <c r="DX78" i="24"/>
  <c r="EE78" i="24" s="1"/>
  <c r="DX75" i="24"/>
  <c r="EE75" i="24" s="1"/>
  <c r="DZ84" i="24"/>
  <c r="DZ86" i="24"/>
  <c r="DZ59" i="24"/>
  <c r="DZ22" i="24"/>
  <c r="EL183" i="25"/>
  <c r="DX18" i="24"/>
  <c r="EE18" i="24" s="1"/>
  <c r="DZ85" i="24"/>
  <c r="DX92" i="24"/>
  <c r="EE92" i="24" s="1"/>
  <c r="DX87" i="24"/>
  <c r="EE87" i="24" s="1"/>
  <c r="DX17" i="24"/>
  <c r="EE17" i="24" s="1"/>
  <c r="DZ82" i="24"/>
  <c r="DZ34" i="24"/>
  <c r="DZ51" i="24"/>
  <c r="DX45" i="24"/>
  <c r="EE45" i="24" s="1"/>
  <c r="FA81" i="25"/>
  <c r="EY81" i="25"/>
  <c r="DZ46" i="24"/>
  <c r="EK143" i="25"/>
  <c r="EN143" i="25" s="1"/>
  <c r="EJ72" i="25"/>
  <c r="EJ100" i="25"/>
  <c r="EY103" i="25"/>
  <c r="EY105" i="25"/>
  <c r="DZ38" i="24"/>
  <c r="EK183" i="25"/>
  <c r="EN183" i="25" s="1"/>
  <c r="DZ20" i="24"/>
  <c r="DR74" i="24"/>
  <c r="DR169" i="24"/>
  <c r="DU169" i="24" s="1"/>
  <c r="DZ32" i="24"/>
  <c r="DV183" i="25"/>
  <c r="DX183" i="25" s="1"/>
  <c r="EC183" i="25" s="1"/>
  <c r="EJ14" i="25"/>
  <c r="DX88" i="24"/>
  <c r="EE88" i="24" s="1"/>
  <c r="EY181" i="25"/>
  <c r="EJ168" i="25"/>
  <c r="DZ73" i="24"/>
  <c r="DX21" i="24"/>
  <c r="EE21" i="24" s="1"/>
  <c r="DX101" i="24"/>
  <c r="EE101" i="24" s="1"/>
  <c r="DZ72" i="24"/>
  <c r="FA193" i="25"/>
  <c r="EJ79" i="25"/>
  <c r="DX97" i="24"/>
  <c r="EE97" i="24" s="1"/>
  <c r="DX93" i="24"/>
  <c r="EE93" i="24" s="1"/>
  <c r="DZ90" i="24"/>
  <c r="DX57" i="24"/>
  <c r="EE57" i="24" s="1"/>
  <c r="EJ98" i="25"/>
  <c r="DZ19" i="24"/>
  <c r="DX95" i="24"/>
  <c r="EE95" i="24" s="1"/>
  <c r="DZ12" i="24"/>
  <c r="DX27" i="24"/>
  <c r="EE27" i="24" s="1"/>
  <c r="FA208" i="25"/>
  <c r="EY72" i="25"/>
  <c r="FA119" i="25"/>
  <c r="FA24" i="25"/>
  <c r="EJ24" i="25"/>
  <c r="EJ70" i="25"/>
  <c r="DY5" i="24"/>
  <c r="EF5" i="24" s="1"/>
  <c r="EA5" i="24"/>
  <c r="DR96" i="24"/>
  <c r="DY110" i="24"/>
  <c r="EF110" i="24" s="1"/>
  <c r="EA110" i="24"/>
  <c r="DR190" i="24"/>
  <c r="EY190" i="24" s="1"/>
  <c r="DR39" i="24"/>
  <c r="DR242" i="24"/>
  <c r="DR243" i="24"/>
  <c r="DW216" i="24"/>
  <c r="DU216" i="24"/>
  <c r="DR92" i="24"/>
  <c r="DT182" i="25"/>
  <c r="EY128" i="25"/>
  <c r="EY49" i="25"/>
  <c r="EJ137" i="25"/>
  <c r="DZ28" i="24"/>
  <c r="DZ74" i="24"/>
  <c r="DX105" i="24"/>
  <c r="EE105" i="24" s="1"/>
  <c r="DX7" i="24"/>
  <c r="EE7" i="24" s="1"/>
  <c r="EY98" i="25"/>
  <c r="EY35" i="25"/>
  <c r="EJ43" i="25"/>
  <c r="DZ49" i="24"/>
  <c r="FA70" i="25"/>
  <c r="DT138" i="25"/>
  <c r="DX56" i="24"/>
  <c r="EE56" i="24" s="1"/>
  <c r="EY138" i="25"/>
  <c r="DX11" i="24"/>
  <c r="EE11" i="24" s="1"/>
  <c r="EY78" i="25"/>
  <c r="DZ69" i="24"/>
  <c r="EJ33" i="25"/>
  <c r="EY119" i="25"/>
  <c r="FA173" i="25"/>
  <c r="DX9" i="24"/>
  <c r="EE9" i="24" s="1"/>
  <c r="EY173" i="25"/>
  <c r="EJ187" i="25"/>
  <c r="DO128" i="24"/>
  <c r="DR78" i="24"/>
  <c r="EY210" i="25"/>
  <c r="EJ105" i="25"/>
  <c r="EJ93" i="25"/>
  <c r="EJ121" i="25"/>
  <c r="FA79" i="25"/>
  <c r="EY121" i="25"/>
  <c r="EY48" i="25"/>
  <c r="EK182" i="25"/>
  <c r="EN182" i="25" s="1"/>
  <c r="EY14" i="25"/>
  <c r="FA38" i="25"/>
  <c r="DZ102" i="24"/>
  <c r="EY175" i="25"/>
  <c r="FA175" i="25"/>
  <c r="DX36" i="24"/>
  <c r="EE36" i="24" s="1"/>
  <c r="DZ96" i="24"/>
  <c r="DX64" i="24"/>
  <c r="EE64" i="24" s="1"/>
  <c r="DR90" i="24"/>
  <c r="EY92" i="25"/>
  <c r="FA210" i="25"/>
  <c r="EY86" i="25"/>
  <c r="DV143" i="25"/>
  <c r="DY143" i="25" s="1"/>
  <c r="CH143" i="25" s="1"/>
  <c r="DT73" i="25"/>
  <c r="FA86" i="25"/>
  <c r="EY191" i="25"/>
  <c r="EL73" i="25"/>
  <c r="EJ143" i="25"/>
  <c r="EY83" i="25"/>
  <c r="FA191" i="25"/>
  <c r="EK73" i="25"/>
  <c r="EN73" i="25" s="1"/>
  <c r="EY143" i="25"/>
  <c r="EL143" i="25"/>
  <c r="FA83" i="25"/>
  <c r="DV73" i="25"/>
  <c r="DX73" i="25" s="1"/>
  <c r="EC73" i="25" s="1"/>
  <c r="FA187" i="25"/>
  <c r="FA143" i="25"/>
  <c r="FA42" i="25"/>
  <c r="FA138" i="25"/>
  <c r="FA78" i="25"/>
  <c r="EL138" i="25"/>
  <c r="FA128" i="25"/>
  <c r="EJ199" i="25"/>
  <c r="EJ138" i="25"/>
  <c r="EK138" i="25"/>
  <c r="EN138" i="25" s="1"/>
  <c r="FA199" i="25"/>
  <c r="EY139" i="25"/>
  <c r="FA139" i="25"/>
  <c r="EY193" i="25"/>
  <c r="EJ40" i="25"/>
  <c r="EJ38" i="25"/>
  <c r="EY183" i="25"/>
  <c r="EJ183" i="25"/>
  <c r="FA183" i="25"/>
  <c r="DX182" i="25"/>
  <c r="EC182" i="25" s="1"/>
  <c r="DY182" i="25"/>
  <c r="FA58" i="25"/>
  <c r="FA181" i="25"/>
  <c r="EY182" i="25"/>
  <c r="EY99" i="25"/>
  <c r="EY47" i="25"/>
  <c r="EJ58" i="25"/>
  <c r="FA103" i="25"/>
  <c r="EJ182" i="25"/>
  <c r="FA99" i="25"/>
  <c r="FA47" i="25"/>
  <c r="DT181" i="25"/>
  <c r="FA105" i="25"/>
  <c r="EJ103" i="25"/>
  <c r="FA182" i="25"/>
  <c r="EK181" i="25"/>
  <c r="EN181" i="25" s="1"/>
  <c r="EL182" i="25"/>
  <c r="EY127" i="25"/>
  <c r="EL181" i="25"/>
  <c r="EJ208" i="25"/>
  <c r="DV181" i="25"/>
  <c r="DY181" i="25" s="1"/>
  <c r="EY168" i="25"/>
  <c r="FA171" i="25"/>
  <c r="FA100" i="25"/>
  <c r="FA34" i="25"/>
  <c r="EY25" i="25"/>
  <c r="FA33" i="25"/>
  <c r="FA40" i="25"/>
  <c r="EJ190" i="25"/>
  <c r="FA48" i="25"/>
  <c r="EY12" i="25"/>
  <c r="EJ59" i="25"/>
  <c r="EY100" i="25"/>
  <c r="EY34" i="25"/>
  <c r="FA25" i="25"/>
  <c r="EY59" i="25"/>
  <c r="FA17" i="25"/>
  <c r="EY147" i="25"/>
  <c r="EY17" i="25"/>
  <c r="FA147" i="25"/>
  <c r="EJ27" i="25"/>
  <c r="EY27" i="25"/>
  <c r="EJ15" i="25"/>
  <c r="EY158" i="25"/>
  <c r="EY73" i="25"/>
  <c r="FA73" i="25"/>
  <c r="EY15" i="25"/>
  <c r="EJ127" i="25"/>
  <c r="FA158" i="25"/>
  <c r="DV180" i="25"/>
  <c r="DX180" i="25" s="1"/>
  <c r="EC180" i="25" s="1"/>
  <c r="EK180" i="25"/>
  <c r="EN180" i="25" s="1"/>
  <c r="EL180" i="25"/>
  <c r="DT180" i="25"/>
  <c r="EJ180" i="25"/>
  <c r="FA180" i="25"/>
  <c r="EY180" i="25"/>
  <c r="DV223" i="25"/>
  <c r="DT223" i="25"/>
  <c r="DV141" i="25"/>
  <c r="DX141" i="25" s="1"/>
  <c r="EC141" i="25" s="1"/>
  <c r="EK141" i="25"/>
  <c r="EN141" i="25" s="1"/>
  <c r="EL141" i="25"/>
  <c r="DT141" i="25"/>
  <c r="FA141" i="25"/>
  <c r="EY141" i="25"/>
  <c r="EJ141" i="25"/>
  <c r="DV258" i="25"/>
  <c r="DT258" i="25"/>
  <c r="DV129" i="25"/>
  <c r="DX129" i="25" s="1"/>
  <c r="EC129" i="25" s="1"/>
  <c r="EL129" i="25"/>
  <c r="EK129" i="25"/>
  <c r="EN129" i="25" s="1"/>
  <c r="DT129" i="25"/>
  <c r="FA129" i="25"/>
  <c r="EY129" i="25"/>
  <c r="EJ129" i="25"/>
  <c r="DV164" i="25"/>
  <c r="DX164" i="25" s="1"/>
  <c r="EC164" i="25" s="1"/>
  <c r="EL164" i="25"/>
  <c r="EK164" i="25"/>
  <c r="EN164" i="25" s="1"/>
  <c r="DT164" i="25"/>
  <c r="FA164" i="25"/>
  <c r="EY164" i="25"/>
  <c r="EJ164" i="25"/>
  <c r="DV101" i="25"/>
  <c r="EL101" i="25"/>
  <c r="EK101" i="25"/>
  <c r="EN101" i="25" s="1"/>
  <c r="EJ101" i="25"/>
  <c r="FA101" i="25"/>
  <c r="EY101" i="25"/>
  <c r="EB17" i="25"/>
  <c r="EA17" i="25"/>
  <c r="DV169" i="25"/>
  <c r="DX169" i="25" s="1"/>
  <c r="EC169" i="25" s="1"/>
  <c r="EK169" i="25"/>
  <c r="EN169" i="25" s="1"/>
  <c r="EL169" i="25"/>
  <c r="DT169" i="25"/>
  <c r="EJ169" i="25"/>
  <c r="DV301" i="25"/>
  <c r="DT301" i="25"/>
  <c r="EY169" i="25"/>
  <c r="DV63" i="25"/>
  <c r="EK63" i="25"/>
  <c r="EN63" i="25" s="1"/>
  <c r="EL63" i="25"/>
  <c r="DT63" i="25"/>
  <c r="EY63" i="25"/>
  <c r="EJ63" i="25"/>
  <c r="FA63" i="25"/>
  <c r="DV231" i="25"/>
  <c r="DT231" i="25"/>
  <c r="DV104" i="25"/>
  <c r="EK104" i="25"/>
  <c r="EN104" i="25" s="1"/>
  <c r="EL104" i="25"/>
  <c r="FA104" i="25"/>
  <c r="EJ104" i="25"/>
  <c r="EY104" i="25"/>
  <c r="EB193" i="25"/>
  <c r="EA193" i="25"/>
  <c r="DV136" i="25"/>
  <c r="DX136" i="25" s="1"/>
  <c r="EC136" i="25" s="1"/>
  <c r="EL136" i="25"/>
  <c r="EK136" i="25"/>
  <c r="EN136" i="25" s="1"/>
  <c r="DT136" i="25"/>
  <c r="EY136" i="25"/>
  <c r="EJ136" i="25"/>
  <c r="FA136" i="25"/>
  <c r="FA169" i="25"/>
  <c r="DV44" i="25"/>
  <c r="EL44" i="25"/>
  <c r="EK44" i="25"/>
  <c r="EN44" i="25" s="1"/>
  <c r="DT44" i="25"/>
  <c r="EY44" i="25"/>
  <c r="EJ44" i="25"/>
  <c r="FA44" i="25"/>
  <c r="DV23" i="25"/>
  <c r="DX23" i="25" s="1"/>
  <c r="EC23" i="25" s="1"/>
  <c r="EK23" i="25"/>
  <c r="EN23" i="25" s="1"/>
  <c r="EL23" i="25"/>
  <c r="DT23" i="25"/>
  <c r="EY23" i="25"/>
  <c r="EJ23" i="25"/>
  <c r="FA23" i="25"/>
  <c r="DV97" i="25"/>
  <c r="DX97" i="25" s="1"/>
  <c r="EC97" i="25" s="1"/>
  <c r="EL97" i="25"/>
  <c r="EK97" i="25"/>
  <c r="EN97" i="25" s="1"/>
  <c r="EJ97" i="25"/>
  <c r="FA97" i="25"/>
  <c r="EY97" i="25"/>
  <c r="DV203" i="25"/>
  <c r="DX203" i="25" s="1"/>
  <c r="EC203" i="25" s="1"/>
  <c r="EK203" i="25"/>
  <c r="EN203" i="25" s="1"/>
  <c r="EL203" i="25"/>
  <c r="EJ203" i="25"/>
  <c r="FA203" i="25"/>
  <c r="EY203" i="25"/>
  <c r="DV194" i="25"/>
  <c r="DX194" i="25" s="1"/>
  <c r="EC194" i="25" s="1"/>
  <c r="EK194" i="25"/>
  <c r="EN194" i="25" s="1"/>
  <c r="EL194" i="25"/>
  <c r="FA194" i="25"/>
  <c r="EY194" i="25"/>
  <c r="EJ194" i="25"/>
  <c r="DV93" i="25"/>
  <c r="DX93" i="25" s="1"/>
  <c r="EC93" i="25" s="1"/>
  <c r="EL93" i="25"/>
  <c r="EK93" i="25"/>
  <c r="EN93" i="25" s="1"/>
  <c r="FA93" i="25"/>
  <c r="DV219" i="25"/>
  <c r="DT219" i="25"/>
  <c r="DV77" i="25"/>
  <c r="DX77" i="25" s="1"/>
  <c r="EC77" i="25" s="1"/>
  <c r="EL77" i="25"/>
  <c r="EK77" i="25"/>
  <c r="EN77" i="25" s="1"/>
  <c r="DT77" i="25"/>
  <c r="EB93" i="25"/>
  <c r="EA93" i="25"/>
  <c r="DV307" i="25"/>
  <c r="DT307" i="25"/>
  <c r="EB210" i="25"/>
  <c r="EA210" i="25"/>
  <c r="EB100" i="25"/>
  <c r="EA100" i="25"/>
  <c r="DV297" i="25"/>
  <c r="DT297" i="25"/>
  <c r="DV90" i="25"/>
  <c r="DX90" i="25" s="1"/>
  <c r="EC90" i="25" s="1"/>
  <c r="EK90" i="25"/>
  <c r="EN90" i="25" s="1"/>
  <c r="EL90" i="25"/>
  <c r="DT90" i="25"/>
  <c r="DV269" i="25"/>
  <c r="DT269" i="25"/>
  <c r="EB72" i="25"/>
  <c r="EA72" i="25"/>
  <c r="DV56" i="25"/>
  <c r="DX56" i="25" s="1"/>
  <c r="EC56" i="25" s="1"/>
  <c r="EK56" i="25"/>
  <c r="EN56" i="25" s="1"/>
  <c r="EL56" i="25"/>
  <c r="DT56" i="25"/>
  <c r="DV253" i="25"/>
  <c r="DT253" i="25"/>
  <c r="EB70" i="25"/>
  <c r="EA70" i="25"/>
  <c r="DV146" i="25"/>
  <c r="EK146" i="25"/>
  <c r="EN146" i="25" s="1"/>
  <c r="EL146" i="25"/>
  <c r="DT146" i="25"/>
  <c r="EY146" i="25"/>
  <c r="EJ146" i="25"/>
  <c r="FA146" i="25"/>
  <c r="EB208" i="25"/>
  <c r="EA208" i="25"/>
  <c r="FA87" i="25"/>
  <c r="EB169" i="25"/>
  <c r="EA169" i="25"/>
  <c r="DV160" i="25"/>
  <c r="EK160" i="25"/>
  <c r="EN160" i="25" s="1"/>
  <c r="EL160" i="25"/>
  <c r="DT160" i="25"/>
  <c r="EJ160" i="25"/>
  <c r="FA160" i="25"/>
  <c r="EY160" i="25"/>
  <c r="DV102" i="25"/>
  <c r="EK102" i="25"/>
  <c r="EN102" i="25" s="1"/>
  <c r="EL102" i="25"/>
  <c r="EJ102" i="25"/>
  <c r="FA102" i="25"/>
  <c r="EY102" i="25"/>
  <c r="DV52" i="25"/>
  <c r="EK52" i="25"/>
  <c r="EN52" i="25" s="1"/>
  <c r="EL52" i="25"/>
  <c r="DT52" i="25"/>
  <c r="EY52" i="25"/>
  <c r="EJ52" i="25"/>
  <c r="FA52" i="25"/>
  <c r="DV40" i="25"/>
  <c r="DX40" i="25" s="1"/>
  <c r="EC40" i="25" s="1"/>
  <c r="EK40" i="25"/>
  <c r="EN40" i="25" s="1"/>
  <c r="EL40" i="25"/>
  <c r="DT40" i="25"/>
  <c r="EB79" i="25"/>
  <c r="EA79" i="25"/>
  <c r="DV207" i="25"/>
  <c r="EL207" i="25"/>
  <c r="EK207" i="25"/>
  <c r="EN207" i="25" s="1"/>
  <c r="EY207" i="25"/>
  <c r="EJ207" i="25"/>
  <c r="FA207" i="25"/>
  <c r="FA92" i="25"/>
  <c r="EB119" i="25"/>
  <c r="EA119" i="25"/>
  <c r="EB141" i="25"/>
  <c r="EA141" i="25"/>
  <c r="DV64" i="25"/>
  <c r="DX64" i="25" s="1"/>
  <c r="EC64" i="25" s="1"/>
  <c r="EK64" i="25"/>
  <c r="EN64" i="25" s="1"/>
  <c r="EL64" i="25"/>
  <c r="DT64" i="25"/>
  <c r="DV255" i="25"/>
  <c r="DT255" i="25"/>
  <c r="DV70" i="25"/>
  <c r="DX70" i="25" s="1"/>
  <c r="EC70" i="25" s="1"/>
  <c r="EL70" i="25"/>
  <c r="EK70" i="25"/>
  <c r="EN70" i="25" s="1"/>
  <c r="DT70" i="25"/>
  <c r="DV236" i="25"/>
  <c r="DT236" i="25"/>
  <c r="DV58" i="25"/>
  <c r="DX58" i="25" s="1"/>
  <c r="EC58" i="25" s="1"/>
  <c r="EK58" i="25"/>
  <c r="EN58" i="25" s="1"/>
  <c r="EL58" i="25"/>
  <c r="DT58" i="25"/>
  <c r="EJ178" i="25"/>
  <c r="DV178" i="25"/>
  <c r="DX178" i="25" s="1"/>
  <c r="EC178" i="25" s="1"/>
  <c r="EK178" i="25"/>
  <c r="EN178" i="25" s="1"/>
  <c r="EL178" i="25"/>
  <c r="DT178" i="25"/>
  <c r="FA53" i="25"/>
  <c r="DV53" i="25"/>
  <c r="EK53" i="25"/>
  <c r="EN53" i="25" s="1"/>
  <c r="EL53" i="25"/>
  <c r="DT53" i="25"/>
  <c r="EY53" i="25"/>
  <c r="EJ53" i="25"/>
  <c r="EB66" i="25"/>
  <c r="EA66" i="25"/>
  <c r="DV173" i="25"/>
  <c r="DX173" i="25" s="1"/>
  <c r="EC173" i="25" s="1"/>
  <c r="EK173" i="25"/>
  <c r="EN173" i="25" s="1"/>
  <c r="EL173" i="25"/>
  <c r="DT173" i="25"/>
  <c r="DV298" i="25"/>
  <c r="DT298" i="25"/>
  <c r="DV303" i="25"/>
  <c r="DT303" i="25"/>
  <c r="EB190" i="25"/>
  <c r="EA190" i="25"/>
  <c r="DV96" i="25"/>
  <c r="DX96" i="25" s="1"/>
  <c r="EC96" i="25" s="1"/>
  <c r="EL96" i="25"/>
  <c r="EK96" i="25"/>
  <c r="EN96" i="25" s="1"/>
  <c r="DV295" i="25"/>
  <c r="DT295" i="25"/>
  <c r="DV117" i="25"/>
  <c r="EK117" i="25"/>
  <c r="EN117" i="25" s="1"/>
  <c r="EL117" i="25"/>
  <c r="DT117" i="25"/>
  <c r="EY117" i="25"/>
  <c r="FA117" i="25"/>
  <c r="EJ117" i="25"/>
  <c r="EB139" i="25"/>
  <c r="EA139" i="25"/>
  <c r="DV170" i="25"/>
  <c r="DX170" i="25" s="1"/>
  <c r="EC170" i="25" s="1"/>
  <c r="EL170" i="25"/>
  <c r="EK170" i="25"/>
  <c r="EN170" i="25" s="1"/>
  <c r="DT170" i="25"/>
  <c r="EB38" i="25"/>
  <c r="EA38" i="25"/>
  <c r="DV162" i="25"/>
  <c r="EL162" i="25"/>
  <c r="EK162" i="25"/>
  <c r="EN162" i="25" s="1"/>
  <c r="DT162" i="25"/>
  <c r="EY162" i="25"/>
  <c r="EJ162" i="25"/>
  <c r="FA162" i="25"/>
  <c r="DV61" i="25"/>
  <c r="EL61" i="25"/>
  <c r="EK61" i="25"/>
  <c r="EN61" i="25" s="1"/>
  <c r="DT61" i="25"/>
  <c r="EJ61" i="25"/>
  <c r="FA61" i="25"/>
  <c r="EY61" i="25"/>
  <c r="EB12" i="25"/>
  <c r="EA12" i="25"/>
  <c r="DV199" i="25"/>
  <c r="DX199" i="25" s="1"/>
  <c r="EC199" i="25" s="1"/>
  <c r="EL199" i="25"/>
  <c r="EK199" i="25"/>
  <c r="EN199" i="25" s="1"/>
  <c r="EY170" i="25"/>
  <c r="EY80" i="25"/>
  <c r="FA88" i="25"/>
  <c r="DV95" i="25"/>
  <c r="DX95" i="25" s="1"/>
  <c r="EC95" i="25" s="1"/>
  <c r="EK95" i="25"/>
  <c r="EN95" i="25" s="1"/>
  <c r="EL95" i="25"/>
  <c r="DV202" i="25"/>
  <c r="EL202" i="25"/>
  <c r="EK202" i="25"/>
  <c r="EN202" i="25" s="1"/>
  <c r="EY202" i="25"/>
  <c r="EJ202" i="25"/>
  <c r="FA202" i="25"/>
  <c r="EB45" i="25"/>
  <c r="EA45" i="25"/>
  <c r="DV171" i="25"/>
  <c r="DX171" i="25" s="1"/>
  <c r="EC171" i="25" s="1"/>
  <c r="EL171" i="25"/>
  <c r="EK171" i="25"/>
  <c r="EN171" i="25" s="1"/>
  <c r="DT171" i="25"/>
  <c r="DV316" i="25"/>
  <c r="DT316" i="25"/>
  <c r="EB143" i="25"/>
  <c r="EA143" i="25"/>
  <c r="DV159" i="25"/>
  <c r="EK159" i="25"/>
  <c r="EN159" i="25" s="1"/>
  <c r="EL159" i="25"/>
  <c r="DT159" i="25"/>
  <c r="EJ159" i="25"/>
  <c r="FA159" i="25"/>
  <c r="EY159" i="25"/>
  <c r="DV144" i="25"/>
  <c r="EL144" i="25"/>
  <c r="EK144" i="25"/>
  <c r="EN144" i="25" s="1"/>
  <c r="DT144" i="25"/>
  <c r="EY144" i="25"/>
  <c r="EJ144" i="25"/>
  <c r="FA144" i="25"/>
  <c r="DV242" i="25"/>
  <c r="DT242" i="25"/>
  <c r="EY91" i="25"/>
  <c r="DV81" i="25"/>
  <c r="DX81" i="25" s="1"/>
  <c r="EC81" i="25" s="1"/>
  <c r="EL81" i="25"/>
  <c r="EK81" i="25"/>
  <c r="EN81" i="25" s="1"/>
  <c r="DT81" i="25"/>
  <c r="DV34" i="25"/>
  <c r="DX34" i="25" s="1"/>
  <c r="EC34" i="25" s="1"/>
  <c r="EK34" i="25"/>
  <c r="EN34" i="25" s="1"/>
  <c r="EL34" i="25"/>
  <c r="DT34" i="25"/>
  <c r="EJ200" i="25"/>
  <c r="EY137" i="25"/>
  <c r="DV137" i="25"/>
  <c r="DX137" i="25" s="1"/>
  <c r="EC137" i="25" s="1"/>
  <c r="EK137" i="25"/>
  <c r="EN137" i="25" s="1"/>
  <c r="EL137" i="25"/>
  <c r="DT137" i="25"/>
  <c r="DV8" i="25"/>
  <c r="EK8" i="25"/>
  <c r="EN8" i="25" s="1"/>
  <c r="EL8" i="25"/>
  <c r="DT8" i="25"/>
  <c r="FA8" i="25"/>
  <c r="EY8" i="25"/>
  <c r="EJ8" i="25"/>
  <c r="DV226" i="25"/>
  <c r="DT226" i="25"/>
  <c r="DV74" i="25"/>
  <c r="DX74" i="25" s="1"/>
  <c r="EC74" i="25" s="1"/>
  <c r="EL74" i="25"/>
  <c r="EK74" i="25"/>
  <c r="EN74" i="25" s="1"/>
  <c r="DT74" i="25"/>
  <c r="DV217" i="25"/>
  <c r="DT217" i="25"/>
  <c r="EB83" i="25"/>
  <c r="EA83" i="25"/>
  <c r="DV291" i="25"/>
  <c r="DT291" i="25"/>
  <c r="DV153" i="25"/>
  <c r="EL153" i="25"/>
  <c r="EK153" i="25"/>
  <c r="EN153" i="25" s="1"/>
  <c r="DT153" i="25"/>
  <c r="EJ153" i="25"/>
  <c r="FA153" i="25"/>
  <c r="EY153" i="25"/>
  <c r="DV166" i="25"/>
  <c r="EL166" i="25"/>
  <c r="EK166" i="25"/>
  <c r="EN166" i="25" s="1"/>
  <c r="DT166" i="25"/>
  <c r="EJ166" i="25"/>
  <c r="EY166" i="25"/>
  <c r="FA166" i="25"/>
  <c r="DV22" i="25"/>
  <c r="EL22" i="25"/>
  <c r="EK22" i="25"/>
  <c r="EN22" i="25" s="1"/>
  <c r="DT22" i="25"/>
  <c r="EJ22" i="25"/>
  <c r="FA22" i="25"/>
  <c r="EY22" i="25"/>
  <c r="DV156" i="25"/>
  <c r="DX156" i="25" s="1"/>
  <c r="EC156" i="25" s="1"/>
  <c r="EK156" i="25"/>
  <c r="EN156" i="25" s="1"/>
  <c r="EL156" i="25"/>
  <c r="DT156" i="25"/>
  <c r="DV147" i="25"/>
  <c r="DX147" i="25" s="1"/>
  <c r="EC147" i="25" s="1"/>
  <c r="EL147" i="25"/>
  <c r="EK147" i="25"/>
  <c r="EN147" i="25" s="1"/>
  <c r="DT147" i="25"/>
  <c r="DV290" i="25"/>
  <c r="DT290" i="25"/>
  <c r="DV27" i="25"/>
  <c r="DX27" i="25" s="1"/>
  <c r="EC27" i="25" s="1"/>
  <c r="EL27" i="25"/>
  <c r="EK27" i="25"/>
  <c r="EN27" i="25" s="1"/>
  <c r="DT27" i="25"/>
  <c r="DV279" i="25"/>
  <c r="DT279" i="25"/>
  <c r="EY87" i="25"/>
  <c r="EB25" i="25"/>
  <c r="EA25" i="25"/>
  <c r="EB147" i="25"/>
  <c r="EA147" i="25"/>
  <c r="DV158" i="25"/>
  <c r="DX158" i="25" s="1"/>
  <c r="EC158" i="25" s="1"/>
  <c r="EL158" i="25"/>
  <c r="EK158" i="25"/>
  <c r="EN158" i="25" s="1"/>
  <c r="DT158" i="25"/>
  <c r="DV94" i="25"/>
  <c r="EK94" i="25"/>
  <c r="EN94" i="25" s="1"/>
  <c r="EL94" i="25"/>
  <c r="EJ94" i="25"/>
  <c r="EY94" i="25"/>
  <c r="FA94" i="25"/>
  <c r="EB27" i="25"/>
  <c r="EA27" i="25"/>
  <c r="EB137" i="25"/>
  <c r="EA137" i="25"/>
  <c r="DV37" i="25"/>
  <c r="DX37" i="25" s="1"/>
  <c r="EC37" i="25" s="1"/>
  <c r="EL37" i="25"/>
  <c r="EK37" i="25"/>
  <c r="EN37" i="25" s="1"/>
  <c r="DT37" i="25"/>
  <c r="DV218" i="25"/>
  <c r="DT218" i="25"/>
  <c r="DV115" i="25"/>
  <c r="EL115" i="25"/>
  <c r="EK115" i="25"/>
  <c r="EN115" i="25" s="1"/>
  <c r="DT115" i="25"/>
  <c r="EY115" i="25"/>
  <c r="FA115" i="25"/>
  <c r="EJ115" i="25"/>
  <c r="DV83" i="25"/>
  <c r="DX83" i="25" s="1"/>
  <c r="EC83" i="25" s="1"/>
  <c r="EK83" i="25"/>
  <c r="EN83" i="25" s="1"/>
  <c r="EL83" i="25"/>
  <c r="DT83" i="25"/>
  <c r="EB127" i="25"/>
  <c r="EA127" i="25"/>
  <c r="DV17" i="25"/>
  <c r="DX17" i="25" s="1"/>
  <c r="EC17" i="25" s="1"/>
  <c r="EL17" i="25"/>
  <c r="EK17" i="25"/>
  <c r="EN17" i="25" s="1"/>
  <c r="DT17" i="25"/>
  <c r="DV235" i="25"/>
  <c r="DT235" i="25"/>
  <c r="DV26" i="25"/>
  <c r="EL26" i="25"/>
  <c r="EK26" i="25"/>
  <c r="EN26" i="25" s="1"/>
  <c r="DT26" i="25"/>
  <c r="EJ26" i="25"/>
  <c r="EY26" i="25"/>
  <c r="FA26" i="25"/>
  <c r="DV18" i="25"/>
  <c r="EK18" i="25"/>
  <c r="EN18" i="25" s="1"/>
  <c r="EL18" i="25"/>
  <c r="DT18" i="25"/>
  <c r="EY18" i="25"/>
  <c r="EJ18" i="25"/>
  <c r="FA18" i="25"/>
  <c r="EJ60" i="25"/>
  <c r="FA157" i="25"/>
  <c r="DV111" i="25"/>
  <c r="DX111" i="25" s="1"/>
  <c r="EC111" i="25" s="1"/>
  <c r="EK111" i="25"/>
  <c r="EN111" i="25" s="1"/>
  <c r="EL111" i="25"/>
  <c r="DT111" i="25"/>
  <c r="EB187" i="25"/>
  <c r="EA187" i="25"/>
  <c r="DV287" i="25"/>
  <c r="DT287" i="25"/>
  <c r="DV191" i="25"/>
  <c r="DX191" i="25" s="1"/>
  <c r="EC191" i="25" s="1"/>
  <c r="EL191" i="25"/>
  <c r="EK191" i="25"/>
  <c r="EN191" i="25" s="1"/>
  <c r="DT191" i="25"/>
  <c r="DV245" i="25"/>
  <c r="DT245" i="25"/>
  <c r="EB158" i="25"/>
  <c r="EA158" i="25"/>
  <c r="DV233" i="25"/>
  <c r="DT233" i="25"/>
  <c r="DV57" i="25"/>
  <c r="EL57" i="25"/>
  <c r="EK57" i="25"/>
  <c r="EN57" i="25" s="1"/>
  <c r="DT57" i="25"/>
  <c r="EJ57" i="25"/>
  <c r="EY57" i="25"/>
  <c r="FA57" i="25"/>
  <c r="FA177" i="25"/>
  <c r="FA122" i="25"/>
  <c r="EJ29" i="25"/>
  <c r="DT131" i="25"/>
  <c r="DV131" i="25"/>
  <c r="DX131" i="25" s="1"/>
  <c r="EC131" i="25" s="1"/>
  <c r="EL131" i="25"/>
  <c r="EK131" i="25"/>
  <c r="EN131" i="25" s="1"/>
  <c r="EJ170" i="25"/>
  <c r="EB168" i="25"/>
  <c r="EA168" i="25"/>
  <c r="EY96" i="25"/>
  <c r="EB35" i="25"/>
  <c r="EA35" i="25"/>
  <c r="EY88" i="25"/>
  <c r="DV49" i="25"/>
  <c r="DX49" i="25" s="1"/>
  <c r="EC49" i="25" s="1"/>
  <c r="EK49" i="25"/>
  <c r="EN49" i="25" s="1"/>
  <c r="EL49" i="25"/>
  <c r="DT49" i="25"/>
  <c r="DV220" i="25"/>
  <c r="DT220" i="25"/>
  <c r="DV24" i="25"/>
  <c r="DX24" i="25" s="1"/>
  <c r="EC24" i="25" s="1"/>
  <c r="EK24" i="25"/>
  <c r="EN24" i="25" s="1"/>
  <c r="EL24" i="25"/>
  <c r="DT24" i="25"/>
  <c r="DV168" i="25"/>
  <c r="DX168" i="25" s="1"/>
  <c r="EC168" i="25" s="1"/>
  <c r="EK168" i="25"/>
  <c r="EN168" i="25" s="1"/>
  <c r="EL168" i="25"/>
  <c r="DT168" i="25"/>
  <c r="DV21" i="25"/>
  <c r="EK21" i="25"/>
  <c r="EN21" i="25" s="1"/>
  <c r="EL21" i="25"/>
  <c r="DT21" i="25"/>
  <c r="FA21" i="25"/>
  <c r="EY21" i="25"/>
  <c r="EJ21" i="25"/>
  <c r="FA206" i="25"/>
  <c r="DV206" i="25"/>
  <c r="EK206" i="25"/>
  <c r="EN206" i="25" s="1"/>
  <c r="EL206" i="25"/>
  <c r="EY206" i="25"/>
  <c r="EJ206" i="25"/>
  <c r="DV312" i="25"/>
  <c r="DT312" i="25"/>
  <c r="EJ174" i="25"/>
  <c r="EB200" i="25"/>
  <c r="EA200" i="25"/>
  <c r="DV254" i="25"/>
  <c r="DT254" i="25"/>
  <c r="DV80" i="25"/>
  <c r="DX80" i="25" s="1"/>
  <c r="EC80" i="25" s="1"/>
  <c r="EK80" i="25"/>
  <c r="EN80" i="25" s="1"/>
  <c r="EL80" i="25"/>
  <c r="DT80" i="25"/>
  <c r="EY74" i="25"/>
  <c r="DV135" i="25"/>
  <c r="EL135" i="25"/>
  <c r="EK135" i="25"/>
  <c r="EN135" i="25" s="1"/>
  <c r="DT135" i="25"/>
  <c r="FA135" i="25"/>
  <c r="EJ135" i="25"/>
  <c r="EY135" i="25"/>
  <c r="DV229" i="25"/>
  <c r="DT229" i="25"/>
  <c r="EB34" i="25"/>
  <c r="EA34" i="25"/>
  <c r="DV262" i="25"/>
  <c r="DT262" i="25"/>
  <c r="DV228" i="25"/>
  <c r="DT228" i="25"/>
  <c r="DV165" i="25"/>
  <c r="EK165" i="25"/>
  <c r="EN165" i="25" s="1"/>
  <c r="EL165" i="25"/>
  <c r="DT165" i="25"/>
  <c r="EJ165" i="25"/>
  <c r="EY165" i="25"/>
  <c r="FA165" i="25"/>
  <c r="DV188" i="25"/>
  <c r="EK188" i="25"/>
  <c r="EN188" i="25" s="1"/>
  <c r="EL188" i="25"/>
  <c r="DT188" i="25"/>
  <c r="EY188" i="25"/>
  <c r="EJ188" i="25"/>
  <c r="FA188" i="25"/>
  <c r="DV248" i="25"/>
  <c r="DT248" i="25"/>
  <c r="DV192" i="25"/>
  <c r="EL192" i="25"/>
  <c r="EK192" i="25"/>
  <c r="EN192" i="25" s="1"/>
  <c r="DT192" i="25"/>
  <c r="EJ192" i="25"/>
  <c r="FA192" i="25"/>
  <c r="EY192" i="25"/>
  <c r="EB199" i="25"/>
  <c r="EA199" i="25"/>
  <c r="EB33" i="25"/>
  <c r="EA33" i="25"/>
  <c r="DV118" i="25"/>
  <c r="EL118" i="25"/>
  <c r="EK118" i="25"/>
  <c r="EN118" i="25" s="1"/>
  <c r="DT118" i="25"/>
  <c r="EJ118" i="25"/>
  <c r="EY118" i="25"/>
  <c r="FA118" i="25"/>
  <c r="EB40" i="25"/>
  <c r="EA40" i="25"/>
  <c r="DV47" i="25"/>
  <c r="DX47" i="25" s="1"/>
  <c r="EC47" i="25" s="1"/>
  <c r="EK47" i="25"/>
  <c r="EN47" i="25" s="1"/>
  <c r="EL47" i="25"/>
  <c r="DT47" i="25"/>
  <c r="FA156" i="25"/>
  <c r="FA90" i="25"/>
  <c r="EB92" i="25"/>
  <c r="EA92" i="25"/>
  <c r="EJ42" i="25"/>
  <c r="EB58" i="25"/>
  <c r="EA58" i="25"/>
  <c r="DV185" i="25"/>
  <c r="DX185" i="25" s="1"/>
  <c r="EC185" i="25" s="1"/>
  <c r="EL185" i="25"/>
  <c r="EK185" i="25"/>
  <c r="EN185" i="25" s="1"/>
  <c r="DT185" i="25"/>
  <c r="EB15" i="25"/>
  <c r="EA15" i="25"/>
  <c r="DV124" i="25"/>
  <c r="EL124" i="25"/>
  <c r="EK124" i="25"/>
  <c r="EN124" i="25" s="1"/>
  <c r="DT124" i="25"/>
  <c r="FA124" i="25"/>
  <c r="EY124" i="25"/>
  <c r="EJ124" i="25"/>
  <c r="DV251" i="25"/>
  <c r="DT251" i="25"/>
  <c r="DV30" i="25"/>
  <c r="EK30" i="25"/>
  <c r="EN30" i="25" s="1"/>
  <c r="EL30" i="25"/>
  <c r="DT30" i="25"/>
  <c r="FA30" i="25"/>
  <c r="EY30" i="25"/>
  <c r="EJ30" i="25"/>
  <c r="EB173" i="25"/>
  <c r="EA173" i="25"/>
  <c r="DV204" i="25"/>
  <c r="EL204" i="25"/>
  <c r="EK204" i="25"/>
  <c r="EN204" i="25" s="1"/>
  <c r="EY204" i="25"/>
  <c r="FA204" i="25"/>
  <c r="EJ204" i="25"/>
  <c r="DV31" i="25"/>
  <c r="EL31" i="25"/>
  <c r="EK31" i="25"/>
  <c r="EN31" i="25" s="1"/>
  <c r="DT31" i="25"/>
  <c r="EY31" i="25"/>
  <c r="FA31" i="25"/>
  <c r="EJ31" i="25"/>
  <c r="DV249" i="25"/>
  <c r="DT249" i="25"/>
  <c r="DV313" i="25"/>
  <c r="DT313" i="25"/>
  <c r="EY126" i="25"/>
  <c r="DV33" i="25"/>
  <c r="DX33" i="25" s="1"/>
  <c r="EC33" i="25" s="1"/>
  <c r="EL33" i="25"/>
  <c r="EK33" i="25"/>
  <c r="EN33" i="25" s="1"/>
  <c r="DT33" i="25"/>
  <c r="EB78" i="25"/>
  <c r="EA78" i="25"/>
  <c r="DV304" i="25"/>
  <c r="DT304" i="25"/>
  <c r="EJ64" i="25"/>
  <c r="EY157" i="25"/>
  <c r="DV98" i="25"/>
  <c r="DX98" i="25" s="1"/>
  <c r="EC98" i="25" s="1"/>
  <c r="EK98" i="25"/>
  <c r="EN98" i="25" s="1"/>
  <c r="EL98" i="25"/>
  <c r="EB203" i="25"/>
  <c r="EA203" i="25"/>
  <c r="DV184" i="25"/>
  <c r="EL184" i="25"/>
  <c r="EK184" i="25"/>
  <c r="EN184" i="25" s="1"/>
  <c r="DT184" i="25"/>
  <c r="FA184" i="25"/>
  <c r="EJ184" i="25"/>
  <c r="EY184" i="25"/>
  <c r="EJ111" i="25"/>
  <c r="DV283" i="25"/>
  <c r="DT283" i="25"/>
  <c r="DV234" i="25"/>
  <c r="DT234" i="25"/>
  <c r="DV71" i="25"/>
  <c r="EL71" i="25"/>
  <c r="EK71" i="25"/>
  <c r="EN71" i="25" s="1"/>
  <c r="DT71" i="25"/>
  <c r="EJ71" i="25"/>
  <c r="EY71" i="25"/>
  <c r="FA71" i="25"/>
  <c r="DV278" i="25"/>
  <c r="DT278" i="25"/>
  <c r="EY145" i="25"/>
  <c r="DV311" i="25"/>
  <c r="DT311" i="25"/>
  <c r="DV38" i="25"/>
  <c r="DX38" i="25" s="1"/>
  <c r="EC38" i="25" s="1"/>
  <c r="EL38" i="25"/>
  <c r="EK38" i="25"/>
  <c r="EN38" i="25" s="1"/>
  <c r="DT38" i="25"/>
  <c r="EB175" i="25"/>
  <c r="EA175" i="25"/>
  <c r="EY13" i="25"/>
  <c r="EJ49" i="25"/>
  <c r="EJ65" i="25"/>
  <c r="EJ122" i="25"/>
  <c r="EB164" i="25"/>
  <c r="EA164" i="25"/>
  <c r="EB170" i="25"/>
  <c r="EA170" i="25"/>
  <c r="EB80" i="25"/>
  <c r="EA80" i="25"/>
  <c r="EJ96" i="25"/>
  <c r="DV46" i="25"/>
  <c r="EL46" i="25"/>
  <c r="EK46" i="25"/>
  <c r="EN46" i="25" s="1"/>
  <c r="DT46" i="25"/>
  <c r="FA46" i="25"/>
  <c r="EY46" i="25"/>
  <c r="EJ46" i="25"/>
  <c r="DV123" i="25"/>
  <c r="EK123" i="25"/>
  <c r="EN123" i="25" s="1"/>
  <c r="EL123" i="25"/>
  <c r="DT123" i="25"/>
  <c r="EY123" i="25"/>
  <c r="EJ123" i="25"/>
  <c r="FA123" i="25"/>
  <c r="DV230" i="25"/>
  <c r="DT230" i="25"/>
  <c r="DV86" i="25"/>
  <c r="DX86" i="25" s="1"/>
  <c r="EC86" i="25" s="1"/>
  <c r="EK86" i="25"/>
  <c r="EN86" i="25" s="1"/>
  <c r="EL86" i="25"/>
  <c r="DT86" i="25"/>
  <c r="EB59" i="25"/>
  <c r="EA59" i="25"/>
  <c r="DV59" i="25"/>
  <c r="DX59" i="25" s="1"/>
  <c r="EC59" i="25" s="1"/>
  <c r="EL59" i="25"/>
  <c r="EK59" i="25"/>
  <c r="EN59" i="25" s="1"/>
  <c r="DT59" i="25"/>
  <c r="DV186" i="25"/>
  <c r="EK186" i="25"/>
  <c r="EN186" i="25" s="1"/>
  <c r="EL186" i="25"/>
  <c r="DT186" i="25"/>
  <c r="EY186" i="25"/>
  <c r="EJ186" i="25"/>
  <c r="FA186" i="25"/>
  <c r="DV198" i="25"/>
  <c r="EK198" i="25"/>
  <c r="EN198" i="25" s="1"/>
  <c r="EL198" i="25"/>
  <c r="FA198" i="25"/>
  <c r="EJ198" i="25"/>
  <c r="EY198" i="25"/>
  <c r="DV280" i="25"/>
  <c r="DT280" i="25"/>
  <c r="FA185" i="25"/>
  <c r="EJ69" i="25"/>
  <c r="DV69" i="25"/>
  <c r="EL69" i="25"/>
  <c r="EK69" i="25"/>
  <c r="EN69" i="25" s="1"/>
  <c r="DT69" i="25"/>
  <c r="FA69" i="25"/>
  <c r="EY69" i="25"/>
  <c r="DV72" i="25"/>
  <c r="DX72" i="25" s="1"/>
  <c r="EC72" i="25" s="1"/>
  <c r="EK72" i="25"/>
  <c r="EN72" i="25" s="1"/>
  <c r="EL72" i="25"/>
  <c r="DT72" i="25"/>
  <c r="DV282" i="25"/>
  <c r="DT282" i="25"/>
  <c r="EJ35" i="25"/>
  <c r="DV35" i="25"/>
  <c r="DX35" i="25" s="1"/>
  <c r="EC35" i="25" s="1"/>
  <c r="EK35" i="25"/>
  <c r="EN35" i="25" s="1"/>
  <c r="EL35" i="25"/>
  <c r="DT35" i="25"/>
  <c r="FA89" i="25"/>
  <c r="DV187" i="25"/>
  <c r="DX187" i="25" s="1"/>
  <c r="EC187" i="25" s="1"/>
  <c r="EK187" i="25"/>
  <c r="EN187" i="25" s="1"/>
  <c r="EL187" i="25"/>
  <c r="DT187" i="25"/>
  <c r="DV237" i="25"/>
  <c r="DT237" i="25"/>
  <c r="EB91" i="25"/>
  <c r="EA91" i="25"/>
  <c r="EY178" i="25"/>
  <c r="DV193" i="25"/>
  <c r="DX193" i="25" s="1"/>
  <c r="EC193" i="25" s="1"/>
  <c r="EL193" i="25"/>
  <c r="EK193" i="25"/>
  <c r="EN193" i="25" s="1"/>
  <c r="DT193" i="25"/>
  <c r="EY95" i="25"/>
  <c r="DV257" i="25"/>
  <c r="DT257" i="25"/>
  <c r="EJ131" i="25"/>
  <c r="EY174" i="25"/>
  <c r="DV103" i="25"/>
  <c r="DX103" i="25" s="1"/>
  <c r="EC103" i="25" s="1"/>
  <c r="EL103" i="25"/>
  <c r="EK103" i="25"/>
  <c r="EN103" i="25" s="1"/>
  <c r="DV78" i="25"/>
  <c r="DX78" i="25" s="1"/>
  <c r="EC78" i="25" s="1"/>
  <c r="EL78" i="25"/>
  <c r="EK78" i="25"/>
  <c r="EN78" i="25" s="1"/>
  <c r="DT78" i="25"/>
  <c r="FA74" i="25"/>
  <c r="DV127" i="25"/>
  <c r="DX127" i="25" s="1"/>
  <c r="EC127" i="25" s="1"/>
  <c r="EL127" i="25"/>
  <c r="EK127" i="25"/>
  <c r="EN127" i="25" s="1"/>
  <c r="DT127" i="25"/>
  <c r="FA130" i="25"/>
  <c r="DV130" i="25"/>
  <c r="EL130" i="25"/>
  <c r="EK130" i="25"/>
  <c r="EN130" i="25" s="1"/>
  <c r="DT130" i="25"/>
  <c r="EY130" i="25"/>
  <c r="EJ130" i="25"/>
  <c r="DV267" i="25"/>
  <c r="DT267" i="25"/>
  <c r="EB191" i="25"/>
  <c r="EA191" i="25"/>
  <c r="DV308" i="25"/>
  <c r="DT308" i="25"/>
  <c r="DV292" i="25"/>
  <c r="DT292" i="25"/>
  <c r="DV177" i="25"/>
  <c r="DX177" i="25" s="1"/>
  <c r="EC177" i="25" s="1"/>
  <c r="EK177" i="25"/>
  <c r="EN177" i="25" s="1"/>
  <c r="EL177" i="25"/>
  <c r="DT177" i="25"/>
  <c r="DV100" i="25"/>
  <c r="DX100" i="25" s="1"/>
  <c r="EC100" i="25" s="1"/>
  <c r="EK100" i="25"/>
  <c r="EN100" i="25" s="1"/>
  <c r="EL100" i="25"/>
  <c r="EB87" i="25"/>
  <c r="EA87" i="25"/>
  <c r="DV154" i="25"/>
  <c r="EL154" i="25"/>
  <c r="EK154" i="25"/>
  <c r="EN154" i="25" s="1"/>
  <c r="DT154" i="25"/>
  <c r="EY154" i="25"/>
  <c r="EJ154" i="25"/>
  <c r="FA154" i="25"/>
  <c r="DV82" i="25"/>
  <c r="EL82" i="25"/>
  <c r="EK82" i="25"/>
  <c r="EN82" i="25" s="1"/>
  <c r="DT82" i="25"/>
  <c r="FA82" i="25"/>
  <c r="EY82" i="25"/>
  <c r="EJ82" i="25"/>
  <c r="DV281" i="25"/>
  <c r="DT281" i="25"/>
  <c r="DV288" i="25"/>
  <c r="DT288" i="25"/>
  <c r="EB129" i="25"/>
  <c r="EA129" i="25"/>
  <c r="DV15" i="25"/>
  <c r="DX15" i="25" s="1"/>
  <c r="EC15" i="25" s="1"/>
  <c r="EK15" i="25"/>
  <c r="EN15" i="25" s="1"/>
  <c r="EL15" i="25"/>
  <c r="DT15" i="25"/>
  <c r="EB47" i="25"/>
  <c r="EA47" i="25"/>
  <c r="DV133" i="25"/>
  <c r="EK133" i="25"/>
  <c r="EN133" i="25" s="1"/>
  <c r="EL133" i="25"/>
  <c r="DT133" i="25"/>
  <c r="EJ133" i="25"/>
  <c r="EY133" i="25"/>
  <c r="FA133" i="25"/>
  <c r="DV239" i="25"/>
  <c r="DT239" i="25"/>
  <c r="EJ156" i="25"/>
  <c r="EJ90" i="25"/>
  <c r="DV76" i="25"/>
  <c r="EK76" i="25"/>
  <c r="EN76" i="25" s="1"/>
  <c r="EL76" i="25"/>
  <c r="DT76" i="25"/>
  <c r="FA76" i="25"/>
  <c r="EJ76" i="25"/>
  <c r="EY76" i="25"/>
  <c r="DV284" i="25"/>
  <c r="DT284" i="25"/>
  <c r="DV7" i="25"/>
  <c r="EK7" i="25"/>
  <c r="EN7" i="25" s="1"/>
  <c r="EL7" i="25"/>
  <c r="DT7" i="25"/>
  <c r="EJ7" i="25"/>
  <c r="EY7" i="25"/>
  <c r="FA7" i="25"/>
  <c r="DV197" i="25"/>
  <c r="EL197" i="25"/>
  <c r="EK197" i="25"/>
  <c r="EN197" i="25" s="1"/>
  <c r="FA197" i="25"/>
  <c r="EY197" i="25"/>
  <c r="EJ197" i="25"/>
  <c r="DV196" i="25"/>
  <c r="EL196" i="25"/>
  <c r="EK196" i="25"/>
  <c r="EN196" i="25" s="1"/>
  <c r="EY196" i="25"/>
  <c r="FA196" i="25"/>
  <c r="EJ196" i="25"/>
  <c r="DV88" i="25"/>
  <c r="DX88" i="25" s="1"/>
  <c r="EC88" i="25" s="1"/>
  <c r="EK88" i="25"/>
  <c r="EN88" i="25" s="1"/>
  <c r="EL88" i="25"/>
  <c r="DT88" i="25"/>
  <c r="DV240" i="25"/>
  <c r="DT240" i="25"/>
  <c r="EY43" i="25"/>
  <c r="FA126" i="25"/>
  <c r="DX138" i="25"/>
  <c r="EC138" i="25" s="1"/>
  <c r="FA64" i="25"/>
  <c r="EB60" i="25"/>
  <c r="EA60" i="25"/>
  <c r="DV55" i="25"/>
  <c r="EL55" i="25"/>
  <c r="EK55" i="25"/>
  <c r="EN55" i="25" s="1"/>
  <c r="DT55" i="25"/>
  <c r="EY55" i="25"/>
  <c r="EJ55" i="25"/>
  <c r="FA55" i="25"/>
  <c r="DV275" i="25"/>
  <c r="DT275" i="25"/>
  <c r="DV128" i="25"/>
  <c r="DX128" i="25" s="1"/>
  <c r="EC128" i="25" s="1"/>
  <c r="EL128" i="25"/>
  <c r="EK128" i="25"/>
  <c r="EN128" i="25" s="1"/>
  <c r="DT128" i="25"/>
  <c r="DV309" i="25"/>
  <c r="DT309" i="25"/>
  <c r="FA111" i="25"/>
  <c r="DV14" i="25"/>
  <c r="DX14" i="25" s="1"/>
  <c r="EC14" i="25" s="1"/>
  <c r="EK14" i="25"/>
  <c r="EN14" i="25" s="1"/>
  <c r="EL14" i="25"/>
  <c r="DT14" i="25"/>
  <c r="DV79" i="25"/>
  <c r="DX79" i="25" s="1"/>
  <c r="EC79" i="25" s="1"/>
  <c r="EK79" i="25"/>
  <c r="EN79" i="25" s="1"/>
  <c r="EL79" i="25"/>
  <c r="DT79" i="25"/>
  <c r="EB105" i="25"/>
  <c r="EA105" i="25"/>
  <c r="DV274" i="25"/>
  <c r="DT274" i="25"/>
  <c r="EB48" i="25"/>
  <c r="EA48" i="25"/>
  <c r="DV261" i="25"/>
  <c r="DT261" i="25"/>
  <c r="FA13" i="25"/>
  <c r="EY177" i="25"/>
  <c r="EB49" i="25"/>
  <c r="EA49" i="25"/>
  <c r="FA65" i="25"/>
  <c r="EB29" i="25"/>
  <c r="EA29" i="25"/>
  <c r="FA77" i="25"/>
  <c r="DV314" i="25"/>
  <c r="DT314" i="25"/>
  <c r="DV62" i="25"/>
  <c r="EK62" i="25"/>
  <c r="EN62" i="25" s="1"/>
  <c r="EL62" i="25"/>
  <c r="DT62" i="25"/>
  <c r="FA62" i="25"/>
  <c r="EY62" i="25"/>
  <c r="EJ62" i="25"/>
  <c r="FA96" i="25"/>
  <c r="EB88" i="25"/>
  <c r="EA88" i="25"/>
  <c r="DV48" i="25"/>
  <c r="DX48" i="25" s="1"/>
  <c r="EC48" i="25" s="1"/>
  <c r="EK48" i="25"/>
  <c r="EN48" i="25" s="1"/>
  <c r="EL48" i="25"/>
  <c r="DT48" i="25"/>
  <c r="DV302" i="25"/>
  <c r="DT302" i="25"/>
  <c r="DV16" i="25"/>
  <c r="EL16" i="25"/>
  <c r="EK16" i="25"/>
  <c r="EN16" i="25" s="1"/>
  <c r="DT16" i="25"/>
  <c r="FA16" i="25"/>
  <c r="EY16" i="25"/>
  <c r="EJ16" i="25"/>
  <c r="DV110" i="25"/>
  <c r="EL110" i="25"/>
  <c r="EK110" i="25"/>
  <c r="EN110" i="25" s="1"/>
  <c r="DT110" i="25"/>
  <c r="FA110" i="25"/>
  <c r="EY110" i="25"/>
  <c r="EJ110" i="25"/>
  <c r="EJ171" i="25"/>
  <c r="EJ185" i="25"/>
  <c r="EJ89" i="25"/>
  <c r="EJ51" i="25"/>
  <c r="FA178" i="25"/>
  <c r="EB103" i="25"/>
  <c r="EA103" i="25"/>
  <c r="FA95" i="25"/>
  <c r="EY131" i="25"/>
  <c r="DV241" i="25"/>
  <c r="DT241" i="25"/>
  <c r="DV263" i="25"/>
  <c r="DT263" i="25"/>
  <c r="DV227" i="25"/>
  <c r="DT227" i="25"/>
  <c r="EB74" i="25"/>
  <c r="EA74" i="25"/>
  <c r="DV32" i="25"/>
  <c r="EL32" i="25"/>
  <c r="EK32" i="25"/>
  <c r="EN32" i="25" s="1"/>
  <c r="DT32" i="25"/>
  <c r="EY32" i="25"/>
  <c r="FA32" i="25"/>
  <c r="EJ32" i="25"/>
  <c r="DV289" i="25"/>
  <c r="DT289" i="25"/>
  <c r="EB98" i="25"/>
  <c r="EA98" i="25"/>
  <c r="EB81" i="25"/>
  <c r="EA81" i="25"/>
  <c r="DV306" i="25"/>
  <c r="DT306" i="25"/>
  <c r="DV54" i="25"/>
  <c r="EK54" i="25"/>
  <c r="EN54" i="25" s="1"/>
  <c r="EL54" i="25"/>
  <c r="DT54" i="25"/>
  <c r="EY54" i="25"/>
  <c r="EJ54" i="25"/>
  <c r="FA54" i="25"/>
  <c r="DV145" i="25"/>
  <c r="DX145" i="25" s="1"/>
  <c r="EC145" i="25" s="1"/>
  <c r="EL145" i="25"/>
  <c r="EK145" i="25"/>
  <c r="EN145" i="25" s="1"/>
  <c r="DT145" i="25"/>
  <c r="DV232" i="25"/>
  <c r="DT232" i="25"/>
  <c r="DV270" i="25"/>
  <c r="DT270" i="25"/>
  <c r="DV45" i="25"/>
  <c r="DX45" i="25" s="1"/>
  <c r="EC45" i="25" s="1"/>
  <c r="EL45" i="25"/>
  <c r="EK45" i="25"/>
  <c r="EN45" i="25" s="1"/>
  <c r="DT45" i="25"/>
  <c r="EB86" i="25"/>
  <c r="EA86" i="25"/>
  <c r="EY156" i="25"/>
  <c r="EY90" i="25"/>
  <c r="EB42" i="25"/>
  <c r="EA42" i="25"/>
  <c r="DV42" i="25"/>
  <c r="DX42" i="25" s="1"/>
  <c r="EC42" i="25" s="1"/>
  <c r="EL42" i="25"/>
  <c r="EK42" i="25"/>
  <c r="EN42" i="25" s="1"/>
  <c r="DT42" i="25"/>
  <c r="DV60" i="25"/>
  <c r="DX60" i="25" s="1"/>
  <c r="EC60" i="25" s="1"/>
  <c r="EK60" i="25"/>
  <c r="EN60" i="25" s="1"/>
  <c r="EL60" i="25"/>
  <c r="DT60" i="25"/>
  <c r="DV9" i="25"/>
  <c r="DX9" i="25" s="1"/>
  <c r="EC9" i="25" s="1"/>
  <c r="EK9" i="25"/>
  <c r="EN9" i="25" s="1"/>
  <c r="EL9" i="25"/>
  <c r="DT9" i="25"/>
  <c r="DV149" i="25"/>
  <c r="EL149" i="25"/>
  <c r="EK149" i="25"/>
  <c r="EN149" i="25" s="1"/>
  <c r="DT149" i="25"/>
  <c r="FA149" i="25"/>
  <c r="EY149" i="25"/>
  <c r="EJ149" i="25"/>
  <c r="DV41" i="25"/>
  <c r="EL41" i="25"/>
  <c r="EK41" i="25"/>
  <c r="EN41" i="25" s="1"/>
  <c r="DT41" i="25"/>
  <c r="FA41" i="25"/>
  <c r="EJ41" i="25"/>
  <c r="EY41" i="25"/>
  <c r="EJ37" i="25"/>
  <c r="DV11" i="25"/>
  <c r="EK11" i="25"/>
  <c r="EN11" i="25" s="1"/>
  <c r="EL11" i="25"/>
  <c r="DT11" i="25"/>
  <c r="EY11" i="25"/>
  <c r="FA11" i="25"/>
  <c r="EJ11" i="25"/>
  <c r="EJ179" i="25"/>
  <c r="EY64" i="25"/>
  <c r="FA60" i="25"/>
  <c r="DV276" i="25"/>
  <c r="DT276" i="25"/>
  <c r="DV225" i="25"/>
  <c r="DT225" i="25"/>
  <c r="EB157" i="25"/>
  <c r="EA157" i="25"/>
  <c r="DV68" i="25"/>
  <c r="EK68" i="25"/>
  <c r="EN68" i="25" s="1"/>
  <c r="EL68" i="25"/>
  <c r="DT68" i="25"/>
  <c r="EJ68" i="25"/>
  <c r="FA68" i="25"/>
  <c r="EY68" i="25"/>
  <c r="EY111" i="25"/>
  <c r="DV209" i="25"/>
  <c r="EK209" i="25"/>
  <c r="EN209" i="25" s="1"/>
  <c r="EL209" i="25"/>
  <c r="EJ209" i="25"/>
  <c r="EY209" i="25"/>
  <c r="FA209" i="25"/>
  <c r="DV210" i="25"/>
  <c r="DX210" i="25" s="1"/>
  <c r="EC210" i="25" s="1"/>
  <c r="EK210" i="25"/>
  <c r="EN210" i="25" s="1"/>
  <c r="EL210" i="25"/>
  <c r="FA145" i="25"/>
  <c r="DV99" i="25"/>
  <c r="DX99" i="25" s="1"/>
  <c r="EC99" i="25" s="1"/>
  <c r="EL99" i="25"/>
  <c r="EK99" i="25"/>
  <c r="EN99" i="25" s="1"/>
  <c r="EB13" i="25"/>
  <c r="EA13" i="25"/>
  <c r="EB177" i="25"/>
  <c r="EA177" i="25"/>
  <c r="EB122" i="25"/>
  <c r="EA122" i="25"/>
  <c r="DV10" i="25"/>
  <c r="EK10" i="25"/>
  <c r="EN10" i="25" s="1"/>
  <c r="EL10" i="25"/>
  <c r="DT10" i="25"/>
  <c r="FA10" i="25"/>
  <c r="EY10" i="25"/>
  <c r="EJ10" i="25"/>
  <c r="EJ77" i="25"/>
  <c r="DV246" i="25"/>
  <c r="DT246" i="25"/>
  <c r="EB96" i="25"/>
  <c r="EA96" i="25"/>
  <c r="DV175" i="25"/>
  <c r="DX175" i="25" s="1"/>
  <c r="EC175" i="25" s="1"/>
  <c r="EK175" i="25"/>
  <c r="EN175" i="25" s="1"/>
  <c r="EL175" i="25"/>
  <c r="DT175" i="25"/>
  <c r="DV189" i="25"/>
  <c r="DX189" i="25" s="1"/>
  <c r="EC189" i="25" s="1"/>
  <c r="EK189" i="25"/>
  <c r="EN189" i="25" s="1"/>
  <c r="EL189" i="25"/>
  <c r="DT189" i="25"/>
  <c r="DV265" i="25"/>
  <c r="DT265" i="25"/>
  <c r="EY189" i="25"/>
  <c r="EY185" i="25"/>
  <c r="FA56" i="25"/>
  <c r="FA9" i="25"/>
  <c r="DV148" i="25"/>
  <c r="EL148" i="25"/>
  <c r="EK148" i="25"/>
  <c r="EN148" i="25" s="1"/>
  <c r="DT148" i="25"/>
  <c r="FA148" i="25"/>
  <c r="EY148" i="25"/>
  <c r="EJ148" i="25"/>
  <c r="DV315" i="25"/>
  <c r="DT315" i="25"/>
  <c r="EB178" i="25"/>
  <c r="EA178" i="25"/>
  <c r="DV119" i="25"/>
  <c r="DX119" i="25" s="1"/>
  <c r="EC119" i="25" s="1"/>
  <c r="EL119" i="25"/>
  <c r="EK119" i="25"/>
  <c r="EN119" i="25" s="1"/>
  <c r="DT119" i="25"/>
  <c r="EJ95" i="25"/>
  <c r="DV121" i="25"/>
  <c r="DX121" i="25" s="1"/>
  <c r="EC121" i="25" s="1"/>
  <c r="EL121" i="25"/>
  <c r="EK121" i="25"/>
  <c r="EN121" i="25" s="1"/>
  <c r="DT121" i="25"/>
  <c r="FA131" i="25"/>
  <c r="EB174" i="25"/>
  <c r="EA174" i="25"/>
  <c r="DV296" i="25"/>
  <c r="DT296" i="25"/>
  <c r="DV114" i="25"/>
  <c r="EK114" i="25"/>
  <c r="EN114" i="25" s="1"/>
  <c r="EL114" i="25"/>
  <c r="DT114" i="25"/>
  <c r="FA114" i="25"/>
  <c r="EY114" i="25"/>
  <c r="EJ114" i="25"/>
  <c r="EY132" i="25"/>
  <c r="DV132" i="25"/>
  <c r="EL132" i="25"/>
  <c r="EK132" i="25"/>
  <c r="EN132" i="25" s="1"/>
  <c r="DT132" i="25"/>
  <c r="EJ132" i="25"/>
  <c r="FA132" i="25"/>
  <c r="DV264" i="25"/>
  <c r="DT264" i="25"/>
  <c r="DV89" i="25"/>
  <c r="DX89" i="25" s="1"/>
  <c r="EC89" i="25" s="1"/>
  <c r="EL89" i="25"/>
  <c r="EK89" i="25"/>
  <c r="EN89" i="25" s="1"/>
  <c r="DT89" i="25"/>
  <c r="DV25" i="25"/>
  <c r="DX25" i="25" s="1"/>
  <c r="EC25" i="25" s="1"/>
  <c r="EK25" i="25"/>
  <c r="EN25" i="25" s="1"/>
  <c r="EL25" i="25"/>
  <c r="DT25" i="25"/>
  <c r="EB136" i="25"/>
  <c r="EA136" i="25"/>
  <c r="DV161" i="25"/>
  <c r="EK161" i="25"/>
  <c r="EN161" i="25" s="1"/>
  <c r="EL161" i="25"/>
  <c r="DT161" i="25"/>
  <c r="EJ161" i="25"/>
  <c r="FA161" i="25"/>
  <c r="EY161" i="25"/>
  <c r="EB99" i="25"/>
  <c r="EA99" i="25"/>
  <c r="DV277" i="25"/>
  <c r="DT277" i="25"/>
  <c r="DV65" i="25"/>
  <c r="DX65" i="25" s="1"/>
  <c r="EC65" i="25" s="1"/>
  <c r="EK65" i="25"/>
  <c r="EN65" i="25" s="1"/>
  <c r="EL65" i="25"/>
  <c r="DT65" i="25"/>
  <c r="DV91" i="25"/>
  <c r="DX91" i="25" s="1"/>
  <c r="EC91" i="25" s="1"/>
  <c r="EK91" i="25"/>
  <c r="EN91" i="25" s="1"/>
  <c r="EL91" i="25"/>
  <c r="DV172" i="25"/>
  <c r="EL172" i="25"/>
  <c r="EK172" i="25"/>
  <c r="EN172" i="25" s="1"/>
  <c r="DT172" i="25"/>
  <c r="EJ172" i="25"/>
  <c r="FA172" i="25"/>
  <c r="EY172" i="25"/>
  <c r="DV260" i="25"/>
  <c r="DT260" i="25"/>
  <c r="DV125" i="25"/>
  <c r="EL125" i="25"/>
  <c r="EK125" i="25"/>
  <c r="EN125" i="25" s="1"/>
  <c r="DT125" i="25"/>
  <c r="FA125" i="25"/>
  <c r="EY125" i="25"/>
  <c r="EJ125" i="25"/>
  <c r="EB156" i="25"/>
  <c r="EA156" i="25"/>
  <c r="EB90" i="25"/>
  <c r="EA90" i="25"/>
  <c r="DV190" i="25"/>
  <c r="DX190" i="25" s="1"/>
  <c r="EC190" i="25" s="1"/>
  <c r="EL190" i="25"/>
  <c r="EK190" i="25"/>
  <c r="EN190" i="25" s="1"/>
  <c r="DT190" i="25"/>
  <c r="DV238" i="25"/>
  <c r="DT238" i="25"/>
  <c r="DV176" i="25"/>
  <c r="EK176" i="25"/>
  <c r="EN176" i="25" s="1"/>
  <c r="EL176" i="25"/>
  <c r="DT176" i="25"/>
  <c r="EY176" i="25"/>
  <c r="EJ176" i="25"/>
  <c r="FA176" i="25"/>
  <c r="DV155" i="25"/>
  <c r="EK155" i="25"/>
  <c r="EN155" i="25" s="1"/>
  <c r="EL155" i="25"/>
  <c r="DT155" i="25"/>
  <c r="FA155" i="25"/>
  <c r="EY155" i="25"/>
  <c r="EJ155" i="25"/>
  <c r="DV12" i="25"/>
  <c r="DX12" i="25" s="1"/>
  <c r="EC12" i="25" s="1"/>
  <c r="EL12" i="25"/>
  <c r="EK12" i="25"/>
  <c r="EN12" i="25" s="1"/>
  <c r="DT12" i="25"/>
  <c r="EY37" i="25"/>
  <c r="EB194" i="25"/>
  <c r="EA194" i="25"/>
  <c r="EB181" i="25"/>
  <c r="EA181" i="25"/>
  <c r="EB126" i="25"/>
  <c r="EA126" i="25"/>
  <c r="DV252" i="25"/>
  <c r="DT252" i="25"/>
  <c r="EB64" i="25"/>
  <c r="EA64" i="25"/>
  <c r="FA142" i="25"/>
  <c r="DV142" i="25"/>
  <c r="EK142" i="25"/>
  <c r="EN142" i="25" s="1"/>
  <c r="EL142" i="25"/>
  <c r="DT142" i="25"/>
  <c r="EJ142" i="25"/>
  <c r="EY142" i="25"/>
  <c r="DV36" i="25"/>
  <c r="EK36" i="25"/>
  <c r="EN36" i="25" s="1"/>
  <c r="EL36" i="25"/>
  <c r="DT36" i="25"/>
  <c r="EY36" i="25"/>
  <c r="EJ36" i="25"/>
  <c r="FA36" i="25"/>
  <c r="DV51" i="25"/>
  <c r="DX51" i="25" s="1"/>
  <c r="EC51" i="25" s="1"/>
  <c r="EL51" i="25"/>
  <c r="EK51" i="25"/>
  <c r="EN51" i="25" s="1"/>
  <c r="DT51" i="25"/>
  <c r="EB111" i="25"/>
  <c r="EA111" i="25"/>
  <c r="DV39" i="25"/>
  <c r="EK39" i="25"/>
  <c r="EN39" i="25" s="1"/>
  <c r="EL39" i="25"/>
  <c r="DT39" i="25"/>
  <c r="FA39" i="25"/>
  <c r="EY39" i="25"/>
  <c r="EJ39" i="25"/>
  <c r="EY190" i="25"/>
  <c r="DV273" i="25"/>
  <c r="DT273" i="25"/>
  <c r="EB145" i="25"/>
  <c r="EA145" i="25"/>
  <c r="FA12" i="25"/>
  <c r="EB65" i="25"/>
  <c r="EA65" i="25"/>
  <c r="EY77" i="25"/>
  <c r="DV221" i="25"/>
  <c r="DT221" i="25"/>
  <c r="DV105" i="25"/>
  <c r="DX105" i="25" s="1"/>
  <c r="EC105" i="25" s="1"/>
  <c r="EK105" i="25"/>
  <c r="EN105" i="25" s="1"/>
  <c r="EL105" i="25"/>
  <c r="DV163" i="25"/>
  <c r="EL163" i="25"/>
  <c r="EK163" i="25"/>
  <c r="EN163" i="25" s="1"/>
  <c r="DT163" i="25"/>
  <c r="FA163" i="25"/>
  <c r="EY163" i="25"/>
  <c r="EJ163" i="25"/>
  <c r="DV20" i="25"/>
  <c r="EL20" i="25"/>
  <c r="EK20" i="25"/>
  <c r="EN20" i="25" s="1"/>
  <c r="DT20" i="25"/>
  <c r="EY20" i="25"/>
  <c r="EJ20" i="25"/>
  <c r="FA20" i="25"/>
  <c r="EJ189" i="25"/>
  <c r="DV174" i="25"/>
  <c r="DX174" i="25" s="1"/>
  <c r="EC174" i="25" s="1"/>
  <c r="EL174" i="25"/>
  <c r="EK174" i="25"/>
  <c r="EN174" i="25" s="1"/>
  <c r="DT174" i="25"/>
  <c r="EB185" i="25"/>
  <c r="EA185" i="25"/>
  <c r="EJ45" i="25"/>
  <c r="EJ56" i="25"/>
  <c r="EJ9" i="25"/>
  <c r="DV286" i="25"/>
  <c r="DT286" i="25"/>
  <c r="DV85" i="25"/>
  <c r="EK85" i="25"/>
  <c r="EN85" i="25" s="1"/>
  <c r="EL85" i="25"/>
  <c r="DT85" i="25"/>
  <c r="EJ85" i="25"/>
  <c r="FA85" i="25"/>
  <c r="EY85" i="25"/>
  <c r="EB89" i="25"/>
  <c r="EA89" i="25"/>
  <c r="FA51" i="25"/>
  <c r="DV244" i="25"/>
  <c r="DT244" i="25"/>
  <c r="EB95" i="25"/>
  <c r="EA95" i="25"/>
  <c r="EB180" i="25"/>
  <c r="EA180" i="25"/>
  <c r="EB131" i="25"/>
  <c r="EA131" i="25"/>
  <c r="DV310" i="25"/>
  <c r="DT310" i="25"/>
  <c r="DV305" i="25"/>
  <c r="DT305" i="25"/>
  <c r="DV92" i="25"/>
  <c r="DX92" i="25" s="1"/>
  <c r="EC92" i="25" s="1"/>
  <c r="EK92" i="25"/>
  <c r="EN92" i="25" s="1"/>
  <c r="EL92" i="25"/>
  <c r="EB24" i="25"/>
  <c r="EA24" i="25"/>
  <c r="DV222" i="25"/>
  <c r="DT222" i="25"/>
  <c r="DV6" i="25"/>
  <c r="EK6" i="25"/>
  <c r="EN6" i="25" s="1"/>
  <c r="EL6" i="25"/>
  <c r="DT6" i="25"/>
  <c r="EY6" i="25"/>
  <c r="EJ6" i="25"/>
  <c r="FA6" i="25"/>
  <c r="DV179" i="25"/>
  <c r="DX179" i="25" s="1"/>
  <c r="EC179" i="25" s="1"/>
  <c r="EK179" i="25"/>
  <c r="EN179" i="25" s="1"/>
  <c r="EL179" i="25"/>
  <c r="DT179" i="25"/>
  <c r="EB14" i="25"/>
  <c r="EA14" i="25"/>
  <c r="EB43" i="25"/>
  <c r="EA43" i="25"/>
  <c r="DV293" i="25"/>
  <c r="DT293" i="25"/>
  <c r="FA179" i="25"/>
  <c r="DV66" i="25"/>
  <c r="DX66" i="25" s="1"/>
  <c r="EC66" i="25" s="1"/>
  <c r="EL66" i="25"/>
  <c r="EK66" i="25"/>
  <c r="EN66" i="25" s="1"/>
  <c r="DT66" i="25"/>
  <c r="DV19" i="25"/>
  <c r="EK19" i="25"/>
  <c r="EN19" i="25" s="1"/>
  <c r="EL19" i="25"/>
  <c r="DT19" i="25"/>
  <c r="EJ19" i="25"/>
  <c r="FA19" i="25"/>
  <c r="EY19" i="25"/>
  <c r="FA66" i="25"/>
  <c r="EB128" i="25"/>
  <c r="EA128" i="25"/>
  <c r="DV87" i="25"/>
  <c r="DX87" i="25" s="1"/>
  <c r="EC87" i="25" s="1"/>
  <c r="EL87" i="25"/>
  <c r="EK87" i="25"/>
  <c r="EN87" i="25" s="1"/>
  <c r="DT87" i="25"/>
  <c r="DV84" i="25"/>
  <c r="EK84" i="25"/>
  <c r="EN84" i="25" s="1"/>
  <c r="EL84" i="25"/>
  <c r="DT84" i="25"/>
  <c r="FA84" i="25"/>
  <c r="EJ84" i="25"/>
  <c r="EY84" i="25"/>
  <c r="DV256" i="25"/>
  <c r="DT256" i="25"/>
  <c r="DV271" i="25"/>
  <c r="DT271" i="25"/>
  <c r="EB121" i="25"/>
  <c r="EA121" i="25"/>
  <c r="DV120" i="25"/>
  <c r="EL120" i="25"/>
  <c r="EK120" i="25"/>
  <c r="EN120" i="25" s="1"/>
  <c r="DT120" i="25"/>
  <c r="EY120" i="25"/>
  <c r="FA120" i="25"/>
  <c r="EJ120" i="25"/>
  <c r="DV201" i="25"/>
  <c r="EL201" i="25"/>
  <c r="EK201" i="25"/>
  <c r="EN201" i="25" s="1"/>
  <c r="EY201" i="25"/>
  <c r="EJ201" i="25"/>
  <c r="FA201" i="25"/>
  <c r="DV243" i="25"/>
  <c r="DT243" i="25"/>
  <c r="EB77" i="25"/>
  <c r="EA77" i="25"/>
  <c r="DV150" i="25"/>
  <c r="EK150" i="25"/>
  <c r="EN150" i="25" s="1"/>
  <c r="EL150" i="25"/>
  <c r="DT150" i="25"/>
  <c r="FA150" i="25"/>
  <c r="EY150" i="25"/>
  <c r="EJ150" i="25"/>
  <c r="DV259" i="25"/>
  <c r="DT259" i="25"/>
  <c r="DV157" i="25"/>
  <c r="DX157" i="25" s="1"/>
  <c r="EC157" i="25" s="1"/>
  <c r="EK157" i="25"/>
  <c r="EN157" i="25" s="1"/>
  <c r="EL157" i="25"/>
  <c r="DT157" i="25"/>
  <c r="DV126" i="25"/>
  <c r="DX126" i="25" s="1"/>
  <c r="EC126" i="25" s="1"/>
  <c r="EK126" i="25"/>
  <c r="EN126" i="25" s="1"/>
  <c r="EL126" i="25"/>
  <c r="DT126" i="25"/>
  <c r="EJ113" i="25"/>
  <c r="DV113" i="25"/>
  <c r="EK113" i="25"/>
  <c r="EN113" i="25" s="1"/>
  <c r="EL113" i="25"/>
  <c r="DT113" i="25"/>
  <c r="FA113" i="25"/>
  <c r="EY113" i="25"/>
  <c r="EB171" i="25"/>
  <c r="EA171" i="25"/>
  <c r="DV139" i="25"/>
  <c r="DX139" i="25" s="1"/>
  <c r="EC139" i="25" s="1"/>
  <c r="EL139" i="25"/>
  <c r="EK139" i="25"/>
  <c r="EN139" i="25" s="1"/>
  <c r="DT139" i="25"/>
  <c r="FA45" i="25"/>
  <c r="EY56" i="25"/>
  <c r="EY9" i="25"/>
  <c r="DV13" i="25"/>
  <c r="DX13" i="25" s="1"/>
  <c r="EC13" i="25" s="1"/>
  <c r="EK13" i="25"/>
  <c r="EN13" i="25" s="1"/>
  <c r="EL13" i="25"/>
  <c r="DT13" i="25"/>
  <c r="EB51" i="25"/>
  <c r="EA51" i="25"/>
  <c r="DV299" i="25"/>
  <c r="DT299" i="25"/>
  <c r="DV224" i="25"/>
  <c r="DT224" i="25"/>
  <c r="DV43" i="25"/>
  <c r="DX43" i="25" s="1"/>
  <c r="EC43" i="25" s="1"/>
  <c r="EK43" i="25"/>
  <c r="EN43" i="25" s="1"/>
  <c r="EL43" i="25"/>
  <c r="DT43" i="25"/>
  <c r="DV266" i="25"/>
  <c r="DT266" i="25"/>
  <c r="EB97" i="25"/>
  <c r="EA97" i="25"/>
  <c r="DV28" i="25"/>
  <c r="EL28" i="25"/>
  <c r="EK28" i="25"/>
  <c r="EN28" i="25" s="1"/>
  <c r="DT28" i="25"/>
  <c r="EY28" i="25"/>
  <c r="EJ28" i="25"/>
  <c r="FA28" i="25"/>
  <c r="DV208" i="25"/>
  <c r="DX208" i="25" s="1"/>
  <c r="EC208" i="25" s="1"/>
  <c r="EL208" i="25"/>
  <c r="EK208" i="25"/>
  <c r="EN208" i="25" s="1"/>
  <c r="DV167" i="25"/>
  <c r="EK167" i="25"/>
  <c r="EN167" i="25" s="1"/>
  <c r="EL167" i="25"/>
  <c r="DT167" i="25"/>
  <c r="FA167" i="25"/>
  <c r="EY167" i="25"/>
  <c r="EJ167" i="25"/>
  <c r="DV205" i="25"/>
  <c r="EL205" i="25"/>
  <c r="EK205" i="25"/>
  <c r="EN205" i="25" s="1"/>
  <c r="EJ205" i="25"/>
  <c r="FA205" i="25"/>
  <c r="EY205" i="25"/>
  <c r="DV294" i="25"/>
  <c r="DT294" i="25"/>
  <c r="DY138" i="25"/>
  <c r="EB138" i="25"/>
  <c r="EA138" i="25"/>
  <c r="DV50" i="25"/>
  <c r="EL50" i="25"/>
  <c r="EK50" i="25"/>
  <c r="EN50" i="25" s="1"/>
  <c r="DT50" i="25"/>
  <c r="EJ50" i="25"/>
  <c r="FA50" i="25"/>
  <c r="EY50" i="25"/>
  <c r="DV122" i="25"/>
  <c r="DX122" i="25" s="1"/>
  <c r="EC122" i="25" s="1"/>
  <c r="EL122" i="25"/>
  <c r="EK122" i="25"/>
  <c r="EN122" i="25" s="1"/>
  <c r="DT122" i="25"/>
  <c r="DV134" i="25"/>
  <c r="EL134" i="25"/>
  <c r="EK134" i="25"/>
  <c r="EN134" i="25" s="1"/>
  <c r="DT134" i="25"/>
  <c r="FA134" i="25"/>
  <c r="EY134" i="25"/>
  <c r="EJ134" i="25"/>
  <c r="EB37" i="25"/>
  <c r="EA37" i="25"/>
  <c r="DV250" i="25"/>
  <c r="DT250" i="25"/>
  <c r="EY29" i="25"/>
  <c r="DV29" i="25"/>
  <c r="DX29" i="25" s="1"/>
  <c r="EC29" i="25" s="1"/>
  <c r="EK29" i="25"/>
  <c r="EN29" i="25" s="1"/>
  <c r="EL29" i="25"/>
  <c r="DT29" i="25"/>
  <c r="EB179" i="25"/>
  <c r="EA179" i="25"/>
  <c r="EJ66" i="25"/>
  <c r="DV300" i="25"/>
  <c r="DT300" i="25"/>
  <c r="DV67" i="25"/>
  <c r="EK67" i="25"/>
  <c r="EN67" i="25" s="1"/>
  <c r="EL67" i="25"/>
  <c r="DT67" i="25"/>
  <c r="FA67" i="25"/>
  <c r="EY67" i="25"/>
  <c r="EJ67" i="25"/>
  <c r="DV195" i="25"/>
  <c r="EK195" i="25"/>
  <c r="EN195" i="25" s="1"/>
  <c r="EL195" i="25"/>
  <c r="EY195" i="25"/>
  <c r="FA195" i="25"/>
  <c r="EJ195" i="25"/>
  <c r="DV200" i="25"/>
  <c r="DX200" i="25" s="1"/>
  <c r="EC200" i="25" s="1"/>
  <c r="EK200" i="25"/>
  <c r="EN200" i="25" s="1"/>
  <c r="EL200" i="25"/>
  <c r="EB23" i="25"/>
  <c r="EA23" i="25"/>
  <c r="DV285" i="25"/>
  <c r="DT285" i="25"/>
  <c r="DV152" i="25"/>
  <c r="EL152" i="25"/>
  <c r="EK152" i="25"/>
  <c r="EN152" i="25" s="1"/>
  <c r="DT152" i="25"/>
  <c r="EJ152" i="25"/>
  <c r="FA152" i="25"/>
  <c r="EY152" i="25"/>
  <c r="FA80" i="25"/>
  <c r="DV247" i="25"/>
  <c r="DT247" i="25"/>
  <c r="DV140" i="25"/>
  <c r="EK140" i="25"/>
  <c r="EN140" i="25" s="1"/>
  <c r="EL140" i="25"/>
  <c r="DT140" i="25"/>
  <c r="EJ140" i="25"/>
  <c r="EY140" i="25"/>
  <c r="FA140" i="25"/>
  <c r="EB189" i="25"/>
  <c r="EA189" i="25"/>
  <c r="DV268" i="25"/>
  <c r="DT268" i="25"/>
  <c r="EY45" i="25"/>
  <c r="EB56" i="25"/>
  <c r="EA56" i="25"/>
  <c r="DV116" i="25"/>
  <c r="EL116" i="25"/>
  <c r="EK116" i="25"/>
  <c r="EN116" i="25" s="1"/>
  <c r="DT116" i="25"/>
  <c r="EY116" i="25"/>
  <c r="EJ116" i="25"/>
  <c r="FA116" i="25"/>
  <c r="EB9" i="25"/>
  <c r="EA9" i="25"/>
  <c r="DV151" i="25"/>
  <c r="EL151" i="25"/>
  <c r="EK151" i="25"/>
  <c r="EN151" i="25" s="1"/>
  <c r="DT151" i="25"/>
  <c r="EJ151" i="25"/>
  <c r="FA151" i="25"/>
  <c r="EY151" i="25"/>
  <c r="EJ91" i="25"/>
  <c r="DV75" i="25"/>
  <c r="EK75" i="25"/>
  <c r="EN75" i="25" s="1"/>
  <c r="EL75" i="25"/>
  <c r="DT75" i="25"/>
  <c r="EJ75" i="25"/>
  <c r="EY75" i="25"/>
  <c r="FA75" i="25"/>
  <c r="DV272" i="25"/>
  <c r="DT272" i="25"/>
  <c r="EY200" i="25"/>
  <c r="DZ15" i="24"/>
  <c r="DZ58" i="24"/>
  <c r="DX31" i="24"/>
  <c r="EE31" i="24" s="1"/>
  <c r="DR285" i="24"/>
  <c r="EB285" i="24" s="1"/>
  <c r="DO169" i="24"/>
  <c r="DO88" i="24"/>
  <c r="DO295" i="24"/>
  <c r="DR295" i="24"/>
  <c r="DO204" i="24"/>
  <c r="DR204" i="24"/>
  <c r="DU204" i="24" s="1"/>
  <c r="DO115" i="24"/>
  <c r="DR115" i="24"/>
  <c r="DU115" i="24" s="1"/>
  <c r="DO141" i="24"/>
  <c r="DR141" i="24"/>
  <c r="DU141" i="24" s="1"/>
  <c r="DR100" i="24"/>
  <c r="DO100" i="24"/>
  <c r="DO145" i="24"/>
  <c r="DR145" i="24"/>
  <c r="DU145" i="24" s="1"/>
  <c r="EE188" i="24"/>
  <c r="DO257" i="24"/>
  <c r="DR257" i="24"/>
  <c r="DO39" i="24"/>
  <c r="DR288" i="24"/>
  <c r="FA288" i="24" s="1"/>
  <c r="DO288" i="24"/>
  <c r="DR44" i="24"/>
  <c r="DO44" i="24"/>
  <c r="DO275" i="24"/>
  <c r="DR275" i="24"/>
  <c r="DR56" i="24"/>
  <c r="DO56" i="24"/>
  <c r="EE205" i="24"/>
  <c r="DO126" i="24"/>
  <c r="DR126" i="24"/>
  <c r="DU126" i="24" s="1"/>
  <c r="DO28" i="24"/>
  <c r="DR28" i="24"/>
  <c r="EE163" i="24"/>
  <c r="DZ39" i="24"/>
  <c r="DX39" i="24"/>
  <c r="EE130" i="24"/>
  <c r="EE131" i="24"/>
  <c r="DR70" i="24"/>
  <c r="DO70" i="24"/>
  <c r="EE119" i="24"/>
  <c r="EE189" i="24"/>
  <c r="DO244" i="24"/>
  <c r="DR244" i="24"/>
  <c r="DO35" i="24"/>
  <c r="DR35" i="24"/>
  <c r="DR112" i="24"/>
  <c r="DU112" i="24" s="1"/>
  <c r="DO112" i="24"/>
  <c r="DO313" i="24"/>
  <c r="DR313" i="24"/>
  <c r="EE69" i="24"/>
  <c r="DR6" i="24"/>
  <c r="DO6" i="24"/>
  <c r="DO173" i="24"/>
  <c r="DR173" i="24"/>
  <c r="DU173" i="24" s="1"/>
  <c r="DX126" i="24"/>
  <c r="DO231" i="24"/>
  <c r="DR231" i="24"/>
  <c r="EE210" i="24"/>
  <c r="DO66" i="24"/>
  <c r="DR66" i="24"/>
  <c r="DR304" i="24"/>
  <c r="EB304" i="24" s="1"/>
  <c r="DO304" i="24"/>
  <c r="DR276" i="24"/>
  <c r="DO276" i="24"/>
  <c r="EE141" i="24"/>
  <c r="DR208" i="24"/>
  <c r="DU208" i="24" s="1"/>
  <c r="DO208" i="24"/>
  <c r="DR168" i="24"/>
  <c r="DU168" i="24" s="1"/>
  <c r="DO168" i="24"/>
  <c r="EE148" i="24"/>
  <c r="DO20" i="24"/>
  <c r="DR20" i="24"/>
  <c r="EE146" i="24"/>
  <c r="EE74" i="24"/>
  <c r="DR220" i="24"/>
  <c r="DO220" i="24"/>
  <c r="EE59" i="24"/>
  <c r="DR259" i="24"/>
  <c r="FA259" i="24" s="1"/>
  <c r="DO259" i="24"/>
  <c r="DX133" i="24"/>
  <c r="EE115" i="24"/>
  <c r="DR227" i="24"/>
  <c r="DO227" i="24"/>
  <c r="DO24" i="24"/>
  <c r="DR24" i="24"/>
  <c r="DO267" i="24"/>
  <c r="DR267" i="24"/>
  <c r="FA267" i="24" s="1"/>
  <c r="EE82" i="24"/>
  <c r="DX129" i="24"/>
  <c r="DX53" i="24"/>
  <c r="DZ53" i="24"/>
  <c r="DR283" i="24"/>
  <c r="EY283" i="24" s="1"/>
  <c r="DO283" i="24"/>
  <c r="DO91" i="24"/>
  <c r="DR91" i="24"/>
  <c r="DR146" i="24"/>
  <c r="DU146" i="24" s="1"/>
  <c r="DO146" i="24"/>
  <c r="EE166" i="24"/>
  <c r="DO119" i="24"/>
  <c r="DR119" i="24"/>
  <c r="DU119" i="24" s="1"/>
  <c r="DR299" i="24"/>
  <c r="EY299" i="24" s="1"/>
  <c r="DO299" i="24"/>
  <c r="DR21" i="24"/>
  <c r="DO21" i="24"/>
  <c r="EE196" i="24"/>
  <c r="DO210" i="24"/>
  <c r="DR210" i="24"/>
  <c r="DU210" i="24" s="1"/>
  <c r="EE66" i="24"/>
  <c r="DO238" i="24"/>
  <c r="DR238" i="24"/>
  <c r="FA238" i="24" s="1"/>
  <c r="EE204" i="24"/>
  <c r="DX199" i="24"/>
  <c r="DO11" i="24"/>
  <c r="DR11" i="24"/>
  <c r="DO197" i="24"/>
  <c r="DR197" i="24"/>
  <c r="DU197" i="24" s="1"/>
  <c r="DO290" i="24"/>
  <c r="DR290" i="24"/>
  <c r="DR151" i="24"/>
  <c r="DU151" i="24" s="1"/>
  <c r="DO151" i="24"/>
  <c r="EE194" i="24"/>
  <c r="DZ80" i="24"/>
  <c r="DX80" i="24"/>
  <c r="EE6" i="24"/>
  <c r="DO103" i="24"/>
  <c r="DR103" i="24"/>
  <c r="DX155" i="24"/>
  <c r="DO271" i="24"/>
  <c r="DR271" i="24"/>
  <c r="EE84" i="24"/>
  <c r="DO188" i="24"/>
  <c r="DR188" i="24"/>
  <c r="DU188" i="24" s="1"/>
  <c r="DR189" i="24"/>
  <c r="DU189" i="24" s="1"/>
  <c r="DO189" i="24"/>
  <c r="DO282" i="24"/>
  <c r="DR282" i="24"/>
  <c r="EE34" i="24"/>
  <c r="DR309" i="24"/>
  <c r="FA309" i="24" s="1"/>
  <c r="DO309" i="24"/>
  <c r="DR84" i="24"/>
  <c r="DO84" i="24"/>
  <c r="DO284" i="24"/>
  <c r="DR284" i="24"/>
  <c r="DR134" i="24"/>
  <c r="DU134" i="24" s="1"/>
  <c r="DO134" i="24"/>
  <c r="DO68" i="24"/>
  <c r="DR68" i="24"/>
  <c r="EE20" i="24"/>
  <c r="EE135" i="24"/>
  <c r="EE15" i="24"/>
  <c r="EE90" i="24"/>
  <c r="EE149" i="24"/>
  <c r="EE120" i="24"/>
  <c r="DO222" i="24"/>
  <c r="DR222" i="24"/>
  <c r="DR279" i="24"/>
  <c r="DO279" i="24"/>
  <c r="EE271" i="24"/>
  <c r="DO123" i="24"/>
  <c r="DR123" i="24"/>
  <c r="DU123" i="24" s="1"/>
  <c r="DO158" i="24"/>
  <c r="DR158" i="24"/>
  <c r="DU158" i="24" s="1"/>
  <c r="DR93" i="24"/>
  <c r="DO93" i="24"/>
  <c r="DO307" i="24"/>
  <c r="DR307" i="24"/>
  <c r="DR122" i="24"/>
  <c r="DU122" i="24" s="1"/>
  <c r="DO122" i="24"/>
  <c r="EE22" i="24"/>
  <c r="EE180" i="24"/>
  <c r="DR26" i="24"/>
  <c r="DO26" i="24"/>
  <c r="DZ14" i="24"/>
  <c r="DX14" i="24"/>
  <c r="EE151" i="24"/>
  <c r="DO17" i="24"/>
  <c r="DR17" i="24"/>
  <c r="EE58" i="24"/>
  <c r="DR256" i="24"/>
  <c r="DO256" i="24"/>
  <c r="DO113" i="24"/>
  <c r="DR113" i="24"/>
  <c r="DU113" i="24" s="1"/>
  <c r="DX173" i="24"/>
  <c r="DX201" i="24"/>
  <c r="DO133" i="24"/>
  <c r="DR133" i="24"/>
  <c r="DU133" i="24" s="1"/>
  <c r="DR174" i="24"/>
  <c r="DU174" i="24" s="1"/>
  <c r="DO174" i="24"/>
  <c r="DX157" i="24"/>
  <c r="DR164" i="24"/>
  <c r="DU164" i="24" s="1"/>
  <c r="DO164" i="24"/>
  <c r="DO111" i="24"/>
  <c r="DR111" i="24"/>
  <c r="DU111" i="24" s="1"/>
  <c r="DO296" i="24"/>
  <c r="DR296" i="24"/>
  <c r="DO14" i="24"/>
  <c r="DR14" i="24"/>
  <c r="DZ23" i="24"/>
  <c r="DX23" i="24"/>
  <c r="DR48" i="24"/>
  <c r="DO48" i="24"/>
  <c r="DX209" i="24"/>
  <c r="DO302" i="24"/>
  <c r="DR302" i="24"/>
  <c r="EL302" i="24" s="1"/>
  <c r="EE137" i="24"/>
  <c r="DR73" i="24"/>
  <c r="DO73" i="24"/>
  <c r="DR129" i="24"/>
  <c r="DU129" i="24" s="1"/>
  <c r="DO129" i="24"/>
  <c r="DZ44" i="24"/>
  <c r="DX44" i="24"/>
  <c r="DX174" i="24"/>
  <c r="DR301" i="24"/>
  <c r="FA301" i="24" s="1"/>
  <c r="DO301" i="24"/>
  <c r="DX114" i="24"/>
  <c r="DO285" i="24"/>
  <c r="DR167" i="24"/>
  <c r="DU167" i="24" s="1"/>
  <c r="DO167" i="24"/>
  <c r="DR235" i="24"/>
  <c r="DO235" i="24"/>
  <c r="DR43" i="24"/>
  <c r="DO43" i="24"/>
  <c r="EE153" i="24"/>
  <c r="EE32" i="24"/>
  <c r="DO127" i="24"/>
  <c r="DR142" i="24"/>
  <c r="DU142" i="24" s="1"/>
  <c r="DO142" i="24"/>
  <c r="DO90" i="24"/>
  <c r="DO59" i="24"/>
  <c r="DR59" i="24"/>
  <c r="DO224" i="24"/>
  <c r="DR224" i="24"/>
  <c r="EE184" i="24"/>
  <c r="DO263" i="24"/>
  <c r="DR263" i="24"/>
  <c r="EE179" i="24"/>
  <c r="DO147" i="24"/>
  <c r="DR147" i="24"/>
  <c r="DU147" i="24" s="1"/>
  <c r="DR159" i="24"/>
  <c r="DU159" i="24" s="1"/>
  <c r="DO159" i="24"/>
  <c r="DR178" i="24"/>
  <c r="DU178" i="24" s="1"/>
  <c r="DO178" i="24"/>
  <c r="EE38" i="24"/>
  <c r="DR71" i="24"/>
  <c r="DO71" i="24"/>
  <c r="DO150" i="24"/>
  <c r="DR150" i="24"/>
  <c r="DU150" i="24" s="1"/>
  <c r="DR183" i="24"/>
  <c r="DU183" i="24" s="1"/>
  <c r="DO183" i="24"/>
  <c r="DR85" i="24"/>
  <c r="DO85" i="24"/>
  <c r="DR234" i="24"/>
  <c r="EL234" i="24" s="1"/>
  <c r="DO234" i="24"/>
  <c r="DO61" i="24"/>
  <c r="DR61" i="24"/>
  <c r="DZ30" i="24"/>
  <c r="DX30" i="24"/>
  <c r="DZ63" i="24"/>
  <c r="DX63" i="24"/>
  <c r="DR217" i="24"/>
  <c r="FA217" i="24" s="1"/>
  <c r="DO217" i="24"/>
  <c r="DO138" i="24"/>
  <c r="DR138" i="24"/>
  <c r="DU138" i="24" s="1"/>
  <c r="DR200" i="24"/>
  <c r="DU200" i="24" s="1"/>
  <c r="DO200" i="24"/>
  <c r="DR117" i="24"/>
  <c r="DU117" i="24" s="1"/>
  <c r="DO117" i="24"/>
  <c r="DO221" i="24"/>
  <c r="DR221" i="24"/>
  <c r="EL221" i="24" s="1"/>
  <c r="DR293" i="24"/>
  <c r="EL293" i="24" s="1"/>
  <c r="DO293" i="24"/>
  <c r="DZ81" i="24"/>
  <c r="DX81" i="24"/>
  <c r="DO33" i="24"/>
  <c r="DR33" i="24"/>
  <c r="DZ26" i="24"/>
  <c r="DX26" i="24"/>
  <c r="DO223" i="24"/>
  <c r="DR223" i="24"/>
  <c r="DX124" i="24"/>
  <c r="DO75" i="24"/>
  <c r="DR75" i="24"/>
  <c r="EE181" i="24"/>
  <c r="DZ10" i="24"/>
  <c r="DX10" i="24"/>
  <c r="DO136" i="24"/>
  <c r="DR136" i="24"/>
  <c r="DU136" i="24" s="1"/>
  <c r="DX65" i="24"/>
  <c r="DZ65" i="24"/>
  <c r="DO32" i="24"/>
  <c r="DR32" i="24"/>
  <c r="DR237" i="24"/>
  <c r="DO237" i="24"/>
  <c r="DO156" i="24"/>
  <c r="DR156" i="24"/>
  <c r="DU156" i="24" s="1"/>
  <c r="DX50" i="24"/>
  <c r="DZ50" i="24"/>
  <c r="DO280" i="24"/>
  <c r="DR280" i="24"/>
  <c r="DR9" i="24"/>
  <c r="DO9" i="24"/>
  <c r="DO139" i="24"/>
  <c r="DR139" i="24"/>
  <c r="DU139" i="24" s="1"/>
  <c r="EE169" i="24"/>
  <c r="DR27" i="24"/>
  <c r="DO27" i="24"/>
  <c r="DO72" i="24"/>
  <c r="DR72" i="24"/>
  <c r="DR179" i="24"/>
  <c r="DU179" i="24" s="1"/>
  <c r="DO179" i="24"/>
  <c r="EE116" i="24"/>
  <c r="DO206" i="24"/>
  <c r="DR206" i="24"/>
  <c r="DU206" i="24" s="1"/>
  <c r="DO40" i="24"/>
  <c r="DR40" i="24"/>
  <c r="DX172" i="24"/>
  <c r="DO63" i="24"/>
  <c r="DR63" i="24"/>
  <c r="DX138" i="24"/>
  <c r="DR12" i="24"/>
  <c r="DO12" i="24"/>
  <c r="DR104" i="24"/>
  <c r="DO104" i="24"/>
  <c r="DX55" i="24"/>
  <c r="DZ55" i="24"/>
  <c r="EE79" i="24"/>
  <c r="DR79" i="24"/>
  <c r="DO79" i="24"/>
  <c r="DZ99" i="24"/>
  <c r="DX99" i="24"/>
  <c r="DX83" i="24"/>
  <c r="DZ83" i="24"/>
  <c r="DX159" i="24"/>
  <c r="DR305" i="24"/>
  <c r="DO305" i="24"/>
  <c r="EE168" i="24"/>
  <c r="EE102" i="24"/>
  <c r="DX47" i="24"/>
  <c r="DZ47" i="24"/>
  <c r="DO65" i="24"/>
  <c r="DR65" i="24"/>
  <c r="DR13" i="24"/>
  <c r="DO13" i="24"/>
  <c r="DR22" i="24"/>
  <c r="DO22" i="24"/>
  <c r="DO77" i="24"/>
  <c r="DR77" i="24"/>
  <c r="DR268" i="24"/>
  <c r="DO268" i="24"/>
  <c r="DR132" i="24"/>
  <c r="DU132" i="24" s="1"/>
  <c r="DO132" i="24"/>
  <c r="DX42" i="24"/>
  <c r="DZ42" i="24"/>
  <c r="DR69" i="24"/>
  <c r="DO69" i="24"/>
  <c r="DX197" i="24"/>
  <c r="DZ43" i="24"/>
  <c r="DX43" i="24"/>
  <c r="DX171" i="24"/>
  <c r="DO18" i="24"/>
  <c r="DR18" i="24"/>
  <c r="DR95" i="24"/>
  <c r="DO95" i="24"/>
  <c r="DR184" i="24"/>
  <c r="DU184" i="24" s="1"/>
  <c r="DO184" i="24"/>
  <c r="DR245" i="24"/>
  <c r="DO245" i="24"/>
  <c r="DR19" i="24"/>
  <c r="DO19" i="24"/>
  <c r="DO92" i="24"/>
  <c r="DO236" i="24"/>
  <c r="DR236" i="24"/>
  <c r="EE176" i="24"/>
  <c r="DR55" i="24"/>
  <c r="DO55" i="24"/>
  <c r="DR286" i="24"/>
  <c r="DO286" i="24"/>
  <c r="DX160" i="24"/>
  <c r="DX175" i="24"/>
  <c r="DR116" i="24"/>
  <c r="DU116" i="24" s="1"/>
  <c r="DO116" i="24"/>
  <c r="DX62" i="24"/>
  <c r="DZ62" i="24"/>
  <c r="DR128" i="24"/>
  <c r="DU128" i="24" s="1"/>
  <c r="DR248" i="24"/>
  <c r="FA248" i="24" s="1"/>
  <c r="DO248" i="24"/>
  <c r="DX186" i="24"/>
  <c r="DO31" i="24"/>
  <c r="DR31" i="24"/>
  <c r="DR175" i="24"/>
  <c r="DU175" i="24" s="1"/>
  <c r="DO175" i="24"/>
  <c r="DX183" i="24"/>
  <c r="DO74" i="24"/>
  <c r="DZ54" i="24"/>
  <c r="DX54" i="24"/>
  <c r="DR76" i="24"/>
  <c r="DO76" i="24"/>
  <c r="DZ52" i="24"/>
  <c r="DX52" i="24"/>
  <c r="DX37" i="24"/>
  <c r="DZ37" i="24"/>
  <c r="DX35" i="24"/>
  <c r="DZ35" i="24"/>
  <c r="DO135" i="24"/>
  <c r="DR135" i="24"/>
  <c r="DU135" i="24" s="1"/>
  <c r="DR165" i="24"/>
  <c r="DU165" i="24" s="1"/>
  <c r="DO165" i="24"/>
  <c r="DO157" i="24"/>
  <c r="DR157" i="24"/>
  <c r="DU157" i="24" s="1"/>
  <c r="DR42" i="24"/>
  <c r="DO42" i="24"/>
  <c r="DR209" i="24"/>
  <c r="DU209" i="24" s="1"/>
  <c r="DO209" i="24"/>
  <c r="DR36" i="24"/>
  <c r="DO36" i="24"/>
  <c r="DX123" i="24"/>
  <c r="DO98" i="24"/>
  <c r="DR98" i="24"/>
  <c r="DR8" i="24"/>
  <c r="DO8" i="24"/>
  <c r="DX192" i="24"/>
  <c r="DR260" i="24"/>
  <c r="EL260" i="24" s="1"/>
  <c r="DO260" i="24"/>
  <c r="DO51" i="24"/>
  <c r="DR51" i="24"/>
  <c r="DO25" i="24"/>
  <c r="DR25" i="24"/>
  <c r="DX167" i="24"/>
  <c r="EE96" i="24"/>
  <c r="DX112" i="24"/>
  <c r="DR162" i="24"/>
  <c r="DU162" i="24" s="1"/>
  <c r="DO162" i="24"/>
  <c r="DR101" i="24"/>
  <c r="DO101" i="24"/>
  <c r="DX202" i="24"/>
  <c r="DO314" i="24"/>
  <c r="DR314" i="24"/>
  <c r="FA314" i="24" s="1"/>
  <c r="DR187" i="24"/>
  <c r="DU187" i="24" s="1"/>
  <c r="DO187" i="24"/>
  <c r="DR124" i="24"/>
  <c r="DU124" i="24" s="1"/>
  <c r="DO124" i="24"/>
  <c r="DO287" i="24"/>
  <c r="DR287" i="24"/>
  <c r="FA287" i="24" s="1"/>
  <c r="DO161" i="24"/>
  <c r="DR161" i="24"/>
  <c r="DU161" i="24" s="1"/>
  <c r="DR315" i="24"/>
  <c r="FA315" i="24" s="1"/>
  <c r="DO315" i="24"/>
  <c r="DR149" i="24"/>
  <c r="DU149" i="24" s="1"/>
  <c r="DO149" i="24"/>
  <c r="DO193" i="24"/>
  <c r="DR193" i="24"/>
  <c r="DU193" i="24" s="1"/>
  <c r="DO254" i="24"/>
  <c r="DR254" i="24"/>
  <c r="DR289" i="24"/>
  <c r="EY289" i="24" s="1"/>
  <c r="DO289" i="24"/>
  <c r="DR198" i="24"/>
  <c r="DU198" i="24" s="1"/>
  <c r="DO198" i="24"/>
  <c r="DO243" i="24"/>
  <c r="EE207" i="24"/>
  <c r="DZ61" i="24"/>
  <c r="DX61" i="24"/>
  <c r="DO41" i="24"/>
  <c r="DR41" i="24"/>
  <c r="DO242" i="24"/>
  <c r="DO78" i="24"/>
  <c r="DO310" i="24"/>
  <c r="DR310" i="24"/>
  <c r="FA310" i="24" s="1"/>
  <c r="DR86" i="24"/>
  <c r="DO86" i="24"/>
  <c r="DO229" i="24"/>
  <c r="DR229" i="24"/>
  <c r="FA229" i="24" s="1"/>
  <c r="DO137" i="24"/>
  <c r="DR137" i="24"/>
  <c r="DU137" i="24" s="1"/>
  <c r="DX40" i="24"/>
  <c r="DZ40" i="24"/>
  <c r="DO172" i="24"/>
  <c r="DR172" i="24"/>
  <c r="DU172" i="24" s="1"/>
  <c r="DX104" i="24"/>
  <c r="DZ104" i="24"/>
  <c r="DR125" i="24"/>
  <c r="DU125" i="24" s="1"/>
  <c r="DO125" i="24"/>
  <c r="EE46" i="24"/>
  <c r="DR261" i="24"/>
  <c r="FA261" i="24" s="1"/>
  <c r="DO261" i="24"/>
  <c r="DO195" i="24"/>
  <c r="DR195" i="24"/>
  <c r="DU195" i="24" s="1"/>
  <c r="EE85" i="24"/>
  <c r="DR58" i="24"/>
  <c r="DO58" i="24"/>
  <c r="EE139" i="24"/>
  <c r="DO246" i="24"/>
  <c r="DR246" i="24"/>
  <c r="FA246" i="24" s="1"/>
  <c r="EE165" i="24"/>
  <c r="EE113" i="24"/>
  <c r="EE118" i="24"/>
  <c r="DR15" i="24"/>
  <c r="DO15" i="24"/>
  <c r="DR196" i="24"/>
  <c r="DU196" i="24" s="1"/>
  <c r="DO196" i="24"/>
  <c r="EE125" i="24"/>
  <c r="DR205" i="24"/>
  <c r="DU205" i="24" s="1"/>
  <c r="DO205" i="24"/>
  <c r="DO46" i="24"/>
  <c r="DR46" i="24"/>
  <c r="DO53" i="24"/>
  <c r="DR53" i="24"/>
  <c r="DO47" i="24"/>
  <c r="DR47" i="24"/>
  <c r="EE28" i="24"/>
  <c r="DO163" i="24"/>
  <c r="DR163" i="24"/>
  <c r="DU163" i="24" s="1"/>
  <c r="EE51" i="24"/>
  <c r="DR23" i="24"/>
  <c r="DO23" i="24"/>
  <c r="DO240" i="24"/>
  <c r="DR240" i="24"/>
  <c r="FA240" i="24" s="1"/>
  <c r="DO311" i="24"/>
  <c r="DR311" i="24"/>
  <c r="EB311" i="24" s="1"/>
  <c r="DO80" i="24"/>
  <c r="DR80" i="24"/>
  <c r="DX136" i="24"/>
  <c r="DX145" i="24"/>
  <c r="DO180" i="24"/>
  <c r="DR180" i="24"/>
  <c r="DU180" i="24" s="1"/>
  <c r="DO50" i="24"/>
  <c r="DR50" i="24"/>
  <c r="DO230" i="24"/>
  <c r="DR230" i="24"/>
  <c r="FA230" i="24" s="1"/>
  <c r="DZ67" i="24"/>
  <c r="DX67" i="24"/>
  <c r="EE200" i="24"/>
  <c r="EE117" i="24"/>
  <c r="DR241" i="24"/>
  <c r="DO241" i="24"/>
  <c r="DO97" i="24"/>
  <c r="DR97" i="24"/>
  <c r="DO153" i="24"/>
  <c r="DR153" i="24"/>
  <c r="DU153" i="24" s="1"/>
  <c r="DX164" i="24"/>
  <c r="EE206" i="24"/>
  <c r="DX132" i="24"/>
  <c r="DZ25" i="24"/>
  <c r="DX25" i="24"/>
  <c r="DR176" i="24"/>
  <c r="DU176" i="24" s="1"/>
  <c r="DO176" i="24"/>
  <c r="EE73" i="24"/>
  <c r="DO273" i="24"/>
  <c r="DR273" i="24"/>
  <c r="EL273" i="24" s="1"/>
  <c r="DO225" i="24"/>
  <c r="DR225" i="24"/>
  <c r="EE187" i="24"/>
  <c r="DR7" i="24"/>
  <c r="DO7" i="24"/>
  <c r="DO262" i="24"/>
  <c r="DR262" i="24"/>
  <c r="EL262" i="24" s="1"/>
  <c r="EE208" i="24"/>
  <c r="DR281" i="24"/>
  <c r="DO281" i="24"/>
  <c r="DR152" i="24"/>
  <c r="DU152" i="24" s="1"/>
  <c r="DO152" i="24"/>
  <c r="DO228" i="24"/>
  <c r="DR228" i="24"/>
  <c r="EL228" i="24" s="1"/>
  <c r="EE182" i="24"/>
  <c r="DX177" i="24"/>
  <c r="DR239" i="24"/>
  <c r="DO239" i="24"/>
  <c r="DR219" i="24"/>
  <c r="DO219" i="24"/>
  <c r="DZ60" i="24"/>
  <c r="DX60" i="24"/>
  <c r="DR82" i="24"/>
  <c r="DO82" i="24"/>
  <c r="DR16" i="24"/>
  <c r="DO16" i="24"/>
  <c r="DR170" i="24"/>
  <c r="DU170" i="24" s="1"/>
  <c r="DO170" i="24"/>
  <c r="DR194" i="24"/>
  <c r="DU194" i="24" s="1"/>
  <c r="DO194" i="24"/>
  <c r="DO266" i="24"/>
  <c r="DR266" i="24"/>
  <c r="DO130" i="24"/>
  <c r="DR130" i="24"/>
  <c r="DU130" i="24" s="1"/>
  <c r="DR62" i="24"/>
  <c r="DO62" i="24"/>
  <c r="DO57" i="24"/>
  <c r="DR57" i="24"/>
  <c r="DR186" i="24"/>
  <c r="DU186" i="24" s="1"/>
  <c r="DO186" i="24"/>
  <c r="DR303" i="24"/>
  <c r="FA303" i="24" s="1"/>
  <c r="DO303" i="24"/>
  <c r="DR277" i="24"/>
  <c r="FA277" i="24" s="1"/>
  <c r="DO277" i="24"/>
  <c r="DO199" i="24"/>
  <c r="DR199" i="24"/>
  <c r="DU199" i="24" s="1"/>
  <c r="DO270" i="24"/>
  <c r="DR270" i="24"/>
  <c r="EL270" i="24" s="1"/>
  <c r="DO154" i="24"/>
  <c r="DR154" i="24"/>
  <c r="DU154" i="24" s="1"/>
  <c r="DO253" i="24"/>
  <c r="DR253" i="24"/>
  <c r="EB253" i="24" s="1"/>
  <c r="DZ98" i="24"/>
  <c r="DX98" i="24"/>
  <c r="DZ8" i="24"/>
  <c r="DX8" i="24"/>
  <c r="DR316" i="24"/>
  <c r="EY316" i="24" s="1"/>
  <c r="DO316" i="24"/>
  <c r="DX185" i="24"/>
  <c r="DR218" i="24"/>
  <c r="EL218" i="24" s="1"/>
  <c r="DO218" i="24"/>
  <c r="DR294" i="24"/>
  <c r="DO294" i="24"/>
  <c r="DR292" i="24"/>
  <c r="DO292" i="24"/>
  <c r="DR54" i="24"/>
  <c r="DO54" i="24"/>
  <c r="EE191" i="24"/>
  <c r="DO118" i="24"/>
  <c r="DR118" i="24"/>
  <c r="DU118" i="24" s="1"/>
  <c r="DR312" i="24"/>
  <c r="FA312" i="24" s="1"/>
  <c r="DO312" i="24"/>
  <c r="DR121" i="24"/>
  <c r="DU121" i="24" s="1"/>
  <c r="DO121" i="24"/>
  <c r="DO258" i="24"/>
  <c r="DR258" i="24"/>
  <c r="DO182" i="24"/>
  <c r="DR182" i="24"/>
  <c r="DU182" i="24" s="1"/>
  <c r="EE49" i="24"/>
  <c r="EE144" i="24"/>
  <c r="EE178" i="24"/>
  <c r="DO232" i="24"/>
  <c r="DR232" i="24"/>
  <c r="DR60" i="24"/>
  <c r="DO60" i="24"/>
  <c r="DR255" i="24"/>
  <c r="DO255" i="24"/>
  <c r="EE121" i="24"/>
  <c r="DX170" i="24"/>
  <c r="EE19" i="24"/>
  <c r="EE140" i="24"/>
  <c r="DX142" i="24"/>
  <c r="DO291" i="24"/>
  <c r="DR291" i="24"/>
  <c r="EB291" i="24" s="1"/>
  <c r="DO272" i="24"/>
  <c r="DR272" i="24"/>
  <c r="DX152" i="24"/>
  <c r="DX127" i="24"/>
  <c r="DR45" i="24"/>
  <c r="DO45" i="24"/>
  <c r="DX33" i="24"/>
  <c r="DZ33" i="24"/>
  <c r="DO247" i="24"/>
  <c r="DR247" i="24"/>
  <c r="DO29" i="24"/>
  <c r="DR29" i="24"/>
  <c r="DR171" i="24"/>
  <c r="DU171" i="24" s="1"/>
  <c r="DO171" i="24"/>
  <c r="DX70" i="24"/>
  <c r="DZ70" i="24"/>
  <c r="DR249" i="24"/>
  <c r="DO249" i="24"/>
  <c r="DX122" i="24"/>
  <c r="DR202" i="24"/>
  <c r="DU202" i="24" s="1"/>
  <c r="DO202" i="24"/>
  <c r="DR185" i="24"/>
  <c r="DU185" i="24" s="1"/>
  <c r="DO185" i="24"/>
  <c r="DX134" i="24"/>
  <c r="DO250" i="24"/>
  <c r="DR250" i="24"/>
  <c r="EL250" i="24" s="1"/>
  <c r="DR114" i="24"/>
  <c r="DU114" i="24" s="1"/>
  <c r="DO114" i="24"/>
  <c r="DZ24" i="24"/>
  <c r="DX24" i="24"/>
  <c r="DX161" i="24"/>
  <c r="DR52" i="24"/>
  <c r="DO52" i="24"/>
  <c r="EE195" i="24"/>
  <c r="DZ29" i="24"/>
  <c r="DX29" i="24"/>
  <c r="DO201" i="24"/>
  <c r="DR201" i="24"/>
  <c r="DU201" i="24" s="1"/>
  <c r="DO192" i="24"/>
  <c r="DR192" i="24"/>
  <c r="DU192" i="24" s="1"/>
  <c r="DZ13" i="24"/>
  <c r="DX13" i="24"/>
  <c r="DX111" i="24"/>
  <c r="DR274" i="24"/>
  <c r="DO274" i="24"/>
  <c r="DO49" i="24"/>
  <c r="DR49" i="24"/>
  <c r="DR67" i="24"/>
  <c r="DO67" i="24"/>
  <c r="DO252" i="24"/>
  <c r="DR252" i="24"/>
  <c r="DO190" i="24"/>
  <c r="DX190" i="24"/>
  <c r="DR94" i="24"/>
  <c r="DO94" i="24"/>
  <c r="DR10" i="24"/>
  <c r="DO10" i="24"/>
  <c r="EE162" i="24"/>
  <c r="DO297" i="24"/>
  <c r="DR297" i="24"/>
  <c r="EE86" i="24"/>
  <c r="DO140" i="24"/>
  <c r="DR140" i="24"/>
  <c r="DU140" i="24" s="1"/>
  <c r="DO203" i="24"/>
  <c r="DR203" i="24"/>
  <c r="DU203" i="24" s="1"/>
  <c r="EE72" i="24"/>
  <c r="DR83" i="24"/>
  <c r="DO83" i="24"/>
  <c r="DO269" i="24"/>
  <c r="DR269" i="24"/>
  <c r="DO306" i="24"/>
  <c r="DR306" i="24"/>
  <c r="EY306" i="24" s="1"/>
  <c r="EE198" i="24"/>
  <c r="DR144" i="24"/>
  <c r="DU144" i="24" s="1"/>
  <c r="DO144" i="24"/>
  <c r="DR37" i="24"/>
  <c r="DO37" i="24"/>
  <c r="DR233" i="24"/>
  <c r="FA233" i="24" s="1"/>
  <c r="DO233" i="24"/>
  <c r="EE203" i="24"/>
  <c r="DR166" i="24"/>
  <c r="DU166" i="24" s="1"/>
  <c r="DO166" i="24"/>
  <c r="DO148" i="24"/>
  <c r="DR148" i="24"/>
  <c r="DU148" i="24" s="1"/>
  <c r="DR81" i="24"/>
  <c r="DO81" i="24"/>
  <c r="DR89" i="24"/>
  <c r="DO89" i="24"/>
  <c r="DR251" i="24"/>
  <c r="DO251" i="24"/>
  <c r="DO96" i="24"/>
  <c r="DX147" i="24"/>
  <c r="DO177" i="24"/>
  <c r="DR177" i="24"/>
  <c r="DU177" i="24" s="1"/>
  <c r="DO191" i="24"/>
  <c r="DR191" i="24"/>
  <c r="DU191" i="24" s="1"/>
  <c r="DO102" i="24"/>
  <c r="DR102" i="24"/>
  <c r="DO131" i="24"/>
  <c r="DR131" i="24"/>
  <c r="DU131" i="24" s="1"/>
  <c r="DZ71" i="24"/>
  <c r="DX71" i="24"/>
  <c r="DX193" i="24"/>
  <c r="DR226" i="24"/>
  <c r="DO226" i="24"/>
  <c r="DO34" i="24"/>
  <c r="DR34" i="24"/>
  <c r="DZ48" i="24"/>
  <c r="DX48" i="24"/>
  <c r="DR278" i="24"/>
  <c r="EL278" i="24" s="1"/>
  <c r="DO278" i="24"/>
  <c r="DZ100" i="24"/>
  <c r="DX100" i="24"/>
  <c r="DX158" i="24"/>
  <c r="DX103" i="24"/>
  <c r="DZ103" i="24"/>
  <c r="DO155" i="24"/>
  <c r="DR155" i="24"/>
  <c r="DU155" i="24" s="1"/>
  <c r="DZ68" i="24"/>
  <c r="DX68" i="24"/>
  <c r="DR264" i="24"/>
  <c r="DO264" i="24"/>
  <c r="DR265" i="24"/>
  <c r="DO265" i="24"/>
  <c r="DO87" i="24"/>
  <c r="DR87" i="24"/>
  <c r="DX77" i="24"/>
  <c r="DZ77" i="24"/>
  <c r="EE230" i="24"/>
  <c r="DX154" i="24"/>
  <c r="DR64" i="24"/>
  <c r="DO64" i="24"/>
  <c r="DR120" i="24"/>
  <c r="DU120" i="24" s="1"/>
  <c r="DO120" i="24"/>
  <c r="DO181" i="24"/>
  <c r="DR181" i="24"/>
  <c r="DU181" i="24" s="1"/>
  <c r="DR207" i="24"/>
  <c r="DU207" i="24" s="1"/>
  <c r="DO207" i="24"/>
  <c r="DR308" i="24"/>
  <c r="FA308" i="24" s="1"/>
  <c r="DO308" i="24"/>
  <c r="DR105" i="24"/>
  <c r="DO105" i="24"/>
  <c r="DO300" i="24"/>
  <c r="DR300" i="24"/>
  <c r="FA300" i="24" s="1"/>
  <c r="DR143" i="24"/>
  <c r="DU143" i="24" s="1"/>
  <c r="DO143" i="24"/>
  <c r="EE156" i="24"/>
  <c r="EE12" i="24"/>
  <c r="DO38" i="24"/>
  <c r="DR38" i="24"/>
  <c r="DZ89" i="24"/>
  <c r="DX89" i="24"/>
  <c r="DO99" i="24"/>
  <c r="DR99" i="24"/>
  <c r="DR30" i="24"/>
  <c r="DO30" i="24"/>
  <c r="EE143" i="24"/>
  <c r="DZ41" i="24"/>
  <c r="DX41" i="24"/>
  <c r="DR160" i="24"/>
  <c r="DU160" i="24" s="1"/>
  <c r="DO160" i="24"/>
  <c r="DX128" i="24"/>
  <c r="DR298" i="24"/>
  <c r="DO298" i="24"/>
  <c r="DR127" i="24"/>
  <c r="DU127" i="24" s="1"/>
  <c r="DX150" i="24"/>
  <c r="DR88" i="24"/>
  <c r="DX143" i="25" l="1"/>
  <c r="EC143" i="25" s="1"/>
  <c r="DX212" i="25"/>
  <c r="EC212" i="25" s="1"/>
  <c r="DY212" i="25"/>
  <c r="EM190" i="24"/>
  <c r="EP190" i="24" s="1"/>
  <c r="DU190" i="24"/>
  <c r="DT216" i="25"/>
  <c r="EM255" i="24"/>
  <c r="EP255" i="24" s="1"/>
  <c r="EN255" i="24"/>
  <c r="EY255" i="24"/>
  <c r="FA255" i="24"/>
  <c r="EL255" i="24"/>
  <c r="EB255" i="24"/>
  <c r="EM297" i="24"/>
  <c r="EP297" i="24" s="1"/>
  <c r="EN297" i="24"/>
  <c r="EY297" i="24"/>
  <c r="EL297" i="24"/>
  <c r="EB297" i="24"/>
  <c r="EM239" i="24"/>
  <c r="EP239" i="24" s="1"/>
  <c r="EN239" i="24"/>
  <c r="EL239" i="24"/>
  <c r="EY239" i="24"/>
  <c r="EB239" i="24"/>
  <c r="FA239" i="24"/>
  <c r="EM281" i="24"/>
  <c r="EP281" i="24" s="1"/>
  <c r="EN281" i="24"/>
  <c r="FA281" i="24"/>
  <c r="EY281" i="24"/>
  <c r="EB281" i="24"/>
  <c r="EM286" i="24"/>
  <c r="EP286" i="24" s="1"/>
  <c r="EN286" i="24"/>
  <c r="EL286" i="24"/>
  <c r="EY286" i="24"/>
  <c r="EB286" i="24"/>
  <c r="EM296" i="24"/>
  <c r="EP296" i="24" s="1"/>
  <c r="EN296" i="24"/>
  <c r="EL296" i="24"/>
  <c r="EY296" i="24"/>
  <c r="FA296" i="24"/>
  <c r="EB296" i="24"/>
  <c r="EM256" i="24"/>
  <c r="EP256" i="24" s="1"/>
  <c r="EN256" i="24"/>
  <c r="FA256" i="24"/>
  <c r="EL256" i="24"/>
  <c r="EB256" i="24"/>
  <c r="EM222" i="24"/>
  <c r="EP222" i="24" s="1"/>
  <c r="EN222" i="24"/>
  <c r="EL222" i="24"/>
  <c r="EY222" i="24"/>
  <c r="FA222" i="24"/>
  <c r="EM276" i="24"/>
  <c r="EP276" i="24" s="1"/>
  <c r="EN276" i="24"/>
  <c r="EL276" i="24"/>
  <c r="EB276" i="24"/>
  <c r="EY276" i="24"/>
  <c r="EB299" i="24"/>
  <c r="FA306" i="24"/>
  <c r="EY304" i="24"/>
  <c r="EB267" i="24"/>
  <c r="EB250" i="24"/>
  <c r="EB316" i="24"/>
  <c r="FA262" i="24"/>
  <c r="EB248" i="24"/>
  <c r="EB315" i="24"/>
  <c r="FA297" i="24"/>
  <c r="EY256" i="24"/>
  <c r="EB222" i="24"/>
  <c r="EM291" i="24"/>
  <c r="EP291" i="24" s="1"/>
  <c r="EN291" i="24"/>
  <c r="EM294" i="24"/>
  <c r="EP294" i="24" s="1"/>
  <c r="EN294" i="24"/>
  <c r="EL294" i="24"/>
  <c r="EM274" i="24"/>
  <c r="EP274" i="24" s="1"/>
  <c r="EN274" i="24"/>
  <c r="EY274" i="24"/>
  <c r="EL274" i="24"/>
  <c r="EB274" i="24"/>
  <c r="EM258" i="24"/>
  <c r="EP258" i="24" s="1"/>
  <c r="EN258" i="24"/>
  <c r="EY258" i="24"/>
  <c r="EL258" i="24"/>
  <c r="EB258" i="24"/>
  <c r="EM218" i="24"/>
  <c r="EP218" i="24" s="1"/>
  <c r="EN218" i="24"/>
  <c r="EY218" i="24"/>
  <c r="EM253" i="24"/>
  <c r="EP253" i="24" s="1"/>
  <c r="EN253" i="24"/>
  <c r="EM273" i="24"/>
  <c r="EP273" i="24" s="1"/>
  <c r="EN273" i="24"/>
  <c r="FA273" i="24"/>
  <c r="EM223" i="24"/>
  <c r="EP223" i="24" s="1"/>
  <c r="EN223" i="24"/>
  <c r="EY223" i="24"/>
  <c r="FA223" i="24"/>
  <c r="EL223" i="24"/>
  <c r="EB223" i="24"/>
  <c r="EM224" i="24"/>
  <c r="EP224" i="24" s="1"/>
  <c r="EN224" i="24"/>
  <c r="EY224" i="24"/>
  <c r="EM309" i="24"/>
  <c r="EP309" i="24" s="1"/>
  <c r="EN309" i="24"/>
  <c r="EY309" i="24"/>
  <c r="EL309" i="24"/>
  <c r="EB309" i="24"/>
  <c r="EM227" i="24"/>
  <c r="EP227" i="24" s="1"/>
  <c r="EN227" i="24"/>
  <c r="EY227" i="24"/>
  <c r="FA227" i="24"/>
  <c r="EL227" i="24"/>
  <c r="EB227" i="24"/>
  <c r="EM220" i="24"/>
  <c r="EP220" i="24" s="1"/>
  <c r="EN220" i="24"/>
  <c r="EY220" i="24"/>
  <c r="EL220" i="24"/>
  <c r="EL299" i="24"/>
  <c r="EB306" i="24"/>
  <c r="FA285" i="24"/>
  <c r="EL267" i="24"/>
  <c r="EY253" i="24"/>
  <c r="EB288" i="24"/>
  <c r="EY250" i="24"/>
  <c r="EB277" i="24"/>
  <c r="EL291" i="24"/>
  <c r="EL316" i="24"/>
  <c r="EB294" i="24"/>
  <c r="EB270" i="24"/>
  <c r="FA218" i="24"/>
  <c r="EB220" i="24"/>
  <c r="EM225" i="24"/>
  <c r="EP225" i="24" s="1"/>
  <c r="EN225" i="24"/>
  <c r="EL225" i="24"/>
  <c r="EY225" i="24"/>
  <c r="EB225" i="24"/>
  <c r="FA225" i="24"/>
  <c r="EM298" i="24"/>
  <c r="EP298" i="24" s="1"/>
  <c r="EN298" i="24"/>
  <c r="EY298" i="24"/>
  <c r="EL298" i="24"/>
  <c r="EB298" i="24"/>
  <c r="EM308" i="24"/>
  <c r="EP308" i="24" s="1"/>
  <c r="EN308" i="24"/>
  <c r="EY308" i="24"/>
  <c r="EL308" i="24"/>
  <c r="EB308" i="24"/>
  <c r="EM226" i="24"/>
  <c r="EP226" i="24" s="1"/>
  <c r="EN226" i="24"/>
  <c r="EY226" i="24"/>
  <c r="EL226" i="24"/>
  <c r="EB226" i="24"/>
  <c r="EM252" i="24"/>
  <c r="EP252" i="24" s="1"/>
  <c r="EN252" i="24"/>
  <c r="EL252" i="24"/>
  <c r="EY252" i="24"/>
  <c r="EB252" i="24"/>
  <c r="EM232" i="24"/>
  <c r="EP232" i="24" s="1"/>
  <c r="EN232" i="24"/>
  <c r="EY232" i="24"/>
  <c r="EL232" i="24"/>
  <c r="EM262" i="24"/>
  <c r="EP262" i="24" s="1"/>
  <c r="EN262" i="24"/>
  <c r="EY262" i="24"/>
  <c r="EM241" i="24"/>
  <c r="EP241" i="24" s="1"/>
  <c r="EN241" i="24"/>
  <c r="EY241" i="24"/>
  <c r="EL241" i="24"/>
  <c r="EB241" i="24"/>
  <c r="EM311" i="24"/>
  <c r="EP311" i="24" s="1"/>
  <c r="EN311" i="24"/>
  <c r="EM229" i="24"/>
  <c r="EP229" i="24" s="1"/>
  <c r="EN229" i="24"/>
  <c r="EY229" i="24"/>
  <c r="EL229" i="24"/>
  <c r="EB229" i="24"/>
  <c r="EM245" i="24"/>
  <c r="EP245" i="24" s="1"/>
  <c r="EN245" i="24"/>
  <c r="EY245" i="24"/>
  <c r="FA245" i="24"/>
  <c r="EM293" i="24"/>
  <c r="EP293" i="24" s="1"/>
  <c r="EN293" i="24"/>
  <c r="EM271" i="24"/>
  <c r="EP271" i="24" s="1"/>
  <c r="EN271" i="24"/>
  <c r="EY271" i="24"/>
  <c r="FA271" i="24"/>
  <c r="EL271" i="24"/>
  <c r="EB271" i="24"/>
  <c r="EM304" i="24"/>
  <c r="EP304" i="24" s="1"/>
  <c r="EN304" i="24"/>
  <c r="EM295" i="24"/>
  <c r="EP295" i="24" s="1"/>
  <c r="EN295" i="24"/>
  <c r="EY295" i="24"/>
  <c r="EL295" i="24"/>
  <c r="EB295" i="24"/>
  <c r="FA299" i="24"/>
  <c r="FA293" i="24"/>
  <c r="EL253" i="24"/>
  <c r="FA316" i="24"/>
  <c r="FA270" i="24"/>
  <c r="EL248" i="24"/>
  <c r="EB217" i="24"/>
  <c r="FA220" i="24"/>
  <c r="FA276" i="24"/>
  <c r="FA226" i="24"/>
  <c r="FA274" i="24"/>
  <c r="EM277" i="24"/>
  <c r="EP277" i="24" s="1"/>
  <c r="EN277" i="24"/>
  <c r="EM289" i="24"/>
  <c r="EP289" i="24" s="1"/>
  <c r="EN289" i="24"/>
  <c r="EL289" i="24"/>
  <c r="FA289" i="24"/>
  <c r="EB289" i="24"/>
  <c r="EM315" i="24"/>
  <c r="EP315" i="24" s="1"/>
  <c r="EN315" i="24"/>
  <c r="EY315" i="24"/>
  <c r="EL315" i="24"/>
  <c r="EM305" i="24"/>
  <c r="EP305" i="24" s="1"/>
  <c r="EN305" i="24"/>
  <c r="EY305" i="24"/>
  <c r="EL305" i="24"/>
  <c r="EB305" i="24"/>
  <c r="EM237" i="24"/>
  <c r="EP237" i="24" s="1"/>
  <c r="EN237" i="24"/>
  <c r="EY237" i="24"/>
  <c r="EL237" i="24"/>
  <c r="EB237" i="24"/>
  <c r="EM221" i="24"/>
  <c r="EP221" i="24" s="1"/>
  <c r="EN221" i="24"/>
  <c r="EM282" i="24"/>
  <c r="EP282" i="24" s="1"/>
  <c r="EN282" i="24"/>
  <c r="EB282" i="24"/>
  <c r="EY282" i="24"/>
  <c r="FA282" i="24"/>
  <c r="EM288" i="24"/>
  <c r="EP288" i="24" s="1"/>
  <c r="EN288" i="24"/>
  <c r="EY285" i="24"/>
  <c r="EY293" i="24"/>
  <c r="EY288" i="24"/>
  <c r="FA291" i="24"/>
  <c r="FA221" i="24"/>
  <c r="EL311" i="24"/>
  <c r="EB224" i="24"/>
  <c r="EB234" i="24"/>
  <c r="EL282" i="24"/>
  <c r="EM278" i="24"/>
  <c r="EP278" i="24" s="1"/>
  <c r="EN278" i="24"/>
  <c r="EY278" i="24"/>
  <c r="FA278" i="24"/>
  <c r="EB278" i="24"/>
  <c r="EM228" i="24"/>
  <c r="EP228" i="24" s="1"/>
  <c r="EN228" i="24"/>
  <c r="EY228" i="24"/>
  <c r="EM265" i="24"/>
  <c r="EP265" i="24" s="1"/>
  <c r="EN265" i="24"/>
  <c r="EY265" i="24"/>
  <c r="FA265" i="24"/>
  <c r="EL265" i="24"/>
  <c r="EB265" i="24"/>
  <c r="EM306" i="24"/>
  <c r="EP306" i="24" s="1"/>
  <c r="EN306" i="24"/>
  <c r="EM250" i="24"/>
  <c r="EP250" i="24" s="1"/>
  <c r="EN250" i="24"/>
  <c r="EM316" i="24"/>
  <c r="EP316" i="24" s="1"/>
  <c r="EN316" i="24"/>
  <c r="EM219" i="24"/>
  <c r="EP219" i="24" s="1"/>
  <c r="EN219" i="24"/>
  <c r="EL219" i="24"/>
  <c r="EY219" i="24"/>
  <c r="EB219" i="24"/>
  <c r="FA219" i="24"/>
  <c r="EM240" i="24"/>
  <c r="EP240" i="24" s="1"/>
  <c r="EN240" i="24"/>
  <c r="EY240" i="24"/>
  <c r="EL240" i="24"/>
  <c r="EB240" i="24"/>
  <c r="EM246" i="24"/>
  <c r="EP246" i="24" s="1"/>
  <c r="EN246" i="24"/>
  <c r="EY246" i="24"/>
  <c r="EL246" i="24"/>
  <c r="EB246" i="24"/>
  <c r="EM254" i="24"/>
  <c r="EP254" i="24" s="1"/>
  <c r="EN254" i="24"/>
  <c r="EY254" i="24"/>
  <c r="EL254" i="24"/>
  <c r="EB254" i="24"/>
  <c r="EM236" i="24"/>
  <c r="EP236" i="24" s="1"/>
  <c r="EN236" i="24"/>
  <c r="EL236" i="24"/>
  <c r="EY236" i="24"/>
  <c r="EB236" i="24"/>
  <c r="FA236" i="24"/>
  <c r="EM280" i="24"/>
  <c r="EP280" i="24" s="1"/>
  <c r="EN280" i="24"/>
  <c r="EY280" i="24"/>
  <c r="EL280" i="24"/>
  <c r="EB280" i="24"/>
  <c r="EM217" i="24"/>
  <c r="EP217" i="24" s="1"/>
  <c r="EN217" i="24"/>
  <c r="EY217" i="24"/>
  <c r="EL217" i="24"/>
  <c r="EM284" i="24"/>
  <c r="EP284" i="24" s="1"/>
  <c r="EN284" i="24"/>
  <c r="EY284" i="24"/>
  <c r="EL284" i="24"/>
  <c r="EB284" i="24"/>
  <c r="EM267" i="24"/>
  <c r="EP267" i="24" s="1"/>
  <c r="EN267" i="24"/>
  <c r="EM244" i="24"/>
  <c r="EP244" i="24" s="1"/>
  <c r="EN244" i="24"/>
  <c r="EY244" i="24"/>
  <c r="EL244" i="24"/>
  <c r="EB244" i="24"/>
  <c r="EM243" i="24"/>
  <c r="EP243" i="24" s="1"/>
  <c r="EN243" i="24"/>
  <c r="EY243" i="24"/>
  <c r="FA243" i="24"/>
  <c r="EL243" i="24"/>
  <c r="EB243" i="24"/>
  <c r="EL304" i="24"/>
  <c r="FA253" i="24"/>
  <c r="FA250" i="24"/>
  <c r="EY277" i="24"/>
  <c r="FA311" i="24"/>
  <c r="FA294" i="24"/>
  <c r="EL224" i="24"/>
  <c r="EL281" i="24"/>
  <c r="FA280" i="24"/>
  <c r="FA254" i="24"/>
  <c r="FA286" i="24"/>
  <c r="FA241" i="24"/>
  <c r="FA237" i="24"/>
  <c r="FA305" i="24"/>
  <c r="FA258" i="24"/>
  <c r="EM251" i="24"/>
  <c r="EP251" i="24" s="1"/>
  <c r="EN251" i="24"/>
  <c r="EY251" i="24"/>
  <c r="EL251" i="24"/>
  <c r="EB251" i="24"/>
  <c r="EM300" i="24"/>
  <c r="EP300" i="24" s="1"/>
  <c r="EN300" i="24"/>
  <c r="EY300" i="24"/>
  <c r="EL300" i="24"/>
  <c r="EB300" i="24"/>
  <c r="EM247" i="24"/>
  <c r="EP247" i="24" s="1"/>
  <c r="EN247" i="24"/>
  <c r="EY247" i="24"/>
  <c r="EL247" i="24"/>
  <c r="EB247" i="24"/>
  <c r="EM272" i="24"/>
  <c r="EP272" i="24" s="1"/>
  <c r="EN272" i="24"/>
  <c r="EY272" i="24"/>
  <c r="EL272" i="24"/>
  <c r="EB272" i="24"/>
  <c r="EM292" i="24"/>
  <c r="EP292" i="24" s="1"/>
  <c r="EN292" i="24"/>
  <c r="FA292" i="24"/>
  <c r="EL292" i="24"/>
  <c r="EY292" i="24"/>
  <c r="EM303" i="24"/>
  <c r="EP303" i="24" s="1"/>
  <c r="EN303" i="24"/>
  <c r="EY303" i="24"/>
  <c r="EL303" i="24"/>
  <c r="EB303" i="24"/>
  <c r="EM261" i="24"/>
  <c r="EP261" i="24" s="1"/>
  <c r="EN261" i="24"/>
  <c r="EL261" i="24"/>
  <c r="EY261" i="24"/>
  <c r="EB261" i="24"/>
  <c r="EM314" i="24"/>
  <c r="EP314" i="24" s="1"/>
  <c r="EN314" i="24"/>
  <c r="EY314" i="24"/>
  <c r="EL314" i="24"/>
  <c r="EB314" i="24"/>
  <c r="EM260" i="24"/>
  <c r="EP260" i="24" s="1"/>
  <c r="EN260" i="24"/>
  <c r="EY260" i="24"/>
  <c r="FA260" i="24"/>
  <c r="EB260" i="24"/>
  <c r="EM268" i="24"/>
  <c r="EP268" i="24" s="1"/>
  <c r="EN268" i="24"/>
  <c r="EL268" i="24"/>
  <c r="FA268" i="24"/>
  <c r="EY268" i="24"/>
  <c r="EB268" i="24"/>
  <c r="EM234" i="24"/>
  <c r="EP234" i="24" s="1"/>
  <c r="EN234" i="24"/>
  <c r="EY234" i="24"/>
  <c r="EM301" i="24"/>
  <c r="EP301" i="24" s="1"/>
  <c r="EN301" i="24"/>
  <c r="EY301" i="24"/>
  <c r="EL301" i="24"/>
  <c r="EB301" i="24"/>
  <c r="EM307" i="24"/>
  <c r="EP307" i="24" s="1"/>
  <c r="EN307" i="24"/>
  <c r="EY307" i="24"/>
  <c r="EM290" i="24"/>
  <c r="EP290" i="24" s="1"/>
  <c r="EN290" i="24"/>
  <c r="EY290" i="24"/>
  <c r="EL290" i="24"/>
  <c r="EB290" i="24"/>
  <c r="EM238" i="24"/>
  <c r="EP238" i="24" s="1"/>
  <c r="EN238" i="24"/>
  <c r="EY238" i="24"/>
  <c r="EL238" i="24"/>
  <c r="EB238" i="24"/>
  <c r="EM257" i="24"/>
  <c r="EP257" i="24" s="1"/>
  <c r="EN257" i="24"/>
  <c r="EY257" i="24"/>
  <c r="FA257" i="24"/>
  <c r="EL257" i="24"/>
  <c r="EB257" i="24"/>
  <c r="EM242" i="24"/>
  <c r="EP242" i="24" s="1"/>
  <c r="EN242" i="24"/>
  <c r="FA242" i="24"/>
  <c r="EL242" i="24"/>
  <c r="EB242" i="24"/>
  <c r="EY242" i="24"/>
  <c r="EL306" i="24"/>
  <c r="FA304" i="24"/>
  <c r="EY267" i="24"/>
  <c r="EL277" i="24"/>
  <c r="EY291" i="24"/>
  <c r="EY221" i="24"/>
  <c r="FA224" i="24"/>
  <c r="EB307" i="24"/>
  <c r="FA234" i="24"/>
  <c r="EB245" i="24"/>
  <c r="EM264" i="24"/>
  <c r="EP264" i="24" s="1"/>
  <c r="EN264" i="24"/>
  <c r="EY264" i="24"/>
  <c r="EL264" i="24"/>
  <c r="EB264" i="24"/>
  <c r="EM233" i="24"/>
  <c r="EP233" i="24" s="1"/>
  <c r="EN233" i="24"/>
  <c r="EY233" i="24"/>
  <c r="EL233" i="24"/>
  <c r="EB233" i="24"/>
  <c r="EM269" i="24"/>
  <c r="EP269" i="24" s="1"/>
  <c r="EN269" i="24"/>
  <c r="EY269" i="24"/>
  <c r="FA269" i="24"/>
  <c r="EL269" i="24"/>
  <c r="EB269" i="24"/>
  <c r="EM249" i="24"/>
  <c r="EP249" i="24" s="1"/>
  <c r="EN249" i="24"/>
  <c r="EL249" i="24"/>
  <c r="EY249" i="24"/>
  <c r="EB249" i="24"/>
  <c r="EM312" i="24"/>
  <c r="EP312" i="24" s="1"/>
  <c r="EN312" i="24"/>
  <c r="EY312" i="24"/>
  <c r="EL312" i="24"/>
  <c r="EB312" i="24"/>
  <c r="EM270" i="24"/>
  <c r="EP270" i="24" s="1"/>
  <c r="EN270" i="24"/>
  <c r="EY270" i="24"/>
  <c r="EM266" i="24"/>
  <c r="EP266" i="24" s="1"/>
  <c r="EN266" i="24"/>
  <c r="EY266" i="24"/>
  <c r="EL266" i="24"/>
  <c r="FA266" i="24"/>
  <c r="EB266" i="24"/>
  <c r="EM310" i="24"/>
  <c r="EP310" i="24" s="1"/>
  <c r="EN310" i="24"/>
  <c r="EY310" i="24"/>
  <c r="EL310" i="24"/>
  <c r="EB310" i="24"/>
  <c r="EM287" i="24"/>
  <c r="EP287" i="24" s="1"/>
  <c r="EN287" i="24"/>
  <c r="EY287" i="24"/>
  <c r="EL287" i="24"/>
  <c r="EB287" i="24"/>
  <c r="EM263" i="24"/>
  <c r="EP263" i="24" s="1"/>
  <c r="EN263" i="24"/>
  <c r="EY263" i="24"/>
  <c r="FA263" i="24"/>
  <c r="EL263" i="24"/>
  <c r="EB263" i="24"/>
  <c r="EM235" i="24"/>
  <c r="EP235" i="24" s="1"/>
  <c r="EN235" i="24"/>
  <c r="EY235" i="24"/>
  <c r="EL235" i="24"/>
  <c r="EB235" i="24"/>
  <c r="EM302" i="24"/>
  <c r="EP302" i="24" s="1"/>
  <c r="EN302" i="24"/>
  <c r="EY302" i="24"/>
  <c r="FA302" i="24"/>
  <c r="EB302" i="24"/>
  <c r="EM299" i="24"/>
  <c r="EP299" i="24" s="1"/>
  <c r="EN299" i="24"/>
  <c r="EM259" i="24"/>
  <c r="EP259" i="24" s="1"/>
  <c r="EN259" i="24"/>
  <c r="EL259" i="24"/>
  <c r="EY259" i="24"/>
  <c r="EB259" i="24"/>
  <c r="EM231" i="24"/>
  <c r="EP231" i="24" s="1"/>
  <c r="EN231" i="24"/>
  <c r="FA231" i="24"/>
  <c r="EL231" i="24"/>
  <c r="EB231" i="24"/>
  <c r="EM313" i="24"/>
  <c r="EP313" i="24" s="1"/>
  <c r="EN313" i="24"/>
  <c r="EL313" i="24"/>
  <c r="EY313" i="24"/>
  <c r="FA313" i="24"/>
  <c r="EB313" i="24"/>
  <c r="EM275" i="24"/>
  <c r="EP275" i="24" s="1"/>
  <c r="EN275" i="24"/>
  <c r="EL275" i="24"/>
  <c r="EY275" i="24"/>
  <c r="EB275" i="24"/>
  <c r="FA275" i="24"/>
  <c r="EM285" i="24"/>
  <c r="EP285" i="24" s="1"/>
  <c r="EN285" i="24"/>
  <c r="EB262" i="24"/>
  <c r="FA228" i="24"/>
  <c r="EL307" i="24"/>
  <c r="EY273" i="24"/>
  <c r="EL245" i="24"/>
  <c r="EB232" i="24"/>
  <c r="EB292" i="24"/>
  <c r="FA249" i="24"/>
  <c r="FA272" i="24"/>
  <c r="FA264" i="24"/>
  <c r="FA247" i="24"/>
  <c r="FA235" i="24"/>
  <c r="FA244" i="24"/>
  <c r="FA295" i="24"/>
  <c r="FA252" i="24"/>
  <c r="EY231" i="24"/>
  <c r="FA251" i="24"/>
  <c r="FA284" i="24"/>
  <c r="FA298" i="24"/>
  <c r="FA290" i="24"/>
  <c r="EM230" i="24"/>
  <c r="EP230" i="24" s="1"/>
  <c r="EN230" i="24"/>
  <c r="EY230" i="24"/>
  <c r="EL230" i="24"/>
  <c r="EB230" i="24"/>
  <c r="EM248" i="24"/>
  <c r="EP248" i="24" s="1"/>
  <c r="EN248" i="24"/>
  <c r="EY248" i="24"/>
  <c r="EM279" i="24"/>
  <c r="EP279" i="24" s="1"/>
  <c r="EN279" i="24"/>
  <c r="EY279" i="24"/>
  <c r="FA279" i="24"/>
  <c r="EB279" i="24"/>
  <c r="EL279" i="24"/>
  <c r="EM283" i="24"/>
  <c r="EP283" i="24" s="1"/>
  <c r="EN283" i="24"/>
  <c r="EL283" i="24"/>
  <c r="EB283" i="24"/>
  <c r="FA283" i="24"/>
  <c r="EL285" i="24"/>
  <c r="EB293" i="24"/>
  <c r="EL288" i="24"/>
  <c r="EB221" i="24"/>
  <c r="EY311" i="24"/>
  <c r="EY294" i="24"/>
  <c r="EB228" i="24"/>
  <c r="EB218" i="24"/>
  <c r="FA307" i="24"/>
  <c r="EB273" i="24"/>
  <c r="FA232" i="24"/>
  <c r="FA216" i="25"/>
  <c r="EK216" i="25"/>
  <c r="EN216" i="25" s="1"/>
  <c r="EY216" i="25"/>
  <c r="EJ216" i="25"/>
  <c r="EL216" i="25"/>
  <c r="DX112" i="25"/>
  <c r="EC112" i="25" s="1"/>
  <c r="DY112" i="25"/>
  <c r="CG182" i="25"/>
  <c r="CH182" i="25"/>
  <c r="CG138" i="25"/>
  <c r="CH138" i="25"/>
  <c r="CG143" i="25"/>
  <c r="CH181" i="25"/>
  <c r="CG181" i="25"/>
  <c r="EY89" i="24"/>
  <c r="FA67" i="24"/>
  <c r="EB52" i="24"/>
  <c r="FA47" i="24"/>
  <c r="EL161" i="24"/>
  <c r="EL42" i="24"/>
  <c r="EB65" i="24"/>
  <c r="FA43" i="24"/>
  <c r="EL122" i="24"/>
  <c r="EB100" i="24"/>
  <c r="DW243" i="24"/>
  <c r="DY243" i="24" s="1"/>
  <c r="EF243" i="24" s="1"/>
  <c r="EB152" i="24"/>
  <c r="EB33" i="24"/>
  <c r="FA71" i="24"/>
  <c r="FA14" i="24"/>
  <c r="EY164" i="24"/>
  <c r="EB103" i="24"/>
  <c r="EL90" i="24"/>
  <c r="DW242" i="24"/>
  <c r="DY242" i="24" s="1"/>
  <c r="EF242" i="24" s="1"/>
  <c r="FA160" i="24"/>
  <c r="EB127" i="24"/>
  <c r="FA201" i="24"/>
  <c r="EB186" i="24"/>
  <c r="EB53" i="24"/>
  <c r="EY193" i="24"/>
  <c r="EY157" i="24"/>
  <c r="EB77" i="24"/>
  <c r="EL63" i="24"/>
  <c r="EB78" i="24"/>
  <c r="FA39" i="24"/>
  <c r="EL37" i="24"/>
  <c r="FA199" i="24"/>
  <c r="EB23" i="24"/>
  <c r="EB142" i="24"/>
  <c r="EY24" i="24"/>
  <c r="DW285" i="24"/>
  <c r="DY285" i="24" s="1"/>
  <c r="EF285" i="24" s="1"/>
  <c r="EL190" i="24"/>
  <c r="EY30" i="24"/>
  <c r="FA155" i="24"/>
  <c r="EL83" i="24"/>
  <c r="FA185" i="24"/>
  <c r="EY60" i="24"/>
  <c r="EL25" i="24"/>
  <c r="EL128" i="24"/>
  <c r="FA136" i="24"/>
  <c r="FA167" i="24"/>
  <c r="EB174" i="24"/>
  <c r="EY26" i="24"/>
  <c r="EB68" i="24"/>
  <c r="EY197" i="24"/>
  <c r="CG110" i="24"/>
  <c r="FL110" i="24"/>
  <c r="EM169" i="24"/>
  <c r="EP169" i="24" s="1"/>
  <c r="FA171" i="24"/>
  <c r="EL50" i="24"/>
  <c r="FA124" i="24"/>
  <c r="EY175" i="24"/>
  <c r="FA138" i="24"/>
  <c r="EY183" i="24"/>
  <c r="EL133" i="24"/>
  <c r="EY158" i="24"/>
  <c r="EL145" i="24"/>
  <c r="DU92" i="24"/>
  <c r="FA74" i="24"/>
  <c r="FA202" i="24"/>
  <c r="EY29" i="24"/>
  <c r="EB54" i="24"/>
  <c r="EL154" i="24"/>
  <c r="FA62" i="24"/>
  <c r="EL170" i="24"/>
  <c r="EY41" i="24"/>
  <c r="EB8" i="24"/>
  <c r="EL55" i="24"/>
  <c r="EB104" i="24"/>
  <c r="EY40" i="24"/>
  <c r="FA61" i="24"/>
  <c r="EL150" i="24"/>
  <c r="FA159" i="24"/>
  <c r="EL129" i="24"/>
  <c r="EY48" i="24"/>
  <c r="EY111" i="24"/>
  <c r="EL173" i="24"/>
  <c r="EL112" i="24"/>
  <c r="FA70" i="24"/>
  <c r="EY126" i="24"/>
  <c r="FA44" i="24"/>
  <c r="DU96" i="24"/>
  <c r="EY177" i="24"/>
  <c r="FA10" i="24"/>
  <c r="EL172" i="24"/>
  <c r="EL98" i="24"/>
  <c r="FA132" i="24"/>
  <c r="EB13" i="24"/>
  <c r="EY147" i="24"/>
  <c r="EL123" i="24"/>
  <c r="EL134" i="24"/>
  <c r="EL35" i="24"/>
  <c r="CG5" i="24"/>
  <c r="K5" i="24" s="1"/>
  <c r="FL5" i="24"/>
  <c r="EL209" i="24"/>
  <c r="EM92" i="24"/>
  <c r="EP92" i="24" s="1"/>
  <c r="EB74" i="24"/>
  <c r="EN92" i="24"/>
  <c r="DW92" i="24"/>
  <c r="DY92" i="24" s="1"/>
  <c r="EF92" i="24" s="1"/>
  <c r="EL92" i="24"/>
  <c r="DU74" i="24"/>
  <c r="EB92" i="24"/>
  <c r="EM74" i="24"/>
  <c r="EP74" i="24" s="1"/>
  <c r="FA92" i="24"/>
  <c r="EL74" i="24"/>
  <c r="DW74" i="24"/>
  <c r="DY74" i="24" s="1"/>
  <c r="EF74" i="24" s="1"/>
  <c r="EY92" i="24"/>
  <c r="EY74" i="24"/>
  <c r="EN74" i="24"/>
  <c r="FA169" i="24"/>
  <c r="DW169" i="24"/>
  <c r="DY169" i="24" s="1"/>
  <c r="EF169" i="24" s="1"/>
  <c r="EN169" i="24"/>
  <c r="EB169" i="24"/>
  <c r="EL169" i="24"/>
  <c r="EY169" i="24"/>
  <c r="EB190" i="24"/>
  <c r="EN190" i="24"/>
  <c r="FA190" i="24"/>
  <c r="DW190" i="24"/>
  <c r="EA190" i="24" s="1"/>
  <c r="FL190" i="24" s="1"/>
  <c r="DX181" i="25"/>
  <c r="EC181" i="25" s="1"/>
  <c r="DU243" i="24"/>
  <c r="EL24" i="24"/>
  <c r="FA150" i="24"/>
  <c r="DY64" i="25"/>
  <c r="FL64" i="25" s="1"/>
  <c r="DY96" i="25"/>
  <c r="FL96" i="25" s="1"/>
  <c r="FA100" i="24"/>
  <c r="FA90" i="24"/>
  <c r="EL39" i="24"/>
  <c r="EL78" i="24"/>
  <c r="DY183" i="25"/>
  <c r="DY97" i="25"/>
  <c r="FL97" i="25" s="1"/>
  <c r="EM96" i="24"/>
  <c r="EP96" i="24" s="1"/>
  <c r="EB193" i="24"/>
  <c r="DW96" i="24"/>
  <c r="DY96" i="24" s="1"/>
  <c r="EF96" i="24" s="1"/>
  <c r="EB96" i="24"/>
  <c r="FA68" i="24"/>
  <c r="DU90" i="24"/>
  <c r="EL40" i="24"/>
  <c r="EM90" i="24"/>
  <c r="EP90" i="24" s="1"/>
  <c r="DU242" i="24"/>
  <c r="EN90" i="24"/>
  <c r="FA104" i="24"/>
  <c r="DW90" i="24"/>
  <c r="DY90" i="24" s="1"/>
  <c r="EF90" i="24" s="1"/>
  <c r="EB90" i="24"/>
  <c r="DY185" i="25"/>
  <c r="CG185" i="25" s="1"/>
  <c r="DY131" i="25"/>
  <c r="CG131" i="25" s="1"/>
  <c r="EY90" i="24"/>
  <c r="EB123" i="24"/>
  <c r="EY123" i="24"/>
  <c r="FA78" i="24"/>
  <c r="DU39" i="24"/>
  <c r="EY39" i="24"/>
  <c r="DU78" i="24"/>
  <c r="EB70" i="24"/>
  <c r="EY145" i="24"/>
  <c r="EM39" i="24"/>
  <c r="EP39" i="24" s="1"/>
  <c r="EB39" i="24"/>
  <c r="EN39" i="24"/>
  <c r="EN78" i="24"/>
  <c r="EL70" i="24"/>
  <c r="EB145" i="24"/>
  <c r="EY112" i="24"/>
  <c r="DW39" i="24"/>
  <c r="DY39" i="24" s="1"/>
  <c r="EF39" i="24" s="1"/>
  <c r="EM78" i="24"/>
  <c r="EP78" i="24" s="1"/>
  <c r="FA145" i="24"/>
  <c r="DW78" i="24"/>
  <c r="DY78" i="24" s="1"/>
  <c r="EF78" i="24" s="1"/>
  <c r="EY78" i="24"/>
  <c r="EY70" i="24"/>
  <c r="FA112" i="24"/>
  <c r="EL142" i="24"/>
  <c r="EL43" i="24"/>
  <c r="FA134" i="24"/>
  <c r="FA122" i="24"/>
  <c r="EB134" i="24"/>
  <c r="EB122" i="24"/>
  <c r="DY103" i="25"/>
  <c r="CH103" i="25" s="1"/>
  <c r="EY122" i="24"/>
  <c r="EY142" i="24"/>
  <c r="DY74" i="25"/>
  <c r="FL74" i="25" s="1"/>
  <c r="EL13" i="24"/>
  <c r="EB24" i="24"/>
  <c r="EB128" i="24"/>
  <c r="EL48" i="24"/>
  <c r="EB147" i="24"/>
  <c r="FA111" i="24"/>
  <c r="EN96" i="24"/>
  <c r="EL147" i="24"/>
  <c r="FA128" i="24"/>
  <c r="EY68" i="24"/>
  <c r="EB48" i="24"/>
  <c r="EL111" i="24"/>
  <c r="EY161" i="24"/>
  <c r="DY58" i="25"/>
  <c r="CH58" i="25" s="1"/>
  <c r="EL68" i="24"/>
  <c r="EB111" i="24"/>
  <c r="EY96" i="24"/>
  <c r="DY37" i="25"/>
  <c r="CH37" i="25" s="1"/>
  <c r="EY128" i="24"/>
  <c r="FA147" i="24"/>
  <c r="EY167" i="24"/>
  <c r="FA96" i="24"/>
  <c r="EL96" i="24"/>
  <c r="DY95" i="25"/>
  <c r="FL95" i="25" s="1"/>
  <c r="EL100" i="24"/>
  <c r="EY100" i="24"/>
  <c r="FA40" i="24"/>
  <c r="FA123" i="24"/>
  <c r="EC110" i="24"/>
  <c r="ED110" i="24" s="1"/>
  <c r="EH110" i="24"/>
  <c r="EI110" i="24"/>
  <c r="EX110" i="24" s="1"/>
  <c r="EL104" i="24"/>
  <c r="FA158" i="24"/>
  <c r="EH5" i="24"/>
  <c r="EC5" i="24"/>
  <c r="ED5" i="24" s="1"/>
  <c r="EI5" i="24"/>
  <c r="EX5" i="24" s="1"/>
  <c r="EB158" i="24"/>
  <c r="EG182" i="25"/>
  <c r="EX182" i="25" s="1"/>
  <c r="DY216" i="24"/>
  <c r="EF216" i="24" s="1"/>
  <c r="EA216" i="24"/>
  <c r="DY145" i="25"/>
  <c r="CH145" i="25" s="1"/>
  <c r="FA193" i="24"/>
  <c r="EY159" i="24"/>
  <c r="FA173" i="24"/>
  <c r="DY89" i="25"/>
  <c r="CH89" i="25" s="1"/>
  <c r="DY199" i="25"/>
  <c r="EF199" i="25" s="1"/>
  <c r="EW199" i="25" s="1"/>
  <c r="DY56" i="25"/>
  <c r="CH56" i="25" s="1"/>
  <c r="DY90" i="25"/>
  <c r="FL90" i="25" s="1"/>
  <c r="DY136" i="25"/>
  <c r="CH136" i="25" s="1"/>
  <c r="EL103" i="24"/>
  <c r="EB164" i="24"/>
  <c r="EL26" i="24"/>
  <c r="DY77" i="25"/>
  <c r="CH77" i="25" s="1"/>
  <c r="EY103" i="24"/>
  <c r="FA164" i="24"/>
  <c r="FA77" i="24"/>
  <c r="DY158" i="25"/>
  <c r="CG158" i="25" s="1"/>
  <c r="EY77" i="24"/>
  <c r="FA26" i="24"/>
  <c r="EL77" i="24"/>
  <c r="FA103" i="24"/>
  <c r="EY98" i="24"/>
  <c r="EB26" i="24"/>
  <c r="EY150" i="24"/>
  <c r="EY104" i="24"/>
  <c r="EB40" i="24"/>
  <c r="EB61" i="24"/>
  <c r="EL159" i="24"/>
  <c r="EB150" i="24"/>
  <c r="EY61" i="24"/>
  <c r="FA152" i="24"/>
  <c r="EY152" i="24"/>
  <c r="DU285" i="24"/>
  <c r="EL41" i="24"/>
  <c r="EY8" i="24"/>
  <c r="FA41" i="24"/>
  <c r="EB197" i="24"/>
  <c r="DY156" i="25"/>
  <c r="CG156" i="25" s="1"/>
  <c r="DY194" i="25"/>
  <c r="CG194" i="25" s="1"/>
  <c r="DY73" i="25"/>
  <c r="CH73" i="25" s="1"/>
  <c r="DY99" i="25"/>
  <c r="FL99" i="25" s="1"/>
  <c r="EY25" i="24"/>
  <c r="FA170" i="24"/>
  <c r="DY137" i="25"/>
  <c r="EF137" i="25" s="1"/>
  <c r="EW137" i="25" s="1"/>
  <c r="EB161" i="24"/>
  <c r="FA161" i="24"/>
  <c r="EY170" i="24"/>
  <c r="FA154" i="24"/>
  <c r="EL136" i="24"/>
  <c r="EL152" i="24"/>
  <c r="EB170" i="24"/>
  <c r="EY136" i="24"/>
  <c r="EB136" i="24"/>
  <c r="EY132" i="24"/>
  <c r="EB132" i="24"/>
  <c r="EL167" i="24"/>
  <c r="EB25" i="24"/>
  <c r="DY164" i="25"/>
  <c r="EG164" i="25" s="1"/>
  <c r="EX164" i="25" s="1"/>
  <c r="DY173" i="25"/>
  <c r="EG173" i="25" s="1"/>
  <c r="EX173" i="25" s="1"/>
  <c r="EE182" i="25"/>
  <c r="EI182" i="25" s="1"/>
  <c r="DY128" i="25"/>
  <c r="EG128" i="25" s="1"/>
  <c r="EX128" i="25" s="1"/>
  <c r="EF182" i="25"/>
  <c r="EW182" i="25" s="1"/>
  <c r="DY81" i="25"/>
  <c r="CH81" i="25" s="1"/>
  <c r="DY93" i="25"/>
  <c r="FL93" i="25" s="1"/>
  <c r="DY83" i="25"/>
  <c r="FL83" i="25" s="1"/>
  <c r="DY47" i="25"/>
  <c r="CH47" i="25" s="1"/>
  <c r="DY141" i="25"/>
  <c r="CH141" i="25" s="1"/>
  <c r="DY169" i="25"/>
  <c r="CH169" i="25" s="1"/>
  <c r="DY180" i="25"/>
  <c r="CH180" i="25" s="1"/>
  <c r="DY9" i="25"/>
  <c r="FL9" i="25" s="1"/>
  <c r="DY178" i="25"/>
  <c r="CH178" i="25" s="1"/>
  <c r="DY42" i="25"/>
  <c r="FL42" i="25" s="1"/>
  <c r="DY129" i="25"/>
  <c r="CH129" i="25" s="1"/>
  <c r="DY34" i="25"/>
  <c r="FL34" i="25" s="1"/>
  <c r="DY23" i="25"/>
  <c r="FL23" i="25" s="1"/>
  <c r="DY171" i="25"/>
  <c r="EG171" i="25" s="1"/>
  <c r="EX171" i="25" s="1"/>
  <c r="DY111" i="25"/>
  <c r="CH111" i="25" s="1"/>
  <c r="DY49" i="25"/>
  <c r="FL49" i="25" s="1"/>
  <c r="DY17" i="25"/>
  <c r="FL17" i="25" s="1"/>
  <c r="DY33" i="25"/>
  <c r="CG33" i="25" s="1"/>
  <c r="DY25" i="25"/>
  <c r="CH25" i="25" s="1"/>
  <c r="DY87" i="25"/>
  <c r="FL87" i="25" s="1"/>
  <c r="EY134" i="24"/>
  <c r="EL132" i="24"/>
  <c r="EB167" i="24"/>
  <c r="EY43" i="24"/>
  <c r="EB159" i="24"/>
  <c r="EB126" i="24"/>
  <c r="DX300" i="25"/>
  <c r="EC300" i="25" s="1"/>
  <c r="DY300" i="25"/>
  <c r="DX50" i="25"/>
  <c r="EC50" i="25" s="1"/>
  <c r="DY50" i="25"/>
  <c r="FL50" i="25" s="1"/>
  <c r="DX271" i="25"/>
  <c r="EC271" i="25" s="1"/>
  <c r="DY271" i="25"/>
  <c r="DX19" i="25"/>
  <c r="EC19" i="25" s="1"/>
  <c r="DY19" i="25"/>
  <c r="FL19" i="25" s="1"/>
  <c r="DX6" i="25"/>
  <c r="EC6" i="25" s="1"/>
  <c r="DY6" i="25"/>
  <c r="FL6" i="25" s="1"/>
  <c r="DX20" i="25"/>
  <c r="EC20" i="25" s="1"/>
  <c r="DY20" i="25"/>
  <c r="FL20" i="25" s="1"/>
  <c r="DY65" i="25"/>
  <c r="FL65" i="25" s="1"/>
  <c r="DX125" i="25"/>
  <c r="EC125" i="25" s="1"/>
  <c r="DY125" i="25"/>
  <c r="CH125" i="25" s="1"/>
  <c r="DX132" i="25"/>
  <c r="EC132" i="25" s="1"/>
  <c r="DY132" i="25"/>
  <c r="CH132" i="25" s="1"/>
  <c r="DX114" i="25"/>
  <c r="EC114" i="25" s="1"/>
  <c r="DY114" i="25"/>
  <c r="CG114" i="25" s="1"/>
  <c r="DY13" i="25"/>
  <c r="FL13" i="25" s="1"/>
  <c r="DX209" i="25"/>
  <c r="EC209" i="25" s="1"/>
  <c r="DY209" i="25"/>
  <c r="CH209" i="25" s="1"/>
  <c r="DX68" i="25"/>
  <c r="EC68" i="25" s="1"/>
  <c r="DY68" i="25"/>
  <c r="FL68" i="25" s="1"/>
  <c r="DY98" i="25"/>
  <c r="FL98" i="25" s="1"/>
  <c r="DX133" i="25"/>
  <c r="EC133" i="25" s="1"/>
  <c r="DY133" i="25"/>
  <c r="CH133" i="25" s="1"/>
  <c r="DX267" i="25"/>
  <c r="EC267" i="25" s="1"/>
  <c r="DY267" i="25"/>
  <c r="DX257" i="25"/>
  <c r="EC257" i="25" s="1"/>
  <c r="DY257" i="25"/>
  <c r="DY91" i="25"/>
  <c r="FL91" i="25" s="1"/>
  <c r="DX230" i="25"/>
  <c r="EC230" i="25" s="1"/>
  <c r="DY230" i="25"/>
  <c r="DX278" i="25"/>
  <c r="EC278" i="25" s="1"/>
  <c r="DY278" i="25"/>
  <c r="DY78" i="25"/>
  <c r="FL78" i="25" s="1"/>
  <c r="DX313" i="25"/>
  <c r="EC313" i="25" s="1"/>
  <c r="DY313" i="25"/>
  <c r="DX204" i="25"/>
  <c r="EC204" i="25" s="1"/>
  <c r="DY204" i="25"/>
  <c r="CH204" i="25" s="1"/>
  <c r="DY92" i="25"/>
  <c r="FL92" i="25" s="1"/>
  <c r="DX220" i="25"/>
  <c r="EC220" i="25" s="1"/>
  <c r="DY220" i="25"/>
  <c r="DY35" i="25"/>
  <c r="FL35" i="25" s="1"/>
  <c r="DX287" i="25"/>
  <c r="EC287" i="25" s="1"/>
  <c r="DY287" i="25"/>
  <c r="DX18" i="25"/>
  <c r="EC18" i="25" s="1"/>
  <c r="DY18" i="25"/>
  <c r="FL18" i="25" s="1"/>
  <c r="DY127" i="25"/>
  <c r="CG127" i="25" s="1"/>
  <c r="DX22" i="25"/>
  <c r="EC22" i="25" s="1"/>
  <c r="DY22" i="25"/>
  <c r="FL22" i="25" s="1"/>
  <c r="DX291" i="25"/>
  <c r="EC291" i="25" s="1"/>
  <c r="DY291" i="25"/>
  <c r="DX162" i="25"/>
  <c r="EC162" i="25" s="1"/>
  <c r="DY162" i="25"/>
  <c r="CH162" i="25" s="1"/>
  <c r="DX44" i="25"/>
  <c r="EC44" i="25" s="1"/>
  <c r="DY44" i="25"/>
  <c r="FL44" i="25" s="1"/>
  <c r="DX223" i="25"/>
  <c r="EC223" i="25" s="1"/>
  <c r="DY223" i="25"/>
  <c r="FA142" i="24"/>
  <c r="FA8" i="24"/>
  <c r="EB112" i="24"/>
  <c r="EB43" i="24"/>
  <c r="EY174" i="24"/>
  <c r="FA126" i="24"/>
  <c r="DX224" i="25"/>
  <c r="EC224" i="25" s="1"/>
  <c r="DY224" i="25"/>
  <c r="DX243" i="25"/>
  <c r="EC243" i="25" s="1"/>
  <c r="DY243" i="25"/>
  <c r="DX84" i="25"/>
  <c r="EC84" i="25" s="1"/>
  <c r="DY84" i="25"/>
  <c r="FL84" i="25" s="1"/>
  <c r="DY43" i="25"/>
  <c r="FL43" i="25" s="1"/>
  <c r="DX244" i="25"/>
  <c r="EC244" i="25" s="1"/>
  <c r="DY244" i="25"/>
  <c r="DX252" i="25"/>
  <c r="EC252" i="25" s="1"/>
  <c r="DY252" i="25"/>
  <c r="DX172" i="25"/>
  <c r="EC172" i="25" s="1"/>
  <c r="DY172" i="25"/>
  <c r="CH172" i="25" s="1"/>
  <c r="DY122" i="25"/>
  <c r="CG122" i="25" s="1"/>
  <c r="DX11" i="25"/>
  <c r="EC11" i="25" s="1"/>
  <c r="DY11" i="25"/>
  <c r="FL11" i="25" s="1"/>
  <c r="DX149" i="25"/>
  <c r="EC149" i="25" s="1"/>
  <c r="DY149" i="25"/>
  <c r="CH149" i="25" s="1"/>
  <c r="DX54" i="25"/>
  <c r="EC54" i="25" s="1"/>
  <c r="DY54" i="25"/>
  <c r="FL54" i="25" s="1"/>
  <c r="DX263" i="25"/>
  <c r="EC263" i="25" s="1"/>
  <c r="DY263" i="25"/>
  <c r="DY29" i="25"/>
  <c r="FL29" i="25" s="1"/>
  <c r="DY105" i="25"/>
  <c r="FL105" i="25" s="1"/>
  <c r="DX239" i="25"/>
  <c r="EC239" i="25" s="1"/>
  <c r="DY239" i="25"/>
  <c r="DX292" i="25"/>
  <c r="EC292" i="25" s="1"/>
  <c r="DY292" i="25"/>
  <c r="DX69" i="25"/>
  <c r="EC69" i="25" s="1"/>
  <c r="DY69" i="25"/>
  <c r="FL69" i="25" s="1"/>
  <c r="DY59" i="25"/>
  <c r="FL59" i="25" s="1"/>
  <c r="DY80" i="25"/>
  <c r="FL80" i="25" s="1"/>
  <c r="DX234" i="25"/>
  <c r="EC234" i="25" s="1"/>
  <c r="DY234" i="25"/>
  <c r="DX31" i="25"/>
  <c r="EC31" i="25" s="1"/>
  <c r="DY31" i="25"/>
  <c r="FL31" i="25" s="1"/>
  <c r="DX254" i="25"/>
  <c r="EC254" i="25" s="1"/>
  <c r="DY254" i="25"/>
  <c r="DX235" i="25"/>
  <c r="EC235" i="25" s="1"/>
  <c r="DY235" i="25"/>
  <c r="DX290" i="25"/>
  <c r="EC290" i="25" s="1"/>
  <c r="DY290" i="25"/>
  <c r="DX159" i="25"/>
  <c r="EC159" i="25" s="1"/>
  <c r="DY159" i="25"/>
  <c r="CH159" i="25" s="1"/>
  <c r="DY12" i="25"/>
  <c r="FL12" i="25" s="1"/>
  <c r="DX61" i="25"/>
  <c r="EC61" i="25" s="1"/>
  <c r="DY61" i="25"/>
  <c r="FL61" i="25" s="1"/>
  <c r="DX117" i="25"/>
  <c r="EC117" i="25" s="1"/>
  <c r="DY117" i="25"/>
  <c r="CH117" i="25" s="1"/>
  <c r="DY190" i="25"/>
  <c r="CH190" i="25" s="1"/>
  <c r="DY79" i="25"/>
  <c r="FL79" i="25" s="1"/>
  <c r="DY208" i="25"/>
  <c r="CH208" i="25" s="1"/>
  <c r="DX146" i="25"/>
  <c r="EC146" i="25" s="1"/>
  <c r="DY146" i="25"/>
  <c r="CH146" i="25" s="1"/>
  <c r="EL174" i="24"/>
  <c r="EL126" i="24"/>
  <c r="DX75" i="25"/>
  <c r="EC75" i="25" s="1"/>
  <c r="DY75" i="25"/>
  <c r="FL75" i="25" s="1"/>
  <c r="DX151" i="25"/>
  <c r="EC151" i="25" s="1"/>
  <c r="DY151" i="25"/>
  <c r="CH151" i="25" s="1"/>
  <c r="DX268" i="25"/>
  <c r="EC268" i="25" s="1"/>
  <c r="DY268" i="25"/>
  <c r="DX113" i="25"/>
  <c r="EC113" i="25" s="1"/>
  <c r="DY113" i="25"/>
  <c r="CH113" i="25" s="1"/>
  <c r="DX256" i="25"/>
  <c r="EC256" i="25" s="1"/>
  <c r="DY256" i="25"/>
  <c r="DX222" i="25"/>
  <c r="EC222" i="25" s="1"/>
  <c r="DY222" i="25"/>
  <c r="DX260" i="25"/>
  <c r="EC260" i="25" s="1"/>
  <c r="DY260" i="25"/>
  <c r="DX264" i="25"/>
  <c r="EC264" i="25" s="1"/>
  <c r="DY264" i="25"/>
  <c r="DX296" i="25"/>
  <c r="EC296" i="25" s="1"/>
  <c r="DY296" i="25"/>
  <c r="DX265" i="25"/>
  <c r="EC265" i="25" s="1"/>
  <c r="DY265" i="25"/>
  <c r="DY157" i="25"/>
  <c r="CH157" i="25" s="1"/>
  <c r="DX41" i="25"/>
  <c r="EC41" i="25" s="1"/>
  <c r="DY41" i="25"/>
  <c r="FL41" i="25" s="1"/>
  <c r="DX32" i="25"/>
  <c r="EC32" i="25" s="1"/>
  <c r="DY32" i="25"/>
  <c r="FL32" i="25" s="1"/>
  <c r="DX261" i="25"/>
  <c r="EC261" i="25" s="1"/>
  <c r="DY261" i="25"/>
  <c r="DX55" i="25"/>
  <c r="EC55" i="25" s="1"/>
  <c r="DY55" i="25"/>
  <c r="FL55" i="25" s="1"/>
  <c r="DX249" i="25"/>
  <c r="EC249" i="25" s="1"/>
  <c r="DY249" i="25"/>
  <c r="DX30" i="25"/>
  <c r="EC30" i="25" s="1"/>
  <c r="DY30" i="25"/>
  <c r="FL30" i="25" s="1"/>
  <c r="DX192" i="25"/>
  <c r="EC192" i="25" s="1"/>
  <c r="DY192" i="25"/>
  <c r="CG192" i="25" s="1"/>
  <c r="DX165" i="25"/>
  <c r="EC165" i="25" s="1"/>
  <c r="DY165" i="25"/>
  <c r="CH165" i="25" s="1"/>
  <c r="DX135" i="25"/>
  <c r="EC135" i="25" s="1"/>
  <c r="DY135" i="25"/>
  <c r="CH135" i="25" s="1"/>
  <c r="DX245" i="25"/>
  <c r="EC245" i="25" s="1"/>
  <c r="DY245" i="25"/>
  <c r="DY187" i="25"/>
  <c r="CG187" i="25" s="1"/>
  <c r="DX8" i="25"/>
  <c r="EC8" i="25" s="1"/>
  <c r="DY8" i="25"/>
  <c r="FL8" i="25" s="1"/>
  <c r="DX144" i="25"/>
  <c r="EC144" i="25" s="1"/>
  <c r="DY144" i="25"/>
  <c r="CH144" i="25" s="1"/>
  <c r="DY38" i="25"/>
  <c r="FL38" i="25" s="1"/>
  <c r="DY139" i="25"/>
  <c r="CH139" i="25" s="1"/>
  <c r="DY210" i="25"/>
  <c r="CH210" i="25" s="1"/>
  <c r="DY193" i="25"/>
  <c r="CH193" i="25" s="1"/>
  <c r="DX104" i="25"/>
  <c r="EC104" i="25" s="1"/>
  <c r="DY104" i="25"/>
  <c r="FL104" i="25" s="1"/>
  <c r="FA174" i="24"/>
  <c r="DX272" i="25"/>
  <c r="EC272" i="25" s="1"/>
  <c r="DY272" i="25"/>
  <c r="DX250" i="25"/>
  <c r="EC250" i="25" s="1"/>
  <c r="DY250" i="25"/>
  <c r="EE138" i="25"/>
  <c r="EG138" i="25"/>
  <c r="EX138" i="25" s="1"/>
  <c r="EF138" i="25"/>
  <c r="EW138" i="25" s="1"/>
  <c r="DX167" i="25"/>
  <c r="EC167" i="25" s="1"/>
  <c r="DY167" i="25"/>
  <c r="CH167" i="25" s="1"/>
  <c r="DX266" i="25"/>
  <c r="EC266" i="25" s="1"/>
  <c r="DY266" i="25"/>
  <c r="DX299" i="25"/>
  <c r="EC299" i="25" s="1"/>
  <c r="DY299" i="25"/>
  <c r="DX120" i="25"/>
  <c r="EC120" i="25" s="1"/>
  <c r="DY120" i="25"/>
  <c r="CH120" i="25" s="1"/>
  <c r="DX305" i="25"/>
  <c r="EC305" i="25" s="1"/>
  <c r="DY305" i="25"/>
  <c r="DX142" i="25"/>
  <c r="EC142" i="25" s="1"/>
  <c r="DY142" i="25"/>
  <c r="CH142" i="25" s="1"/>
  <c r="DY126" i="25"/>
  <c r="CH126" i="25" s="1"/>
  <c r="DX277" i="25"/>
  <c r="EC277" i="25" s="1"/>
  <c r="DY277" i="25"/>
  <c r="DX148" i="25"/>
  <c r="EC148" i="25" s="1"/>
  <c r="DY148" i="25"/>
  <c r="CG148" i="25" s="1"/>
  <c r="DX270" i="25"/>
  <c r="EC270" i="25" s="1"/>
  <c r="DY270" i="25"/>
  <c r="DX306" i="25"/>
  <c r="EC306" i="25" s="1"/>
  <c r="DY306" i="25"/>
  <c r="DX289" i="25"/>
  <c r="EC289" i="25" s="1"/>
  <c r="DY289" i="25"/>
  <c r="DX241" i="25"/>
  <c r="EC241" i="25" s="1"/>
  <c r="DY241" i="25"/>
  <c r="DX16" i="25"/>
  <c r="EC16" i="25" s="1"/>
  <c r="DY16" i="25"/>
  <c r="FL16" i="25" s="1"/>
  <c r="DY88" i="25"/>
  <c r="FL88" i="25" s="1"/>
  <c r="DX275" i="25"/>
  <c r="EC275" i="25" s="1"/>
  <c r="DY275" i="25"/>
  <c r="DX240" i="25"/>
  <c r="EC240" i="25" s="1"/>
  <c r="DY240" i="25"/>
  <c r="DX308" i="25"/>
  <c r="EC308" i="25" s="1"/>
  <c r="DY308" i="25"/>
  <c r="DX237" i="25"/>
  <c r="EC237" i="25" s="1"/>
  <c r="DY237" i="25"/>
  <c r="DX186" i="25"/>
  <c r="EC186" i="25" s="1"/>
  <c r="DY186" i="25"/>
  <c r="CH186" i="25" s="1"/>
  <c r="DX283" i="25"/>
  <c r="EC283" i="25" s="1"/>
  <c r="DY283" i="25"/>
  <c r="DX184" i="25"/>
  <c r="EC184" i="25" s="1"/>
  <c r="DY184" i="25"/>
  <c r="CG184" i="25" s="1"/>
  <c r="DX124" i="25"/>
  <c r="EC124" i="25" s="1"/>
  <c r="DY124" i="25"/>
  <c r="CH124" i="25" s="1"/>
  <c r="DX188" i="25"/>
  <c r="EC188" i="25" s="1"/>
  <c r="DY188" i="25"/>
  <c r="CH188" i="25" s="1"/>
  <c r="DX229" i="25"/>
  <c r="EC229" i="25" s="1"/>
  <c r="DY229" i="25"/>
  <c r="DY200" i="25"/>
  <c r="CG200" i="25" s="1"/>
  <c r="DY168" i="25"/>
  <c r="CH168" i="25" s="1"/>
  <c r="DX57" i="25"/>
  <c r="EC57" i="25" s="1"/>
  <c r="DY57" i="25"/>
  <c r="FL57" i="25" s="1"/>
  <c r="DX115" i="25"/>
  <c r="EC115" i="25" s="1"/>
  <c r="DY115" i="25"/>
  <c r="CG115" i="25" s="1"/>
  <c r="DX279" i="25"/>
  <c r="EC279" i="25" s="1"/>
  <c r="DY279" i="25"/>
  <c r="DX226" i="25"/>
  <c r="EC226" i="25" s="1"/>
  <c r="DY226" i="25"/>
  <c r="DX242" i="25"/>
  <c r="EC242" i="25" s="1"/>
  <c r="DY242" i="25"/>
  <c r="EG143" i="25"/>
  <c r="EX143" i="25" s="1"/>
  <c r="EE143" i="25"/>
  <c r="EF143" i="25"/>
  <c r="EW143" i="25" s="1"/>
  <c r="DX295" i="25"/>
  <c r="EC295" i="25" s="1"/>
  <c r="DY295" i="25"/>
  <c r="DX53" i="25"/>
  <c r="EC53" i="25" s="1"/>
  <c r="DY53" i="25"/>
  <c r="FL53" i="25" s="1"/>
  <c r="DX160" i="25"/>
  <c r="EC160" i="25" s="1"/>
  <c r="DY160" i="25"/>
  <c r="CH160" i="25" s="1"/>
  <c r="DY70" i="25"/>
  <c r="FL70" i="25" s="1"/>
  <c r="EB41" i="24"/>
  <c r="EL193" i="24"/>
  <c r="EL183" i="24"/>
  <c r="EY173" i="24"/>
  <c r="DX116" i="25"/>
  <c r="EC116" i="25" s="1"/>
  <c r="DY116" i="25"/>
  <c r="CH116" i="25" s="1"/>
  <c r="DY189" i="25"/>
  <c r="CH189" i="25" s="1"/>
  <c r="DX140" i="25"/>
  <c r="EC140" i="25" s="1"/>
  <c r="DY140" i="25"/>
  <c r="CH140" i="25" s="1"/>
  <c r="DX67" i="25"/>
  <c r="EC67" i="25" s="1"/>
  <c r="DY67" i="25"/>
  <c r="FL67" i="25" s="1"/>
  <c r="DY179" i="25"/>
  <c r="CH179" i="25" s="1"/>
  <c r="DX205" i="25"/>
  <c r="EC205" i="25" s="1"/>
  <c r="DY205" i="25"/>
  <c r="CG205" i="25" s="1"/>
  <c r="DX150" i="25"/>
  <c r="EC150" i="25" s="1"/>
  <c r="DY150" i="25"/>
  <c r="CH150" i="25" s="1"/>
  <c r="DX201" i="25"/>
  <c r="EC201" i="25" s="1"/>
  <c r="DY201" i="25"/>
  <c r="CH201" i="25" s="1"/>
  <c r="DY14" i="25"/>
  <c r="FL14" i="25" s="1"/>
  <c r="DY24" i="25"/>
  <c r="FL24" i="25" s="1"/>
  <c r="DX85" i="25"/>
  <c r="EC85" i="25" s="1"/>
  <c r="DY85" i="25"/>
  <c r="FL85" i="25" s="1"/>
  <c r="DY174" i="25"/>
  <c r="CG174" i="25" s="1"/>
  <c r="DX315" i="25"/>
  <c r="EC315" i="25" s="1"/>
  <c r="DY315" i="25"/>
  <c r="DY177" i="25"/>
  <c r="CH177" i="25" s="1"/>
  <c r="DY86" i="25"/>
  <c r="FL86" i="25" s="1"/>
  <c r="DX110" i="25"/>
  <c r="EC110" i="25" s="1"/>
  <c r="DY110" i="25"/>
  <c r="CH110" i="25" s="1"/>
  <c r="DX62" i="25"/>
  <c r="EC62" i="25" s="1"/>
  <c r="DY62" i="25"/>
  <c r="FL62" i="25" s="1"/>
  <c r="DY48" i="25"/>
  <c r="FL48" i="25" s="1"/>
  <c r="DY60" i="25"/>
  <c r="FL60" i="25" s="1"/>
  <c r="DX7" i="25"/>
  <c r="EC7" i="25" s="1"/>
  <c r="DY7" i="25"/>
  <c r="FL7" i="25" s="1"/>
  <c r="DX288" i="25"/>
  <c r="EC288" i="25" s="1"/>
  <c r="DY288" i="25"/>
  <c r="DX154" i="25"/>
  <c r="EC154" i="25" s="1"/>
  <c r="DY154" i="25"/>
  <c r="CH154" i="25" s="1"/>
  <c r="DX198" i="25"/>
  <c r="EC198" i="25" s="1"/>
  <c r="DY198" i="25"/>
  <c r="CG198" i="25" s="1"/>
  <c r="DY170" i="25"/>
  <c r="CG170" i="25" s="1"/>
  <c r="DX251" i="25"/>
  <c r="EC251" i="25" s="1"/>
  <c r="DY251" i="25"/>
  <c r="DX248" i="25"/>
  <c r="EC248" i="25" s="1"/>
  <c r="DY248" i="25"/>
  <c r="DX228" i="25"/>
  <c r="EC228" i="25" s="1"/>
  <c r="DY228" i="25"/>
  <c r="DY147" i="25"/>
  <c r="CG147" i="25" s="1"/>
  <c r="DY45" i="25"/>
  <c r="FL45" i="25" s="1"/>
  <c r="DX202" i="25"/>
  <c r="EC202" i="25" s="1"/>
  <c r="DY202" i="25"/>
  <c r="CH202" i="25" s="1"/>
  <c r="DX303" i="25"/>
  <c r="EC303" i="25" s="1"/>
  <c r="DY303" i="25"/>
  <c r="DY66" i="25"/>
  <c r="FL66" i="25" s="1"/>
  <c r="DX102" i="25"/>
  <c r="EC102" i="25" s="1"/>
  <c r="DY102" i="25"/>
  <c r="FL102" i="25" s="1"/>
  <c r="DY72" i="25"/>
  <c r="FL72" i="25" s="1"/>
  <c r="DX231" i="25"/>
  <c r="EC231" i="25" s="1"/>
  <c r="DY231" i="25"/>
  <c r="DX63" i="25"/>
  <c r="EC63" i="25" s="1"/>
  <c r="DY63" i="25"/>
  <c r="FL63" i="25" s="1"/>
  <c r="FA98" i="24"/>
  <c r="DX247" i="25"/>
  <c r="EC247" i="25" s="1"/>
  <c r="DY247" i="25"/>
  <c r="DX152" i="25"/>
  <c r="EC152" i="25" s="1"/>
  <c r="DY152" i="25"/>
  <c r="CH152" i="25" s="1"/>
  <c r="DX195" i="25"/>
  <c r="EC195" i="25" s="1"/>
  <c r="DY195" i="25"/>
  <c r="CH195" i="25" s="1"/>
  <c r="DX134" i="25"/>
  <c r="EC134" i="25" s="1"/>
  <c r="DY134" i="25"/>
  <c r="CH134" i="25" s="1"/>
  <c r="DX294" i="25"/>
  <c r="EC294" i="25" s="1"/>
  <c r="DY294" i="25"/>
  <c r="DY51" i="25"/>
  <c r="FL51" i="25" s="1"/>
  <c r="DX259" i="25"/>
  <c r="EC259" i="25" s="1"/>
  <c r="DY259" i="25"/>
  <c r="DY121" i="25"/>
  <c r="CH121" i="25" s="1"/>
  <c r="DX310" i="25"/>
  <c r="EC310" i="25" s="1"/>
  <c r="DY310" i="25"/>
  <c r="DX221" i="25"/>
  <c r="EC221" i="25" s="1"/>
  <c r="DY221" i="25"/>
  <c r="DX36" i="25"/>
  <c r="EC36" i="25" s="1"/>
  <c r="DY36" i="25"/>
  <c r="FL36" i="25" s="1"/>
  <c r="DX176" i="25"/>
  <c r="EC176" i="25" s="1"/>
  <c r="DY176" i="25"/>
  <c r="CH176" i="25" s="1"/>
  <c r="DX161" i="25"/>
  <c r="EC161" i="25" s="1"/>
  <c r="DY161" i="25"/>
  <c r="CH161" i="25" s="1"/>
  <c r="DX225" i="25"/>
  <c r="EC225" i="25" s="1"/>
  <c r="DY225" i="25"/>
  <c r="DX232" i="25"/>
  <c r="EC232" i="25" s="1"/>
  <c r="DY232" i="25"/>
  <c r="DX302" i="25"/>
  <c r="EC302" i="25" s="1"/>
  <c r="DY302" i="25"/>
  <c r="DX309" i="25"/>
  <c r="EC309" i="25" s="1"/>
  <c r="DY309" i="25"/>
  <c r="DX197" i="25"/>
  <c r="EC197" i="25" s="1"/>
  <c r="DY197" i="25"/>
  <c r="CH197" i="25" s="1"/>
  <c r="DX76" i="25"/>
  <c r="EC76" i="25" s="1"/>
  <c r="DY76" i="25"/>
  <c r="FL76" i="25" s="1"/>
  <c r="DX82" i="25"/>
  <c r="EC82" i="25" s="1"/>
  <c r="DY82" i="25"/>
  <c r="FL82" i="25" s="1"/>
  <c r="DY191" i="25"/>
  <c r="CH191" i="25" s="1"/>
  <c r="DX280" i="25"/>
  <c r="EC280" i="25" s="1"/>
  <c r="DY280" i="25"/>
  <c r="DX311" i="25"/>
  <c r="EC311" i="25" s="1"/>
  <c r="DY311" i="25"/>
  <c r="DY203" i="25"/>
  <c r="CH203" i="25" s="1"/>
  <c r="DY15" i="25"/>
  <c r="FL15" i="25" s="1"/>
  <c r="DY40" i="25"/>
  <c r="FL40" i="25" s="1"/>
  <c r="DX118" i="25"/>
  <c r="EC118" i="25" s="1"/>
  <c r="DY118" i="25"/>
  <c r="CG118" i="25" s="1"/>
  <c r="DX233" i="25"/>
  <c r="EC233" i="25" s="1"/>
  <c r="DY233" i="25"/>
  <c r="DX218" i="25"/>
  <c r="EC218" i="25" s="1"/>
  <c r="DY218" i="25"/>
  <c r="DX217" i="25"/>
  <c r="EC217" i="25" s="1"/>
  <c r="DY217" i="25"/>
  <c r="DX255" i="25"/>
  <c r="EC255" i="25" s="1"/>
  <c r="DY255" i="25"/>
  <c r="DX52" i="25"/>
  <c r="EC52" i="25" s="1"/>
  <c r="DY52" i="25"/>
  <c r="FL52" i="25" s="1"/>
  <c r="DX297" i="25"/>
  <c r="EC297" i="25" s="1"/>
  <c r="DY297" i="25"/>
  <c r="DX307" i="25"/>
  <c r="EC307" i="25" s="1"/>
  <c r="DY307" i="25"/>
  <c r="DX216" i="25"/>
  <c r="EC216" i="25" s="1"/>
  <c r="DY216" i="25"/>
  <c r="DX28" i="25"/>
  <c r="EC28" i="25" s="1"/>
  <c r="DY28" i="25"/>
  <c r="FL28" i="25" s="1"/>
  <c r="DX286" i="25"/>
  <c r="EC286" i="25" s="1"/>
  <c r="DY286" i="25"/>
  <c r="DX155" i="25"/>
  <c r="EC155" i="25" s="1"/>
  <c r="DY155" i="25"/>
  <c r="CG155" i="25" s="1"/>
  <c r="DX314" i="25"/>
  <c r="EC314" i="25" s="1"/>
  <c r="DY314" i="25"/>
  <c r="DX196" i="25"/>
  <c r="EC196" i="25" s="1"/>
  <c r="DY196" i="25"/>
  <c r="CH196" i="25" s="1"/>
  <c r="DX284" i="25"/>
  <c r="EC284" i="25" s="1"/>
  <c r="DY284" i="25"/>
  <c r="DX281" i="25"/>
  <c r="EC281" i="25" s="1"/>
  <c r="DY281" i="25"/>
  <c r="DX130" i="25"/>
  <c r="EC130" i="25" s="1"/>
  <c r="DY130" i="25"/>
  <c r="CG130" i="25" s="1"/>
  <c r="DX46" i="25"/>
  <c r="EC46" i="25" s="1"/>
  <c r="DY46" i="25"/>
  <c r="FL46" i="25" s="1"/>
  <c r="DY175" i="25"/>
  <c r="CH175" i="25" s="1"/>
  <c r="DX304" i="25"/>
  <c r="EC304" i="25" s="1"/>
  <c r="DY304" i="25"/>
  <c r="DX262" i="25"/>
  <c r="EC262" i="25" s="1"/>
  <c r="DY262" i="25"/>
  <c r="DX206" i="25"/>
  <c r="EC206" i="25" s="1"/>
  <c r="DY206" i="25"/>
  <c r="CH206" i="25" s="1"/>
  <c r="DX21" i="25"/>
  <c r="EC21" i="25" s="1"/>
  <c r="DY21" i="25"/>
  <c r="FL21" i="25" s="1"/>
  <c r="DY27" i="25"/>
  <c r="FL27" i="25" s="1"/>
  <c r="DX94" i="25"/>
  <c r="EC94" i="25" s="1"/>
  <c r="DY94" i="25"/>
  <c r="FL94" i="25" s="1"/>
  <c r="DX153" i="25"/>
  <c r="EC153" i="25" s="1"/>
  <c r="DY153" i="25"/>
  <c r="CH153" i="25" s="1"/>
  <c r="DX316" i="25"/>
  <c r="EC316" i="25" s="1"/>
  <c r="DY316" i="25"/>
  <c r="DX298" i="25"/>
  <c r="EC298" i="25" s="1"/>
  <c r="DY298" i="25"/>
  <c r="DY119" i="25"/>
  <c r="CG119" i="25" s="1"/>
  <c r="DX253" i="25"/>
  <c r="EC253" i="25" s="1"/>
  <c r="DY253" i="25"/>
  <c r="DX219" i="25"/>
  <c r="EC219" i="25" s="1"/>
  <c r="DY219" i="25"/>
  <c r="DX101" i="25"/>
  <c r="EC101" i="25" s="1"/>
  <c r="DY101" i="25"/>
  <c r="FL101" i="25" s="1"/>
  <c r="DX258" i="25"/>
  <c r="EC258" i="25" s="1"/>
  <c r="DY258" i="25"/>
  <c r="DX285" i="25"/>
  <c r="EC285" i="25" s="1"/>
  <c r="DY285" i="25"/>
  <c r="DX293" i="25"/>
  <c r="EC293" i="25" s="1"/>
  <c r="DY293" i="25"/>
  <c r="DX163" i="25"/>
  <c r="EC163" i="25" s="1"/>
  <c r="DY163" i="25"/>
  <c r="CH163" i="25" s="1"/>
  <c r="DX273" i="25"/>
  <c r="EC273" i="25" s="1"/>
  <c r="DY273" i="25"/>
  <c r="DX39" i="25"/>
  <c r="EC39" i="25" s="1"/>
  <c r="DY39" i="25"/>
  <c r="FL39" i="25" s="1"/>
  <c r="EF181" i="25"/>
  <c r="EW181" i="25" s="1"/>
  <c r="EG181" i="25"/>
  <c r="EX181" i="25" s="1"/>
  <c r="EE181" i="25"/>
  <c r="DX238" i="25"/>
  <c r="EC238" i="25" s="1"/>
  <c r="DY238" i="25"/>
  <c r="DX246" i="25"/>
  <c r="EC246" i="25" s="1"/>
  <c r="DY246" i="25"/>
  <c r="DX10" i="25"/>
  <c r="EC10" i="25" s="1"/>
  <c r="DY10" i="25"/>
  <c r="FL10" i="25" s="1"/>
  <c r="DX276" i="25"/>
  <c r="EC276" i="25" s="1"/>
  <c r="DY276" i="25"/>
  <c r="DX227" i="25"/>
  <c r="EC227" i="25" s="1"/>
  <c r="DY227" i="25"/>
  <c r="DX274" i="25"/>
  <c r="EC274" i="25" s="1"/>
  <c r="DY274" i="25"/>
  <c r="DX282" i="25"/>
  <c r="EC282" i="25" s="1"/>
  <c r="DY282" i="25"/>
  <c r="DX123" i="25"/>
  <c r="EC123" i="25" s="1"/>
  <c r="DY123" i="25"/>
  <c r="CH123" i="25" s="1"/>
  <c r="DX71" i="25"/>
  <c r="EC71" i="25" s="1"/>
  <c r="DY71" i="25"/>
  <c r="FL71" i="25" s="1"/>
  <c r="DX312" i="25"/>
  <c r="EC312" i="25" s="1"/>
  <c r="DY312" i="25"/>
  <c r="DX26" i="25"/>
  <c r="EC26" i="25" s="1"/>
  <c r="DY26" i="25"/>
  <c r="FL26" i="25" s="1"/>
  <c r="DX166" i="25"/>
  <c r="EC166" i="25" s="1"/>
  <c r="DY166" i="25"/>
  <c r="CH166" i="25" s="1"/>
  <c r="DX236" i="25"/>
  <c r="EC236" i="25" s="1"/>
  <c r="DY236" i="25"/>
  <c r="DX207" i="25"/>
  <c r="EC207" i="25" s="1"/>
  <c r="DY207" i="25"/>
  <c r="CH207" i="25" s="1"/>
  <c r="DX269" i="25"/>
  <c r="EC269" i="25" s="1"/>
  <c r="DY269" i="25"/>
  <c r="DY100" i="25"/>
  <c r="FL100" i="25" s="1"/>
  <c r="DX301" i="25"/>
  <c r="EC301" i="25" s="1"/>
  <c r="DY301" i="25"/>
  <c r="EY33" i="24"/>
  <c r="EB71" i="24"/>
  <c r="FA33" i="24"/>
  <c r="EY71" i="24"/>
  <c r="EL71" i="24"/>
  <c r="FA13" i="24"/>
  <c r="EL33" i="24"/>
  <c r="EB35" i="24"/>
  <c r="FA35" i="24"/>
  <c r="EL44" i="24"/>
  <c r="EY35" i="24"/>
  <c r="EY44" i="24"/>
  <c r="EB44" i="24"/>
  <c r="EL62" i="24"/>
  <c r="EL171" i="24"/>
  <c r="EB55" i="24"/>
  <c r="EB62" i="24"/>
  <c r="EY55" i="24"/>
  <c r="EY14" i="24"/>
  <c r="EB133" i="24"/>
  <c r="EY124" i="24"/>
  <c r="FA133" i="24"/>
  <c r="EB60" i="24"/>
  <c r="EB172" i="24"/>
  <c r="EY65" i="24"/>
  <c r="EL60" i="24"/>
  <c r="FA54" i="24"/>
  <c r="EB42" i="24"/>
  <c r="EL65" i="24"/>
  <c r="FA129" i="24"/>
  <c r="EY127" i="24"/>
  <c r="FA60" i="24"/>
  <c r="EY67" i="24"/>
  <c r="EL54" i="24"/>
  <c r="FA65" i="24"/>
  <c r="EB129" i="24"/>
  <c r="EL67" i="24"/>
  <c r="EB88" i="24"/>
  <c r="EN88" i="24"/>
  <c r="DW88" i="24"/>
  <c r="EM88" i="24"/>
  <c r="EP88" i="24" s="1"/>
  <c r="DU88" i="24"/>
  <c r="EL88" i="24"/>
  <c r="FA88" i="24"/>
  <c r="EY88" i="24"/>
  <c r="EL89" i="24"/>
  <c r="DW38" i="24"/>
  <c r="EN38" i="24"/>
  <c r="EM38" i="24"/>
  <c r="EP38" i="24" s="1"/>
  <c r="DU38" i="24"/>
  <c r="EY38" i="24"/>
  <c r="EL38" i="24"/>
  <c r="EB38" i="24"/>
  <c r="FA38" i="24"/>
  <c r="DW308" i="24"/>
  <c r="DU308" i="24"/>
  <c r="DW278" i="24"/>
  <c r="DU278" i="24"/>
  <c r="EN81" i="24"/>
  <c r="DW81" i="24"/>
  <c r="DY81" i="24" s="1"/>
  <c r="EF81" i="24" s="1"/>
  <c r="EM81" i="24"/>
  <c r="EP81" i="24" s="1"/>
  <c r="DU81" i="24"/>
  <c r="DW233" i="24"/>
  <c r="DU233" i="24"/>
  <c r="DW192" i="24"/>
  <c r="DY192" i="24" s="1"/>
  <c r="EF192" i="24" s="1"/>
  <c r="EN192" i="24"/>
  <c r="EM192" i="24"/>
  <c r="EP192" i="24" s="1"/>
  <c r="FA29" i="24"/>
  <c r="FA52" i="24"/>
  <c r="EN52" i="24"/>
  <c r="DW52" i="24"/>
  <c r="DY52" i="24" s="1"/>
  <c r="EF52" i="24" s="1"/>
  <c r="EM52" i="24"/>
  <c r="EP52" i="24" s="1"/>
  <c r="DU52" i="24"/>
  <c r="EE161" i="24"/>
  <c r="EE70" i="24"/>
  <c r="EE33" i="24"/>
  <c r="DW255" i="24"/>
  <c r="DU255" i="24"/>
  <c r="EL121" i="24"/>
  <c r="DW121" i="24"/>
  <c r="EN121" i="24"/>
  <c r="EM121" i="24"/>
  <c r="EP121" i="24" s="1"/>
  <c r="EY121" i="24"/>
  <c r="EB121" i="24"/>
  <c r="FA121" i="24"/>
  <c r="EL185" i="24"/>
  <c r="DW277" i="24"/>
  <c r="DU277" i="24"/>
  <c r="DW194" i="24"/>
  <c r="EN194" i="24"/>
  <c r="EM194" i="24"/>
  <c r="EP194" i="24" s="1"/>
  <c r="EB194" i="24"/>
  <c r="FA194" i="24"/>
  <c r="EL194" i="24"/>
  <c r="EY194" i="24"/>
  <c r="DW82" i="24"/>
  <c r="EN82" i="24"/>
  <c r="EM82" i="24"/>
  <c r="EP82" i="24" s="1"/>
  <c r="DU82" i="24"/>
  <c r="EB82" i="24"/>
  <c r="FA82" i="24"/>
  <c r="EL82" i="24"/>
  <c r="EY82" i="24"/>
  <c r="DW241" i="24"/>
  <c r="DU241" i="24"/>
  <c r="EE202" i="24"/>
  <c r="EL162" i="24"/>
  <c r="DW162" i="24"/>
  <c r="EN162" i="24"/>
  <c r="EM162" i="24"/>
  <c r="EP162" i="24" s="1"/>
  <c r="EY162" i="24"/>
  <c r="FA162" i="24"/>
  <c r="EB162" i="24"/>
  <c r="EE112" i="24"/>
  <c r="EL192" i="24"/>
  <c r="DW76" i="24"/>
  <c r="EN76" i="24"/>
  <c r="EM76" i="24"/>
  <c r="EP76" i="24" s="1"/>
  <c r="DU76" i="24"/>
  <c r="FA76" i="24"/>
  <c r="EY76" i="24"/>
  <c r="EL76" i="24"/>
  <c r="EB76" i="24"/>
  <c r="EE54" i="24"/>
  <c r="EB183" i="24"/>
  <c r="EL175" i="24"/>
  <c r="DW286" i="24"/>
  <c r="DU286" i="24"/>
  <c r="DW18" i="24"/>
  <c r="EN18" i="24"/>
  <c r="EM18" i="24"/>
  <c r="EP18" i="24" s="1"/>
  <c r="DU18" i="24"/>
  <c r="EL18" i="24"/>
  <c r="EB18" i="24"/>
  <c r="EY18" i="24"/>
  <c r="FA18" i="24"/>
  <c r="EL197" i="24"/>
  <c r="EY42" i="24"/>
  <c r="DW132" i="24"/>
  <c r="DY132" i="24" s="1"/>
  <c r="EF132" i="24" s="1"/>
  <c r="EN132" i="24"/>
  <c r="EM132" i="24"/>
  <c r="EP132" i="24" s="1"/>
  <c r="EB47" i="24"/>
  <c r="EE159" i="24"/>
  <c r="FA83" i="24"/>
  <c r="EN104" i="24"/>
  <c r="DW104" i="24"/>
  <c r="DY104" i="24" s="1"/>
  <c r="EF104" i="24" s="1"/>
  <c r="EM104" i="24"/>
  <c r="EP104" i="24" s="1"/>
  <c r="DU104" i="24"/>
  <c r="EB138" i="24"/>
  <c r="EN40" i="24"/>
  <c r="DW40" i="24"/>
  <c r="DY40" i="24" s="1"/>
  <c r="EF40" i="24" s="1"/>
  <c r="EM40" i="24"/>
  <c r="EP40" i="24" s="1"/>
  <c r="DU40" i="24"/>
  <c r="DW9" i="24"/>
  <c r="EN9" i="24"/>
  <c r="EM9" i="24"/>
  <c r="EP9" i="24" s="1"/>
  <c r="DU9" i="24"/>
  <c r="FA9" i="24"/>
  <c r="EB9" i="24"/>
  <c r="EY9" i="24"/>
  <c r="EL9" i="24"/>
  <c r="EE50" i="24"/>
  <c r="EE65" i="24"/>
  <c r="EL10" i="24"/>
  <c r="EL124" i="24"/>
  <c r="EY81" i="24"/>
  <c r="DW217" i="24"/>
  <c r="DU217" i="24"/>
  <c r="DW71" i="24"/>
  <c r="DY71" i="24" s="1"/>
  <c r="EF71" i="24" s="1"/>
  <c r="EN71" i="24"/>
  <c r="EM71" i="24"/>
  <c r="EP71" i="24" s="1"/>
  <c r="DU71" i="24"/>
  <c r="DW159" i="24"/>
  <c r="DY159" i="24" s="1"/>
  <c r="EF159" i="24" s="1"/>
  <c r="EN159" i="24"/>
  <c r="EM159" i="24"/>
  <c r="EP159" i="24" s="1"/>
  <c r="EE114" i="24"/>
  <c r="DW302" i="24"/>
  <c r="DU302" i="24"/>
  <c r="EL23" i="24"/>
  <c r="DW296" i="24"/>
  <c r="DU296" i="24"/>
  <c r="EN133" i="24"/>
  <c r="DW133" i="24"/>
  <c r="DY133" i="24" s="1"/>
  <c r="EF133" i="24" s="1"/>
  <c r="EM133" i="24"/>
  <c r="EP133" i="24" s="1"/>
  <c r="EL14" i="24"/>
  <c r="EB155" i="24"/>
  <c r="EE80" i="24"/>
  <c r="EB199" i="24"/>
  <c r="EE53" i="24"/>
  <c r="EE129" i="24"/>
  <c r="DW313" i="24"/>
  <c r="DU313" i="24"/>
  <c r="DW126" i="24"/>
  <c r="DY126" i="24" s="1"/>
  <c r="EF126" i="24" s="1"/>
  <c r="EN126" i="24"/>
  <c r="EM126" i="24"/>
  <c r="EP126" i="24" s="1"/>
  <c r="DW115" i="24"/>
  <c r="EN115" i="24"/>
  <c r="EM115" i="24"/>
  <c r="EP115" i="24" s="1"/>
  <c r="EY115" i="24"/>
  <c r="EL115" i="24"/>
  <c r="FA115" i="24"/>
  <c r="EB115" i="24"/>
  <c r="EE150" i="24"/>
  <c r="DW160" i="24"/>
  <c r="DY160" i="24" s="1"/>
  <c r="EF160" i="24" s="1"/>
  <c r="EN160" i="24"/>
  <c r="EM160" i="24"/>
  <c r="EP160" i="24" s="1"/>
  <c r="EE41" i="24"/>
  <c r="EN30" i="24"/>
  <c r="DW30" i="24"/>
  <c r="DY30" i="24" s="1"/>
  <c r="EF30" i="24" s="1"/>
  <c r="EM30" i="24"/>
  <c r="EP30" i="24" s="1"/>
  <c r="DU30" i="24"/>
  <c r="EB89" i="24"/>
  <c r="DW300" i="24"/>
  <c r="DU300" i="24"/>
  <c r="DW64" i="24"/>
  <c r="EN64" i="24"/>
  <c r="EM64" i="24"/>
  <c r="EP64" i="24" s="1"/>
  <c r="DU64" i="24"/>
  <c r="EB64" i="24"/>
  <c r="EL64" i="24"/>
  <c r="FA64" i="24"/>
  <c r="EY64" i="24"/>
  <c r="EE154" i="24"/>
  <c r="EE68" i="24"/>
  <c r="EE158" i="24"/>
  <c r="EN191" i="24"/>
  <c r="DW191" i="24"/>
  <c r="EM191" i="24"/>
  <c r="EP191" i="24" s="1"/>
  <c r="FA191" i="24"/>
  <c r="EL191" i="24"/>
  <c r="EB191" i="24"/>
  <c r="EY191" i="24"/>
  <c r="DW148" i="24"/>
  <c r="EN148" i="24"/>
  <c r="EM148" i="24"/>
  <c r="EP148" i="24" s="1"/>
  <c r="EL148" i="24"/>
  <c r="EY148" i="24"/>
  <c r="FA148" i="24"/>
  <c r="EB148" i="24"/>
  <c r="DW269" i="24"/>
  <c r="DU269" i="24"/>
  <c r="EN203" i="24"/>
  <c r="DW203" i="24"/>
  <c r="EM203" i="24"/>
  <c r="EP203" i="24" s="1"/>
  <c r="EY203" i="24"/>
  <c r="FA203" i="24"/>
  <c r="EB203" i="24"/>
  <c r="EL203" i="24"/>
  <c r="DW94" i="24"/>
  <c r="EN94" i="24"/>
  <c r="EM94" i="24"/>
  <c r="EP94" i="24" s="1"/>
  <c r="DU94" i="24"/>
  <c r="EY94" i="24"/>
  <c r="EB94" i="24"/>
  <c r="EL94" i="24"/>
  <c r="FA94" i="24"/>
  <c r="EB29" i="24"/>
  <c r="DW291" i="24"/>
  <c r="DU291" i="24"/>
  <c r="EL8" i="24"/>
  <c r="DW239" i="24"/>
  <c r="DU239" i="24"/>
  <c r="EE177" i="24"/>
  <c r="DW7" i="24"/>
  <c r="EN7" i="24"/>
  <c r="EM7" i="24"/>
  <c r="EP7" i="24" s="1"/>
  <c r="DU7" i="24"/>
  <c r="EL7" i="24"/>
  <c r="FA7" i="24"/>
  <c r="EY7" i="24"/>
  <c r="EB7" i="24"/>
  <c r="EE164" i="24"/>
  <c r="EY50" i="24"/>
  <c r="DW50" i="24"/>
  <c r="DY50" i="24" s="1"/>
  <c r="EF50" i="24" s="1"/>
  <c r="EN50" i="24"/>
  <c r="EM50" i="24"/>
  <c r="EP50" i="24" s="1"/>
  <c r="DU50" i="24"/>
  <c r="DW240" i="24"/>
  <c r="DU240" i="24"/>
  <c r="DW46" i="24"/>
  <c r="EN46" i="24"/>
  <c r="EM46" i="24"/>
  <c r="EP46" i="24" s="1"/>
  <c r="DU46" i="24"/>
  <c r="EY46" i="24"/>
  <c r="EB46" i="24"/>
  <c r="FA46" i="24"/>
  <c r="EL46" i="24"/>
  <c r="DW196" i="24"/>
  <c r="EN196" i="24"/>
  <c r="EM196" i="24"/>
  <c r="EP196" i="24" s="1"/>
  <c r="FA196" i="24"/>
  <c r="EL196" i="24"/>
  <c r="EY196" i="24"/>
  <c r="EB196" i="24"/>
  <c r="EN125" i="24"/>
  <c r="DW125" i="24"/>
  <c r="EM125" i="24"/>
  <c r="EP125" i="24" s="1"/>
  <c r="EB125" i="24"/>
  <c r="EL125" i="24"/>
  <c r="EY125" i="24"/>
  <c r="FA125" i="24"/>
  <c r="EN172" i="24"/>
  <c r="DW172" i="24"/>
  <c r="DY172" i="24" s="1"/>
  <c r="EF172" i="24" s="1"/>
  <c r="EM172" i="24"/>
  <c r="EP172" i="24" s="1"/>
  <c r="DW229" i="24"/>
  <c r="DU229" i="24"/>
  <c r="DW198" i="24"/>
  <c r="EN198" i="24"/>
  <c r="EM198" i="24"/>
  <c r="EP198" i="24" s="1"/>
  <c r="FA198" i="24"/>
  <c r="EL198" i="24"/>
  <c r="EY198" i="24"/>
  <c r="EB198" i="24"/>
  <c r="EL149" i="24"/>
  <c r="EN149" i="24"/>
  <c r="DW149" i="24"/>
  <c r="EM149" i="24"/>
  <c r="EP149" i="24" s="1"/>
  <c r="EB149" i="24"/>
  <c r="FA149" i="24"/>
  <c r="EY149" i="24"/>
  <c r="EB192" i="24"/>
  <c r="EN165" i="24"/>
  <c r="DW165" i="24"/>
  <c r="EM165" i="24"/>
  <c r="EP165" i="24" s="1"/>
  <c r="FA165" i="24"/>
  <c r="EB165" i="24"/>
  <c r="EY165" i="24"/>
  <c r="EL165" i="24"/>
  <c r="DW116" i="24"/>
  <c r="EN116" i="24"/>
  <c r="EM116" i="24"/>
  <c r="EP116" i="24" s="1"/>
  <c r="EL116" i="24"/>
  <c r="FA116" i="24"/>
  <c r="EB116" i="24"/>
  <c r="EY116" i="24"/>
  <c r="FA175" i="24"/>
  <c r="EL160" i="24"/>
  <c r="DW184" i="24"/>
  <c r="EN184" i="24"/>
  <c r="EM184" i="24"/>
  <c r="EP184" i="24" s="1"/>
  <c r="FA184" i="24"/>
  <c r="EY184" i="24"/>
  <c r="EL184" i="24"/>
  <c r="EB184" i="24"/>
  <c r="EE171" i="24"/>
  <c r="FA42" i="24"/>
  <c r="EY13" i="24"/>
  <c r="DW13" i="24"/>
  <c r="DY13" i="24" s="1"/>
  <c r="EF13" i="24" s="1"/>
  <c r="EN13" i="24"/>
  <c r="EM13" i="24"/>
  <c r="EP13" i="24" s="1"/>
  <c r="DU13" i="24"/>
  <c r="EY47" i="24"/>
  <c r="EB83" i="24"/>
  <c r="EY172" i="24"/>
  <c r="DW156" i="24"/>
  <c r="EN156" i="24"/>
  <c r="EM156" i="24"/>
  <c r="EP156" i="24" s="1"/>
  <c r="EB156" i="24"/>
  <c r="FA156" i="24"/>
  <c r="EY156" i="24"/>
  <c r="EL156" i="24"/>
  <c r="EY10" i="24"/>
  <c r="DW33" i="24"/>
  <c r="DY33" i="24" s="1"/>
  <c r="EF33" i="24" s="1"/>
  <c r="EN33" i="24"/>
  <c r="EM33" i="24"/>
  <c r="EP33" i="24" s="1"/>
  <c r="DU33" i="24"/>
  <c r="FA81" i="24"/>
  <c r="EL30" i="24"/>
  <c r="DW147" i="24"/>
  <c r="DY147" i="24" s="1"/>
  <c r="EF147" i="24" s="1"/>
  <c r="EN147" i="24"/>
  <c r="EM147" i="24"/>
  <c r="EP147" i="24" s="1"/>
  <c r="DW142" i="24"/>
  <c r="DY142" i="24" s="1"/>
  <c r="EF142" i="24" s="1"/>
  <c r="EN142" i="24"/>
  <c r="EM142" i="24"/>
  <c r="EP142" i="24" s="1"/>
  <c r="DW235" i="24"/>
  <c r="DU235" i="24"/>
  <c r="EE209" i="24"/>
  <c r="FA157" i="24"/>
  <c r="EE201" i="24"/>
  <c r="EE173" i="24"/>
  <c r="EY17" i="24"/>
  <c r="EN17" i="24"/>
  <c r="DW17" i="24"/>
  <c r="EM17" i="24"/>
  <c r="EP17" i="24" s="1"/>
  <c r="DU17" i="24"/>
  <c r="FA17" i="24"/>
  <c r="EB17" i="24"/>
  <c r="EL17" i="24"/>
  <c r="EB14" i="24"/>
  <c r="DW93" i="24"/>
  <c r="EN93" i="24"/>
  <c r="EM93" i="24"/>
  <c r="EP93" i="24" s="1"/>
  <c r="DU93" i="24"/>
  <c r="EL93" i="24"/>
  <c r="FA93" i="24"/>
  <c r="EB93" i="24"/>
  <c r="EY93" i="24"/>
  <c r="DW279" i="24"/>
  <c r="DU279" i="24"/>
  <c r="DW309" i="24"/>
  <c r="DU309" i="24"/>
  <c r="DW271" i="24"/>
  <c r="DU271" i="24"/>
  <c r="DW11" i="24"/>
  <c r="EN11" i="24"/>
  <c r="EM11" i="24"/>
  <c r="EP11" i="24" s="1"/>
  <c r="DU11" i="24"/>
  <c r="EL11" i="24"/>
  <c r="EB11" i="24"/>
  <c r="FA11" i="24"/>
  <c r="EY11" i="24"/>
  <c r="EL199" i="24"/>
  <c r="EN20" i="24"/>
  <c r="DW20" i="24"/>
  <c r="EM20" i="24"/>
  <c r="EP20" i="24" s="1"/>
  <c r="DU20" i="24"/>
  <c r="EB20" i="24"/>
  <c r="FA20" i="24"/>
  <c r="EL20" i="24"/>
  <c r="EY20" i="24"/>
  <c r="DW276" i="24"/>
  <c r="DU276" i="24"/>
  <c r="DW288" i="24"/>
  <c r="DU288" i="24"/>
  <c r="FA127" i="24"/>
  <c r="DW127" i="24"/>
  <c r="DY127" i="24" s="1"/>
  <c r="EF127" i="24" s="1"/>
  <c r="EN127" i="24"/>
  <c r="EM127" i="24"/>
  <c r="EP127" i="24" s="1"/>
  <c r="DW99" i="24"/>
  <c r="DY99" i="24" s="1"/>
  <c r="EF99" i="24" s="1"/>
  <c r="EN99" i="24"/>
  <c r="EM99" i="24"/>
  <c r="EP99" i="24" s="1"/>
  <c r="DU99" i="24"/>
  <c r="EE100" i="24"/>
  <c r="EN37" i="24"/>
  <c r="DW37" i="24"/>
  <c r="DY37" i="24" s="1"/>
  <c r="EF37" i="24" s="1"/>
  <c r="EM37" i="24"/>
  <c r="EP37" i="24" s="1"/>
  <c r="DU37" i="24"/>
  <c r="DW297" i="24"/>
  <c r="DU297" i="24"/>
  <c r="EE190" i="24"/>
  <c r="DW67" i="24"/>
  <c r="DY67" i="24" s="1"/>
  <c r="EF67" i="24" s="1"/>
  <c r="EN67" i="24"/>
  <c r="EM67" i="24"/>
  <c r="EP67" i="24" s="1"/>
  <c r="DU67" i="24"/>
  <c r="DW201" i="24"/>
  <c r="DY201" i="24" s="1"/>
  <c r="EF201" i="24" s="1"/>
  <c r="EN201" i="24"/>
  <c r="EM201" i="24"/>
  <c r="EP201" i="24" s="1"/>
  <c r="DW171" i="24"/>
  <c r="DY171" i="24" s="1"/>
  <c r="EF171" i="24" s="1"/>
  <c r="EN171" i="24"/>
  <c r="EM171" i="24"/>
  <c r="EP171" i="24" s="1"/>
  <c r="DW45" i="24"/>
  <c r="EN45" i="24"/>
  <c r="EM45" i="24"/>
  <c r="EP45" i="24" s="1"/>
  <c r="DU45" i="24"/>
  <c r="EL45" i="24"/>
  <c r="EB45" i="24"/>
  <c r="FA45" i="24"/>
  <c r="EY45" i="24"/>
  <c r="EL127" i="24"/>
  <c r="DW60" i="24"/>
  <c r="DY60" i="24" s="1"/>
  <c r="EF60" i="24" s="1"/>
  <c r="EN60" i="24"/>
  <c r="EM60" i="24"/>
  <c r="EP60" i="24" s="1"/>
  <c r="DU60" i="24"/>
  <c r="DW54" i="24"/>
  <c r="DY54" i="24" s="1"/>
  <c r="EF54" i="24" s="1"/>
  <c r="EN54" i="24"/>
  <c r="EM54" i="24"/>
  <c r="EP54" i="24" s="1"/>
  <c r="DU54" i="24"/>
  <c r="DW218" i="24"/>
  <c r="DU218" i="24"/>
  <c r="EE185" i="24"/>
  <c r="EB98" i="24"/>
  <c r="EY62" i="24"/>
  <c r="EN62" i="24"/>
  <c r="DW62" i="24"/>
  <c r="DY62" i="24" s="1"/>
  <c r="EF62" i="24" s="1"/>
  <c r="EM62" i="24"/>
  <c r="EP62" i="24" s="1"/>
  <c r="DU62" i="24"/>
  <c r="DW170" i="24"/>
  <c r="DY170" i="24" s="1"/>
  <c r="EF170" i="24" s="1"/>
  <c r="EN170" i="24"/>
  <c r="EM170" i="24"/>
  <c r="EP170" i="24" s="1"/>
  <c r="DW281" i="24"/>
  <c r="DU281" i="24"/>
  <c r="DW273" i="24"/>
  <c r="DU273" i="24"/>
  <c r="EE132" i="24"/>
  <c r="DW153" i="24"/>
  <c r="EN153" i="24"/>
  <c r="EM153" i="24"/>
  <c r="EP153" i="24" s="1"/>
  <c r="FA153" i="24"/>
  <c r="EY153" i="24"/>
  <c r="EB153" i="24"/>
  <c r="EL153" i="24"/>
  <c r="EB67" i="24"/>
  <c r="EN80" i="24"/>
  <c r="DW80" i="24"/>
  <c r="DY80" i="24" s="1"/>
  <c r="EF80" i="24" s="1"/>
  <c r="EM80" i="24"/>
  <c r="EP80" i="24" s="1"/>
  <c r="DU80" i="24"/>
  <c r="DW246" i="24"/>
  <c r="DU246" i="24"/>
  <c r="DW195" i="24"/>
  <c r="EN195" i="24"/>
  <c r="EM195" i="24"/>
  <c r="EP195" i="24" s="1"/>
  <c r="EB195" i="24"/>
  <c r="EL195" i="24"/>
  <c r="EY195" i="24"/>
  <c r="FA195" i="24"/>
  <c r="DW261" i="24"/>
  <c r="DU261" i="24"/>
  <c r="DW41" i="24"/>
  <c r="DY41" i="24" s="1"/>
  <c r="EF41" i="24" s="1"/>
  <c r="EN41" i="24"/>
  <c r="EM41" i="24"/>
  <c r="EP41" i="24" s="1"/>
  <c r="DU41" i="24"/>
  <c r="EE61" i="24"/>
  <c r="EB124" i="24"/>
  <c r="DW124" i="24"/>
  <c r="DY124" i="24" s="1"/>
  <c r="EF124" i="24" s="1"/>
  <c r="EN124" i="24"/>
  <c r="EM124" i="24"/>
  <c r="EP124" i="24" s="1"/>
  <c r="EE167" i="24"/>
  <c r="DW51" i="24"/>
  <c r="EN51" i="24"/>
  <c r="EM51" i="24"/>
  <c r="EP51" i="24" s="1"/>
  <c r="DU51" i="24"/>
  <c r="EL51" i="24"/>
  <c r="EY51" i="24"/>
  <c r="FA51" i="24"/>
  <c r="EB51" i="24"/>
  <c r="EE192" i="24"/>
  <c r="DW135" i="24"/>
  <c r="EN135" i="24"/>
  <c r="EM135" i="24"/>
  <c r="EP135" i="24" s="1"/>
  <c r="EL135" i="24"/>
  <c r="EB135" i="24"/>
  <c r="FA135" i="24"/>
  <c r="EY135" i="24"/>
  <c r="EB37" i="24"/>
  <c r="EL52" i="24"/>
  <c r="EE183" i="24"/>
  <c r="EB160" i="24"/>
  <c r="DW55" i="24"/>
  <c r="DY55" i="24" s="1"/>
  <c r="EF55" i="24" s="1"/>
  <c r="EN55" i="24"/>
  <c r="EM55" i="24"/>
  <c r="EP55" i="24" s="1"/>
  <c r="DU55" i="24"/>
  <c r="EE197" i="24"/>
  <c r="DW268" i="24"/>
  <c r="DU268" i="24"/>
  <c r="DW65" i="24"/>
  <c r="DY65" i="24" s="1"/>
  <c r="EF65" i="24" s="1"/>
  <c r="EN65" i="24"/>
  <c r="EM65" i="24"/>
  <c r="EP65" i="24" s="1"/>
  <c r="DU65" i="24"/>
  <c r="EY83" i="24"/>
  <c r="EL99" i="24"/>
  <c r="FA55" i="24"/>
  <c r="DW12" i="24"/>
  <c r="EN12" i="24"/>
  <c r="EM12" i="24"/>
  <c r="EP12" i="24" s="1"/>
  <c r="DU12" i="24"/>
  <c r="EL12" i="24"/>
  <c r="EB12" i="24"/>
  <c r="EY12" i="24"/>
  <c r="FA12" i="24"/>
  <c r="EE138" i="24"/>
  <c r="FA172" i="24"/>
  <c r="DW27" i="24"/>
  <c r="EN27" i="24"/>
  <c r="EM27" i="24"/>
  <c r="EP27" i="24" s="1"/>
  <c r="DU27" i="24"/>
  <c r="FA27" i="24"/>
  <c r="EL27" i="24"/>
  <c r="EB27" i="24"/>
  <c r="EY27" i="24"/>
  <c r="EN136" i="24"/>
  <c r="DW136" i="24"/>
  <c r="DY136" i="24" s="1"/>
  <c r="EF136" i="24" s="1"/>
  <c r="EM136" i="24"/>
  <c r="EP136" i="24" s="1"/>
  <c r="EE124" i="24"/>
  <c r="EE81" i="24"/>
  <c r="DW117" i="24"/>
  <c r="EN117" i="24"/>
  <c r="EM117" i="24"/>
  <c r="EP117" i="24" s="1"/>
  <c r="EL117" i="24"/>
  <c r="FA117" i="24"/>
  <c r="EY117" i="24"/>
  <c r="EB117" i="24"/>
  <c r="EE30" i="24"/>
  <c r="EN85" i="24"/>
  <c r="DW85" i="24"/>
  <c r="EM85" i="24"/>
  <c r="EP85" i="24" s="1"/>
  <c r="DU85" i="24"/>
  <c r="EL85" i="24"/>
  <c r="EB85" i="24"/>
  <c r="EY85" i="24"/>
  <c r="FA85" i="24"/>
  <c r="DW129" i="24"/>
  <c r="DY129" i="24" s="1"/>
  <c r="EF129" i="24" s="1"/>
  <c r="EN129" i="24"/>
  <c r="EM129" i="24"/>
  <c r="EP129" i="24" s="1"/>
  <c r="EE23" i="24"/>
  <c r="DW111" i="24"/>
  <c r="DY111" i="24" s="1"/>
  <c r="EF111" i="24" s="1"/>
  <c r="EN111" i="24"/>
  <c r="EM111" i="24"/>
  <c r="EP111" i="24" s="1"/>
  <c r="EB157" i="24"/>
  <c r="EN113" i="24"/>
  <c r="DW113" i="24"/>
  <c r="EM113" i="24"/>
  <c r="EP113" i="24" s="1"/>
  <c r="EY113" i="24"/>
  <c r="EB113" i="24"/>
  <c r="EL113" i="24"/>
  <c r="FA113" i="24"/>
  <c r="EL158" i="24"/>
  <c r="DW158" i="24"/>
  <c r="DY158" i="24" s="1"/>
  <c r="EF158" i="24" s="1"/>
  <c r="EN158" i="24"/>
  <c r="EM158" i="24"/>
  <c r="EP158" i="24" s="1"/>
  <c r="DW222" i="24"/>
  <c r="DU222" i="24"/>
  <c r="DW134" i="24"/>
  <c r="DY134" i="24" s="1"/>
  <c r="EF134" i="24" s="1"/>
  <c r="EN134" i="24"/>
  <c r="EM134" i="24"/>
  <c r="EP134" i="24" s="1"/>
  <c r="DW189" i="24"/>
  <c r="EN189" i="24"/>
  <c r="EM189" i="24"/>
  <c r="EP189" i="24" s="1"/>
  <c r="EB189" i="24"/>
  <c r="EL189" i="24"/>
  <c r="FA189" i="24"/>
  <c r="EY189" i="24"/>
  <c r="EE155" i="24"/>
  <c r="DW227" i="24"/>
  <c r="DU227" i="24"/>
  <c r="EY133" i="24"/>
  <c r="DW220" i="24"/>
  <c r="DU220" i="24"/>
  <c r="DW44" i="24"/>
  <c r="DY44" i="24" s="1"/>
  <c r="EF44" i="24" s="1"/>
  <c r="EN44" i="24"/>
  <c r="EM44" i="24"/>
  <c r="EP44" i="24" s="1"/>
  <c r="DU44" i="24"/>
  <c r="DW204" i="24"/>
  <c r="EN204" i="24"/>
  <c r="EM204" i="24"/>
  <c r="EP204" i="24" s="1"/>
  <c r="FA204" i="24"/>
  <c r="EL204" i="24"/>
  <c r="EB204" i="24"/>
  <c r="EY204" i="24"/>
  <c r="EE89" i="24"/>
  <c r="DW207" i="24"/>
  <c r="EN207" i="24"/>
  <c r="EM207" i="24"/>
  <c r="EP207" i="24" s="1"/>
  <c r="FA207" i="24"/>
  <c r="EB207" i="24"/>
  <c r="EL207" i="24"/>
  <c r="EY207" i="24"/>
  <c r="EN155" i="24"/>
  <c r="DW155" i="24"/>
  <c r="DY155" i="24" s="1"/>
  <c r="EF155" i="24" s="1"/>
  <c r="EM155" i="24"/>
  <c r="EP155" i="24" s="1"/>
  <c r="DW226" i="24"/>
  <c r="DU226" i="24"/>
  <c r="EE193" i="24"/>
  <c r="EE71" i="24"/>
  <c r="EN177" i="24"/>
  <c r="DW177" i="24"/>
  <c r="DY177" i="24" s="1"/>
  <c r="EF177" i="24" s="1"/>
  <c r="EM177" i="24"/>
  <c r="EP177" i="24" s="1"/>
  <c r="EL140" i="24"/>
  <c r="DW140" i="24"/>
  <c r="EN140" i="24"/>
  <c r="EM140" i="24"/>
  <c r="EP140" i="24" s="1"/>
  <c r="EB140" i="24"/>
  <c r="FA140" i="24"/>
  <c r="EY140" i="24"/>
  <c r="EB49" i="24"/>
  <c r="DW49" i="24"/>
  <c r="EN49" i="24"/>
  <c r="EM49" i="24"/>
  <c r="EP49" i="24" s="1"/>
  <c r="DU49" i="24"/>
  <c r="EY49" i="24"/>
  <c r="FA49" i="24"/>
  <c r="EL49" i="24"/>
  <c r="EE29" i="24"/>
  <c r="DW185" i="24"/>
  <c r="DY185" i="24" s="1"/>
  <c r="EF185" i="24" s="1"/>
  <c r="EN185" i="24"/>
  <c r="EM185" i="24"/>
  <c r="EP185" i="24" s="1"/>
  <c r="EN29" i="24"/>
  <c r="DW29" i="24"/>
  <c r="DY29" i="24" s="1"/>
  <c r="EF29" i="24" s="1"/>
  <c r="EM29" i="24"/>
  <c r="EP29" i="24" s="1"/>
  <c r="DU29" i="24"/>
  <c r="EE170" i="24"/>
  <c r="EN182" i="24"/>
  <c r="DW182" i="24"/>
  <c r="EM182" i="24"/>
  <c r="EP182" i="24" s="1"/>
  <c r="EL182" i="24"/>
  <c r="EB182" i="24"/>
  <c r="EY182" i="24"/>
  <c r="FA182" i="24"/>
  <c r="DW270" i="24"/>
  <c r="DU270" i="24"/>
  <c r="DW303" i="24"/>
  <c r="DU303" i="24"/>
  <c r="DW130" i="24"/>
  <c r="EN130" i="24"/>
  <c r="EM130" i="24"/>
  <c r="EP130" i="24" s="1"/>
  <c r="EB130" i="24"/>
  <c r="EY130" i="24"/>
  <c r="FA130" i="24"/>
  <c r="EL130" i="24"/>
  <c r="DW219" i="24"/>
  <c r="DU219" i="24"/>
  <c r="FA15" i="24"/>
  <c r="DW15" i="24"/>
  <c r="EN15" i="24"/>
  <c r="EM15" i="24"/>
  <c r="EP15" i="24" s="1"/>
  <c r="DU15" i="24"/>
  <c r="EL15" i="24"/>
  <c r="EB15" i="24"/>
  <c r="EY15" i="24"/>
  <c r="EE104" i="24"/>
  <c r="DW289" i="24"/>
  <c r="DU289" i="24"/>
  <c r="DW315" i="24"/>
  <c r="DU315" i="24"/>
  <c r="EY36" i="24"/>
  <c r="DW36" i="24"/>
  <c r="EN36" i="24"/>
  <c r="EM36" i="24"/>
  <c r="EP36" i="24" s="1"/>
  <c r="DU36" i="24"/>
  <c r="EB36" i="24"/>
  <c r="FA36" i="24"/>
  <c r="EL36" i="24"/>
  <c r="EY186" i="24"/>
  <c r="EE175" i="24"/>
  <c r="EE160" i="24"/>
  <c r="DW19" i="24"/>
  <c r="EN19" i="24"/>
  <c r="EM19" i="24"/>
  <c r="EP19" i="24" s="1"/>
  <c r="DU19" i="24"/>
  <c r="EL19" i="24"/>
  <c r="EB19" i="24"/>
  <c r="FA19" i="24"/>
  <c r="EY19" i="24"/>
  <c r="EY99" i="24"/>
  <c r="DW79" i="24"/>
  <c r="EN79" i="24"/>
  <c r="EM79" i="24"/>
  <c r="EP79" i="24" s="1"/>
  <c r="DU79" i="24"/>
  <c r="EY79" i="24"/>
  <c r="EB79" i="24"/>
  <c r="EL79" i="24"/>
  <c r="FA79" i="24"/>
  <c r="DW280" i="24"/>
  <c r="DU280" i="24"/>
  <c r="EE10" i="24"/>
  <c r="DW224" i="24"/>
  <c r="DU224" i="24"/>
  <c r="FA48" i="24"/>
  <c r="DW48" i="24"/>
  <c r="DY48" i="24" s="1"/>
  <c r="EF48" i="24" s="1"/>
  <c r="EN48" i="24"/>
  <c r="EM48" i="24"/>
  <c r="EP48" i="24" s="1"/>
  <c r="DU48" i="24"/>
  <c r="EL157" i="24"/>
  <c r="DW188" i="24"/>
  <c r="EN188" i="24"/>
  <c r="EM188" i="24"/>
  <c r="EP188" i="24" s="1"/>
  <c r="EY188" i="24"/>
  <c r="FA188" i="24"/>
  <c r="EL188" i="24"/>
  <c r="EB188" i="24"/>
  <c r="EL155" i="24"/>
  <c r="DW21" i="24"/>
  <c r="EN21" i="24"/>
  <c r="EM21" i="24"/>
  <c r="EP21" i="24" s="1"/>
  <c r="DU21" i="24"/>
  <c r="EY21" i="24"/>
  <c r="EB21" i="24"/>
  <c r="EL21" i="24"/>
  <c r="FA21" i="24"/>
  <c r="EN146" i="24"/>
  <c r="DW146" i="24"/>
  <c r="EM146" i="24"/>
  <c r="EP146" i="24" s="1"/>
  <c r="EB146" i="24"/>
  <c r="EL146" i="24"/>
  <c r="FA146" i="24"/>
  <c r="EY146" i="24"/>
  <c r="EL53" i="24"/>
  <c r="DW168" i="24"/>
  <c r="EN168" i="24"/>
  <c r="EM168" i="24"/>
  <c r="EP168" i="24" s="1"/>
  <c r="EY168" i="24"/>
  <c r="EL168" i="24"/>
  <c r="FA168" i="24"/>
  <c r="EB168" i="24"/>
  <c r="DW304" i="24"/>
  <c r="DU304" i="24"/>
  <c r="DW231" i="24"/>
  <c r="DU231" i="24"/>
  <c r="DW112" i="24"/>
  <c r="DY112" i="24" s="1"/>
  <c r="EF112" i="24" s="1"/>
  <c r="EN112" i="24"/>
  <c r="EM112" i="24"/>
  <c r="EP112" i="24" s="1"/>
  <c r="DW257" i="24"/>
  <c r="DU257" i="24"/>
  <c r="DW298" i="24"/>
  <c r="DU298" i="24"/>
  <c r="DW181" i="24"/>
  <c r="EN181" i="24"/>
  <c r="EM181" i="24"/>
  <c r="EP181" i="24" s="1"/>
  <c r="EB181" i="24"/>
  <c r="FA181" i="24"/>
  <c r="EY181" i="24"/>
  <c r="EL181" i="24"/>
  <c r="DW265" i="24"/>
  <c r="DU265" i="24"/>
  <c r="EE147" i="24"/>
  <c r="DW251" i="24"/>
  <c r="DU251" i="24"/>
  <c r="DW166" i="24"/>
  <c r="EN166" i="24"/>
  <c r="EM166" i="24"/>
  <c r="EP166" i="24" s="1"/>
  <c r="EB166" i="24"/>
  <c r="EL166" i="24"/>
  <c r="EY166" i="24"/>
  <c r="FA166" i="24"/>
  <c r="DW144" i="24"/>
  <c r="EN144" i="24"/>
  <c r="EM144" i="24"/>
  <c r="EP144" i="24" s="1"/>
  <c r="FA144" i="24"/>
  <c r="EB144" i="24"/>
  <c r="EL144" i="24"/>
  <c r="EY144" i="24"/>
  <c r="DW83" i="24"/>
  <c r="DY83" i="24" s="1"/>
  <c r="EF83" i="24" s="1"/>
  <c r="EN83" i="24"/>
  <c r="EM83" i="24"/>
  <c r="EP83" i="24" s="1"/>
  <c r="DU83" i="24"/>
  <c r="EE13" i="24"/>
  <c r="EN114" i="24"/>
  <c r="DW114" i="24"/>
  <c r="DY114" i="24" s="1"/>
  <c r="EF114" i="24" s="1"/>
  <c r="EM114" i="24"/>
  <c r="EP114" i="24" s="1"/>
  <c r="DW312" i="24"/>
  <c r="DU312" i="24"/>
  <c r="DW292" i="24"/>
  <c r="DU292" i="24"/>
  <c r="DW316" i="24"/>
  <c r="DU316" i="24"/>
  <c r="EE8" i="24"/>
  <c r="DW253" i="24"/>
  <c r="DU253" i="24"/>
  <c r="EN16" i="24"/>
  <c r="DW16" i="24"/>
  <c r="EM16" i="24"/>
  <c r="EP16" i="24" s="1"/>
  <c r="DU16" i="24"/>
  <c r="EL16" i="24"/>
  <c r="EY16" i="24"/>
  <c r="EB16" i="24"/>
  <c r="FA16" i="24"/>
  <c r="DW228" i="24"/>
  <c r="DU228" i="24"/>
  <c r="DW225" i="24"/>
  <c r="DU225" i="24"/>
  <c r="EE25" i="24"/>
  <c r="EN97" i="24"/>
  <c r="DW97" i="24"/>
  <c r="EM97" i="24"/>
  <c r="EP97" i="24" s="1"/>
  <c r="DU97" i="24"/>
  <c r="FA97" i="24"/>
  <c r="EY97" i="24"/>
  <c r="EB97" i="24"/>
  <c r="EL97" i="24"/>
  <c r="DW180" i="24"/>
  <c r="EN180" i="24"/>
  <c r="EM180" i="24"/>
  <c r="EP180" i="24" s="1"/>
  <c r="FA180" i="24"/>
  <c r="EY180" i="24"/>
  <c r="EB180" i="24"/>
  <c r="EL180" i="24"/>
  <c r="DW311" i="24"/>
  <c r="DU311" i="24"/>
  <c r="FA23" i="24"/>
  <c r="DW23" i="24"/>
  <c r="DY23" i="24" s="1"/>
  <c r="EF23" i="24" s="1"/>
  <c r="EN23" i="24"/>
  <c r="EM23" i="24"/>
  <c r="EP23" i="24" s="1"/>
  <c r="DU23" i="24"/>
  <c r="DW205" i="24"/>
  <c r="EN205" i="24"/>
  <c r="EM205" i="24"/>
  <c r="EP205" i="24" s="1"/>
  <c r="EL205" i="24"/>
  <c r="EB205" i="24"/>
  <c r="FA205" i="24"/>
  <c r="EY205" i="24"/>
  <c r="DW86" i="24"/>
  <c r="EN86" i="24"/>
  <c r="EM86" i="24"/>
  <c r="EP86" i="24" s="1"/>
  <c r="DU86" i="24"/>
  <c r="FA86" i="24"/>
  <c r="EL86" i="24"/>
  <c r="EB86" i="24"/>
  <c r="EY86" i="24"/>
  <c r="DW254" i="24"/>
  <c r="DU254" i="24"/>
  <c r="DW161" i="24"/>
  <c r="DY161" i="24" s="1"/>
  <c r="EF161" i="24" s="1"/>
  <c r="EN161" i="24"/>
  <c r="EM161" i="24"/>
  <c r="EP161" i="24" s="1"/>
  <c r="DW187" i="24"/>
  <c r="EN187" i="24"/>
  <c r="EM187" i="24"/>
  <c r="EP187" i="24" s="1"/>
  <c r="EY187" i="24"/>
  <c r="EL187" i="24"/>
  <c r="FA187" i="24"/>
  <c r="EB187" i="24"/>
  <c r="DW101" i="24"/>
  <c r="EN101" i="24"/>
  <c r="EM101" i="24"/>
  <c r="EP101" i="24" s="1"/>
  <c r="DU101" i="24"/>
  <c r="EB101" i="24"/>
  <c r="EL101" i="24"/>
  <c r="FA101" i="24"/>
  <c r="EY101" i="24"/>
  <c r="DW8" i="24"/>
  <c r="DY8" i="24" s="1"/>
  <c r="EF8" i="24" s="1"/>
  <c r="EN8" i="24"/>
  <c r="EM8" i="24"/>
  <c r="EP8" i="24" s="1"/>
  <c r="DU8" i="24"/>
  <c r="EY37" i="24"/>
  <c r="EE52" i="24"/>
  <c r="EN175" i="24"/>
  <c r="DW175" i="24"/>
  <c r="DY175" i="24" s="1"/>
  <c r="EF175" i="24" s="1"/>
  <c r="EM175" i="24"/>
  <c r="EP175" i="24" s="1"/>
  <c r="DW248" i="24"/>
  <c r="DU248" i="24"/>
  <c r="EE62" i="24"/>
  <c r="DW95" i="24"/>
  <c r="EN95" i="24"/>
  <c r="EM95" i="24"/>
  <c r="EP95" i="24" s="1"/>
  <c r="DU95" i="24"/>
  <c r="EY95" i="24"/>
  <c r="EB95" i="24"/>
  <c r="EL95" i="24"/>
  <c r="FA95" i="24"/>
  <c r="DW69" i="24"/>
  <c r="EN69" i="24"/>
  <c r="EM69" i="24"/>
  <c r="EP69" i="24" s="1"/>
  <c r="DU69" i="24"/>
  <c r="EL69" i="24"/>
  <c r="FA69" i="24"/>
  <c r="EB69" i="24"/>
  <c r="EY69" i="24"/>
  <c r="EN77" i="24"/>
  <c r="DW77" i="24"/>
  <c r="DY77" i="24" s="1"/>
  <c r="EF77" i="24" s="1"/>
  <c r="EM77" i="24"/>
  <c r="EP77" i="24" s="1"/>
  <c r="DU77" i="24"/>
  <c r="EE47" i="24"/>
  <c r="FA99" i="24"/>
  <c r="FA63" i="24"/>
  <c r="DW63" i="24"/>
  <c r="DY63" i="24" s="1"/>
  <c r="EF63" i="24" s="1"/>
  <c r="EN63" i="24"/>
  <c r="EM63" i="24"/>
  <c r="EP63" i="24" s="1"/>
  <c r="DU63" i="24"/>
  <c r="EB50" i="24"/>
  <c r="DW237" i="24"/>
  <c r="DU237" i="24"/>
  <c r="DW200" i="24"/>
  <c r="EN200" i="24"/>
  <c r="EM200" i="24"/>
  <c r="EP200" i="24" s="1"/>
  <c r="EY200" i="24"/>
  <c r="EB200" i="24"/>
  <c r="FA200" i="24"/>
  <c r="EL200" i="24"/>
  <c r="EB63" i="24"/>
  <c r="EL61" i="24"/>
  <c r="DW61" i="24"/>
  <c r="DY61" i="24" s="1"/>
  <c r="EF61" i="24" s="1"/>
  <c r="EN61" i="24"/>
  <c r="EM61" i="24"/>
  <c r="EP61" i="24" s="1"/>
  <c r="DU61" i="24"/>
  <c r="EN183" i="24"/>
  <c r="DW183" i="24"/>
  <c r="DY183" i="24" s="1"/>
  <c r="EF183" i="24" s="1"/>
  <c r="EM183" i="24"/>
  <c r="EP183" i="24" s="1"/>
  <c r="EB114" i="24"/>
  <c r="DW73" i="24"/>
  <c r="EN73" i="24"/>
  <c r="EM73" i="24"/>
  <c r="EP73" i="24" s="1"/>
  <c r="DU73" i="24"/>
  <c r="EY73" i="24"/>
  <c r="EL73" i="24"/>
  <c r="FA73" i="24"/>
  <c r="EB73" i="24"/>
  <c r="DW14" i="24"/>
  <c r="DY14" i="24" s="1"/>
  <c r="EF14" i="24" s="1"/>
  <c r="EN14" i="24"/>
  <c r="EM14" i="24"/>
  <c r="EP14" i="24" s="1"/>
  <c r="DU14" i="24"/>
  <c r="EE14" i="24"/>
  <c r="DW123" i="24"/>
  <c r="DY123" i="24" s="1"/>
  <c r="EF123" i="24" s="1"/>
  <c r="EN123" i="24"/>
  <c r="EM123" i="24"/>
  <c r="EP123" i="24" s="1"/>
  <c r="DW284" i="24"/>
  <c r="DU284" i="24"/>
  <c r="DW103" i="24"/>
  <c r="DY103" i="24" s="1"/>
  <c r="EF103" i="24" s="1"/>
  <c r="EN103" i="24"/>
  <c r="EM103" i="24"/>
  <c r="EP103" i="24" s="1"/>
  <c r="DU103" i="24"/>
  <c r="FA80" i="24"/>
  <c r="DW290" i="24"/>
  <c r="DU290" i="24"/>
  <c r="EN210" i="24"/>
  <c r="DW210" i="24"/>
  <c r="EM210" i="24"/>
  <c r="EP210" i="24" s="1"/>
  <c r="EY210" i="24"/>
  <c r="EB210" i="24"/>
  <c r="EL210" i="24"/>
  <c r="FA210" i="24"/>
  <c r="DW91" i="24"/>
  <c r="EN91" i="24"/>
  <c r="EM91" i="24"/>
  <c r="EP91" i="24" s="1"/>
  <c r="DU91" i="24"/>
  <c r="FA91" i="24"/>
  <c r="EB91" i="24"/>
  <c r="EL91" i="24"/>
  <c r="EY91" i="24"/>
  <c r="EY53" i="24"/>
  <c r="DW267" i="24"/>
  <c r="DU267" i="24"/>
  <c r="DW259" i="24"/>
  <c r="DU259" i="24"/>
  <c r="DW66" i="24"/>
  <c r="EN66" i="24"/>
  <c r="EM66" i="24"/>
  <c r="EP66" i="24" s="1"/>
  <c r="DU66" i="24"/>
  <c r="EY66" i="24"/>
  <c r="EL66" i="24"/>
  <c r="EB66" i="24"/>
  <c r="FA66" i="24"/>
  <c r="EE126" i="24"/>
  <c r="DW6" i="24"/>
  <c r="EN6" i="24"/>
  <c r="EM6" i="24"/>
  <c r="EP6" i="24" s="1"/>
  <c r="DU6" i="24"/>
  <c r="EY6" i="24"/>
  <c r="EB6" i="24"/>
  <c r="EL6" i="24"/>
  <c r="FA6" i="24"/>
  <c r="DW35" i="24"/>
  <c r="DY35" i="24" s="1"/>
  <c r="EF35" i="24" s="1"/>
  <c r="EN35" i="24"/>
  <c r="EM35" i="24"/>
  <c r="EP35" i="24" s="1"/>
  <c r="DU35" i="24"/>
  <c r="DW131" i="24"/>
  <c r="EN131" i="24"/>
  <c r="EM131" i="24"/>
  <c r="EP131" i="24" s="1"/>
  <c r="EL131" i="24"/>
  <c r="EY131" i="24"/>
  <c r="EB131" i="24"/>
  <c r="FA131" i="24"/>
  <c r="DW250" i="24"/>
  <c r="DU250" i="24"/>
  <c r="DW202" i="24"/>
  <c r="DY202" i="24" s="1"/>
  <c r="EF202" i="24" s="1"/>
  <c r="EN202" i="24"/>
  <c r="EM202" i="24"/>
  <c r="EP202" i="24" s="1"/>
  <c r="EE122" i="24"/>
  <c r="EE127" i="24"/>
  <c r="EE152" i="24"/>
  <c r="DW232" i="24"/>
  <c r="DU232" i="24"/>
  <c r="DW258" i="24"/>
  <c r="DU258" i="24"/>
  <c r="DW118" i="24"/>
  <c r="EN118" i="24"/>
  <c r="EM118" i="24"/>
  <c r="EP118" i="24" s="1"/>
  <c r="FA118" i="24"/>
  <c r="EL118" i="24"/>
  <c r="EY118" i="24"/>
  <c r="EB118" i="24"/>
  <c r="EN199" i="24"/>
  <c r="DW199" i="24"/>
  <c r="DY199" i="24" s="1"/>
  <c r="EF199" i="24" s="1"/>
  <c r="EM199" i="24"/>
  <c r="EP199" i="24" s="1"/>
  <c r="EN186" i="24"/>
  <c r="DW186" i="24"/>
  <c r="DY186" i="24" s="1"/>
  <c r="EF186" i="24" s="1"/>
  <c r="EM186" i="24"/>
  <c r="EP186" i="24" s="1"/>
  <c r="DW266" i="24"/>
  <c r="DU266" i="24"/>
  <c r="FA177" i="24"/>
  <c r="DW176" i="24"/>
  <c r="EN176" i="24"/>
  <c r="EM176" i="24"/>
  <c r="EP176" i="24" s="1"/>
  <c r="EL176" i="24"/>
  <c r="EB176" i="24"/>
  <c r="FA176" i="24"/>
  <c r="EY176" i="24"/>
  <c r="EE67" i="24"/>
  <c r="DW47" i="24"/>
  <c r="DY47" i="24" s="1"/>
  <c r="EF47" i="24" s="1"/>
  <c r="EN47" i="24"/>
  <c r="EM47" i="24"/>
  <c r="EP47" i="24" s="1"/>
  <c r="DU47" i="24"/>
  <c r="EE40" i="24"/>
  <c r="DW310" i="24"/>
  <c r="DU310" i="24"/>
  <c r="EY202" i="24"/>
  <c r="DW260" i="24"/>
  <c r="DU260" i="24"/>
  <c r="DW98" i="24"/>
  <c r="DY98" i="24" s="1"/>
  <c r="EF98" i="24" s="1"/>
  <c r="EN98" i="24"/>
  <c r="EM98" i="24"/>
  <c r="EP98" i="24" s="1"/>
  <c r="DU98" i="24"/>
  <c r="DW209" i="24"/>
  <c r="DY209" i="24" s="1"/>
  <c r="EF209" i="24" s="1"/>
  <c r="EN209" i="24"/>
  <c r="EM209" i="24"/>
  <c r="EP209" i="24" s="1"/>
  <c r="EE35" i="24"/>
  <c r="EE37" i="24"/>
  <c r="FA186" i="24"/>
  <c r="EN128" i="24"/>
  <c r="DW128" i="24"/>
  <c r="DY128" i="24" s="1"/>
  <c r="EF128" i="24" s="1"/>
  <c r="EM128" i="24"/>
  <c r="EP128" i="24" s="1"/>
  <c r="DW236" i="24"/>
  <c r="DU236" i="24"/>
  <c r="EE42" i="24"/>
  <c r="DW305" i="24"/>
  <c r="DU305" i="24"/>
  <c r="EE83" i="24"/>
  <c r="EB99" i="24"/>
  <c r="EE172" i="24"/>
  <c r="DW179" i="24"/>
  <c r="EN179" i="24"/>
  <c r="EM179" i="24"/>
  <c r="EP179" i="24" s="1"/>
  <c r="EY179" i="24"/>
  <c r="EB179" i="24"/>
  <c r="FA179" i="24"/>
  <c r="EL179" i="24"/>
  <c r="DW139" i="24"/>
  <c r="EN139" i="24"/>
  <c r="EM139" i="24"/>
  <c r="EP139" i="24" s="1"/>
  <c r="EY139" i="24"/>
  <c r="EL139" i="24"/>
  <c r="EB139" i="24"/>
  <c r="FA139" i="24"/>
  <c r="DW223" i="24"/>
  <c r="DU223" i="24"/>
  <c r="DW138" i="24"/>
  <c r="DY138" i="24" s="1"/>
  <c r="EF138" i="24" s="1"/>
  <c r="EN138" i="24"/>
  <c r="EM138" i="24"/>
  <c r="EP138" i="24" s="1"/>
  <c r="EN150" i="24"/>
  <c r="DW150" i="24"/>
  <c r="DY150" i="24" s="1"/>
  <c r="EF150" i="24" s="1"/>
  <c r="EM150" i="24"/>
  <c r="EP150" i="24" s="1"/>
  <c r="DW178" i="24"/>
  <c r="EN178" i="24"/>
  <c r="EM178" i="24"/>
  <c r="EP178" i="24" s="1"/>
  <c r="EL178" i="24"/>
  <c r="EB178" i="24"/>
  <c r="FA178" i="24"/>
  <c r="EY178" i="24"/>
  <c r="DW263" i="24"/>
  <c r="DU263" i="24"/>
  <c r="EN59" i="24"/>
  <c r="DW59" i="24"/>
  <c r="EM59" i="24"/>
  <c r="EP59" i="24" s="1"/>
  <c r="DU59" i="24"/>
  <c r="EL59" i="24"/>
  <c r="EB59" i="24"/>
  <c r="FA59" i="24"/>
  <c r="EY59" i="24"/>
  <c r="FA114" i="24"/>
  <c r="DW301" i="24"/>
  <c r="DU301" i="24"/>
  <c r="EY209" i="24"/>
  <c r="DW164" i="24"/>
  <c r="DY164" i="24" s="1"/>
  <c r="EF164" i="24" s="1"/>
  <c r="EN164" i="24"/>
  <c r="EM164" i="24"/>
  <c r="EP164" i="24" s="1"/>
  <c r="EE157" i="24"/>
  <c r="EB201" i="24"/>
  <c r="DW256" i="24"/>
  <c r="DU256" i="24"/>
  <c r="DW122" i="24"/>
  <c r="DY122" i="24" s="1"/>
  <c r="EF122" i="24" s="1"/>
  <c r="EN122" i="24"/>
  <c r="EM122" i="24"/>
  <c r="EP122" i="24" s="1"/>
  <c r="EL80" i="24"/>
  <c r="DW151" i="24"/>
  <c r="EN151" i="24"/>
  <c r="EM151" i="24"/>
  <c r="EP151" i="24" s="1"/>
  <c r="FA151" i="24"/>
  <c r="EY151" i="24"/>
  <c r="EL151" i="24"/>
  <c r="EB151" i="24"/>
  <c r="DW238" i="24"/>
  <c r="DU238" i="24"/>
  <c r="DW299" i="24"/>
  <c r="DU299" i="24"/>
  <c r="FA53" i="24"/>
  <c r="DW208" i="24"/>
  <c r="EN208" i="24"/>
  <c r="EM208" i="24"/>
  <c r="EP208" i="24" s="1"/>
  <c r="EL208" i="24"/>
  <c r="EY208" i="24"/>
  <c r="FA208" i="24"/>
  <c r="EB208" i="24"/>
  <c r="DW56" i="24"/>
  <c r="EN56" i="24"/>
  <c r="EM56" i="24"/>
  <c r="EP56" i="24" s="1"/>
  <c r="DU56" i="24"/>
  <c r="FA56" i="24"/>
  <c r="EB56" i="24"/>
  <c r="EL56" i="24"/>
  <c r="EY56" i="24"/>
  <c r="EN100" i="24"/>
  <c r="DW100" i="24"/>
  <c r="DY100" i="24" s="1"/>
  <c r="EF100" i="24" s="1"/>
  <c r="EM100" i="24"/>
  <c r="EP100" i="24" s="1"/>
  <c r="DU100" i="24"/>
  <c r="DW295" i="24"/>
  <c r="DU295" i="24"/>
  <c r="EY105" i="24"/>
  <c r="DW105" i="24"/>
  <c r="EN105" i="24"/>
  <c r="EM105" i="24"/>
  <c r="EP105" i="24" s="1"/>
  <c r="DU105" i="24"/>
  <c r="EL105" i="24"/>
  <c r="EB105" i="24"/>
  <c r="FA105" i="24"/>
  <c r="EE77" i="24"/>
  <c r="DW264" i="24"/>
  <c r="DU264" i="24"/>
  <c r="EE48" i="24"/>
  <c r="DW34" i="24"/>
  <c r="EN34" i="24"/>
  <c r="EM34" i="24"/>
  <c r="EP34" i="24" s="1"/>
  <c r="DU34" i="24"/>
  <c r="FA34" i="24"/>
  <c r="EL34" i="24"/>
  <c r="EY34" i="24"/>
  <c r="EB34" i="24"/>
  <c r="EN89" i="24"/>
  <c r="DW89" i="24"/>
  <c r="DY89" i="24" s="1"/>
  <c r="EF89" i="24" s="1"/>
  <c r="EM89" i="24"/>
  <c r="EP89" i="24" s="1"/>
  <c r="DU89" i="24"/>
  <c r="DW274" i="24"/>
  <c r="DU274" i="24"/>
  <c r="EE111" i="24"/>
  <c r="EE24" i="24"/>
  <c r="EE134" i="24"/>
  <c r="DW247" i="24"/>
  <c r="DU247" i="24"/>
  <c r="EE142" i="24"/>
  <c r="DW294" i="24"/>
  <c r="DU294" i="24"/>
  <c r="EY185" i="24"/>
  <c r="EE98" i="24"/>
  <c r="EY154" i="24"/>
  <c r="DW154" i="24"/>
  <c r="DY154" i="24" s="1"/>
  <c r="EF154" i="24" s="1"/>
  <c r="EN154" i="24"/>
  <c r="EM154" i="24"/>
  <c r="EP154" i="24" s="1"/>
  <c r="EN57" i="24"/>
  <c r="DW57" i="24"/>
  <c r="EM57" i="24"/>
  <c r="EP57" i="24" s="1"/>
  <c r="DU57" i="24"/>
  <c r="EL57" i="24"/>
  <c r="EY57" i="24"/>
  <c r="EB57" i="24"/>
  <c r="FA57" i="24"/>
  <c r="EL177" i="24"/>
  <c r="DW262" i="24"/>
  <c r="DU262" i="24"/>
  <c r="EE145" i="24"/>
  <c r="DW193" i="24"/>
  <c r="DY193" i="24" s="1"/>
  <c r="EF193" i="24" s="1"/>
  <c r="EN193" i="24"/>
  <c r="EM193" i="24"/>
  <c r="EP193" i="24" s="1"/>
  <c r="DW287" i="24"/>
  <c r="DU287" i="24"/>
  <c r="EL202" i="24"/>
  <c r="FA192" i="24"/>
  <c r="EE123" i="24"/>
  <c r="DW157" i="24"/>
  <c r="DY157" i="24" s="1"/>
  <c r="EF157" i="24" s="1"/>
  <c r="EN157" i="24"/>
  <c r="EM157" i="24"/>
  <c r="EP157" i="24" s="1"/>
  <c r="FA37" i="24"/>
  <c r="EY52" i="24"/>
  <c r="DW31" i="24"/>
  <c r="EN31" i="24"/>
  <c r="EM31" i="24"/>
  <c r="EP31" i="24" s="1"/>
  <c r="DU31" i="24"/>
  <c r="FA31" i="24"/>
  <c r="EY31" i="24"/>
  <c r="EB31" i="24"/>
  <c r="EL31" i="24"/>
  <c r="EL186" i="24"/>
  <c r="EB171" i="24"/>
  <c r="EE99" i="24"/>
  <c r="EE55" i="24"/>
  <c r="EY138" i="24"/>
  <c r="DW206" i="24"/>
  <c r="EN206" i="24"/>
  <c r="EM206" i="24"/>
  <c r="EP206" i="24" s="1"/>
  <c r="EB206" i="24"/>
  <c r="FA206" i="24"/>
  <c r="EY206" i="24"/>
  <c r="EL206" i="24"/>
  <c r="FA50" i="24"/>
  <c r="DW32" i="24"/>
  <c r="EN32" i="24"/>
  <c r="EM32" i="24"/>
  <c r="EP32" i="24" s="1"/>
  <c r="DU32" i="24"/>
  <c r="EY32" i="24"/>
  <c r="EL32" i="24"/>
  <c r="FA32" i="24"/>
  <c r="EB32" i="24"/>
  <c r="EE26" i="24"/>
  <c r="EB81" i="24"/>
  <c r="DW293" i="24"/>
  <c r="DU293" i="24"/>
  <c r="EY63" i="24"/>
  <c r="EB30" i="24"/>
  <c r="EL114" i="24"/>
  <c r="EE174" i="24"/>
  <c r="EE44" i="24"/>
  <c r="FA209" i="24"/>
  <c r="EL201" i="24"/>
  <c r="DW307" i="24"/>
  <c r="DU307" i="24"/>
  <c r="DW68" i="24"/>
  <c r="DY68" i="24" s="1"/>
  <c r="EF68" i="24" s="1"/>
  <c r="EN68" i="24"/>
  <c r="EM68" i="24"/>
  <c r="EP68" i="24" s="1"/>
  <c r="DU68" i="24"/>
  <c r="DW282" i="24"/>
  <c r="DU282" i="24"/>
  <c r="EY80" i="24"/>
  <c r="DW197" i="24"/>
  <c r="DY197" i="24" s="1"/>
  <c r="EF197" i="24" s="1"/>
  <c r="EN197" i="24"/>
  <c r="EM197" i="24"/>
  <c r="EP197" i="24" s="1"/>
  <c r="EY199" i="24"/>
  <c r="EL119" i="24"/>
  <c r="EN119" i="24"/>
  <c r="DW119" i="24"/>
  <c r="EM119" i="24"/>
  <c r="EP119" i="24" s="1"/>
  <c r="FA119" i="24"/>
  <c r="EY119" i="24"/>
  <c r="EB119" i="24"/>
  <c r="FA24" i="24"/>
  <c r="DW24" i="24"/>
  <c r="DY24" i="24" s="1"/>
  <c r="EF24" i="24" s="1"/>
  <c r="EN24" i="24"/>
  <c r="EM24" i="24"/>
  <c r="EP24" i="24" s="1"/>
  <c r="DU24" i="24"/>
  <c r="EE133" i="24"/>
  <c r="DW173" i="24"/>
  <c r="DY173" i="24" s="1"/>
  <c r="EF173" i="24" s="1"/>
  <c r="EN173" i="24"/>
  <c r="EM173" i="24"/>
  <c r="EP173" i="24" s="1"/>
  <c r="DW70" i="24"/>
  <c r="DY70" i="24" s="1"/>
  <c r="EF70" i="24" s="1"/>
  <c r="EN70" i="24"/>
  <c r="EM70" i="24"/>
  <c r="EP70" i="24" s="1"/>
  <c r="DU70" i="24"/>
  <c r="DW28" i="24"/>
  <c r="EN28" i="24"/>
  <c r="EM28" i="24"/>
  <c r="EP28" i="24" s="1"/>
  <c r="DU28" i="24"/>
  <c r="EY28" i="24"/>
  <c r="FA28" i="24"/>
  <c r="EB28" i="24"/>
  <c r="EL28" i="24"/>
  <c r="DW141" i="24"/>
  <c r="EN141" i="24"/>
  <c r="EM141" i="24"/>
  <c r="EP141" i="24" s="1"/>
  <c r="EL141" i="24"/>
  <c r="EY141" i="24"/>
  <c r="FA141" i="24"/>
  <c r="EB141" i="24"/>
  <c r="EE128" i="24"/>
  <c r="FA89" i="24"/>
  <c r="EB143" i="24"/>
  <c r="DW143" i="24"/>
  <c r="EN143" i="24"/>
  <c r="EM143" i="24"/>
  <c r="EP143" i="24" s="1"/>
  <c r="EL143" i="24"/>
  <c r="EY143" i="24"/>
  <c r="FA143" i="24"/>
  <c r="EY120" i="24"/>
  <c r="DW120" i="24"/>
  <c r="EN120" i="24"/>
  <c r="EM120" i="24"/>
  <c r="EP120" i="24" s="1"/>
  <c r="FA120" i="24"/>
  <c r="EL120" i="24"/>
  <c r="EB120" i="24"/>
  <c r="EB154" i="24"/>
  <c r="DW87" i="24"/>
  <c r="EN87" i="24"/>
  <c r="EM87" i="24"/>
  <c r="EP87" i="24" s="1"/>
  <c r="DU87" i="24"/>
  <c r="FA87" i="24"/>
  <c r="EY87" i="24"/>
  <c r="EL87" i="24"/>
  <c r="EB87" i="24"/>
  <c r="EE103" i="24"/>
  <c r="DW102" i="24"/>
  <c r="EN102" i="24"/>
  <c r="EM102" i="24"/>
  <c r="EP102" i="24" s="1"/>
  <c r="DU102" i="24"/>
  <c r="FA102" i="24"/>
  <c r="EY102" i="24"/>
  <c r="EL102" i="24"/>
  <c r="EB102" i="24"/>
  <c r="DW306" i="24"/>
  <c r="DU306" i="24"/>
  <c r="DW10" i="24"/>
  <c r="DY10" i="24" s="1"/>
  <c r="EF10" i="24" s="1"/>
  <c r="EN10" i="24"/>
  <c r="EM10" i="24"/>
  <c r="EP10" i="24" s="1"/>
  <c r="DU10" i="24"/>
  <c r="DW252" i="24"/>
  <c r="DU252" i="24"/>
  <c r="EL29" i="24"/>
  <c r="DW249" i="24"/>
  <c r="DU249" i="24"/>
  <c r="DW272" i="24"/>
  <c r="DU272" i="24"/>
  <c r="EB185" i="24"/>
  <c r="EE60" i="24"/>
  <c r="EB177" i="24"/>
  <c r="DW152" i="24"/>
  <c r="DY152" i="24" s="1"/>
  <c r="EF152" i="24" s="1"/>
  <c r="EN152" i="24"/>
  <c r="EM152" i="24"/>
  <c r="EP152" i="24" s="1"/>
  <c r="EL164" i="24"/>
  <c r="DW230" i="24"/>
  <c r="DU230" i="24"/>
  <c r="EE136" i="24"/>
  <c r="DW163" i="24"/>
  <c r="EN163" i="24"/>
  <c r="EM163" i="24"/>
  <c r="EP163" i="24" s="1"/>
  <c r="FA163" i="24"/>
  <c r="EB163" i="24"/>
  <c r="EL163" i="24"/>
  <c r="EY163" i="24"/>
  <c r="DW53" i="24"/>
  <c r="DY53" i="24" s="1"/>
  <c r="EF53" i="24" s="1"/>
  <c r="EN53" i="24"/>
  <c r="EM53" i="24"/>
  <c r="EP53" i="24" s="1"/>
  <c r="DU53" i="24"/>
  <c r="EB58" i="24"/>
  <c r="DW58" i="24"/>
  <c r="EN58" i="24"/>
  <c r="EM58" i="24"/>
  <c r="EP58" i="24" s="1"/>
  <c r="DU58" i="24"/>
  <c r="FA58" i="24"/>
  <c r="EL58" i="24"/>
  <c r="EY58" i="24"/>
  <c r="DW137" i="24"/>
  <c r="EN137" i="24"/>
  <c r="EM137" i="24"/>
  <c r="EP137" i="24" s="1"/>
  <c r="EY137" i="24"/>
  <c r="EB137" i="24"/>
  <c r="EL137" i="24"/>
  <c r="FA137" i="24"/>
  <c r="DW314" i="24"/>
  <c r="DU314" i="24"/>
  <c r="EB202" i="24"/>
  <c r="FA25" i="24"/>
  <c r="EN25" i="24"/>
  <c r="DW25" i="24"/>
  <c r="DY25" i="24" s="1"/>
  <c r="EF25" i="24" s="1"/>
  <c r="EM25" i="24"/>
  <c r="EP25" i="24" s="1"/>
  <c r="DU25" i="24"/>
  <c r="EY192" i="24"/>
  <c r="EN42" i="24"/>
  <c r="DW42" i="24"/>
  <c r="DY42" i="24" s="1"/>
  <c r="EF42" i="24" s="1"/>
  <c r="EM42" i="24"/>
  <c r="EP42" i="24" s="1"/>
  <c r="DU42" i="24"/>
  <c r="EY54" i="24"/>
  <c r="FA183" i="24"/>
  <c r="EE186" i="24"/>
  <c r="EB175" i="24"/>
  <c r="EY160" i="24"/>
  <c r="DW245" i="24"/>
  <c r="DU245" i="24"/>
  <c r="EY171" i="24"/>
  <c r="EE43" i="24"/>
  <c r="FA197" i="24"/>
  <c r="DW22" i="24"/>
  <c r="EN22" i="24"/>
  <c r="EM22" i="24"/>
  <c r="EP22" i="24" s="1"/>
  <c r="DU22" i="24"/>
  <c r="FA22" i="24"/>
  <c r="EB22" i="24"/>
  <c r="EL22" i="24"/>
  <c r="EY22" i="24"/>
  <c r="EL47" i="24"/>
  <c r="EL138" i="24"/>
  <c r="EN72" i="24"/>
  <c r="DW72" i="24"/>
  <c r="EM72" i="24"/>
  <c r="EP72" i="24" s="1"/>
  <c r="DU72" i="24"/>
  <c r="EY72" i="24"/>
  <c r="EL72" i="24"/>
  <c r="FA72" i="24"/>
  <c r="EB72" i="24"/>
  <c r="EB10" i="24"/>
  <c r="EL75" i="24"/>
  <c r="DW75" i="24"/>
  <c r="EN75" i="24"/>
  <c r="EM75" i="24"/>
  <c r="EP75" i="24" s="1"/>
  <c r="DU75" i="24"/>
  <c r="FA75" i="24"/>
  <c r="EB75" i="24"/>
  <c r="EY75" i="24"/>
  <c r="EL81" i="24"/>
  <c r="DW221" i="24"/>
  <c r="DU221" i="24"/>
  <c r="EE63" i="24"/>
  <c r="FA30" i="24"/>
  <c r="DW234" i="24"/>
  <c r="DU234" i="24"/>
  <c r="DW43" i="24"/>
  <c r="DY43" i="24" s="1"/>
  <c r="EF43" i="24" s="1"/>
  <c r="EN43" i="24"/>
  <c r="EM43" i="24"/>
  <c r="EP43" i="24" s="1"/>
  <c r="DU43" i="24"/>
  <c r="DW167" i="24"/>
  <c r="DY167" i="24" s="1"/>
  <c r="EF167" i="24" s="1"/>
  <c r="EN167" i="24"/>
  <c r="EM167" i="24"/>
  <c r="EP167" i="24" s="1"/>
  <c r="EY114" i="24"/>
  <c r="EB209" i="24"/>
  <c r="EY23" i="24"/>
  <c r="DW174" i="24"/>
  <c r="DY174" i="24" s="1"/>
  <c r="EF174" i="24" s="1"/>
  <c r="EN174" i="24"/>
  <c r="EM174" i="24"/>
  <c r="EP174" i="24" s="1"/>
  <c r="EY201" i="24"/>
  <c r="EB173" i="24"/>
  <c r="DW26" i="24"/>
  <c r="DY26" i="24" s="1"/>
  <c r="EF26" i="24" s="1"/>
  <c r="EN26" i="24"/>
  <c r="EM26" i="24"/>
  <c r="EP26" i="24" s="1"/>
  <c r="DU26" i="24"/>
  <c r="DW84" i="24"/>
  <c r="EN84" i="24"/>
  <c r="EM84" i="24"/>
  <c r="EP84" i="24" s="1"/>
  <c r="DU84" i="24"/>
  <c r="EB84" i="24"/>
  <c r="EY84" i="24"/>
  <c r="FA84" i="24"/>
  <c r="EL84" i="24"/>
  <c r="EY155" i="24"/>
  <c r="EB80" i="24"/>
  <c r="EE199" i="24"/>
  <c r="DW283" i="24"/>
  <c r="DU283" i="24"/>
  <c r="EY129" i="24"/>
  <c r="DW244" i="24"/>
  <c r="DU244" i="24"/>
  <c r="EE39" i="24"/>
  <c r="DW275" i="24"/>
  <c r="DU275" i="24"/>
  <c r="DW145" i="24"/>
  <c r="DY145" i="24" s="1"/>
  <c r="EF145" i="24" s="1"/>
  <c r="EN145" i="24"/>
  <c r="EM145" i="24"/>
  <c r="EP145" i="24" s="1"/>
  <c r="BV106" i="19"/>
  <c r="CB106" i="19" s="1"/>
  <c r="BW106" i="19"/>
  <c r="CC106" i="19" s="1"/>
  <c r="CG212" i="25" l="1"/>
  <c r="EE212" i="25"/>
  <c r="EG212" i="25"/>
  <c r="EX212" i="25" s="1"/>
  <c r="EF212" i="25"/>
  <c r="EW212" i="25" s="1"/>
  <c r="CH212" i="25"/>
  <c r="DY190" i="24"/>
  <c r="EF190" i="24" s="1"/>
  <c r="EA243" i="24"/>
  <c r="FL243" i="24" s="1"/>
  <c r="EA96" i="24"/>
  <c r="CG96" i="24" s="1"/>
  <c r="EA242" i="24"/>
  <c r="EH242" i="24" s="1"/>
  <c r="EA285" i="24"/>
  <c r="EC285" i="24" s="1"/>
  <c r="ED285" i="24" s="1"/>
  <c r="FL216" i="24"/>
  <c r="EI216" i="24"/>
  <c r="EX216" i="24" s="1"/>
  <c r="EC216" i="24"/>
  <c r="ED216" i="24" s="1"/>
  <c r="EH216" i="24"/>
  <c r="I5" i="24"/>
  <c r="M5" i="24" s="1"/>
  <c r="U5" i="24" s="1"/>
  <c r="CH285" i="25"/>
  <c r="EF285" i="25"/>
  <c r="EW285" i="25" s="1"/>
  <c r="EG285" i="25"/>
  <c r="EX285" i="25" s="1"/>
  <c r="EE285" i="25"/>
  <c r="CH253" i="25"/>
  <c r="EE253" i="25"/>
  <c r="EF253" i="25"/>
  <c r="EW253" i="25" s="1"/>
  <c r="EG253" i="25"/>
  <c r="EX253" i="25" s="1"/>
  <c r="CG262" i="25"/>
  <c r="EF262" i="25"/>
  <c r="EW262" i="25" s="1"/>
  <c r="EG262" i="25"/>
  <c r="EX262" i="25" s="1"/>
  <c r="EE262" i="25"/>
  <c r="CH303" i="25"/>
  <c r="EF303" i="25"/>
  <c r="EW303" i="25" s="1"/>
  <c r="EG303" i="25"/>
  <c r="EX303" i="25" s="1"/>
  <c r="EE303" i="25"/>
  <c r="CH248" i="25"/>
  <c r="EE248" i="25"/>
  <c r="EF248" i="25"/>
  <c r="EW248" i="25" s="1"/>
  <c r="EG248" i="25"/>
  <c r="EX248" i="25" s="1"/>
  <c r="CG242" i="25"/>
  <c r="EE242" i="25"/>
  <c r="EF242" i="25"/>
  <c r="EW242" i="25" s="1"/>
  <c r="EG242" i="25"/>
  <c r="EX242" i="25" s="1"/>
  <c r="CH237" i="25"/>
  <c r="EF237" i="25"/>
  <c r="EW237" i="25" s="1"/>
  <c r="EG237" i="25"/>
  <c r="EX237" i="25" s="1"/>
  <c r="EE237" i="25"/>
  <c r="CG266" i="25"/>
  <c r="EE266" i="25"/>
  <c r="EF266" i="25"/>
  <c r="EW266" i="25" s="1"/>
  <c r="EG266" i="25"/>
  <c r="EX266" i="25" s="1"/>
  <c r="CH264" i="25"/>
  <c r="EE264" i="25"/>
  <c r="EF264" i="25"/>
  <c r="EW264" i="25" s="1"/>
  <c r="EG264" i="25"/>
  <c r="EX264" i="25" s="1"/>
  <c r="CH235" i="25"/>
  <c r="EF235" i="25"/>
  <c r="EW235" i="25" s="1"/>
  <c r="EG235" i="25"/>
  <c r="EX235" i="25" s="1"/>
  <c r="EE235" i="25"/>
  <c r="CG230" i="25"/>
  <c r="EE230" i="25"/>
  <c r="EF230" i="25"/>
  <c r="EW230" i="25" s="1"/>
  <c r="EG230" i="25"/>
  <c r="EX230" i="25" s="1"/>
  <c r="CH300" i="25"/>
  <c r="EE300" i="25"/>
  <c r="EF300" i="25"/>
  <c r="EW300" i="25" s="1"/>
  <c r="EG300" i="25"/>
  <c r="EX300" i="25" s="1"/>
  <c r="CH312" i="25"/>
  <c r="EG312" i="25"/>
  <c r="EX312" i="25" s="1"/>
  <c r="EE312" i="25"/>
  <c r="EF312" i="25"/>
  <c r="EW312" i="25" s="1"/>
  <c r="CG274" i="25"/>
  <c r="EE274" i="25"/>
  <c r="EG274" i="25"/>
  <c r="EX274" i="25" s="1"/>
  <c r="EF274" i="25"/>
  <c r="EW274" i="25" s="1"/>
  <c r="CG246" i="25"/>
  <c r="EE246" i="25"/>
  <c r="EF246" i="25"/>
  <c r="EW246" i="25" s="1"/>
  <c r="EG246" i="25"/>
  <c r="EX246" i="25" s="1"/>
  <c r="CH281" i="25"/>
  <c r="EE281" i="25"/>
  <c r="EG281" i="25"/>
  <c r="EX281" i="25" s="1"/>
  <c r="EF281" i="25"/>
  <c r="EW281" i="25" s="1"/>
  <c r="CH307" i="25"/>
  <c r="EE307" i="25"/>
  <c r="EF307" i="25"/>
  <c r="EW307" i="25" s="1"/>
  <c r="EG307" i="25"/>
  <c r="EX307" i="25" s="1"/>
  <c r="CH217" i="25"/>
  <c r="EE217" i="25"/>
  <c r="EF217" i="25"/>
  <c r="EW217" i="25" s="1"/>
  <c r="EG217" i="25"/>
  <c r="EX217" i="25" s="1"/>
  <c r="CG302" i="25"/>
  <c r="EE302" i="25"/>
  <c r="EF302" i="25"/>
  <c r="EW302" i="25" s="1"/>
  <c r="EG302" i="25"/>
  <c r="EX302" i="25" s="1"/>
  <c r="CH288" i="25"/>
  <c r="EF288" i="25"/>
  <c r="EW288" i="25" s="1"/>
  <c r="EG288" i="25"/>
  <c r="EX288" i="25" s="1"/>
  <c r="EE288" i="25"/>
  <c r="CG270" i="25"/>
  <c r="EE270" i="25"/>
  <c r="EF270" i="25"/>
  <c r="EW270" i="25" s="1"/>
  <c r="EG270" i="25"/>
  <c r="EX270" i="25" s="1"/>
  <c r="CH272" i="25"/>
  <c r="EF272" i="25"/>
  <c r="EW272" i="25" s="1"/>
  <c r="EG272" i="25"/>
  <c r="EX272" i="25" s="1"/>
  <c r="EE272" i="25"/>
  <c r="CH249" i="25"/>
  <c r="EE249" i="25"/>
  <c r="EF249" i="25"/>
  <c r="EW249" i="25" s="1"/>
  <c r="EG249" i="25"/>
  <c r="EX249" i="25" s="1"/>
  <c r="CG273" i="25"/>
  <c r="EE273" i="25"/>
  <c r="EF273" i="25"/>
  <c r="EW273" i="25" s="1"/>
  <c r="EG273" i="25"/>
  <c r="EX273" i="25" s="1"/>
  <c r="CG258" i="25"/>
  <c r="EE258" i="25"/>
  <c r="EF258" i="25"/>
  <c r="EW258" i="25" s="1"/>
  <c r="EG258" i="25"/>
  <c r="EX258" i="25" s="1"/>
  <c r="CH304" i="25"/>
  <c r="EE304" i="25"/>
  <c r="EF304" i="25"/>
  <c r="EW304" i="25" s="1"/>
  <c r="EG304" i="25"/>
  <c r="EX304" i="25" s="1"/>
  <c r="CH259" i="25"/>
  <c r="EE259" i="25"/>
  <c r="EF259" i="25"/>
  <c r="EW259" i="25" s="1"/>
  <c r="EG259" i="25"/>
  <c r="EX259" i="25" s="1"/>
  <c r="CH231" i="25"/>
  <c r="EG231" i="25"/>
  <c r="EX231" i="25" s="1"/>
  <c r="EE231" i="25"/>
  <c r="EF231" i="25"/>
  <c r="EW231" i="25" s="1"/>
  <c r="CH251" i="25"/>
  <c r="EE251" i="25"/>
  <c r="EF251" i="25"/>
  <c r="EW251" i="25" s="1"/>
  <c r="EG251" i="25"/>
  <c r="EX251" i="25" s="1"/>
  <c r="CG226" i="25"/>
  <c r="EE226" i="25"/>
  <c r="EF226" i="25"/>
  <c r="EW226" i="25" s="1"/>
  <c r="EG226" i="25"/>
  <c r="EX226" i="25" s="1"/>
  <c r="CH308" i="25"/>
  <c r="EE308" i="25"/>
  <c r="EF308" i="25"/>
  <c r="EW308" i="25" s="1"/>
  <c r="EG308" i="25"/>
  <c r="EX308" i="25" s="1"/>
  <c r="CH305" i="25"/>
  <c r="EE305" i="25"/>
  <c r="EF305" i="25"/>
  <c r="EW305" i="25" s="1"/>
  <c r="EG305" i="25"/>
  <c r="EX305" i="25" s="1"/>
  <c r="CH260" i="25"/>
  <c r="EF260" i="25"/>
  <c r="EW260" i="25" s="1"/>
  <c r="EG260" i="25"/>
  <c r="EX260" i="25" s="1"/>
  <c r="EE260" i="25"/>
  <c r="CG268" i="25"/>
  <c r="EG268" i="25"/>
  <c r="EX268" i="25" s="1"/>
  <c r="EE268" i="25"/>
  <c r="EF268" i="25"/>
  <c r="EW268" i="25" s="1"/>
  <c r="CG254" i="25"/>
  <c r="EG254" i="25"/>
  <c r="EX254" i="25" s="1"/>
  <c r="EE254" i="25"/>
  <c r="EF254" i="25"/>
  <c r="EW254" i="25" s="1"/>
  <c r="CH263" i="25"/>
  <c r="EE263" i="25"/>
  <c r="EF263" i="25"/>
  <c r="EW263" i="25" s="1"/>
  <c r="EG263" i="25"/>
  <c r="EX263" i="25" s="1"/>
  <c r="CH236" i="25"/>
  <c r="EE236" i="25"/>
  <c r="EF236" i="25"/>
  <c r="EW236" i="25" s="1"/>
  <c r="EG236" i="25"/>
  <c r="EX236" i="25" s="1"/>
  <c r="CH227" i="25"/>
  <c r="EE227" i="25"/>
  <c r="EF227" i="25"/>
  <c r="EW227" i="25" s="1"/>
  <c r="EG227" i="25"/>
  <c r="EX227" i="25" s="1"/>
  <c r="CG238" i="25"/>
  <c r="EE238" i="25"/>
  <c r="EF238" i="25"/>
  <c r="EW238" i="25" s="1"/>
  <c r="EG238" i="25"/>
  <c r="EX238" i="25" s="1"/>
  <c r="CG298" i="25"/>
  <c r="EG298" i="25"/>
  <c r="EX298" i="25" s="1"/>
  <c r="EE298" i="25"/>
  <c r="EF298" i="25"/>
  <c r="EW298" i="25" s="1"/>
  <c r="CH284" i="25"/>
  <c r="EE284" i="25"/>
  <c r="EG284" i="25"/>
  <c r="EX284" i="25" s="1"/>
  <c r="EF284" i="25"/>
  <c r="EW284" i="25" s="1"/>
  <c r="CH286" i="25"/>
  <c r="EE286" i="25"/>
  <c r="EF286" i="25"/>
  <c r="EW286" i="25" s="1"/>
  <c r="EG286" i="25"/>
  <c r="EX286" i="25" s="1"/>
  <c r="CH297" i="25"/>
  <c r="EE297" i="25"/>
  <c r="EF297" i="25"/>
  <c r="EW297" i="25" s="1"/>
  <c r="EG297" i="25"/>
  <c r="EX297" i="25" s="1"/>
  <c r="CG218" i="25"/>
  <c r="EE218" i="25"/>
  <c r="EF218" i="25"/>
  <c r="EW218" i="25" s="1"/>
  <c r="EG218" i="25"/>
  <c r="EX218" i="25" s="1"/>
  <c r="CH232" i="25"/>
  <c r="EF232" i="25"/>
  <c r="EW232" i="25" s="1"/>
  <c r="EG232" i="25"/>
  <c r="EX232" i="25" s="1"/>
  <c r="EE232" i="25"/>
  <c r="CH295" i="25"/>
  <c r="EE295" i="25"/>
  <c r="EG295" i="25"/>
  <c r="EX295" i="25" s="1"/>
  <c r="EF295" i="25"/>
  <c r="EW295" i="25" s="1"/>
  <c r="CH241" i="25"/>
  <c r="EE241" i="25"/>
  <c r="EF241" i="25"/>
  <c r="EW241" i="25" s="1"/>
  <c r="EG241" i="25"/>
  <c r="EX241" i="25" s="1"/>
  <c r="CH287" i="25"/>
  <c r="EF287" i="25"/>
  <c r="EW287" i="25" s="1"/>
  <c r="EG287" i="25"/>
  <c r="EX287" i="25" s="1"/>
  <c r="EE287" i="25"/>
  <c r="CG313" i="25"/>
  <c r="EE313" i="25"/>
  <c r="EF313" i="25"/>
  <c r="EW313" i="25" s="1"/>
  <c r="EG313" i="25"/>
  <c r="EX313" i="25" s="1"/>
  <c r="CH257" i="25"/>
  <c r="EF257" i="25"/>
  <c r="EW257" i="25" s="1"/>
  <c r="EG257" i="25"/>
  <c r="EX257" i="25" s="1"/>
  <c r="EE257" i="25"/>
  <c r="CH301" i="25"/>
  <c r="EE301" i="25"/>
  <c r="EF301" i="25"/>
  <c r="EW301" i="25" s="1"/>
  <c r="EG301" i="25"/>
  <c r="EX301" i="25" s="1"/>
  <c r="CH311" i="25"/>
  <c r="EE311" i="25"/>
  <c r="EF311" i="25"/>
  <c r="EW311" i="25" s="1"/>
  <c r="EG311" i="25"/>
  <c r="EX311" i="25" s="1"/>
  <c r="CH279" i="25"/>
  <c r="EE279" i="25"/>
  <c r="EG279" i="25"/>
  <c r="EX279" i="25" s="1"/>
  <c r="EF279" i="25"/>
  <c r="EW279" i="25" s="1"/>
  <c r="CG229" i="25"/>
  <c r="EE229" i="25"/>
  <c r="EF229" i="25"/>
  <c r="EW229" i="25" s="1"/>
  <c r="EG229" i="25"/>
  <c r="EX229" i="25" s="1"/>
  <c r="CH283" i="25"/>
  <c r="EE283" i="25"/>
  <c r="EF283" i="25"/>
  <c r="EW283" i="25" s="1"/>
  <c r="EG283" i="25"/>
  <c r="EX283" i="25" s="1"/>
  <c r="CG240" i="25"/>
  <c r="EE240" i="25"/>
  <c r="EF240" i="25"/>
  <c r="EW240" i="25" s="1"/>
  <c r="EG240" i="25"/>
  <c r="EX240" i="25" s="1"/>
  <c r="CH265" i="25"/>
  <c r="EF265" i="25"/>
  <c r="EW265" i="25" s="1"/>
  <c r="EG265" i="25"/>
  <c r="EX265" i="25" s="1"/>
  <c r="EE265" i="25"/>
  <c r="CG222" i="25"/>
  <c r="EE222" i="25"/>
  <c r="EF222" i="25"/>
  <c r="EW222" i="25" s="1"/>
  <c r="EG222" i="25"/>
  <c r="EX222" i="25" s="1"/>
  <c r="CH292" i="25"/>
  <c r="EE292" i="25"/>
  <c r="EF292" i="25"/>
  <c r="EW292" i="25" s="1"/>
  <c r="EG292" i="25"/>
  <c r="EX292" i="25" s="1"/>
  <c r="CH243" i="25"/>
  <c r="EF243" i="25"/>
  <c r="EW243" i="25" s="1"/>
  <c r="EG243" i="25"/>
  <c r="EX243" i="25" s="1"/>
  <c r="EE243" i="25"/>
  <c r="CH291" i="25"/>
  <c r="EE291" i="25"/>
  <c r="EF291" i="25"/>
  <c r="EW291" i="25" s="1"/>
  <c r="EG291" i="25"/>
  <c r="EX291" i="25" s="1"/>
  <c r="CH271" i="25"/>
  <c r="EE271" i="25"/>
  <c r="EG271" i="25"/>
  <c r="EX271" i="25" s="1"/>
  <c r="EF271" i="25"/>
  <c r="EW271" i="25" s="1"/>
  <c r="CH276" i="25"/>
  <c r="EE276" i="25"/>
  <c r="EF276" i="25"/>
  <c r="EW276" i="25" s="1"/>
  <c r="EG276" i="25"/>
  <c r="EX276" i="25" s="1"/>
  <c r="CH316" i="25"/>
  <c r="EE316" i="25"/>
  <c r="EF316" i="25"/>
  <c r="EW316" i="25" s="1"/>
  <c r="EG316" i="25"/>
  <c r="EX316" i="25" s="1"/>
  <c r="CH233" i="25"/>
  <c r="EE233" i="25"/>
  <c r="EF233" i="25"/>
  <c r="EW233" i="25" s="1"/>
  <c r="EG233" i="25"/>
  <c r="EX233" i="25" s="1"/>
  <c r="CG225" i="25"/>
  <c r="EE225" i="25"/>
  <c r="EF225" i="25"/>
  <c r="EW225" i="25" s="1"/>
  <c r="EG225" i="25"/>
  <c r="EX225" i="25" s="1"/>
  <c r="CH221" i="25"/>
  <c r="EG221" i="25"/>
  <c r="EX221" i="25" s="1"/>
  <c r="EE221" i="25"/>
  <c r="EF221" i="25"/>
  <c r="EW221" i="25" s="1"/>
  <c r="CG294" i="25"/>
  <c r="EE294" i="25"/>
  <c r="EF294" i="25"/>
  <c r="EW294" i="25" s="1"/>
  <c r="EG294" i="25"/>
  <c r="EX294" i="25" s="1"/>
  <c r="CH247" i="25"/>
  <c r="EE247" i="25"/>
  <c r="EF247" i="25"/>
  <c r="EW247" i="25" s="1"/>
  <c r="EG247" i="25"/>
  <c r="EX247" i="25" s="1"/>
  <c r="CH315" i="25"/>
  <c r="EE315" i="25"/>
  <c r="EF315" i="25"/>
  <c r="EW315" i="25" s="1"/>
  <c r="EG315" i="25"/>
  <c r="EX315" i="25" s="1"/>
  <c r="CH289" i="25"/>
  <c r="EE289" i="25"/>
  <c r="EF289" i="25"/>
  <c r="EW289" i="25" s="1"/>
  <c r="EG289" i="25"/>
  <c r="EX289" i="25" s="1"/>
  <c r="CH277" i="25"/>
  <c r="EF277" i="25"/>
  <c r="EW277" i="25" s="1"/>
  <c r="EG277" i="25"/>
  <c r="EX277" i="25" s="1"/>
  <c r="EE277" i="25"/>
  <c r="CH261" i="25"/>
  <c r="EE261" i="25"/>
  <c r="EF261" i="25"/>
  <c r="EW261" i="25" s="1"/>
  <c r="EG261" i="25"/>
  <c r="EX261" i="25" s="1"/>
  <c r="CG252" i="25"/>
  <c r="EE252" i="25"/>
  <c r="EF252" i="25"/>
  <c r="EW252" i="25" s="1"/>
  <c r="EG252" i="25"/>
  <c r="EX252" i="25" s="1"/>
  <c r="CG267" i="25"/>
  <c r="EE267" i="25"/>
  <c r="EF267" i="25"/>
  <c r="EW267" i="25" s="1"/>
  <c r="EG267" i="25"/>
  <c r="EX267" i="25" s="1"/>
  <c r="CH293" i="25"/>
  <c r="EG293" i="25"/>
  <c r="EX293" i="25" s="1"/>
  <c r="EE293" i="25"/>
  <c r="EF293" i="25"/>
  <c r="EW293" i="25" s="1"/>
  <c r="CH219" i="25"/>
  <c r="EE219" i="25"/>
  <c r="EF219" i="25"/>
  <c r="EW219" i="25" s="1"/>
  <c r="EG219" i="25"/>
  <c r="EX219" i="25" s="1"/>
  <c r="CH280" i="25"/>
  <c r="EE280" i="25"/>
  <c r="EF280" i="25"/>
  <c r="EW280" i="25" s="1"/>
  <c r="EG280" i="25"/>
  <c r="EX280" i="25" s="1"/>
  <c r="CH228" i="25"/>
  <c r="EE228" i="25"/>
  <c r="EF228" i="25"/>
  <c r="EW228" i="25" s="1"/>
  <c r="EG228" i="25"/>
  <c r="EX228" i="25" s="1"/>
  <c r="CG275" i="25"/>
  <c r="EG275" i="25"/>
  <c r="EX275" i="25" s="1"/>
  <c r="EE275" i="25"/>
  <c r="EF275" i="25"/>
  <c r="EW275" i="25" s="1"/>
  <c r="CH299" i="25"/>
  <c r="EE299" i="25"/>
  <c r="EF299" i="25"/>
  <c r="EW299" i="25" s="1"/>
  <c r="EG299" i="25"/>
  <c r="EX299" i="25" s="1"/>
  <c r="CH296" i="25"/>
  <c r="EF296" i="25"/>
  <c r="EW296" i="25" s="1"/>
  <c r="EG296" i="25"/>
  <c r="EX296" i="25" s="1"/>
  <c r="EE296" i="25"/>
  <c r="CH256" i="25"/>
  <c r="EE256" i="25"/>
  <c r="EF256" i="25"/>
  <c r="EW256" i="25" s="1"/>
  <c r="EG256" i="25"/>
  <c r="EX256" i="25" s="1"/>
  <c r="CG290" i="25"/>
  <c r="EG290" i="25"/>
  <c r="EX290" i="25" s="1"/>
  <c r="EE290" i="25"/>
  <c r="EF290" i="25"/>
  <c r="EW290" i="25" s="1"/>
  <c r="CG234" i="25"/>
  <c r="EE234" i="25"/>
  <c r="EF234" i="25"/>
  <c r="EW234" i="25" s="1"/>
  <c r="EG234" i="25"/>
  <c r="EX234" i="25" s="1"/>
  <c r="CH239" i="25"/>
  <c r="EE239" i="25"/>
  <c r="EF239" i="25"/>
  <c r="EW239" i="25" s="1"/>
  <c r="EG239" i="25"/>
  <c r="EX239" i="25" s="1"/>
  <c r="CH224" i="25"/>
  <c r="EG224" i="25"/>
  <c r="EX224" i="25" s="1"/>
  <c r="EE224" i="25"/>
  <c r="EF224" i="25"/>
  <c r="EW224" i="25" s="1"/>
  <c r="CH223" i="25"/>
  <c r="EE223" i="25"/>
  <c r="EF223" i="25"/>
  <c r="EW223" i="25" s="1"/>
  <c r="EG223" i="25"/>
  <c r="EX223" i="25" s="1"/>
  <c r="CH220" i="25"/>
  <c r="EE220" i="25"/>
  <c r="EF220" i="25"/>
  <c r="EW220" i="25" s="1"/>
  <c r="EG220" i="25"/>
  <c r="EX220" i="25" s="1"/>
  <c r="CG278" i="25"/>
  <c r="EE278" i="25"/>
  <c r="EF278" i="25"/>
  <c r="EW278" i="25" s="1"/>
  <c r="EG278" i="25"/>
  <c r="EX278" i="25" s="1"/>
  <c r="CH269" i="25"/>
  <c r="EE269" i="25"/>
  <c r="EF269" i="25"/>
  <c r="EW269" i="25" s="1"/>
  <c r="EG269" i="25"/>
  <c r="EX269" i="25" s="1"/>
  <c r="CH282" i="25"/>
  <c r="EE282" i="25"/>
  <c r="EF282" i="25"/>
  <c r="EW282" i="25" s="1"/>
  <c r="EG282" i="25"/>
  <c r="EX282" i="25" s="1"/>
  <c r="CG314" i="25"/>
  <c r="EE314" i="25"/>
  <c r="EF314" i="25"/>
  <c r="EW314" i="25" s="1"/>
  <c r="EG314" i="25"/>
  <c r="EX314" i="25" s="1"/>
  <c r="CH216" i="25"/>
  <c r="EG216" i="25"/>
  <c r="EX216" i="25" s="1"/>
  <c r="EF216" i="25"/>
  <c r="EW216" i="25" s="1"/>
  <c r="EE216" i="25"/>
  <c r="CH255" i="25"/>
  <c r="EE255" i="25"/>
  <c r="EF255" i="25"/>
  <c r="EW255" i="25" s="1"/>
  <c r="EG255" i="25"/>
  <c r="EX255" i="25" s="1"/>
  <c r="CH309" i="25"/>
  <c r="EF309" i="25"/>
  <c r="EW309" i="25" s="1"/>
  <c r="EG309" i="25"/>
  <c r="EX309" i="25" s="1"/>
  <c r="EE309" i="25"/>
  <c r="CG310" i="25"/>
  <c r="EE310" i="25"/>
  <c r="EF310" i="25"/>
  <c r="EW310" i="25" s="1"/>
  <c r="EG310" i="25"/>
  <c r="EX310" i="25" s="1"/>
  <c r="CG306" i="25"/>
  <c r="EF306" i="25"/>
  <c r="EW306" i="25" s="1"/>
  <c r="EG306" i="25"/>
  <c r="EX306" i="25" s="1"/>
  <c r="EE306" i="25"/>
  <c r="CG250" i="25"/>
  <c r="EE250" i="25"/>
  <c r="EF250" i="25"/>
  <c r="EW250" i="25" s="1"/>
  <c r="EG250" i="25"/>
  <c r="EX250" i="25" s="1"/>
  <c r="CH245" i="25"/>
  <c r="EG245" i="25"/>
  <c r="EX245" i="25" s="1"/>
  <c r="EE245" i="25"/>
  <c r="EF245" i="25"/>
  <c r="EW245" i="25" s="1"/>
  <c r="CH244" i="25"/>
  <c r="EE244" i="25"/>
  <c r="EF244" i="25"/>
  <c r="EW244" i="25" s="1"/>
  <c r="EG244" i="25"/>
  <c r="EX244" i="25" s="1"/>
  <c r="EG112" i="25"/>
  <c r="EX112" i="25" s="1"/>
  <c r="EE112" i="25"/>
  <c r="CG112" i="25"/>
  <c r="CH112" i="25"/>
  <c r="EF112" i="25"/>
  <c r="EW112" i="25" s="1"/>
  <c r="CH65" i="25"/>
  <c r="CG136" i="25"/>
  <c r="CH115" i="25"/>
  <c r="CG190" i="25"/>
  <c r="CH82" i="25"/>
  <c r="CH51" i="25"/>
  <c r="CH170" i="25"/>
  <c r="CH194" i="25"/>
  <c r="CH192" i="25"/>
  <c r="CH55" i="25"/>
  <c r="CH198" i="25"/>
  <c r="CH185" i="25"/>
  <c r="CH205" i="25"/>
  <c r="CH70" i="25"/>
  <c r="CH200" i="25"/>
  <c r="CG110" i="25"/>
  <c r="CG207" i="25"/>
  <c r="CG169" i="25"/>
  <c r="CH131" i="25"/>
  <c r="CH174" i="25"/>
  <c r="CH147" i="25"/>
  <c r="CH158" i="25"/>
  <c r="CH114" i="25"/>
  <c r="CH171" i="25"/>
  <c r="CH187" i="25"/>
  <c r="CH79" i="25"/>
  <c r="CH122" i="25"/>
  <c r="CH64" i="25"/>
  <c r="CH155" i="25"/>
  <c r="CH148" i="25"/>
  <c r="CG159" i="25"/>
  <c r="CH156" i="25"/>
  <c r="CH119" i="25"/>
  <c r="CG160" i="25"/>
  <c r="CH24" i="25"/>
  <c r="CG204" i="25"/>
  <c r="CG179" i="25"/>
  <c r="CH83" i="25"/>
  <c r="CG203" i="25"/>
  <c r="CH130" i="25"/>
  <c r="CG172" i="25"/>
  <c r="CH6" i="25"/>
  <c r="CG145" i="25"/>
  <c r="CG133" i="25"/>
  <c r="CG120" i="25"/>
  <c r="CH19" i="25"/>
  <c r="CH184" i="25"/>
  <c r="CH48" i="25"/>
  <c r="CG121" i="25"/>
  <c r="CG208" i="25"/>
  <c r="CH99" i="25"/>
  <c r="CH53" i="25"/>
  <c r="CG168" i="25"/>
  <c r="CH15" i="25"/>
  <c r="CG132" i="25"/>
  <c r="CH29" i="25"/>
  <c r="CH35" i="25"/>
  <c r="CG152" i="25"/>
  <c r="CG161" i="25"/>
  <c r="CH96" i="25"/>
  <c r="CG124" i="25"/>
  <c r="CH21" i="25"/>
  <c r="CH32" i="25"/>
  <c r="CH54" i="25"/>
  <c r="CH87" i="25"/>
  <c r="CH18" i="25"/>
  <c r="CH28" i="25"/>
  <c r="CH63" i="25"/>
  <c r="CH26" i="25"/>
  <c r="CH38" i="25"/>
  <c r="CH41" i="25"/>
  <c r="CH36" i="25"/>
  <c r="CH44" i="25"/>
  <c r="CG173" i="25"/>
  <c r="CG196" i="25"/>
  <c r="CG116" i="25"/>
  <c r="CH14" i="25"/>
  <c r="CH17" i="25"/>
  <c r="CH76" i="25"/>
  <c r="CH84" i="25"/>
  <c r="CG202" i="25"/>
  <c r="CH127" i="25"/>
  <c r="CG206" i="25"/>
  <c r="CH69" i="25"/>
  <c r="CH42" i="25"/>
  <c r="CG134" i="25"/>
  <c r="CH43" i="25"/>
  <c r="CG153" i="25"/>
  <c r="CH62" i="25"/>
  <c r="CH12" i="25"/>
  <c r="CG201" i="25"/>
  <c r="CG139" i="25"/>
  <c r="CH61" i="25"/>
  <c r="CH49" i="25"/>
  <c r="CG210" i="25"/>
  <c r="CG167" i="25"/>
  <c r="CH23" i="25"/>
  <c r="CG111" i="25"/>
  <c r="CG123" i="25"/>
  <c r="CH11" i="25"/>
  <c r="CG176" i="25"/>
  <c r="CG195" i="25"/>
  <c r="CH104" i="25"/>
  <c r="CH90" i="25"/>
  <c r="CH173" i="25"/>
  <c r="CH118" i="25"/>
  <c r="CH67" i="25"/>
  <c r="CH57" i="25"/>
  <c r="CG197" i="25"/>
  <c r="CG157" i="25"/>
  <c r="CG151" i="25"/>
  <c r="CH30" i="25"/>
  <c r="CG186" i="25"/>
  <c r="CG166" i="25"/>
  <c r="CG154" i="25"/>
  <c r="CH9" i="25"/>
  <c r="CH16" i="25"/>
  <c r="CG142" i="25"/>
  <c r="CH95" i="25"/>
  <c r="CG135" i="25"/>
  <c r="CG162" i="25"/>
  <c r="CH68" i="25"/>
  <c r="CG141" i="25"/>
  <c r="CG117" i="25"/>
  <c r="CH60" i="25"/>
  <c r="CH39" i="25"/>
  <c r="CG140" i="25"/>
  <c r="CH100" i="25"/>
  <c r="CH80" i="25"/>
  <c r="CG144" i="25"/>
  <c r="CH92" i="25"/>
  <c r="CG188" i="25"/>
  <c r="CG113" i="25"/>
  <c r="CH101" i="25"/>
  <c r="CG165" i="25"/>
  <c r="CH10" i="25"/>
  <c r="CG126" i="25"/>
  <c r="CH93" i="25"/>
  <c r="CG137" i="25"/>
  <c r="CG125" i="25"/>
  <c r="CG191" i="25"/>
  <c r="CG193" i="25"/>
  <c r="CG209" i="25"/>
  <c r="CH85" i="25"/>
  <c r="CH94" i="25"/>
  <c r="CG146" i="25"/>
  <c r="CH46" i="25"/>
  <c r="CG149" i="25"/>
  <c r="CG150" i="25"/>
  <c r="CG129" i="25"/>
  <c r="CG175" i="25"/>
  <c r="CH13" i="25"/>
  <c r="CH75" i="25"/>
  <c r="CH72" i="25"/>
  <c r="EA78" i="24"/>
  <c r="FL78" i="24" s="1"/>
  <c r="CH183" i="25"/>
  <c r="CG183" i="25"/>
  <c r="CH102" i="25"/>
  <c r="CH27" i="25"/>
  <c r="CG128" i="25"/>
  <c r="CH20" i="25"/>
  <c r="CH105" i="25"/>
  <c r="CG189" i="25"/>
  <c r="CG163" i="25"/>
  <c r="CH78" i="25"/>
  <c r="CH137" i="25"/>
  <c r="CH59" i="25"/>
  <c r="CH22" i="25"/>
  <c r="CG180" i="25"/>
  <c r="CG199" i="25"/>
  <c r="CH66" i="25"/>
  <c r="CG177" i="25"/>
  <c r="CG164" i="25"/>
  <c r="CH34" i="25"/>
  <c r="CH86" i="25"/>
  <c r="CG178" i="25"/>
  <c r="CH98" i="25"/>
  <c r="CH50" i="25"/>
  <c r="CH7" i="25"/>
  <c r="CH8" i="25"/>
  <c r="CH74" i="25"/>
  <c r="CH128" i="25"/>
  <c r="CG171" i="25"/>
  <c r="CH97" i="25"/>
  <c r="CH71" i="25"/>
  <c r="CH199" i="25"/>
  <c r="CH33" i="25"/>
  <c r="CH88" i="25"/>
  <c r="CH45" i="25"/>
  <c r="CH164" i="25"/>
  <c r="CH40" i="25"/>
  <c r="CH52" i="25"/>
  <c r="CH91" i="25"/>
  <c r="CH31" i="25"/>
  <c r="CG103" i="25"/>
  <c r="CG86" i="25"/>
  <c r="I110" i="24"/>
  <c r="M110" i="24" s="1"/>
  <c r="CG6" i="25"/>
  <c r="CG39" i="25"/>
  <c r="CG49" i="25"/>
  <c r="CG78" i="25"/>
  <c r="CG24" i="25"/>
  <c r="CG63" i="25"/>
  <c r="CG42" i="25"/>
  <c r="CG38" i="25"/>
  <c r="CG14" i="25"/>
  <c r="CG41" i="25"/>
  <c r="CG10" i="25"/>
  <c r="CG96" i="25"/>
  <c r="EF58" i="25"/>
  <c r="EW58" i="25" s="1"/>
  <c r="FL58" i="25"/>
  <c r="CG101" i="25"/>
  <c r="CG61" i="25"/>
  <c r="CG66" i="25"/>
  <c r="CG44" i="25"/>
  <c r="CG98" i="25"/>
  <c r="CG84" i="25"/>
  <c r="CG45" i="25"/>
  <c r="EF81" i="25"/>
  <c r="EW81" i="25" s="1"/>
  <c r="FL81" i="25"/>
  <c r="EG56" i="25"/>
  <c r="EX56" i="25" s="1"/>
  <c r="FL56" i="25"/>
  <c r="CG17" i="25"/>
  <c r="EF77" i="25"/>
  <c r="EW77" i="25" s="1"/>
  <c r="FL77" i="25"/>
  <c r="EE89" i="25"/>
  <c r="EV89" i="25" s="1"/>
  <c r="FL89" i="25"/>
  <c r="EE103" i="25"/>
  <c r="EV103" i="25" s="1"/>
  <c r="FL103" i="25"/>
  <c r="CG102" i="25"/>
  <c r="CG9" i="25"/>
  <c r="CG105" i="25"/>
  <c r="CG65" i="25"/>
  <c r="CG87" i="25"/>
  <c r="CG95" i="25"/>
  <c r="CG23" i="25"/>
  <c r="CG88" i="25"/>
  <c r="CG55" i="25"/>
  <c r="CG90" i="25"/>
  <c r="CG15" i="25"/>
  <c r="CG82" i="25"/>
  <c r="CG57" i="25"/>
  <c r="CG73" i="25"/>
  <c r="CG8" i="25"/>
  <c r="CG104" i="25"/>
  <c r="CG31" i="25"/>
  <c r="CG21" i="25"/>
  <c r="CG99" i="25"/>
  <c r="CG36" i="25"/>
  <c r="CG59" i="25"/>
  <c r="CG11" i="25"/>
  <c r="CG53" i="25"/>
  <c r="CG29" i="25"/>
  <c r="CG35" i="25"/>
  <c r="CG13" i="25"/>
  <c r="CG51" i="25"/>
  <c r="CG70" i="25"/>
  <c r="CG81" i="25"/>
  <c r="CG25" i="25"/>
  <c r="CG62" i="25"/>
  <c r="CG22" i="25"/>
  <c r="CG97" i="25"/>
  <c r="CG30" i="25"/>
  <c r="CG26" i="25"/>
  <c r="CG79" i="25"/>
  <c r="CG56" i="25"/>
  <c r="CG80" i="25"/>
  <c r="CG50" i="25"/>
  <c r="CG72" i="25"/>
  <c r="CG74" i="25"/>
  <c r="EG47" i="25"/>
  <c r="EX47" i="25" s="1"/>
  <c r="FL47" i="25"/>
  <c r="EG37" i="25"/>
  <c r="EX37" i="25" s="1"/>
  <c r="FL37" i="25"/>
  <c r="CG69" i="25"/>
  <c r="CG19" i="25"/>
  <c r="CG12" i="25"/>
  <c r="CG37" i="25"/>
  <c r="CG68" i="25"/>
  <c r="CG28" i="25"/>
  <c r="CG34" i="25"/>
  <c r="CG60" i="25"/>
  <c r="CG93" i="25"/>
  <c r="CG100" i="25"/>
  <c r="CG76" i="25"/>
  <c r="CG77" i="25"/>
  <c r="EF25" i="25"/>
  <c r="EW25" i="25" s="1"/>
  <c r="FL25" i="25"/>
  <c r="CG32" i="25"/>
  <c r="CG16" i="25"/>
  <c r="CG94" i="25"/>
  <c r="CG58" i="25"/>
  <c r="CG18" i="25"/>
  <c r="CG71" i="25"/>
  <c r="CG48" i="25"/>
  <c r="CG40" i="25"/>
  <c r="CG46" i="25"/>
  <c r="CG89" i="25"/>
  <c r="CG47" i="25"/>
  <c r="CG64" i="25"/>
  <c r="CG7" i="25"/>
  <c r="CG54" i="25"/>
  <c r="EF33" i="25"/>
  <c r="EW33" i="25" s="1"/>
  <c r="FL33" i="25"/>
  <c r="EF73" i="25"/>
  <c r="EW73" i="25" s="1"/>
  <c r="FL73" i="25"/>
  <c r="CG27" i="25"/>
  <c r="CG20" i="25"/>
  <c r="CG43" i="25"/>
  <c r="CG92" i="25"/>
  <c r="CG85" i="25"/>
  <c r="CG67" i="25"/>
  <c r="CG83" i="25"/>
  <c r="CG52" i="25"/>
  <c r="CG91" i="25"/>
  <c r="CG75" i="25"/>
  <c r="EF47" i="25"/>
  <c r="EW47" i="25" s="1"/>
  <c r="EA92" i="24"/>
  <c r="FL92" i="24" s="1"/>
  <c r="EA74" i="24"/>
  <c r="FL74" i="24" s="1"/>
  <c r="EA60" i="24"/>
  <c r="EC60" i="24" s="1"/>
  <c r="ED60" i="24" s="1"/>
  <c r="EE64" i="25"/>
  <c r="EV64" i="25" s="1"/>
  <c r="EA39" i="24"/>
  <c r="CG190" i="24"/>
  <c r="EA169" i="24"/>
  <c r="EA44" i="24"/>
  <c r="EE164" i="25"/>
  <c r="EI164" i="25" s="1"/>
  <c r="EG103" i="25"/>
  <c r="EX103" i="25" s="1"/>
  <c r="EF103" i="25"/>
  <c r="EW103" i="25" s="1"/>
  <c r="EF64" i="25"/>
  <c r="EW64" i="25" s="1"/>
  <c r="EG64" i="25"/>
  <c r="EX64" i="25" s="1"/>
  <c r="EF96" i="25"/>
  <c r="EW96" i="25" s="1"/>
  <c r="EG96" i="25"/>
  <c r="EX96" i="25" s="1"/>
  <c r="EG89" i="25"/>
  <c r="EX89" i="25" s="1"/>
  <c r="EE96" i="25"/>
  <c r="EV96" i="25" s="1"/>
  <c r="EF89" i="25"/>
  <c r="EW89" i="25" s="1"/>
  <c r="EF128" i="25"/>
  <c r="EW128" i="25" s="1"/>
  <c r="EE128" i="25"/>
  <c r="EV128" i="25" s="1"/>
  <c r="EE77" i="25"/>
  <c r="EV77" i="25" s="1"/>
  <c r="EA127" i="24"/>
  <c r="FL127" i="24" s="1"/>
  <c r="EG183" i="25"/>
  <c r="EX183" i="25" s="1"/>
  <c r="EE183" i="25"/>
  <c r="EV183" i="25" s="1"/>
  <c r="EF183" i="25"/>
  <c r="EW183" i="25" s="1"/>
  <c r="EF95" i="25"/>
  <c r="EW95" i="25" s="1"/>
  <c r="EE185" i="25"/>
  <c r="EI185" i="25" s="1"/>
  <c r="EF185" i="25"/>
  <c r="EW185" i="25" s="1"/>
  <c r="EG97" i="25"/>
  <c r="EX97" i="25" s="1"/>
  <c r="EG158" i="25"/>
  <c r="EX158" i="25" s="1"/>
  <c r="EG145" i="25"/>
  <c r="EX145" i="25" s="1"/>
  <c r="EF158" i="25"/>
  <c r="EW158" i="25" s="1"/>
  <c r="EE145" i="25"/>
  <c r="EI145" i="25" s="1"/>
  <c r="EE158" i="25"/>
  <c r="EV158" i="25" s="1"/>
  <c r="EF145" i="25"/>
  <c r="EW145" i="25" s="1"/>
  <c r="EE136" i="25"/>
  <c r="EI136" i="25" s="1"/>
  <c r="EF99" i="25"/>
  <c r="EW99" i="25" s="1"/>
  <c r="EG136" i="25"/>
  <c r="EX136" i="25" s="1"/>
  <c r="EG99" i="25"/>
  <c r="EX99" i="25" s="1"/>
  <c r="EF136" i="25"/>
  <c r="EW136" i="25" s="1"/>
  <c r="EE99" i="25"/>
  <c r="EV99" i="25" s="1"/>
  <c r="EE97" i="25"/>
  <c r="EV97" i="25" s="1"/>
  <c r="EF97" i="25"/>
  <c r="EW97" i="25" s="1"/>
  <c r="EG95" i="25"/>
  <c r="EX95" i="25" s="1"/>
  <c r="EE131" i="25"/>
  <c r="EV131" i="25" s="1"/>
  <c r="EF74" i="25"/>
  <c r="EW74" i="25" s="1"/>
  <c r="EF83" i="25"/>
  <c r="EW83" i="25" s="1"/>
  <c r="EF93" i="25"/>
  <c r="EW93" i="25" s="1"/>
  <c r="EA126" i="24"/>
  <c r="EE95" i="25"/>
  <c r="EV95" i="25" s="1"/>
  <c r="EG185" i="25"/>
  <c r="EX185" i="25" s="1"/>
  <c r="EE17" i="25"/>
  <c r="EI17" i="25" s="1"/>
  <c r="EO17" i="25" s="1"/>
  <c r="EF17" i="25"/>
  <c r="EW17" i="25" s="1"/>
  <c r="EG17" i="25"/>
  <c r="EX17" i="25" s="1"/>
  <c r="EG74" i="25"/>
  <c r="EX74" i="25" s="1"/>
  <c r="EF131" i="25"/>
  <c r="EW131" i="25" s="1"/>
  <c r="EE74" i="25"/>
  <c r="EV74" i="25" s="1"/>
  <c r="EG131" i="25"/>
  <c r="EX131" i="25" s="1"/>
  <c r="EA37" i="24"/>
  <c r="EA52" i="24"/>
  <c r="EA172" i="24"/>
  <c r="FL172" i="24" s="1"/>
  <c r="EG33" i="25"/>
  <c r="EX33" i="25" s="1"/>
  <c r="EF90" i="25"/>
  <c r="EW90" i="25" s="1"/>
  <c r="EE33" i="25"/>
  <c r="EV33" i="25" s="1"/>
  <c r="EG90" i="25"/>
  <c r="EX90" i="25" s="1"/>
  <c r="EE90" i="25"/>
  <c r="EI90" i="25" s="1"/>
  <c r="EO90" i="25" s="1"/>
  <c r="CG216" i="24"/>
  <c r="EG93" i="25"/>
  <c r="EX93" i="25" s="1"/>
  <c r="EE93" i="25"/>
  <c r="EV93" i="25" s="1"/>
  <c r="EA90" i="24"/>
  <c r="EG73" i="25"/>
  <c r="EX73" i="25" s="1"/>
  <c r="EE73" i="25"/>
  <c r="EV73" i="25" s="1"/>
  <c r="EG58" i="25"/>
  <c r="EX58" i="25" s="1"/>
  <c r="EE58" i="25"/>
  <c r="EV58" i="25" s="1"/>
  <c r="CH275" i="25"/>
  <c r="CG287" i="25"/>
  <c r="CH313" i="25"/>
  <c r="CH267" i="25"/>
  <c r="CG231" i="25"/>
  <c r="CG236" i="25"/>
  <c r="CH229" i="25"/>
  <c r="CH240" i="25"/>
  <c r="CH225" i="25"/>
  <c r="CH252" i="25"/>
  <c r="CG286" i="25"/>
  <c r="CH268" i="25"/>
  <c r="CG282" i="25"/>
  <c r="CH273" i="25"/>
  <c r="CG316" i="25"/>
  <c r="CH254" i="25"/>
  <c r="CH274" i="25"/>
  <c r="CG277" i="25"/>
  <c r="CH266" i="25"/>
  <c r="CG279" i="25"/>
  <c r="CG260" i="25"/>
  <c r="CG299" i="25"/>
  <c r="CG251" i="25"/>
  <c r="CG244" i="25"/>
  <c r="CG300" i="25"/>
  <c r="CG220" i="25"/>
  <c r="CG249" i="25"/>
  <c r="CG237" i="25"/>
  <c r="CH270" i="25"/>
  <c r="CG296" i="25"/>
  <c r="CG276" i="25"/>
  <c r="CG297" i="25"/>
  <c r="CG311" i="25"/>
  <c r="CH314" i="25"/>
  <c r="CG293" i="25"/>
  <c r="CG255" i="25"/>
  <c r="CG241" i="25"/>
  <c r="CG221" i="25"/>
  <c r="CH298" i="25"/>
  <c r="CG281" i="25"/>
  <c r="CG217" i="25"/>
  <c r="CG239" i="25"/>
  <c r="CH250" i="25"/>
  <c r="CG308" i="25"/>
  <c r="CG263" i="25"/>
  <c r="CH242" i="25"/>
  <c r="CG256" i="25"/>
  <c r="CG285" i="25"/>
  <c r="CH290" i="25"/>
  <c r="CH278" i="25"/>
  <c r="CG284" i="25"/>
  <c r="CG264" i="25"/>
  <c r="CH310" i="25"/>
  <c r="CG272" i="25"/>
  <c r="CG269" i="25"/>
  <c r="CG291" i="25"/>
  <c r="CH306" i="25"/>
  <c r="CG216" i="25"/>
  <c r="CG235" i="25"/>
  <c r="CH302" i="25"/>
  <c r="CG243" i="25"/>
  <c r="CG303" i="25"/>
  <c r="CH230" i="25"/>
  <c r="CH294" i="25"/>
  <c r="CG305" i="25"/>
  <c r="CG219" i="25"/>
  <c r="CG280" i="25"/>
  <c r="CG259" i="25"/>
  <c r="CH226" i="25"/>
  <c r="CH238" i="25"/>
  <c r="CG301" i="25"/>
  <c r="CH218" i="25"/>
  <c r="CG312" i="25"/>
  <c r="CG292" i="25"/>
  <c r="CG309" i="25"/>
  <c r="CG253" i="25"/>
  <c r="CG228" i="25"/>
  <c r="CG247" i="25"/>
  <c r="CG304" i="25"/>
  <c r="CG289" i="25"/>
  <c r="CG295" i="25"/>
  <c r="CG288" i="25"/>
  <c r="CH258" i="25"/>
  <c r="CG257" i="25"/>
  <c r="CG265" i="25"/>
  <c r="CH222" i="25"/>
  <c r="CG307" i="25"/>
  <c r="CG233" i="25"/>
  <c r="CG283" i="25"/>
  <c r="CH246" i="25"/>
  <c r="CG232" i="25"/>
  <c r="CH262" i="25"/>
  <c r="CH234" i="25"/>
  <c r="CG227" i="25"/>
  <c r="CG315" i="25"/>
  <c r="CG224" i="25"/>
  <c r="CG223" i="25"/>
  <c r="CG245" i="25"/>
  <c r="CG248" i="25"/>
  <c r="CG261" i="25"/>
  <c r="CG271" i="25"/>
  <c r="EA63" i="24"/>
  <c r="EA133" i="24"/>
  <c r="EF56" i="25"/>
  <c r="EW56" i="25" s="1"/>
  <c r="EE56" i="25"/>
  <c r="EI56" i="25" s="1"/>
  <c r="EO56" i="25" s="1"/>
  <c r="EE37" i="25"/>
  <c r="EV37" i="25" s="1"/>
  <c r="EF37" i="25"/>
  <c r="EW37" i="25" s="1"/>
  <c r="EF171" i="25"/>
  <c r="EW171" i="25" s="1"/>
  <c r="EV182" i="25"/>
  <c r="FB182" i="25" s="1"/>
  <c r="EG77" i="25"/>
  <c r="EX77" i="25" s="1"/>
  <c r="EF164" i="25"/>
  <c r="EW164" i="25" s="1"/>
  <c r="EG199" i="25"/>
  <c r="EX199" i="25" s="1"/>
  <c r="EE199" i="25"/>
  <c r="EV199" i="25" s="1"/>
  <c r="EE25" i="25"/>
  <c r="EV25" i="25" s="1"/>
  <c r="EK110" i="24"/>
  <c r="EW110" i="24"/>
  <c r="FB110" i="24" s="1"/>
  <c r="EK5" i="24"/>
  <c r="EQ5" i="24" s="1"/>
  <c r="EW5" i="24"/>
  <c r="EZ5" i="24" s="1"/>
  <c r="FB5" i="24" s="1"/>
  <c r="EF194" i="25"/>
  <c r="EW194" i="25" s="1"/>
  <c r="EG23" i="25"/>
  <c r="EX23" i="25" s="1"/>
  <c r="EG87" i="25"/>
  <c r="EX87" i="25" s="1"/>
  <c r="EE34" i="25"/>
  <c r="EV34" i="25" s="1"/>
  <c r="EE47" i="25"/>
  <c r="EV47" i="25" s="1"/>
  <c r="EE42" i="25"/>
  <c r="EI42" i="25" s="1"/>
  <c r="EO42" i="25" s="1"/>
  <c r="EE83" i="25"/>
  <c r="EV83" i="25" s="1"/>
  <c r="EE129" i="25"/>
  <c r="EV129" i="25" s="1"/>
  <c r="EA71" i="24"/>
  <c r="EE156" i="25"/>
  <c r="EI156" i="25" s="1"/>
  <c r="EG156" i="25"/>
  <c r="EX156" i="25" s="1"/>
  <c r="EA55" i="24"/>
  <c r="EG178" i="25"/>
  <c r="EX178" i="25" s="1"/>
  <c r="EA186" i="24"/>
  <c r="EG83" i="25"/>
  <c r="EX83" i="25" s="1"/>
  <c r="EG137" i="25"/>
  <c r="EX137" i="25" s="1"/>
  <c r="EE137" i="25"/>
  <c r="EV137" i="25" s="1"/>
  <c r="EA142" i="24"/>
  <c r="EE141" i="25"/>
  <c r="EV141" i="25" s="1"/>
  <c r="EE81" i="25"/>
  <c r="EV81" i="25" s="1"/>
  <c r="EF156" i="25"/>
  <c r="EW156" i="25" s="1"/>
  <c r="EG81" i="25"/>
  <c r="EX81" i="25" s="1"/>
  <c r="EG194" i="25"/>
  <c r="EX194" i="25" s="1"/>
  <c r="EG141" i="25"/>
  <c r="EX141" i="25" s="1"/>
  <c r="EA199" i="24"/>
  <c r="EA136" i="24"/>
  <c r="EF141" i="25"/>
  <c r="EW141" i="25" s="1"/>
  <c r="EE194" i="25"/>
  <c r="EI194" i="25" s="1"/>
  <c r="EG42" i="25"/>
  <c r="EX42" i="25" s="1"/>
  <c r="EE173" i="25"/>
  <c r="EV173" i="25" s="1"/>
  <c r="EF173" i="25"/>
  <c r="EW173" i="25" s="1"/>
  <c r="EF42" i="25"/>
  <c r="EW42" i="25" s="1"/>
  <c r="EE171" i="25"/>
  <c r="EI171" i="25" s="1"/>
  <c r="EF178" i="25"/>
  <c r="EW178" i="25" s="1"/>
  <c r="EA111" i="24"/>
  <c r="EA48" i="24"/>
  <c r="EA67" i="24"/>
  <c r="EA160" i="24"/>
  <c r="EA30" i="24"/>
  <c r="EA104" i="24"/>
  <c r="EA170" i="24"/>
  <c r="EF111" i="25"/>
  <c r="EW111" i="25" s="1"/>
  <c r="EA83" i="24"/>
  <c r="FL83" i="24" s="1"/>
  <c r="EA14" i="24"/>
  <c r="FL14" i="24" s="1"/>
  <c r="EA147" i="24"/>
  <c r="EA132" i="24"/>
  <c r="EA192" i="24"/>
  <c r="EE178" i="25"/>
  <c r="EV178" i="25" s="1"/>
  <c r="EA124" i="24"/>
  <c r="EF169" i="25"/>
  <c r="EW169" i="25" s="1"/>
  <c r="EG180" i="25"/>
  <c r="EX180" i="25" s="1"/>
  <c r="EG169" i="25"/>
  <c r="EX169" i="25" s="1"/>
  <c r="EE180" i="25"/>
  <c r="EV180" i="25" s="1"/>
  <c r="EE169" i="25"/>
  <c r="EI169" i="25" s="1"/>
  <c r="EF180" i="25"/>
  <c r="EW180" i="25" s="1"/>
  <c r="EG129" i="25"/>
  <c r="EX129" i="25" s="1"/>
  <c r="EF9" i="25"/>
  <c r="EW9" i="25" s="1"/>
  <c r="EG9" i="25"/>
  <c r="EX9" i="25" s="1"/>
  <c r="EF34" i="25"/>
  <c r="EW34" i="25" s="1"/>
  <c r="EG111" i="25"/>
  <c r="EX111" i="25" s="1"/>
  <c r="EG25" i="25"/>
  <c r="EX25" i="25" s="1"/>
  <c r="EF129" i="25"/>
  <c r="EW129" i="25" s="1"/>
  <c r="EE111" i="25"/>
  <c r="EV111" i="25" s="1"/>
  <c r="EF87" i="25"/>
  <c r="EW87" i="25" s="1"/>
  <c r="EE23" i="25"/>
  <c r="EV23" i="25" s="1"/>
  <c r="EF23" i="25"/>
  <c r="EW23" i="25" s="1"/>
  <c r="EF49" i="25"/>
  <c r="EW49" i="25" s="1"/>
  <c r="EE9" i="25"/>
  <c r="EV9" i="25" s="1"/>
  <c r="EG49" i="25"/>
  <c r="EX49" i="25" s="1"/>
  <c r="EE49" i="25"/>
  <c r="EV49" i="25" s="1"/>
  <c r="EG34" i="25"/>
  <c r="EX34" i="25" s="1"/>
  <c r="EE87" i="25"/>
  <c r="EV87" i="25" s="1"/>
  <c r="EG94" i="25"/>
  <c r="EX94" i="25" s="1"/>
  <c r="EF94" i="25"/>
  <c r="EW94" i="25" s="1"/>
  <c r="EE94" i="25"/>
  <c r="EG196" i="25"/>
  <c r="EX196" i="25" s="1"/>
  <c r="EF196" i="25"/>
  <c r="EW196" i="25" s="1"/>
  <c r="EE196" i="25"/>
  <c r="EG118" i="25"/>
  <c r="EX118" i="25" s="1"/>
  <c r="EF118" i="25"/>
  <c r="EW118" i="25" s="1"/>
  <c r="EE118" i="25"/>
  <c r="EE147" i="25"/>
  <c r="EF147" i="25"/>
  <c r="EW147" i="25" s="1"/>
  <c r="EG147" i="25"/>
  <c r="EX147" i="25" s="1"/>
  <c r="EE154" i="25"/>
  <c r="EG154" i="25"/>
  <c r="EX154" i="25" s="1"/>
  <c r="EF154" i="25"/>
  <c r="EW154" i="25" s="1"/>
  <c r="EE62" i="25"/>
  <c r="EG62" i="25"/>
  <c r="EX62" i="25" s="1"/>
  <c r="EF62" i="25"/>
  <c r="EW62" i="25" s="1"/>
  <c r="EF86" i="25"/>
  <c r="EW86" i="25" s="1"/>
  <c r="EE86" i="25"/>
  <c r="EG86" i="25"/>
  <c r="EX86" i="25" s="1"/>
  <c r="EG174" i="25"/>
  <c r="EX174" i="25" s="1"/>
  <c r="EF174" i="25"/>
  <c r="EW174" i="25" s="1"/>
  <c r="EE174" i="25"/>
  <c r="EG160" i="25"/>
  <c r="EX160" i="25" s="1"/>
  <c r="EF160" i="25"/>
  <c r="EW160" i="25" s="1"/>
  <c r="EE160" i="25"/>
  <c r="EE115" i="25"/>
  <c r="EG115" i="25"/>
  <c r="EX115" i="25" s="1"/>
  <c r="EF115" i="25"/>
  <c r="EW115" i="25" s="1"/>
  <c r="EG144" i="25"/>
  <c r="EX144" i="25" s="1"/>
  <c r="EF144" i="25"/>
  <c r="EW144" i="25" s="1"/>
  <c r="EE144" i="25"/>
  <c r="EG187" i="25"/>
  <c r="EX187" i="25" s="1"/>
  <c r="EF187" i="25"/>
  <c r="EW187" i="25" s="1"/>
  <c r="EE187" i="25"/>
  <c r="EE146" i="25"/>
  <c r="EF146" i="25"/>
  <c r="EW146" i="25" s="1"/>
  <c r="EG146" i="25"/>
  <c r="EX146" i="25" s="1"/>
  <c r="EF59" i="25"/>
  <c r="EW59" i="25" s="1"/>
  <c r="EE59" i="25"/>
  <c r="EG59" i="25"/>
  <c r="EX59" i="25" s="1"/>
  <c r="EG18" i="25"/>
  <c r="EX18" i="25" s="1"/>
  <c r="EE18" i="25"/>
  <c r="EF18" i="25"/>
  <c r="EW18" i="25" s="1"/>
  <c r="EE209" i="25"/>
  <c r="EG209" i="25"/>
  <c r="EX209" i="25" s="1"/>
  <c r="EF209" i="25"/>
  <c r="EW209" i="25" s="1"/>
  <c r="EF125" i="25"/>
  <c r="EW125" i="25" s="1"/>
  <c r="EE125" i="25"/>
  <c r="EG125" i="25"/>
  <c r="EX125" i="25" s="1"/>
  <c r="EF207" i="25"/>
  <c r="EW207" i="25" s="1"/>
  <c r="EE207" i="25"/>
  <c r="EG207" i="25"/>
  <c r="EX207" i="25" s="1"/>
  <c r="EG119" i="25"/>
  <c r="EX119" i="25" s="1"/>
  <c r="EF119" i="25"/>
  <c r="EW119" i="25" s="1"/>
  <c r="EE119" i="25"/>
  <c r="EF161" i="25"/>
  <c r="EW161" i="25" s="1"/>
  <c r="EE161" i="25"/>
  <c r="EG161" i="25"/>
  <c r="EX161" i="25" s="1"/>
  <c r="EE66" i="25"/>
  <c r="EG66" i="25"/>
  <c r="EX66" i="25" s="1"/>
  <c r="EF66" i="25"/>
  <c r="EW66" i="25" s="1"/>
  <c r="EE177" i="25"/>
  <c r="EG177" i="25"/>
  <c r="EX177" i="25" s="1"/>
  <c r="EF177" i="25"/>
  <c r="EW177" i="25" s="1"/>
  <c r="EF140" i="25"/>
  <c r="EW140" i="25" s="1"/>
  <c r="EE140" i="25"/>
  <c r="EG140" i="25"/>
  <c r="EX140" i="25" s="1"/>
  <c r="EG188" i="25"/>
  <c r="EX188" i="25" s="1"/>
  <c r="EF188" i="25"/>
  <c r="EW188" i="25" s="1"/>
  <c r="EE188" i="25"/>
  <c r="EV138" i="25"/>
  <c r="FB138" i="25" s="1"/>
  <c r="EI138" i="25"/>
  <c r="EE12" i="25"/>
  <c r="EF12" i="25"/>
  <c r="EW12" i="25" s="1"/>
  <c r="EG12" i="25"/>
  <c r="EX12" i="25" s="1"/>
  <c r="EG69" i="25"/>
  <c r="EX69" i="25" s="1"/>
  <c r="EE69" i="25"/>
  <c r="EF69" i="25"/>
  <c r="EW69" i="25" s="1"/>
  <c r="EE149" i="25"/>
  <c r="EF149" i="25"/>
  <c r="EW149" i="25" s="1"/>
  <c r="EG149" i="25"/>
  <c r="EX149" i="25" s="1"/>
  <c r="EE162" i="25"/>
  <c r="EG162" i="25"/>
  <c r="EX162" i="25" s="1"/>
  <c r="EF162" i="25"/>
  <c r="EW162" i="25" s="1"/>
  <c r="EE78" i="25"/>
  <c r="EG78" i="25"/>
  <c r="EX78" i="25" s="1"/>
  <c r="EF78" i="25"/>
  <c r="EW78" i="25" s="1"/>
  <c r="EG6" i="25"/>
  <c r="EX6" i="25" s="1"/>
  <c r="EF6" i="25"/>
  <c r="EW6" i="25" s="1"/>
  <c r="EE6" i="25"/>
  <c r="EG123" i="25"/>
  <c r="EX123" i="25" s="1"/>
  <c r="EF123" i="25"/>
  <c r="EW123" i="25" s="1"/>
  <c r="EE123" i="25"/>
  <c r="EV181" i="25"/>
  <c r="FB181" i="25" s="1"/>
  <c r="EI181" i="25"/>
  <c r="EG163" i="25"/>
  <c r="EX163" i="25" s="1"/>
  <c r="EF163" i="25"/>
  <c r="EW163" i="25" s="1"/>
  <c r="EE163" i="25"/>
  <c r="EG27" i="25"/>
  <c r="EX27" i="25" s="1"/>
  <c r="EF27" i="25"/>
  <c r="EW27" i="25" s="1"/>
  <c r="EE27" i="25"/>
  <c r="EF40" i="25"/>
  <c r="EW40" i="25" s="1"/>
  <c r="EE40" i="25"/>
  <c r="EG40" i="25"/>
  <c r="EX40" i="25" s="1"/>
  <c r="EF191" i="25"/>
  <c r="EW191" i="25" s="1"/>
  <c r="EG191" i="25"/>
  <c r="EX191" i="25" s="1"/>
  <c r="EE191" i="25"/>
  <c r="EG51" i="25"/>
  <c r="EX51" i="25" s="1"/>
  <c r="EE51" i="25"/>
  <c r="EF51" i="25"/>
  <c r="EW51" i="25" s="1"/>
  <c r="EF63" i="25"/>
  <c r="EW63" i="25" s="1"/>
  <c r="EE63" i="25"/>
  <c r="EG63" i="25"/>
  <c r="EX63" i="25" s="1"/>
  <c r="EE110" i="25"/>
  <c r="EG110" i="25"/>
  <c r="EX110" i="25" s="1"/>
  <c r="EF110" i="25"/>
  <c r="EW110" i="25" s="1"/>
  <c r="EE150" i="25"/>
  <c r="EG150" i="25"/>
  <c r="EX150" i="25" s="1"/>
  <c r="EF150" i="25"/>
  <c r="EW150" i="25" s="1"/>
  <c r="EE186" i="25"/>
  <c r="EG186" i="25"/>
  <c r="EX186" i="25" s="1"/>
  <c r="EF186" i="25"/>
  <c r="EW186" i="25" s="1"/>
  <c r="EF120" i="25"/>
  <c r="EW120" i="25" s="1"/>
  <c r="EE120" i="25"/>
  <c r="EG120" i="25"/>
  <c r="EX120" i="25" s="1"/>
  <c r="EE104" i="25"/>
  <c r="EG104" i="25"/>
  <c r="EX104" i="25" s="1"/>
  <c r="EF104" i="25"/>
  <c r="EW104" i="25" s="1"/>
  <c r="EF8" i="25"/>
  <c r="EW8" i="25" s="1"/>
  <c r="EG8" i="25"/>
  <c r="EX8" i="25" s="1"/>
  <c r="EE8" i="25"/>
  <c r="EE55" i="25"/>
  <c r="EG55" i="25"/>
  <c r="EX55" i="25" s="1"/>
  <c r="EF55" i="25"/>
  <c r="EW55" i="25" s="1"/>
  <c r="EE41" i="25"/>
  <c r="EG41" i="25"/>
  <c r="EX41" i="25" s="1"/>
  <c r="EF41" i="25"/>
  <c r="EW41" i="25" s="1"/>
  <c r="EG151" i="25"/>
  <c r="EX151" i="25" s="1"/>
  <c r="EF151" i="25"/>
  <c r="EW151" i="25" s="1"/>
  <c r="EE151" i="25"/>
  <c r="EG208" i="25"/>
  <c r="EX208" i="25" s="1"/>
  <c r="EF208" i="25"/>
  <c r="EW208" i="25" s="1"/>
  <c r="EE208" i="25"/>
  <c r="EE159" i="25"/>
  <c r="EG159" i="25"/>
  <c r="EX159" i="25" s="1"/>
  <c r="EF159" i="25"/>
  <c r="EW159" i="25" s="1"/>
  <c r="EF43" i="25"/>
  <c r="EW43" i="25" s="1"/>
  <c r="EE43" i="25"/>
  <c r="EG43" i="25"/>
  <c r="EX43" i="25" s="1"/>
  <c r="EE13" i="25"/>
  <c r="EG13" i="25"/>
  <c r="EX13" i="25" s="1"/>
  <c r="EF13" i="25"/>
  <c r="EW13" i="25" s="1"/>
  <c r="EF26" i="25"/>
  <c r="EW26" i="25" s="1"/>
  <c r="EE26" i="25"/>
  <c r="EG26" i="25"/>
  <c r="EX26" i="25" s="1"/>
  <c r="EE21" i="25"/>
  <c r="EG21" i="25"/>
  <c r="EX21" i="25" s="1"/>
  <c r="EF21" i="25"/>
  <c r="EW21" i="25" s="1"/>
  <c r="EE175" i="25"/>
  <c r="EG175" i="25"/>
  <c r="EX175" i="25" s="1"/>
  <c r="EF175" i="25"/>
  <c r="EW175" i="25" s="1"/>
  <c r="EE82" i="25"/>
  <c r="EG82" i="25"/>
  <c r="EX82" i="25" s="1"/>
  <c r="EF82" i="25"/>
  <c r="EW82" i="25" s="1"/>
  <c r="EF176" i="25"/>
  <c r="EW176" i="25" s="1"/>
  <c r="EE176" i="25"/>
  <c r="EG176" i="25"/>
  <c r="EX176" i="25" s="1"/>
  <c r="EF121" i="25"/>
  <c r="EW121" i="25" s="1"/>
  <c r="EE121" i="25"/>
  <c r="EG121" i="25"/>
  <c r="EX121" i="25" s="1"/>
  <c r="EE195" i="25"/>
  <c r="EG195" i="25"/>
  <c r="EX195" i="25" s="1"/>
  <c r="EF195" i="25"/>
  <c r="EW195" i="25" s="1"/>
  <c r="EF24" i="25"/>
  <c r="EW24" i="25" s="1"/>
  <c r="EE24" i="25"/>
  <c r="EG24" i="25"/>
  <c r="EX24" i="25" s="1"/>
  <c r="EG189" i="25"/>
  <c r="EX189" i="25" s="1"/>
  <c r="EF189" i="25"/>
  <c r="EW189" i="25" s="1"/>
  <c r="EE189" i="25"/>
  <c r="EV143" i="25"/>
  <c r="FB143" i="25" s="1"/>
  <c r="EI143" i="25"/>
  <c r="EF57" i="25"/>
  <c r="EW57" i="25" s="1"/>
  <c r="EG57" i="25"/>
  <c r="EX57" i="25" s="1"/>
  <c r="EE57" i="25"/>
  <c r="EE124" i="25"/>
  <c r="EG124" i="25"/>
  <c r="EX124" i="25" s="1"/>
  <c r="EF124" i="25"/>
  <c r="EW124" i="25" s="1"/>
  <c r="EF126" i="25"/>
  <c r="EW126" i="25" s="1"/>
  <c r="EG126" i="25"/>
  <c r="EX126" i="25" s="1"/>
  <c r="EE126" i="25"/>
  <c r="EG135" i="25"/>
  <c r="EX135" i="25" s="1"/>
  <c r="EF135" i="25"/>
  <c r="EW135" i="25" s="1"/>
  <c r="EE135" i="25"/>
  <c r="EF79" i="25"/>
  <c r="EW79" i="25" s="1"/>
  <c r="EG79" i="25"/>
  <c r="EX79" i="25" s="1"/>
  <c r="EE79" i="25"/>
  <c r="EE31" i="25"/>
  <c r="EG31" i="25"/>
  <c r="EX31" i="25" s="1"/>
  <c r="EF31" i="25"/>
  <c r="EW31" i="25" s="1"/>
  <c r="EE105" i="25"/>
  <c r="EG105" i="25"/>
  <c r="EX105" i="25" s="1"/>
  <c r="EF105" i="25"/>
  <c r="EW105" i="25" s="1"/>
  <c r="EF11" i="25"/>
  <c r="EW11" i="25" s="1"/>
  <c r="EE11" i="25"/>
  <c r="EG11" i="25"/>
  <c r="EX11" i="25" s="1"/>
  <c r="EG84" i="25"/>
  <c r="EX84" i="25" s="1"/>
  <c r="EF84" i="25"/>
  <c r="EW84" i="25" s="1"/>
  <c r="EE84" i="25"/>
  <c r="EG133" i="25"/>
  <c r="EX133" i="25" s="1"/>
  <c r="EF133" i="25"/>
  <c r="EW133" i="25" s="1"/>
  <c r="EE133" i="25"/>
  <c r="EG19" i="25"/>
  <c r="EX19" i="25" s="1"/>
  <c r="EF19" i="25"/>
  <c r="EW19" i="25" s="1"/>
  <c r="EE19" i="25"/>
  <c r="EE50" i="25"/>
  <c r="EG50" i="25"/>
  <c r="EX50" i="25" s="1"/>
  <c r="EF50" i="25"/>
  <c r="EW50" i="25" s="1"/>
  <c r="EF71" i="25"/>
  <c r="EW71" i="25" s="1"/>
  <c r="EE71" i="25"/>
  <c r="EG71" i="25"/>
  <c r="EX71" i="25" s="1"/>
  <c r="EF10" i="25"/>
  <c r="EW10" i="25" s="1"/>
  <c r="EE10" i="25"/>
  <c r="EG10" i="25"/>
  <c r="EX10" i="25" s="1"/>
  <c r="EF46" i="25"/>
  <c r="EW46" i="25" s="1"/>
  <c r="EE46" i="25"/>
  <c r="EG46" i="25"/>
  <c r="EX46" i="25" s="1"/>
  <c r="EF155" i="25"/>
  <c r="EW155" i="25" s="1"/>
  <c r="EE155" i="25"/>
  <c r="EG155" i="25"/>
  <c r="EX155" i="25" s="1"/>
  <c r="EG28" i="25"/>
  <c r="EX28" i="25" s="1"/>
  <c r="EF28" i="25"/>
  <c r="EW28" i="25" s="1"/>
  <c r="EE28" i="25"/>
  <c r="EG15" i="25"/>
  <c r="EX15" i="25" s="1"/>
  <c r="EF15" i="25"/>
  <c r="EW15" i="25" s="1"/>
  <c r="EE15" i="25"/>
  <c r="EE202" i="25"/>
  <c r="EG202" i="25"/>
  <c r="EX202" i="25" s="1"/>
  <c r="EF202" i="25"/>
  <c r="EW202" i="25" s="1"/>
  <c r="EF7" i="25"/>
  <c r="EW7" i="25" s="1"/>
  <c r="EE7" i="25"/>
  <c r="EG7" i="25"/>
  <c r="EX7" i="25" s="1"/>
  <c r="EE14" i="25"/>
  <c r="EG14" i="25"/>
  <c r="EX14" i="25" s="1"/>
  <c r="EF14" i="25"/>
  <c r="EW14" i="25" s="1"/>
  <c r="EE205" i="25"/>
  <c r="EG205" i="25"/>
  <c r="EX205" i="25" s="1"/>
  <c r="EF205" i="25"/>
  <c r="EW205" i="25" s="1"/>
  <c r="EE116" i="25"/>
  <c r="EG116" i="25"/>
  <c r="EX116" i="25" s="1"/>
  <c r="EF116" i="25"/>
  <c r="EW116" i="25" s="1"/>
  <c r="EE88" i="25"/>
  <c r="EG88" i="25"/>
  <c r="EX88" i="25" s="1"/>
  <c r="EF88" i="25"/>
  <c r="EW88" i="25" s="1"/>
  <c r="EG142" i="25"/>
  <c r="EX142" i="25" s="1"/>
  <c r="EF142" i="25"/>
  <c r="EW142" i="25" s="1"/>
  <c r="EE142" i="25"/>
  <c r="EE193" i="25"/>
  <c r="EG193" i="25"/>
  <c r="EX193" i="25" s="1"/>
  <c r="EF193" i="25"/>
  <c r="EW193" i="25" s="1"/>
  <c r="EG75" i="25"/>
  <c r="EX75" i="25" s="1"/>
  <c r="EE75" i="25"/>
  <c r="EF75" i="25"/>
  <c r="EW75" i="25" s="1"/>
  <c r="EF190" i="25"/>
  <c r="EW190" i="25" s="1"/>
  <c r="EG190" i="25"/>
  <c r="EX190" i="25" s="1"/>
  <c r="EE190" i="25"/>
  <c r="EF29" i="25"/>
  <c r="EW29" i="25" s="1"/>
  <c r="EE29" i="25"/>
  <c r="EG29" i="25"/>
  <c r="EX29" i="25" s="1"/>
  <c r="EF35" i="25"/>
  <c r="EW35" i="25" s="1"/>
  <c r="EE35" i="25"/>
  <c r="EG35" i="25"/>
  <c r="EX35" i="25" s="1"/>
  <c r="EF92" i="25"/>
  <c r="EW92" i="25" s="1"/>
  <c r="EE92" i="25"/>
  <c r="EG92" i="25"/>
  <c r="EX92" i="25" s="1"/>
  <c r="EF114" i="25"/>
  <c r="EW114" i="25" s="1"/>
  <c r="EE114" i="25"/>
  <c r="EG114" i="25"/>
  <c r="EX114" i="25" s="1"/>
  <c r="EG166" i="25"/>
  <c r="EX166" i="25" s="1"/>
  <c r="EF166" i="25"/>
  <c r="EW166" i="25" s="1"/>
  <c r="EE166" i="25"/>
  <c r="EF206" i="25"/>
  <c r="EW206" i="25" s="1"/>
  <c r="EG206" i="25"/>
  <c r="EX206" i="25" s="1"/>
  <c r="EE206" i="25"/>
  <c r="EF203" i="25"/>
  <c r="EW203" i="25" s="1"/>
  <c r="EE203" i="25"/>
  <c r="EG203" i="25"/>
  <c r="EX203" i="25" s="1"/>
  <c r="EF76" i="25"/>
  <c r="EW76" i="25" s="1"/>
  <c r="EE76" i="25"/>
  <c r="EG76" i="25"/>
  <c r="EX76" i="25" s="1"/>
  <c r="EF36" i="25"/>
  <c r="EW36" i="25" s="1"/>
  <c r="EE36" i="25"/>
  <c r="EG36" i="25"/>
  <c r="EX36" i="25" s="1"/>
  <c r="EG134" i="25"/>
  <c r="EX134" i="25" s="1"/>
  <c r="EE134" i="25"/>
  <c r="EF134" i="25"/>
  <c r="EW134" i="25" s="1"/>
  <c r="EG152" i="25"/>
  <c r="EX152" i="25" s="1"/>
  <c r="EF152" i="25"/>
  <c r="EW152" i="25" s="1"/>
  <c r="EE152" i="25"/>
  <c r="EP182" i="25"/>
  <c r="EE170" i="25"/>
  <c r="EG170" i="25"/>
  <c r="EX170" i="25" s="1"/>
  <c r="EF170" i="25"/>
  <c r="EW170" i="25" s="1"/>
  <c r="EG85" i="25"/>
  <c r="EX85" i="25" s="1"/>
  <c r="EE85" i="25"/>
  <c r="EF85" i="25"/>
  <c r="EW85" i="25" s="1"/>
  <c r="EE168" i="25"/>
  <c r="EG168" i="25"/>
  <c r="EX168" i="25" s="1"/>
  <c r="EF168" i="25"/>
  <c r="EW168" i="25" s="1"/>
  <c r="EE184" i="25"/>
  <c r="EF184" i="25"/>
  <c r="EW184" i="25" s="1"/>
  <c r="EG184" i="25"/>
  <c r="EX184" i="25" s="1"/>
  <c r="EE16" i="25"/>
  <c r="EF16" i="25"/>
  <c r="EW16" i="25" s="1"/>
  <c r="EG16" i="25"/>
  <c r="EX16" i="25" s="1"/>
  <c r="EE167" i="25"/>
  <c r="EG167" i="25"/>
  <c r="EX167" i="25" s="1"/>
  <c r="EF167" i="25"/>
  <c r="EW167" i="25" s="1"/>
  <c r="EG210" i="25"/>
  <c r="EX210" i="25" s="1"/>
  <c r="EF210" i="25"/>
  <c r="EW210" i="25" s="1"/>
  <c r="EE210" i="25"/>
  <c r="EG165" i="25"/>
  <c r="EX165" i="25" s="1"/>
  <c r="EF165" i="25"/>
  <c r="EW165" i="25" s="1"/>
  <c r="EE165" i="25"/>
  <c r="EF30" i="25"/>
  <c r="EW30" i="25" s="1"/>
  <c r="EE30" i="25"/>
  <c r="EG30" i="25"/>
  <c r="EX30" i="25" s="1"/>
  <c r="EG157" i="25"/>
  <c r="EX157" i="25" s="1"/>
  <c r="EF157" i="25"/>
  <c r="EW157" i="25" s="1"/>
  <c r="EE157" i="25"/>
  <c r="EG117" i="25"/>
  <c r="EX117" i="25" s="1"/>
  <c r="EF117" i="25"/>
  <c r="EW117" i="25" s="1"/>
  <c r="EE117" i="25"/>
  <c r="EG122" i="25"/>
  <c r="EX122" i="25" s="1"/>
  <c r="EE122" i="25"/>
  <c r="EF122" i="25"/>
  <c r="EW122" i="25" s="1"/>
  <c r="EF22" i="25"/>
  <c r="EW22" i="25" s="1"/>
  <c r="EE22" i="25"/>
  <c r="EG22" i="25"/>
  <c r="EX22" i="25" s="1"/>
  <c r="EF204" i="25"/>
  <c r="EW204" i="25" s="1"/>
  <c r="EE204" i="25"/>
  <c r="EG204" i="25"/>
  <c r="EX204" i="25" s="1"/>
  <c r="EF98" i="25"/>
  <c r="EW98" i="25" s="1"/>
  <c r="EG98" i="25"/>
  <c r="EX98" i="25" s="1"/>
  <c r="EE98" i="25"/>
  <c r="EF100" i="25"/>
  <c r="EW100" i="25" s="1"/>
  <c r="EE100" i="25"/>
  <c r="EG100" i="25"/>
  <c r="EX100" i="25" s="1"/>
  <c r="EG39" i="25"/>
  <c r="EX39" i="25" s="1"/>
  <c r="EE39" i="25"/>
  <c r="EF39" i="25"/>
  <c r="EW39" i="25" s="1"/>
  <c r="EF153" i="25"/>
  <c r="EW153" i="25" s="1"/>
  <c r="EE153" i="25"/>
  <c r="EG153" i="25"/>
  <c r="EX153" i="25" s="1"/>
  <c r="EE130" i="25"/>
  <c r="EG130" i="25"/>
  <c r="EX130" i="25" s="1"/>
  <c r="EF130" i="25"/>
  <c r="EW130" i="25" s="1"/>
  <c r="EF52" i="25"/>
  <c r="EW52" i="25" s="1"/>
  <c r="EE52" i="25"/>
  <c r="EG52" i="25"/>
  <c r="EX52" i="25" s="1"/>
  <c r="EE72" i="25"/>
  <c r="EF72" i="25"/>
  <c r="EW72" i="25" s="1"/>
  <c r="EG72" i="25"/>
  <c r="EX72" i="25" s="1"/>
  <c r="EF45" i="25"/>
  <c r="EW45" i="25" s="1"/>
  <c r="EE45" i="25"/>
  <c r="EG45" i="25"/>
  <c r="EX45" i="25" s="1"/>
  <c r="EE198" i="25"/>
  <c r="EF198" i="25"/>
  <c r="EW198" i="25" s="1"/>
  <c r="EG198" i="25"/>
  <c r="EX198" i="25" s="1"/>
  <c r="EE60" i="25"/>
  <c r="EG60" i="25"/>
  <c r="EX60" i="25" s="1"/>
  <c r="EF60" i="25"/>
  <c r="EW60" i="25" s="1"/>
  <c r="EF201" i="25"/>
  <c r="EW201" i="25" s="1"/>
  <c r="EE201" i="25"/>
  <c r="EG201" i="25"/>
  <c r="EX201" i="25" s="1"/>
  <c r="EG179" i="25"/>
  <c r="EX179" i="25" s="1"/>
  <c r="EE179" i="25"/>
  <c r="EF179" i="25"/>
  <c r="EW179" i="25" s="1"/>
  <c r="EG53" i="25"/>
  <c r="EX53" i="25" s="1"/>
  <c r="EF53" i="25"/>
  <c r="EW53" i="25" s="1"/>
  <c r="EE53" i="25"/>
  <c r="EF200" i="25"/>
  <c r="EW200" i="25" s="1"/>
  <c r="EE200" i="25"/>
  <c r="EG200" i="25"/>
  <c r="EX200" i="25" s="1"/>
  <c r="EF139" i="25"/>
  <c r="EW139" i="25" s="1"/>
  <c r="EE139" i="25"/>
  <c r="EG139" i="25"/>
  <c r="EX139" i="25" s="1"/>
  <c r="EG113" i="25"/>
  <c r="EX113" i="25" s="1"/>
  <c r="EF113" i="25"/>
  <c r="EW113" i="25" s="1"/>
  <c r="EE113" i="25"/>
  <c r="EE172" i="25"/>
  <c r="EG172" i="25"/>
  <c r="EX172" i="25" s="1"/>
  <c r="EF172" i="25"/>
  <c r="EW172" i="25" s="1"/>
  <c r="EF91" i="25"/>
  <c r="EW91" i="25" s="1"/>
  <c r="EE91" i="25"/>
  <c r="EG91" i="25"/>
  <c r="EX91" i="25" s="1"/>
  <c r="EE68" i="25"/>
  <c r="EF68" i="25"/>
  <c r="EW68" i="25" s="1"/>
  <c r="EG68" i="25"/>
  <c r="EX68" i="25" s="1"/>
  <c r="EG132" i="25"/>
  <c r="EX132" i="25" s="1"/>
  <c r="EE132" i="25"/>
  <c r="EF132" i="25"/>
  <c r="EW132" i="25" s="1"/>
  <c r="EF65" i="25"/>
  <c r="EW65" i="25" s="1"/>
  <c r="EE65" i="25"/>
  <c r="EG65" i="25"/>
  <c r="EX65" i="25" s="1"/>
  <c r="EE101" i="25"/>
  <c r="EG101" i="25"/>
  <c r="EX101" i="25" s="1"/>
  <c r="EF101" i="25"/>
  <c r="EW101" i="25" s="1"/>
  <c r="EG197" i="25"/>
  <c r="EX197" i="25" s="1"/>
  <c r="EE197" i="25"/>
  <c r="EF197" i="25"/>
  <c r="EW197" i="25" s="1"/>
  <c r="EG102" i="25"/>
  <c r="EX102" i="25" s="1"/>
  <c r="EE102" i="25"/>
  <c r="EF102" i="25"/>
  <c r="EW102" i="25" s="1"/>
  <c r="EE48" i="25"/>
  <c r="EG48" i="25"/>
  <c r="EX48" i="25" s="1"/>
  <c r="EF48" i="25"/>
  <c r="EW48" i="25" s="1"/>
  <c r="EF67" i="25"/>
  <c r="EW67" i="25" s="1"/>
  <c r="EE67" i="25"/>
  <c r="EG67" i="25"/>
  <c r="EX67" i="25" s="1"/>
  <c r="EG70" i="25"/>
  <c r="EX70" i="25" s="1"/>
  <c r="EE70" i="25"/>
  <c r="EF70" i="25"/>
  <c r="EW70" i="25" s="1"/>
  <c r="EF148" i="25"/>
  <c r="EW148" i="25" s="1"/>
  <c r="EG148" i="25"/>
  <c r="EX148" i="25" s="1"/>
  <c r="EE148" i="25"/>
  <c r="EF38" i="25"/>
  <c r="EW38" i="25" s="1"/>
  <c r="EE38" i="25"/>
  <c r="EG38" i="25"/>
  <c r="EX38" i="25" s="1"/>
  <c r="EF192" i="25"/>
  <c r="EW192" i="25" s="1"/>
  <c r="EE192" i="25"/>
  <c r="EG192" i="25"/>
  <c r="EX192" i="25" s="1"/>
  <c r="EF32" i="25"/>
  <c r="EW32" i="25" s="1"/>
  <c r="EE32" i="25"/>
  <c r="EG32" i="25"/>
  <c r="EX32" i="25" s="1"/>
  <c r="EF61" i="25"/>
  <c r="EW61" i="25" s="1"/>
  <c r="EG61" i="25"/>
  <c r="EX61" i="25" s="1"/>
  <c r="EE61" i="25"/>
  <c r="EF80" i="25"/>
  <c r="EW80" i="25" s="1"/>
  <c r="EE80" i="25"/>
  <c r="EG80" i="25"/>
  <c r="EX80" i="25" s="1"/>
  <c r="EE54" i="25"/>
  <c r="EG54" i="25"/>
  <c r="EX54" i="25" s="1"/>
  <c r="EF54" i="25"/>
  <c r="EW54" i="25" s="1"/>
  <c r="EF44" i="25"/>
  <c r="EW44" i="25" s="1"/>
  <c r="EE44" i="25"/>
  <c r="EG44" i="25"/>
  <c r="EX44" i="25" s="1"/>
  <c r="EG127" i="25"/>
  <c r="EX127" i="25" s="1"/>
  <c r="EF127" i="25"/>
  <c r="EW127" i="25" s="1"/>
  <c r="EE127" i="25"/>
  <c r="EG20" i="25"/>
  <c r="EX20" i="25" s="1"/>
  <c r="EF20" i="25"/>
  <c r="EW20" i="25" s="1"/>
  <c r="EE20" i="25"/>
  <c r="EA40" i="24"/>
  <c r="EA152" i="24"/>
  <c r="EA13" i="24"/>
  <c r="EA99" i="24"/>
  <c r="EA29" i="24"/>
  <c r="EA62" i="24"/>
  <c r="EA10" i="24"/>
  <c r="EA77" i="24"/>
  <c r="EA43" i="24"/>
  <c r="EA134" i="24"/>
  <c r="FL134" i="24" s="1"/>
  <c r="EA23" i="24"/>
  <c r="EA81" i="24"/>
  <c r="FL81" i="24" s="1"/>
  <c r="EA201" i="24"/>
  <c r="EA159" i="24"/>
  <c r="DY6" i="24"/>
  <c r="EF6" i="24" s="1"/>
  <c r="EA6" i="24"/>
  <c r="DY245" i="24"/>
  <c r="EF245" i="24" s="1"/>
  <c r="EA245" i="24"/>
  <c r="EA128" i="24"/>
  <c r="DY141" i="24"/>
  <c r="EF141" i="24" s="1"/>
  <c r="EA141" i="24"/>
  <c r="DY28" i="24"/>
  <c r="EF28" i="24" s="1"/>
  <c r="EA28" i="24"/>
  <c r="DY282" i="24"/>
  <c r="EF282" i="24" s="1"/>
  <c r="EA282" i="24"/>
  <c r="EA174" i="24"/>
  <c r="EA26" i="24"/>
  <c r="DY32" i="24"/>
  <c r="EF32" i="24" s="1"/>
  <c r="EA32" i="24"/>
  <c r="DY31" i="24"/>
  <c r="EF31" i="24" s="1"/>
  <c r="EA31" i="24"/>
  <c r="EA123" i="24"/>
  <c r="DY299" i="24"/>
  <c r="EF299" i="24" s="1"/>
  <c r="EA299" i="24"/>
  <c r="DY290" i="24"/>
  <c r="EF290" i="24" s="1"/>
  <c r="EA290" i="24"/>
  <c r="DY69" i="24"/>
  <c r="EF69" i="24" s="1"/>
  <c r="EA69" i="24"/>
  <c r="DY95" i="24"/>
  <c r="EF95" i="24" s="1"/>
  <c r="EA95" i="24"/>
  <c r="DY225" i="24"/>
  <c r="EF225" i="24" s="1"/>
  <c r="EA225" i="24"/>
  <c r="DY316" i="24"/>
  <c r="EF316" i="24" s="1"/>
  <c r="EA316" i="24"/>
  <c r="DY251" i="24"/>
  <c r="EF251" i="24" s="1"/>
  <c r="EA251" i="24"/>
  <c r="DY257" i="24"/>
  <c r="EF257" i="24" s="1"/>
  <c r="EA257" i="24"/>
  <c r="DY304" i="24"/>
  <c r="EF304" i="24" s="1"/>
  <c r="EA304" i="24"/>
  <c r="DY168" i="24"/>
  <c r="EF168" i="24" s="1"/>
  <c r="EA168" i="24"/>
  <c r="DY146" i="24"/>
  <c r="EF146" i="24" s="1"/>
  <c r="EA146" i="24"/>
  <c r="DY19" i="24"/>
  <c r="EF19" i="24" s="1"/>
  <c r="EA19" i="24"/>
  <c r="DY182" i="24"/>
  <c r="EF182" i="24" s="1"/>
  <c r="EA182" i="24"/>
  <c r="DY226" i="24"/>
  <c r="EF226" i="24" s="1"/>
  <c r="EA226" i="24"/>
  <c r="DY227" i="24"/>
  <c r="EF227" i="24" s="1"/>
  <c r="EA227" i="24"/>
  <c r="DY85" i="24"/>
  <c r="EF85" i="24" s="1"/>
  <c r="EA85" i="24"/>
  <c r="DY51" i="24"/>
  <c r="EF51" i="24" s="1"/>
  <c r="EA51" i="24"/>
  <c r="DY261" i="24"/>
  <c r="EF261" i="24" s="1"/>
  <c r="EA261" i="24"/>
  <c r="DY195" i="24"/>
  <c r="EF195" i="24" s="1"/>
  <c r="EA195" i="24"/>
  <c r="DY20" i="24"/>
  <c r="EF20" i="24" s="1"/>
  <c r="EA20" i="24"/>
  <c r="DY279" i="24"/>
  <c r="EF279" i="24" s="1"/>
  <c r="EA279" i="24"/>
  <c r="DY93" i="24"/>
  <c r="EF93" i="24" s="1"/>
  <c r="EA93" i="24"/>
  <c r="EA209" i="24"/>
  <c r="EA177" i="24"/>
  <c r="DY269" i="24"/>
  <c r="EF269" i="24" s="1"/>
  <c r="EA269" i="24"/>
  <c r="DY148" i="24"/>
  <c r="EF148" i="24" s="1"/>
  <c r="EA148" i="24"/>
  <c r="EA41" i="24"/>
  <c r="EA53" i="24"/>
  <c r="EA114" i="24"/>
  <c r="EA202" i="24"/>
  <c r="EA161" i="24"/>
  <c r="DY137" i="24"/>
  <c r="EF137" i="24" s="1"/>
  <c r="EA137" i="24"/>
  <c r="DY234" i="24"/>
  <c r="EF234" i="24" s="1"/>
  <c r="EA234" i="24"/>
  <c r="DY249" i="24"/>
  <c r="EF249" i="24" s="1"/>
  <c r="EA249" i="24"/>
  <c r="DY206" i="24"/>
  <c r="EF206" i="24" s="1"/>
  <c r="EA206" i="24"/>
  <c r="DY295" i="24"/>
  <c r="EF295" i="24" s="1"/>
  <c r="EA295" i="24"/>
  <c r="DY256" i="24"/>
  <c r="EF256" i="24" s="1"/>
  <c r="EA256" i="24"/>
  <c r="DY223" i="24"/>
  <c r="EF223" i="24" s="1"/>
  <c r="EA223" i="24"/>
  <c r="DY139" i="24"/>
  <c r="EF139" i="24" s="1"/>
  <c r="EA139" i="24"/>
  <c r="DY179" i="24"/>
  <c r="EF179" i="24" s="1"/>
  <c r="EA179" i="24"/>
  <c r="DY260" i="24"/>
  <c r="EF260" i="24" s="1"/>
  <c r="EA260" i="24"/>
  <c r="DY258" i="24"/>
  <c r="EF258" i="24" s="1"/>
  <c r="EA258" i="24"/>
  <c r="EA122" i="24"/>
  <c r="DY73" i="24"/>
  <c r="EF73" i="24" s="1"/>
  <c r="EA73" i="24"/>
  <c r="DY16" i="24"/>
  <c r="EF16" i="24" s="1"/>
  <c r="EA16" i="24"/>
  <c r="DY21" i="24"/>
  <c r="EF21" i="24" s="1"/>
  <c r="EA21" i="24"/>
  <c r="DY289" i="24"/>
  <c r="EF289" i="24" s="1"/>
  <c r="EA289" i="24"/>
  <c r="DY270" i="24"/>
  <c r="EF270" i="24" s="1"/>
  <c r="EA270" i="24"/>
  <c r="DY222" i="24"/>
  <c r="EF222" i="24" s="1"/>
  <c r="EA222" i="24"/>
  <c r="EA197" i="24"/>
  <c r="EA185" i="24"/>
  <c r="DY276" i="24"/>
  <c r="EF276" i="24" s="1"/>
  <c r="EA276" i="24"/>
  <c r="DY156" i="24"/>
  <c r="EF156" i="24" s="1"/>
  <c r="EA156" i="24"/>
  <c r="DY229" i="24"/>
  <c r="EF229" i="24" s="1"/>
  <c r="EA229" i="24"/>
  <c r="DY300" i="24"/>
  <c r="EF300" i="24" s="1"/>
  <c r="EA300" i="24"/>
  <c r="EA50" i="24"/>
  <c r="DY9" i="24"/>
  <c r="EF9" i="24" s="1"/>
  <c r="EA9" i="24"/>
  <c r="DY84" i="24"/>
  <c r="EF84" i="24" s="1"/>
  <c r="EA84" i="24"/>
  <c r="DY22" i="24"/>
  <c r="EF22" i="24" s="1"/>
  <c r="EA22" i="24"/>
  <c r="DY58" i="24"/>
  <c r="EF58" i="24" s="1"/>
  <c r="EA58" i="24"/>
  <c r="DY306" i="24"/>
  <c r="EF306" i="24" s="1"/>
  <c r="EA306" i="24"/>
  <c r="DY102" i="24"/>
  <c r="EF102" i="24" s="1"/>
  <c r="EA102" i="24"/>
  <c r="DY307" i="24"/>
  <c r="EF307" i="24" s="1"/>
  <c r="EA307" i="24"/>
  <c r="EA145" i="24"/>
  <c r="DY238" i="24"/>
  <c r="EF238" i="24" s="1"/>
  <c r="EA238" i="24"/>
  <c r="DY151" i="24"/>
  <c r="EF151" i="24" s="1"/>
  <c r="EA151" i="24"/>
  <c r="DY305" i="24"/>
  <c r="EF305" i="24" s="1"/>
  <c r="EA305" i="24"/>
  <c r="DY228" i="24"/>
  <c r="EF228" i="24" s="1"/>
  <c r="EA228" i="24"/>
  <c r="DY292" i="24"/>
  <c r="EF292" i="24" s="1"/>
  <c r="EA292" i="24"/>
  <c r="DY188" i="24"/>
  <c r="EF188" i="24" s="1"/>
  <c r="EA188" i="24"/>
  <c r="DY15" i="24"/>
  <c r="EF15" i="24" s="1"/>
  <c r="EA15" i="24"/>
  <c r="EA167" i="24"/>
  <c r="EA61" i="24"/>
  <c r="DY246" i="24"/>
  <c r="EF246" i="24" s="1"/>
  <c r="EA246" i="24"/>
  <c r="EH190" i="24"/>
  <c r="EC190" i="24"/>
  <c r="ED190" i="24" s="1"/>
  <c r="EI190" i="24"/>
  <c r="EX190" i="24" s="1"/>
  <c r="EA100" i="24"/>
  <c r="DY11" i="24"/>
  <c r="EF11" i="24" s="1"/>
  <c r="EA11" i="24"/>
  <c r="DY235" i="24"/>
  <c r="EF235" i="24" s="1"/>
  <c r="EA235" i="24"/>
  <c r="DY239" i="24"/>
  <c r="EF239" i="24" s="1"/>
  <c r="EA239" i="24"/>
  <c r="EA158" i="24"/>
  <c r="DY217" i="24"/>
  <c r="EF217" i="24" s="1"/>
  <c r="EA217" i="24"/>
  <c r="EA54" i="24"/>
  <c r="DY76" i="24"/>
  <c r="EF76" i="24" s="1"/>
  <c r="EA76" i="24"/>
  <c r="DY255" i="24"/>
  <c r="EF255" i="24" s="1"/>
  <c r="EA255" i="24"/>
  <c r="DY278" i="24"/>
  <c r="EF278" i="24" s="1"/>
  <c r="EA278" i="24"/>
  <c r="DY247" i="24"/>
  <c r="EF247" i="24" s="1"/>
  <c r="EA247" i="24"/>
  <c r="DY232" i="24"/>
  <c r="EF232" i="24" s="1"/>
  <c r="EA232" i="24"/>
  <c r="DY259" i="24"/>
  <c r="EF259" i="24" s="1"/>
  <c r="EA259" i="24"/>
  <c r="DY97" i="24"/>
  <c r="EF97" i="24" s="1"/>
  <c r="EA97" i="24"/>
  <c r="DY224" i="24"/>
  <c r="EF224" i="24" s="1"/>
  <c r="EA224" i="24"/>
  <c r="EA155" i="24"/>
  <c r="DY189" i="24"/>
  <c r="EF189" i="24" s="1"/>
  <c r="EA189" i="24"/>
  <c r="DY117" i="24"/>
  <c r="EF117" i="24" s="1"/>
  <c r="EA117" i="24"/>
  <c r="DY27" i="24"/>
  <c r="EF27" i="24" s="1"/>
  <c r="EA27" i="24"/>
  <c r="DY273" i="24"/>
  <c r="EF273" i="24" s="1"/>
  <c r="EA273" i="24"/>
  <c r="DY218" i="24"/>
  <c r="EF218" i="24" s="1"/>
  <c r="EA218" i="24"/>
  <c r="EA173" i="24"/>
  <c r="EA80" i="24"/>
  <c r="DY296" i="24"/>
  <c r="EF296" i="24" s="1"/>
  <c r="EA296" i="24"/>
  <c r="DY241" i="24"/>
  <c r="EF241" i="24" s="1"/>
  <c r="EA241" i="24"/>
  <c r="DY82" i="24"/>
  <c r="EF82" i="24" s="1"/>
  <c r="EA82" i="24"/>
  <c r="DY194" i="24"/>
  <c r="EF194" i="24" s="1"/>
  <c r="EA194" i="24"/>
  <c r="DY88" i="24"/>
  <c r="EF88" i="24" s="1"/>
  <c r="EA88" i="24"/>
  <c r="DY264" i="24"/>
  <c r="EF264" i="24" s="1"/>
  <c r="EA264" i="24"/>
  <c r="DY301" i="24"/>
  <c r="EF301" i="24" s="1"/>
  <c r="EA301" i="24"/>
  <c r="DY252" i="24"/>
  <c r="EF252" i="24" s="1"/>
  <c r="EA252" i="24"/>
  <c r="EA103" i="24"/>
  <c r="DY87" i="24"/>
  <c r="EF87" i="24" s="1"/>
  <c r="EA87" i="24"/>
  <c r="DY120" i="24"/>
  <c r="EF120" i="24" s="1"/>
  <c r="EA120" i="24"/>
  <c r="DY143" i="24"/>
  <c r="EF143" i="24" s="1"/>
  <c r="EA143" i="24"/>
  <c r="DY287" i="24"/>
  <c r="EF287" i="24" s="1"/>
  <c r="EA287" i="24"/>
  <c r="DY262" i="24"/>
  <c r="EF262" i="24" s="1"/>
  <c r="EA262" i="24"/>
  <c r="DY57" i="24"/>
  <c r="EF57" i="24" s="1"/>
  <c r="EA57" i="24"/>
  <c r="EA98" i="24"/>
  <c r="DY105" i="24"/>
  <c r="EF105" i="24" s="1"/>
  <c r="EA105" i="24"/>
  <c r="EA157" i="24"/>
  <c r="EA42" i="24"/>
  <c r="DY310" i="24"/>
  <c r="EF310" i="24" s="1"/>
  <c r="EA310" i="24"/>
  <c r="DY176" i="24"/>
  <c r="EF176" i="24" s="1"/>
  <c r="EA176" i="24"/>
  <c r="DY200" i="24"/>
  <c r="EF200" i="24" s="1"/>
  <c r="EA200" i="24"/>
  <c r="EA47" i="24"/>
  <c r="DY248" i="24"/>
  <c r="EF248" i="24" s="1"/>
  <c r="EA248" i="24"/>
  <c r="DY311" i="24"/>
  <c r="EF311" i="24" s="1"/>
  <c r="EA311" i="24"/>
  <c r="DY180" i="24"/>
  <c r="EF180" i="24" s="1"/>
  <c r="EA180" i="24"/>
  <c r="DY253" i="24"/>
  <c r="EF253" i="24" s="1"/>
  <c r="EA253" i="24"/>
  <c r="DY312" i="24"/>
  <c r="EF312" i="24" s="1"/>
  <c r="EA312" i="24"/>
  <c r="DY265" i="24"/>
  <c r="EF265" i="24" s="1"/>
  <c r="EA265" i="24"/>
  <c r="DY181" i="24"/>
  <c r="EF181" i="24" s="1"/>
  <c r="EA181" i="24"/>
  <c r="EA175" i="24"/>
  <c r="DY36" i="24"/>
  <c r="EF36" i="24" s="1"/>
  <c r="EA36" i="24"/>
  <c r="DY207" i="24"/>
  <c r="EF207" i="24" s="1"/>
  <c r="EA207" i="24"/>
  <c r="EA183" i="24"/>
  <c r="DY45" i="24"/>
  <c r="EF45" i="24" s="1"/>
  <c r="EA45" i="24"/>
  <c r="DY297" i="24"/>
  <c r="EF297" i="24" s="1"/>
  <c r="EA297" i="24"/>
  <c r="DY271" i="24"/>
  <c r="EF271" i="24" s="1"/>
  <c r="EA271" i="24"/>
  <c r="EA171" i="24"/>
  <c r="DY184" i="24"/>
  <c r="EF184" i="24" s="1"/>
  <c r="EA184" i="24"/>
  <c r="DY125" i="24"/>
  <c r="EF125" i="24" s="1"/>
  <c r="EA125" i="24"/>
  <c r="EA68" i="24"/>
  <c r="DY313" i="24"/>
  <c r="EF313" i="24" s="1"/>
  <c r="EA313" i="24"/>
  <c r="DY18" i="24"/>
  <c r="EF18" i="24" s="1"/>
  <c r="EA18" i="24"/>
  <c r="EA33" i="24"/>
  <c r="DY233" i="24"/>
  <c r="EF233" i="24" s="1"/>
  <c r="EA233" i="24"/>
  <c r="DY308" i="24"/>
  <c r="EF308" i="24" s="1"/>
  <c r="EA308" i="24"/>
  <c r="DY38" i="24"/>
  <c r="EF38" i="24" s="1"/>
  <c r="EA38" i="24"/>
  <c r="DY293" i="24"/>
  <c r="EF293" i="24" s="1"/>
  <c r="EA293" i="24"/>
  <c r="DY56" i="24"/>
  <c r="EF56" i="24" s="1"/>
  <c r="EA56" i="24"/>
  <c r="DY208" i="24"/>
  <c r="EF208" i="24" s="1"/>
  <c r="EA208" i="24"/>
  <c r="DY66" i="24"/>
  <c r="EF66" i="24" s="1"/>
  <c r="EA66" i="24"/>
  <c r="DY267" i="24"/>
  <c r="EF267" i="24" s="1"/>
  <c r="EA267" i="24"/>
  <c r="DY210" i="24"/>
  <c r="EF210" i="24" s="1"/>
  <c r="EA210" i="24"/>
  <c r="DY254" i="24"/>
  <c r="EF254" i="24" s="1"/>
  <c r="EA254" i="24"/>
  <c r="DY86" i="24"/>
  <c r="EF86" i="24" s="1"/>
  <c r="EA86" i="24"/>
  <c r="DY205" i="24"/>
  <c r="EF205" i="24" s="1"/>
  <c r="EA205" i="24"/>
  <c r="DY219" i="24"/>
  <c r="EF219" i="24" s="1"/>
  <c r="EA219" i="24"/>
  <c r="DY130" i="24"/>
  <c r="EF130" i="24" s="1"/>
  <c r="EA130" i="24"/>
  <c r="DY49" i="24"/>
  <c r="EF49" i="24" s="1"/>
  <c r="EA49" i="24"/>
  <c r="DY140" i="24"/>
  <c r="EF140" i="24" s="1"/>
  <c r="EA140" i="24"/>
  <c r="DY220" i="24"/>
  <c r="EF220" i="24" s="1"/>
  <c r="EA220" i="24"/>
  <c r="DY113" i="24"/>
  <c r="EF113" i="24" s="1"/>
  <c r="EA113" i="24"/>
  <c r="DY281" i="24"/>
  <c r="EF281" i="24" s="1"/>
  <c r="EA281" i="24"/>
  <c r="DY288" i="24"/>
  <c r="EF288" i="24" s="1"/>
  <c r="EA288" i="24"/>
  <c r="DY165" i="24"/>
  <c r="EF165" i="24" s="1"/>
  <c r="EA165" i="24"/>
  <c r="DY149" i="24"/>
  <c r="EF149" i="24" s="1"/>
  <c r="EA149" i="24"/>
  <c r="DY196" i="24"/>
  <c r="EF196" i="24" s="1"/>
  <c r="EA196" i="24"/>
  <c r="DY46" i="24"/>
  <c r="EF46" i="24" s="1"/>
  <c r="EA46" i="24"/>
  <c r="DY291" i="24"/>
  <c r="EF291" i="24" s="1"/>
  <c r="EA291" i="24"/>
  <c r="DY203" i="24"/>
  <c r="EF203" i="24" s="1"/>
  <c r="EA203" i="24"/>
  <c r="DY162" i="24"/>
  <c r="EF162" i="24" s="1"/>
  <c r="EA162" i="24"/>
  <c r="DY277" i="24"/>
  <c r="EF277" i="24" s="1"/>
  <c r="EA277" i="24"/>
  <c r="DY121" i="24"/>
  <c r="EF121" i="24" s="1"/>
  <c r="EA121" i="24"/>
  <c r="DY244" i="24"/>
  <c r="EF244" i="24" s="1"/>
  <c r="EA244" i="24"/>
  <c r="DY230" i="24"/>
  <c r="EF230" i="24" s="1"/>
  <c r="EA230" i="24"/>
  <c r="DY59" i="24"/>
  <c r="EF59" i="24" s="1"/>
  <c r="EA59" i="24"/>
  <c r="DY283" i="24"/>
  <c r="EF283" i="24" s="1"/>
  <c r="EA283" i="24"/>
  <c r="DY221" i="24"/>
  <c r="EF221" i="24" s="1"/>
  <c r="EA221" i="24"/>
  <c r="DY75" i="24"/>
  <c r="EF75" i="24" s="1"/>
  <c r="EA75" i="24"/>
  <c r="DY119" i="24"/>
  <c r="EF119" i="24" s="1"/>
  <c r="EA119" i="24"/>
  <c r="DY263" i="24"/>
  <c r="EF263" i="24" s="1"/>
  <c r="EA263" i="24"/>
  <c r="DY178" i="24"/>
  <c r="EF178" i="24" s="1"/>
  <c r="EA178" i="24"/>
  <c r="DY236" i="24"/>
  <c r="EF236" i="24" s="1"/>
  <c r="EA236" i="24"/>
  <c r="DY91" i="24"/>
  <c r="EF91" i="24" s="1"/>
  <c r="EA91" i="24"/>
  <c r="EA25" i="24"/>
  <c r="EA8" i="24"/>
  <c r="DY144" i="24"/>
  <c r="EF144" i="24" s="1"/>
  <c r="EA144" i="24"/>
  <c r="DY166" i="24"/>
  <c r="EF166" i="24" s="1"/>
  <c r="EA166" i="24"/>
  <c r="DY298" i="24"/>
  <c r="EF298" i="24" s="1"/>
  <c r="EA298" i="24"/>
  <c r="DY231" i="24"/>
  <c r="EF231" i="24" s="1"/>
  <c r="EA231" i="24"/>
  <c r="EA193" i="24"/>
  <c r="EA89" i="24"/>
  <c r="DY204" i="24"/>
  <c r="EF204" i="24" s="1"/>
  <c r="EA204" i="24"/>
  <c r="EA138" i="24"/>
  <c r="DY12" i="24"/>
  <c r="EF12" i="24" s="1"/>
  <c r="EA12" i="24"/>
  <c r="DY135" i="24"/>
  <c r="EF135" i="24" s="1"/>
  <c r="EA135" i="24"/>
  <c r="DY309" i="24"/>
  <c r="EF309" i="24" s="1"/>
  <c r="EA309" i="24"/>
  <c r="DY116" i="24"/>
  <c r="EF116" i="24" s="1"/>
  <c r="EA116" i="24"/>
  <c r="EA164" i="24"/>
  <c r="DY7" i="24"/>
  <c r="EF7" i="24" s="1"/>
  <c r="EA7" i="24"/>
  <c r="DY94" i="24"/>
  <c r="EF94" i="24" s="1"/>
  <c r="EA94" i="24"/>
  <c r="EA150" i="24"/>
  <c r="DY115" i="24"/>
  <c r="EF115" i="24" s="1"/>
  <c r="EA115" i="24"/>
  <c r="EA129" i="24"/>
  <c r="DY302" i="24"/>
  <c r="EF302" i="24" s="1"/>
  <c r="EA302" i="24"/>
  <c r="DY286" i="24"/>
  <c r="EF286" i="24" s="1"/>
  <c r="EA286" i="24"/>
  <c r="EA112" i="24"/>
  <c r="EA70" i="24"/>
  <c r="DY314" i="24"/>
  <c r="EF314" i="24" s="1"/>
  <c r="EA314" i="24"/>
  <c r="DY274" i="24"/>
  <c r="EF274" i="24" s="1"/>
  <c r="EA274" i="24"/>
  <c r="DY275" i="24"/>
  <c r="EF275" i="24" s="1"/>
  <c r="EA275" i="24"/>
  <c r="DY72" i="24"/>
  <c r="EF72" i="24" s="1"/>
  <c r="EA72" i="24"/>
  <c r="DY163" i="24"/>
  <c r="EF163" i="24" s="1"/>
  <c r="EA163" i="24"/>
  <c r="DY272" i="24"/>
  <c r="EF272" i="24" s="1"/>
  <c r="EA272" i="24"/>
  <c r="DY294" i="24"/>
  <c r="EF294" i="24" s="1"/>
  <c r="EA294" i="24"/>
  <c r="EA24" i="24"/>
  <c r="DY34" i="24"/>
  <c r="EF34" i="24" s="1"/>
  <c r="EA34" i="24"/>
  <c r="EA35" i="24"/>
  <c r="DY266" i="24"/>
  <c r="EF266" i="24" s="1"/>
  <c r="EA266" i="24"/>
  <c r="DY118" i="24"/>
  <c r="EF118" i="24" s="1"/>
  <c r="EA118" i="24"/>
  <c r="DY250" i="24"/>
  <c r="EF250" i="24" s="1"/>
  <c r="EA250" i="24"/>
  <c r="DY131" i="24"/>
  <c r="EF131" i="24" s="1"/>
  <c r="EA131" i="24"/>
  <c r="DY284" i="24"/>
  <c r="EF284" i="24" s="1"/>
  <c r="EA284" i="24"/>
  <c r="DY237" i="24"/>
  <c r="EF237" i="24" s="1"/>
  <c r="EA237" i="24"/>
  <c r="DY101" i="24"/>
  <c r="EF101" i="24" s="1"/>
  <c r="EA101" i="24"/>
  <c r="DY187" i="24"/>
  <c r="EF187" i="24" s="1"/>
  <c r="EA187" i="24"/>
  <c r="DY280" i="24"/>
  <c r="EF280" i="24" s="1"/>
  <c r="EA280" i="24"/>
  <c r="DY79" i="24"/>
  <c r="EF79" i="24" s="1"/>
  <c r="EA79" i="24"/>
  <c r="DY315" i="24"/>
  <c r="EF315" i="24" s="1"/>
  <c r="EA315" i="24"/>
  <c r="DY303" i="24"/>
  <c r="EF303" i="24" s="1"/>
  <c r="EA303" i="24"/>
  <c r="DY268" i="24"/>
  <c r="EF268" i="24" s="1"/>
  <c r="EA268" i="24"/>
  <c r="DY153" i="24"/>
  <c r="EF153" i="24" s="1"/>
  <c r="EA153" i="24"/>
  <c r="DY17" i="24"/>
  <c r="EF17" i="24" s="1"/>
  <c r="EA17" i="24"/>
  <c r="DY198" i="24"/>
  <c r="EF198" i="24" s="1"/>
  <c r="EA198" i="24"/>
  <c r="DY240" i="24"/>
  <c r="EF240" i="24" s="1"/>
  <c r="EA240" i="24"/>
  <c r="DY191" i="24"/>
  <c r="EF191" i="24" s="1"/>
  <c r="EA191" i="24"/>
  <c r="EA154" i="24"/>
  <c r="DY64" i="24"/>
  <c r="EF64" i="24" s="1"/>
  <c r="EA64" i="24"/>
  <c r="EA65" i="24"/>
  <c r="F64" i="19"/>
  <c r="F65" i="19"/>
  <c r="CG242" i="24" l="1"/>
  <c r="CG243" i="24"/>
  <c r="EV212" i="25"/>
  <c r="FB212" i="25" s="1"/>
  <c r="EI212" i="25"/>
  <c r="EC96" i="24"/>
  <c r="ED96" i="24" s="1"/>
  <c r="EH96" i="24"/>
  <c r="EW96" i="24" s="1"/>
  <c r="EI96" i="24"/>
  <c r="EX96" i="24" s="1"/>
  <c r="FL96" i="24"/>
  <c r="CG285" i="24"/>
  <c r="EI243" i="24"/>
  <c r="EX243" i="24" s="1"/>
  <c r="EC243" i="24"/>
  <c r="ED243" i="24" s="1"/>
  <c r="EH243" i="24"/>
  <c r="EK243" i="24" s="1"/>
  <c r="EC78" i="24"/>
  <c r="ED78" i="24" s="1"/>
  <c r="EH78" i="24"/>
  <c r="EW78" i="24" s="1"/>
  <c r="EI78" i="24"/>
  <c r="EX78" i="24" s="1"/>
  <c r="EH60" i="24"/>
  <c r="EW60" i="24" s="1"/>
  <c r="EV136" i="25"/>
  <c r="FC136" i="25" s="1"/>
  <c r="FE136" i="25" s="1"/>
  <c r="FF136" i="25" s="1"/>
  <c r="EH285" i="24"/>
  <c r="EK285" i="24" s="1"/>
  <c r="EI60" i="24"/>
  <c r="EX60" i="24" s="1"/>
  <c r="EC242" i="24"/>
  <c r="ED242" i="24" s="1"/>
  <c r="EI242" i="24"/>
  <c r="EX242" i="24" s="1"/>
  <c r="FL242" i="24"/>
  <c r="FL285" i="24"/>
  <c r="EI285" i="24"/>
  <c r="EX285" i="24" s="1"/>
  <c r="EW216" i="24"/>
  <c r="FB216" i="24" s="1"/>
  <c r="EK216" i="24"/>
  <c r="EI89" i="25"/>
  <c r="EO89" i="25" s="1"/>
  <c r="EP89" i="25" s="1"/>
  <c r="S110" i="24"/>
  <c r="T110" i="24" s="1"/>
  <c r="J110" i="24" s="1"/>
  <c r="K110" i="24"/>
  <c r="EC92" i="24"/>
  <c r="ED92" i="24" s="1"/>
  <c r="CG92" i="24"/>
  <c r="EH92" i="24"/>
  <c r="EW92" i="24" s="1"/>
  <c r="FL237" i="24"/>
  <c r="EH237" i="24"/>
  <c r="EI237" i="24"/>
  <c r="EX237" i="24" s="1"/>
  <c r="EC237" i="24"/>
  <c r="ED237" i="24" s="1"/>
  <c r="FL275" i="24"/>
  <c r="EI275" i="24"/>
  <c r="EX275" i="24" s="1"/>
  <c r="EC275" i="24"/>
  <c r="ED275" i="24" s="1"/>
  <c r="EH275" i="24"/>
  <c r="FL221" i="24"/>
  <c r="EH221" i="24"/>
  <c r="EI221" i="24"/>
  <c r="EX221" i="24" s="1"/>
  <c r="EC221" i="24"/>
  <c r="ED221" i="24" s="1"/>
  <c r="FL244" i="24"/>
  <c r="EH244" i="24"/>
  <c r="EI244" i="24"/>
  <c r="EX244" i="24" s="1"/>
  <c r="EC244" i="24"/>
  <c r="ED244" i="24" s="1"/>
  <c r="FL254" i="24"/>
  <c r="EH254" i="24"/>
  <c r="EI254" i="24"/>
  <c r="EX254" i="24" s="1"/>
  <c r="EC254" i="24"/>
  <c r="ED254" i="24" s="1"/>
  <c r="FL265" i="24"/>
  <c r="EH265" i="24"/>
  <c r="EC265" i="24"/>
  <c r="ED265" i="24" s="1"/>
  <c r="EI265" i="24"/>
  <c r="EX265" i="24" s="1"/>
  <c r="FL311" i="24"/>
  <c r="EI311" i="24"/>
  <c r="EX311" i="24" s="1"/>
  <c r="EH311" i="24"/>
  <c r="EC311" i="24"/>
  <c r="ED311" i="24" s="1"/>
  <c r="FL224" i="24"/>
  <c r="EI224" i="24"/>
  <c r="EX224" i="24" s="1"/>
  <c r="EH224" i="24"/>
  <c r="EC224" i="24"/>
  <c r="ED224" i="24" s="1"/>
  <c r="FL247" i="24"/>
  <c r="EH247" i="24"/>
  <c r="EI247" i="24"/>
  <c r="EX247" i="24" s="1"/>
  <c r="EC247" i="24"/>
  <c r="ED247" i="24" s="1"/>
  <c r="FL228" i="24"/>
  <c r="EH228" i="24"/>
  <c r="EC228" i="24"/>
  <c r="ED228" i="24" s="1"/>
  <c r="EI228" i="24"/>
  <c r="EX228" i="24" s="1"/>
  <c r="FL300" i="24"/>
  <c r="EI300" i="24"/>
  <c r="EX300" i="24" s="1"/>
  <c r="EC300" i="24"/>
  <c r="ED300" i="24" s="1"/>
  <c r="EH300" i="24"/>
  <c r="FL261" i="24"/>
  <c r="EH261" i="24"/>
  <c r="EI261" i="24"/>
  <c r="EX261" i="24" s="1"/>
  <c r="EC261" i="24"/>
  <c r="ED261" i="24" s="1"/>
  <c r="FL226" i="24"/>
  <c r="EH226" i="24"/>
  <c r="EI226" i="24"/>
  <c r="EX226" i="24" s="1"/>
  <c r="EC226" i="24"/>
  <c r="ED226" i="24" s="1"/>
  <c r="FL316" i="24"/>
  <c r="EC316" i="24"/>
  <c r="ED316" i="24" s="1"/>
  <c r="EH316" i="24"/>
  <c r="EI316" i="24"/>
  <c r="EX316" i="24" s="1"/>
  <c r="FL290" i="24"/>
  <c r="EH290" i="24"/>
  <c r="EI290" i="24"/>
  <c r="EX290" i="24" s="1"/>
  <c r="EC290" i="24"/>
  <c r="ED290" i="24" s="1"/>
  <c r="FL294" i="24"/>
  <c r="EH294" i="24"/>
  <c r="EI294" i="24"/>
  <c r="EX294" i="24" s="1"/>
  <c r="EC294" i="24"/>
  <c r="ED294" i="24" s="1"/>
  <c r="FL217" i="24"/>
  <c r="EH217" i="24"/>
  <c r="EI217" i="24"/>
  <c r="EX217" i="24" s="1"/>
  <c r="EC217" i="24"/>
  <c r="ED217" i="24" s="1"/>
  <c r="FL307" i="24"/>
  <c r="EI307" i="24"/>
  <c r="EX307" i="24" s="1"/>
  <c r="EC307" i="24"/>
  <c r="ED307" i="24" s="1"/>
  <c r="EH307" i="24"/>
  <c r="FL260" i="24"/>
  <c r="EH260" i="24"/>
  <c r="EI260" i="24"/>
  <c r="EX260" i="24" s="1"/>
  <c r="EC260" i="24"/>
  <c r="ED260" i="24" s="1"/>
  <c r="FL256" i="24"/>
  <c r="EI256" i="24"/>
  <c r="EX256" i="24" s="1"/>
  <c r="EC256" i="24"/>
  <c r="ED256" i="24" s="1"/>
  <c r="EH256" i="24"/>
  <c r="FL234" i="24"/>
  <c r="EI234" i="24"/>
  <c r="EX234" i="24" s="1"/>
  <c r="EH234" i="24"/>
  <c r="EC234" i="24"/>
  <c r="ED234" i="24" s="1"/>
  <c r="FL250" i="24"/>
  <c r="EC250" i="24"/>
  <c r="ED250" i="24" s="1"/>
  <c r="EH250" i="24"/>
  <c r="EI250" i="24"/>
  <c r="EX250" i="24" s="1"/>
  <c r="FL286" i="24"/>
  <c r="EH286" i="24"/>
  <c r="EC286" i="24"/>
  <c r="ED286" i="24" s="1"/>
  <c r="EI286" i="24"/>
  <c r="EX286" i="24" s="1"/>
  <c r="FL310" i="24"/>
  <c r="EH310" i="24"/>
  <c r="EI310" i="24"/>
  <c r="EX310" i="24" s="1"/>
  <c r="EC310" i="24"/>
  <c r="ED310" i="24" s="1"/>
  <c r="FL240" i="24"/>
  <c r="EH240" i="24"/>
  <c r="EI240" i="24"/>
  <c r="EX240" i="24" s="1"/>
  <c r="EC240" i="24"/>
  <c r="ED240" i="24" s="1"/>
  <c r="FL268" i="24"/>
  <c r="EH268" i="24"/>
  <c r="EC268" i="24"/>
  <c r="ED268" i="24" s="1"/>
  <c r="EI268" i="24"/>
  <c r="EX268" i="24" s="1"/>
  <c r="FL280" i="24"/>
  <c r="EI280" i="24"/>
  <c r="EX280" i="24" s="1"/>
  <c r="EH280" i="24"/>
  <c r="EC280" i="24"/>
  <c r="ED280" i="24" s="1"/>
  <c r="FL284" i="24"/>
  <c r="EH284" i="24"/>
  <c r="EI284" i="24"/>
  <c r="EX284" i="24" s="1"/>
  <c r="EC284" i="24"/>
  <c r="ED284" i="24" s="1"/>
  <c r="FL266" i="24"/>
  <c r="EC266" i="24"/>
  <c r="ED266" i="24" s="1"/>
  <c r="EI266" i="24"/>
  <c r="EX266" i="24" s="1"/>
  <c r="EH266" i="24"/>
  <c r="FL272" i="24"/>
  <c r="EI272" i="24"/>
  <c r="EX272" i="24" s="1"/>
  <c r="EC272" i="24"/>
  <c r="ED272" i="24" s="1"/>
  <c r="EH272" i="24"/>
  <c r="FL274" i="24"/>
  <c r="EH274" i="24"/>
  <c r="EI274" i="24"/>
  <c r="EX274" i="24" s="1"/>
  <c r="EC274" i="24"/>
  <c r="ED274" i="24" s="1"/>
  <c r="FL302" i="24"/>
  <c r="EI302" i="24"/>
  <c r="EX302" i="24" s="1"/>
  <c r="EH302" i="24"/>
  <c r="EC302" i="24"/>
  <c r="ED302" i="24" s="1"/>
  <c r="FL231" i="24"/>
  <c r="EI231" i="24"/>
  <c r="EX231" i="24" s="1"/>
  <c r="EH231" i="24"/>
  <c r="EC231" i="24"/>
  <c r="ED231" i="24" s="1"/>
  <c r="FL263" i="24"/>
  <c r="EH263" i="24"/>
  <c r="EC263" i="24"/>
  <c r="ED263" i="24" s="1"/>
  <c r="EI263" i="24"/>
  <c r="EX263" i="24" s="1"/>
  <c r="FL283" i="24"/>
  <c r="EC283" i="24"/>
  <c r="ED283" i="24" s="1"/>
  <c r="EH283" i="24"/>
  <c r="EI283" i="24"/>
  <c r="EX283" i="24" s="1"/>
  <c r="FL291" i="24"/>
  <c r="EC291" i="24"/>
  <c r="ED291" i="24" s="1"/>
  <c r="EH291" i="24"/>
  <c r="EI291" i="24"/>
  <c r="EX291" i="24" s="1"/>
  <c r="FL220" i="24"/>
  <c r="EH220" i="24"/>
  <c r="EI220" i="24"/>
  <c r="EX220" i="24" s="1"/>
  <c r="EC220" i="24"/>
  <c r="ED220" i="24" s="1"/>
  <c r="FL219" i="24"/>
  <c r="EH219" i="24"/>
  <c r="EC219" i="24"/>
  <c r="ED219" i="24" s="1"/>
  <c r="EI219" i="24"/>
  <c r="EX219" i="24" s="1"/>
  <c r="FL313" i="24"/>
  <c r="EH313" i="24"/>
  <c r="EI313" i="24"/>
  <c r="EX313" i="24" s="1"/>
  <c r="EC313" i="24"/>
  <c r="ED313" i="24" s="1"/>
  <c r="FL271" i="24"/>
  <c r="EH271" i="24"/>
  <c r="EC271" i="24"/>
  <c r="ED271" i="24" s="1"/>
  <c r="EI271" i="24"/>
  <c r="EX271" i="24" s="1"/>
  <c r="FL312" i="24"/>
  <c r="EH312" i="24"/>
  <c r="EI312" i="24"/>
  <c r="EX312" i="24" s="1"/>
  <c r="EC312" i="24"/>
  <c r="ED312" i="24" s="1"/>
  <c r="FL248" i="24"/>
  <c r="EH248" i="24"/>
  <c r="EI248" i="24"/>
  <c r="EX248" i="24" s="1"/>
  <c r="EC248" i="24"/>
  <c r="ED248" i="24" s="1"/>
  <c r="FL262" i="24"/>
  <c r="EI262" i="24"/>
  <c r="EX262" i="24" s="1"/>
  <c r="EC262" i="24"/>
  <c r="ED262" i="24" s="1"/>
  <c r="EH262" i="24"/>
  <c r="FL301" i="24"/>
  <c r="EH301" i="24"/>
  <c r="EI301" i="24"/>
  <c r="EX301" i="24" s="1"/>
  <c r="EC301" i="24"/>
  <c r="ED301" i="24" s="1"/>
  <c r="FL218" i="24"/>
  <c r="EI218" i="24"/>
  <c r="EX218" i="24" s="1"/>
  <c r="EC218" i="24"/>
  <c r="ED218" i="24" s="1"/>
  <c r="EH218" i="24"/>
  <c r="FL278" i="24"/>
  <c r="EH278" i="24"/>
  <c r="EI278" i="24"/>
  <c r="EX278" i="24" s="1"/>
  <c r="EC278" i="24"/>
  <c r="ED278" i="24" s="1"/>
  <c r="FL305" i="24"/>
  <c r="EH305" i="24"/>
  <c r="EI305" i="24"/>
  <c r="EX305" i="24" s="1"/>
  <c r="EC305" i="24"/>
  <c r="ED305" i="24" s="1"/>
  <c r="FL229" i="24"/>
  <c r="EH229" i="24"/>
  <c r="EI229" i="24"/>
  <c r="EX229" i="24" s="1"/>
  <c r="EC229" i="24"/>
  <c r="ED229" i="24" s="1"/>
  <c r="FL222" i="24"/>
  <c r="EH222" i="24"/>
  <c r="EI222" i="24"/>
  <c r="EX222" i="24" s="1"/>
  <c r="EC222" i="24"/>
  <c r="ED222" i="24" s="1"/>
  <c r="FL279" i="24"/>
  <c r="EH279" i="24"/>
  <c r="EC279" i="24"/>
  <c r="ED279" i="24" s="1"/>
  <c r="EI279" i="24"/>
  <c r="EX279" i="24" s="1"/>
  <c r="FL304" i="24"/>
  <c r="EC304" i="24"/>
  <c r="ED304" i="24" s="1"/>
  <c r="EH304" i="24"/>
  <c r="EI304" i="24"/>
  <c r="EX304" i="24" s="1"/>
  <c r="FL225" i="24"/>
  <c r="EH225" i="24"/>
  <c r="EC225" i="24"/>
  <c r="ED225" i="24" s="1"/>
  <c r="EI225" i="24"/>
  <c r="EX225" i="24" s="1"/>
  <c r="FL299" i="24"/>
  <c r="EC299" i="24"/>
  <c r="ED299" i="24" s="1"/>
  <c r="EH299" i="24"/>
  <c r="EI299" i="24"/>
  <c r="EX299" i="24" s="1"/>
  <c r="FL245" i="24"/>
  <c r="EH245" i="24"/>
  <c r="EI245" i="24"/>
  <c r="EX245" i="24" s="1"/>
  <c r="EC245" i="24"/>
  <c r="ED245" i="24" s="1"/>
  <c r="FL308" i="24"/>
  <c r="EH308" i="24"/>
  <c r="EI308" i="24"/>
  <c r="EX308" i="24" s="1"/>
  <c r="EC308" i="24"/>
  <c r="ED308" i="24" s="1"/>
  <c r="FL303" i="24"/>
  <c r="EH303" i="24"/>
  <c r="EI303" i="24"/>
  <c r="EX303" i="24" s="1"/>
  <c r="EC303" i="24"/>
  <c r="ED303" i="24" s="1"/>
  <c r="FL267" i="24"/>
  <c r="EC267" i="24"/>
  <c r="ED267" i="24" s="1"/>
  <c r="EH267" i="24"/>
  <c r="EI267" i="24"/>
  <c r="EX267" i="24" s="1"/>
  <c r="FL297" i="24"/>
  <c r="EH297" i="24"/>
  <c r="EI297" i="24"/>
  <c r="EX297" i="24" s="1"/>
  <c r="EC297" i="24"/>
  <c r="ED297" i="24" s="1"/>
  <c r="FL253" i="24"/>
  <c r="EC253" i="24"/>
  <c r="ED253" i="24" s="1"/>
  <c r="EH253" i="24"/>
  <c r="EI253" i="24"/>
  <c r="EX253" i="24" s="1"/>
  <c r="FL287" i="24"/>
  <c r="EH287" i="24"/>
  <c r="EI287" i="24"/>
  <c r="EX287" i="24" s="1"/>
  <c r="EC287" i="24"/>
  <c r="ED287" i="24" s="1"/>
  <c r="FL264" i="24"/>
  <c r="EI264" i="24"/>
  <c r="EX264" i="24" s="1"/>
  <c r="EH264" i="24"/>
  <c r="EC264" i="24"/>
  <c r="ED264" i="24" s="1"/>
  <c r="FL241" i="24"/>
  <c r="EH241" i="24"/>
  <c r="EI241" i="24"/>
  <c r="EX241" i="24" s="1"/>
  <c r="EC241" i="24"/>
  <c r="ED241" i="24" s="1"/>
  <c r="FL273" i="24"/>
  <c r="EH273" i="24"/>
  <c r="EI273" i="24"/>
  <c r="EX273" i="24" s="1"/>
  <c r="EC273" i="24"/>
  <c r="ED273" i="24" s="1"/>
  <c r="FL259" i="24"/>
  <c r="EI259" i="24"/>
  <c r="EX259" i="24" s="1"/>
  <c r="EC259" i="24"/>
  <c r="ED259" i="24" s="1"/>
  <c r="EH259" i="24"/>
  <c r="FL255" i="24"/>
  <c r="EH255" i="24"/>
  <c r="EC255" i="24"/>
  <c r="ED255" i="24" s="1"/>
  <c r="EI255" i="24"/>
  <c r="EX255" i="24" s="1"/>
  <c r="FL239" i="24"/>
  <c r="EI239" i="24"/>
  <c r="EX239" i="24" s="1"/>
  <c r="EC239" i="24"/>
  <c r="ED239" i="24" s="1"/>
  <c r="EH239" i="24"/>
  <c r="FL270" i="24"/>
  <c r="EI270" i="24"/>
  <c r="EX270" i="24" s="1"/>
  <c r="EH270" i="24"/>
  <c r="EC270" i="24"/>
  <c r="ED270" i="24" s="1"/>
  <c r="FL269" i="24"/>
  <c r="EH269" i="24"/>
  <c r="EC269" i="24"/>
  <c r="ED269" i="24" s="1"/>
  <c r="EI269" i="24"/>
  <c r="EX269" i="24" s="1"/>
  <c r="FL257" i="24"/>
  <c r="EH257" i="24"/>
  <c r="EC257" i="24"/>
  <c r="ED257" i="24" s="1"/>
  <c r="EI257" i="24"/>
  <c r="EX257" i="24" s="1"/>
  <c r="FL295" i="24"/>
  <c r="EH295" i="24"/>
  <c r="EI295" i="24"/>
  <c r="EX295" i="24" s="1"/>
  <c r="EC295" i="24"/>
  <c r="ED295" i="24" s="1"/>
  <c r="FL282" i="24"/>
  <c r="EC282" i="24"/>
  <c r="ED282" i="24" s="1"/>
  <c r="EH282" i="24"/>
  <c r="EI282" i="24"/>
  <c r="EX282" i="24" s="1"/>
  <c r="FL314" i="24"/>
  <c r="EH314" i="24"/>
  <c r="EI314" i="24"/>
  <c r="EX314" i="24" s="1"/>
  <c r="EC314" i="24"/>
  <c r="ED314" i="24" s="1"/>
  <c r="FL298" i="24"/>
  <c r="EI298" i="24"/>
  <c r="EX298" i="24" s="1"/>
  <c r="EH298" i="24"/>
  <c r="EC298" i="24"/>
  <c r="ED298" i="24" s="1"/>
  <c r="FL277" i="24"/>
  <c r="EI277" i="24"/>
  <c r="EX277" i="24" s="1"/>
  <c r="EH277" i="24"/>
  <c r="EC277" i="24"/>
  <c r="ED277" i="24" s="1"/>
  <c r="FL288" i="24"/>
  <c r="EH288" i="24"/>
  <c r="EI288" i="24"/>
  <c r="EX288" i="24" s="1"/>
  <c r="EC288" i="24"/>
  <c r="ED288" i="24" s="1"/>
  <c r="FL293" i="24"/>
  <c r="EH293" i="24"/>
  <c r="EI293" i="24"/>
  <c r="EX293" i="24" s="1"/>
  <c r="EC293" i="24"/>
  <c r="ED293" i="24" s="1"/>
  <c r="FL233" i="24"/>
  <c r="EH233" i="24"/>
  <c r="EI233" i="24"/>
  <c r="EX233" i="24" s="1"/>
  <c r="EC233" i="24"/>
  <c r="ED233" i="24" s="1"/>
  <c r="FL252" i="24"/>
  <c r="EH252" i="24"/>
  <c r="EC252" i="24"/>
  <c r="ED252" i="24" s="1"/>
  <c r="EI252" i="24"/>
  <c r="EX252" i="24" s="1"/>
  <c r="FL306" i="24"/>
  <c r="EC306" i="24"/>
  <c r="ED306" i="24" s="1"/>
  <c r="EH306" i="24"/>
  <c r="EI306" i="24"/>
  <c r="EX306" i="24" s="1"/>
  <c r="FL315" i="24"/>
  <c r="EH315" i="24"/>
  <c r="EI315" i="24"/>
  <c r="EX315" i="24" s="1"/>
  <c r="EC315" i="24"/>
  <c r="ED315" i="24" s="1"/>
  <c r="FL281" i="24"/>
  <c r="EH281" i="24"/>
  <c r="EI281" i="24"/>
  <c r="EX281" i="24" s="1"/>
  <c r="EC281" i="24"/>
  <c r="ED281" i="24" s="1"/>
  <c r="FL296" i="24"/>
  <c r="EI296" i="24"/>
  <c r="EX296" i="24" s="1"/>
  <c r="EC296" i="24"/>
  <c r="ED296" i="24" s="1"/>
  <c r="EH296" i="24"/>
  <c r="FL232" i="24"/>
  <c r="EH232" i="24"/>
  <c r="EI232" i="24"/>
  <c r="EX232" i="24" s="1"/>
  <c r="EC232" i="24"/>
  <c r="ED232" i="24" s="1"/>
  <c r="FL235" i="24"/>
  <c r="EH235" i="24"/>
  <c r="EI235" i="24"/>
  <c r="EX235" i="24" s="1"/>
  <c r="EC235" i="24"/>
  <c r="ED235" i="24" s="1"/>
  <c r="FL246" i="24"/>
  <c r="EH246" i="24"/>
  <c r="EI246" i="24"/>
  <c r="EX246" i="24" s="1"/>
  <c r="EC246" i="24"/>
  <c r="ED246" i="24" s="1"/>
  <c r="FL292" i="24"/>
  <c r="EH292" i="24"/>
  <c r="EI292" i="24"/>
  <c r="EX292" i="24" s="1"/>
  <c r="EC292" i="24"/>
  <c r="ED292" i="24" s="1"/>
  <c r="FL238" i="24"/>
  <c r="EH238" i="24"/>
  <c r="EI238" i="24"/>
  <c r="EX238" i="24" s="1"/>
  <c r="EC238" i="24"/>
  <c r="ED238" i="24" s="1"/>
  <c r="FL276" i="24"/>
  <c r="EH276" i="24"/>
  <c r="EI276" i="24"/>
  <c r="EX276" i="24" s="1"/>
  <c r="EC276" i="24"/>
  <c r="ED276" i="24" s="1"/>
  <c r="FL289" i="24"/>
  <c r="EH289" i="24"/>
  <c r="EI289" i="24"/>
  <c r="EX289" i="24" s="1"/>
  <c r="EC289" i="24"/>
  <c r="ED289" i="24" s="1"/>
  <c r="FL227" i="24"/>
  <c r="EH227" i="24"/>
  <c r="EC227" i="24"/>
  <c r="ED227" i="24" s="1"/>
  <c r="EI227" i="24"/>
  <c r="EX227" i="24" s="1"/>
  <c r="FL251" i="24"/>
  <c r="EH251" i="24"/>
  <c r="EI251" i="24"/>
  <c r="EX251" i="24" s="1"/>
  <c r="EC251" i="24"/>
  <c r="ED251" i="24" s="1"/>
  <c r="FL236" i="24"/>
  <c r="EI236" i="24"/>
  <c r="EX236" i="24" s="1"/>
  <c r="EC236" i="24"/>
  <c r="ED236" i="24" s="1"/>
  <c r="EH236" i="24"/>
  <c r="FL230" i="24"/>
  <c r="EH230" i="24"/>
  <c r="EI230" i="24"/>
  <c r="EX230" i="24" s="1"/>
  <c r="EC230" i="24"/>
  <c r="ED230" i="24" s="1"/>
  <c r="FL309" i="24"/>
  <c r="EH309" i="24"/>
  <c r="EI309" i="24"/>
  <c r="EX309" i="24" s="1"/>
  <c r="EC309" i="24"/>
  <c r="ED309" i="24" s="1"/>
  <c r="FL258" i="24"/>
  <c r="EH258" i="24"/>
  <c r="EI258" i="24"/>
  <c r="EX258" i="24" s="1"/>
  <c r="EC258" i="24"/>
  <c r="ED258" i="24" s="1"/>
  <c r="FL223" i="24"/>
  <c r="EH223" i="24"/>
  <c r="EC223" i="24"/>
  <c r="ED223" i="24" s="1"/>
  <c r="EI223" i="24"/>
  <c r="EX223" i="24" s="1"/>
  <c r="FL249" i="24"/>
  <c r="EH249" i="24"/>
  <c r="EI249" i="24"/>
  <c r="EX249" i="24" s="1"/>
  <c r="EC249" i="24"/>
  <c r="ED249" i="24" s="1"/>
  <c r="EK242" i="24"/>
  <c r="EW242" i="24"/>
  <c r="EV216" i="25"/>
  <c r="FB216" i="25" s="1"/>
  <c r="EI216" i="25"/>
  <c r="EV299" i="25"/>
  <c r="FB299" i="25" s="1"/>
  <c r="EI299" i="25"/>
  <c r="EV252" i="25"/>
  <c r="FB252" i="25" s="1"/>
  <c r="EI252" i="25"/>
  <c r="EI308" i="25"/>
  <c r="EV308" i="25"/>
  <c r="FB308" i="25" s="1"/>
  <c r="EI281" i="25"/>
  <c r="EV281" i="25"/>
  <c r="FB281" i="25" s="1"/>
  <c r="EI274" i="25"/>
  <c r="EV274" i="25"/>
  <c r="FB274" i="25" s="1"/>
  <c r="EI300" i="25"/>
  <c r="EV300" i="25"/>
  <c r="FB300" i="25" s="1"/>
  <c r="EV303" i="25"/>
  <c r="FB303" i="25" s="1"/>
  <c r="EI303" i="25"/>
  <c r="EI296" i="25"/>
  <c r="EV296" i="25"/>
  <c r="FB296" i="25" s="1"/>
  <c r="EV228" i="25"/>
  <c r="FB228" i="25" s="1"/>
  <c r="EI228" i="25"/>
  <c r="EI219" i="25"/>
  <c r="EV219" i="25"/>
  <c r="FB219" i="25" s="1"/>
  <c r="EI315" i="25"/>
  <c r="EV315" i="25"/>
  <c r="FB315" i="25" s="1"/>
  <c r="EI291" i="25"/>
  <c r="EV291" i="25"/>
  <c r="FB291" i="25" s="1"/>
  <c r="EI292" i="25"/>
  <c r="EV292" i="25"/>
  <c r="FB292" i="25" s="1"/>
  <c r="EI283" i="25"/>
  <c r="EV283" i="25"/>
  <c r="FB283" i="25" s="1"/>
  <c r="EI279" i="25"/>
  <c r="EV279" i="25"/>
  <c r="FB279" i="25" s="1"/>
  <c r="EV298" i="25"/>
  <c r="FB298" i="25" s="1"/>
  <c r="EI298" i="25"/>
  <c r="EI251" i="25"/>
  <c r="EV251" i="25"/>
  <c r="FB251" i="25" s="1"/>
  <c r="EI259" i="25"/>
  <c r="EV259" i="25"/>
  <c r="FB259" i="25" s="1"/>
  <c r="EV266" i="25"/>
  <c r="FB266" i="25" s="1"/>
  <c r="EI266" i="25"/>
  <c r="EI242" i="25"/>
  <c r="EV242" i="25"/>
  <c r="FB242" i="25" s="1"/>
  <c r="EV290" i="25"/>
  <c r="FB290" i="25" s="1"/>
  <c r="EI290" i="25"/>
  <c r="EI301" i="25"/>
  <c r="EV301" i="25"/>
  <c r="FB301" i="25" s="1"/>
  <c r="EV295" i="25"/>
  <c r="FB295" i="25" s="1"/>
  <c r="EI295" i="25"/>
  <c r="EI218" i="25"/>
  <c r="EV218" i="25"/>
  <c r="FB218" i="25" s="1"/>
  <c r="EI286" i="25"/>
  <c r="EV286" i="25"/>
  <c r="FB286" i="25" s="1"/>
  <c r="EI227" i="25"/>
  <c r="EV227" i="25"/>
  <c r="FB227" i="25" s="1"/>
  <c r="EI258" i="25"/>
  <c r="EV258" i="25"/>
  <c r="FB258" i="25" s="1"/>
  <c r="EI253" i="25"/>
  <c r="EV253" i="25"/>
  <c r="FB253" i="25" s="1"/>
  <c r="EV282" i="25"/>
  <c r="FB282" i="25" s="1"/>
  <c r="EI282" i="25"/>
  <c r="EI278" i="25"/>
  <c r="EV278" i="25"/>
  <c r="FB278" i="25" s="1"/>
  <c r="EV223" i="25"/>
  <c r="FB223" i="25" s="1"/>
  <c r="EI223" i="25"/>
  <c r="EV239" i="25"/>
  <c r="FB239" i="25" s="1"/>
  <c r="EI239" i="25"/>
  <c r="EI275" i="25"/>
  <c r="EV275" i="25"/>
  <c r="FB275" i="25" s="1"/>
  <c r="EI294" i="25"/>
  <c r="EV294" i="25"/>
  <c r="FB294" i="25" s="1"/>
  <c r="EI225" i="25"/>
  <c r="EV225" i="25"/>
  <c r="FB225" i="25" s="1"/>
  <c r="EV316" i="25"/>
  <c r="FB316" i="25" s="1"/>
  <c r="EI316" i="25"/>
  <c r="EI243" i="25"/>
  <c r="EV243" i="25"/>
  <c r="FB243" i="25" s="1"/>
  <c r="EV268" i="25"/>
  <c r="FB268" i="25" s="1"/>
  <c r="EI268" i="25"/>
  <c r="EV249" i="25"/>
  <c r="FB249" i="25" s="1"/>
  <c r="EI249" i="25"/>
  <c r="EV270" i="25"/>
  <c r="FB270" i="25" s="1"/>
  <c r="EI270" i="25"/>
  <c r="EI302" i="25"/>
  <c r="EV302" i="25"/>
  <c r="FB302" i="25" s="1"/>
  <c r="EI307" i="25"/>
  <c r="EV307" i="25"/>
  <c r="FB307" i="25" s="1"/>
  <c r="EI312" i="25"/>
  <c r="EV312" i="25"/>
  <c r="FB312" i="25" s="1"/>
  <c r="EI237" i="25"/>
  <c r="EV237" i="25"/>
  <c r="FB237" i="25" s="1"/>
  <c r="EV244" i="25"/>
  <c r="FB244" i="25" s="1"/>
  <c r="EI244" i="25"/>
  <c r="EI250" i="25"/>
  <c r="EV250" i="25"/>
  <c r="FB250" i="25" s="1"/>
  <c r="EI293" i="25"/>
  <c r="EV293" i="25"/>
  <c r="FB293" i="25" s="1"/>
  <c r="EV267" i="25"/>
  <c r="FB267" i="25" s="1"/>
  <c r="EI267" i="25"/>
  <c r="EI261" i="25"/>
  <c r="EV261" i="25"/>
  <c r="FB261" i="25" s="1"/>
  <c r="EV313" i="25"/>
  <c r="FB313" i="25" s="1"/>
  <c r="EI313" i="25"/>
  <c r="EI232" i="25"/>
  <c r="EV232" i="25"/>
  <c r="FB232" i="25" s="1"/>
  <c r="EV263" i="25"/>
  <c r="FB263" i="25" s="1"/>
  <c r="EI263" i="25"/>
  <c r="EV305" i="25"/>
  <c r="FB305" i="25" s="1"/>
  <c r="EI305" i="25"/>
  <c r="EI231" i="25"/>
  <c r="EV231" i="25"/>
  <c r="FB231" i="25" s="1"/>
  <c r="EV246" i="25"/>
  <c r="FB246" i="25" s="1"/>
  <c r="EI246" i="25"/>
  <c r="EV230" i="25"/>
  <c r="FB230" i="25" s="1"/>
  <c r="EI230" i="25"/>
  <c r="EI262" i="25"/>
  <c r="EV262" i="25"/>
  <c r="FB262" i="25" s="1"/>
  <c r="EI285" i="25"/>
  <c r="EV285" i="25"/>
  <c r="FB285" i="25" s="1"/>
  <c r="EI310" i="25"/>
  <c r="EV310" i="25"/>
  <c r="FB310" i="25" s="1"/>
  <c r="EI280" i="25"/>
  <c r="EV280" i="25"/>
  <c r="FB280" i="25" s="1"/>
  <c r="EI289" i="25"/>
  <c r="EV289" i="25"/>
  <c r="FB289" i="25" s="1"/>
  <c r="EV271" i="25"/>
  <c r="FB271" i="25" s="1"/>
  <c r="EI271" i="25"/>
  <c r="EI222" i="25"/>
  <c r="EV222" i="25"/>
  <c r="FB222" i="25" s="1"/>
  <c r="EI240" i="25"/>
  <c r="EV240" i="25"/>
  <c r="FB240" i="25" s="1"/>
  <c r="EI229" i="25"/>
  <c r="EV229" i="25"/>
  <c r="FB229" i="25" s="1"/>
  <c r="EI241" i="25"/>
  <c r="EV241" i="25"/>
  <c r="FB241" i="25" s="1"/>
  <c r="EI226" i="25"/>
  <c r="EV226" i="25"/>
  <c r="FB226" i="25" s="1"/>
  <c r="EI304" i="25"/>
  <c r="EV304" i="25"/>
  <c r="FB304" i="25" s="1"/>
  <c r="EI272" i="25"/>
  <c r="EV272" i="25"/>
  <c r="FB272" i="25" s="1"/>
  <c r="EI288" i="25"/>
  <c r="EV288" i="25"/>
  <c r="FB288" i="25" s="1"/>
  <c r="EV264" i="25"/>
  <c r="FB264" i="25" s="1"/>
  <c r="EI264" i="25"/>
  <c r="EV306" i="25"/>
  <c r="FB306" i="25" s="1"/>
  <c r="EI306" i="25"/>
  <c r="EI255" i="25"/>
  <c r="EV255" i="25"/>
  <c r="FB255" i="25" s="1"/>
  <c r="EV314" i="25"/>
  <c r="FB314" i="25" s="1"/>
  <c r="EI314" i="25"/>
  <c r="EI224" i="25"/>
  <c r="EV224" i="25"/>
  <c r="FB224" i="25" s="1"/>
  <c r="EV221" i="25"/>
  <c r="FB221" i="25" s="1"/>
  <c r="EI221" i="25"/>
  <c r="EV311" i="25"/>
  <c r="FB311" i="25" s="1"/>
  <c r="EI311" i="25"/>
  <c r="EV257" i="25"/>
  <c r="FB257" i="25" s="1"/>
  <c r="EI257" i="25"/>
  <c r="EV287" i="25"/>
  <c r="FB287" i="25" s="1"/>
  <c r="EI287" i="25"/>
  <c r="EI297" i="25"/>
  <c r="EV297" i="25"/>
  <c r="FB297" i="25" s="1"/>
  <c r="EV284" i="25"/>
  <c r="FB284" i="25" s="1"/>
  <c r="EI284" i="25"/>
  <c r="EV238" i="25"/>
  <c r="FB238" i="25" s="1"/>
  <c r="EI238" i="25"/>
  <c r="EV236" i="25"/>
  <c r="FB236" i="25" s="1"/>
  <c r="EI236" i="25"/>
  <c r="EV260" i="25"/>
  <c r="FB260" i="25" s="1"/>
  <c r="EI260" i="25"/>
  <c r="EV273" i="25"/>
  <c r="FB273" i="25" s="1"/>
  <c r="EI273" i="25"/>
  <c r="EI248" i="25"/>
  <c r="EV248" i="25"/>
  <c r="FB248" i="25" s="1"/>
  <c r="EV245" i="25"/>
  <c r="FB245" i="25" s="1"/>
  <c r="EI245" i="25"/>
  <c r="EI309" i="25"/>
  <c r="EV309" i="25"/>
  <c r="FB309" i="25" s="1"/>
  <c r="EV269" i="25"/>
  <c r="FB269" i="25" s="1"/>
  <c r="EI269" i="25"/>
  <c r="EV220" i="25"/>
  <c r="FB220" i="25" s="1"/>
  <c r="EI220" i="25"/>
  <c r="EV234" i="25"/>
  <c r="FB234" i="25" s="1"/>
  <c r="EI234" i="25"/>
  <c r="EV256" i="25"/>
  <c r="FB256" i="25" s="1"/>
  <c r="EI256" i="25"/>
  <c r="EV277" i="25"/>
  <c r="FB277" i="25" s="1"/>
  <c r="EI277" i="25"/>
  <c r="EI247" i="25"/>
  <c r="EV247" i="25"/>
  <c r="FB247" i="25" s="1"/>
  <c r="EV233" i="25"/>
  <c r="FB233" i="25" s="1"/>
  <c r="EI233" i="25"/>
  <c r="EV276" i="25"/>
  <c r="FB276" i="25" s="1"/>
  <c r="EI276" i="25"/>
  <c r="EV265" i="25"/>
  <c r="FB265" i="25" s="1"/>
  <c r="EI265" i="25"/>
  <c r="EV254" i="25"/>
  <c r="FB254" i="25" s="1"/>
  <c r="EI254" i="25"/>
  <c r="EI217" i="25"/>
  <c r="EV217" i="25"/>
  <c r="FB217" i="25" s="1"/>
  <c r="EI235" i="25"/>
  <c r="EV235" i="25"/>
  <c r="FB235" i="25" s="1"/>
  <c r="CG78" i="24"/>
  <c r="EC74" i="24"/>
  <c r="ED74" i="24" s="1"/>
  <c r="EI112" i="25"/>
  <c r="EV112" i="25"/>
  <c r="FB112" i="25" s="1"/>
  <c r="EI103" i="25"/>
  <c r="EO103" i="25" s="1"/>
  <c r="EP103" i="25" s="1"/>
  <c r="EH74" i="24"/>
  <c r="EW74" i="24" s="1"/>
  <c r="BK110" i="24"/>
  <c r="EI74" i="24"/>
  <c r="EX74" i="24" s="1"/>
  <c r="EI64" i="25"/>
  <c r="EO64" i="25" s="1"/>
  <c r="EP64" i="25" s="1"/>
  <c r="CG89" i="24"/>
  <c r="FL89" i="24"/>
  <c r="CG149" i="24"/>
  <c r="FL149" i="24"/>
  <c r="CG120" i="24"/>
  <c r="FL120" i="24"/>
  <c r="CG93" i="24"/>
  <c r="FL93" i="24"/>
  <c r="CG135" i="24"/>
  <c r="FL135" i="24"/>
  <c r="CG193" i="24"/>
  <c r="FL193" i="24"/>
  <c r="CG38" i="24"/>
  <c r="FL38" i="24"/>
  <c r="CG171" i="24"/>
  <c r="FL171" i="24"/>
  <c r="CG207" i="24"/>
  <c r="FL207" i="24"/>
  <c r="CG173" i="24"/>
  <c r="FL173" i="24"/>
  <c r="CG27" i="24"/>
  <c r="FL27" i="24"/>
  <c r="CG167" i="24"/>
  <c r="FL167" i="24"/>
  <c r="CG22" i="24"/>
  <c r="FL22" i="24"/>
  <c r="CG197" i="24"/>
  <c r="FL197" i="24"/>
  <c r="CG41" i="24"/>
  <c r="FL41" i="24"/>
  <c r="CG26" i="24"/>
  <c r="FL26" i="24"/>
  <c r="CG128" i="24"/>
  <c r="FL128" i="24"/>
  <c r="EC23" i="24"/>
  <c r="ED23" i="24" s="1"/>
  <c r="FL23" i="24"/>
  <c r="CG13" i="24"/>
  <c r="FL13" i="24"/>
  <c r="CG132" i="24"/>
  <c r="FL132" i="24"/>
  <c r="CG160" i="24"/>
  <c r="FL160" i="24"/>
  <c r="CG186" i="24"/>
  <c r="FL186" i="24"/>
  <c r="CG52" i="24"/>
  <c r="FL52" i="24"/>
  <c r="CG144" i="24"/>
  <c r="FL144" i="24"/>
  <c r="CG208" i="24"/>
  <c r="FL208" i="24"/>
  <c r="CG145" i="24"/>
  <c r="FL145" i="24"/>
  <c r="CG53" i="24"/>
  <c r="FL53" i="24"/>
  <c r="CG168" i="24"/>
  <c r="FL168" i="24"/>
  <c r="CG87" i="24"/>
  <c r="FL87" i="24"/>
  <c r="CG100" i="24"/>
  <c r="FL100" i="24"/>
  <c r="CG15" i="24"/>
  <c r="FL15" i="24"/>
  <c r="CG16" i="24"/>
  <c r="FL16" i="24"/>
  <c r="CG148" i="24"/>
  <c r="FL148" i="24"/>
  <c r="CG51" i="24"/>
  <c r="FL51" i="24"/>
  <c r="CG182" i="24"/>
  <c r="FL182" i="24"/>
  <c r="CG174" i="24"/>
  <c r="FL174" i="24"/>
  <c r="CG152" i="24"/>
  <c r="FL152" i="24"/>
  <c r="CG147" i="24"/>
  <c r="FL147" i="24"/>
  <c r="EH67" i="24"/>
  <c r="EW67" i="24" s="1"/>
  <c r="FL67" i="24"/>
  <c r="EZ47" i="25"/>
  <c r="FB47" i="25" s="1"/>
  <c r="CG37" i="24"/>
  <c r="FL37" i="24"/>
  <c r="CG60" i="24"/>
  <c r="FL60" i="24"/>
  <c r="CG191" i="24"/>
  <c r="FL191" i="24"/>
  <c r="CG118" i="24"/>
  <c r="FL118" i="24"/>
  <c r="CG18" i="24"/>
  <c r="FL18" i="24"/>
  <c r="CG61" i="24"/>
  <c r="FL61" i="24"/>
  <c r="CG21" i="24"/>
  <c r="FL21" i="24"/>
  <c r="CG7" i="24"/>
  <c r="FL7" i="24"/>
  <c r="CG36" i="24"/>
  <c r="FL36" i="24"/>
  <c r="CG42" i="24"/>
  <c r="FL42" i="24"/>
  <c r="CG117" i="24"/>
  <c r="FL117" i="24"/>
  <c r="CG158" i="24"/>
  <c r="FL158" i="24"/>
  <c r="CG102" i="24"/>
  <c r="FL102" i="24"/>
  <c r="CG84" i="24"/>
  <c r="FL84" i="24"/>
  <c r="CG179" i="24"/>
  <c r="FL179" i="24"/>
  <c r="CG137" i="24"/>
  <c r="FL137" i="24"/>
  <c r="EI43" i="24"/>
  <c r="EX43" i="24" s="1"/>
  <c r="FL43" i="24"/>
  <c r="EC40" i="24"/>
  <c r="ED40" i="24" s="1"/>
  <c r="FL40" i="24"/>
  <c r="CG124" i="24"/>
  <c r="FL124" i="24"/>
  <c r="CG48" i="24"/>
  <c r="FL48" i="24"/>
  <c r="CG55" i="24"/>
  <c r="FL55" i="24"/>
  <c r="CG94" i="24"/>
  <c r="FL94" i="24"/>
  <c r="CG178" i="24"/>
  <c r="FL178" i="24"/>
  <c r="CG194" i="24"/>
  <c r="FL194" i="24"/>
  <c r="CG121" i="24"/>
  <c r="FL121" i="24"/>
  <c r="CG165" i="24"/>
  <c r="FL165" i="24"/>
  <c r="CG82" i="24"/>
  <c r="FL82" i="24"/>
  <c r="CG164" i="24"/>
  <c r="FL164" i="24"/>
  <c r="CG46" i="24"/>
  <c r="FL46" i="24"/>
  <c r="CG140" i="24"/>
  <c r="FL140" i="24"/>
  <c r="CG205" i="24"/>
  <c r="FL205" i="24"/>
  <c r="CG47" i="24"/>
  <c r="FL47" i="24"/>
  <c r="CG157" i="24"/>
  <c r="FL157" i="24"/>
  <c r="CG103" i="24"/>
  <c r="FL103" i="24"/>
  <c r="CG188" i="24"/>
  <c r="FL188" i="24"/>
  <c r="CG151" i="24"/>
  <c r="FL151" i="24"/>
  <c r="CG156" i="24"/>
  <c r="FL156" i="24"/>
  <c r="CG73" i="24"/>
  <c r="FL73" i="24"/>
  <c r="CG20" i="24"/>
  <c r="FL20" i="24"/>
  <c r="CG85" i="24"/>
  <c r="FL85" i="24"/>
  <c r="CG19" i="24"/>
  <c r="FL19" i="24"/>
  <c r="CG95" i="24"/>
  <c r="FL95" i="24"/>
  <c r="CG123" i="24"/>
  <c r="FL123" i="24"/>
  <c r="CG6" i="24"/>
  <c r="FL6" i="24"/>
  <c r="EH77" i="24"/>
  <c r="EW77" i="24" s="1"/>
  <c r="FL77" i="24"/>
  <c r="CG111" i="24"/>
  <c r="FL111" i="24"/>
  <c r="CG133" i="24"/>
  <c r="FL133" i="24"/>
  <c r="CG44" i="24"/>
  <c r="FL44" i="24"/>
  <c r="CG79" i="24"/>
  <c r="FL79" i="24"/>
  <c r="CG203" i="24"/>
  <c r="FL203" i="24"/>
  <c r="CG130" i="24"/>
  <c r="FL130" i="24"/>
  <c r="CG183" i="24"/>
  <c r="FL183" i="24"/>
  <c r="CG57" i="24"/>
  <c r="FL57" i="24"/>
  <c r="CG80" i="24"/>
  <c r="FL80" i="24"/>
  <c r="CG54" i="24"/>
  <c r="FL54" i="24"/>
  <c r="CG97" i="24"/>
  <c r="FL97" i="24"/>
  <c r="CG65" i="24"/>
  <c r="FL65" i="24"/>
  <c r="CG198" i="24"/>
  <c r="FL198" i="24"/>
  <c r="CG187" i="24"/>
  <c r="FL187" i="24"/>
  <c r="CG131" i="24"/>
  <c r="FL131" i="24"/>
  <c r="CG163" i="24"/>
  <c r="FL163" i="24"/>
  <c r="CG129" i="24"/>
  <c r="FL129" i="24"/>
  <c r="CG68" i="24"/>
  <c r="FL68" i="24"/>
  <c r="CG64" i="24"/>
  <c r="FL64" i="24"/>
  <c r="CG34" i="24"/>
  <c r="FL34" i="24"/>
  <c r="CG115" i="24"/>
  <c r="FL115" i="24"/>
  <c r="CG116" i="24"/>
  <c r="FL116" i="24"/>
  <c r="CG138" i="24"/>
  <c r="FL138" i="24"/>
  <c r="CG125" i="24"/>
  <c r="FL125" i="24"/>
  <c r="CG175" i="24"/>
  <c r="FL175" i="24"/>
  <c r="CG200" i="24"/>
  <c r="FL200" i="24"/>
  <c r="CG105" i="24"/>
  <c r="FL105" i="24"/>
  <c r="CG189" i="24"/>
  <c r="FL189" i="24"/>
  <c r="CG9" i="24"/>
  <c r="FL9" i="24"/>
  <c r="CG139" i="24"/>
  <c r="FL139" i="24"/>
  <c r="CG206" i="24"/>
  <c r="FL206" i="24"/>
  <c r="CG161" i="24"/>
  <c r="FL161" i="24"/>
  <c r="CG31" i="24"/>
  <c r="FL31" i="24"/>
  <c r="CG28" i="24"/>
  <c r="FL28" i="24"/>
  <c r="CG10" i="24"/>
  <c r="FL10" i="24"/>
  <c r="EI136" i="24"/>
  <c r="EX136" i="24" s="1"/>
  <c r="FL136" i="24"/>
  <c r="EH142" i="24"/>
  <c r="EW142" i="24" s="1"/>
  <c r="FL142" i="24"/>
  <c r="CG63" i="24"/>
  <c r="FL63" i="24"/>
  <c r="CG90" i="24"/>
  <c r="FL90" i="24"/>
  <c r="CG39" i="24"/>
  <c r="FL39" i="24"/>
  <c r="CG8" i="24"/>
  <c r="FL8" i="24"/>
  <c r="CG210" i="24"/>
  <c r="FL210" i="24"/>
  <c r="CG56" i="24"/>
  <c r="FL56" i="24"/>
  <c r="CG12" i="24"/>
  <c r="FL12" i="24"/>
  <c r="CG25" i="24"/>
  <c r="FL25" i="24"/>
  <c r="CG35" i="24"/>
  <c r="FL35" i="24"/>
  <c r="CG91" i="24"/>
  <c r="FL91" i="24"/>
  <c r="CG119" i="24"/>
  <c r="FL119" i="24"/>
  <c r="CG59" i="24"/>
  <c r="FL59" i="24"/>
  <c r="CG17" i="24"/>
  <c r="FL17" i="24"/>
  <c r="CG101" i="24"/>
  <c r="FL101" i="24"/>
  <c r="CG72" i="24"/>
  <c r="FL72" i="24"/>
  <c r="CG70" i="24"/>
  <c r="FL70" i="24"/>
  <c r="CG204" i="24"/>
  <c r="FL204" i="24"/>
  <c r="CG166" i="24"/>
  <c r="FL166" i="24"/>
  <c r="CG75" i="24"/>
  <c r="FL75" i="24"/>
  <c r="CG162" i="24"/>
  <c r="FL162" i="24"/>
  <c r="CG196" i="24"/>
  <c r="FL196" i="24"/>
  <c r="CG49" i="24"/>
  <c r="FL49" i="24"/>
  <c r="CG86" i="24"/>
  <c r="FL86" i="24"/>
  <c r="CG66" i="24"/>
  <c r="FL66" i="24"/>
  <c r="CG45" i="24"/>
  <c r="FL45" i="24"/>
  <c r="CG181" i="24"/>
  <c r="FL181" i="24"/>
  <c r="CG180" i="24"/>
  <c r="FL180" i="24"/>
  <c r="CG143" i="24"/>
  <c r="FL143" i="24"/>
  <c r="CG88" i="24"/>
  <c r="FL88" i="24"/>
  <c r="CG76" i="24"/>
  <c r="FL76" i="24"/>
  <c r="CG122" i="24"/>
  <c r="FL122" i="24"/>
  <c r="CG202" i="24"/>
  <c r="FL202" i="24"/>
  <c r="CG177" i="24"/>
  <c r="FL177" i="24"/>
  <c r="CG195" i="24"/>
  <c r="FL195" i="24"/>
  <c r="CG146" i="24"/>
  <c r="FL146" i="24"/>
  <c r="CG69" i="24"/>
  <c r="FL69" i="24"/>
  <c r="EH159" i="24"/>
  <c r="EW159" i="24" s="1"/>
  <c r="FL159" i="24"/>
  <c r="EC62" i="24"/>
  <c r="ED62" i="24" s="1"/>
  <c r="FL62" i="24"/>
  <c r="CG170" i="24"/>
  <c r="FL170" i="24"/>
  <c r="CG199" i="24"/>
  <c r="FL199" i="24"/>
  <c r="CG71" i="24"/>
  <c r="FL71" i="24"/>
  <c r="CG126" i="24"/>
  <c r="FL126" i="24"/>
  <c r="EC169" i="24"/>
  <c r="ED169" i="24" s="1"/>
  <c r="FL169" i="24"/>
  <c r="CG153" i="24"/>
  <c r="FL153" i="24"/>
  <c r="CG113" i="24"/>
  <c r="FL113" i="24"/>
  <c r="CG11" i="24"/>
  <c r="FL11" i="24"/>
  <c r="CG185" i="24"/>
  <c r="FL185" i="24"/>
  <c r="CG99" i="24"/>
  <c r="FL99" i="24"/>
  <c r="CG30" i="24"/>
  <c r="FL30" i="24"/>
  <c r="CG154" i="24"/>
  <c r="FL154" i="24"/>
  <c r="CG24" i="24"/>
  <c r="FL24" i="24"/>
  <c r="CG112" i="24"/>
  <c r="FL112" i="24"/>
  <c r="CG150" i="24"/>
  <c r="FL150" i="24"/>
  <c r="CG33" i="24"/>
  <c r="FL33" i="24"/>
  <c r="CG184" i="24"/>
  <c r="FL184" i="24"/>
  <c r="CG176" i="24"/>
  <c r="FL176" i="24"/>
  <c r="CG98" i="24"/>
  <c r="FL98" i="24"/>
  <c r="CG155" i="24"/>
  <c r="FL155" i="24"/>
  <c r="CG58" i="24"/>
  <c r="FL58" i="24"/>
  <c r="CG50" i="24"/>
  <c r="FL50" i="24"/>
  <c r="CG114" i="24"/>
  <c r="FL114" i="24"/>
  <c r="CG209" i="24"/>
  <c r="FL209" i="24"/>
  <c r="CG32" i="24"/>
  <c r="FL32" i="24"/>
  <c r="CG141" i="24"/>
  <c r="FL141" i="24"/>
  <c r="CG201" i="24"/>
  <c r="FL201" i="24"/>
  <c r="EI29" i="24"/>
  <c r="EX29" i="24" s="1"/>
  <c r="FL29" i="24"/>
  <c r="CG192" i="24"/>
  <c r="FL192" i="24"/>
  <c r="CG104" i="24"/>
  <c r="FL104" i="24"/>
  <c r="EI39" i="24"/>
  <c r="EX39" i="24" s="1"/>
  <c r="EH39" i="24"/>
  <c r="EW39" i="24" s="1"/>
  <c r="EC39" i="24"/>
  <c r="ED39" i="24" s="1"/>
  <c r="EI92" i="24"/>
  <c r="EX92" i="24" s="1"/>
  <c r="CG74" i="24"/>
  <c r="EH132" i="24"/>
  <c r="EK132" i="24" s="1"/>
  <c r="EH44" i="24"/>
  <c r="EW44" i="24" s="1"/>
  <c r="EC44" i="24"/>
  <c r="ED44" i="24" s="1"/>
  <c r="EI44" i="24"/>
  <c r="EX44" i="24" s="1"/>
  <c r="EV17" i="25"/>
  <c r="EZ17" i="25" s="1"/>
  <c r="FB17" i="25" s="1"/>
  <c r="EI33" i="25"/>
  <c r="EO33" i="25" s="1"/>
  <c r="EP33" i="25" s="1"/>
  <c r="EI169" i="24"/>
  <c r="EX169" i="24" s="1"/>
  <c r="EH169" i="24"/>
  <c r="CG169" i="24"/>
  <c r="EI132" i="24"/>
  <c r="EX132" i="24" s="1"/>
  <c r="EH160" i="24"/>
  <c r="EK160" i="24" s="1"/>
  <c r="EI160" i="24"/>
  <c r="EX160" i="24" s="1"/>
  <c r="EI127" i="24"/>
  <c r="EX127" i="24" s="1"/>
  <c r="EC160" i="24"/>
  <c r="ED160" i="24" s="1"/>
  <c r="EC132" i="24"/>
  <c r="ED132" i="24" s="1"/>
  <c r="EV164" i="25"/>
  <c r="FB164" i="25" s="1"/>
  <c r="EC52" i="24"/>
  <c r="ED52" i="24" s="1"/>
  <c r="EI52" i="24"/>
  <c r="EX52" i="24" s="1"/>
  <c r="EH52" i="24"/>
  <c r="EW52" i="24" s="1"/>
  <c r="EI133" i="24"/>
  <c r="EX133" i="24" s="1"/>
  <c r="EC133" i="24"/>
  <c r="ED133" i="24" s="1"/>
  <c r="EH133" i="24"/>
  <c r="EW133" i="24" s="1"/>
  <c r="EC104" i="24"/>
  <c r="ED104" i="24" s="1"/>
  <c r="EC37" i="24"/>
  <c r="ED37" i="24" s="1"/>
  <c r="EZ103" i="25"/>
  <c r="FB103" i="25" s="1"/>
  <c r="EC127" i="24"/>
  <c r="ED127" i="24" s="1"/>
  <c r="EI58" i="25"/>
  <c r="EO58" i="25" s="1"/>
  <c r="EP58" i="25" s="1"/>
  <c r="EH152" i="24"/>
  <c r="EK152" i="24" s="1"/>
  <c r="EZ64" i="25"/>
  <c r="FB64" i="25" s="1"/>
  <c r="EI77" i="25"/>
  <c r="EO77" i="25" s="1"/>
  <c r="EP77" i="25" s="1"/>
  <c r="EH127" i="24"/>
  <c r="EK127" i="24" s="1"/>
  <c r="CG127" i="24"/>
  <c r="EI55" i="24"/>
  <c r="EX55" i="24" s="1"/>
  <c r="EH83" i="24"/>
  <c r="EK83" i="24" s="1"/>
  <c r="EQ83" i="24" s="1"/>
  <c r="EZ89" i="25"/>
  <c r="FB89" i="25" s="1"/>
  <c r="EH48" i="24"/>
  <c r="EK48" i="24" s="1"/>
  <c r="EQ48" i="24" s="1"/>
  <c r="EZ96" i="25"/>
  <c r="FB96" i="25" s="1"/>
  <c r="EH37" i="24"/>
  <c r="EK37" i="24" s="1"/>
  <c r="EQ37" i="24" s="1"/>
  <c r="EI37" i="24"/>
  <c r="EX37" i="24" s="1"/>
  <c r="EV90" i="25"/>
  <c r="EZ90" i="25" s="1"/>
  <c r="FB90" i="25" s="1"/>
  <c r="EI172" i="24"/>
  <c r="EX172" i="24" s="1"/>
  <c r="EI96" i="25"/>
  <c r="EO96" i="25" s="1"/>
  <c r="EI183" i="25"/>
  <c r="EP183" i="25" s="1"/>
  <c r="EH29" i="24"/>
  <c r="EK29" i="24" s="1"/>
  <c r="EQ29" i="24" s="1"/>
  <c r="EI201" i="24"/>
  <c r="EX201" i="24" s="1"/>
  <c r="EI128" i="25"/>
  <c r="EP128" i="25" s="1"/>
  <c r="EV145" i="25"/>
  <c r="FB145" i="25" s="1"/>
  <c r="EH126" i="24"/>
  <c r="EK126" i="24" s="1"/>
  <c r="FB183" i="25"/>
  <c r="EI99" i="25"/>
  <c r="EO99" i="25" s="1"/>
  <c r="EP99" i="25" s="1"/>
  <c r="EI126" i="24"/>
  <c r="EX126" i="24" s="1"/>
  <c r="EC126" i="24"/>
  <c r="ED126" i="24" s="1"/>
  <c r="FB128" i="25"/>
  <c r="EH63" i="24"/>
  <c r="EW63" i="24" s="1"/>
  <c r="EV185" i="25"/>
  <c r="FB185" i="25" s="1"/>
  <c r="EC111" i="24"/>
  <c r="ED111" i="24" s="1"/>
  <c r="EC63" i="24"/>
  <c r="ED63" i="24" s="1"/>
  <c r="EH30" i="24"/>
  <c r="EK30" i="24" s="1"/>
  <c r="EQ30" i="24" s="1"/>
  <c r="EI63" i="24"/>
  <c r="EX63" i="24" s="1"/>
  <c r="EI30" i="24"/>
  <c r="EX30" i="24" s="1"/>
  <c r="EC30" i="24"/>
  <c r="ED30" i="24" s="1"/>
  <c r="EI83" i="24"/>
  <c r="EX83" i="24" s="1"/>
  <c r="EH111" i="24"/>
  <c r="EW111" i="24" s="1"/>
  <c r="EI111" i="24"/>
  <c r="EX111" i="24" s="1"/>
  <c r="EI47" i="25"/>
  <c r="EO47" i="25" s="1"/>
  <c r="EI37" i="25"/>
  <c r="EO37" i="25" s="1"/>
  <c r="EP37" i="25" s="1"/>
  <c r="EZ33" i="25"/>
  <c r="FB33" i="25" s="1"/>
  <c r="EZ95" i="25"/>
  <c r="FB95" i="25" s="1"/>
  <c r="EZ97" i="25"/>
  <c r="FB97" i="25" s="1"/>
  <c r="FB158" i="25"/>
  <c r="EI81" i="24"/>
  <c r="EX81" i="24" s="1"/>
  <c r="EH71" i="24"/>
  <c r="EK71" i="24" s="1"/>
  <c r="EQ71" i="24" s="1"/>
  <c r="EI95" i="25"/>
  <c r="EO95" i="25" s="1"/>
  <c r="EI74" i="25"/>
  <c r="EO74" i="25" s="1"/>
  <c r="EP74" i="25" s="1"/>
  <c r="EI97" i="25"/>
  <c r="EO97" i="25" s="1"/>
  <c r="EP97" i="25" s="1"/>
  <c r="EI158" i="25"/>
  <c r="FC158" i="25" s="1"/>
  <c r="FE158" i="25" s="1"/>
  <c r="FF158" i="25" s="1"/>
  <c r="EI93" i="25"/>
  <c r="EO93" i="25" s="1"/>
  <c r="EP93" i="25" s="1"/>
  <c r="FB131" i="25"/>
  <c r="EI131" i="25"/>
  <c r="EP131" i="25" s="1"/>
  <c r="EZ99" i="25"/>
  <c r="FB99" i="25" s="1"/>
  <c r="FC182" i="25"/>
  <c r="FE182" i="25" s="1"/>
  <c r="FF182" i="25" s="1"/>
  <c r="EC172" i="24"/>
  <c r="ED172" i="24" s="1"/>
  <c r="CG172" i="24"/>
  <c r="EZ58" i="25"/>
  <c r="FB58" i="25" s="1"/>
  <c r="EH172" i="24"/>
  <c r="EW172" i="24" s="1"/>
  <c r="EI71" i="24"/>
  <c r="EX71" i="24" s="1"/>
  <c r="EZ74" i="25"/>
  <c r="FB74" i="25" s="1"/>
  <c r="EC71" i="24"/>
  <c r="ED71" i="24" s="1"/>
  <c r="EZ93" i="25"/>
  <c r="FB93" i="25" s="1"/>
  <c r="EI173" i="25"/>
  <c r="EP173" i="25" s="1"/>
  <c r="EI137" i="25"/>
  <c r="FC137" i="25" s="1"/>
  <c r="FE137" i="25" s="1"/>
  <c r="FF137" i="25" s="1"/>
  <c r="EV42" i="25"/>
  <c r="EZ42" i="25" s="1"/>
  <c r="FB42" i="25" s="1"/>
  <c r="EI192" i="24"/>
  <c r="EX192" i="24" s="1"/>
  <c r="CG275" i="24"/>
  <c r="CG265" i="24"/>
  <c r="I216" i="24"/>
  <c r="EC192" i="24"/>
  <c r="ED192" i="24" s="1"/>
  <c r="CG240" i="24"/>
  <c r="CG14" i="24"/>
  <c r="CG29" i="24"/>
  <c r="CG252" i="24"/>
  <c r="EI104" i="24"/>
  <c r="EX104" i="24" s="1"/>
  <c r="EH192" i="24"/>
  <c r="EW192" i="24" s="1"/>
  <c r="EV56" i="25"/>
  <c r="EZ56" i="25" s="1"/>
  <c r="FB56" i="25" s="1"/>
  <c r="CG277" i="24"/>
  <c r="CG239" i="24"/>
  <c r="CG293" i="24"/>
  <c r="CG278" i="24"/>
  <c r="CG249" i="24"/>
  <c r="EH104" i="24"/>
  <c r="EK104" i="24" s="1"/>
  <c r="EQ104" i="24" s="1"/>
  <c r="CG297" i="24"/>
  <c r="EZ73" i="25"/>
  <c r="FB73" i="25" s="1"/>
  <c r="EH90" i="24"/>
  <c r="EC90" i="24"/>
  <c r="ED90" i="24" s="1"/>
  <c r="EI90" i="24"/>
  <c r="EX90" i="24" s="1"/>
  <c r="CG251" i="24"/>
  <c r="CG290" i="24"/>
  <c r="CG232" i="24"/>
  <c r="CG222" i="24"/>
  <c r="CG272" i="24"/>
  <c r="CG40" i="24"/>
  <c r="CG62" i="24"/>
  <c r="CG254" i="24"/>
  <c r="CG260" i="24"/>
  <c r="CG219" i="24"/>
  <c r="CG269" i="24"/>
  <c r="CG231" i="24"/>
  <c r="CG223" i="24"/>
  <c r="CG314" i="24"/>
  <c r="CG83" i="24"/>
  <c r="CG264" i="24"/>
  <c r="CG292" i="24"/>
  <c r="CG263" i="24"/>
  <c r="CG281" i="24"/>
  <c r="CG77" i="24"/>
  <c r="CG273" i="24"/>
  <c r="CG271" i="24"/>
  <c r="CG230" i="24"/>
  <c r="CG258" i="24"/>
  <c r="CG234" i="24"/>
  <c r="CG298" i="24"/>
  <c r="CG283" i="24"/>
  <c r="CG142" i="24"/>
  <c r="CG227" i="24"/>
  <c r="CG228" i="24"/>
  <c r="CG287" i="24"/>
  <c r="CG279" i="24"/>
  <c r="CG303" i="24"/>
  <c r="CG315" i="24"/>
  <c r="CG246" i="24"/>
  <c r="CG244" i="24"/>
  <c r="CG304" i="24"/>
  <c r="CG256" i="24"/>
  <c r="CG81" i="24"/>
  <c r="CG253" i="24"/>
  <c r="CG312" i="24"/>
  <c r="CG274" i="24"/>
  <c r="CG309" i="24"/>
  <c r="CG276" i="24"/>
  <c r="CG313" i="24"/>
  <c r="CG316" i="24"/>
  <c r="CG302" i="24"/>
  <c r="EI142" i="24"/>
  <c r="EX142" i="24" s="1"/>
  <c r="EC136" i="24"/>
  <c r="ED136" i="24" s="1"/>
  <c r="CG301" i="24"/>
  <c r="CG307" i="24"/>
  <c r="CG218" i="24"/>
  <c r="CG257" i="24"/>
  <c r="CG295" i="24"/>
  <c r="CG268" i="24"/>
  <c r="CG294" i="24"/>
  <c r="CG220" i="24"/>
  <c r="CG308" i="24"/>
  <c r="CG289" i="24"/>
  <c r="CG267" i="24"/>
  <c r="CG224" i="24"/>
  <c r="CG262" i="24"/>
  <c r="CG235" i="24"/>
  <c r="CG259" i="24"/>
  <c r="CG221" i="24"/>
  <c r="EH40" i="24"/>
  <c r="EW40" i="24" s="1"/>
  <c r="EC142" i="24"/>
  <c r="ED142" i="24" s="1"/>
  <c r="EV156" i="25"/>
  <c r="FB156" i="25" s="1"/>
  <c r="CG229" i="24"/>
  <c r="CG136" i="24"/>
  <c r="CG238" i="24"/>
  <c r="CG241" i="24"/>
  <c r="CG261" i="24"/>
  <c r="CG236" i="24"/>
  <c r="CG255" i="24"/>
  <c r="CG226" i="24"/>
  <c r="CG282" i="24"/>
  <c r="CG233" i="24"/>
  <c r="CG280" i="24"/>
  <c r="CG310" i="24"/>
  <c r="CG306" i="24"/>
  <c r="CG300" i="24"/>
  <c r="CG225" i="24"/>
  <c r="CG250" i="24"/>
  <c r="CG43" i="24"/>
  <c r="EH136" i="24"/>
  <c r="EK136" i="24" s="1"/>
  <c r="EI73" i="25"/>
  <c r="EO73" i="25" s="1"/>
  <c r="EP73" i="25" s="1"/>
  <c r="CG134" i="24"/>
  <c r="CG247" i="24"/>
  <c r="CG296" i="24"/>
  <c r="CG311" i="24"/>
  <c r="CG286" i="24"/>
  <c r="CG217" i="24"/>
  <c r="CG237" i="24"/>
  <c r="CG270" i="24"/>
  <c r="CG305" i="24"/>
  <c r="CG291" i="24"/>
  <c r="CG23" i="24"/>
  <c r="CG288" i="24"/>
  <c r="CG248" i="24"/>
  <c r="CG284" i="24"/>
  <c r="CG299" i="24"/>
  <c r="CG159" i="24"/>
  <c r="CG266" i="24"/>
  <c r="CG245" i="24"/>
  <c r="CG67" i="24"/>
  <c r="EZ77" i="25"/>
  <c r="FB77" i="25" s="1"/>
  <c r="EI25" i="25"/>
  <c r="EO25" i="25" s="1"/>
  <c r="EP25" i="25" s="1"/>
  <c r="EZ37" i="25"/>
  <c r="FB37" i="25" s="1"/>
  <c r="EI40" i="24"/>
  <c r="EX40" i="24" s="1"/>
  <c r="EI48" i="24"/>
  <c r="EX48" i="24" s="1"/>
  <c r="EC83" i="24"/>
  <c r="ED83" i="24" s="1"/>
  <c r="EI129" i="25"/>
  <c r="EP129" i="25" s="1"/>
  <c r="EI186" i="24"/>
  <c r="EX186" i="24" s="1"/>
  <c r="EC48" i="24"/>
  <c r="ED48" i="24" s="1"/>
  <c r="EI34" i="25"/>
  <c r="EO34" i="25" s="1"/>
  <c r="EP34" i="25" s="1"/>
  <c r="EC43" i="24"/>
  <c r="ED43" i="24" s="1"/>
  <c r="EH186" i="24"/>
  <c r="EK186" i="24" s="1"/>
  <c r="EH43" i="24"/>
  <c r="EW43" i="24" s="1"/>
  <c r="EC186" i="24"/>
  <c r="ED186" i="24" s="1"/>
  <c r="EI9" i="25"/>
  <c r="EO9" i="25" s="1"/>
  <c r="EP9" i="25" s="1"/>
  <c r="EH170" i="24"/>
  <c r="EW170" i="24" s="1"/>
  <c r="EH99" i="24"/>
  <c r="EW99" i="24" s="1"/>
  <c r="EH55" i="24"/>
  <c r="EW55" i="24" s="1"/>
  <c r="EI170" i="24"/>
  <c r="EX170" i="24" s="1"/>
  <c r="EC55" i="24"/>
  <c r="ED55" i="24" s="1"/>
  <c r="EC170" i="24"/>
  <c r="ED170" i="24" s="1"/>
  <c r="EZ83" i="25"/>
  <c r="FB83" i="25" s="1"/>
  <c r="EH23" i="24"/>
  <c r="EW23" i="24" s="1"/>
  <c r="EH124" i="24"/>
  <c r="EK124" i="24" s="1"/>
  <c r="EI14" i="24"/>
  <c r="EX14" i="24" s="1"/>
  <c r="EC67" i="24"/>
  <c r="ED67" i="24" s="1"/>
  <c r="EI83" i="25"/>
  <c r="EO83" i="25" s="1"/>
  <c r="EP83" i="25" s="1"/>
  <c r="EC99" i="24"/>
  <c r="ED99" i="24" s="1"/>
  <c r="EH14" i="24"/>
  <c r="EW14" i="24" s="1"/>
  <c r="EI67" i="24"/>
  <c r="EX67" i="24" s="1"/>
  <c r="EC124" i="24"/>
  <c r="ED124" i="24" s="1"/>
  <c r="EI99" i="24"/>
  <c r="EX99" i="24" s="1"/>
  <c r="EI23" i="24"/>
  <c r="EX23" i="24" s="1"/>
  <c r="EC14" i="24"/>
  <c r="ED14" i="24" s="1"/>
  <c r="EI124" i="24"/>
  <c r="EX124" i="24" s="1"/>
  <c r="EI81" i="25"/>
  <c r="EO81" i="25" s="1"/>
  <c r="EP81" i="25" s="1"/>
  <c r="EV169" i="25"/>
  <c r="FC169" i="25" s="1"/>
  <c r="FE169" i="25" s="1"/>
  <c r="FF169" i="25" s="1"/>
  <c r="EI199" i="25"/>
  <c r="FC199" i="25" s="1"/>
  <c r="FE199" i="25" s="1"/>
  <c r="FF199" i="25" s="1"/>
  <c r="EI178" i="25"/>
  <c r="EP178" i="25" s="1"/>
  <c r="FB199" i="25"/>
  <c r="EV194" i="25"/>
  <c r="FB194" i="25" s="1"/>
  <c r="EI141" i="25"/>
  <c r="FC141" i="25" s="1"/>
  <c r="FE141" i="25" s="1"/>
  <c r="FF141" i="25" s="1"/>
  <c r="EV171" i="25"/>
  <c r="FB171" i="25" s="1"/>
  <c r="ER5" i="24"/>
  <c r="FC5" i="24"/>
  <c r="FE5" i="24" s="1"/>
  <c r="FF5" i="24" s="1"/>
  <c r="U110" i="24"/>
  <c r="N110" i="24"/>
  <c r="ER110" i="24"/>
  <c r="FC110" i="24"/>
  <c r="FE110" i="24" s="1"/>
  <c r="FF110" i="24" s="1"/>
  <c r="FB178" i="25"/>
  <c r="FB141" i="25"/>
  <c r="FB137" i="25"/>
  <c r="EC159" i="24"/>
  <c r="ED159" i="24" s="1"/>
  <c r="EI159" i="24"/>
  <c r="EX159" i="24" s="1"/>
  <c r="EI152" i="24"/>
  <c r="EX152" i="24" s="1"/>
  <c r="EC81" i="24"/>
  <c r="ED81" i="24" s="1"/>
  <c r="EC29" i="24"/>
  <c r="ED29" i="24" s="1"/>
  <c r="EC152" i="24"/>
  <c r="ED152" i="24" s="1"/>
  <c r="EZ81" i="25"/>
  <c r="FB81" i="25" s="1"/>
  <c r="EC199" i="24"/>
  <c r="ED199" i="24" s="1"/>
  <c r="EH199" i="24"/>
  <c r="EK199" i="24" s="1"/>
  <c r="EH147" i="24"/>
  <c r="EK147" i="24" s="1"/>
  <c r="EH81" i="24"/>
  <c r="EW81" i="24" s="1"/>
  <c r="EI147" i="24"/>
  <c r="EX147" i="24" s="1"/>
  <c r="EI199" i="24"/>
  <c r="EX199" i="24" s="1"/>
  <c r="EC147" i="24"/>
  <c r="ED147" i="24" s="1"/>
  <c r="FB173" i="25"/>
  <c r="FB129" i="25"/>
  <c r="EC201" i="24"/>
  <c r="ED201" i="24" s="1"/>
  <c r="FB180" i="25"/>
  <c r="EH134" i="24"/>
  <c r="EK134" i="24" s="1"/>
  <c r="EI49" i="25"/>
  <c r="EO49" i="25" s="1"/>
  <c r="EP49" i="25" s="1"/>
  <c r="EI180" i="25"/>
  <c r="FC180" i="25" s="1"/>
  <c r="FE180" i="25" s="1"/>
  <c r="FF180" i="25" s="1"/>
  <c r="EI87" i="25"/>
  <c r="EO87" i="25" s="1"/>
  <c r="EP87" i="25" s="1"/>
  <c r="EI77" i="24"/>
  <c r="EX77" i="24" s="1"/>
  <c r="EZ9" i="25"/>
  <c r="FB9" i="25" s="1"/>
  <c r="EC77" i="24"/>
  <c r="ED77" i="24" s="1"/>
  <c r="EH13" i="24"/>
  <c r="EK13" i="24" s="1"/>
  <c r="EQ13" i="24" s="1"/>
  <c r="EC13" i="24"/>
  <c r="ED13" i="24" s="1"/>
  <c r="EI13" i="24"/>
  <c r="EX13" i="24" s="1"/>
  <c r="EZ49" i="25"/>
  <c r="FB49" i="25" s="1"/>
  <c r="EZ23" i="25"/>
  <c r="FB23" i="25" s="1"/>
  <c r="EZ25" i="25"/>
  <c r="FB25" i="25" s="1"/>
  <c r="FB111" i="25"/>
  <c r="EI23" i="25"/>
  <c r="EO23" i="25" s="1"/>
  <c r="EP23" i="25" s="1"/>
  <c r="EI111" i="25"/>
  <c r="EP111" i="25" s="1"/>
  <c r="EZ87" i="25"/>
  <c r="FB87" i="25" s="1"/>
  <c r="EZ34" i="25"/>
  <c r="FB34" i="25" s="1"/>
  <c r="EH201" i="24"/>
  <c r="EK201" i="24" s="1"/>
  <c r="EH62" i="24"/>
  <c r="EW62" i="24" s="1"/>
  <c r="EP185" i="25"/>
  <c r="EV70" i="25"/>
  <c r="EZ70" i="25" s="1"/>
  <c r="FB70" i="25" s="1"/>
  <c r="EI70" i="25"/>
  <c r="EO70" i="25" s="1"/>
  <c r="EV48" i="25"/>
  <c r="EZ48" i="25" s="1"/>
  <c r="FB48" i="25" s="1"/>
  <c r="EI48" i="25"/>
  <c r="EO48" i="25" s="1"/>
  <c r="EV200" i="25"/>
  <c r="FB200" i="25" s="1"/>
  <c r="EI200" i="25"/>
  <c r="EV53" i="25"/>
  <c r="EZ53" i="25" s="1"/>
  <c r="FB53" i="25" s="1"/>
  <c r="EI53" i="25"/>
  <c r="EO53" i="25" s="1"/>
  <c r="EV204" i="25"/>
  <c r="FB204" i="25" s="1"/>
  <c r="EI204" i="25"/>
  <c r="EV22" i="25"/>
  <c r="EZ22" i="25" s="1"/>
  <c r="FB22" i="25" s="1"/>
  <c r="EI22" i="25"/>
  <c r="EO22" i="25" s="1"/>
  <c r="EV157" i="25"/>
  <c r="FB157" i="25" s="1"/>
  <c r="EI157" i="25"/>
  <c r="EV165" i="25"/>
  <c r="FB165" i="25" s="1"/>
  <c r="EI165" i="25"/>
  <c r="EV190" i="25"/>
  <c r="FB190" i="25" s="1"/>
  <c r="EI190" i="25"/>
  <c r="EV142" i="25"/>
  <c r="FB142" i="25" s="1"/>
  <c r="EI142" i="25"/>
  <c r="EV116" i="25"/>
  <c r="FB116" i="25" s="1"/>
  <c r="EI116" i="25"/>
  <c r="EV14" i="25"/>
  <c r="EZ14" i="25" s="1"/>
  <c r="FB14" i="25" s="1"/>
  <c r="EI14" i="25"/>
  <c r="EO14" i="25" s="1"/>
  <c r="EV28" i="25"/>
  <c r="EZ28" i="25" s="1"/>
  <c r="FB28" i="25" s="1"/>
  <c r="EI28" i="25"/>
  <c r="EO28" i="25" s="1"/>
  <c r="EV79" i="25"/>
  <c r="EZ79" i="25" s="1"/>
  <c r="FB79" i="25" s="1"/>
  <c r="EI79" i="25"/>
  <c r="EO79" i="25" s="1"/>
  <c r="EP156" i="25"/>
  <c r="EV159" i="25"/>
  <c r="FB159" i="25" s="1"/>
  <c r="EI159" i="25"/>
  <c r="EV149" i="25"/>
  <c r="FB149" i="25" s="1"/>
  <c r="EI149" i="25"/>
  <c r="EV12" i="25"/>
  <c r="EZ12" i="25" s="1"/>
  <c r="FB12" i="25" s="1"/>
  <c r="EI12" i="25"/>
  <c r="EO12" i="25" s="1"/>
  <c r="EV146" i="25"/>
  <c r="FB146" i="25" s="1"/>
  <c r="EI146" i="25"/>
  <c r="EI62" i="24"/>
  <c r="EX62" i="24" s="1"/>
  <c r="EV65" i="25"/>
  <c r="EZ65" i="25" s="1"/>
  <c r="FB65" i="25" s="1"/>
  <c r="EI65" i="25"/>
  <c r="EO65" i="25" s="1"/>
  <c r="EV139" i="25"/>
  <c r="FB139" i="25" s="1"/>
  <c r="EI139" i="25"/>
  <c r="EV201" i="25"/>
  <c r="FB201" i="25" s="1"/>
  <c r="EI201" i="25"/>
  <c r="EV153" i="25"/>
  <c r="FB153" i="25" s="1"/>
  <c r="EI153" i="25"/>
  <c r="EV122" i="25"/>
  <c r="FB122" i="25" s="1"/>
  <c r="EI122" i="25"/>
  <c r="EV206" i="25"/>
  <c r="FB206" i="25" s="1"/>
  <c r="EI206" i="25"/>
  <c r="EV114" i="25"/>
  <c r="FB114" i="25" s="1"/>
  <c r="EI114" i="25"/>
  <c r="EV92" i="25"/>
  <c r="EZ92" i="25" s="1"/>
  <c r="FB92" i="25" s="1"/>
  <c r="EI92" i="25"/>
  <c r="EO92" i="25" s="1"/>
  <c r="EV29" i="25"/>
  <c r="EZ29" i="25" s="1"/>
  <c r="FB29" i="25" s="1"/>
  <c r="EI29" i="25"/>
  <c r="EO29" i="25" s="1"/>
  <c r="EV7" i="25"/>
  <c r="EZ7" i="25" s="1"/>
  <c r="FB7" i="25" s="1"/>
  <c r="EI7" i="25"/>
  <c r="EO7" i="25" s="1"/>
  <c r="EV15" i="25"/>
  <c r="EZ15" i="25" s="1"/>
  <c r="FB15" i="25" s="1"/>
  <c r="EI15" i="25"/>
  <c r="EO15" i="25" s="1"/>
  <c r="EP169" i="25"/>
  <c r="EV133" i="25"/>
  <c r="FB133" i="25" s="1"/>
  <c r="EI133" i="25"/>
  <c r="EV11" i="25"/>
  <c r="EZ11" i="25" s="1"/>
  <c r="FB11" i="25" s="1"/>
  <c r="EI11" i="25"/>
  <c r="EO11" i="25" s="1"/>
  <c r="EV186" i="25"/>
  <c r="FB186" i="25" s="1"/>
  <c r="EI186" i="25"/>
  <c r="EP145" i="25"/>
  <c r="FC181" i="25"/>
  <c r="FE181" i="25" s="1"/>
  <c r="FF181" i="25" s="1"/>
  <c r="EP181" i="25"/>
  <c r="EV123" i="25"/>
  <c r="FB123" i="25" s="1"/>
  <c r="EI123" i="25"/>
  <c r="EV162" i="25"/>
  <c r="FB162" i="25" s="1"/>
  <c r="EI162" i="25"/>
  <c r="EV209" i="25"/>
  <c r="FB209" i="25" s="1"/>
  <c r="EI209" i="25"/>
  <c r="EV144" i="25"/>
  <c r="FB144" i="25" s="1"/>
  <c r="EI144" i="25"/>
  <c r="EV115" i="25"/>
  <c r="FB115" i="25" s="1"/>
  <c r="EI115" i="25"/>
  <c r="EV86" i="25"/>
  <c r="EZ86" i="25" s="1"/>
  <c r="FB86" i="25" s="1"/>
  <c r="EI86" i="25"/>
  <c r="EO86" i="25" s="1"/>
  <c r="EV118" i="25"/>
  <c r="FB118" i="25" s="1"/>
  <c r="EI118" i="25"/>
  <c r="EV20" i="25"/>
  <c r="EZ20" i="25" s="1"/>
  <c r="FB20" i="25" s="1"/>
  <c r="EI20" i="25"/>
  <c r="EO20" i="25" s="1"/>
  <c r="EV80" i="25"/>
  <c r="EZ80" i="25" s="1"/>
  <c r="FB80" i="25" s="1"/>
  <c r="EI80" i="25"/>
  <c r="EO80" i="25" s="1"/>
  <c r="EV32" i="25"/>
  <c r="EZ32" i="25" s="1"/>
  <c r="FB32" i="25" s="1"/>
  <c r="EI32" i="25"/>
  <c r="EO32" i="25" s="1"/>
  <c r="EV192" i="25"/>
  <c r="FB192" i="25" s="1"/>
  <c r="EI192" i="25"/>
  <c r="EV148" i="25"/>
  <c r="FB148" i="25" s="1"/>
  <c r="EI148" i="25"/>
  <c r="EV68" i="25"/>
  <c r="EZ68" i="25" s="1"/>
  <c r="FB68" i="25" s="1"/>
  <c r="EI68" i="25"/>
  <c r="EO68" i="25" s="1"/>
  <c r="EV113" i="25"/>
  <c r="FB113" i="25" s="1"/>
  <c r="EI113" i="25"/>
  <c r="EV45" i="25"/>
  <c r="EZ45" i="25" s="1"/>
  <c r="FB45" i="25" s="1"/>
  <c r="EI45" i="25"/>
  <c r="EO45" i="25" s="1"/>
  <c r="EP164" i="25"/>
  <c r="EV170" i="25"/>
  <c r="FB170" i="25" s="1"/>
  <c r="EI170" i="25"/>
  <c r="EV71" i="25"/>
  <c r="EZ71" i="25" s="1"/>
  <c r="FB71" i="25" s="1"/>
  <c r="EI71" i="25"/>
  <c r="EO71" i="25" s="1"/>
  <c r="EV50" i="25"/>
  <c r="EZ50" i="25" s="1"/>
  <c r="FB50" i="25" s="1"/>
  <c r="EI50" i="25"/>
  <c r="EO50" i="25" s="1"/>
  <c r="EV121" i="25"/>
  <c r="FB121" i="25" s="1"/>
  <c r="EI121" i="25"/>
  <c r="EV26" i="25"/>
  <c r="EZ26" i="25" s="1"/>
  <c r="FB26" i="25" s="1"/>
  <c r="EI26" i="25"/>
  <c r="EO26" i="25" s="1"/>
  <c r="EV208" i="25"/>
  <c r="FB208" i="25" s="1"/>
  <c r="EI208" i="25"/>
  <c r="EV41" i="25"/>
  <c r="EZ41" i="25" s="1"/>
  <c r="FB41" i="25" s="1"/>
  <c r="EI41" i="25"/>
  <c r="EO41" i="25" s="1"/>
  <c r="EV150" i="25"/>
  <c r="FB150" i="25" s="1"/>
  <c r="EI150" i="25"/>
  <c r="EV6" i="25"/>
  <c r="EZ6" i="25" s="1"/>
  <c r="FB6" i="25" s="1"/>
  <c r="EI6" i="25"/>
  <c r="EO6" i="25" s="1"/>
  <c r="EV188" i="25"/>
  <c r="FB188" i="25" s="1"/>
  <c r="EI188" i="25"/>
  <c r="EV177" i="25"/>
  <c r="FB177" i="25" s="1"/>
  <c r="EI177" i="25"/>
  <c r="EP90" i="25"/>
  <c r="EV154" i="25"/>
  <c r="FB154" i="25" s="1"/>
  <c r="EI154" i="25"/>
  <c r="EV44" i="25"/>
  <c r="EZ44" i="25" s="1"/>
  <c r="FB44" i="25" s="1"/>
  <c r="EI44" i="25"/>
  <c r="EO44" i="25" s="1"/>
  <c r="EV38" i="25"/>
  <c r="EZ38" i="25" s="1"/>
  <c r="FB38" i="25" s="1"/>
  <c r="EI38" i="25"/>
  <c r="EO38" i="25" s="1"/>
  <c r="EV172" i="25"/>
  <c r="FB172" i="25" s="1"/>
  <c r="EI172" i="25"/>
  <c r="EV60" i="25"/>
  <c r="EZ60" i="25" s="1"/>
  <c r="FB60" i="25" s="1"/>
  <c r="EI60" i="25"/>
  <c r="EO60" i="25" s="1"/>
  <c r="EV100" i="25"/>
  <c r="EZ100" i="25" s="1"/>
  <c r="FB100" i="25" s="1"/>
  <c r="EI100" i="25"/>
  <c r="EO100" i="25" s="1"/>
  <c r="EV98" i="25"/>
  <c r="EZ98" i="25" s="1"/>
  <c r="FB98" i="25" s="1"/>
  <c r="EI98" i="25"/>
  <c r="EO98" i="25" s="1"/>
  <c r="EV184" i="25"/>
  <c r="FB184" i="25" s="1"/>
  <c r="EI184" i="25"/>
  <c r="EV134" i="25"/>
  <c r="FB134" i="25" s="1"/>
  <c r="EI134" i="25"/>
  <c r="EV76" i="25"/>
  <c r="EZ76" i="25" s="1"/>
  <c r="FB76" i="25" s="1"/>
  <c r="EI76" i="25"/>
  <c r="EO76" i="25" s="1"/>
  <c r="EP136" i="25"/>
  <c r="EV126" i="25"/>
  <c r="FB126" i="25" s="1"/>
  <c r="EI126" i="25"/>
  <c r="FC143" i="25"/>
  <c r="FE143" i="25" s="1"/>
  <c r="FF143" i="25" s="1"/>
  <c r="EP143" i="25"/>
  <c r="EV24" i="25"/>
  <c r="EZ24" i="25" s="1"/>
  <c r="FB24" i="25" s="1"/>
  <c r="EI24" i="25"/>
  <c r="EO24" i="25" s="1"/>
  <c r="EV195" i="25"/>
  <c r="FB195" i="25" s="1"/>
  <c r="EI195" i="25"/>
  <c r="EV175" i="25"/>
  <c r="FB175" i="25" s="1"/>
  <c r="EI175" i="25"/>
  <c r="EV43" i="25"/>
  <c r="EZ43" i="25" s="1"/>
  <c r="FB43" i="25" s="1"/>
  <c r="EI43" i="25"/>
  <c r="EO43" i="25" s="1"/>
  <c r="EV104" i="25"/>
  <c r="EZ104" i="25" s="1"/>
  <c r="FB104" i="25" s="1"/>
  <c r="EI104" i="25"/>
  <c r="EO104" i="25" s="1"/>
  <c r="EV120" i="25"/>
  <c r="FB120" i="25" s="1"/>
  <c r="EI120" i="25"/>
  <c r="EV119" i="25"/>
  <c r="FB119" i="25" s="1"/>
  <c r="EI119" i="25"/>
  <c r="EP194" i="25"/>
  <c r="EV59" i="25"/>
  <c r="EZ59" i="25" s="1"/>
  <c r="FB59" i="25" s="1"/>
  <c r="EI59" i="25"/>
  <c r="EO59" i="25" s="1"/>
  <c r="EV160" i="25"/>
  <c r="FB160" i="25" s="1"/>
  <c r="EI160" i="25"/>
  <c r="EV102" i="25"/>
  <c r="EZ102" i="25" s="1"/>
  <c r="FB102" i="25" s="1"/>
  <c r="EI102" i="25"/>
  <c r="EO102" i="25" s="1"/>
  <c r="EP171" i="25"/>
  <c r="EV52" i="25"/>
  <c r="EZ52" i="25" s="1"/>
  <c r="FB52" i="25" s="1"/>
  <c r="EI52" i="25"/>
  <c r="EO52" i="25" s="1"/>
  <c r="EV117" i="25"/>
  <c r="FB117" i="25" s="1"/>
  <c r="EI117" i="25"/>
  <c r="EV210" i="25"/>
  <c r="FB210" i="25" s="1"/>
  <c r="EI210" i="25"/>
  <c r="EV193" i="25"/>
  <c r="FB193" i="25" s="1"/>
  <c r="EI193" i="25"/>
  <c r="EV205" i="25"/>
  <c r="FB205" i="25" s="1"/>
  <c r="EI205" i="25"/>
  <c r="EV19" i="25"/>
  <c r="EZ19" i="25" s="1"/>
  <c r="FB19" i="25" s="1"/>
  <c r="EI19" i="25"/>
  <c r="EO19" i="25" s="1"/>
  <c r="EV13" i="25"/>
  <c r="EZ13" i="25" s="1"/>
  <c r="FB13" i="25" s="1"/>
  <c r="EI13" i="25"/>
  <c r="EO13" i="25" s="1"/>
  <c r="EV40" i="25"/>
  <c r="EZ40" i="25" s="1"/>
  <c r="FB40" i="25" s="1"/>
  <c r="EI40" i="25"/>
  <c r="EO40" i="25" s="1"/>
  <c r="EP56" i="25"/>
  <c r="EV78" i="25"/>
  <c r="EZ78" i="25" s="1"/>
  <c r="FB78" i="25" s="1"/>
  <c r="EI78" i="25"/>
  <c r="EO78" i="25" s="1"/>
  <c r="EP138" i="25"/>
  <c r="FC138" i="25"/>
  <c r="FE138" i="25" s="1"/>
  <c r="FF138" i="25" s="1"/>
  <c r="EV140" i="25"/>
  <c r="FB140" i="25" s="1"/>
  <c r="EI140" i="25"/>
  <c r="EV66" i="25"/>
  <c r="EZ66" i="25" s="1"/>
  <c r="FB66" i="25" s="1"/>
  <c r="EI66" i="25"/>
  <c r="EO66" i="25" s="1"/>
  <c r="EV125" i="25"/>
  <c r="FB125" i="25" s="1"/>
  <c r="EI125" i="25"/>
  <c r="EV18" i="25"/>
  <c r="EZ18" i="25" s="1"/>
  <c r="FB18" i="25" s="1"/>
  <c r="EI18" i="25"/>
  <c r="EO18" i="25" s="1"/>
  <c r="EV174" i="25"/>
  <c r="FB174" i="25" s="1"/>
  <c r="EI174" i="25"/>
  <c r="EV54" i="25"/>
  <c r="EZ54" i="25" s="1"/>
  <c r="FB54" i="25" s="1"/>
  <c r="EI54" i="25"/>
  <c r="EO54" i="25" s="1"/>
  <c r="EV61" i="25"/>
  <c r="EZ61" i="25" s="1"/>
  <c r="FB61" i="25" s="1"/>
  <c r="EI61" i="25"/>
  <c r="EO61" i="25" s="1"/>
  <c r="EV197" i="25"/>
  <c r="FB197" i="25" s="1"/>
  <c r="EI197" i="25"/>
  <c r="EV132" i="25"/>
  <c r="FB132" i="25" s="1"/>
  <c r="EI132" i="25"/>
  <c r="EV91" i="25"/>
  <c r="EZ91" i="25" s="1"/>
  <c r="FB91" i="25" s="1"/>
  <c r="EI91" i="25"/>
  <c r="EO91" i="25" s="1"/>
  <c r="EV179" i="25"/>
  <c r="FB179" i="25" s="1"/>
  <c r="EI179" i="25"/>
  <c r="EV39" i="25"/>
  <c r="EZ39" i="25" s="1"/>
  <c r="FB39" i="25" s="1"/>
  <c r="EI39" i="25"/>
  <c r="EO39" i="25" s="1"/>
  <c r="EV30" i="25"/>
  <c r="EZ30" i="25" s="1"/>
  <c r="FB30" i="25" s="1"/>
  <c r="EI30" i="25"/>
  <c r="EO30" i="25" s="1"/>
  <c r="EV35" i="25"/>
  <c r="EZ35" i="25" s="1"/>
  <c r="FB35" i="25" s="1"/>
  <c r="EI35" i="25"/>
  <c r="EO35" i="25" s="1"/>
  <c r="EV75" i="25"/>
  <c r="EZ75" i="25" s="1"/>
  <c r="FB75" i="25" s="1"/>
  <c r="EI75" i="25"/>
  <c r="EO75" i="25" s="1"/>
  <c r="EV124" i="25"/>
  <c r="FB124" i="25" s="1"/>
  <c r="EI124" i="25"/>
  <c r="EV82" i="25"/>
  <c r="EZ82" i="25" s="1"/>
  <c r="FB82" i="25" s="1"/>
  <c r="EI82" i="25"/>
  <c r="EO82" i="25" s="1"/>
  <c r="EV8" i="25"/>
  <c r="EZ8" i="25" s="1"/>
  <c r="FB8" i="25" s="1"/>
  <c r="EI8" i="25"/>
  <c r="EO8" i="25" s="1"/>
  <c r="EV110" i="25"/>
  <c r="FB110" i="25" s="1"/>
  <c r="EI110" i="25"/>
  <c r="EV63" i="25"/>
  <c r="EZ63" i="25" s="1"/>
  <c r="FB63" i="25" s="1"/>
  <c r="EI63" i="25"/>
  <c r="EO63" i="25" s="1"/>
  <c r="EV163" i="25"/>
  <c r="FB163" i="25" s="1"/>
  <c r="EI163" i="25"/>
  <c r="EV161" i="25"/>
  <c r="FB161" i="25" s="1"/>
  <c r="EI161" i="25"/>
  <c r="EV187" i="25"/>
  <c r="FB187" i="25" s="1"/>
  <c r="EI187" i="25"/>
  <c r="EV94" i="25"/>
  <c r="EZ94" i="25" s="1"/>
  <c r="FB94" i="25" s="1"/>
  <c r="EI94" i="25"/>
  <c r="EO94" i="25" s="1"/>
  <c r="EV127" i="25"/>
  <c r="FB127" i="25" s="1"/>
  <c r="EI127" i="25"/>
  <c r="EV67" i="25"/>
  <c r="EZ67" i="25" s="1"/>
  <c r="FB67" i="25" s="1"/>
  <c r="EI67" i="25"/>
  <c r="EO67" i="25" s="1"/>
  <c r="EV130" i="25"/>
  <c r="FB130" i="25" s="1"/>
  <c r="EI130" i="25"/>
  <c r="EV167" i="25"/>
  <c r="FB167" i="25" s="1"/>
  <c r="EI167" i="25"/>
  <c r="EV85" i="25"/>
  <c r="EZ85" i="25" s="1"/>
  <c r="FB85" i="25" s="1"/>
  <c r="EI85" i="25"/>
  <c r="EO85" i="25" s="1"/>
  <c r="EV152" i="25"/>
  <c r="FB152" i="25" s="1"/>
  <c r="EI152" i="25"/>
  <c r="EV88" i="25"/>
  <c r="EZ88" i="25" s="1"/>
  <c r="FB88" i="25" s="1"/>
  <c r="EI88" i="25"/>
  <c r="EO88" i="25" s="1"/>
  <c r="EV202" i="25"/>
  <c r="FB202" i="25" s="1"/>
  <c r="EI202" i="25"/>
  <c r="EV155" i="25"/>
  <c r="FB155" i="25" s="1"/>
  <c r="EI155" i="25"/>
  <c r="EV46" i="25"/>
  <c r="EZ46" i="25" s="1"/>
  <c r="FB46" i="25" s="1"/>
  <c r="EI46" i="25"/>
  <c r="EO46" i="25" s="1"/>
  <c r="EV10" i="25"/>
  <c r="EZ10" i="25" s="1"/>
  <c r="FB10" i="25" s="1"/>
  <c r="EI10" i="25"/>
  <c r="EO10" i="25" s="1"/>
  <c r="EV105" i="25"/>
  <c r="EZ105" i="25" s="1"/>
  <c r="FB105" i="25" s="1"/>
  <c r="EI105" i="25"/>
  <c r="EO105" i="25" s="1"/>
  <c r="EV31" i="25"/>
  <c r="EZ31" i="25" s="1"/>
  <c r="FB31" i="25" s="1"/>
  <c r="EI31" i="25"/>
  <c r="EO31" i="25" s="1"/>
  <c r="EV189" i="25"/>
  <c r="FB189" i="25" s="1"/>
  <c r="EI189" i="25"/>
  <c r="EV176" i="25"/>
  <c r="FB176" i="25" s="1"/>
  <c r="EI176" i="25"/>
  <c r="EV151" i="25"/>
  <c r="FB151" i="25" s="1"/>
  <c r="EI151" i="25"/>
  <c r="EV55" i="25"/>
  <c r="EZ55" i="25" s="1"/>
  <c r="FB55" i="25" s="1"/>
  <c r="EI55" i="25"/>
  <c r="EO55" i="25" s="1"/>
  <c r="EV51" i="25"/>
  <c r="EZ51" i="25" s="1"/>
  <c r="FB51" i="25" s="1"/>
  <c r="EI51" i="25"/>
  <c r="EO51" i="25" s="1"/>
  <c r="EV62" i="25"/>
  <c r="EZ62" i="25" s="1"/>
  <c r="FB62" i="25" s="1"/>
  <c r="EI62" i="25"/>
  <c r="EO62" i="25" s="1"/>
  <c r="EV147" i="25"/>
  <c r="FB147" i="25" s="1"/>
  <c r="EI147" i="25"/>
  <c r="EV101" i="25"/>
  <c r="EZ101" i="25" s="1"/>
  <c r="FB101" i="25" s="1"/>
  <c r="EI101" i="25"/>
  <c r="EO101" i="25" s="1"/>
  <c r="EP42" i="25"/>
  <c r="EV198" i="25"/>
  <c r="FB198" i="25" s="1"/>
  <c r="EI198" i="25"/>
  <c r="EV72" i="25"/>
  <c r="EZ72" i="25" s="1"/>
  <c r="FB72" i="25" s="1"/>
  <c r="EI72" i="25"/>
  <c r="EO72" i="25" s="1"/>
  <c r="EV16" i="25"/>
  <c r="EZ16" i="25" s="1"/>
  <c r="FB16" i="25" s="1"/>
  <c r="EI16" i="25"/>
  <c r="EO16" i="25" s="1"/>
  <c r="EV168" i="25"/>
  <c r="FB168" i="25" s="1"/>
  <c r="EI168" i="25"/>
  <c r="EV36" i="25"/>
  <c r="EZ36" i="25" s="1"/>
  <c r="FB36" i="25" s="1"/>
  <c r="EI36" i="25"/>
  <c r="EO36" i="25" s="1"/>
  <c r="EV203" i="25"/>
  <c r="FB203" i="25" s="1"/>
  <c r="EI203" i="25"/>
  <c r="EV166" i="25"/>
  <c r="FB166" i="25" s="1"/>
  <c r="EI166" i="25"/>
  <c r="EV84" i="25"/>
  <c r="EZ84" i="25" s="1"/>
  <c r="FB84" i="25" s="1"/>
  <c r="EI84" i="25"/>
  <c r="EO84" i="25" s="1"/>
  <c r="EV135" i="25"/>
  <c r="FB135" i="25" s="1"/>
  <c r="EI135" i="25"/>
  <c r="EV57" i="25"/>
  <c r="EZ57" i="25" s="1"/>
  <c r="FB57" i="25" s="1"/>
  <c r="EI57" i="25"/>
  <c r="EO57" i="25" s="1"/>
  <c r="EV21" i="25"/>
  <c r="EZ21" i="25" s="1"/>
  <c r="FB21" i="25" s="1"/>
  <c r="EI21" i="25"/>
  <c r="EO21" i="25" s="1"/>
  <c r="EV191" i="25"/>
  <c r="FB191" i="25" s="1"/>
  <c r="EI191" i="25"/>
  <c r="EV27" i="25"/>
  <c r="EZ27" i="25" s="1"/>
  <c r="FB27" i="25" s="1"/>
  <c r="EI27" i="25"/>
  <c r="EO27" i="25" s="1"/>
  <c r="EV69" i="25"/>
  <c r="EZ69" i="25" s="1"/>
  <c r="FB69" i="25" s="1"/>
  <c r="EI69" i="25"/>
  <c r="EO69" i="25" s="1"/>
  <c r="EP17" i="25"/>
  <c r="EV207" i="25"/>
  <c r="FB207" i="25" s="1"/>
  <c r="EI207" i="25"/>
  <c r="EV196" i="25"/>
  <c r="FB196" i="25" s="1"/>
  <c r="EI196" i="25"/>
  <c r="EH10" i="24"/>
  <c r="EK10" i="24" s="1"/>
  <c r="EQ10" i="24" s="1"/>
  <c r="EI10" i="24"/>
  <c r="EX10" i="24" s="1"/>
  <c r="EC10" i="24"/>
  <c r="ED10" i="24" s="1"/>
  <c r="EI134" i="24"/>
  <c r="EX134" i="24" s="1"/>
  <c r="EC134" i="24"/>
  <c r="ED134" i="24" s="1"/>
  <c r="EH79" i="24"/>
  <c r="EC79" i="24"/>
  <c r="ED79" i="24" s="1"/>
  <c r="EI79" i="24"/>
  <c r="EX79" i="24" s="1"/>
  <c r="EI72" i="24"/>
  <c r="EX72" i="24" s="1"/>
  <c r="EH72" i="24"/>
  <c r="EC72" i="24"/>
  <c r="ED72" i="24" s="1"/>
  <c r="EH115" i="24"/>
  <c r="EC115" i="24"/>
  <c r="ED115" i="24" s="1"/>
  <c r="EI115" i="24"/>
  <c r="EX115" i="24" s="1"/>
  <c r="EC116" i="24"/>
  <c r="ED116" i="24" s="1"/>
  <c r="EH116" i="24"/>
  <c r="EI116" i="24"/>
  <c r="EX116" i="24" s="1"/>
  <c r="EC91" i="24"/>
  <c r="ED91" i="24" s="1"/>
  <c r="EI91" i="24"/>
  <c r="EX91" i="24" s="1"/>
  <c r="EH91" i="24"/>
  <c r="EC121" i="24"/>
  <c r="ED121" i="24" s="1"/>
  <c r="EI121" i="24"/>
  <c r="EX121" i="24" s="1"/>
  <c r="EH121" i="24"/>
  <c r="EH46" i="24"/>
  <c r="EC46" i="24"/>
  <c r="ED46" i="24" s="1"/>
  <c r="EI46" i="24"/>
  <c r="EX46" i="24" s="1"/>
  <c r="EI113" i="24"/>
  <c r="EX113" i="24" s="1"/>
  <c r="EH113" i="24"/>
  <c r="EC113" i="24"/>
  <c r="ED113" i="24" s="1"/>
  <c r="EI86" i="24"/>
  <c r="EX86" i="24" s="1"/>
  <c r="EC86" i="24"/>
  <c r="ED86" i="24" s="1"/>
  <c r="EH86" i="24"/>
  <c r="EC33" i="24"/>
  <c r="ED33" i="24" s="1"/>
  <c r="EI33" i="24"/>
  <c r="EX33" i="24" s="1"/>
  <c r="EH33" i="24"/>
  <c r="EI45" i="24"/>
  <c r="EX45" i="24" s="1"/>
  <c r="EH45" i="24"/>
  <c r="EC45" i="24"/>
  <c r="ED45" i="24" s="1"/>
  <c r="EH105" i="24"/>
  <c r="EI105" i="24"/>
  <c r="EX105" i="24" s="1"/>
  <c r="EC105" i="24"/>
  <c r="ED105" i="24" s="1"/>
  <c r="EH120" i="24"/>
  <c r="EI120" i="24"/>
  <c r="EX120" i="24" s="1"/>
  <c r="EC120" i="24"/>
  <c r="ED120" i="24" s="1"/>
  <c r="EI27" i="24"/>
  <c r="EX27" i="24" s="1"/>
  <c r="EC27" i="24"/>
  <c r="ED27" i="24" s="1"/>
  <c r="EH27" i="24"/>
  <c r="EH97" i="24"/>
  <c r="EI97" i="24"/>
  <c r="EX97" i="24" s="1"/>
  <c r="EC97" i="24"/>
  <c r="ED97" i="24" s="1"/>
  <c r="EH100" i="24"/>
  <c r="EC100" i="24"/>
  <c r="ED100" i="24" s="1"/>
  <c r="EI100" i="24"/>
  <c r="EX100" i="24" s="1"/>
  <c r="EH61" i="24"/>
  <c r="EC61" i="24"/>
  <c r="ED61" i="24" s="1"/>
  <c r="EI61" i="24"/>
  <c r="EX61" i="24" s="1"/>
  <c r="EH84" i="24"/>
  <c r="EC84" i="24"/>
  <c r="ED84" i="24" s="1"/>
  <c r="EI84" i="24"/>
  <c r="EX84" i="24" s="1"/>
  <c r="EC197" i="24"/>
  <c r="ED197" i="24" s="1"/>
  <c r="EI197" i="24"/>
  <c r="EX197" i="24" s="1"/>
  <c r="EH197" i="24"/>
  <c r="EC21" i="24"/>
  <c r="ED21" i="24" s="1"/>
  <c r="EH21" i="24"/>
  <c r="EI21" i="24"/>
  <c r="EX21" i="24" s="1"/>
  <c r="EI139" i="24"/>
  <c r="EX139" i="24" s="1"/>
  <c r="EC139" i="24"/>
  <c r="ED139" i="24" s="1"/>
  <c r="EH139" i="24"/>
  <c r="EC20" i="24"/>
  <c r="ED20" i="24" s="1"/>
  <c r="EI20" i="24"/>
  <c r="EX20" i="24" s="1"/>
  <c r="EH20" i="24"/>
  <c r="EH26" i="24"/>
  <c r="EC26" i="24"/>
  <c r="ED26" i="24" s="1"/>
  <c r="EI26" i="24"/>
  <c r="EX26" i="24" s="1"/>
  <c r="EI154" i="24"/>
  <c r="EX154" i="24" s="1"/>
  <c r="EH154" i="24"/>
  <c r="EC154" i="24"/>
  <c r="ED154" i="24" s="1"/>
  <c r="EC17" i="24"/>
  <c r="ED17" i="24" s="1"/>
  <c r="EI17" i="24"/>
  <c r="EX17" i="24" s="1"/>
  <c r="EH17" i="24"/>
  <c r="EI35" i="24"/>
  <c r="EX35" i="24" s="1"/>
  <c r="EH35" i="24"/>
  <c r="EC35" i="24"/>
  <c r="ED35" i="24" s="1"/>
  <c r="EI70" i="24"/>
  <c r="EX70" i="24" s="1"/>
  <c r="EH70" i="24"/>
  <c r="EC70" i="24"/>
  <c r="ED70" i="24" s="1"/>
  <c r="EH138" i="24"/>
  <c r="EI138" i="24"/>
  <c r="EX138" i="24" s="1"/>
  <c r="EC138" i="24"/>
  <c r="ED138" i="24" s="1"/>
  <c r="EI119" i="24"/>
  <c r="EX119" i="24" s="1"/>
  <c r="EC119" i="24"/>
  <c r="ED119" i="24" s="1"/>
  <c r="EH119" i="24"/>
  <c r="EI18" i="24"/>
  <c r="EX18" i="24" s="1"/>
  <c r="EH18" i="24"/>
  <c r="EC18" i="24"/>
  <c r="ED18" i="24" s="1"/>
  <c r="EC184" i="24"/>
  <c r="ED184" i="24" s="1"/>
  <c r="EI184" i="24"/>
  <c r="EX184" i="24" s="1"/>
  <c r="EH184" i="24"/>
  <c r="EC189" i="24"/>
  <c r="ED189" i="24" s="1"/>
  <c r="EH189" i="24"/>
  <c r="EI189" i="24"/>
  <c r="EX189" i="24" s="1"/>
  <c r="EH158" i="24"/>
  <c r="EI158" i="24"/>
  <c r="EX158" i="24" s="1"/>
  <c r="EC158" i="24"/>
  <c r="ED158" i="24" s="1"/>
  <c r="EI167" i="24"/>
  <c r="EX167" i="24" s="1"/>
  <c r="EH167" i="24"/>
  <c r="EC167" i="24"/>
  <c r="ED167" i="24" s="1"/>
  <c r="EH188" i="24"/>
  <c r="EC188" i="24"/>
  <c r="ED188" i="24" s="1"/>
  <c r="EI188" i="24"/>
  <c r="EX188" i="24" s="1"/>
  <c r="EH50" i="24"/>
  <c r="EC50" i="24"/>
  <c r="ED50" i="24" s="1"/>
  <c r="EI50" i="24"/>
  <c r="EX50" i="24" s="1"/>
  <c r="EH122" i="24"/>
  <c r="EI122" i="24"/>
  <c r="EX122" i="24" s="1"/>
  <c r="EC122" i="24"/>
  <c r="ED122" i="24" s="1"/>
  <c r="EI161" i="24"/>
  <c r="EX161" i="24" s="1"/>
  <c r="EH161" i="24"/>
  <c r="EC161" i="24"/>
  <c r="ED161" i="24" s="1"/>
  <c r="EC168" i="24"/>
  <c r="ED168" i="24" s="1"/>
  <c r="EH168" i="24"/>
  <c r="EI168" i="24"/>
  <c r="EX168" i="24" s="1"/>
  <c r="EC174" i="24"/>
  <c r="ED174" i="24" s="1"/>
  <c r="EH174" i="24"/>
  <c r="EI174" i="24"/>
  <c r="EX174" i="24" s="1"/>
  <c r="EC141" i="24"/>
  <c r="ED141" i="24" s="1"/>
  <c r="EH141" i="24"/>
  <c r="EI141" i="24"/>
  <c r="EX141" i="24" s="1"/>
  <c r="EH191" i="24"/>
  <c r="EI191" i="24"/>
  <c r="EX191" i="24" s="1"/>
  <c r="EC191" i="24"/>
  <c r="ED191" i="24" s="1"/>
  <c r="EC112" i="24"/>
  <c r="ED112" i="24" s="1"/>
  <c r="EI112" i="24"/>
  <c r="EX112" i="24" s="1"/>
  <c r="EH112" i="24"/>
  <c r="EI150" i="24"/>
  <c r="EX150" i="24" s="1"/>
  <c r="EH150" i="24"/>
  <c r="EC150" i="24"/>
  <c r="ED150" i="24" s="1"/>
  <c r="EC204" i="24"/>
  <c r="ED204" i="24" s="1"/>
  <c r="EH204" i="24"/>
  <c r="EI204" i="24"/>
  <c r="EX204" i="24" s="1"/>
  <c r="EH166" i="24"/>
  <c r="EC166" i="24"/>
  <c r="ED166" i="24" s="1"/>
  <c r="EI166" i="24"/>
  <c r="EX166" i="24" s="1"/>
  <c r="EH59" i="24"/>
  <c r="EC59" i="24"/>
  <c r="ED59" i="24" s="1"/>
  <c r="EI59" i="24"/>
  <c r="EX59" i="24" s="1"/>
  <c r="EH196" i="24"/>
  <c r="EI196" i="24"/>
  <c r="EX196" i="24" s="1"/>
  <c r="EC196" i="24"/>
  <c r="ED196" i="24" s="1"/>
  <c r="EH38" i="24"/>
  <c r="EI38" i="24"/>
  <c r="EX38" i="24" s="1"/>
  <c r="EC38" i="24"/>
  <c r="ED38" i="24" s="1"/>
  <c r="EI183" i="24"/>
  <c r="EX183" i="24" s="1"/>
  <c r="EC183" i="24"/>
  <c r="ED183" i="24" s="1"/>
  <c r="EH183" i="24"/>
  <c r="EH200" i="24"/>
  <c r="EC200" i="24"/>
  <c r="ED200" i="24" s="1"/>
  <c r="EI200" i="24"/>
  <c r="EX200" i="24" s="1"/>
  <c r="EI98" i="24"/>
  <c r="EX98" i="24" s="1"/>
  <c r="EC98" i="24"/>
  <c r="ED98" i="24" s="1"/>
  <c r="EH98" i="24"/>
  <c r="EH87" i="24"/>
  <c r="EI87" i="24"/>
  <c r="EX87" i="24" s="1"/>
  <c r="EC87" i="24"/>
  <c r="ED87" i="24" s="1"/>
  <c r="EH117" i="24"/>
  <c r="EI117" i="24"/>
  <c r="EX117" i="24" s="1"/>
  <c r="EC117" i="24"/>
  <c r="ED117" i="24" s="1"/>
  <c r="EI15" i="24"/>
  <c r="EX15" i="24" s="1"/>
  <c r="EH15" i="24"/>
  <c r="EC15" i="24"/>
  <c r="ED15" i="24" s="1"/>
  <c r="EH185" i="24"/>
  <c r="EI185" i="24"/>
  <c r="EX185" i="24" s="1"/>
  <c r="EC185" i="24"/>
  <c r="ED185" i="24" s="1"/>
  <c r="EI16" i="24"/>
  <c r="EX16" i="24" s="1"/>
  <c r="EC16" i="24"/>
  <c r="ED16" i="24" s="1"/>
  <c r="EH16" i="24"/>
  <c r="EH202" i="24"/>
  <c r="EC202" i="24"/>
  <c r="ED202" i="24" s="1"/>
  <c r="EI202" i="24"/>
  <c r="EX202" i="24" s="1"/>
  <c r="EI177" i="24"/>
  <c r="EX177" i="24" s="1"/>
  <c r="EH177" i="24"/>
  <c r="EC177" i="24"/>
  <c r="ED177" i="24" s="1"/>
  <c r="EH195" i="24"/>
  <c r="EC195" i="24"/>
  <c r="ED195" i="24" s="1"/>
  <c r="EI195" i="24"/>
  <c r="EX195" i="24" s="1"/>
  <c r="EI153" i="24"/>
  <c r="EX153" i="24" s="1"/>
  <c r="EH153" i="24"/>
  <c r="EC153" i="24"/>
  <c r="ED153" i="24" s="1"/>
  <c r="EH94" i="24"/>
  <c r="EC94" i="24"/>
  <c r="ED94" i="24" s="1"/>
  <c r="EI94" i="24"/>
  <c r="EX94" i="24" s="1"/>
  <c r="EC178" i="24"/>
  <c r="ED178" i="24" s="1"/>
  <c r="EI178" i="24"/>
  <c r="EX178" i="24" s="1"/>
  <c r="EH178" i="24"/>
  <c r="EC210" i="24"/>
  <c r="ED210" i="24" s="1"/>
  <c r="EI210" i="24"/>
  <c r="EX210" i="24" s="1"/>
  <c r="EH210" i="24"/>
  <c r="EC171" i="24"/>
  <c r="ED171" i="24" s="1"/>
  <c r="EI171" i="24"/>
  <c r="EX171" i="24" s="1"/>
  <c r="EH171" i="24"/>
  <c r="EC57" i="24"/>
  <c r="ED57" i="24" s="1"/>
  <c r="EH57" i="24"/>
  <c r="EI57" i="24"/>
  <c r="EX57" i="24" s="1"/>
  <c r="EC88" i="24"/>
  <c r="ED88" i="24" s="1"/>
  <c r="EH88" i="24"/>
  <c r="EI88" i="24"/>
  <c r="EX88" i="24" s="1"/>
  <c r="EH155" i="24"/>
  <c r="EI155" i="24"/>
  <c r="EX155" i="24" s="1"/>
  <c r="EC155" i="24"/>
  <c r="ED155" i="24" s="1"/>
  <c r="EH145" i="24"/>
  <c r="EC145" i="24"/>
  <c r="ED145" i="24" s="1"/>
  <c r="EI145" i="24"/>
  <c r="EX145" i="24" s="1"/>
  <c r="EH58" i="24"/>
  <c r="EI58" i="24"/>
  <c r="EX58" i="24" s="1"/>
  <c r="EC58" i="24"/>
  <c r="ED58" i="24" s="1"/>
  <c r="EH114" i="24"/>
  <c r="EC114" i="24"/>
  <c r="ED114" i="24" s="1"/>
  <c r="EI114" i="24"/>
  <c r="EX114" i="24" s="1"/>
  <c r="EH209" i="24"/>
  <c r="EC209" i="24"/>
  <c r="ED209" i="24" s="1"/>
  <c r="EI209" i="24"/>
  <c r="EX209" i="24" s="1"/>
  <c r="EC182" i="24"/>
  <c r="ED182" i="24" s="1"/>
  <c r="EI182" i="24"/>
  <c r="EX182" i="24" s="1"/>
  <c r="EH182" i="24"/>
  <c r="EH123" i="24"/>
  <c r="EC123" i="24"/>
  <c r="ED123" i="24" s="1"/>
  <c r="EI123" i="24"/>
  <c r="EX123" i="24" s="1"/>
  <c r="EC128" i="24"/>
  <c r="ED128" i="24" s="1"/>
  <c r="EI128" i="24"/>
  <c r="EX128" i="24" s="1"/>
  <c r="EH128" i="24"/>
  <c r="EC187" i="24"/>
  <c r="ED187" i="24" s="1"/>
  <c r="EI187" i="24"/>
  <c r="EX187" i="24" s="1"/>
  <c r="EH187" i="24"/>
  <c r="EC131" i="24"/>
  <c r="ED131" i="24" s="1"/>
  <c r="EI131" i="24"/>
  <c r="EX131" i="24" s="1"/>
  <c r="EH131" i="24"/>
  <c r="EH89" i="24"/>
  <c r="EC89" i="24"/>
  <c r="ED89" i="24" s="1"/>
  <c r="EI89" i="24"/>
  <c r="EX89" i="24" s="1"/>
  <c r="EH144" i="24"/>
  <c r="EC144" i="24"/>
  <c r="ED144" i="24" s="1"/>
  <c r="EI144" i="24"/>
  <c r="EX144" i="24" s="1"/>
  <c r="EC75" i="24"/>
  <c r="ED75" i="24" s="1"/>
  <c r="EH75" i="24"/>
  <c r="EI75" i="24"/>
  <c r="EX75" i="24" s="1"/>
  <c r="EC162" i="24"/>
  <c r="ED162" i="24" s="1"/>
  <c r="EI162" i="24"/>
  <c r="EX162" i="24" s="1"/>
  <c r="EH162" i="24"/>
  <c r="EH203" i="24"/>
  <c r="EC203" i="24"/>
  <c r="ED203" i="24" s="1"/>
  <c r="EI203" i="24"/>
  <c r="EX203" i="24" s="1"/>
  <c r="EC149" i="24"/>
  <c r="ED149" i="24" s="1"/>
  <c r="EI149" i="24"/>
  <c r="EX149" i="24" s="1"/>
  <c r="EH149" i="24"/>
  <c r="EC140" i="24"/>
  <c r="ED140" i="24" s="1"/>
  <c r="EI140" i="24"/>
  <c r="EX140" i="24" s="1"/>
  <c r="EH140" i="24"/>
  <c r="EI36" i="24"/>
  <c r="EX36" i="24" s="1"/>
  <c r="EH36" i="24"/>
  <c r="EC36" i="24"/>
  <c r="ED36" i="24" s="1"/>
  <c r="EC103" i="24"/>
  <c r="ED103" i="24" s="1"/>
  <c r="EH103" i="24"/>
  <c r="EI103" i="24"/>
  <c r="EX103" i="24" s="1"/>
  <c r="EH76" i="24"/>
  <c r="EC76" i="24"/>
  <c r="ED76" i="24" s="1"/>
  <c r="EI76" i="24"/>
  <c r="EX76" i="24" s="1"/>
  <c r="EW190" i="24"/>
  <c r="FB190" i="24" s="1"/>
  <c r="EK190" i="24"/>
  <c r="EI73" i="24"/>
  <c r="EX73" i="24" s="1"/>
  <c r="EC73" i="24"/>
  <c r="ED73" i="24" s="1"/>
  <c r="EH73" i="24"/>
  <c r="EI53" i="24"/>
  <c r="EX53" i="24" s="1"/>
  <c r="EC53" i="24"/>
  <c r="ED53" i="24" s="1"/>
  <c r="EH53" i="24"/>
  <c r="EC93" i="24"/>
  <c r="ED93" i="24" s="1"/>
  <c r="EI93" i="24"/>
  <c r="EX93" i="24" s="1"/>
  <c r="EH93" i="24"/>
  <c r="EH31" i="24"/>
  <c r="EI31" i="24"/>
  <c r="EX31" i="24" s="1"/>
  <c r="EC31" i="24"/>
  <c r="ED31" i="24" s="1"/>
  <c r="EH6" i="24"/>
  <c r="EI6" i="24"/>
  <c r="EX6" i="24" s="1"/>
  <c r="EC6" i="24"/>
  <c r="ED6" i="24" s="1"/>
  <c r="EI118" i="24"/>
  <c r="EX118" i="24" s="1"/>
  <c r="EH118" i="24"/>
  <c r="EC118" i="24"/>
  <c r="ED118" i="24" s="1"/>
  <c r="EI34" i="24"/>
  <c r="EX34" i="24" s="1"/>
  <c r="EH34" i="24"/>
  <c r="EC34" i="24"/>
  <c r="ED34" i="24" s="1"/>
  <c r="EH7" i="24"/>
  <c r="EC7" i="24"/>
  <c r="ED7" i="24" s="1"/>
  <c r="EI7" i="24"/>
  <c r="EX7" i="24" s="1"/>
  <c r="EI135" i="24"/>
  <c r="EX135" i="24" s="1"/>
  <c r="EH135" i="24"/>
  <c r="EC135" i="24"/>
  <c r="ED135" i="24" s="1"/>
  <c r="EC193" i="24"/>
  <c r="ED193" i="24" s="1"/>
  <c r="EI193" i="24"/>
  <c r="EX193" i="24" s="1"/>
  <c r="EH193" i="24"/>
  <c r="EI130" i="24"/>
  <c r="EX130" i="24" s="1"/>
  <c r="EC130" i="24"/>
  <c r="ED130" i="24" s="1"/>
  <c r="EH130" i="24"/>
  <c r="EC208" i="24"/>
  <c r="ED208" i="24" s="1"/>
  <c r="EI208" i="24"/>
  <c r="EX208" i="24" s="1"/>
  <c r="EH208" i="24"/>
  <c r="EC207" i="24"/>
  <c r="ED207" i="24" s="1"/>
  <c r="EI207" i="24"/>
  <c r="EX207" i="24" s="1"/>
  <c r="EH207" i="24"/>
  <c r="EI47" i="24"/>
  <c r="EX47" i="24" s="1"/>
  <c r="EH47" i="24"/>
  <c r="EC47" i="24"/>
  <c r="ED47" i="24" s="1"/>
  <c r="EH176" i="24"/>
  <c r="EC176" i="24"/>
  <c r="ED176" i="24" s="1"/>
  <c r="EI176" i="24"/>
  <c r="EX176" i="24" s="1"/>
  <c r="EC194" i="24"/>
  <c r="ED194" i="24" s="1"/>
  <c r="EH194" i="24"/>
  <c r="EI194" i="24"/>
  <c r="EX194" i="24" s="1"/>
  <c r="EH80" i="24"/>
  <c r="EI80" i="24"/>
  <c r="EX80" i="24" s="1"/>
  <c r="EC80" i="24"/>
  <c r="ED80" i="24" s="1"/>
  <c r="EC22" i="24"/>
  <c r="ED22" i="24" s="1"/>
  <c r="EI22" i="24"/>
  <c r="EX22" i="24" s="1"/>
  <c r="EH22" i="24"/>
  <c r="EI41" i="24"/>
  <c r="EX41" i="24" s="1"/>
  <c r="EC41" i="24"/>
  <c r="ED41" i="24" s="1"/>
  <c r="EH41" i="24"/>
  <c r="EI85" i="24"/>
  <c r="EX85" i="24" s="1"/>
  <c r="EC85" i="24"/>
  <c r="ED85" i="24" s="1"/>
  <c r="EH85" i="24"/>
  <c r="EI19" i="24"/>
  <c r="EX19" i="24" s="1"/>
  <c r="EC19" i="24"/>
  <c r="ED19" i="24" s="1"/>
  <c r="EH19" i="24"/>
  <c r="EC95" i="24"/>
  <c r="ED95" i="24" s="1"/>
  <c r="EH95" i="24"/>
  <c r="EI95" i="24"/>
  <c r="EX95" i="24" s="1"/>
  <c r="EI65" i="24"/>
  <c r="EX65" i="24" s="1"/>
  <c r="EC65" i="24"/>
  <c r="ED65" i="24" s="1"/>
  <c r="EH65" i="24"/>
  <c r="EC101" i="24"/>
  <c r="ED101" i="24" s="1"/>
  <c r="EH101" i="24"/>
  <c r="EI101" i="24"/>
  <c r="EX101" i="24" s="1"/>
  <c r="EC163" i="24"/>
  <c r="ED163" i="24" s="1"/>
  <c r="EH163" i="24"/>
  <c r="EI163" i="24"/>
  <c r="EX163" i="24" s="1"/>
  <c r="EH8" i="24"/>
  <c r="EC8" i="24"/>
  <c r="ED8" i="24" s="1"/>
  <c r="EI8" i="24"/>
  <c r="EX8" i="24" s="1"/>
  <c r="EC165" i="24"/>
  <c r="ED165" i="24" s="1"/>
  <c r="EI165" i="24"/>
  <c r="EX165" i="24" s="1"/>
  <c r="EH165" i="24"/>
  <c r="EI49" i="24"/>
  <c r="EX49" i="24" s="1"/>
  <c r="EC49" i="24"/>
  <c r="ED49" i="24" s="1"/>
  <c r="EH49" i="24"/>
  <c r="EC205" i="24"/>
  <c r="ED205" i="24" s="1"/>
  <c r="EI205" i="24"/>
  <c r="EX205" i="24" s="1"/>
  <c r="EH205" i="24"/>
  <c r="EH68" i="24"/>
  <c r="EI68" i="24"/>
  <c r="EX68" i="24" s="1"/>
  <c r="EC68" i="24"/>
  <c r="ED68" i="24" s="1"/>
  <c r="EH175" i="24"/>
  <c r="EC175" i="24"/>
  <c r="ED175" i="24" s="1"/>
  <c r="EI175" i="24"/>
  <c r="EX175" i="24" s="1"/>
  <c r="EI42" i="24"/>
  <c r="EX42" i="24" s="1"/>
  <c r="EH42" i="24"/>
  <c r="EC42" i="24"/>
  <c r="ED42" i="24" s="1"/>
  <c r="EC143" i="24"/>
  <c r="ED143" i="24" s="1"/>
  <c r="EI143" i="24"/>
  <c r="EX143" i="24" s="1"/>
  <c r="EH143" i="24"/>
  <c r="EI173" i="24"/>
  <c r="EX173" i="24" s="1"/>
  <c r="EH173" i="24"/>
  <c r="EC173" i="24"/>
  <c r="ED173" i="24" s="1"/>
  <c r="EC54" i="24"/>
  <c r="ED54" i="24" s="1"/>
  <c r="EI54" i="24"/>
  <c r="EX54" i="24" s="1"/>
  <c r="EH54" i="24"/>
  <c r="EI11" i="24"/>
  <c r="EX11" i="24" s="1"/>
  <c r="EC11" i="24"/>
  <c r="ED11" i="24" s="1"/>
  <c r="EH11" i="24"/>
  <c r="EC102" i="24"/>
  <c r="ED102" i="24" s="1"/>
  <c r="EI102" i="24"/>
  <c r="EX102" i="24" s="1"/>
  <c r="EH102" i="24"/>
  <c r="EH156" i="24"/>
  <c r="EC156" i="24"/>
  <c r="ED156" i="24" s="1"/>
  <c r="EI156" i="24"/>
  <c r="EX156" i="24" s="1"/>
  <c r="EC179" i="24"/>
  <c r="ED179" i="24" s="1"/>
  <c r="EI179" i="24"/>
  <c r="EX179" i="24" s="1"/>
  <c r="EH179" i="24"/>
  <c r="EC148" i="24"/>
  <c r="ED148" i="24" s="1"/>
  <c r="EH148" i="24"/>
  <c r="EI148" i="24"/>
  <c r="EX148" i="24" s="1"/>
  <c r="EI51" i="24"/>
  <c r="EX51" i="24" s="1"/>
  <c r="EC51" i="24"/>
  <c r="ED51" i="24" s="1"/>
  <c r="EH51" i="24"/>
  <c r="EH32" i="24"/>
  <c r="EI32" i="24"/>
  <c r="EX32" i="24" s="1"/>
  <c r="EC32" i="24"/>
  <c r="ED32" i="24" s="1"/>
  <c r="EI64" i="24"/>
  <c r="EX64" i="24" s="1"/>
  <c r="EH64" i="24"/>
  <c r="EC64" i="24"/>
  <c r="ED64" i="24" s="1"/>
  <c r="EH198" i="24"/>
  <c r="EC198" i="24"/>
  <c r="ED198" i="24" s="1"/>
  <c r="EI198" i="24"/>
  <c r="EX198" i="24" s="1"/>
  <c r="EC24" i="24"/>
  <c r="ED24" i="24" s="1"/>
  <c r="EH24" i="24"/>
  <c r="EI24" i="24"/>
  <c r="EX24" i="24" s="1"/>
  <c r="EI129" i="24"/>
  <c r="EX129" i="24" s="1"/>
  <c r="EH129" i="24"/>
  <c r="EC129" i="24"/>
  <c r="ED129" i="24" s="1"/>
  <c r="EC164" i="24"/>
  <c r="ED164" i="24" s="1"/>
  <c r="EI164" i="24"/>
  <c r="EX164" i="24" s="1"/>
  <c r="EH164" i="24"/>
  <c r="EI12" i="24"/>
  <c r="EX12" i="24" s="1"/>
  <c r="EH12" i="24"/>
  <c r="EC12" i="24"/>
  <c r="ED12" i="24" s="1"/>
  <c r="EC25" i="24"/>
  <c r="ED25" i="24" s="1"/>
  <c r="EH25" i="24"/>
  <c r="EI25" i="24"/>
  <c r="EX25" i="24" s="1"/>
  <c r="EC66" i="24"/>
  <c r="ED66" i="24" s="1"/>
  <c r="EI66" i="24"/>
  <c r="EX66" i="24" s="1"/>
  <c r="EH66" i="24"/>
  <c r="EC56" i="24"/>
  <c r="ED56" i="24" s="1"/>
  <c r="EH56" i="24"/>
  <c r="EI56" i="24"/>
  <c r="EX56" i="24" s="1"/>
  <c r="EH125" i="24"/>
  <c r="EC125" i="24"/>
  <c r="ED125" i="24" s="1"/>
  <c r="EI125" i="24"/>
  <c r="EX125" i="24" s="1"/>
  <c r="EH181" i="24"/>
  <c r="EI181" i="24"/>
  <c r="EX181" i="24" s="1"/>
  <c r="EC181" i="24"/>
  <c r="ED181" i="24" s="1"/>
  <c r="EI180" i="24"/>
  <c r="EX180" i="24" s="1"/>
  <c r="EH180" i="24"/>
  <c r="EC180" i="24"/>
  <c r="ED180" i="24" s="1"/>
  <c r="EI157" i="24"/>
  <c r="EX157" i="24" s="1"/>
  <c r="EH157" i="24"/>
  <c r="EC157" i="24"/>
  <c r="ED157" i="24" s="1"/>
  <c r="EI82" i="24"/>
  <c r="EX82" i="24" s="1"/>
  <c r="EH82" i="24"/>
  <c r="EC82" i="24"/>
  <c r="ED82" i="24" s="1"/>
  <c r="EC151" i="24"/>
  <c r="ED151" i="24" s="1"/>
  <c r="EH151" i="24"/>
  <c r="EI151" i="24"/>
  <c r="EX151" i="24" s="1"/>
  <c r="EI9" i="24"/>
  <c r="EX9" i="24" s="1"/>
  <c r="EC9" i="24"/>
  <c r="ED9" i="24" s="1"/>
  <c r="EH9" i="24"/>
  <c r="EC206" i="24"/>
  <c r="ED206" i="24" s="1"/>
  <c r="EH206" i="24"/>
  <c r="EI206" i="24"/>
  <c r="EX206" i="24" s="1"/>
  <c r="EI137" i="24"/>
  <c r="EX137" i="24" s="1"/>
  <c r="EH137" i="24"/>
  <c r="EC137" i="24"/>
  <c r="ED137" i="24" s="1"/>
  <c r="EC146" i="24"/>
  <c r="ED146" i="24" s="1"/>
  <c r="EI146" i="24"/>
  <c r="EX146" i="24" s="1"/>
  <c r="EH146" i="24"/>
  <c r="EI69" i="24"/>
  <c r="EX69" i="24" s="1"/>
  <c r="EH69" i="24"/>
  <c r="EC69" i="24"/>
  <c r="ED69" i="24" s="1"/>
  <c r="EH28" i="24"/>
  <c r="EC28" i="24"/>
  <c r="ED28" i="24" s="1"/>
  <c r="EI28" i="24"/>
  <c r="EX28" i="24" s="1"/>
  <c r="AZ106" i="19"/>
  <c r="BL106" i="19" s="1"/>
  <c r="BM106" i="19" s="1"/>
  <c r="BZ106" i="19" s="1"/>
  <c r="BK106" i="19"/>
  <c r="B273" i="2"/>
  <c r="BI106" i="19"/>
  <c r="BJ106" i="19"/>
  <c r="BC106" i="19"/>
  <c r="BB106" i="19"/>
  <c r="BD106" i="19"/>
  <c r="BG106" i="19"/>
  <c r="BU106" i="19"/>
  <c r="CA106" i="19" s="1"/>
  <c r="BH106" i="19"/>
  <c r="BA106" i="19"/>
  <c r="BF106" i="19"/>
  <c r="BS106" i="19"/>
  <c r="BE106" i="19"/>
  <c r="EK96" i="24" l="1"/>
  <c r="EQ96" i="24" s="1"/>
  <c r="EK92" i="24"/>
  <c r="EQ92" i="24" s="1"/>
  <c r="ER92" i="24" s="1"/>
  <c r="EZ96" i="24"/>
  <c r="FB96" i="24" s="1"/>
  <c r="EP212" i="25"/>
  <c r="FC212" i="25"/>
  <c r="FE212" i="25" s="1"/>
  <c r="FF212" i="25" s="1"/>
  <c r="EW243" i="24"/>
  <c r="FB243" i="24" s="1"/>
  <c r="EK67" i="24"/>
  <c r="EQ67" i="24" s="1"/>
  <c r="ER67" i="24" s="1"/>
  <c r="EK159" i="24"/>
  <c r="ER159" i="24" s="1"/>
  <c r="EW132" i="24"/>
  <c r="FB132" i="24" s="1"/>
  <c r="O110" i="24"/>
  <c r="BZ110" i="24" s="1"/>
  <c r="EW285" i="24"/>
  <c r="FB285" i="24" s="1"/>
  <c r="EZ92" i="24"/>
  <c r="FB92" i="24" s="1"/>
  <c r="EZ78" i="24"/>
  <c r="FB78" i="24" s="1"/>
  <c r="EK78" i="24"/>
  <c r="EQ78" i="24" s="1"/>
  <c r="ER78" i="24" s="1"/>
  <c r="FB242" i="24"/>
  <c r="EK60" i="24"/>
  <c r="EQ60" i="24" s="1"/>
  <c r="EZ60" i="24"/>
  <c r="FB60" i="24" s="1"/>
  <c r="FB136" i="25"/>
  <c r="EK77" i="24"/>
  <c r="EQ77" i="24" s="1"/>
  <c r="ER77" i="24" s="1"/>
  <c r="EK74" i="24"/>
  <c r="EQ74" i="24" s="1"/>
  <c r="ER74" i="24" s="1"/>
  <c r="FC216" i="24"/>
  <c r="FE216" i="24" s="1"/>
  <c r="FF216" i="24" s="1"/>
  <c r="ER216" i="24"/>
  <c r="BK216" i="24"/>
  <c r="K216" i="24"/>
  <c r="ER285" i="24"/>
  <c r="EW245" i="24"/>
  <c r="FB245" i="24" s="1"/>
  <c r="EK245" i="24"/>
  <c r="EW225" i="24"/>
  <c r="FB225" i="24" s="1"/>
  <c r="EK225" i="24"/>
  <c r="EW279" i="24"/>
  <c r="FB279" i="24" s="1"/>
  <c r="EK279" i="24"/>
  <c r="EK229" i="24"/>
  <c r="EW229" i="24"/>
  <c r="FB229" i="24" s="1"/>
  <c r="EW278" i="24"/>
  <c r="FB278" i="24" s="1"/>
  <c r="EK278" i="24"/>
  <c r="EK301" i="24"/>
  <c r="EW301" i="24"/>
  <c r="FB301" i="24" s="1"/>
  <c r="EK248" i="24"/>
  <c r="EW248" i="24"/>
  <c r="FB248" i="24" s="1"/>
  <c r="EK271" i="24"/>
  <c r="EW271" i="24"/>
  <c r="FB271" i="24" s="1"/>
  <c r="EK219" i="24"/>
  <c r="EW219" i="24"/>
  <c r="FB219" i="24" s="1"/>
  <c r="EK263" i="24"/>
  <c r="EW263" i="24"/>
  <c r="FB263" i="24" s="1"/>
  <c r="EK284" i="24"/>
  <c r="EW284" i="24"/>
  <c r="FB284" i="24" s="1"/>
  <c r="EW268" i="24"/>
  <c r="FB268" i="24" s="1"/>
  <c r="EK268" i="24"/>
  <c r="EW310" i="24"/>
  <c r="FB310" i="24" s="1"/>
  <c r="EK310" i="24"/>
  <c r="EK294" i="24"/>
  <c r="EW294" i="24"/>
  <c r="FB294" i="24" s="1"/>
  <c r="EK275" i="24"/>
  <c r="EW275" i="24"/>
  <c r="FB275" i="24" s="1"/>
  <c r="EW249" i="24"/>
  <c r="FB249" i="24" s="1"/>
  <c r="EK249" i="24"/>
  <c r="EK258" i="24"/>
  <c r="EW258" i="24"/>
  <c r="FB258" i="24" s="1"/>
  <c r="EK230" i="24"/>
  <c r="EW230" i="24"/>
  <c r="FB230" i="24" s="1"/>
  <c r="EW306" i="24"/>
  <c r="FB306" i="24" s="1"/>
  <c r="EK306" i="24"/>
  <c r="EW298" i="24"/>
  <c r="FB298" i="24" s="1"/>
  <c r="EK298" i="24"/>
  <c r="EK282" i="24"/>
  <c r="EW282" i="24"/>
  <c r="FB282" i="24" s="1"/>
  <c r="EW270" i="24"/>
  <c r="FB270" i="24" s="1"/>
  <c r="EK270" i="24"/>
  <c r="EK264" i="24"/>
  <c r="EW264" i="24"/>
  <c r="FB264" i="24" s="1"/>
  <c r="EW253" i="24"/>
  <c r="FB253" i="24" s="1"/>
  <c r="EK253" i="24"/>
  <c r="EK267" i="24"/>
  <c r="EW267" i="24"/>
  <c r="FB267" i="24" s="1"/>
  <c r="EW316" i="24"/>
  <c r="FB316" i="24" s="1"/>
  <c r="EK316" i="24"/>
  <c r="EK224" i="24"/>
  <c r="EW224" i="24"/>
  <c r="FB224" i="24" s="1"/>
  <c r="EW251" i="24"/>
  <c r="FB251" i="24" s="1"/>
  <c r="EK251" i="24"/>
  <c r="EW289" i="24"/>
  <c r="FB289" i="24" s="1"/>
  <c r="EK289" i="24"/>
  <c r="EK238" i="24"/>
  <c r="EW238" i="24"/>
  <c r="FB238" i="24" s="1"/>
  <c r="EK246" i="24"/>
  <c r="EW246" i="24"/>
  <c r="FB246" i="24" s="1"/>
  <c r="EK232" i="24"/>
  <c r="EW232" i="24"/>
  <c r="FB232" i="24" s="1"/>
  <c r="EK281" i="24"/>
  <c r="EW281" i="24"/>
  <c r="FB281" i="24" s="1"/>
  <c r="EK233" i="24"/>
  <c r="EW233" i="24"/>
  <c r="FB233" i="24" s="1"/>
  <c r="EW288" i="24"/>
  <c r="FB288" i="24" s="1"/>
  <c r="EK288" i="24"/>
  <c r="EW257" i="24"/>
  <c r="FB257" i="24" s="1"/>
  <c r="EK257" i="24"/>
  <c r="EW255" i="24"/>
  <c r="FB255" i="24" s="1"/>
  <c r="EK255" i="24"/>
  <c r="EK273" i="24"/>
  <c r="EW273" i="24"/>
  <c r="FB273" i="24" s="1"/>
  <c r="EK218" i="24"/>
  <c r="EW218" i="24"/>
  <c r="FB218" i="24" s="1"/>
  <c r="EW262" i="24"/>
  <c r="FB262" i="24" s="1"/>
  <c r="EK262" i="24"/>
  <c r="EK266" i="24"/>
  <c r="EW266" i="24"/>
  <c r="FB266" i="24" s="1"/>
  <c r="ER243" i="24"/>
  <c r="EK261" i="24"/>
  <c r="EW261" i="24"/>
  <c r="FB261" i="24" s="1"/>
  <c r="EK228" i="24"/>
  <c r="EW228" i="24"/>
  <c r="FB228" i="24" s="1"/>
  <c r="EK265" i="24"/>
  <c r="EW265" i="24"/>
  <c r="FB265" i="24" s="1"/>
  <c r="EK244" i="24"/>
  <c r="EW244" i="24"/>
  <c r="FB244" i="24" s="1"/>
  <c r="EK236" i="24"/>
  <c r="EW236" i="24"/>
  <c r="FB236" i="24" s="1"/>
  <c r="EK299" i="24"/>
  <c r="EW299" i="24"/>
  <c r="FB299" i="24" s="1"/>
  <c r="EW304" i="24"/>
  <c r="FB304" i="24" s="1"/>
  <c r="EK304" i="24"/>
  <c r="EK283" i="24"/>
  <c r="EW283" i="24"/>
  <c r="FB283" i="24" s="1"/>
  <c r="EW231" i="24"/>
  <c r="FB231" i="24" s="1"/>
  <c r="EK231" i="24"/>
  <c r="EK280" i="24"/>
  <c r="EW280" i="24"/>
  <c r="FB280" i="24" s="1"/>
  <c r="EK234" i="24"/>
  <c r="EW234" i="24"/>
  <c r="FB234" i="24" s="1"/>
  <c r="EK296" i="24"/>
  <c r="EW296" i="24"/>
  <c r="FB296" i="24" s="1"/>
  <c r="EK239" i="24"/>
  <c r="EW239" i="24"/>
  <c r="FB239" i="24" s="1"/>
  <c r="EW259" i="24"/>
  <c r="FB259" i="24" s="1"/>
  <c r="EK259" i="24"/>
  <c r="EW308" i="24"/>
  <c r="FB308" i="24" s="1"/>
  <c r="EK308" i="24"/>
  <c r="EK222" i="24"/>
  <c r="EW222" i="24"/>
  <c r="FB222" i="24" s="1"/>
  <c r="EK305" i="24"/>
  <c r="EW305" i="24"/>
  <c r="FB305" i="24" s="1"/>
  <c r="EW312" i="24"/>
  <c r="FB312" i="24" s="1"/>
  <c r="EK312" i="24"/>
  <c r="EK313" i="24"/>
  <c r="EW313" i="24"/>
  <c r="FB313" i="24" s="1"/>
  <c r="EK220" i="24"/>
  <c r="EW220" i="24"/>
  <c r="FB220" i="24" s="1"/>
  <c r="EW274" i="24"/>
  <c r="FB274" i="24" s="1"/>
  <c r="EK274" i="24"/>
  <c r="EK240" i="24"/>
  <c r="EW240" i="24"/>
  <c r="FB240" i="24" s="1"/>
  <c r="EK286" i="24"/>
  <c r="EW286" i="24"/>
  <c r="FB286" i="24" s="1"/>
  <c r="EK260" i="24"/>
  <c r="EW260" i="24"/>
  <c r="FB260" i="24" s="1"/>
  <c r="EK217" i="24"/>
  <c r="EW217" i="24"/>
  <c r="FB217" i="24" s="1"/>
  <c r="EW300" i="24"/>
  <c r="FB300" i="24" s="1"/>
  <c r="EK300" i="24"/>
  <c r="EK223" i="24"/>
  <c r="EW223" i="24"/>
  <c r="FB223" i="24" s="1"/>
  <c r="EK309" i="24"/>
  <c r="EW309" i="24"/>
  <c r="FB309" i="24" s="1"/>
  <c r="EK277" i="24"/>
  <c r="EW277" i="24"/>
  <c r="FB277" i="24" s="1"/>
  <c r="EK311" i="24"/>
  <c r="EW311" i="24"/>
  <c r="FB311" i="24" s="1"/>
  <c r="ER242" i="24"/>
  <c r="FC242" i="24"/>
  <c r="FE242" i="24" s="1"/>
  <c r="FF242" i="24" s="1"/>
  <c r="EK227" i="24"/>
  <c r="EW227" i="24"/>
  <c r="FB227" i="24" s="1"/>
  <c r="EW276" i="24"/>
  <c r="FB276" i="24" s="1"/>
  <c r="EK276" i="24"/>
  <c r="EK292" i="24"/>
  <c r="EW292" i="24"/>
  <c r="FB292" i="24" s="1"/>
  <c r="EW235" i="24"/>
  <c r="FB235" i="24" s="1"/>
  <c r="EK235" i="24"/>
  <c r="EK315" i="24"/>
  <c r="EW315" i="24"/>
  <c r="FB315" i="24" s="1"/>
  <c r="EK252" i="24"/>
  <c r="EW252" i="24"/>
  <c r="FB252" i="24" s="1"/>
  <c r="EW293" i="24"/>
  <c r="FB293" i="24" s="1"/>
  <c r="EK293" i="24"/>
  <c r="EW314" i="24"/>
  <c r="FB314" i="24" s="1"/>
  <c r="EK314" i="24"/>
  <c r="EW295" i="24"/>
  <c r="FB295" i="24" s="1"/>
  <c r="EK295" i="24"/>
  <c r="EK269" i="24"/>
  <c r="EW269" i="24"/>
  <c r="FB269" i="24" s="1"/>
  <c r="EW241" i="24"/>
  <c r="FB241" i="24" s="1"/>
  <c r="EK241" i="24"/>
  <c r="EW287" i="24"/>
  <c r="FB287" i="24" s="1"/>
  <c r="EK287" i="24"/>
  <c r="EK297" i="24"/>
  <c r="EW297" i="24"/>
  <c r="FB297" i="24" s="1"/>
  <c r="EK303" i="24"/>
  <c r="EW303" i="24"/>
  <c r="FB303" i="24" s="1"/>
  <c r="EK272" i="24"/>
  <c r="EW272" i="24"/>
  <c r="FB272" i="24" s="1"/>
  <c r="EK256" i="24"/>
  <c r="EW256" i="24"/>
  <c r="FB256" i="24" s="1"/>
  <c r="EK307" i="24"/>
  <c r="EW307" i="24"/>
  <c r="FB307" i="24" s="1"/>
  <c r="EW290" i="24"/>
  <c r="FB290" i="24" s="1"/>
  <c r="EK290" i="24"/>
  <c r="EK226" i="24"/>
  <c r="EW226" i="24"/>
  <c r="FB226" i="24" s="1"/>
  <c r="EW247" i="24"/>
  <c r="FB247" i="24" s="1"/>
  <c r="EK247" i="24"/>
  <c r="EK254" i="24"/>
  <c r="EW254" i="24"/>
  <c r="FB254" i="24" s="1"/>
  <c r="EK221" i="24"/>
  <c r="EW221" i="24"/>
  <c r="FB221" i="24" s="1"/>
  <c r="EW237" i="24"/>
  <c r="FB237" i="24" s="1"/>
  <c r="EK237" i="24"/>
  <c r="EK291" i="24"/>
  <c r="EW291" i="24"/>
  <c r="FB291" i="24" s="1"/>
  <c r="EW302" i="24"/>
  <c r="FB302" i="24" s="1"/>
  <c r="EK302" i="24"/>
  <c r="EK250" i="24"/>
  <c r="EW250" i="24"/>
  <c r="FB250" i="24" s="1"/>
  <c r="EP217" i="25"/>
  <c r="FC217" i="25"/>
  <c r="FE217" i="25" s="1"/>
  <c r="FF217" i="25" s="1"/>
  <c r="EP256" i="25"/>
  <c r="FC256" i="25"/>
  <c r="FE256" i="25" s="1"/>
  <c r="FF256" i="25" s="1"/>
  <c r="EP273" i="25"/>
  <c r="FC273" i="25"/>
  <c r="FE273" i="25" s="1"/>
  <c r="FF273" i="25" s="1"/>
  <c r="FC221" i="25"/>
  <c r="FE221" i="25" s="1"/>
  <c r="FF221" i="25" s="1"/>
  <c r="EP221" i="25"/>
  <c r="FC226" i="25"/>
  <c r="FE226" i="25" s="1"/>
  <c r="FF226" i="25" s="1"/>
  <c r="EP226" i="25"/>
  <c r="EP240" i="25"/>
  <c r="FC240" i="25"/>
  <c r="FE240" i="25" s="1"/>
  <c r="FF240" i="25" s="1"/>
  <c r="EP249" i="25"/>
  <c r="FC249" i="25"/>
  <c r="FE249" i="25" s="1"/>
  <c r="FF249" i="25" s="1"/>
  <c r="FC282" i="25"/>
  <c r="FE282" i="25" s="1"/>
  <c r="FF282" i="25" s="1"/>
  <c r="EP282" i="25"/>
  <c r="EP227" i="25"/>
  <c r="FC227" i="25"/>
  <c r="FE227" i="25" s="1"/>
  <c r="FF227" i="25" s="1"/>
  <c r="EP301" i="25"/>
  <c r="FC301" i="25"/>
  <c r="FE301" i="25" s="1"/>
  <c r="FF301" i="25" s="1"/>
  <c r="FC279" i="25"/>
  <c r="FE279" i="25" s="1"/>
  <c r="FF279" i="25" s="1"/>
  <c r="EP279" i="25"/>
  <c r="FC233" i="25"/>
  <c r="FE233" i="25" s="1"/>
  <c r="FF233" i="25" s="1"/>
  <c r="EP233" i="25"/>
  <c r="EP284" i="25"/>
  <c r="FC284" i="25"/>
  <c r="FE284" i="25" s="1"/>
  <c r="FF284" i="25" s="1"/>
  <c r="FC311" i="25"/>
  <c r="FE311" i="25" s="1"/>
  <c r="FF311" i="25" s="1"/>
  <c r="EP311" i="25"/>
  <c r="EP306" i="25"/>
  <c r="FC306" i="25"/>
  <c r="FE306" i="25" s="1"/>
  <c r="FF306" i="25" s="1"/>
  <c r="EP280" i="25"/>
  <c r="FC280" i="25"/>
  <c r="FE280" i="25" s="1"/>
  <c r="FF280" i="25" s="1"/>
  <c r="FC246" i="25"/>
  <c r="FE246" i="25" s="1"/>
  <c r="FF246" i="25" s="1"/>
  <c r="EP246" i="25"/>
  <c r="EP263" i="25"/>
  <c r="FC263" i="25"/>
  <c r="FE263" i="25" s="1"/>
  <c r="FF263" i="25" s="1"/>
  <c r="EP312" i="25"/>
  <c r="FC312" i="25"/>
  <c r="FE312" i="25" s="1"/>
  <c r="FF312" i="25" s="1"/>
  <c r="FC243" i="25"/>
  <c r="FE243" i="25" s="1"/>
  <c r="FF243" i="25" s="1"/>
  <c r="EP243" i="25"/>
  <c r="EP275" i="25"/>
  <c r="FC275" i="25"/>
  <c r="FE275" i="25" s="1"/>
  <c r="FF275" i="25" s="1"/>
  <c r="EP259" i="25"/>
  <c r="FC259" i="25"/>
  <c r="FE259" i="25" s="1"/>
  <c r="FF259" i="25" s="1"/>
  <c r="EP315" i="25"/>
  <c r="FC315" i="25"/>
  <c r="FE315" i="25" s="1"/>
  <c r="FF315" i="25" s="1"/>
  <c r="EP296" i="25"/>
  <c r="FC296" i="25"/>
  <c r="FE296" i="25" s="1"/>
  <c r="FF296" i="25" s="1"/>
  <c r="EP281" i="25"/>
  <c r="FC281" i="25"/>
  <c r="FE281" i="25" s="1"/>
  <c r="FF281" i="25" s="1"/>
  <c r="EP254" i="25"/>
  <c r="FC254" i="25"/>
  <c r="FE254" i="25" s="1"/>
  <c r="FF254" i="25" s="1"/>
  <c r="EP234" i="25"/>
  <c r="FC234" i="25"/>
  <c r="FE234" i="25" s="1"/>
  <c r="FF234" i="25" s="1"/>
  <c r="EP309" i="25"/>
  <c r="FC309" i="25"/>
  <c r="FE309" i="25" s="1"/>
  <c r="FF309" i="25" s="1"/>
  <c r="EP288" i="25"/>
  <c r="FC288" i="25"/>
  <c r="FE288" i="25" s="1"/>
  <c r="FF288" i="25" s="1"/>
  <c r="FC222" i="25"/>
  <c r="FE222" i="25" s="1"/>
  <c r="FF222" i="25" s="1"/>
  <c r="EP222" i="25"/>
  <c r="EP261" i="25"/>
  <c r="FC261" i="25"/>
  <c r="FE261" i="25" s="1"/>
  <c r="FF261" i="25" s="1"/>
  <c r="EP316" i="25"/>
  <c r="FC316" i="25"/>
  <c r="FE316" i="25" s="1"/>
  <c r="FF316" i="25" s="1"/>
  <c r="EP239" i="25"/>
  <c r="FC239" i="25"/>
  <c r="FE239" i="25" s="1"/>
  <c r="FF239" i="25" s="1"/>
  <c r="EP253" i="25"/>
  <c r="FC253" i="25"/>
  <c r="FE253" i="25" s="1"/>
  <c r="FF253" i="25" s="1"/>
  <c r="FC286" i="25"/>
  <c r="FE286" i="25" s="1"/>
  <c r="FF286" i="25" s="1"/>
  <c r="EP286" i="25"/>
  <c r="EP290" i="25"/>
  <c r="FC290" i="25"/>
  <c r="FE290" i="25" s="1"/>
  <c r="FF290" i="25" s="1"/>
  <c r="EP283" i="25"/>
  <c r="FC283" i="25"/>
  <c r="FE283" i="25" s="1"/>
  <c r="FF283" i="25" s="1"/>
  <c r="EP303" i="25"/>
  <c r="FC303" i="25"/>
  <c r="FE303" i="25" s="1"/>
  <c r="FF303" i="25" s="1"/>
  <c r="EP245" i="25"/>
  <c r="FC245" i="25"/>
  <c r="FE245" i="25" s="1"/>
  <c r="FF245" i="25" s="1"/>
  <c r="FC260" i="25"/>
  <c r="FE260" i="25" s="1"/>
  <c r="FF260" i="25" s="1"/>
  <c r="EP260" i="25"/>
  <c r="FC224" i="25"/>
  <c r="FE224" i="25" s="1"/>
  <c r="FF224" i="25" s="1"/>
  <c r="EP224" i="25"/>
  <c r="EP241" i="25"/>
  <c r="FC241" i="25"/>
  <c r="FE241" i="25" s="1"/>
  <c r="FF241" i="25" s="1"/>
  <c r="FC271" i="25"/>
  <c r="FE271" i="25" s="1"/>
  <c r="FF271" i="25" s="1"/>
  <c r="EP271" i="25"/>
  <c r="EP267" i="25"/>
  <c r="FC267" i="25"/>
  <c r="FE267" i="25" s="1"/>
  <c r="FF267" i="25" s="1"/>
  <c r="EP250" i="25"/>
  <c r="FC250" i="25"/>
  <c r="FE250" i="25" s="1"/>
  <c r="FF250" i="25" s="1"/>
  <c r="EP307" i="25"/>
  <c r="FC307" i="25"/>
  <c r="FE307" i="25" s="1"/>
  <c r="FF307" i="25" s="1"/>
  <c r="EP268" i="25"/>
  <c r="FC268" i="25"/>
  <c r="FE268" i="25" s="1"/>
  <c r="FF268" i="25" s="1"/>
  <c r="FC251" i="25"/>
  <c r="FE251" i="25" s="1"/>
  <c r="FF251" i="25" s="1"/>
  <c r="EP251" i="25"/>
  <c r="EP299" i="25"/>
  <c r="FC299" i="25"/>
  <c r="FE299" i="25" s="1"/>
  <c r="FF299" i="25" s="1"/>
  <c r="FC247" i="25"/>
  <c r="FE247" i="25" s="1"/>
  <c r="FF247" i="25" s="1"/>
  <c r="EP247" i="25"/>
  <c r="EP220" i="25"/>
  <c r="FC220" i="25"/>
  <c r="FE220" i="25" s="1"/>
  <c r="FF220" i="25" s="1"/>
  <c r="EP297" i="25"/>
  <c r="FC297" i="25"/>
  <c r="FE297" i="25" s="1"/>
  <c r="FF297" i="25" s="1"/>
  <c r="EP314" i="25"/>
  <c r="FC314" i="25"/>
  <c r="FE314" i="25" s="1"/>
  <c r="FF314" i="25" s="1"/>
  <c r="FC272" i="25"/>
  <c r="FE272" i="25" s="1"/>
  <c r="FF272" i="25" s="1"/>
  <c r="EP272" i="25"/>
  <c r="FC310" i="25"/>
  <c r="FE310" i="25" s="1"/>
  <c r="FF310" i="25" s="1"/>
  <c r="EP310" i="25"/>
  <c r="EP285" i="25"/>
  <c r="FC285" i="25"/>
  <c r="FE285" i="25" s="1"/>
  <c r="FF285" i="25" s="1"/>
  <c r="FC232" i="25"/>
  <c r="FE232" i="25" s="1"/>
  <c r="FF232" i="25" s="1"/>
  <c r="EP232" i="25"/>
  <c r="EP244" i="25"/>
  <c r="FC244" i="25"/>
  <c r="FE244" i="25" s="1"/>
  <c r="FF244" i="25" s="1"/>
  <c r="FC223" i="25"/>
  <c r="FE223" i="25" s="1"/>
  <c r="FF223" i="25" s="1"/>
  <c r="EP223" i="25"/>
  <c r="FC218" i="25"/>
  <c r="FE218" i="25" s="1"/>
  <c r="FF218" i="25" s="1"/>
  <c r="EP218" i="25"/>
  <c r="EP242" i="25"/>
  <c r="FC242" i="25"/>
  <c r="FE242" i="25" s="1"/>
  <c r="FF242" i="25" s="1"/>
  <c r="EP292" i="25"/>
  <c r="FC292" i="25"/>
  <c r="FE292" i="25" s="1"/>
  <c r="FF292" i="25" s="1"/>
  <c r="EP308" i="25"/>
  <c r="FC308" i="25"/>
  <c r="FE308" i="25" s="1"/>
  <c r="FF308" i="25" s="1"/>
  <c r="EP265" i="25"/>
  <c r="FC265" i="25"/>
  <c r="FE265" i="25" s="1"/>
  <c r="FF265" i="25" s="1"/>
  <c r="FC277" i="25"/>
  <c r="FE277" i="25" s="1"/>
  <c r="FF277" i="25" s="1"/>
  <c r="EP277" i="25"/>
  <c r="EP236" i="25"/>
  <c r="FC236" i="25"/>
  <c r="FE236" i="25" s="1"/>
  <c r="FF236" i="25" s="1"/>
  <c r="EP287" i="25"/>
  <c r="FC287" i="25"/>
  <c r="FE287" i="25" s="1"/>
  <c r="FF287" i="25" s="1"/>
  <c r="EP264" i="25"/>
  <c r="FC264" i="25"/>
  <c r="FE264" i="25" s="1"/>
  <c r="FF264" i="25" s="1"/>
  <c r="EP313" i="25"/>
  <c r="FC313" i="25"/>
  <c r="FE313" i="25" s="1"/>
  <c r="FF313" i="25" s="1"/>
  <c r="FC302" i="25"/>
  <c r="FE302" i="25" s="1"/>
  <c r="FF302" i="25" s="1"/>
  <c r="EP302" i="25"/>
  <c r="EP225" i="25"/>
  <c r="FC225" i="25"/>
  <c r="FE225" i="25" s="1"/>
  <c r="FF225" i="25" s="1"/>
  <c r="FC295" i="25"/>
  <c r="FE295" i="25" s="1"/>
  <c r="FF295" i="25" s="1"/>
  <c r="EP295" i="25"/>
  <c r="FC266" i="25"/>
  <c r="FE266" i="25" s="1"/>
  <c r="FF266" i="25" s="1"/>
  <c r="EP266" i="25"/>
  <c r="EP298" i="25"/>
  <c r="FC298" i="25"/>
  <c r="FE298" i="25" s="1"/>
  <c r="FF298" i="25" s="1"/>
  <c r="FC219" i="25"/>
  <c r="FE219" i="25" s="1"/>
  <c r="FF219" i="25" s="1"/>
  <c r="EP219" i="25"/>
  <c r="FC300" i="25"/>
  <c r="FE300" i="25" s="1"/>
  <c r="FF300" i="25" s="1"/>
  <c r="EP300" i="25"/>
  <c r="FC235" i="25"/>
  <c r="FE235" i="25" s="1"/>
  <c r="FF235" i="25" s="1"/>
  <c r="EP235" i="25"/>
  <c r="EP269" i="25"/>
  <c r="FC269" i="25"/>
  <c r="FE269" i="25" s="1"/>
  <c r="FF269" i="25" s="1"/>
  <c r="EP304" i="25"/>
  <c r="FC304" i="25"/>
  <c r="FE304" i="25" s="1"/>
  <c r="FF304" i="25" s="1"/>
  <c r="EP229" i="25"/>
  <c r="FC229" i="25"/>
  <c r="FE229" i="25" s="1"/>
  <c r="FF229" i="25" s="1"/>
  <c r="EP289" i="25"/>
  <c r="FC289" i="25"/>
  <c r="FE289" i="25" s="1"/>
  <c r="FF289" i="25" s="1"/>
  <c r="FC262" i="25"/>
  <c r="FE262" i="25" s="1"/>
  <c r="FF262" i="25" s="1"/>
  <c r="EP262" i="25"/>
  <c r="FC231" i="25"/>
  <c r="FE231" i="25" s="1"/>
  <c r="FF231" i="25" s="1"/>
  <c r="EP231" i="25"/>
  <c r="EP293" i="25"/>
  <c r="FC293" i="25"/>
  <c r="FE293" i="25" s="1"/>
  <c r="FF293" i="25" s="1"/>
  <c r="EP270" i="25"/>
  <c r="FC270" i="25"/>
  <c r="FE270" i="25" s="1"/>
  <c r="FF270" i="25" s="1"/>
  <c r="FC258" i="25"/>
  <c r="FE258" i="25" s="1"/>
  <c r="FF258" i="25" s="1"/>
  <c r="EP258" i="25"/>
  <c r="EP291" i="25"/>
  <c r="FC291" i="25"/>
  <c r="FE291" i="25" s="1"/>
  <c r="FF291" i="25" s="1"/>
  <c r="EP228" i="25"/>
  <c r="FC228" i="25"/>
  <c r="FE228" i="25" s="1"/>
  <c r="FF228" i="25" s="1"/>
  <c r="EP216" i="25"/>
  <c r="FC216" i="25"/>
  <c r="FE216" i="25" s="1"/>
  <c r="FF216" i="25" s="1"/>
  <c r="EP276" i="25"/>
  <c r="FC276" i="25"/>
  <c r="FE276" i="25" s="1"/>
  <c r="FF276" i="25" s="1"/>
  <c r="EP248" i="25"/>
  <c r="FC248" i="25"/>
  <c r="FE248" i="25" s="1"/>
  <c r="FF248" i="25" s="1"/>
  <c r="EP238" i="25"/>
  <c r="FC238" i="25"/>
  <c r="FE238" i="25" s="1"/>
  <c r="FF238" i="25" s="1"/>
  <c r="FC257" i="25"/>
  <c r="FE257" i="25" s="1"/>
  <c r="FF257" i="25" s="1"/>
  <c r="EP257" i="25"/>
  <c r="EP255" i="25"/>
  <c r="FC255" i="25"/>
  <c r="FE255" i="25" s="1"/>
  <c r="FF255" i="25" s="1"/>
  <c r="FC230" i="25"/>
  <c r="FE230" i="25" s="1"/>
  <c r="FF230" i="25" s="1"/>
  <c r="EP230" i="25"/>
  <c r="EP305" i="25"/>
  <c r="FC305" i="25"/>
  <c r="FE305" i="25" s="1"/>
  <c r="FF305" i="25" s="1"/>
  <c r="EP237" i="25"/>
  <c r="FC237" i="25"/>
  <c r="FE237" i="25" s="1"/>
  <c r="FF237" i="25" s="1"/>
  <c r="FC294" i="25"/>
  <c r="FE294" i="25" s="1"/>
  <c r="FF294" i="25" s="1"/>
  <c r="EP294" i="25"/>
  <c r="FC278" i="25"/>
  <c r="FE278" i="25" s="1"/>
  <c r="FF278" i="25" s="1"/>
  <c r="EP278" i="25"/>
  <c r="FC274" i="25"/>
  <c r="FE274" i="25" s="1"/>
  <c r="FF274" i="25" s="1"/>
  <c r="EP274" i="25"/>
  <c r="EP252" i="25"/>
  <c r="FC252" i="25"/>
  <c r="FE252" i="25" s="1"/>
  <c r="FF252" i="25" s="1"/>
  <c r="EZ74" i="24"/>
  <c r="FB74" i="24" s="1"/>
  <c r="EK142" i="24"/>
  <c r="FC142" i="24" s="1"/>
  <c r="FE142" i="24" s="1"/>
  <c r="FF142" i="24" s="1"/>
  <c r="FC112" i="25"/>
  <c r="FE112" i="25" s="1"/>
  <c r="FF112" i="25" s="1"/>
  <c r="EP112" i="25"/>
  <c r="EZ43" i="24"/>
  <c r="FB43" i="24" s="1"/>
  <c r="EK39" i="24"/>
  <c r="EQ39" i="24" s="1"/>
  <c r="ER39" i="24" s="1"/>
  <c r="EZ39" i="24"/>
  <c r="FB39" i="24" s="1"/>
  <c r="EW152" i="24"/>
  <c r="FB152" i="24" s="1"/>
  <c r="EK52" i="24"/>
  <c r="EQ52" i="24" s="1"/>
  <c r="ER52" i="24" s="1"/>
  <c r="FC47" i="25"/>
  <c r="FE47" i="25" s="1"/>
  <c r="FF47" i="25" s="1"/>
  <c r="EK63" i="24"/>
  <c r="EQ63" i="24" s="1"/>
  <c r="ER63" i="24" s="1"/>
  <c r="EZ55" i="24"/>
  <c r="FB55" i="24" s="1"/>
  <c r="EW37" i="24"/>
  <c r="EZ37" i="24" s="1"/>
  <c r="FB37" i="24" s="1"/>
  <c r="EK44" i="24"/>
  <c r="EQ44" i="24" s="1"/>
  <c r="ER44" i="24" s="1"/>
  <c r="EZ44" i="24"/>
  <c r="FB44" i="24" s="1"/>
  <c r="FC96" i="25"/>
  <c r="FE96" i="25" s="1"/>
  <c r="FF96" i="25" s="1"/>
  <c r="EW83" i="24"/>
  <c r="EZ83" i="24" s="1"/>
  <c r="FB83" i="24" s="1"/>
  <c r="EW186" i="24"/>
  <c r="FB186" i="24" s="1"/>
  <c r="EW134" i="24"/>
  <c r="FC134" i="24" s="1"/>
  <c r="FE134" i="24" s="1"/>
  <c r="FF134" i="24" s="1"/>
  <c r="EW160" i="24"/>
  <c r="FB160" i="24" s="1"/>
  <c r="FB133" i="24"/>
  <c r="FC164" i="25"/>
  <c r="FE164" i="25" s="1"/>
  <c r="FF164" i="25" s="1"/>
  <c r="EK169" i="24"/>
  <c r="EW169" i="24"/>
  <c r="FB169" i="24" s="1"/>
  <c r="EK133" i="24"/>
  <c r="ER133" i="24" s="1"/>
  <c r="EK111" i="24"/>
  <c r="FC111" i="24" s="1"/>
  <c r="FE111" i="24" s="1"/>
  <c r="FF111" i="24" s="1"/>
  <c r="EZ52" i="24"/>
  <c r="FB52" i="24" s="1"/>
  <c r="EW126" i="24"/>
  <c r="FB126" i="24" s="1"/>
  <c r="EW127" i="24"/>
  <c r="FB127" i="24" s="1"/>
  <c r="FC128" i="25"/>
  <c r="FE128" i="25" s="1"/>
  <c r="FF128" i="25" s="1"/>
  <c r="FC64" i="25"/>
  <c r="FE64" i="25" s="1"/>
  <c r="FF64" i="25" s="1"/>
  <c r="FC103" i="25"/>
  <c r="FE103" i="25" s="1"/>
  <c r="FF103" i="25" s="1"/>
  <c r="EP96" i="25"/>
  <c r="EW104" i="24"/>
  <c r="EZ104" i="24" s="1"/>
  <c r="FB104" i="24" s="1"/>
  <c r="EW136" i="24"/>
  <c r="FB136" i="24" s="1"/>
  <c r="FC89" i="25"/>
  <c r="FE89" i="25" s="1"/>
  <c r="FF89" i="25" s="1"/>
  <c r="EW48" i="24"/>
  <c r="EZ48" i="24" s="1"/>
  <c r="EW30" i="24"/>
  <c r="EZ30" i="24" s="1"/>
  <c r="FB30" i="24" s="1"/>
  <c r="FC93" i="25"/>
  <c r="FE93" i="25" s="1"/>
  <c r="FF93" i="25" s="1"/>
  <c r="FC145" i="25"/>
  <c r="FE145" i="25" s="1"/>
  <c r="FF145" i="25" s="1"/>
  <c r="FB111" i="24"/>
  <c r="EP47" i="25"/>
  <c r="FC156" i="25"/>
  <c r="FE156" i="25" s="1"/>
  <c r="FF156" i="25" s="1"/>
  <c r="FC183" i="25"/>
  <c r="FE183" i="25" s="1"/>
  <c r="FF183" i="25" s="1"/>
  <c r="EK14" i="24"/>
  <c r="EQ14" i="24" s="1"/>
  <c r="FB192" i="24"/>
  <c r="EZ63" i="24"/>
  <c r="FB63" i="24" s="1"/>
  <c r="EK55" i="24"/>
  <c r="EQ55" i="24" s="1"/>
  <c r="ER55" i="24" s="1"/>
  <c r="EK40" i="24"/>
  <c r="EQ40" i="24" s="1"/>
  <c r="ER40" i="24" s="1"/>
  <c r="EW71" i="24"/>
  <c r="EZ71" i="24" s="1"/>
  <c r="FB172" i="24"/>
  <c r="EW29" i="24"/>
  <c r="EZ29" i="24" s="1"/>
  <c r="FB29" i="24" s="1"/>
  <c r="EW199" i="24"/>
  <c r="FB199" i="24" s="1"/>
  <c r="EZ14" i="24"/>
  <c r="FB14" i="24" s="1"/>
  <c r="FC131" i="25"/>
  <c r="FE131" i="25" s="1"/>
  <c r="FF131" i="25" s="1"/>
  <c r="FC74" i="25"/>
  <c r="FE74" i="25" s="1"/>
  <c r="FF74" i="25" s="1"/>
  <c r="EK62" i="24"/>
  <c r="EQ62" i="24" s="1"/>
  <c r="ER62" i="24" s="1"/>
  <c r="FC185" i="25"/>
  <c r="FE185" i="25" s="1"/>
  <c r="FF185" i="25" s="1"/>
  <c r="EZ81" i="24"/>
  <c r="FB81" i="24" s="1"/>
  <c r="EK192" i="24"/>
  <c r="ER192" i="24" s="1"/>
  <c r="EK172" i="24"/>
  <c r="ER172" i="24" s="1"/>
  <c r="FB159" i="24"/>
  <c r="EW147" i="24"/>
  <c r="FC147" i="24" s="1"/>
  <c r="FE147" i="24" s="1"/>
  <c r="FF147" i="24" s="1"/>
  <c r="FC173" i="25"/>
  <c r="FE173" i="25" s="1"/>
  <c r="FF173" i="25" s="1"/>
  <c r="FC17" i="25"/>
  <c r="FE17" i="25" s="1"/>
  <c r="FF17" i="25" s="1"/>
  <c r="FC33" i="25"/>
  <c r="FE33" i="25" s="1"/>
  <c r="FF33" i="25" s="1"/>
  <c r="EP158" i="25"/>
  <c r="FC97" i="25"/>
  <c r="FE97" i="25" s="1"/>
  <c r="FF97" i="25" s="1"/>
  <c r="FB170" i="24"/>
  <c r="FC95" i="25"/>
  <c r="FE95" i="25" s="1"/>
  <c r="FF95" i="25" s="1"/>
  <c r="EP95" i="25"/>
  <c r="EK170" i="24"/>
  <c r="FC170" i="24" s="1"/>
  <c r="FE170" i="24" s="1"/>
  <c r="FF170" i="24" s="1"/>
  <c r="EK81" i="24"/>
  <c r="EQ81" i="24" s="1"/>
  <c r="ER81" i="24" s="1"/>
  <c r="EK43" i="24"/>
  <c r="EQ43" i="24" s="1"/>
  <c r="ER43" i="24" s="1"/>
  <c r="EK23" i="24"/>
  <c r="EQ23" i="24" s="1"/>
  <c r="ER23" i="24" s="1"/>
  <c r="FC99" i="25"/>
  <c r="FE99" i="25" s="1"/>
  <c r="FF99" i="25" s="1"/>
  <c r="FC90" i="25"/>
  <c r="FE90" i="25" s="1"/>
  <c r="FF90" i="25" s="1"/>
  <c r="EP199" i="25"/>
  <c r="FC77" i="25"/>
  <c r="FE77" i="25" s="1"/>
  <c r="FF77" i="25" s="1"/>
  <c r="FC58" i="25"/>
  <c r="FE58" i="25" s="1"/>
  <c r="FF58" i="25" s="1"/>
  <c r="EP137" i="25"/>
  <c r="FC37" i="25"/>
  <c r="FE37" i="25" s="1"/>
  <c r="FF37" i="25" s="1"/>
  <c r="FC42" i="25"/>
  <c r="FE42" i="25" s="1"/>
  <c r="FF42" i="25" s="1"/>
  <c r="FC73" i="25"/>
  <c r="FE73" i="25" s="1"/>
  <c r="FF73" i="25" s="1"/>
  <c r="FC56" i="25"/>
  <c r="FE56" i="25" s="1"/>
  <c r="FF56" i="25" s="1"/>
  <c r="EW10" i="24"/>
  <c r="EZ10" i="24" s="1"/>
  <c r="FB10" i="24" s="1"/>
  <c r="FB169" i="25"/>
  <c r="FC178" i="25"/>
  <c r="FE178" i="25" s="1"/>
  <c r="FF178" i="25" s="1"/>
  <c r="EZ40" i="24"/>
  <c r="FB40" i="24" s="1"/>
  <c r="FC194" i="25"/>
  <c r="FE194" i="25" s="1"/>
  <c r="FF194" i="25" s="1"/>
  <c r="S216" i="24"/>
  <c r="T216" i="24" s="1"/>
  <c r="M216" i="24"/>
  <c r="N216" i="24" s="1"/>
  <c r="EK90" i="24"/>
  <c r="EQ90" i="24" s="1"/>
  <c r="EW90" i="24"/>
  <c r="EZ90" i="24" s="1"/>
  <c r="FB90" i="24" s="1"/>
  <c r="FB142" i="24"/>
  <c r="EK99" i="24"/>
  <c r="EQ99" i="24" s="1"/>
  <c r="ER99" i="24" s="1"/>
  <c r="EW124" i="24"/>
  <c r="FB124" i="24" s="1"/>
  <c r="FC171" i="25"/>
  <c r="FE171" i="25" s="1"/>
  <c r="FF171" i="25" s="1"/>
  <c r="EZ99" i="24"/>
  <c r="FB99" i="24" s="1"/>
  <c r="FC83" i="25"/>
  <c r="FE83" i="25" s="1"/>
  <c r="FF83" i="25" s="1"/>
  <c r="FC129" i="25"/>
  <c r="FE129" i="25" s="1"/>
  <c r="FF129" i="25" s="1"/>
  <c r="EP141" i="25"/>
  <c r="EZ23" i="24"/>
  <c r="FB23" i="24" s="1"/>
  <c r="EW201" i="24"/>
  <c r="FB201" i="24" s="1"/>
  <c r="EZ67" i="24"/>
  <c r="FB67" i="24" s="1"/>
  <c r="EZ77" i="24"/>
  <c r="FB77" i="24" s="1"/>
  <c r="FC25" i="25"/>
  <c r="FE25" i="25" s="1"/>
  <c r="FF25" i="25" s="1"/>
  <c r="Q110" i="24"/>
  <c r="AP110" i="24"/>
  <c r="P110" i="24"/>
  <c r="V110" i="24"/>
  <c r="W110" i="24"/>
  <c r="AE110" i="24"/>
  <c r="AI110" i="24"/>
  <c r="X110" i="24"/>
  <c r="AA110" i="24" s="1"/>
  <c r="AB110" i="24" s="1"/>
  <c r="AC110" i="24" s="1"/>
  <c r="FC49" i="25"/>
  <c r="FE49" i="25" s="1"/>
  <c r="FF49" i="25" s="1"/>
  <c r="FC34" i="25"/>
  <c r="FE34" i="25" s="1"/>
  <c r="FF34" i="25" s="1"/>
  <c r="FC81" i="25"/>
  <c r="FE81" i="25" s="1"/>
  <c r="FF81" i="25" s="1"/>
  <c r="EP180" i="25"/>
  <c r="FC87" i="25"/>
  <c r="FE87" i="25" s="1"/>
  <c r="FF87" i="25" s="1"/>
  <c r="FC9" i="25"/>
  <c r="FE9" i="25" s="1"/>
  <c r="FF9" i="25" s="1"/>
  <c r="FC111" i="25"/>
  <c r="FE111" i="25" s="1"/>
  <c r="FF111" i="25" s="1"/>
  <c r="FC23" i="25"/>
  <c r="FE23" i="25" s="1"/>
  <c r="FF23" i="25" s="1"/>
  <c r="EW13" i="24"/>
  <c r="EZ13" i="24" s="1"/>
  <c r="FB13" i="24" s="1"/>
  <c r="EZ62" i="24"/>
  <c r="FB62" i="24" s="1"/>
  <c r="FC72" i="25"/>
  <c r="FE72" i="25" s="1"/>
  <c r="FF72" i="25" s="1"/>
  <c r="EP72" i="25"/>
  <c r="EP10" i="25"/>
  <c r="FC10" i="25"/>
  <c r="FE10" i="25" s="1"/>
  <c r="FF10" i="25" s="1"/>
  <c r="EP210" i="25"/>
  <c r="FC210" i="25"/>
  <c r="FE210" i="25" s="1"/>
  <c r="FF210" i="25" s="1"/>
  <c r="FC195" i="25"/>
  <c r="FE195" i="25" s="1"/>
  <c r="FF195" i="25" s="1"/>
  <c r="EP195" i="25"/>
  <c r="EP134" i="25"/>
  <c r="FC134" i="25"/>
  <c r="FE134" i="25" s="1"/>
  <c r="FF134" i="25" s="1"/>
  <c r="FC60" i="25"/>
  <c r="FE60" i="25" s="1"/>
  <c r="FF60" i="25" s="1"/>
  <c r="EP60" i="25"/>
  <c r="EP154" i="25"/>
  <c r="FC154" i="25"/>
  <c r="FE154" i="25" s="1"/>
  <c r="FF154" i="25" s="1"/>
  <c r="EP150" i="25"/>
  <c r="FC150" i="25"/>
  <c r="FE150" i="25" s="1"/>
  <c r="FF150" i="25" s="1"/>
  <c r="FC113" i="25"/>
  <c r="FE113" i="25" s="1"/>
  <c r="FF113" i="25" s="1"/>
  <c r="EP113" i="25"/>
  <c r="FC148" i="25"/>
  <c r="FE148" i="25" s="1"/>
  <c r="FF148" i="25" s="1"/>
  <c r="EP148" i="25"/>
  <c r="EP20" i="25"/>
  <c r="FC20" i="25"/>
  <c r="FE20" i="25" s="1"/>
  <c r="FF20" i="25" s="1"/>
  <c r="EP142" i="25"/>
  <c r="FC142" i="25"/>
  <c r="FE142" i="25" s="1"/>
  <c r="FF142" i="25" s="1"/>
  <c r="EP53" i="25"/>
  <c r="FC53" i="25"/>
  <c r="FE53" i="25" s="1"/>
  <c r="FF53" i="25" s="1"/>
  <c r="EP196" i="25"/>
  <c r="FC196" i="25"/>
  <c r="FE196" i="25" s="1"/>
  <c r="FF196" i="25" s="1"/>
  <c r="FC16" i="25"/>
  <c r="FE16" i="25" s="1"/>
  <c r="FF16" i="25" s="1"/>
  <c r="EP16" i="25"/>
  <c r="FC202" i="25"/>
  <c r="FE202" i="25" s="1"/>
  <c r="FF202" i="25" s="1"/>
  <c r="EP202" i="25"/>
  <c r="FC152" i="25"/>
  <c r="FE152" i="25" s="1"/>
  <c r="FF152" i="25" s="1"/>
  <c r="EP152" i="25"/>
  <c r="EP167" i="25"/>
  <c r="FC167" i="25"/>
  <c r="FE167" i="25" s="1"/>
  <c r="FF167" i="25" s="1"/>
  <c r="FC127" i="25"/>
  <c r="FE127" i="25" s="1"/>
  <c r="FF127" i="25" s="1"/>
  <c r="EP127" i="25"/>
  <c r="FC163" i="25"/>
  <c r="FE163" i="25" s="1"/>
  <c r="FF163" i="25" s="1"/>
  <c r="EP163" i="25"/>
  <c r="FC110" i="25"/>
  <c r="FE110" i="25" s="1"/>
  <c r="FF110" i="25" s="1"/>
  <c r="EP110" i="25"/>
  <c r="FC124" i="25"/>
  <c r="FE124" i="25" s="1"/>
  <c r="FF124" i="25" s="1"/>
  <c r="EP124" i="25"/>
  <c r="EP125" i="25"/>
  <c r="FC125" i="25"/>
  <c r="FE125" i="25" s="1"/>
  <c r="FF125" i="25" s="1"/>
  <c r="FC52" i="25"/>
  <c r="FE52" i="25" s="1"/>
  <c r="FF52" i="25" s="1"/>
  <c r="EP52" i="25"/>
  <c r="FC126" i="25"/>
  <c r="FE126" i="25" s="1"/>
  <c r="FF126" i="25" s="1"/>
  <c r="EP126" i="25"/>
  <c r="FC184" i="25"/>
  <c r="FE184" i="25" s="1"/>
  <c r="FF184" i="25" s="1"/>
  <c r="EP184" i="25"/>
  <c r="EP188" i="25"/>
  <c r="FC188" i="25"/>
  <c r="FE188" i="25" s="1"/>
  <c r="FF188" i="25" s="1"/>
  <c r="EP86" i="25"/>
  <c r="FC86" i="25"/>
  <c r="FE86" i="25" s="1"/>
  <c r="FF86" i="25" s="1"/>
  <c r="EP114" i="25"/>
  <c r="FC114" i="25"/>
  <c r="FE114" i="25" s="1"/>
  <c r="FF114" i="25" s="1"/>
  <c r="EP65" i="25"/>
  <c r="FC65" i="25"/>
  <c r="FE65" i="25" s="1"/>
  <c r="FF65" i="25" s="1"/>
  <c r="FC79" i="25"/>
  <c r="FE79" i="25" s="1"/>
  <c r="FF79" i="25" s="1"/>
  <c r="EP79" i="25"/>
  <c r="FC166" i="25"/>
  <c r="FE166" i="25" s="1"/>
  <c r="FF166" i="25" s="1"/>
  <c r="EP166" i="25"/>
  <c r="FC203" i="25"/>
  <c r="FE203" i="25" s="1"/>
  <c r="FF203" i="25" s="1"/>
  <c r="EP203" i="25"/>
  <c r="FC198" i="25"/>
  <c r="FE198" i="25" s="1"/>
  <c r="FF198" i="25" s="1"/>
  <c r="EP198" i="25"/>
  <c r="EP51" i="25"/>
  <c r="FC51" i="25"/>
  <c r="FE51" i="25" s="1"/>
  <c r="FF51" i="25" s="1"/>
  <c r="FC55" i="25"/>
  <c r="FE55" i="25" s="1"/>
  <c r="FF55" i="25" s="1"/>
  <c r="EP55" i="25"/>
  <c r="FC31" i="25"/>
  <c r="FE31" i="25" s="1"/>
  <c r="FF31" i="25" s="1"/>
  <c r="EP31" i="25"/>
  <c r="EP82" i="25"/>
  <c r="FC82" i="25"/>
  <c r="FE82" i="25" s="1"/>
  <c r="FF82" i="25" s="1"/>
  <c r="EP61" i="25"/>
  <c r="FC61" i="25"/>
  <c r="FE61" i="25" s="1"/>
  <c r="FF61" i="25" s="1"/>
  <c r="FC140" i="25"/>
  <c r="FE140" i="25" s="1"/>
  <c r="FF140" i="25" s="1"/>
  <c r="EP140" i="25"/>
  <c r="EP193" i="25"/>
  <c r="FC193" i="25"/>
  <c r="FE193" i="25" s="1"/>
  <c r="FF193" i="25" s="1"/>
  <c r="FC117" i="25"/>
  <c r="FE117" i="25" s="1"/>
  <c r="FF117" i="25" s="1"/>
  <c r="EP117" i="25"/>
  <c r="FC175" i="25"/>
  <c r="FE175" i="25" s="1"/>
  <c r="FF175" i="25" s="1"/>
  <c r="EP175" i="25"/>
  <c r="FC172" i="25"/>
  <c r="FE172" i="25" s="1"/>
  <c r="FF172" i="25" s="1"/>
  <c r="EP172" i="25"/>
  <c r="EP26" i="25"/>
  <c r="FC26" i="25"/>
  <c r="FE26" i="25" s="1"/>
  <c r="FF26" i="25" s="1"/>
  <c r="EP68" i="25"/>
  <c r="FC68" i="25"/>
  <c r="FE68" i="25" s="1"/>
  <c r="FF68" i="25" s="1"/>
  <c r="EP192" i="25"/>
  <c r="FC192" i="25"/>
  <c r="FE192" i="25" s="1"/>
  <c r="FF192" i="25" s="1"/>
  <c r="EP209" i="25"/>
  <c r="FC209" i="25"/>
  <c r="FE209" i="25" s="1"/>
  <c r="FF209" i="25" s="1"/>
  <c r="FC186" i="25"/>
  <c r="FE186" i="25" s="1"/>
  <c r="FF186" i="25" s="1"/>
  <c r="EP186" i="25"/>
  <c r="FC7" i="25"/>
  <c r="FE7" i="25" s="1"/>
  <c r="FF7" i="25" s="1"/>
  <c r="EP7" i="25"/>
  <c r="EP122" i="25"/>
  <c r="FC122" i="25"/>
  <c r="FE122" i="25" s="1"/>
  <c r="FF122" i="25" s="1"/>
  <c r="EP146" i="25"/>
  <c r="FC146" i="25"/>
  <c r="FE146" i="25" s="1"/>
  <c r="FF146" i="25" s="1"/>
  <c r="EP12" i="25"/>
  <c r="FC12" i="25"/>
  <c r="FE12" i="25" s="1"/>
  <c r="FF12" i="25" s="1"/>
  <c r="FC190" i="25"/>
  <c r="FE190" i="25" s="1"/>
  <c r="FF190" i="25" s="1"/>
  <c r="EP190" i="25"/>
  <c r="FC22" i="25"/>
  <c r="FE22" i="25" s="1"/>
  <c r="FF22" i="25" s="1"/>
  <c r="EP22" i="25"/>
  <c r="EP200" i="25"/>
  <c r="FC200" i="25"/>
  <c r="FE200" i="25" s="1"/>
  <c r="FF200" i="25" s="1"/>
  <c r="EP21" i="25"/>
  <c r="FC21" i="25"/>
  <c r="FE21" i="25" s="1"/>
  <c r="FF21" i="25" s="1"/>
  <c r="EP57" i="25"/>
  <c r="FC57" i="25"/>
  <c r="FE57" i="25" s="1"/>
  <c r="FF57" i="25" s="1"/>
  <c r="FC46" i="25"/>
  <c r="FE46" i="25" s="1"/>
  <c r="FF46" i="25" s="1"/>
  <c r="EP46" i="25"/>
  <c r="EP8" i="25"/>
  <c r="FC8" i="25"/>
  <c r="FE8" i="25" s="1"/>
  <c r="FF8" i="25" s="1"/>
  <c r="FC35" i="25"/>
  <c r="FE35" i="25" s="1"/>
  <c r="FF35" i="25" s="1"/>
  <c r="EP35" i="25"/>
  <c r="EP91" i="25"/>
  <c r="FC91" i="25"/>
  <c r="FE91" i="25" s="1"/>
  <c r="FF91" i="25" s="1"/>
  <c r="EP40" i="25"/>
  <c r="FC40" i="25"/>
  <c r="FE40" i="25" s="1"/>
  <c r="FF40" i="25" s="1"/>
  <c r="EP19" i="25"/>
  <c r="FC19" i="25"/>
  <c r="FE19" i="25" s="1"/>
  <c r="FF19" i="25" s="1"/>
  <c r="FC6" i="25"/>
  <c r="FE6" i="25" s="1"/>
  <c r="FF6" i="25" s="1"/>
  <c r="EP6" i="25"/>
  <c r="EP41" i="25"/>
  <c r="FC41" i="25"/>
  <c r="FE41" i="25" s="1"/>
  <c r="FF41" i="25" s="1"/>
  <c r="EP123" i="25"/>
  <c r="FC123" i="25"/>
  <c r="FE123" i="25" s="1"/>
  <c r="FF123" i="25" s="1"/>
  <c r="EP11" i="25"/>
  <c r="FC11" i="25"/>
  <c r="FE11" i="25" s="1"/>
  <c r="FF11" i="25" s="1"/>
  <c r="EP29" i="25"/>
  <c r="FC29" i="25"/>
  <c r="FE29" i="25" s="1"/>
  <c r="FF29" i="25" s="1"/>
  <c r="FC206" i="25"/>
  <c r="FE206" i="25" s="1"/>
  <c r="FF206" i="25" s="1"/>
  <c r="EP206" i="25"/>
  <c r="EP139" i="25"/>
  <c r="FC139" i="25"/>
  <c r="FE139" i="25" s="1"/>
  <c r="FF139" i="25" s="1"/>
  <c r="EP36" i="25"/>
  <c r="FC36" i="25"/>
  <c r="FE36" i="25" s="1"/>
  <c r="FF36" i="25" s="1"/>
  <c r="FC189" i="25"/>
  <c r="FE189" i="25" s="1"/>
  <c r="FF189" i="25" s="1"/>
  <c r="EP189" i="25"/>
  <c r="EP105" i="25"/>
  <c r="FC105" i="25"/>
  <c r="FE105" i="25" s="1"/>
  <c r="FF105" i="25" s="1"/>
  <c r="FC94" i="25"/>
  <c r="FE94" i="25" s="1"/>
  <c r="FF94" i="25" s="1"/>
  <c r="EP94" i="25"/>
  <c r="FC30" i="25"/>
  <c r="FE30" i="25" s="1"/>
  <c r="FF30" i="25" s="1"/>
  <c r="EP30" i="25"/>
  <c r="FC197" i="25"/>
  <c r="FE197" i="25" s="1"/>
  <c r="FF197" i="25" s="1"/>
  <c r="EP197" i="25"/>
  <c r="EP54" i="25"/>
  <c r="FC54" i="25"/>
  <c r="FE54" i="25" s="1"/>
  <c r="FF54" i="25" s="1"/>
  <c r="FC174" i="25"/>
  <c r="FE174" i="25" s="1"/>
  <c r="FF174" i="25" s="1"/>
  <c r="EP174" i="25"/>
  <c r="FC24" i="25"/>
  <c r="FE24" i="25" s="1"/>
  <c r="FF24" i="25" s="1"/>
  <c r="EP24" i="25"/>
  <c r="FC98" i="25"/>
  <c r="FE98" i="25" s="1"/>
  <c r="FF98" i="25" s="1"/>
  <c r="EP98" i="25"/>
  <c r="FC121" i="25"/>
  <c r="FE121" i="25" s="1"/>
  <c r="FF121" i="25" s="1"/>
  <c r="EP121" i="25"/>
  <c r="EP50" i="25"/>
  <c r="FC50" i="25"/>
  <c r="FE50" i="25" s="1"/>
  <c r="FF50" i="25" s="1"/>
  <c r="FC32" i="25"/>
  <c r="FE32" i="25" s="1"/>
  <c r="FF32" i="25" s="1"/>
  <c r="EP32" i="25"/>
  <c r="EP149" i="25"/>
  <c r="FC149" i="25"/>
  <c r="FE149" i="25" s="1"/>
  <c r="FF149" i="25" s="1"/>
  <c r="FC14" i="25"/>
  <c r="FE14" i="25" s="1"/>
  <c r="FF14" i="25" s="1"/>
  <c r="EP14" i="25"/>
  <c r="FC165" i="25"/>
  <c r="FE165" i="25" s="1"/>
  <c r="FF165" i="25" s="1"/>
  <c r="EP165" i="25"/>
  <c r="FC204" i="25"/>
  <c r="FE204" i="25" s="1"/>
  <c r="FF204" i="25" s="1"/>
  <c r="EP204" i="25"/>
  <c r="EP207" i="25"/>
  <c r="FC207" i="25"/>
  <c r="FE207" i="25" s="1"/>
  <c r="FF207" i="25" s="1"/>
  <c r="FC27" i="25"/>
  <c r="FE27" i="25" s="1"/>
  <c r="FF27" i="25" s="1"/>
  <c r="EP27" i="25"/>
  <c r="FC135" i="25"/>
  <c r="FE135" i="25" s="1"/>
  <c r="FF135" i="25" s="1"/>
  <c r="EP135" i="25"/>
  <c r="FC84" i="25"/>
  <c r="FE84" i="25" s="1"/>
  <c r="FF84" i="25" s="1"/>
  <c r="EP84" i="25"/>
  <c r="EP147" i="25"/>
  <c r="FC147" i="25"/>
  <c r="FE147" i="25" s="1"/>
  <c r="FF147" i="25" s="1"/>
  <c r="EP155" i="25"/>
  <c r="FC155" i="25"/>
  <c r="FE155" i="25" s="1"/>
  <c r="FF155" i="25" s="1"/>
  <c r="FC88" i="25"/>
  <c r="FE88" i="25" s="1"/>
  <c r="FF88" i="25" s="1"/>
  <c r="EP88" i="25"/>
  <c r="FC85" i="25"/>
  <c r="FE85" i="25" s="1"/>
  <c r="FF85" i="25" s="1"/>
  <c r="EP85" i="25"/>
  <c r="FC67" i="25"/>
  <c r="FE67" i="25" s="1"/>
  <c r="FF67" i="25" s="1"/>
  <c r="EP67" i="25"/>
  <c r="EP39" i="25"/>
  <c r="FC39" i="25"/>
  <c r="FE39" i="25" s="1"/>
  <c r="FF39" i="25" s="1"/>
  <c r="FC132" i="25"/>
  <c r="FE132" i="25" s="1"/>
  <c r="FF132" i="25" s="1"/>
  <c r="EP132" i="25"/>
  <c r="FC205" i="25"/>
  <c r="FE205" i="25" s="1"/>
  <c r="FF205" i="25" s="1"/>
  <c r="EP205" i="25"/>
  <c r="FC102" i="25"/>
  <c r="FE102" i="25" s="1"/>
  <c r="FF102" i="25" s="1"/>
  <c r="EP102" i="25"/>
  <c r="EP160" i="25"/>
  <c r="FC160" i="25"/>
  <c r="FE160" i="25" s="1"/>
  <c r="FF160" i="25" s="1"/>
  <c r="FC120" i="25"/>
  <c r="FE120" i="25" s="1"/>
  <c r="FF120" i="25" s="1"/>
  <c r="EP120" i="25"/>
  <c r="EP44" i="25"/>
  <c r="FC44" i="25"/>
  <c r="FE44" i="25" s="1"/>
  <c r="FF44" i="25" s="1"/>
  <c r="FC177" i="25"/>
  <c r="FE177" i="25" s="1"/>
  <c r="FF177" i="25" s="1"/>
  <c r="EP177" i="25"/>
  <c r="EP208" i="25"/>
  <c r="FC208" i="25"/>
  <c r="FE208" i="25" s="1"/>
  <c r="FF208" i="25" s="1"/>
  <c r="EP170" i="25"/>
  <c r="FC170" i="25"/>
  <c r="FE170" i="25" s="1"/>
  <c r="FF170" i="25" s="1"/>
  <c r="EP45" i="25"/>
  <c r="FC45" i="25"/>
  <c r="FE45" i="25" s="1"/>
  <c r="FF45" i="25" s="1"/>
  <c r="FC115" i="25"/>
  <c r="FE115" i="25" s="1"/>
  <c r="FF115" i="25" s="1"/>
  <c r="EP115" i="25"/>
  <c r="EP162" i="25"/>
  <c r="FC162" i="25"/>
  <c r="FE162" i="25" s="1"/>
  <c r="FF162" i="25" s="1"/>
  <c r="EP201" i="25"/>
  <c r="FC201" i="25"/>
  <c r="FE201" i="25" s="1"/>
  <c r="FF201" i="25" s="1"/>
  <c r="EP69" i="25"/>
  <c r="FC69" i="25"/>
  <c r="FE69" i="25" s="1"/>
  <c r="FF69" i="25" s="1"/>
  <c r="FC151" i="25"/>
  <c r="FE151" i="25" s="1"/>
  <c r="FF151" i="25" s="1"/>
  <c r="EP151" i="25"/>
  <c r="EP176" i="25"/>
  <c r="FC176" i="25"/>
  <c r="FE176" i="25" s="1"/>
  <c r="FF176" i="25" s="1"/>
  <c r="EP130" i="25"/>
  <c r="FC130" i="25"/>
  <c r="FE130" i="25" s="1"/>
  <c r="FF130" i="25" s="1"/>
  <c r="FC187" i="25"/>
  <c r="FE187" i="25" s="1"/>
  <c r="FF187" i="25" s="1"/>
  <c r="EP187" i="25"/>
  <c r="EP161" i="25"/>
  <c r="FC161" i="25"/>
  <c r="FE161" i="25" s="1"/>
  <c r="FF161" i="25" s="1"/>
  <c r="EP179" i="25"/>
  <c r="FC179" i="25"/>
  <c r="FE179" i="25" s="1"/>
  <c r="FF179" i="25" s="1"/>
  <c r="FC66" i="25"/>
  <c r="FE66" i="25" s="1"/>
  <c r="FF66" i="25" s="1"/>
  <c r="EP66" i="25"/>
  <c r="EP78" i="25"/>
  <c r="FC78" i="25"/>
  <c r="FE78" i="25" s="1"/>
  <c r="FF78" i="25" s="1"/>
  <c r="FC119" i="25"/>
  <c r="FE119" i="25" s="1"/>
  <c r="FF119" i="25" s="1"/>
  <c r="EP119" i="25"/>
  <c r="EP76" i="25"/>
  <c r="FC76" i="25"/>
  <c r="FE76" i="25" s="1"/>
  <c r="FF76" i="25" s="1"/>
  <c r="EP100" i="25"/>
  <c r="FC100" i="25"/>
  <c r="FE100" i="25" s="1"/>
  <c r="FF100" i="25" s="1"/>
  <c r="EP71" i="25"/>
  <c r="FC71" i="25"/>
  <c r="FE71" i="25" s="1"/>
  <c r="FF71" i="25" s="1"/>
  <c r="EP80" i="25"/>
  <c r="FC80" i="25"/>
  <c r="FE80" i="25" s="1"/>
  <c r="FF80" i="25" s="1"/>
  <c r="EP15" i="25"/>
  <c r="FC15" i="25"/>
  <c r="FE15" i="25" s="1"/>
  <c r="FF15" i="25" s="1"/>
  <c r="FC153" i="25"/>
  <c r="FE153" i="25" s="1"/>
  <c r="FF153" i="25" s="1"/>
  <c r="EP153" i="25"/>
  <c r="EP159" i="25"/>
  <c r="FC159" i="25"/>
  <c r="FE159" i="25" s="1"/>
  <c r="FF159" i="25" s="1"/>
  <c r="FC28" i="25"/>
  <c r="FE28" i="25" s="1"/>
  <c r="FF28" i="25" s="1"/>
  <c r="EP28" i="25"/>
  <c r="EP116" i="25"/>
  <c r="FC116" i="25"/>
  <c r="FE116" i="25" s="1"/>
  <c r="FF116" i="25" s="1"/>
  <c r="EP157" i="25"/>
  <c r="FC157" i="25"/>
  <c r="FE157" i="25" s="1"/>
  <c r="FF157" i="25" s="1"/>
  <c r="EP70" i="25"/>
  <c r="FC70" i="25"/>
  <c r="FE70" i="25" s="1"/>
  <c r="FF70" i="25" s="1"/>
  <c r="FC191" i="25"/>
  <c r="FE191" i="25" s="1"/>
  <c r="FF191" i="25" s="1"/>
  <c r="EP191" i="25"/>
  <c r="EP168" i="25"/>
  <c r="FC168" i="25"/>
  <c r="FE168" i="25" s="1"/>
  <c r="FF168" i="25" s="1"/>
  <c r="EP101" i="25"/>
  <c r="FC101" i="25"/>
  <c r="FE101" i="25" s="1"/>
  <c r="FF101" i="25" s="1"/>
  <c r="FC62" i="25"/>
  <c r="FE62" i="25" s="1"/>
  <c r="FF62" i="25" s="1"/>
  <c r="EP62" i="25"/>
  <c r="FC63" i="25"/>
  <c r="FE63" i="25" s="1"/>
  <c r="FF63" i="25" s="1"/>
  <c r="EP63" i="25"/>
  <c r="FC75" i="25"/>
  <c r="FE75" i="25" s="1"/>
  <c r="FF75" i="25" s="1"/>
  <c r="EP75" i="25"/>
  <c r="EP18" i="25"/>
  <c r="FC18" i="25"/>
  <c r="FE18" i="25" s="1"/>
  <c r="FF18" i="25" s="1"/>
  <c r="FC13" i="25"/>
  <c r="FE13" i="25" s="1"/>
  <c r="FF13" i="25" s="1"/>
  <c r="EP13" i="25"/>
  <c r="FC59" i="25"/>
  <c r="FE59" i="25" s="1"/>
  <c r="FF59" i="25" s="1"/>
  <c r="EP59" i="25"/>
  <c r="FC104" i="25"/>
  <c r="FE104" i="25" s="1"/>
  <c r="FF104" i="25" s="1"/>
  <c r="EP104" i="25"/>
  <c r="FC43" i="25"/>
  <c r="FE43" i="25" s="1"/>
  <c r="FF43" i="25" s="1"/>
  <c r="EP43" i="25"/>
  <c r="EP38" i="25"/>
  <c r="FC38" i="25"/>
  <c r="FE38" i="25" s="1"/>
  <c r="FF38" i="25" s="1"/>
  <c r="EP118" i="25"/>
  <c r="FC118" i="25"/>
  <c r="FE118" i="25" s="1"/>
  <c r="FF118" i="25" s="1"/>
  <c r="EP144" i="25"/>
  <c r="FC144" i="25"/>
  <c r="FE144" i="25" s="1"/>
  <c r="FF144" i="25" s="1"/>
  <c r="EP133" i="25"/>
  <c r="FC133" i="25"/>
  <c r="FE133" i="25" s="1"/>
  <c r="FF133" i="25" s="1"/>
  <c r="EP92" i="25"/>
  <c r="FC92" i="25"/>
  <c r="FE92" i="25" s="1"/>
  <c r="FF92" i="25" s="1"/>
  <c r="FC48" i="25"/>
  <c r="FE48" i="25" s="1"/>
  <c r="FF48" i="25" s="1"/>
  <c r="EP48" i="25"/>
  <c r="EW125" i="24"/>
  <c r="FB125" i="24" s="1"/>
  <c r="EK125" i="24"/>
  <c r="EK151" i="24"/>
  <c r="EW151" i="24"/>
  <c r="FB151" i="24" s="1"/>
  <c r="EK137" i="24"/>
  <c r="EW137" i="24"/>
  <c r="FB137" i="24" s="1"/>
  <c r="EW180" i="24"/>
  <c r="FB180" i="24" s="1"/>
  <c r="EK180" i="24"/>
  <c r="EK129" i="24"/>
  <c r="EW129" i="24"/>
  <c r="FB129" i="24" s="1"/>
  <c r="EW64" i="24"/>
  <c r="EZ64" i="24" s="1"/>
  <c r="FB64" i="24" s="1"/>
  <c r="EK64" i="24"/>
  <c r="EQ64" i="24" s="1"/>
  <c r="EK205" i="24"/>
  <c r="EW205" i="24"/>
  <c r="FB205" i="24" s="1"/>
  <c r="EW7" i="24"/>
  <c r="EZ7" i="24" s="1"/>
  <c r="FB7" i="24" s="1"/>
  <c r="EK7" i="24"/>
  <c r="EQ7" i="24" s="1"/>
  <c r="ER30" i="24"/>
  <c r="EK187" i="24"/>
  <c r="EW187" i="24"/>
  <c r="FB187" i="24" s="1"/>
  <c r="EW128" i="24"/>
  <c r="FB128" i="24" s="1"/>
  <c r="EK128" i="24"/>
  <c r="EW88" i="24"/>
  <c r="EZ88" i="24" s="1"/>
  <c r="FB88" i="24" s="1"/>
  <c r="EK88" i="24"/>
  <c r="EQ88" i="24" s="1"/>
  <c r="EK188" i="24"/>
  <c r="EW188" i="24"/>
  <c r="FB188" i="24" s="1"/>
  <c r="EK189" i="24"/>
  <c r="EW189" i="24"/>
  <c r="FB189" i="24" s="1"/>
  <c r="EW20" i="24"/>
  <c r="EZ20" i="24" s="1"/>
  <c r="FB20" i="24" s="1"/>
  <c r="EK20" i="24"/>
  <c r="EQ20" i="24" s="1"/>
  <c r="EK120" i="24"/>
  <c r="EW120" i="24"/>
  <c r="FB120" i="24" s="1"/>
  <c r="EW86" i="24"/>
  <c r="EZ86" i="24" s="1"/>
  <c r="FB86" i="24" s="1"/>
  <c r="EK86" i="24"/>
  <c r="EQ86" i="24" s="1"/>
  <c r="EW113" i="24"/>
  <c r="FB113" i="24" s="1"/>
  <c r="EK113" i="24"/>
  <c r="EK46" i="24"/>
  <c r="EQ46" i="24" s="1"/>
  <c r="EW46" i="24"/>
  <c r="EZ46" i="24" s="1"/>
  <c r="FB46" i="24" s="1"/>
  <c r="EW116" i="24"/>
  <c r="FB116" i="24" s="1"/>
  <c r="EK116" i="24"/>
  <c r="EK206" i="24"/>
  <c r="EW206" i="24"/>
  <c r="FB206" i="24" s="1"/>
  <c r="EK157" i="24"/>
  <c r="EW157" i="24"/>
  <c r="FB157" i="24" s="1"/>
  <c r="EK25" i="24"/>
  <c r="EQ25" i="24" s="1"/>
  <c r="EW25" i="24"/>
  <c r="EZ25" i="24" s="1"/>
  <c r="FB25" i="24" s="1"/>
  <c r="EW54" i="24"/>
  <c r="EZ54" i="24" s="1"/>
  <c r="FB54" i="24" s="1"/>
  <c r="EK54" i="24"/>
  <c r="EQ54" i="24" s="1"/>
  <c r="EK173" i="24"/>
  <c r="EW173" i="24"/>
  <c r="FB173" i="24" s="1"/>
  <c r="EK163" i="24"/>
  <c r="EW163" i="24"/>
  <c r="FB163" i="24" s="1"/>
  <c r="EW65" i="24"/>
  <c r="EZ65" i="24" s="1"/>
  <c r="FB65" i="24" s="1"/>
  <c r="EK65" i="24"/>
  <c r="EQ65" i="24" s="1"/>
  <c r="EK118" i="24"/>
  <c r="EW118" i="24"/>
  <c r="FB118" i="24" s="1"/>
  <c r="EK53" i="24"/>
  <c r="EQ53" i="24" s="1"/>
  <c r="EW53" i="24"/>
  <c r="EZ53" i="24" s="1"/>
  <c r="FB53" i="24" s="1"/>
  <c r="EW155" i="24"/>
  <c r="FB155" i="24" s="1"/>
  <c r="EK155" i="24"/>
  <c r="EK210" i="24"/>
  <c r="EW210" i="24"/>
  <c r="FB210" i="24" s="1"/>
  <c r="EW98" i="24"/>
  <c r="EZ98" i="24" s="1"/>
  <c r="FB98" i="24" s="1"/>
  <c r="EK98" i="24"/>
  <c r="EQ98" i="24" s="1"/>
  <c r="EK200" i="24"/>
  <c r="EW200" i="24"/>
  <c r="FB200" i="24" s="1"/>
  <c r="ER199" i="24"/>
  <c r="EK70" i="24"/>
  <c r="EQ70" i="24" s="1"/>
  <c r="EW70" i="24"/>
  <c r="EZ70" i="24" s="1"/>
  <c r="FB70" i="24" s="1"/>
  <c r="EW26" i="24"/>
  <c r="EZ26" i="24" s="1"/>
  <c r="FB26" i="24" s="1"/>
  <c r="EK26" i="24"/>
  <c r="EQ26" i="24" s="1"/>
  <c r="EK97" i="24"/>
  <c r="EQ97" i="24" s="1"/>
  <c r="EW97" i="24"/>
  <c r="EZ97" i="24" s="1"/>
  <c r="FB97" i="24" s="1"/>
  <c r="EK28" i="24"/>
  <c r="EQ28" i="24" s="1"/>
  <c r="EW28" i="24"/>
  <c r="EZ28" i="24" s="1"/>
  <c r="FB28" i="24" s="1"/>
  <c r="EK146" i="24"/>
  <c r="EW146" i="24"/>
  <c r="FB146" i="24" s="1"/>
  <c r="EK82" i="24"/>
  <c r="EQ82" i="24" s="1"/>
  <c r="EW82" i="24"/>
  <c r="EZ82" i="24" s="1"/>
  <c r="FB82" i="24" s="1"/>
  <c r="ER134" i="24"/>
  <c r="EW164" i="24"/>
  <c r="FB164" i="24" s="1"/>
  <c r="EK164" i="24"/>
  <c r="EW32" i="24"/>
  <c r="EZ32" i="24" s="1"/>
  <c r="FB32" i="24" s="1"/>
  <c r="EK32" i="24"/>
  <c r="EQ32" i="24" s="1"/>
  <c r="EW143" i="24"/>
  <c r="FB143" i="24" s="1"/>
  <c r="EK143" i="24"/>
  <c r="EK68" i="24"/>
  <c r="EQ68" i="24" s="1"/>
  <c r="EW68" i="24"/>
  <c r="EZ68" i="24" s="1"/>
  <c r="FB68" i="24" s="1"/>
  <c r="EK95" i="24"/>
  <c r="EQ95" i="24" s="1"/>
  <c r="EW95" i="24"/>
  <c r="EZ95" i="24" s="1"/>
  <c r="FB95" i="24" s="1"/>
  <c r="ER96" i="24"/>
  <c r="EK194" i="24"/>
  <c r="EW194" i="24"/>
  <c r="FB194" i="24" s="1"/>
  <c r="EW208" i="24"/>
  <c r="FB208" i="24" s="1"/>
  <c r="EK208" i="24"/>
  <c r="EK135" i="24"/>
  <c r="EW135" i="24"/>
  <c r="FB135" i="24" s="1"/>
  <c r="EW89" i="24"/>
  <c r="EZ89" i="24" s="1"/>
  <c r="FB89" i="24" s="1"/>
  <c r="EK89" i="24"/>
  <c r="EQ89" i="24" s="1"/>
  <c r="EW123" i="24"/>
  <c r="FB123" i="24" s="1"/>
  <c r="EK123" i="24"/>
  <c r="EW58" i="24"/>
  <c r="EZ58" i="24" s="1"/>
  <c r="FB58" i="24" s="1"/>
  <c r="EK58" i="24"/>
  <c r="EQ58" i="24" s="1"/>
  <c r="EW57" i="24"/>
  <c r="EZ57" i="24" s="1"/>
  <c r="FB57" i="24" s="1"/>
  <c r="EK57" i="24"/>
  <c r="EQ57" i="24" s="1"/>
  <c r="ER10" i="24"/>
  <c r="EK174" i="24"/>
  <c r="EW174" i="24"/>
  <c r="FB174" i="24" s="1"/>
  <c r="EK158" i="24"/>
  <c r="EW158" i="24"/>
  <c r="FB158" i="24" s="1"/>
  <c r="ER71" i="24"/>
  <c r="EK18" i="24"/>
  <c r="EQ18" i="24" s="1"/>
  <c r="EW18" i="24"/>
  <c r="EZ18" i="24" s="1"/>
  <c r="FB18" i="24" s="1"/>
  <c r="EK154" i="24"/>
  <c r="EW154" i="24"/>
  <c r="FB154" i="24" s="1"/>
  <c r="EW84" i="24"/>
  <c r="EZ84" i="24" s="1"/>
  <c r="FB84" i="24" s="1"/>
  <c r="EK84" i="24"/>
  <c r="EQ84" i="24" s="1"/>
  <c r="EW91" i="24"/>
  <c r="EZ91" i="24" s="1"/>
  <c r="FB91" i="24" s="1"/>
  <c r="EK91" i="24"/>
  <c r="EQ91" i="24" s="1"/>
  <c r="EW148" i="24"/>
  <c r="FB148" i="24" s="1"/>
  <c r="EK148" i="24"/>
  <c r="ER132" i="24"/>
  <c r="EW85" i="24"/>
  <c r="EZ85" i="24" s="1"/>
  <c r="FB85" i="24" s="1"/>
  <c r="EK85" i="24"/>
  <c r="EQ85" i="24" s="1"/>
  <c r="EK47" i="24"/>
  <c r="EQ47" i="24" s="1"/>
  <c r="EW47" i="24"/>
  <c r="EZ47" i="24" s="1"/>
  <c r="FB47" i="24" s="1"/>
  <c r="EK130" i="24"/>
  <c r="EW130" i="24"/>
  <c r="FB130" i="24" s="1"/>
  <c r="EK36" i="24"/>
  <c r="EQ36" i="24" s="1"/>
  <c r="EW36" i="24"/>
  <c r="EZ36" i="24" s="1"/>
  <c r="FB36" i="24" s="1"/>
  <c r="EW131" i="24"/>
  <c r="FB131" i="24" s="1"/>
  <c r="EK131" i="24"/>
  <c r="EK114" i="24"/>
  <c r="EW114" i="24"/>
  <c r="FB114" i="24" s="1"/>
  <c r="EK196" i="24"/>
  <c r="EW196" i="24"/>
  <c r="FB196" i="24" s="1"/>
  <c r="EK166" i="24"/>
  <c r="EW166" i="24"/>
  <c r="FB166" i="24" s="1"/>
  <c r="EK150" i="24"/>
  <c r="EW150" i="24"/>
  <c r="FB150" i="24" s="1"/>
  <c r="EK161" i="24"/>
  <c r="EW161" i="24"/>
  <c r="FB161" i="24" s="1"/>
  <c r="EK50" i="24"/>
  <c r="EQ50" i="24" s="1"/>
  <c r="EW50" i="24"/>
  <c r="EZ50" i="24" s="1"/>
  <c r="FB50" i="24" s="1"/>
  <c r="EW197" i="24"/>
  <c r="FB197" i="24" s="1"/>
  <c r="EK197" i="24"/>
  <c r="EW27" i="24"/>
  <c r="EZ27" i="24" s="1"/>
  <c r="FB27" i="24" s="1"/>
  <c r="EK27" i="24"/>
  <c r="EQ27" i="24" s="1"/>
  <c r="EW45" i="24"/>
  <c r="EZ45" i="24" s="1"/>
  <c r="FB45" i="24" s="1"/>
  <c r="EK45" i="24"/>
  <c r="EQ45" i="24" s="1"/>
  <c r="EK198" i="24"/>
  <c r="EW198" i="24"/>
  <c r="FB198" i="24" s="1"/>
  <c r="EW165" i="24"/>
  <c r="FB165" i="24" s="1"/>
  <c r="EK165" i="24"/>
  <c r="EK193" i="24"/>
  <c r="EW193" i="24"/>
  <c r="FB193" i="24" s="1"/>
  <c r="EK34" i="24"/>
  <c r="EQ34" i="24" s="1"/>
  <c r="EW34" i="24"/>
  <c r="EZ34" i="24" s="1"/>
  <c r="FB34" i="24" s="1"/>
  <c r="EW31" i="24"/>
  <c r="EZ31" i="24" s="1"/>
  <c r="FB31" i="24" s="1"/>
  <c r="EK31" i="24"/>
  <c r="EQ31" i="24" s="1"/>
  <c r="EK76" i="24"/>
  <c r="EQ76" i="24" s="1"/>
  <c r="EW76" i="24"/>
  <c r="EZ76" i="24" s="1"/>
  <c r="FB76" i="24" s="1"/>
  <c r="EW140" i="24"/>
  <c r="FB140" i="24" s="1"/>
  <c r="EK140" i="24"/>
  <c r="EW203" i="24"/>
  <c r="FB203" i="24" s="1"/>
  <c r="EK203" i="24"/>
  <c r="ER147" i="24"/>
  <c r="EK178" i="24"/>
  <c r="EW178" i="24"/>
  <c r="FB178" i="24" s="1"/>
  <c r="EK153" i="24"/>
  <c r="EW153" i="24"/>
  <c r="FB153" i="24" s="1"/>
  <c r="EK195" i="24"/>
  <c r="EW195" i="24"/>
  <c r="FB195" i="24" s="1"/>
  <c r="EW185" i="24"/>
  <c r="FB185" i="24" s="1"/>
  <c r="EK185" i="24"/>
  <c r="EK59" i="24"/>
  <c r="EQ59" i="24" s="1"/>
  <c r="EW59" i="24"/>
  <c r="EZ59" i="24" s="1"/>
  <c r="FB59" i="24" s="1"/>
  <c r="EW167" i="24"/>
  <c r="FB167" i="24" s="1"/>
  <c r="EK167" i="24"/>
  <c r="EK184" i="24"/>
  <c r="EW184" i="24"/>
  <c r="FB184" i="24" s="1"/>
  <c r="ER152" i="24"/>
  <c r="EW100" i="24"/>
  <c r="EZ100" i="24" s="1"/>
  <c r="FB100" i="24" s="1"/>
  <c r="EK100" i="24"/>
  <c r="EQ100" i="24" s="1"/>
  <c r="EK72" i="24"/>
  <c r="EQ72" i="24" s="1"/>
  <c r="EW72" i="24"/>
  <c r="EZ72" i="24" s="1"/>
  <c r="FB72" i="24" s="1"/>
  <c r="EW79" i="24"/>
  <c r="EZ79" i="24" s="1"/>
  <c r="FB79" i="24" s="1"/>
  <c r="EK79" i="24"/>
  <c r="EQ79" i="24" s="1"/>
  <c r="EW9" i="24"/>
  <c r="EZ9" i="24" s="1"/>
  <c r="FB9" i="24" s="1"/>
  <c r="EK9" i="24"/>
  <c r="EQ9" i="24" s="1"/>
  <c r="EK56" i="24"/>
  <c r="EQ56" i="24" s="1"/>
  <c r="EW56" i="24"/>
  <c r="EZ56" i="24" s="1"/>
  <c r="FB56" i="24" s="1"/>
  <c r="EK51" i="24"/>
  <c r="EQ51" i="24" s="1"/>
  <c r="EW51" i="24"/>
  <c r="EZ51" i="24" s="1"/>
  <c r="FB51" i="24" s="1"/>
  <c r="EW11" i="24"/>
  <c r="EZ11" i="24" s="1"/>
  <c r="FB11" i="24" s="1"/>
  <c r="EK11" i="24"/>
  <c r="EQ11" i="24" s="1"/>
  <c r="EK49" i="24"/>
  <c r="EQ49" i="24" s="1"/>
  <c r="EW49" i="24"/>
  <c r="EZ49" i="24" s="1"/>
  <c r="FB49" i="24" s="1"/>
  <c r="EK8" i="24"/>
  <c r="EQ8" i="24" s="1"/>
  <c r="EW8" i="24"/>
  <c r="EZ8" i="24" s="1"/>
  <c r="FB8" i="24" s="1"/>
  <c r="ER136" i="24"/>
  <c r="EW22" i="24"/>
  <c r="EZ22" i="24" s="1"/>
  <c r="FB22" i="24" s="1"/>
  <c r="EK22" i="24"/>
  <c r="EQ22" i="24" s="1"/>
  <c r="EW80" i="24"/>
  <c r="EZ80" i="24" s="1"/>
  <c r="FB80" i="24" s="1"/>
  <c r="EK80" i="24"/>
  <c r="EQ80" i="24" s="1"/>
  <c r="EW93" i="24"/>
  <c r="EZ93" i="24" s="1"/>
  <c r="FB93" i="24" s="1"/>
  <c r="EK93" i="24"/>
  <c r="EQ93" i="24" s="1"/>
  <c r="EK103" i="24"/>
  <c r="EQ103" i="24" s="1"/>
  <c r="EW103" i="24"/>
  <c r="EZ103" i="24" s="1"/>
  <c r="FB103" i="24" s="1"/>
  <c r="EK149" i="24"/>
  <c r="EW149" i="24"/>
  <c r="FB149" i="24" s="1"/>
  <c r="EW75" i="24"/>
  <c r="EZ75" i="24" s="1"/>
  <c r="FB75" i="24" s="1"/>
  <c r="EK75" i="24"/>
  <c r="EQ75" i="24" s="1"/>
  <c r="EW144" i="24"/>
  <c r="FB144" i="24" s="1"/>
  <c r="EK144" i="24"/>
  <c r="EK182" i="24"/>
  <c r="EW182" i="24"/>
  <c r="FB182" i="24" s="1"/>
  <c r="EK209" i="24"/>
  <c r="EW209" i="24"/>
  <c r="FB209" i="24" s="1"/>
  <c r="ER104" i="24"/>
  <c r="EW94" i="24"/>
  <c r="EZ94" i="24" s="1"/>
  <c r="FB94" i="24" s="1"/>
  <c r="EK94" i="24"/>
  <c r="EQ94" i="24" s="1"/>
  <c r="ER127" i="24"/>
  <c r="EK202" i="24"/>
  <c r="EW202" i="24"/>
  <c r="FB202" i="24" s="1"/>
  <c r="EK16" i="24"/>
  <c r="EQ16" i="24" s="1"/>
  <c r="EW16" i="24"/>
  <c r="EZ16" i="24" s="1"/>
  <c r="FB16" i="24" s="1"/>
  <c r="EK87" i="24"/>
  <c r="EQ87" i="24" s="1"/>
  <c r="EW87" i="24"/>
  <c r="EZ87" i="24" s="1"/>
  <c r="FB87" i="24" s="1"/>
  <c r="EW183" i="24"/>
  <c r="FB183" i="24" s="1"/>
  <c r="EK183" i="24"/>
  <c r="EW38" i="24"/>
  <c r="EZ38" i="24" s="1"/>
  <c r="FB38" i="24" s="1"/>
  <c r="EK38" i="24"/>
  <c r="EQ38" i="24" s="1"/>
  <c r="EW141" i="24"/>
  <c r="FB141" i="24" s="1"/>
  <c r="EK141" i="24"/>
  <c r="EK138" i="24"/>
  <c r="EW138" i="24"/>
  <c r="FB138" i="24" s="1"/>
  <c r="EK17" i="24"/>
  <c r="EQ17" i="24" s="1"/>
  <c r="EW17" i="24"/>
  <c r="EZ17" i="24" s="1"/>
  <c r="FB17" i="24" s="1"/>
  <c r="ER48" i="24"/>
  <c r="EW105" i="24"/>
  <c r="EZ105" i="24" s="1"/>
  <c r="FB105" i="24" s="1"/>
  <c r="EK105" i="24"/>
  <c r="EQ105" i="24" s="1"/>
  <c r="ER29" i="24"/>
  <c r="EW121" i="24"/>
  <c r="FB121" i="24" s="1"/>
  <c r="EK121" i="24"/>
  <c r="EW69" i="24"/>
  <c r="EZ69" i="24" s="1"/>
  <c r="FB69" i="24" s="1"/>
  <c r="EK69" i="24"/>
  <c r="EQ69" i="24" s="1"/>
  <c r="EK181" i="24"/>
  <c r="EW181" i="24"/>
  <c r="FB181" i="24" s="1"/>
  <c r="EK24" i="24"/>
  <c r="EQ24" i="24" s="1"/>
  <c r="EW24" i="24"/>
  <c r="EZ24" i="24" s="1"/>
  <c r="FB24" i="24" s="1"/>
  <c r="EW179" i="24"/>
  <c r="FB179" i="24" s="1"/>
  <c r="EK179" i="24"/>
  <c r="EW102" i="24"/>
  <c r="EZ102" i="24" s="1"/>
  <c r="FB102" i="24" s="1"/>
  <c r="EK102" i="24"/>
  <c r="EQ102" i="24" s="1"/>
  <c r="EK175" i="24"/>
  <c r="EW175" i="24"/>
  <c r="FB175" i="24" s="1"/>
  <c r="EK101" i="24"/>
  <c r="EQ101" i="24" s="1"/>
  <c r="EW101" i="24"/>
  <c r="EZ101" i="24" s="1"/>
  <c r="FB101" i="24" s="1"/>
  <c r="ER83" i="24"/>
  <c r="EK19" i="24"/>
  <c r="EQ19" i="24" s="1"/>
  <c r="EW19" i="24"/>
  <c r="EZ19" i="24" s="1"/>
  <c r="FB19" i="24" s="1"/>
  <c r="EW73" i="24"/>
  <c r="EZ73" i="24" s="1"/>
  <c r="FB73" i="24" s="1"/>
  <c r="EK73" i="24"/>
  <c r="EQ73" i="24" s="1"/>
  <c r="ER126" i="24"/>
  <c r="EK15" i="24"/>
  <c r="EQ15" i="24" s="1"/>
  <c r="EW15" i="24"/>
  <c r="EZ15" i="24" s="1"/>
  <c r="FB15" i="24" s="1"/>
  <c r="EW117" i="24"/>
  <c r="FB117" i="24" s="1"/>
  <c r="EK117" i="24"/>
  <c r="EK122" i="24"/>
  <c r="EW122" i="24"/>
  <c r="FB122" i="24" s="1"/>
  <c r="EK119" i="24"/>
  <c r="EW119" i="24"/>
  <c r="FB119" i="24" s="1"/>
  <c r="EW35" i="24"/>
  <c r="EZ35" i="24" s="1"/>
  <c r="FB35" i="24" s="1"/>
  <c r="EK35" i="24"/>
  <c r="EQ35" i="24" s="1"/>
  <c r="EW33" i="24"/>
  <c r="EZ33" i="24" s="1"/>
  <c r="FB33" i="24" s="1"/>
  <c r="EK33" i="24"/>
  <c r="EQ33" i="24" s="1"/>
  <c r="EW115" i="24"/>
  <c r="FB115" i="24" s="1"/>
  <c r="EK115" i="24"/>
  <c r="EK66" i="24"/>
  <c r="EQ66" i="24" s="1"/>
  <c r="EW66" i="24"/>
  <c r="EZ66" i="24" s="1"/>
  <c r="FB66" i="24" s="1"/>
  <c r="EK12" i="24"/>
  <c r="EQ12" i="24" s="1"/>
  <c r="EW12" i="24"/>
  <c r="EZ12" i="24" s="1"/>
  <c r="FB12" i="24" s="1"/>
  <c r="EW156" i="24"/>
  <c r="FB156" i="24" s="1"/>
  <c r="EK156" i="24"/>
  <c r="EW42" i="24"/>
  <c r="EZ42" i="24" s="1"/>
  <c r="FB42" i="24" s="1"/>
  <c r="EK42" i="24"/>
  <c r="EQ42" i="24" s="1"/>
  <c r="EW41" i="24"/>
  <c r="EZ41" i="24" s="1"/>
  <c r="FB41" i="24" s="1"/>
  <c r="EK41" i="24"/>
  <c r="EQ41" i="24" s="1"/>
  <c r="ER160" i="24"/>
  <c r="ER186" i="24"/>
  <c r="EW176" i="24"/>
  <c r="FB176" i="24" s="1"/>
  <c r="EK176" i="24"/>
  <c r="EK207" i="24"/>
  <c r="EW207" i="24"/>
  <c r="FB207" i="24" s="1"/>
  <c r="ER37" i="24"/>
  <c r="EK6" i="24"/>
  <c r="EQ6" i="24" s="1"/>
  <c r="EW6" i="24"/>
  <c r="EZ6" i="24" s="1"/>
  <c r="FB6" i="24" s="1"/>
  <c r="ER190" i="24"/>
  <c r="FC190" i="24"/>
  <c r="FE190" i="24" s="1"/>
  <c r="FF190" i="24" s="1"/>
  <c r="EK162" i="24"/>
  <c r="EW162" i="24"/>
  <c r="FB162" i="24" s="1"/>
  <c r="EK145" i="24"/>
  <c r="EW145" i="24"/>
  <c r="FB145" i="24" s="1"/>
  <c r="EK171" i="24"/>
  <c r="EW171" i="24"/>
  <c r="FB171" i="24" s="1"/>
  <c r="EW177" i="24"/>
  <c r="FB177" i="24" s="1"/>
  <c r="EK177" i="24"/>
  <c r="ER201" i="24"/>
  <c r="EK204" i="24"/>
  <c r="EW204" i="24"/>
  <c r="FB204" i="24" s="1"/>
  <c r="EW112" i="24"/>
  <c r="FB112" i="24" s="1"/>
  <c r="EK112" i="24"/>
  <c r="EK191" i="24"/>
  <c r="EW191" i="24"/>
  <c r="FB191" i="24" s="1"/>
  <c r="EW168" i="24"/>
  <c r="FB168" i="24" s="1"/>
  <c r="EK168" i="24"/>
  <c r="EK139" i="24"/>
  <c r="EW139" i="24"/>
  <c r="FB139" i="24" s="1"/>
  <c r="EK21" i="24"/>
  <c r="EQ21" i="24" s="1"/>
  <c r="EW21" i="24"/>
  <c r="EZ21" i="24" s="1"/>
  <c r="FB21" i="24" s="1"/>
  <c r="ER13" i="24"/>
  <c r="EW61" i="24"/>
  <c r="EZ61" i="24" s="1"/>
  <c r="FB61" i="24" s="1"/>
  <c r="EK61" i="24"/>
  <c r="EQ61" i="24" s="1"/>
  <c r="ER124" i="24"/>
  <c r="F66" i="19"/>
  <c r="J9" i="8"/>
  <c r="Y110" i="24" l="1"/>
  <c r="FC96" i="24"/>
  <c r="FE96" i="24" s="1"/>
  <c r="FF96" i="24" s="1"/>
  <c r="FC159" i="24"/>
  <c r="FE159" i="24" s="1"/>
  <c r="FF159" i="24" s="1"/>
  <c r="FC243" i="24"/>
  <c r="FE243" i="24" s="1"/>
  <c r="FF243" i="24" s="1"/>
  <c r="FC132" i="24"/>
  <c r="FE132" i="24" s="1"/>
  <c r="FF132" i="24" s="1"/>
  <c r="ER142" i="24"/>
  <c r="CL212" i="24"/>
  <c r="DQ212" i="24"/>
  <c r="ES212" i="24"/>
  <c r="EV212" i="24" s="1"/>
  <c r="CW212" i="24"/>
  <c r="CX212" i="24" s="1"/>
  <c r="CY212" i="24"/>
  <c r="CU212" i="24"/>
  <c r="FC285" i="24"/>
  <c r="FE285" i="24" s="1"/>
  <c r="FF285" i="24" s="1"/>
  <c r="F212" i="24"/>
  <c r="FC92" i="24"/>
  <c r="FE92" i="24" s="1"/>
  <c r="FF92" i="24" s="1"/>
  <c r="FC78" i="24"/>
  <c r="FE78" i="24" s="1"/>
  <c r="FF78" i="24" s="1"/>
  <c r="FC60" i="24"/>
  <c r="FE60" i="24" s="1"/>
  <c r="FF60" i="24" s="1"/>
  <c r="ER60" i="24"/>
  <c r="FC74" i="24"/>
  <c r="FE74" i="24" s="1"/>
  <c r="FF74" i="24" s="1"/>
  <c r="ER221" i="24"/>
  <c r="FC221" i="24"/>
  <c r="FE221" i="24" s="1"/>
  <c r="FF221" i="24" s="1"/>
  <c r="ER290" i="24"/>
  <c r="FC290" i="24"/>
  <c r="FE290" i="24" s="1"/>
  <c r="FF290" i="24" s="1"/>
  <c r="ER276" i="24"/>
  <c r="FC276" i="24"/>
  <c r="FE276" i="24" s="1"/>
  <c r="FF276" i="24" s="1"/>
  <c r="FC277" i="24"/>
  <c r="FE277" i="24" s="1"/>
  <c r="FF277" i="24" s="1"/>
  <c r="ER277" i="24"/>
  <c r="ER286" i="24"/>
  <c r="FC286" i="24"/>
  <c r="FE286" i="24" s="1"/>
  <c r="FF286" i="24" s="1"/>
  <c r="FC313" i="24"/>
  <c r="FE313" i="24" s="1"/>
  <c r="FF313" i="24" s="1"/>
  <c r="ER313" i="24"/>
  <c r="ER304" i="24"/>
  <c r="FC304" i="24"/>
  <c r="FE304" i="24" s="1"/>
  <c r="FF304" i="24" s="1"/>
  <c r="ER244" i="24"/>
  <c r="FC244" i="24"/>
  <c r="FE244" i="24" s="1"/>
  <c r="FF244" i="24" s="1"/>
  <c r="ER230" i="24"/>
  <c r="FC230" i="24"/>
  <c r="FE230" i="24" s="1"/>
  <c r="FF230" i="24" s="1"/>
  <c r="ER294" i="24"/>
  <c r="FC294" i="24"/>
  <c r="FE294" i="24" s="1"/>
  <c r="FF294" i="24" s="1"/>
  <c r="ER225" i="24"/>
  <c r="FC225" i="24"/>
  <c r="FE225" i="24" s="1"/>
  <c r="FF225" i="24" s="1"/>
  <c r="FC250" i="24"/>
  <c r="FE250" i="24" s="1"/>
  <c r="FF250" i="24" s="1"/>
  <c r="ER250" i="24"/>
  <c r="ER303" i="24"/>
  <c r="FC303" i="24"/>
  <c r="FE303" i="24" s="1"/>
  <c r="FF303" i="24" s="1"/>
  <c r="ER269" i="24"/>
  <c r="FC269" i="24"/>
  <c r="FE269" i="24" s="1"/>
  <c r="FF269" i="24" s="1"/>
  <c r="ER252" i="24"/>
  <c r="FC252" i="24"/>
  <c r="FE252" i="24" s="1"/>
  <c r="FF252" i="24" s="1"/>
  <c r="ER300" i="24"/>
  <c r="FC300" i="24"/>
  <c r="FE300" i="24" s="1"/>
  <c r="FF300" i="24" s="1"/>
  <c r="ER312" i="24"/>
  <c r="FC312" i="24"/>
  <c r="FE312" i="24" s="1"/>
  <c r="FF312" i="24" s="1"/>
  <c r="FC259" i="24"/>
  <c r="FE259" i="24" s="1"/>
  <c r="FF259" i="24" s="1"/>
  <c r="ER259" i="24"/>
  <c r="ER280" i="24"/>
  <c r="FC280" i="24"/>
  <c r="FE280" i="24" s="1"/>
  <c r="FF280" i="24" s="1"/>
  <c r="ER273" i="24"/>
  <c r="FC273" i="24"/>
  <c r="FE273" i="24" s="1"/>
  <c r="FF273" i="24" s="1"/>
  <c r="ER233" i="24"/>
  <c r="FC233" i="24"/>
  <c r="FE233" i="24" s="1"/>
  <c r="FF233" i="24" s="1"/>
  <c r="FC238" i="24"/>
  <c r="FE238" i="24" s="1"/>
  <c r="FF238" i="24" s="1"/>
  <c r="ER238" i="24"/>
  <c r="ER263" i="24"/>
  <c r="FC263" i="24"/>
  <c r="FE263" i="24" s="1"/>
  <c r="FF263" i="24" s="1"/>
  <c r="ER301" i="24"/>
  <c r="FC301" i="24"/>
  <c r="FE301" i="24" s="1"/>
  <c r="FF301" i="24" s="1"/>
  <c r="ER302" i="24"/>
  <c r="FC302" i="24"/>
  <c r="FE302" i="24" s="1"/>
  <c r="FF302" i="24" s="1"/>
  <c r="FC254" i="24"/>
  <c r="FE254" i="24" s="1"/>
  <c r="FF254" i="24" s="1"/>
  <c r="ER254" i="24"/>
  <c r="FC295" i="24"/>
  <c r="FE295" i="24" s="1"/>
  <c r="FF295" i="24" s="1"/>
  <c r="ER295" i="24"/>
  <c r="ER240" i="24"/>
  <c r="FC240" i="24"/>
  <c r="FE240" i="24" s="1"/>
  <c r="FF240" i="24" s="1"/>
  <c r="ER231" i="24"/>
  <c r="FC231" i="24"/>
  <c r="FE231" i="24" s="1"/>
  <c r="FF231" i="24" s="1"/>
  <c r="FC265" i="24"/>
  <c r="FE265" i="24" s="1"/>
  <c r="FF265" i="24" s="1"/>
  <c r="ER265" i="24"/>
  <c r="ER266" i="24"/>
  <c r="FC266" i="24"/>
  <c r="FE266" i="24" s="1"/>
  <c r="FF266" i="24" s="1"/>
  <c r="FC255" i="24"/>
  <c r="FE255" i="24" s="1"/>
  <c r="FF255" i="24" s="1"/>
  <c r="ER255" i="24"/>
  <c r="FC289" i="24"/>
  <c r="FE289" i="24" s="1"/>
  <c r="FF289" i="24" s="1"/>
  <c r="ER289" i="24"/>
  <c r="FC267" i="24"/>
  <c r="FE267" i="24" s="1"/>
  <c r="FF267" i="24" s="1"/>
  <c r="ER267" i="24"/>
  <c r="ER282" i="24"/>
  <c r="FC282" i="24"/>
  <c r="FE282" i="24" s="1"/>
  <c r="FF282" i="24" s="1"/>
  <c r="FC258" i="24"/>
  <c r="FE258" i="24" s="1"/>
  <c r="FF258" i="24" s="1"/>
  <c r="ER258" i="24"/>
  <c r="ER310" i="24"/>
  <c r="FC310" i="24"/>
  <c r="FE310" i="24" s="1"/>
  <c r="FF310" i="24" s="1"/>
  <c r="ER278" i="24"/>
  <c r="FC278" i="24"/>
  <c r="FE278" i="24" s="1"/>
  <c r="FF278" i="24" s="1"/>
  <c r="FC245" i="24"/>
  <c r="FE245" i="24" s="1"/>
  <c r="FF245" i="24" s="1"/>
  <c r="ER245" i="24"/>
  <c r="ER307" i="24"/>
  <c r="FC307" i="24"/>
  <c r="FE307" i="24" s="1"/>
  <c r="FF307" i="24" s="1"/>
  <c r="ER297" i="24"/>
  <c r="FC297" i="24"/>
  <c r="FE297" i="24" s="1"/>
  <c r="FF297" i="24" s="1"/>
  <c r="ER315" i="24"/>
  <c r="FC315" i="24"/>
  <c r="FE315" i="24" s="1"/>
  <c r="FF315" i="24" s="1"/>
  <c r="ER227" i="24"/>
  <c r="FC227" i="24"/>
  <c r="FE227" i="24" s="1"/>
  <c r="FF227" i="24" s="1"/>
  <c r="ER309" i="24"/>
  <c r="FC309" i="24"/>
  <c r="FE309" i="24" s="1"/>
  <c r="FF309" i="24" s="1"/>
  <c r="FC274" i="24"/>
  <c r="FE274" i="24" s="1"/>
  <c r="FF274" i="24" s="1"/>
  <c r="ER274" i="24"/>
  <c r="ER299" i="24"/>
  <c r="FC299" i="24"/>
  <c r="FE299" i="24" s="1"/>
  <c r="FF299" i="24" s="1"/>
  <c r="ER262" i="24"/>
  <c r="FC262" i="24"/>
  <c r="FE262" i="24" s="1"/>
  <c r="FF262" i="24" s="1"/>
  <c r="FC281" i="24"/>
  <c r="FE281" i="24" s="1"/>
  <c r="FF281" i="24" s="1"/>
  <c r="ER281" i="24"/>
  <c r="ER253" i="24"/>
  <c r="FC253" i="24"/>
  <c r="FE253" i="24" s="1"/>
  <c r="FF253" i="24" s="1"/>
  <c r="ER298" i="24"/>
  <c r="FC298" i="24"/>
  <c r="FE298" i="24" s="1"/>
  <c r="FF298" i="24" s="1"/>
  <c r="FC249" i="24"/>
  <c r="FE249" i="24" s="1"/>
  <c r="FF249" i="24" s="1"/>
  <c r="ER249" i="24"/>
  <c r="ER219" i="24"/>
  <c r="FC219" i="24"/>
  <c r="FE219" i="24" s="1"/>
  <c r="FF219" i="24" s="1"/>
  <c r="FC247" i="24"/>
  <c r="FE247" i="24" s="1"/>
  <c r="FF247" i="24" s="1"/>
  <c r="ER247" i="24"/>
  <c r="FC287" i="24"/>
  <c r="FE287" i="24" s="1"/>
  <c r="FF287" i="24" s="1"/>
  <c r="ER287" i="24"/>
  <c r="FC314" i="24"/>
  <c r="FE314" i="24" s="1"/>
  <c r="FF314" i="24" s="1"/>
  <c r="ER314" i="24"/>
  <c r="FC235" i="24"/>
  <c r="FE235" i="24" s="1"/>
  <c r="FF235" i="24" s="1"/>
  <c r="ER235" i="24"/>
  <c r="ER311" i="24"/>
  <c r="FC311" i="24"/>
  <c r="FE311" i="24" s="1"/>
  <c r="FF311" i="24" s="1"/>
  <c r="ER217" i="24"/>
  <c r="FC217" i="24"/>
  <c r="FE217" i="24" s="1"/>
  <c r="FF217" i="24" s="1"/>
  <c r="ER305" i="24"/>
  <c r="FC305" i="24"/>
  <c r="FE305" i="24" s="1"/>
  <c r="FF305" i="24" s="1"/>
  <c r="ER239" i="24"/>
  <c r="FC239" i="24"/>
  <c r="FE239" i="24" s="1"/>
  <c r="FF239" i="24" s="1"/>
  <c r="FC228" i="24"/>
  <c r="FE228" i="24" s="1"/>
  <c r="FF228" i="24" s="1"/>
  <c r="ER228" i="24"/>
  <c r="ER257" i="24"/>
  <c r="FC257" i="24"/>
  <c r="FE257" i="24" s="1"/>
  <c r="FF257" i="24" s="1"/>
  <c r="FC251" i="24"/>
  <c r="FE251" i="24" s="1"/>
  <c r="FF251" i="24" s="1"/>
  <c r="ER251" i="24"/>
  <c r="ER268" i="24"/>
  <c r="FC268" i="24"/>
  <c r="FE268" i="24" s="1"/>
  <c r="FF268" i="24" s="1"/>
  <c r="ER291" i="24"/>
  <c r="FC291" i="24"/>
  <c r="FE291" i="24" s="1"/>
  <c r="FF291" i="24" s="1"/>
  <c r="ER237" i="24"/>
  <c r="FC237" i="24"/>
  <c r="FE237" i="24" s="1"/>
  <c r="FF237" i="24" s="1"/>
  <c r="ER256" i="24"/>
  <c r="FC256" i="24"/>
  <c r="FE256" i="24" s="1"/>
  <c r="FF256" i="24" s="1"/>
  <c r="ER223" i="24"/>
  <c r="FC223" i="24"/>
  <c r="FE223" i="24" s="1"/>
  <c r="FF223" i="24" s="1"/>
  <c r="ER283" i="24"/>
  <c r="FC283" i="24"/>
  <c r="FE283" i="24" s="1"/>
  <c r="FF283" i="24" s="1"/>
  <c r="FC236" i="24"/>
  <c r="FE236" i="24" s="1"/>
  <c r="FF236" i="24" s="1"/>
  <c r="ER236" i="24"/>
  <c r="FC232" i="24"/>
  <c r="FE232" i="24" s="1"/>
  <c r="FF232" i="24" s="1"/>
  <c r="ER232" i="24"/>
  <c r="FC306" i="24"/>
  <c r="FE306" i="24" s="1"/>
  <c r="FF306" i="24" s="1"/>
  <c r="ER306" i="24"/>
  <c r="FC271" i="24"/>
  <c r="FE271" i="24" s="1"/>
  <c r="FF271" i="24" s="1"/>
  <c r="ER271" i="24"/>
  <c r="FC229" i="24"/>
  <c r="FE229" i="24" s="1"/>
  <c r="FF229" i="24" s="1"/>
  <c r="ER229" i="24"/>
  <c r="FC241" i="24"/>
  <c r="FE241" i="24" s="1"/>
  <c r="FF241" i="24" s="1"/>
  <c r="ER241" i="24"/>
  <c r="FC293" i="24"/>
  <c r="FE293" i="24" s="1"/>
  <c r="FF293" i="24" s="1"/>
  <c r="ER293" i="24"/>
  <c r="ER260" i="24"/>
  <c r="FC260" i="24"/>
  <c r="FE260" i="24" s="1"/>
  <c r="FF260" i="24" s="1"/>
  <c r="ER220" i="24"/>
  <c r="FC220" i="24"/>
  <c r="FE220" i="24" s="1"/>
  <c r="FF220" i="24" s="1"/>
  <c r="ER222" i="24"/>
  <c r="FC222" i="24"/>
  <c r="FE222" i="24" s="1"/>
  <c r="FF222" i="24" s="1"/>
  <c r="ER296" i="24"/>
  <c r="FC296" i="24"/>
  <c r="FE296" i="24" s="1"/>
  <c r="FF296" i="24" s="1"/>
  <c r="FC261" i="24"/>
  <c r="FE261" i="24" s="1"/>
  <c r="FF261" i="24" s="1"/>
  <c r="ER261" i="24"/>
  <c r="ER218" i="24"/>
  <c r="FC218" i="24"/>
  <c r="FE218" i="24" s="1"/>
  <c r="FF218" i="24" s="1"/>
  <c r="FC288" i="24"/>
  <c r="FE288" i="24" s="1"/>
  <c r="FF288" i="24" s="1"/>
  <c r="ER288" i="24"/>
  <c r="FC224" i="24"/>
  <c r="FE224" i="24" s="1"/>
  <c r="FF224" i="24" s="1"/>
  <c r="ER224" i="24"/>
  <c r="ER264" i="24"/>
  <c r="FC264" i="24"/>
  <c r="FE264" i="24" s="1"/>
  <c r="FF264" i="24" s="1"/>
  <c r="FC275" i="24"/>
  <c r="FE275" i="24" s="1"/>
  <c r="FF275" i="24" s="1"/>
  <c r="ER275" i="24"/>
  <c r="FC279" i="24"/>
  <c r="FE279" i="24" s="1"/>
  <c r="FF279" i="24" s="1"/>
  <c r="ER279" i="24"/>
  <c r="FC226" i="24"/>
  <c r="FE226" i="24" s="1"/>
  <c r="FF226" i="24" s="1"/>
  <c r="ER226" i="24"/>
  <c r="ER272" i="24"/>
  <c r="FC272" i="24"/>
  <c r="FE272" i="24" s="1"/>
  <c r="FF272" i="24" s="1"/>
  <c r="ER292" i="24"/>
  <c r="FC292" i="24"/>
  <c r="FE292" i="24" s="1"/>
  <c r="FF292" i="24" s="1"/>
  <c r="FC308" i="24"/>
  <c r="FE308" i="24" s="1"/>
  <c r="FF308" i="24" s="1"/>
  <c r="ER308" i="24"/>
  <c r="FC234" i="24"/>
  <c r="FE234" i="24" s="1"/>
  <c r="FF234" i="24" s="1"/>
  <c r="ER234" i="24"/>
  <c r="FC246" i="24"/>
  <c r="FE246" i="24" s="1"/>
  <c r="FF246" i="24" s="1"/>
  <c r="ER246" i="24"/>
  <c r="FC316" i="24"/>
  <c r="FE316" i="24" s="1"/>
  <c r="FF316" i="24" s="1"/>
  <c r="ER316" i="24"/>
  <c r="ER270" i="24"/>
  <c r="FC270" i="24"/>
  <c r="FE270" i="24" s="1"/>
  <c r="FF270" i="24" s="1"/>
  <c r="FC284" i="24"/>
  <c r="FE284" i="24" s="1"/>
  <c r="FF284" i="24" s="1"/>
  <c r="ER284" i="24"/>
  <c r="ER248" i="24"/>
  <c r="FC248" i="24"/>
  <c r="FE248" i="24" s="1"/>
  <c r="FF248" i="24" s="1"/>
  <c r="FC39" i="24"/>
  <c r="FE39" i="24" s="1"/>
  <c r="FF39" i="24" s="1"/>
  <c r="FC152" i="24"/>
  <c r="FE152" i="24" s="1"/>
  <c r="FF152" i="24" s="1"/>
  <c r="FC44" i="24"/>
  <c r="FE44" i="24" s="1"/>
  <c r="FF44" i="24" s="1"/>
  <c r="FC199" i="24"/>
  <c r="FE199" i="24" s="1"/>
  <c r="FF199" i="24" s="1"/>
  <c r="FC160" i="24"/>
  <c r="FE160" i="24" s="1"/>
  <c r="FF160" i="24" s="1"/>
  <c r="FB134" i="24"/>
  <c r="ER111" i="24"/>
  <c r="FC23" i="24"/>
  <c r="FE23" i="24" s="1"/>
  <c r="FF23" i="24" s="1"/>
  <c r="FC192" i="24"/>
  <c r="FE192" i="24" s="1"/>
  <c r="FF192" i="24" s="1"/>
  <c r="FC186" i="24"/>
  <c r="FE186" i="24" s="1"/>
  <c r="FF186" i="24" s="1"/>
  <c r="FC133" i="24"/>
  <c r="FE133" i="24" s="1"/>
  <c r="FF133" i="24" s="1"/>
  <c r="FC126" i="24"/>
  <c r="FE126" i="24" s="1"/>
  <c r="FF126" i="24" s="1"/>
  <c r="FC127" i="24"/>
  <c r="FE127" i="24" s="1"/>
  <c r="FF127" i="24" s="1"/>
  <c r="FC52" i="24"/>
  <c r="FE52" i="24" s="1"/>
  <c r="FF52" i="24" s="1"/>
  <c r="ER169" i="24"/>
  <c r="FC169" i="24"/>
  <c r="FE169" i="24" s="1"/>
  <c r="FF169" i="24" s="1"/>
  <c r="FC104" i="24"/>
  <c r="FE104" i="24" s="1"/>
  <c r="FF104" i="24" s="1"/>
  <c r="FC63" i="24"/>
  <c r="FE63" i="24" s="1"/>
  <c r="FF63" i="24" s="1"/>
  <c r="FC201" i="24"/>
  <c r="FE201" i="24" s="1"/>
  <c r="FF201" i="24" s="1"/>
  <c r="FC14" i="24"/>
  <c r="FE14" i="24" s="1"/>
  <c r="FF14" i="24" s="1"/>
  <c r="FC136" i="24"/>
  <c r="FE136" i="24" s="1"/>
  <c r="FF136" i="24" s="1"/>
  <c r="FC124" i="24"/>
  <c r="FE124" i="24" s="1"/>
  <c r="FF124" i="24" s="1"/>
  <c r="ER170" i="24"/>
  <c r="ER14" i="24"/>
  <c r="FB147" i="24"/>
  <c r="FC29" i="24"/>
  <c r="FE29" i="24" s="1"/>
  <c r="FF29" i="24" s="1"/>
  <c r="FC43" i="24"/>
  <c r="FE43" i="24" s="1"/>
  <c r="FF43" i="24" s="1"/>
  <c r="FC81" i="24"/>
  <c r="FE81" i="24" s="1"/>
  <c r="FF81" i="24" s="1"/>
  <c r="FC37" i="24"/>
  <c r="FE37" i="24" s="1"/>
  <c r="FF37" i="24" s="1"/>
  <c r="FC30" i="24"/>
  <c r="FE30" i="24" s="1"/>
  <c r="FF30" i="24" s="1"/>
  <c r="FC55" i="24"/>
  <c r="FE55" i="24" s="1"/>
  <c r="FF55" i="24" s="1"/>
  <c r="FB71" i="24"/>
  <c r="FC71" i="24"/>
  <c r="FE71" i="24" s="1"/>
  <c r="FF71" i="24" s="1"/>
  <c r="FB48" i="24"/>
  <c r="FC48" i="24"/>
  <c r="FE48" i="24" s="1"/>
  <c r="FF48" i="24" s="1"/>
  <c r="FC77" i="24"/>
  <c r="FE77" i="24" s="1"/>
  <c r="FF77" i="24" s="1"/>
  <c r="FC172" i="24"/>
  <c r="FE172" i="24" s="1"/>
  <c r="FF172" i="24" s="1"/>
  <c r="FC40" i="24"/>
  <c r="FE40" i="24" s="1"/>
  <c r="FF40" i="24" s="1"/>
  <c r="FC99" i="24"/>
  <c r="FE99" i="24" s="1"/>
  <c r="FF99" i="24" s="1"/>
  <c r="FC83" i="24"/>
  <c r="FE83" i="24" s="1"/>
  <c r="FF83" i="24" s="1"/>
  <c r="FC90" i="24"/>
  <c r="FE90" i="24" s="1"/>
  <c r="FF90" i="24" s="1"/>
  <c r="ER90" i="24"/>
  <c r="U216" i="24"/>
  <c r="J216" i="24"/>
  <c r="O216" i="24"/>
  <c r="BZ216" i="24" s="1"/>
  <c r="FC67" i="24"/>
  <c r="FE67" i="24" s="1"/>
  <c r="FF67" i="24" s="1"/>
  <c r="FC13" i="24"/>
  <c r="FE13" i="24" s="1"/>
  <c r="FF13" i="24" s="1"/>
  <c r="AJ110" i="24"/>
  <c r="AG110" i="24"/>
  <c r="AF110" i="24"/>
  <c r="FJ263" i="24"/>
  <c r="FJ170" i="24"/>
  <c r="FI184" i="24"/>
  <c r="FJ114" i="24"/>
  <c r="FJ232" i="24"/>
  <c r="FJ142" i="24"/>
  <c r="FI206" i="24"/>
  <c r="FJ117" i="24"/>
  <c r="FJ159" i="24"/>
  <c r="FJ192" i="24"/>
  <c r="FI209" i="24"/>
  <c r="FJ132" i="24"/>
  <c r="FJ301" i="24"/>
  <c r="FJ224" i="24"/>
  <c r="FI141" i="24"/>
  <c r="FI144" i="24"/>
  <c r="FI152" i="24"/>
  <c r="FJ242" i="24"/>
  <c r="FJ306" i="24"/>
  <c r="FI167" i="24"/>
  <c r="FI208" i="24"/>
  <c r="FJ287" i="24"/>
  <c r="FJ146" i="24"/>
  <c r="FJ225" i="24"/>
  <c r="FJ299" i="24"/>
  <c r="FJ294" i="24"/>
  <c r="FJ155" i="24"/>
  <c r="FJ238" i="24"/>
  <c r="FI189" i="24"/>
  <c r="FJ311" i="24"/>
  <c r="FI130" i="24"/>
  <c r="FI150" i="24"/>
  <c r="FI197" i="24"/>
  <c r="FJ234" i="24"/>
  <c r="FJ255" i="24"/>
  <c r="FJ169" i="24"/>
  <c r="FI170" i="24"/>
  <c r="FI108" i="24"/>
  <c r="FJ228" i="24"/>
  <c r="FJ118" i="24"/>
  <c r="FJ133" i="24"/>
  <c r="FJ199" i="24"/>
  <c r="FI116" i="24"/>
  <c r="FJ154" i="24"/>
  <c r="FI174" i="24"/>
  <c r="FJ131" i="24"/>
  <c r="FJ291" i="24"/>
  <c r="FI207" i="24"/>
  <c r="FI132" i="24"/>
  <c r="FI204" i="24"/>
  <c r="FJ261" i="24"/>
  <c r="FJ112" i="24"/>
  <c r="FJ136" i="24"/>
  <c r="FJ270" i="24"/>
  <c r="FJ122" i="24"/>
  <c r="FI175" i="24"/>
  <c r="FJ265" i="24"/>
  <c r="FJ269" i="24"/>
  <c r="FJ175" i="24"/>
  <c r="FJ217" i="24"/>
  <c r="FJ115" i="24"/>
  <c r="FJ229" i="24"/>
  <c r="FJ123" i="24"/>
  <c r="FI143" i="24"/>
  <c r="FJ165" i="24"/>
  <c r="FJ315" i="24"/>
  <c r="FJ245" i="24"/>
  <c r="FJ187" i="24"/>
  <c r="FJ237" i="24"/>
  <c r="FJ227" i="24"/>
  <c r="FI169" i="24"/>
  <c r="FJ249" i="24"/>
  <c r="FJ216" i="24"/>
  <c r="FJ116" i="24"/>
  <c r="FJ290" i="24"/>
  <c r="FI110" i="24"/>
  <c r="FJ153" i="24"/>
  <c r="FJ283" i="24"/>
  <c r="FI182" i="24"/>
  <c r="FJ126" i="24"/>
  <c r="FJ280" i="24"/>
  <c r="FI115" i="24"/>
  <c r="FJ174" i="24"/>
  <c r="FJ250" i="24"/>
  <c r="FI165" i="24"/>
  <c r="FI139" i="24"/>
  <c r="FJ296" i="24"/>
  <c r="FJ113" i="24"/>
  <c r="FI188" i="24"/>
  <c r="FJ239" i="24"/>
  <c r="FJ276" i="24"/>
  <c r="FJ186" i="24"/>
  <c r="FJ246" i="24"/>
  <c r="FI140" i="24"/>
  <c r="FJ171" i="24"/>
  <c r="FI210" i="24"/>
  <c r="FJ244" i="24"/>
  <c r="FI121" i="24"/>
  <c r="FI149" i="24"/>
  <c r="FJ304" i="24"/>
  <c r="FJ272" i="24"/>
  <c r="FI179" i="24"/>
  <c r="FJ262" i="24"/>
  <c r="FJ222" i="24"/>
  <c r="FI138" i="24"/>
  <c r="FJ148" i="24"/>
  <c r="FJ190" i="24"/>
  <c r="FI114" i="24"/>
  <c r="FJ277" i="24"/>
  <c r="FJ266" i="24"/>
  <c r="FJ144" i="24"/>
  <c r="FJ271" i="24"/>
  <c r="FI125" i="24"/>
  <c r="FJ278" i="24"/>
  <c r="FI193" i="24"/>
  <c r="FI123" i="24"/>
  <c r="FI191" i="24"/>
  <c r="FJ297" i="24"/>
  <c r="FJ163" i="24"/>
  <c r="FI160" i="24"/>
  <c r="FI194" i="24"/>
  <c r="FJ121" i="24"/>
  <c r="FJ240" i="24"/>
  <c r="FJ300" i="24"/>
  <c r="FI171" i="24"/>
  <c r="FJ274" i="24"/>
  <c r="FJ120" i="24"/>
  <c r="FI177" i="24"/>
  <c r="FJ260" i="24"/>
  <c r="FI199" i="24"/>
  <c r="FI124" i="24"/>
  <c r="FJ194" i="24"/>
  <c r="FI126" i="24"/>
  <c r="FJ292" i="24"/>
  <c r="FI181" i="24"/>
  <c r="CE108" i="24"/>
  <c r="FI201" i="24"/>
  <c r="FI133" i="24"/>
  <c r="FI145" i="24"/>
  <c r="FI176" i="24"/>
  <c r="FI113" i="24"/>
  <c r="FJ256" i="24"/>
  <c r="FI172" i="24"/>
  <c r="FJ251" i="24"/>
  <c r="FI159" i="24"/>
  <c r="FI111" i="24"/>
  <c r="FJ273" i="24"/>
  <c r="FI186" i="24"/>
  <c r="FI112" i="24"/>
  <c r="FJ289" i="24"/>
  <c r="FI155" i="24"/>
  <c r="FI183" i="24"/>
  <c r="FJ147" i="24"/>
  <c r="FJ254" i="24"/>
  <c r="FJ201" i="24"/>
  <c r="FJ149" i="24"/>
  <c r="FJ314" i="24"/>
  <c r="FI135" i="24"/>
  <c r="FJ197" i="24"/>
  <c r="FI137" i="24"/>
  <c r="FJ129" i="24"/>
  <c r="FI173" i="24"/>
  <c r="FI122" i="24"/>
  <c r="FI153" i="24"/>
  <c r="FJ235" i="24"/>
  <c r="CF110" i="24"/>
  <c r="FI196" i="24"/>
  <c r="FJ128" i="24"/>
  <c r="FJ134" i="24"/>
  <c r="FI146" i="24"/>
  <c r="FJ172" i="24"/>
  <c r="FJ110" i="24"/>
  <c r="FJ243" i="24"/>
  <c r="FI198" i="24"/>
  <c r="FI117" i="24"/>
  <c r="FJ236" i="24"/>
  <c r="FJ156" i="24"/>
  <c r="FI162" i="24"/>
  <c r="FJ259" i="24"/>
  <c r="FI178" i="24"/>
  <c r="FI129" i="24"/>
  <c r="FJ293" i="24"/>
  <c r="FJ264" i="24"/>
  <c r="FI163" i="24"/>
  <c r="FJ140" i="24"/>
  <c r="FJ137" i="24"/>
  <c r="FI202" i="24"/>
  <c r="FJ310" i="24"/>
  <c r="FI147" i="24"/>
  <c r="FJ150" i="24"/>
  <c r="FI157" i="24"/>
  <c r="FJ258" i="24"/>
  <c r="FI195" i="24"/>
  <c r="FI120" i="24"/>
  <c r="FI119" i="24"/>
  <c r="FJ143" i="24"/>
  <c r="FI185" i="24"/>
  <c r="CF216" i="24"/>
  <c r="FI192" i="24"/>
  <c r="FI128" i="24"/>
  <c r="FJ286" i="24"/>
  <c r="FJ164" i="24"/>
  <c r="FJ281" i="24"/>
  <c r="FJ233" i="24"/>
  <c r="FI164" i="24"/>
  <c r="FJ188" i="24"/>
  <c r="FJ111" i="24"/>
  <c r="FJ220" i="24"/>
  <c r="FI154" i="24"/>
  <c r="FJ313" i="24"/>
  <c r="FJ257" i="24"/>
  <c r="FI158" i="24"/>
  <c r="FJ152" i="24"/>
  <c r="FJ248" i="24"/>
  <c r="FJ230" i="24"/>
  <c r="FI134" i="24"/>
  <c r="FJ176" i="24"/>
  <c r="FI127" i="24"/>
  <c r="FI205" i="24"/>
  <c r="FI161" i="24"/>
  <c r="FJ312" i="24"/>
  <c r="FI190" i="24"/>
  <c r="FJ218" i="24"/>
  <c r="FJ298" i="24"/>
  <c r="FJ282" i="24"/>
  <c r="FI200" i="24"/>
  <c r="FJ160" i="24"/>
  <c r="FI151" i="24"/>
  <c r="FJ226" i="24"/>
  <c r="FJ275" i="24"/>
  <c r="FJ184" i="24"/>
  <c r="FJ305" i="24"/>
  <c r="FJ127" i="24"/>
  <c r="FJ247" i="24"/>
  <c r="FI148" i="24"/>
  <c r="FJ221" i="24"/>
  <c r="FI136" i="24"/>
  <c r="FI166" i="24"/>
  <c r="FJ267" i="24"/>
  <c r="FJ141" i="24"/>
  <c r="FJ309" i="24"/>
  <c r="FJ252" i="24"/>
  <c r="FI156" i="24"/>
  <c r="FJ124" i="24"/>
  <c r="FJ130" i="24"/>
  <c r="FJ231" i="24"/>
  <c r="FJ303" i="24"/>
  <c r="FI142" i="24"/>
  <c r="FJ223" i="24"/>
  <c r="FJ308" i="24"/>
  <c r="FI131" i="24"/>
  <c r="FJ307" i="24"/>
  <c r="FJ253" i="24"/>
  <c r="FI187" i="24"/>
  <c r="FI118" i="24"/>
  <c r="FI168" i="24"/>
  <c r="FI203" i="24"/>
  <c r="FJ302" i="24"/>
  <c r="FJ316" i="24"/>
  <c r="FJ145" i="24"/>
  <c r="FJ219" i="24"/>
  <c r="FJ158" i="24"/>
  <c r="FJ138" i="24"/>
  <c r="FJ196" i="24"/>
  <c r="CE110" i="24"/>
  <c r="FI180" i="24"/>
  <c r="FC62" i="24"/>
  <c r="FE62" i="24" s="1"/>
  <c r="FF62" i="24" s="1"/>
  <c r="FC10" i="24"/>
  <c r="FE10" i="24" s="1"/>
  <c r="FF10" i="24" s="1"/>
  <c r="ER6" i="24"/>
  <c r="FC6" i="24"/>
  <c r="FE6" i="24" s="1"/>
  <c r="FF6" i="24" s="1"/>
  <c r="ER207" i="24"/>
  <c r="FC207" i="24"/>
  <c r="FE207" i="24" s="1"/>
  <c r="FF207" i="24" s="1"/>
  <c r="ER115" i="24"/>
  <c r="FC115" i="24"/>
  <c r="FE115" i="24" s="1"/>
  <c r="FF115" i="24" s="1"/>
  <c r="ER117" i="24"/>
  <c r="FC117" i="24"/>
  <c r="FE117" i="24" s="1"/>
  <c r="FF117" i="24" s="1"/>
  <c r="ER19" i="24"/>
  <c r="FC19" i="24"/>
  <c r="FE19" i="24" s="1"/>
  <c r="FF19" i="24" s="1"/>
  <c r="FC179" i="24"/>
  <c r="FE179" i="24" s="1"/>
  <c r="FF179" i="24" s="1"/>
  <c r="ER179" i="24"/>
  <c r="ER75" i="24"/>
  <c r="FC75" i="24"/>
  <c r="FE75" i="24" s="1"/>
  <c r="FF75" i="24" s="1"/>
  <c r="ER80" i="24"/>
  <c r="FC80" i="24"/>
  <c r="FE80" i="24" s="1"/>
  <c r="FF80" i="24" s="1"/>
  <c r="ER49" i="24"/>
  <c r="FC49" i="24"/>
  <c r="FE49" i="24" s="1"/>
  <c r="FF49" i="24" s="1"/>
  <c r="ER59" i="24"/>
  <c r="FC59" i="24"/>
  <c r="FE59" i="24" s="1"/>
  <c r="FF59" i="24" s="1"/>
  <c r="ER178" i="24"/>
  <c r="FC178" i="24"/>
  <c r="FE178" i="24" s="1"/>
  <c r="FF178" i="24" s="1"/>
  <c r="ER27" i="24"/>
  <c r="FC27" i="24"/>
  <c r="FE27" i="24" s="1"/>
  <c r="FF27" i="24" s="1"/>
  <c r="ER161" i="24"/>
  <c r="FC161" i="24"/>
  <c r="FE161" i="24" s="1"/>
  <c r="FF161" i="24" s="1"/>
  <c r="ER150" i="24"/>
  <c r="FC150" i="24"/>
  <c r="FE150" i="24" s="1"/>
  <c r="FF150" i="24" s="1"/>
  <c r="ER18" i="24"/>
  <c r="FC18" i="24"/>
  <c r="FE18" i="24" s="1"/>
  <c r="FF18" i="24" s="1"/>
  <c r="ER158" i="24"/>
  <c r="FC158" i="24"/>
  <c r="FE158" i="24" s="1"/>
  <c r="FF158" i="24" s="1"/>
  <c r="ER194" i="24"/>
  <c r="FC194" i="24"/>
  <c r="FE194" i="24" s="1"/>
  <c r="FF194" i="24" s="1"/>
  <c r="ER95" i="24"/>
  <c r="FC95" i="24"/>
  <c r="FE95" i="24" s="1"/>
  <c r="FF95" i="24" s="1"/>
  <c r="ER146" i="24"/>
  <c r="FC146" i="24"/>
  <c r="FE146" i="24" s="1"/>
  <c r="FF146" i="24" s="1"/>
  <c r="ER97" i="24"/>
  <c r="FC97" i="24"/>
  <c r="FE97" i="24" s="1"/>
  <c r="FF97" i="24" s="1"/>
  <c r="ER70" i="24"/>
  <c r="FC70" i="24"/>
  <c r="FE70" i="24" s="1"/>
  <c r="FF70" i="24" s="1"/>
  <c r="ER210" i="24"/>
  <c r="FC210" i="24"/>
  <c r="FE210" i="24" s="1"/>
  <c r="FF210" i="24" s="1"/>
  <c r="ER187" i="24"/>
  <c r="FC187" i="24"/>
  <c r="FE187" i="24" s="1"/>
  <c r="FF187" i="24" s="1"/>
  <c r="ER7" i="24"/>
  <c r="FC7" i="24"/>
  <c r="FE7" i="24" s="1"/>
  <c r="FF7" i="24" s="1"/>
  <c r="ER125" i="24"/>
  <c r="FC125" i="24"/>
  <c r="FE125" i="24" s="1"/>
  <c r="FF125" i="24" s="1"/>
  <c r="ER21" i="24"/>
  <c r="FC21" i="24"/>
  <c r="FE21" i="24" s="1"/>
  <c r="FF21" i="24" s="1"/>
  <c r="ER176" i="24"/>
  <c r="FC176" i="24"/>
  <c r="FE176" i="24" s="1"/>
  <c r="FF176" i="24" s="1"/>
  <c r="ER122" i="24"/>
  <c r="FC122" i="24"/>
  <c r="FE122" i="24" s="1"/>
  <c r="FF122" i="24" s="1"/>
  <c r="ER209" i="24"/>
  <c r="FC209" i="24"/>
  <c r="FE209" i="24" s="1"/>
  <c r="FF209" i="24" s="1"/>
  <c r="ER103" i="24"/>
  <c r="FC103" i="24"/>
  <c r="FE103" i="24" s="1"/>
  <c r="FF103" i="24" s="1"/>
  <c r="ER9" i="24"/>
  <c r="FC9" i="24"/>
  <c r="FE9" i="24" s="1"/>
  <c r="FF9" i="24" s="1"/>
  <c r="ER31" i="24"/>
  <c r="FC31" i="24"/>
  <c r="FE31" i="24" s="1"/>
  <c r="FF31" i="24" s="1"/>
  <c r="ER130" i="24"/>
  <c r="FC130" i="24"/>
  <c r="FE130" i="24" s="1"/>
  <c r="FF130" i="24" s="1"/>
  <c r="FC148" i="24"/>
  <c r="FE148" i="24" s="1"/>
  <c r="FF148" i="24" s="1"/>
  <c r="ER148" i="24"/>
  <c r="ER84" i="24"/>
  <c r="FC84" i="24"/>
  <c r="FE84" i="24" s="1"/>
  <c r="FF84" i="24" s="1"/>
  <c r="ER82" i="24"/>
  <c r="FC82" i="24"/>
  <c r="FE82" i="24" s="1"/>
  <c r="FF82" i="24" s="1"/>
  <c r="ER26" i="24"/>
  <c r="FC26" i="24"/>
  <c r="FE26" i="24" s="1"/>
  <c r="FF26" i="24" s="1"/>
  <c r="ER200" i="24"/>
  <c r="FC200" i="24"/>
  <c r="FE200" i="24" s="1"/>
  <c r="FF200" i="24" s="1"/>
  <c r="ER157" i="24"/>
  <c r="FC157" i="24"/>
  <c r="FE157" i="24" s="1"/>
  <c r="FF157" i="24" s="1"/>
  <c r="ER205" i="24"/>
  <c r="FC205" i="24"/>
  <c r="FE205" i="24" s="1"/>
  <c r="FF205" i="24" s="1"/>
  <c r="ER137" i="24"/>
  <c r="FC137" i="24"/>
  <c r="FE137" i="24" s="1"/>
  <c r="FF137" i="24" s="1"/>
  <c r="ER162" i="24"/>
  <c r="FC162" i="24"/>
  <c r="FE162" i="24" s="1"/>
  <c r="FF162" i="24" s="1"/>
  <c r="ER156" i="24"/>
  <c r="FC156" i="24"/>
  <c r="FE156" i="24" s="1"/>
  <c r="FF156" i="24" s="1"/>
  <c r="ER35" i="24"/>
  <c r="FC35" i="24"/>
  <c r="FE35" i="24" s="1"/>
  <c r="FF35" i="24" s="1"/>
  <c r="ER105" i="24"/>
  <c r="FC105" i="24"/>
  <c r="FE105" i="24" s="1"/>
  <c r="FF105" i="24" s="1"/>
  <c r="ER17" i="24"/>
  <c r="FC17" i="24"/>
  <c r="FE17" i="24" s="1"/>
  <c r="FF17" i="24" s="1"/>
  <c r="ER16" i="24"/>
  <c r="FC16" i="24"/>
  <c r="FE16" i="24" s="1"/>
  <c r="FF16" i="24" s="1"/>
  <c r="ER56" i="24"/>
  <c r="FC56" i="24"/>
  <c r="FE56" i="24" s="1"/>
  <c r="FF56" i="24" s="1"/>
  <c r="ER72" i="24"/>
  <c r="FC72" i="24"/>
  <c r="FE72" i="24" s="1"/>
  <c r="FF72" i="24" s="1"/>
  <c r="ER166" i="24"/>
  <c r="FC166" i="24"/>
  <c r="FE166" i="24" s="1"/>
  <c r="FF166" i="24" s="1"/>
  <c r="ER114" i="24"/>
  <c r="FC114" i="24"/>
  <c r="FE114" i="24" s="1"/>
  <c r="FF114" i="24" s="1"/>
  <c r="ER131" i="24"/>
  <c r="FC131" i="24"/>
  <c r="FE131" i="24" s="1"/>
  <c r="FF131" i="24" s="1"/>
  <c r="ER68" i="24"/>
  <c r="FC68" i="24"/>
  <c r="FE68" i="24" s="1"/>
  <c r="FF68" i="24" s="1"/>
  <c r="ER28" i="24"/>
  <c r="FC28" i="24"/>
  <c r="FE28" i="24" s="1"/>
  <c r="FF28" i="24" s="1"/>
  <c r="ER98" i="24"/>
  <c r="FC98" i="24"/>
  <c r="FE98" i="24" s="1"/>
  <c r="FF98" i="24" s="1"/>
  <c r="ER61" i="24"/>
  <c r="FC61" i="24"/>
  <c r="FE61" i="24" s="1"/>
  <c r="FF61" i="24" s="1"/>
  <c r="ER139" i="24"/>
  <c r="FC139" i="24"/>
  <c r="FE139" i="24" s="1"/>
  <c r="FF139" i="24" s="1"/>
  <c r="ER191" i="24"/>
  <c r="FC191" i="24"/>
  <c r="FE191" i="24" s="1"/>
  <c r="FF191" i="24" s="1"/>
  <c r="ER145" i="24"/>
  <c r="FC145" i="24"/>
  <c r="FE145" i="24" s="1"/>
  <c r="FF145" i="24" s="1"/>
  <c r="ER15" i="24"/>
  <c r="FC15" i="24"/>
  <c r="FE15" i="24" s="1"/>
  <c r="FF15" i="24" s="1"/>
  <c r="ER175" i="24"/>
  <c r="FC175" i="24"/>
  <c r="FE175" i="24" s="1"/>
  <c r="FF175" i="24" s="1"/>
  <c r="ER38" i="24"/>
  <c r="FC38" i="24"/>
  <c r="FE38" i="24" s="1"/>
  <c r="FF38" i="24" s="1"/>
  <c r="ER94" i="24"/>
  <c r="FC94" i="24"/>
  <c r="FE94" i="24" s="1"/>
  <c r="FF94" i="24" s="1"/>
  <c r="ER182" i="24"/>
  <c r="FC182" i="24"/>
  <c r="FE182" i="24" s="1"/>
  <c r="FF182" i="24" s="1"/>
  <c r="ER22" i="24"/>
  <c r="FC22" i="24"/>
  <c r="FE22" i="24" s="1"/>
  <c r="FF22" i="24" s="1"/>
  <c r="ER11" i="24"/>
  <c r="FC11" i="24"/>
  <c r="FE11" i="24" s="1"/>
  <c r="FF11" i="24" s="1"/>
  <c r="ER140" i="24"/>
  <c r="FC140" i="24"/>
  <c r="FE140" i="24" s="1"/>
  <c r="FF140" i="24" s="1"/>
  <c r="ER165" i="24"/>
  <c r="FC165" i="24"/>
  <c r="FE165" i="24" s="1"/>
  <c r="FF165" i="24" s="1"/>
  <c r="ER57" i="24"/>
  <c r="FC57" i="24"/>
  <c r="FE57" i="24" s="1"/>
  <c r="FF57" i="24" s="1"/>
  <c r="ER89" i="24"/>
  <c r="FC89" i="24"/>
  <c r="FE89" i="24" s="1"/>
  <c r="FF89" i="24" s="1"/>
  <c r="ER155" i="24"/>
  <c r="FC155" i="24"/>
  <c r="FE155" i="24" s="1"/>
  <c r="FF155" i="24" s="1"/>
  <c r="ER118" i="24"/>
  <c r="FC118" i="24"/>
  <c r="FE118" i="24" s="1"/>
  <c r="FF118" i="24" s="1"/>
  <c r="ER65" i="24"/>
  <c r="FC65" i="24"/>
  <c r="FE65" i="24" s="1"/>
  <c r="FF65" i="24" s="1"/>
  <c r="ER206" i="24"/>
  <c r="FC206" i="24"/>
  <c r="FE206" i="24" s="1"/>
  <c r="FF206" i="24" s="1"/>
  <c r="ER129" i="24"/>
  <c r="FC129" i="24"/>
  <c r="FE129" i="24" s="1"/>
  <c r="FF129" i="24" s="1"/>
  <c r="ER151" i="24"/>
  <c r="FC151" i="24"/>
  <c r="FE151" i="24" s="1"/>
  <c r="FF151" i="24" s="1"/>
  <c r="ER112" i="24"/>
  <c r="FC112" i="24"/>
  <c r="FE112" i="24" s="1"/>
  <c r="FF112" i="24" s="1"/>
  <c r="ER42" i="24"/>
  <c r="FC42" i="24"/>
  <c r="FE42" i="24" s="1"/>
  <c r="FF42" i="24" s="1"/>
  <c r="ER101" i="24"/>
  <c r="FC101" i="24"/>
  <c r="FE101" i="24" s="1"/>
  <c r="FF101" i="24" s="1"/>
  <c r="ER69" i="24"/>
  <c r="FC69" i="24"/>
  <c r="FE69" i="24" s="1"/>
  <c r="FF69" i="24" s="1"/>
  <c r="ER138" i="24"/>
  <c r="FC138" i="24"/>
  <c r="FE138" i="24" s="1"/>
  <c r="FF138" i="24" s="1"/>
  <c r="ER87" i="24"/>
  <c r="FC87" i="24"/>
  <c r="FE87" i="24" s="1"/>
  <c r="FF87" i="24" s="1"/>
  <c r="ER202" i="24"/>
  <c r="FC202" i="24"/>
  <c r="FE202" i="24" s="1"/>
  <c r="FF202" i="24" s="1"/>
  <c r="ER184" i="24"/>
  <c r="FC184" i="24"/>
  <c r="FE184" i="24" s="1"/>
  <c r="FF184" i="24" s="1"/>
  <c r="ER195" i="24"/>
  <c r="FC195" i="24"/>
  <c r="FE195" i="24" s="1"/>
  <c r="FF195" i="24" s="1"/>
  <c r="ER193" i="24"/>
  <c r="FC193" i="24"/>
  <c r="FE193" i="24" s="1"/>
  <c r="FF193" i="24" s="1"/>
  <c r="ER45" i="24"/>
  <c r="FC45" i="24"/>
  <c r="FE45" i="24" s="1"/>
  <c r="FF45" i="24" s="1"/>
  <c r="ER197" i="24"/>
  <c r="FC197" i="24"/>
  <c r="FE197" i="24" s="1"/>
  <c r="FF197" i="24" s="1"/>
  <c r="ER196" i="24"/>
  <c r="FC196" i="24"/>
  <c r="FE196" i="24" s="1"/>
  <c r="FF196" i="24" s="1"/>
  <c r="ER116" i="24"/>
  <c r="FC116" i="24"/>
  <c r="FE116" i="24" s="1"/>
  <c r="FF116" i="24" s="1"/>
  <c r="ER46" i="24"/>
  <c r="FC46" i="24"/>
  <c r="FE46" i="24" s="1"/>
  <c r="FF46" i="24" s="1"/>
  <c r="ER64" i="24"/>
  <c r="FC64" i="24"/>
  <c r="FE64" i="24" s="1"/>
  <c r="FF64" i="24" s="1"/>
  <c r="ER180" i="24"/>
  <c r="FC180" i="24"/>
  <c r="FE180" i="24" s="1"/>
  <c r="ER168" i="24"/>
  <c r="FC168" i="24"/>
  <c r="FE168" i="24" s="1"/>
  <c r="FF168" i="24" s="1"/>
  <c r="ER66" i="24"/>
  <c r="FC66" i="24"/>
  <c r="FE66" i="24" s="1"/>
  <c r="FF66" i="24" s="1"/>
  <c r="ER73" i="24"/>
  <c r="FC73" i="24"/>
  <c r="FE73" i="24" s="1"/>
  <c r="FF73" i="24" s="1"/>
  <c r="ER24" i="24"/>
  <c r="FC24" i="24"/>
  <c r="FE24" i="24" s="1"/>
  <c r="FF24" i="24" s="1"/>
  <c r="ER183" i="24"/>
  <c r="FC183" i="24"/>
  <c r="FE183" i="24" s="1"/>
  <c r="FF183" i="24" s="1"/>
  <c r="ER100" i="24"/>
  <c r="FC100" i="24"/>
  <c r="FE100" i="24" s="1"/>
  <c r="FF100" i="24" s="1"/>
  <c r="ER198" i="24"/>
  <c r="FC198" i="24"/>
  <c r="FE198" i="24" s="1"/>
  <c r="FF198" i="24" s="1"/>
  <c r="ER91" i="24"/>
  <c r="FC91" i="24"/>
  <c r="FE91" i="24" s="1"/>
  <c r="FF91" i="24" s="1"/>
  <c r="ER58" i="24"/>
  <c r="FC58" i="24"/>
  <c r="FE58" i="24" s="1"/>
  <c r="FF58" i="24" s="1"/>
  <c r="ER164" i="24"/>
  <c r="FC164" i="24"/>
  <c r="FE164" i="24" s="1"/>
  <c r="FF164" i="24" s="1"/>
  <c r="ER25" i="24"/>
  <c r="FC25" i="24"/>
  <c r="FE25" i="24" s="1"/>
  <c r="FF25" i="24" s="1"/>
  <c r="ER113" i="24"/>
  <c r="FC113" i="24"/>
  <c r="FE113" i="24" s="1"/>
  <c r="FF113" i="24" s="1"/>
  <c r="FC120" i="24"/>
  <c r="FE120" i="24" s="1"/>
  <c r="FF120" i="24" s="1"/>
  <c r="ER120" i="24"/>
  <c r="FC189" i="24"/>
  <c r="FE189" i="24" s="1"/>
  <c r="FF189" i="24" s="1"/>
  <c r="ER189" i="24"/>
  <c r="ER88" i="24"/>
  <c r="FC88" i="24"/>
  <c r="FE88" i="24" s="1"/>
  <c r="FF88" i="24" s="1"/>
  <c r="ER128" i="24"/>
  <c r="FC128" i="24"/>
  <c r="FE128" i="24" s="1"/>
  <c r="FF128" i="24" s="1"/>
  <c r="ER177" i="24"/>
  <c r="FC177" i="24"/>
  <c r="FE177" i="24" s="1"/>
  <c r="FF177" i="24" s="1"/>
  <c r="ER33" i="24"/>
  <c r="FC33" i="24"/>
  <c r="FE33" i="24" s="1"/>
  <c r="FF33" i="24" s="1"/>
  <c r="ER102" i="24"/>
  <c r="FC102" i="24"/>
  <c r="FE102" i="24" s="1"/>
  <c r="FF102" i="24" s="1"/>
  <c r="ER121" i="24"/>
  <c r="FC121" i="24"/>
  <c r="FE121" i="24" s="1"/>
  <c r="FF121" i="24" s="1"/>
  <c r="ER144" i="24"/>
  <c r="FC144" i="24"/>
  <c r="FE144" i="24" s="1"/>
  <c r="FF144" i="24" s="1"/>
  <c r="ER93" i="24"/>
  <c r="FC93" i="24"/>
  <c r="FE93" i="24" s="1"/>
  <c r="FF93" i="24" s="1"/>
  <c r="ER8" i="24"/>
  <c r="FC8" i="24"/>
  <c r="FE8" i="24" s="1"/>
  <c r="FF8" i="24" s="1"/>
  <c r="ER51" i="24"/>
  <c r="FC51" i="24"/>
  <c r="FE51" i="24" s="1"/>
  <c r="FF51" i="24" s="1"/>
  <c r="ER167" i="24"/>
  <c r="FC167" i="24"/>
  <c r="FE167" i="24" s="1"/>
  <c r="FF167" i="24" s="1"/>
  <c r="ER153" i="24"/>
  <c r="FC153" i="24"/>
  <c r="FE153" i="24" s="1"/>
  <c r="FF153" i="24" s="1"/>
  <c r="ER34" i="24"/>
  <c r="FC34" i="24"/>
  <c r="FE34" i="24" s="1"/>
  <c r="FF34" i="24" s="1"/>
  <c r="ER50" i="24"/>
  <c r="FC50" i="24"/>
  <c r="FE50" i="24" s="1"/>
  <c r="FF50" i="24" s="1"/>
  <c r="ER85" i="24"/>
  <c r="FC85" i="24"/>
  <c r="FE85" i="24" s="1"/>
  <c r="FF85" i="24" s="1"/>
  <c r="ER154" i="24"/>
  <c r="FC154" i="24"/>
  <c r="FE154" i="24" s="1"/>
  <c r="FF154" i="24" s="1"/>
  <c r="ER174" i="24"/>
  <c r="FC174" i="24"/>
  <c r="FE174" i="24" s="1"/>
  <c r="FF174" i="24" s="1"/>
  <c r="ER143" i="24"/>
  <c r="FC143" i="24"/>
  <c r="FE143" i="24" s="1"/>
  <c r="FF143" i="24" s="1"/>
  <c r="ER32" i="24"/>
  <c r="FC32" i="24"/>
  <c r="FE32" i="24" s="1"/>
  <c r="FF32" i="24" s="1"/>
  <c r="ER163" i="24"/>
  <c r="FC163" i="24"/>
  <c r="FE163" i="24" s="1"/>
  <c r="FF163" i="24" s="1"/>
  <c r="FC173" i="24"/>
  <c r="FE173" i="24" s="1"/>
  <c r="FF173" i="24" s="1"/>
  <c r="ER173" i="24"/>
  <c r="ER20" i="24"/>
  <c r="FC20" i="24"/>
  <c r="FE20" i="24" s="1"/>
  <c r="FF20" i="24" s="1"/>
  <c r="ER204" i="24"/>
  <c r="FC204" i="24"/>
  <c r="FE204" i="24" s="1"/>
  <c r="FF204" i="24" s="1"/>
  <c r="ER171" i="24"/>
  <c r="FC171" i="24"/>
  <c r="FE171" i="24" s="1"/>
  <c r="FF171" i="24" s="1"/>
  <c r="ER41" i="24"/>
  <c r="FC41" i="24"/>
  <c r="FE41" i="24" s="1"/>
  <c r="FF41" i="24" s="1"/>
  <c r="ER12" i="24"/>
  <c r="FC12" i="24"/>
  <c r="FE12" i="24" s="1"/>
  <c r="FF12" i="24" s="1"/>
  <c r="ER119" i="24"/>
  <c r="FC119" i="24"/>
  <c r="FE119" i="24" s="1"/>
  <c r="FF119" i="24" s="1"/>
  <c r="ER181" i="24"/>
  <c r="FC181" i="24"/>
  <c r="FE181" i="24" s="1"/>
  <c r="FF181" i="24" s="1"/>
  <c r="ER141" i="24"/>
  <c r="FC141" i="24"/>
  <c r="FE141" i="24" s="1"/>
  <c r="FF141" i="24" s="1"/>
  <c r="ER149" i="24"/>
  <c r="FC149" i="24"/>
  <c r="FE149" i="24" s="1"/>
  <c r="FF149" i="24" s="1"/>
  <c r="ER79" i="24"/>
  <c r="FC79" i="24"/>
  <c r="FE79" i="24" s="1"/>
  <c r="FF79" i="24" s="1"/>
  <c r="ER185" i="24"/>
  <c r="FC185" i="24"/>
  <c r="FE185" i="24" s="1"/>
  <c r="FF185" i="24" s="1"/>
  <c r="FC203" i="24"/>
  <c r="FE203" i="24" s="1"/>
  <c r="FF203" i="24" s="1"/>
  <c r="ER203" i="24"/>
  <c r="ER76" i="24"/>
  <c r="FC76" i="24"/>
  <c r="FE76" i="24" s="1"/>
  <c r="FF76" i="24" s="1"/>
  <c r="ER36" i="24"/>
  <c r="FC36" i="24"/>
  <c r="FE36" i="24" s="1"/>
  <c r="FF36" i="24" s="1"/>
  <c r="ER47" i="24"/>
  <c r="FC47" i="24"/>
  <c r="FE47" i="24" s="1"/>
  <c r="FF47" i="24" s="1"/>
  <c r="ER123" i="24"/>
  <c r="FC123" i="24"/>
  <c r="FE123" i="24" s="1"/>
  <c r="FF123" i="24" s="1"/>
  <c r="ER135" i="24"/>
  <c r="FC135" i="24"/>
  <c r="FE135" i="24" s="1"/>
  <c r="FF135" i="24" s="1"/>
  <c r="ER208" i="24"/>
  <c r="FC208" i="24"/>
  <c r="FE208" i="24" s="1"/>
  <c r="FF208" i="24" s="1"/>
  <c r="ER53" i="24"/>
  <c r="FC53" i="24"/>
  <c r="FE53" i="24" s="1"/>
  <c r="FF53" i="24" s="1"/>
  <c r="ER54" i="24"/>
  <c r="FC54" i="24"/>
  <c r="FE54" i="24" s="1"/>
  <c r="FF54" i="24" s="1"/>
  <c r="ER86" i="24"/>
  <c r="FC86" i="24"/>
  <c r="FE86" i="24" s="1"/>
  <c r="FF86" i="24" s="1"/>
  <c r="ER188" i="24"/>
  <c r="FC188" i="24"/>
  <c r="FE188" i="24" s="1"/>
  <c r="FF188" i="24" s="1"/>
  <c r="B183" i="2"/>
  <c r="C50" i="16" s="1"/>
  <c r="FJ189" i="24" l="1"/>
  <c r="FJ295" i="24"/>
  <c r="FJ161" i="24"/>
  <c r="FJ151" i="24"/>
  <c r="FJ182" i="24"/>
  <c r="FJ288" i="24"/>
  <c r="FJ193" i="24"/>
  <c r="FJ202" i="24"/>
  <c r="FJ191" i="24"/>
  <c r="FJ200" i="24"/>
  <c r="FJ241" i="24"/>
  <c r="FJ139" i="24"/>
  <c r="FJ209" i="24"/>
  <c r="FJ135" i="24"/>
  <c r="FJ284" i="24"/>
  <c r="FJ178" i="24"/>
  <c r="FJ185" i="24"/>
  <c r="FJ268" i="24"/>
  <c r="FJ166" i="24"/>
  <c r="FJ162" i="24"/>
  <c r="FJ157" i="24"/>
  <c r="FJ285" i="24"/>
  <c r="CZ212" i="24"/>
  <c r="CS212" i="24"/>
  <c r="FD212" i="24" s="1"/>
  <c r="CN212" i="24"/>
  <c r="DA212" i="24" s="1"/>
  <c r="DT212" i="24"/>
  <c r="BO212" i="24"/>
  <c r="BR212" i="24" s="1"/>
  <c r="H212" i="24"/>
  <c r="AM212" i="24"/>
  <c r="FJ119" i="24"/>
  <c r="FJ203" i="24"/>
  <c r="FJ279" i="24"/>
  <c r="FJ173" i="24"/>
  <c r="FJ125" i="24"/>
  <c r="AT110" i="24"/>
  <c r="BA110" i="24" s="1"/>
  <c r="FJ179" i="24"/>
  <c r="FJ168" i="24"/>
  <c r="FJ181" i="24"/>
  <c r="FJ177" i="24"/>
  <c r="FJ167" i="24"/>
  <c r="FJ198" i="24"/>
  <c r="FJ210" i="24"/>
  <c r="B98" i="2"/>
  <c r="B102" i="2" s="1"/>
  <c r="E16" i="1" s="1"/>
  <c r="FJ207" i="24"/>
  <c r="FJ183" i="24"/>
  <c r="FJ206" i="24"/>
  <c r="FJ195" i="24"/>
  <c r="FJ208" i="24"/>
  <c r="AE216" i="24"/>
  <c r="AI216" i="24"/>
  <c r="X216" i="24"/>
  <c r="AA216" i="24" s="1"/>
  <c r="AB216" i="24" s="1"/>
  <c r="AC216" i="24" s="1"/>
  <c r="V216" i="24"/>
  <c r="W216" i="24"/>
  <c r="Q216" i="24"/>
  <c r="P216" i="24"/>
  <c r="AP216" i="24"/>
  <c r="FJ205" i="24"/>
  <c r="FJ204" i="24"/>
  <c r="AN110" i="24"/>
  <c r="BH110" i="24" s="1"/>
  <c r="AK110" i="24"/>
  <c r="FF180" i="24"/>
  <c r="FJ180" i="24"/>
  <c r="B249" i="2"/>
  <c r="D50" i="16" s="1"/>
  <c r="E46" i="1"/>
  <c r="A249" i="2"/>
  <c r="Y216" i="24" l="1"/>
  <c r="DC212" i="24"/>
  <c r="E57" i="1" s="1"/>
  <c r="DI212" i="24"/>
  <c r="DB212" i="24"/>
  <c r="DE212" i="24" s="1"/>
  <c r="DF212" i="24" s="1"/>
  <c r="DG212" i="24" s="1"/>
  <c r="DM212" i="24"/>
  <c r="AJ216" i="24"/>
  <c r="AF216" i="24"/>
  <c r="AG216" i="24"/>
  <c r="FI312" i="24"/>
  <c r="FI302" i="24"/>
  <c r="FI285" i="24"/>
  <c r="FI301" i="24"/>
  <c r="FI234" i="24"/>
  <c r="FI267" i="24"/>
  <c r="FI230" i="24"/>
  <c r="FI293" i="24"/>
  <c r="FI281" i="24"/>
  <c r="FI276" i="24"/>
  <c r="FI294" i="24"/>
  <c r="FI266" i="24"/>
  <c r="FI227" i="24"/>
  <c r="FI287" i="24"/>
  <c r="FI237" i="24"/>
  <c r="FI289" i="24"/>
  <c r="FI246" i="24"/>
  <c r="FI251" i="24"/>
  <c r="FI217" i="24"/>
  <c r="FI243" i="24"/>
  <c r="FI232" i="24"/>
  <c r="FI256" i="24"/>
  <c r="FI316" i="24"/>
  <c r="FI261" i="24"/>
  <c r="FI296" i="24"/>
  <c r="FI240" i="24"/>
  <c r="FI288" i="24"/>
  <c r="FI307" i="24"/>
  <c r="FI314" i="24"/>
  <c r="FI263" i="24"/>
  <c r="FI298" i="24"/>
  <c r="FI218" i="24"/>
  <c r="FI220" i="24"/>
  <c r="FI216" i="24"/>
  <c r="FI221" i="24"/>
  <c r="FI235" i="24"/>
  <c r="FI225" i="24"/>
  <c r="FI297" i="24"/>
  <c r="FI229" i="24"/>
  <c r="FI231" i="24"/>
  <c r="FI249" i="24"/>
  <c r="FI269" i="24"/>
  <c r="FI291" i="24"/>
  <c r="FI248" i="24"/>
  <c r="FI250" i="24"/>
  <c r="FI241" i="24"/>
  <c r="FI223" i="24"/>
  <c r="FI260" i="24"/>
  <c r="FI268" i="24"/>
  <c r="FI278" i="24"/>
  <c r="FI265" i="24"/>
  <c r="FI228" i="24"/>
  <c r="FI279" i="24"/>
  <c r="FI247" i="24"/>
  <c r="CE216" i="24"/>
  <c r="FI310" i="24"/>
  <c r="FI238" i="24"/>
  <c r="FI264" i="24"/>
  <c r="FI239" i="24"/>
  <c r="FI308" i="24"/>
  <c r="FI299" i="24"/>
  <c r="FI219" i="24"/>
  <c r="FI259" i="24"/>
  <c r="FI286" i="24"/>
  <c r="FI262" i="24"/>
  <c r="FI222" i="24"/>
  <c r="FI304" i="24"/>
  <c r="FI236" i="24"/>
  <c r="FI258" i="24"/>
  <c r="FI252" i="24"/>
  <c r="FI242" i="24"/>
  <c r="FI255" i="24"/>
  <c r="FI309" i="24"/>
  <c r="FI272" i="24"/>
  <c r="FI277" i="24"/>
  <c r="FI282" i="24"/>
  <c r="FI283" i="24"/>
  <c r="FI271" i="24"/>
  <c r="FI226" i="24"/>
  <c r="FI245" i="24"/>
  <c r="FI311" i="24"/>
  <c r="FI224" i="24"/>
  <c r="FI244" i="24"/>
  <c r="FI295" i="24"/>
  <c r="FI292" i="24"/>
  <c r="FI313" i="24"/>
  <c r="FI274" i="24"/>
  <c r="FI233" i="24"/>
  <c r="FI253" i="24"/>
  <c r="FI280" i="24"/>
  <c r="FI303" i="24"/>
  <c r="FI270" i="24"/>
  <c r="FI300" i="24"/>
  <c r="FI284" i="24"/>
  <c r="FI254" i="24"/>
  <c r="FI290" i="24"/>
  <c r="FI315" i="24"/>
  <c r="FI257" i="24"/>
  <c r="FI275" i="24"/>
  <c r="FI306" i="24"/>
  <c r="FI305" i="24"/>
  <c r="FI273" i="24"/>
  <c r="BI110" i="24"/>
  <c r="BL110" i="24" s="1"/>
  <c r="AS110" i="24"/>
  <c r="BJ110" i="24"/>
  <c r="AQ110" i="24"/>
  <c r="BU110" i="24"/>
  <c r="AX110" i="24"/>
  <c r="BW110" i="24"/>
  <c r="DN212" i="24" l="1"/>
  <c r="DX212" i="24" s="1"/>
  <c r="DK212" i="24"/>
  <c r="DJ212" i="24"/>
  <c r="AT216" i="24"/>
  <c r="BA216" i="24" s="1"/>
  <c r="AN216" i="24"/>
  <c r="BW216" i="24" s="1"/>
  <c r="AK216" i="24"/>
  <c r="AU110" i="24"/>
  <c r="BB110" i="24" s="1"/>
  <c r="AW110" i="24"/>
  <c r="DO212" i="24" l="1"/>
  <c r="DR212" i="24"/>
  <c r="EE212" i="24"/>
  <c r="BH216" i="24"/>
  <c r="BU216" i="24"/>
  <c r="BJ216" i="24"/>
  <c r="BI216" i="24"/>
  <c r="BL216" i="24" s="1"/>
  <c r="AX216" i="24"/>
  <c r="AS216" i="24"/>
  <c r="AQ216" i="24"/>
  <c r="AY110" i="24"/>
  <c r="AZ110" i="24" s="1"/>
  <c r="BD110" i="24"/>
  <c r="BE110" i="24"/>
  <c r="BT110" i="24" s="1"/>
  <c r="DW212" i="24" l="1"/>
  <c r="EM212" i="24"/>
  <c r="EP212" i="24" s="1"/>
  <c r="EN212" i="24"/>
  <c r="FI212" i="24"/>
  <c r="DU212" i="24"/>
  <c r="EB212" i="24"/>
  <c r="EL212" i="24"/>
  <c r="EY212" i="24"/>
  <c r="FA212" i="24"/>
  <c r="AU216" i="24"/>
  <c r="BB216" i="24" s="1"/>
  <c r="AW216" i="24"/>
  <c r="BS110" i="24"/>
  <c r="BX110" i="24" s="1"/>
  <c r="BG110" i="24"/>
  <c r="DY212" i="24" l="1"/>
  <c r="EF212" i="24" s="1"/>
  <c r="EA212" i="24"/>
  <c r="L4" i="29"/>
  <c r="W3" i="29" s="1"/>
  <c r="BM110" i="24"/>
  <c r="BN110" i="24" s="1"/>
  <c r="BE216" i="24"/>
  <c r="BT216" i="24" s="1"/>
  <c r="BD216" i="24"/>
  <c r="AY216" i="24"/>
  <c r="AZ216" i="24" s="1"/>
  <c r="BY110" i="24"/>
  <c r="CA110" i="24" s="1"/>
  <c r="CB110" i="24" s="1"/>
  <c r="EH212" i="24" l="1"/>
  <c r="EC212" i="24"/>
  <c r="ED212" i="24" s="1"/>
  <c r="EI212" i="24"/>
  <c r="EX212" i="24" s="1"/>
  <c r="FL212" i="24"/>
  <c r="CG212" i="24"/>
  <c r="I212" i="24" s="1"/>
  <c r="B41" i="29"/>
  <c r="D41" i="29" s="1"/>
  <c r="BG216" i="24"/>
  <c r="BM216" i="24" s="1"/>
  <c r="BS216" i="24"/>
  <c r="BX216" i="24" s="1"/>
  <c r="I388" i="29"/>
  <c r="J507" i="29"/>
  <c r="I318" i="29"/>
  <c r="J157" i="29"/>
  <c r="J196" i="29"/>
  <c r="I481" i="29"/>
  <c r="I511" i="29"/>
  <c r="I152" i="29"/>
  <c r="I345" i="29"/>
  <c r="I495" i="29"/>
  <c r="I129" i="29"/>
  <c r="I435" i="29"/>
  <c r="I469" i="29"/>
  <c r="I133" i="29"/>
  <c r="J550" i="29"/>
  <c r="I611" i="29"/>
  <c r="J306" i="29"/>
  <c r="J464" i="29"/>
  <c r="J482" i="29"/>
  <c r="I560" i="29"/>
  <c r="J541" i="29"/>
  <c r="I217" i="29"/>
  <c r="J25" i="29"/>
  <c r="J564" i="29"/>
  <c r="J123" i="29"/>
  <c r="I238" i="29"/>
  <c r="I321" i="29"/>
  <c r="I550" i="29"/>
  <c r="I104" i="29"/>
  <c r="J524" i="29"/>
  <c r="I527" i="29"/>
  <c r="I513" i="29"/>
  <c r="I276" i="29"/>
  <c r="J86" i="29"/>
  <c r="I632" i="29"/>
  <c r="J609" i="29"/>
  <c r="I360" i="29"/>
  <c r="I69" i="29"/>
  <c r="J437" i="29"/>
  <c r="I361" i="29"/>
  <c r="I164" i="29"/>
  <c r="J254" i="29"/>
  <c r="I300" i="29"/>
  <c r="I194" i="29"/>
  <c r="I42" i="29"/>
  <c r="J601" i="29"/>
  <c r="I428" i="29"/>
  <c r="J506" i="29"/>
  <c r="J38" i="29"/>
  <c r="J375" i="29"/>
  <c r="J430" i="29"/>
  <c r="I517" i="29"/>
  <c r="J250" i="29"/>
  <c r="I38" i="29"/>
  <c r="J372" i="29"/>
  <c r="J516" i="29"/>
  <c r="J314" i="29"/>
  <c r="I431" i="29"/>
  <c r="J521" i="29"/>
  <c r="I608" i="29"/>
  <c r="I461" i="29"/>
  <c r="I105" i="29"/>
  <c r="I475" i="29"/>
  <c r="J101" i="29"/>
  <c r="J361" i="29"/>
  <c r="J73" i="29"/>
  <c r="I233" i="29"/>
  <c r="I602" i="29"/>
  <c r="I604" i="29"/>
  <c r="J279" i="29"/>
  <c r="I525" i="29"/>
  <c r="I569" i="29"/>
  <c r="I319" i="29"/>
  <c r="I75" i="29"/>
  <c r="J119" i="29"/>
  <c r="J152" i="29"/>
  <c r="J590" i="29"/>
  <c r="I64" i="29"/>
  <c r="J585" i="29"/>
  <c r="J455" i="29"/>
  <c r="I440" i="29"/>
  <c r="J83" i="29"/>
  <c r="I239" i="29"/>
  <c r="J339" i="29"/>
  <c r="J300" i="29"/>
  <c r="I599" i="29"/>
  <c r="I379" i="29"/>
  <c r="I579" i="29"/>
  <c r="I524" i="29"/>
  <c r="I561" i="29"/>
  <c r="I267" i="29"/>
  <c r="I582" i="29"/>
  <c r="I314" i="29"/>
  <c r="J287" i="29"/>
  <c r="J393" i="29"/>
  <c r="J131" i="29"/>
  <c r="I220" i="29"/>
  <c r="I107" i="29"/>
  <c r="I137" i="29"/>
  <c r="J124" i="29"/>
  <c r="J535" i="29"/>
  <c r="I474" i="29"/>
  <c r="J344" i="29"/>
  <c r="I106" i="29"/>
  <c r="I412" i="29"/>
  <c r="J510" i="29"/>
  <c r="J331" i="29"/>
  <c r="J45" i="29"/>
  <c r="I203" i="29"/>
  <c r="J198" i="29"/>
  <c r="J569" i="29"/>
  <c r="I92" i="29"/>
  <c r="J177" i="29"/>
  <c r="J527" i="29"/>
  <c r="I576" i="29"/>
  <c r="J309" i="29"/>
  <c r="I515" i="29"/>
  <c r="I349" i="29"/>
  <c r="J357" i="29"/>
  <c r="J68" i="29"/>
  <c r="J226" i="29"/>
  <c r="I274" i="29"/>
  <c r="I154" i="29"/>
  <c r="J409" i="29"/>
  <c r="I355" i="29"/>
  <c r="J589" i="29"/>
  <c r="I393" i="29"/>
  <c r="J42" i="29"/>
  <c r="J360" i="29"/>
  <c r="I391" i="29"/>
  <c r="J401" i="29"/>
  <c r="I554" i="29"/>
  <c r="I464" i="29"/>
  <c r="J350" i="29"/>
  <c r="J284" i="29"/>
  <c r="I55" i="29"/>
  <c r="J330" i="29"/>
  <c r="I390" i="29"/>
  <c r="J548" i="29"/>
  <c r="I398" i="29"/>
  <c r="I135" i="29"/>
  <c r="J70" i="29"/>
  <c r="I472" i="29"/>
  <c r="I505" i="29"/>
  <c r="J171" i="29"/>
  <c r="J325" i="29"/>
  <c r="I504" i="29"/>
  <c r="I357" i="29"/>
  <c r="I130" i="29"/>
  <c r="I273" i="29"/>
  <c r="J607" i="29"/>
  <c r="I593" i="29"/>
  <c r="I97" i="29"/>
  <c r="J194" i="29"/>
  <c r="J195" i="29"/>
  <c r="J90" i="29"/>
  <c r="I91" i="29"/>
  <c r="I483" i="29"/>
  <c r="J588" i="29"/>
  <c r="J435" i="29"/>
  <c r="J130" i="29"/>
  <c r="I271" i="29"/>
  <c r="J258" i="29"/>
  <c r="I375" i="29"/>
  <c r="I538" i="29"/>
  <c r="I364" i="29"/>
  <c r="J263" i="29"/>
  <c r="I383" i="29"/>
  <c r="I502" i="29"/>
  <c r="J320" i="29"/>
  <c r="J425" i="29"/>
  <c r="I493" i="29"/>
  <c r="I555" i="29"/>
  <c r="I497" i="29"/>
  <c r="J52" i="29"/>
  <c r="J277" i="29"/>
  <c r="J442" i="29"/>
  <c r="J504" i="29"/>
  <c r="I329" i="29"/>
  <c r="I77" i="29"/>
  <c r="J602" i="29"/>
  <c r="I313" i="29"/>
  <c r="I114" i="29"/>
  <c r="I304" i="29"/>
  <c r="J253" i="29"/>
  <c r="J576" i="29"/>
  <c r="J346" i="29"/>
  <c r="J519" i="29"/>
  <c r="J203" i="29"/>
  <c r="I119" i="29"/>
  <c r="J210" i="29"/>
  <c r="I242" i="29"/>
  <c r="I596" i="29"/>
  <c r="J359" i="29"/>
  <c r="I162" i="29"/>
  <c r="I261" i="29"/>
  <c r="I459" i="29"/>
  <c r="I585" i="29"/>
  <c r="I406" i="29"/>
  <c r="J493" i="29"/>
  <c r="I577" i="29"/>
  <c r="J65" i="29"/>
  <c r="J160" i="29"/>
  <c r="J72" i="29"/>
  <c r="I277" i="29"/>
  <c r="J252" i="29"/>
  <c r="I334" i="29"/>
  <c r="I373" i="29"/>
  <c r="I374" i="29"/>
  <c r="I592" i="29"/>
  <c r="J322" i="29"/>
  <c r="J575" i="29"/>
  <c r="J231" i="29"/>
  <c r="J221" i="29"/>
  <c r="I150" i="29"/>
  <c r="I327" i="29"/>
  <c r="I446" i="29"/>
  <c r="J61" i="29"/>
  <c r="I117" i="29"/>
  <c r="J102" i="29"/>
  <c r="I370" i="29"/>
  <c r="I422" i="29"/>
  <c r="I199" i="29"/>
  <c r="I284" i="29"/>
  <c r="J354" i="29"/>
  <c r="I49" i="29"/>
  <c r="I102" i="29"/>
  <c r="J161" i="29"/>
  <c r="J562" i="29"/>
  <c r="J563" i="29"/>
  <c r="J79" i="29"/>
  <c r="J381" i="29"/>
  <c r="J474" i="29"/>
  <c r="I248" i="29"/>
  <c r="I32" i="29"/>
  <c r="J338" i="29"/>
  <c r="J530" i="29"/>
  <c r="I74" i="29"/>
  <c r="J53" i="29"/>
  <c r="I542" i="29"/>
  <c r="J584" i="29"/>
  <c r="I303" i="29"/>
  <c r="I587" i="29"/>
  <c r="J297" i="29"/>
  <c r="I240" i="29"/>
  <c r="J176" i="29"/>
  <c r="J158" i="29"/>
  <c r="J247" i="29"/>
  <c r="J289" i="29"/>
  <c r="I414" i="29"/>
  <c r="J587" i="29"/>
  <c r="J491" i="29"/>
  <c r="J579" i="29"/>
  <c r="I403" i="29"/>
  <c r="J366" i="29"/>
  <c r="J486" i="29"/>
  <c r="I170" i="29"/>
  <c r="I432" i="29"/>
  <c r="I603" i="29"/>
  <c r="I58" i="29"/>
  <c r="J168" i="29"/>
  <c r="I479" i="29"/>
  <c r="I454" i="29"/>
  <c r="I567" i="29"/>
  <c r="J423" i="29"/>
  <c r="I378" i="29"/>
  <c r="J389" i="29"/>
  <c r="I24" i="29"/>
  <c r="J369" i="29"/>
  <c r="I168" i="29"/>
  <c r="I213" i="29"/>
  <c r="I558" i="29"/>
  <c r="I251" i="29"/>
  <c r="J432" i="29"/>
  <c r="J311" i="29"/>
  <c r="I487" i="29"/>
  <c r="I138" i="29"/>
  <c r="J345" i="29"/>
  <c r="J262" i="29"/>
  <c r="J106" i="29"/>
  <c r="I266" i="29"/>
  <c r="I306" i="29"/>
  <c r="I54" i="29"/>
  <c r="E54" i="1"/>
  <c r="I336" i="29"/>
  <c r="I18" i="29"/>
  <c r="I275" i="29"/>
  <c r="J379" i="29"/>
  <c r="J449" i="29"/>
  <c r="J32" i="29"/>
  <c r="J417" i="29"/>
  <c r="I37" i="29"/>
  <c r="I282" i="29"/>
  <c r="J334" i="29"/>
  <c r="J60" i="29"/>
  <c r="J374" i="29"/>
  <c r="J436" i="29"/>
  <c r="I320" i="29"/>
  <c r="I407" i="29"/>
  <c r="J385" i="29"/>
  <c r="I441" i="29"/>
  <c r="I589" i="29"/>
  <c r="I547" i="29"/>
  <c r="I389" i="29"/>
  <c r="I293" i="29"/>
  <c r="I404" i="29"/>
  <c r="I365" i="29"/>
  <c r="J467" i="29"/>
  <c r="I581" i="29"/>
  <c r="I292" i="29"/>
  <c r="J164" i="29"/>
  <c r="I160" i="29"/>
  <c r="I521" i="29"/>
  <c r="I79" i="29"/>
  <c r="I399" i="29"/>
  <c r="J336" i="29"/>
  <c r="I546" i="29"/>
  <c r="J243" i="29"/>
  <c r="I229" i="29"/>
  <c r="I280" i="29"/>
  <c r="J348" i="29"/>
  <c r="J597" i="29"/>
  <c r="J139" i="29"/>
  <c r="J492" i="29"/>
  <c r="I132" i="29"/>
  <c r="I559" i="29"/>
  <c r="I433" i="29"/>
  <c r="J233" i="29"/>
  <c r="J407" i="29"/>
  <c r="J571" i="29"/>
  <c r="J501" i="29"/>
  <c r="J44" i="29"/>
  <c r="I312" i="29"/>
  <c r="J460" i="29"/>
  <c r="I331" i="29"/>
  <c r="J111" i="29"/>
  <c r="J328" i="29"/>
  <c r="J377" i="29"/>
  <c r="J135" i="29"/>
  <c r="I333" i="29"/>
  <c r="I457" i="29"/>
  <c r="I514" i="29"/>
  <c r="I605" i="29"/>
  <c r="J595" i="29"/>
  <c r="J145" i="29"/>
  <c r="J421" i="29"/>
  <c r="J605" i="29"/>
  <c r="J303" i="29"/>
  <c r="I439" i="29"/>
  <c r="I573" i="29"/>
  <c r="I144" i="29"/>
  <c r="I197" i="29"/>
  <c r="I241" i="29"/>
  <c r="I510" i="29"/>
  <c r="J556" i="29"/>
  <c r="I536" i="29"/>
  <c r="I445" i="29"/>
  <c r="I609" i="29"/>
  <c r="I353" i="29"/>
  <c r="I245" i="29"/>
  <c r="I122" i="29"/>
  <c r="I359" i="29"/>
  <c r="I316" i="29"/>
  <c r="I13" i="29"/>
  <c r="J275" i="29"/>
  <c r="I78" i="29"/>
  <c r="I473" i="29"/>
  <c r="I20" i="29"/>
  <c r="J20" i="29"/>
  <c r="I448" i="29"/>
  <c r="J539" i="29"/>
  <c r="I366" i="29"/>
  <c r="J450" i="29"/>
  <c r="I444" i="29"/>
  <c r="I15" i="29"/>
  <c r="J384" i="29"/>
  <c r="I568" i="29"/>
  <c r="J537" i="29"/>
  <c r="I143" i="29"/>
  <c r="I410" i="29"/>
  <c r="I408" i="29"/>
  <c r="J30" i="29"/>
  <c r="J367" i="29"/>
  <c r="J351" i="29"/>
  <c r="J302" i="29"/>
  <c r="J472" i="29"/>
  <c r="I337" i="29"/>
  <c r="J480" i="29"/>
  <c r="I392" i="29"/>
  <c r="J91" i="29"/>
  <c r="J136" i="29"/>
  <c r="J445" i="29"/>
  <c r="J465" i="29"/>
  <c r="J536" i="29"/>
  <c r="I315" i="29"/>
  <c r="I405" i="29"/>
  <c r="I61" i="29"/>
  <c r="J117" i="29"/>
  <c r="I201" i="29"/>
  <c r="I612" i="29"/>
  <c r="G622" i="29"/>
  <c r="J318" i="29"/>
  <c r="I421" i="29"/>
  <c r="I484" i="29"/>
  <c r="J390" i="29"/>
  <c r="J433" i="29"/>
  <c r="I232" i="29"/>
  <c r="J559" i="29"/>
  <c r="I580" i="29"/>
  <c r="I299" i="29"/>
  <c r="J608" i="29"/>
  <c r="I317" i="29"/>
  <c r="J326" i="29"/>
  <c r="I413" i="29"/>
  <c r="I286" i="29"/>
  <c r="I174" i="29"/>
  <c r="J185" i="29"/>
  <c r="I171" i="29"/>
  <c r="J553" i="29"/>
  <c r="J380" i="29"/>
  <c r="J466" i="29"/>
  <c r="I185" i="29"/>
  <c r="I372" i="29"/>
  <c r="J84" i="29"/>
  <c r="I437" i="29"/>
  <c r="J606" i="29"/>
  <c r="I184" i="29"/>
  <c r="I350" i="29"/>
  <c r="J458" i="29"/>
  <c r="J19" i="29"/>
  <c r="J85" i="29"/>
  <c r="J228" i="29"/>
  <c r="J522" i="29"/>
  <c r="J503" i="29"/>
  <c r="J175" i="29"/>
  <c r="I397" i="29"/>
  <c r="J500" i="29"/>
  <c r="J146" i="29"/>
  <c r="J35" i="29"/>
  <c r="I134" i="29"/>
  <c r="I578" i="29"/>
  <c r="I551" i="29"/>
  <c r="I116" i="29"/>
  <c r="J517" i="29"/>
  <c r="J496" i="29"/>
  <c r="I65" i="29"/>
  <c r="I209" i="29"/>
  <c r="I145" i="29"/>
  <c r="J129" i="29"/>
  <c r="J16" i="29"/>
  <c r="I33" i="29"/>
  <c r="J128" i="29"/>
  <c r="J446" i="29"/>
  <c r="I436" i="29"/>
  <c r="J534" i="29"/>
  <c r="I305" i="29"/>
  <c r="I482" i="29"/>
  <c r="I76" i="29"/>
  <c r="J133" i="29"/>
  <c r="J321" i="29"/>
  <c r="I395" i="29"/>
  <c r="I236" i="29"/>
  <c r="J402" i="29"/>
  <c r="J77" i="29"/>
  <c r="J163" i="29"/>
  <c r="J426" i="29"/>
  <c r="I471" i="29"/>
  <c r="I67" i="29"/>
  <c r="I386" i="29"/>
  <c r="I425" i="29"/>
  <c r="I476" i="29"/>
  <c r="I25" i="29"/>
  <c r="J80" i="29"/>
  <c r="I491" i="29"/>
  <c r="J438" i="29"/>
  <c r="I56" i="29"/>
  <c r="J89" i="29"/>
  <c r="I499" i="29"/>
  <c r="I565" i="29"/>
  <c r="I109" i="29"/>
  <c r="I453" i="29"/>
  <c r="J444" i="29"/>
  <c r="I532" i="29"/>
  <c r="J54" i="29"/>
  <c r="J304" i="29"/>
  <c r="J580" i="29"/>
  <c r="I540" i="29"/>
  <c r="I206" i="29"/>
  <c r="J469" i="29"/>
  <c r="I583" i="29"/>
  <c r="J358" i="29"/>
  <c r="I158" i="29"/>
  <c r="J192" i="29"/>
  <c r="I252" i="29"/>
  <c r="I151" i="29"/>
  <c r="I595" i="29"/>
  <c r="I443" i="29"/>
  <c r="I562" i="29"/>
  <c r="J422" i="29"/>
  <c r="J179" i="29"/>
  <c r="J285" i="29"/>
  <c r="I344" i="29"/>
  <c r="I411" i="29"/>
  <c r="J40" i="29"/>
  <c r="I376" i="29"/>
  <c r="I255" i="29"/>
  <c r="J199" i="29"/>
  <c r="I215" i="29"/>
  <c r="I307" i="29"/>
  <c r="J411" i="29"/>
  <c r="I523" i="29"/>
  <c r="I72" i="29"/>
  <c r="I85" i="29"/>
  <c r="I387" i="29"/>
  <c r="J412" i="29"/>
  <c r="J137" i="29"/>
  <c r="J74" i="29"/>
  <c r="I533" i="29"/>
  <c r="J484" i="29"/>
  <c r="J546" i="29"/>
  <c r="J36" i="29"/>
  <c r="I465" i="29"/>
  <c r="J497" i="29"/>
  <c r="J544" i="29"/>
  <c r="J298" i="29"/>
  <c r="I156" i="29"/>
  <c r="I51" i="29"/>
  <c r="I552" i="29"/>
  <c r="J249" i="29"/>
  <c r="I458" i="29"/>
  <c r="I548" i="29"/>
  <c r="J386" i="29"/>
  <c r="I358" i="29"/>
  <c r="J272" i="29"/>
  <c r="I294" i="29"/>
  <c r="J28" i="29"/>
  <c r="I382" i="29"/>
  <c r="J591" i="29"/>
  <c r="I189" i="29"/>
  <c r="I48" i="29"/>
  <c r="J582" i="29"/>
  <c r="I343" i="29"/>
  <c r="J327" i="29"/>
  <c r="I534" i="29"/>
  <c r="J578" i="29"/>
  <c r="J343" i="29"/>
  <c r="J125" i="29"/>
  <c r="I169" i="29"/>
  <c r="J27" i="29"/>
  <c r="I342" i="29"/>
  <c r="I485" i="29"/>
  <c r="J463" i="29"/>
  <c r="J462" i="29"/>
  <c r="I478" i="29"/>
  <c r="I178" i="29"/>
  <c r="I400" i="29"/>
  <c r="J349" i="29"/>
  <c r="I427" i="29"/>
  <c r="J232" i="29"/>
  <c r="J542" i="29"/>
  <c r="J481" i="29"/>
  <c r="J489" i="29"/>
  <c r="I351" i="29"/>
  <c r="J64" i="29"/>
  <c r="J363" i="29"/>
  <c r="I52" i="29"/>
  <c r="I244" i="29"/>
  <c r="I442" i="29"/>
  <c r="J394" i="29"/>
  <c r="I460" i="29"/>
  <c r="J568" i="29"/>
  <c r="I600" i="29"/>
  <c r="J230" i="29"/>
  <c r="J305" i="29"/>
  <c r="J404" i="29"/>
  <c r="I352" i="29"/>
  <c r="J281" i="29"/>
  <c r="I62" i="29"/>
  <c r="J554" i="29"/>
  <c r="I623" i="29"/>
  <c r="J397" i="29"/>
  <c r="J520" i="29"/>
  <c r="J362" i="29"/>
  <c r="I19" i="29"/>
  <c r="J41" i="29"/>
  <c r="I191" i="29"/>
  <c r="I208" i="29"/>
  <c r="I449" i="29"/>
  <c r="I46" i="29"/>
  <c r="I234" i="29"/>
  <c r="I123" i="29"/>
  <c r="J167" i="29"/>
  <c r="J103" i="29"/>
  <c r="J212" i="29"/>
  <c r="I173" i="29"/>
  <c r="J26" i="29"/>
  <c r="J188" i="29"/>
  <c r="I332" i="29"/>
  <c r="J270" i="29"/>
  <c r="I57" i="29"/>
  <c r="J213" i="29"/>
  <c r="I17" i="29"/>
  <c r="J209" i="29"/>
  <c r="I41" i="29"/>
  <c r="J291" i="29"/>
  <c r="I371" i="29"/>
  <c r="I503" i="29"/>
  <c r="I509" i="29"/>
  <c r="J315" i="29"/>
  <c r="I363" i="29"/>
  <c r="J88" i="29"/>
  <c r="J126" i="29"/>
  <c r="I80" i="29"/>
  <c r="I356" i="29"/>
  <c r="J97" i="29"/>
  <c r="J109" i="29"/>
  <c r="I526" i="29"/>
  <c r="I501" i="29"/>
  <c r="J256" i="29"/>
  <c r="I205" i="29"/>
  <c r="I47" i="29"/>
  <c r="J528" i="29"/>
  <c r="J335" i="29"/>
  <c r="J47" i="29"/>
  <c r="J29" i="29"/>
  <c r="J242" i="29"/>
  <c r="I246" i="29"/>
  <c r="J549" i="29"/>
  <c r="I225" i="29"/>
  <c r="J278" i="29"/>
  <c r="I35" i="29"/>
  <c r="J169" i="29"/>
  <c r="J205" i="29"/>
  <c r="J222" i="29"/>
  <c r="I588" i="29"/>
  <c r="J365" i="29"/>
  <c r="J182" i="29"/>
  <c r="I396" i="29"/>
  <c r="J392" i="29"/>
  <c r="I530" i="29"/>
  <c r="I228" i="29"/>
  <c r="J416" i="29"/>
  <c r="J329" i="29"/>
  <c r="J547" i="29"/>
  <c r="I279" i="29"/>
  <c r="J116" i="29"/>
  <c r="I179" i="29"/>
  <c r="J95" i="29"/>
  <c r="J98" i="29"/>
  <c r="J93" i="29"/>
  <c r="I237" i="29"/>
  <c r="J67" i="29"/>
  <c r="J217" i="29"/>
  <c r="J76" i="29"/>
  <c r="I60" i="29"/>
  <c r="I16" i="29"/>
  <c r="J457" i="29"/>
  <c r="J418" i="29"/>
  <c r="I30" i="29"/>
  <c r="I153" i="29"/>
  <c r="I149" i="29"/>
  <c r="I101" i="29"/>
  <c r="I572" i="29"/>
  <c r="I470" i="29"/>
  <c r="I26" i="29"/>
  <c r="J154" i="29"/>
  <c r="J356" i="29"/>
  <c r="J81" i="29"/>
  <c r="I338" i="29"/>
  <c r="I256" i="29"/>
  <c r="J251" i="29"/>
  <c r="J475" i="29"/>
  <c r="I218" i="29"/>
  <c r="J479" i="29"/>
  <c r="J403" i="29"/>
  <c r="I126" i="29"/>
  <c r="J276" i="29"/>
  <c r="J264" i="29"/>
  <c r="I381" i="29"/>
  <c r="I268" i="29"/>
  <c r="I254" i="29"/>
  <c r="I348" i="29"/>
  <c r="I624" i="29"/>
  <c r="I166" i="29"/>
  <c r="J112" i="29"/>
  <c r="J245" i="29"/>
  <c r="J560" i="29"/>
  <c r="J323" i="29"/>
  <c r="I247" i="29"/>
  <c r="I98" i="29"/>
  <c r="I270" i="29"/>
  <c r="J593" i="29"/>
  <c r="I295" i="29"/>
  <c r="J147" i="29"/>
  <c r="I207" i="29"/>
  <c r="J428" i="29"/>
  <c r="J420" i="29"/>
  <c r="I597" i="29"/>
  <c r="I146" i="29"/>
  <c r="I447" i="29"/>
  <c r="I88" i="29"/>
  <c r="J200" i="29"/>
  <c r="J260" i="29"/>
  <c r="I31" i="29"/>
  <c r="J573" i="29"/>
  <c r="J50" i="29"/>
  <c r="J513" i="29"/>
  <c r="I161" i="29"/>
  <c r="J237" i="29"/>
  <c r="J355" i="29"/>
  <c r="J483" i="29"/>
  <c r="J148" i="29"/>
  <c r="I219" i="29"/>
  <c r="I257" i="29"/>
  <c r="J92" i="29"/>
  <c r="I553" i="29"/>
  <c r="J166" i="29"/>
  <c r="I297" i="29"/>
  <c r="I269" i="29"/>
  <c r="J219" i="29"/>
  <c r="I628" i="29"/>
  <c r="I328" i="29"/>
  <c r="I456" i="29"/>
  <c r="J257" i="29"/>
  <c r="J69" i="29"/>
  <c r="I455" i="29"/>
  <c r="I182" i="29"/>
  <c r="I71" i="29"/>
  <c r="J312" i="29"/>
  <c r="I486" i="29"/>
  <c r="I607" i="29"/>
  <c r="I380" i="29"/>
  <c r="J594" i="29"/>
  <c r="I462" i="29"/>
  <c r="J307" i="29"/>
  <c r="J488" i="29"/>
  <c r="J505" i="29"/>
  <c r="I498" i="29"/>
  <c r="I265" i="29"/>
  <c r="J448" i="29"/>
  <c r="J561" i="29"/>
  <c r="J427" i="29"/>
  <c r="I211" i="29"/>
  <c r="J603" i="29"/>
  <c r="I556" i="29"/>
  <c r="J261" i="29"/>
  <c r="I296" i="29"/>
  <c r="J509" i="29"/>
  <c r="J197" i="29"/>
  <c r="J159" i="29"/>
  <c r="J162" i="29"/>
  <c r="J255" i="29"/>
  <c r="I346" i="29"/>
  <c r="J273" i="29"/>
  <c r="I28" i="29"/>
  <c r="I262" i="29"/>
  <c r="J512" i="29"/>
  <c r="I167" i="29"/>
  <c r="I204" i="29"/>
  <c r="J225" i="29"/>
  <c r="I289" i="29"/>
  <c r="I163" i="29"/>
  <c r="J57" i="29"/>
  <c r="I235" i="29"/>
  <c r="J508" i="29"/>
  <c r="J39" i="29"/>
  <c r="J405" i="29"/>
  <c r="I128" i="29"/>
  <c r="J337" i="29"/>
  <c r="J51" i="29"/>
  <c r="J18" i="29"/>
  <c r="J268" i="29"/>
  <c r="I141" i="29"/>
  <c r="I93" i="29"/>
  <c r="J499" i="29"/>
  <c r="J211" i="29"/>
  <c r="J141" i="29"/>
  <c r="J583" i="29"/>
  <c r="J470" i="29"/>
  <c r="J529" i="29"/>
  <c r="J58" i="29"/>
  <c r="I230" i="29"/>
  <c r="J319" i="29"/>
  <c r="J113" i="29"/>
  <c r="I157" i="29"/>
  <c r="J347" i="29"/>
  <c r="I82" i="29"/>
  <c r="I212" i="29"/>
  <c r="I200" i="29"/>
  <c r="I311" i="29"/>
  <c r="J105" i="29"/>
  <c r="I221" i="29"/>
  <c r="J453" i="29"/>
  <c r="J478" i="29"/>
  <c r="J43" i="29"/>
  <c r="J94" i="29"/>
  <c r="J485" i="29"/>
  <c r="J596" i="29"/>
  <c r="J138" i="29"/>
  <c r="I142" i="29"/>
  <c r="I298" i="29"/>
  <c r="I216" i="29"/>
  <c r="J600" i="29"/>
  <c r="J628" i="29"/>
  <c r="J240" i="29"/>
  <c r="J316" i="29"/>
  <c r="J540" i="29"/>
  <c r="I606" i="29"/>
  <c r="J395" i="29"/>
  <c r="J216" i="29"/>
  <c r="J459" i="29"/>
  <c r="J391" i="29"/>
  <c r="I259" i="29"/>
  <c r="J543" i="29"/>
  <c r="I196" i="29"/>
  <c r="I430" i="29"/>
  <c r="J244" i="29"/>
  <c r="I531" i="29"/>
  <c r="J290" i="29"/>
  <c r="I544" i="29"/>
  <c r="J75" i="29"/>
  <c r="J295" i="29"/>
  <c r="J523" i="29"/>
  <c r="I584" i="29"/>
  <c r="J241" i="29"/>
  <c r="I263" i="29"/>
  <c r="I369" i="29"/>
  <c r="I258" i="29"/>
  <c r="J364" i="29"/>
  <c r="J186" i="29"/>
  <c r="J37" i="29"/>
  <c r="J238" i="29"/>
  <c r="J239" i="29"/>
  <c r="I103" i="29"/>
  <c r="I155" i="29"/>
  <c r="I420" i="29"/>
  <c r="I339" i="29"/>
  <c r="I626" i="29"/>
  <c r="J15" i="29"/>
  <c r="J34" i="29"/>
  <c r="I264" i="29"/>
  <c r="I535" i="29"/>
  <c r="I118" i="29"/>
  <c r="J441" i="29"/>
  <c r="I610" i="29"/>
  <c r="I415" i="29"/>
  <c r="J190" i="29"/>
  <c r="J398" i="29"/>
  <c r="J623" i="29"/>
  <c r="J502" i="29"/>
  <c r="I494" i="29"/>
  <c r="I467" i="29"/>
  <c r="I508" i="29"/>
  <c r="I385" i="29"/>
  <c r="J333" i="29"/>
  <c r="J202" i="29"/>
  <c r="J156" i="29"/>
  <c r="I516" i="29"/>
  <c r="I278" i="29"/>
  <c r="I202" i="29"/>
  <c r="J515" i="29"/>
  <c r="J173" i="29"/>
  <c r="I564" i="29"/>
  <c r="J494" i="29"/>
  <c r="J332" i="29"/>
  <c r="I394" i="29"/>
  <c r="J439" i="29"/>
  <c r="I549" i="29"/>
  <c r="J269" i="29"/>
  <c r="I243" i="29"/>
  <c r="I224" i="29"/>
  <c r="J267" i="29"/>
  <c r="I231" i="29"/>
  <c r="I73" i="29"/>
  <c r="J108" i="29"/>
  <c r="I100" i="29"/>
  <c r="I507" i="29"/>
  <c r="I496" i="29"/>
  <c r="J599" i="29"/>
  <c r="J142" i="29"/>
  <c r="J149" i="29"/>
  <c r="J31" i="29"/>
  <c r="J626" i="29"/>
  <c r="I84" i="29"/>
  <c r="J220" i="29"/>
  <c r="I172" i="29"/>
  <c r="J324" i="29"/>
  <c r="I89" i="29"/>
  <c r="I330" i="29"/>
  <c r="J17" i="29"/>
  <c r="J414" i="29"/>
  <c r="J518" i="29"/>
  <c r="I426" i="29"/>
  <c r="J132" i="29"/>
  <c r="I63" i="29"/>
  <c r="J286" i="29"/>
  <c r="J22" i="29"/>
  <c r="I325" i="29"/>
  <c r="J259" i="29"/>
  <c r="I111" i="29"/>
  <c r="J236" i="29"/>
  <c r="I468" i="29"/>
  <c r="J227" i="29"/>
  <c r="J400" i="29"/>
  <c r="I418" i="29"/>
  <c r="I302" i="29"/>
  <c r="J246" i="29"/>
  <c r="J352" i="29"/>
  <c r="I347" i="29"/>
  <c r="J14" i="29"/>
  <c r="I480" i="29"/>
  <c r="I522" i="29"/>
  <c r="I377" i="29"/>
  <c r="J308" i="29"/>
  <c r="I291" i="29"/>
  <c r="I539" i="29"/>
  <c r="J193" i="29"/>
  <c r="I335" i="29"/>
  <c r="I424" i="29"/>
  <c r="I108" i="29"/>
  <c r="J288" i="29"/>
  <c r="I340" i="29"/>
  <c r="I308" i="29"/>
  <c r="J424" i="29"/>
  <c r="J214" i="29"/>
  <c r="J342" i="29"/>
  <c r="J82" i="29"/>
  <c r="J447" i="29"/>
  <c r="I341" i="29"/>
  <c r="J180" i="29"/>
  <c r="J473" i="29"/>
  <c r="J46" i="29"/>
  <c r="I490" i="29"/>
  <c r="I324" i="29"/>
  <c r="J96" i="29"/>
  <c r="J408" i="29"/>
  <c r="J293" i="29"/>
  <c r="I148" i="29"/>
  <c r="J206" i="29"/>
  <c r="J187" i="29"/>
  <c r="I59" i="29"/>
  <c r="J371" i="29"/>
  <c r="I417" i="29"/>
  <c r="I195" i="29"/>
  <c r="I416" i="29"/>
  <c r="I574" i="29"/>
  <c r="J296" i="29"/>
  <c r="J570" i="29"/>
  <c r="I124" i="29"/>
  <c r="I99" i="29"/>
  <c r="J477" i="29"/>
  <c r="J495" i="29"/>
  <c r="J78" i="29"/>
  <c r="I354" i="29"/>
  <c r="J368" i="29"/>
  <c r="J413" i="29"/>
  <c r="J134" i="29"/>
  <c r="I489" i="29"/>
  <c r="I34" i="29"/>
  <c r="J292" i="29"/>
  <c r="I110" i="29"/>
  <c r="I83" i="29"/>
  <c r="J23" i="29"/>
  <c r="I520" i="29"/>
  <c r="J155" i="29"/>
  <c r="J545" i="29"/>
  <c r="J140" i="29"/>
  <c r="J533" i="29"/>
  <c r="J63" i="29"/>
  <c r="J178" i="29"/>
  <c r="I175" i="29"/>
  <c r="I463" i="29"/>
  <c r="I165" i="29"/>
  <c r="J604" i="29"/>
  <c r="I96" i="29"/>
  <c r="J598" i="29"/>
  <c r="I423" i="29"/>
  <c r="J565" i="29"/>
  <c r="I512" i="29"/>
  <c r="I557" i="29"/>
  <c r="I613" i="29"/>
  <c r="I541" i="29"/>
  <c r="I131" i="29"/>
  <c r="J410" i="29"/>
  <c r="J170" i="29"/>
  <c r="J611" i="29"/>
  <c r="I113" i="29"/>
  <c r="J234" i="29"/>
  <c r="I466" i="29"/>
  <c r="I452" i="29"/>
  <c r="J555" i="29"/>
  <c r="J388" i="29"/>
  <c r="I27" i="29"/>
  <c r="J613" i="29"/>
  <c r="I367" i="29"/>
  <c r="I81" i="29"/>
  <c r="I272" i="29"/>
  <c r="J431" i="29"/>
  <c r="I362" i="29"/>
  <c r="I86" i="29"/>
  <c r="I159" i="29"/>
  <c r="I594" i="29"/>
  <c r="I95" i="29"/>
  <c r="J151" i="29"/>
  <c r="I451" i="29"/>
  <c r="J376" i="29"/>
  <c r="I186" i="29"/>
  <c r="J55" i="29"/>
  <c r="J120" i="29"/>
  <c r="I188" i="29"/>
  <c r="J150" i="29"/>
  <c r="I309" i="29"/>
  <c r="I125" i="29"/>
  <c r="J382" i="29"/>
  <c r="I384" i="29"/>
  <c r="J208" i="29"/>
  <c r="I223" i="29"/>
  <c r="I120" i="29"/>
  <c r="I140" i="29"/>
  <c r="I591" i="29"/>
  <c r="J317" i="29"/>
  <c r="I283" i="29"/>
  <c r="J271" i="29"/>
  <c r="J71" i="29"/>
  <c r="J399" i="29"/>
  <c r="J440" i="29"/>
  <c r="J266" i="29"/>
  <c r="J370" i="29"/>
  <c r="I112" i="29"/>
  <c r="J434" i="29"/>
  <c r="J174" i="29"/>
  <c r="J592" i="29"/>
  <c r="J378" i="29"/>
  <c r="J340" i="29"/>
  <c r="J586" i="29"/>
  <c r="I14" i="29"/>
  <c r="J248" i="29"/>
  <c r="J490" i="29"/>
  <c r="I192" i="29"/>
  <c r="I70" i="29"/>
  <c r="I87" i="29"/>
  <c r="J87" i="29"/>
  <c r="J104" i="29"/>
  <c r="I68" i="29"/>
  <c r="J299" i="29"/>
  <c r="I601" i="29"/>
  <c r="J566" i="29"/>
  <c r="I537" i="29"/>
  <c r="I180" i="29"/>
  <c r="J341" i="29"/>
  <c r="I409" i="29"/>
  <c r="J21" i="29"/>
  <c r="I590" i="29"/>
  <c r="I402" i="29"/>
  <c r="J282" i="29"/>
  <c r="J454" i="29"/>
  <c r="I401" i="29"/>
  <c r="J476" i="29"/>
  <c r="I529" i="29"/>
  <c r="I222" i="29"/>
  <c r="I519" i="29"/>
  <c r="I285" i="29"/>
  <c r="I176" i="29"/>
  <c r="J33" i="29"/>
  <c r="I281" i="29"/>
  <c r="I310" i="29"/>
  <c r="J461" i="29"/>
  <c r="J66" i="29"/>
  <c r="J115" i="29"/>
  <c r="J373" i="29"/>
  <c r="I40" i="29"/>
  <c r="J419" i="29"/>
  <c r="J511" i="29"/>
  <c r="J415" i="29"/>
  <c r="I518" i="29"/>
  <c r="I39" i="29"/>
  <c r="J577" i="29"/>
  <c r="I288" i="29"/>
  <c r="I434" i="29"/>
  <c r="J49" i="29"/>
  <c r="I545" i="29"/>
  <c r="I147" i="29"/>
  <c r="I500" i="29"/>
  <c r="J110" i="29"/>
  <c r="I438" i="29"/>
  <c r="J625" i="29"/>
  <c r="I566" i="29"/>
  <c r="I419" i="29"/>
  <c r="J567" i="29"/>
  <c r="I45" i="29"/>
  <c r="I543" i="29"/>
  <c r="J204" i="29"/>
  <c r="I249" i="29"/>
  <c r="J201" i="29"/>
  <c r="I121" i="29"/>
  <c r="I136" i="29"/>
  <c r="J456" i="29"/>
  <c r="J468" i="29"/>
  <c r="I575" i="29"/>
  <c r="I250" i="29"/>
  <c r="I227" i="29"/>
  <c r="I226" i="29"/>
  <c r="J525" i="29"/>
  <c r="J383" i="29"/>
  <c r="J215" i="29"/>
  <c r="I287" i="29"/>
  <c r="I50" i="29"/>
  <c r="I506" i="29"/>
  <c r="I598" i="29"/>
  <c r="J387" i="29"/>
  <c r="J452" i="29"/>
  <c r="I528" i="29"/>
  <c r="J487" i="29"/>
  <c r="I563" i="29"/>
  <c r="J153" i="29"/>
  <c r="J396" i="29"/>
  <c r="J429" i="29"/>
  <c r="J62" i="29"/>
  <c r="J191" i="29"/>
  <c r="J557" i="29"/>
  <c r="I53" i="29"/>
  <c r="I94" i="29"/>
  <c r="J498" i="29"/>
  <c r="J118" i="29"/>
  <c r="I210" i="29"/>
  <c r="J183" i="29"/>
  <c r="J59" i="29"/>
  <c r="J552" i="29"/>
  <c r="J514" i="29"/>
  <c r="J56" i="29"/>
  <c r="J143" i="29"/>
  <c r="I187" i="29"/>
  <c r="I301" i="29"/>
  <c r="J406" i="29"/>
  <c r="J558" i="29"/>
  <c r="J144" i="29"/>
  <c r="J224" i="29"/>
  <c r="I260" i="29"/>
  <c r="J223" i="29"/>
  <c r="I198" i="29"/>
  <c r="I290" i="29"/>
  <c r="I627" i="29"/>
  <c r="I29" i="29"/>
  <c r="J526" i="29"/>
  <c r="I477" i="29"/>
  <c r="I21" i="29"/>
  <c r="I326" i="29"/>
  <c r="J581" i="29"/>
  <c r="I183" i="29"/>
  <c r="J24" i="29"/>
  <c r="I190" i="29"/>
  <c r="J48" i="29"/>
  <c r="J184" i="29"/>
  <c r="I625" i="29"/>
  <c r="I492" i="29"/>
  <c r="I586" i="29"/>
  <c r="J100" i="29"/>
  <c r="J13" i="29"/>
  <c r="J624" i="29"/>
  <c r="I90" i="29"/>
  <c r="J353" i="29"/>
  <c r="I571" i="29"/>
  <c r="J114" i="29"/>
  <c r="J471" i="29"/>
  <c r="J165" i="29"/>
  <c r="J551" i="29"/>
  <c r="J235" i="29"/>
  <c r="I139" i="29"/>
  <c r="I322" i="29"/>
  <c r="I429" i="29"/>
  <c r="J301" i="29"/>
  <c r="J451" i="29"/>
  <c r="J99" i="29"/>
  <c r="I570" i="29"/>
  <c r="J229" i="29"/>
  <c r="I181" i="29"/>
  <c r="I253" i="29"/>
  <c r="J218" i="29"/>
  <c r="I66" i="29"/>
  <c r="I193" i="29"/>
  <c r="J572" i="29"/>
  <c r="J627" i="29"/>
  <c r="J274" i="29"/>
  <c r="J189" i="29"/>
  <c r="J283" i="29"/>
  <c r="J532" i="29"/>
  <c r="J313" i="29"/>
  <c r="I450" i="29"/>
  <c r="J443" i="29"/>
  <c r="I36" i="29"/>
  <c r="J610" i="29"/>
  <c r="J280" i="29"/>
  <c r="J310" i="29"/>
  <c r="J574" i="29"/>
  <c r="I323" i="29"/>
  <c r="J538" i="29"/>
  <c r="J122" i="29"/>
  <c r="J181" i="29"/>
  <c r="J107" i="29"/>
  <c r="I23" i="29"/>
  <c r="J531" i="29"/>
  <c r="J612" i="29"/>
  <c r="J121" i="29"/>
  <c r="I488" i="29"/>
  <c r="I115" i="29"/>
  <c r="J265" i="29"/>
  <c r="I127" i="29"/>
  <c r="J172" i="29"/>
  <c r="I214" i="29"/>
  <c r="I44" i="29"/>
  <c r="I43" i="29"/>
  <c r="I368" i="29"/>
  <c r="J127" i="29"/>
  <c r="J207" i="29"/>
  <c r="J294" i="29"/>
  <c r="I177" i="29"/>
  <c r="I22" i="29"/>
  <c r="K212" i="24" l="1"/>
  <c r="BK212" i="24"/>
  <c r="S212" i="24"/>
  <c r="T212" i="24" s="1"/>
  <c r="M212" i="24"/>
  <c r="EK212" i="24"/>
  <c r="EW212" i="24"/>
  <c r="FB212" i="24" s="1"/>
  <c r="BN216" i="24"/>
  <c r="BY216" i="24"/>
  <c r="CA216" i="24" s="1"/>
  <c r="CB216" i="24" s="1"/>
  <c r="X623" i="29"/>
  <c r="Y623" i="29" s="1"/>
  <c r="AH623" i="29"/>
  <c r="W628" i="29"/>
  <c r="AG628" i="29"/>
  <c r="V622" i="29"/>
  <c r="K622" i="29"/>
  <c r="P622" i="29"/>
  <c r="R622" i="29"/>
  <c r="U622" i="29"/>
  <c r="T622" i="29"/>
  <c r="Q622" i="29"/>
  <c r="I622" i="29"/>
  <c r="O622" i="29"/>
  <c r="S622" i="29"/>
  <c r="J622" i="29"/>
  <c r="L622" i="29"/>
  <c r="AH625" i="29"/>
  <c r="X625" i="29"/>
  <c r="Y625" i="29" s="1"/>
  <c r="X624" i="29"/>
  <c r="Y624" i="29" s="1"/>
  <c r="AH624" i="29"/>
  <c r="AH627" i="29"/>
  <c r="X627" i="29"/>
  <c r="Y627" i="29" s="1"/>
  <c r="AH628" i="29"/>
  <c r="X628" i="29"/>
  <c r="Y628" i="29" s="1"/>
  <c r="W623" i="29"/>
  <c r="J633" i="29" s="1"/>
  <c r="AG623" i="29"/>
  <c r="K633" i="29" s="1"/>
  <c r="W627" i="29"/>
  <c r="AG627" i="29"/>
  <c r="X626" i="29"/>
  <c r="Y626" i="29" s="1"/>
  <c r="AH626" i="29"/>
  <c r="AG624" i="29"/>
  <c r="K634" i="29" s="1"/>
  <c r="W624" i="29"/>
  <c r="J634" i="29" s="1"/>
  <c r="W626" i="29"/>
  <c r="J636" i="29" s="1"/>
  <c r="AG626" i="29"/>
  <c r="K636" i="29" s="1"/>
  <c r="AG625" i="29"/>
  <c r="K635" i="29" s="1"/>
  <c r="W625" i="29"/>
  <c r="J635" i="29" s="1"/>
  <c r="BK5" i="24"/>
  <c r="S5" i="24"/>
  <c r="T5" i="24" s="1"/>
  <c r="J5" i="24" s="1"/>
  <c r="ER212" i="24" l="1"/>
  <c r="FC212" i="24"/>
  <c r="FE212" i="24" s="1"/>
  <c r="U212" i="24"/>
  <c r="N212" i="24"/>
  <c r="J212" i="24"/>
  <c r="O212" i="24"/>
  <c r="BZ212" i="24" s="1"/>
  <c r="AD622" i="29"/>
  <c r="X622" i="29"/>
  <c r="Y622" i="29" s="1"/>
  <c r="AH622" i="29"/>
  <c r="AE622" i="29"/>
  <c r="W622" i="29"/>
  <c r="J632" i="29" s="1"/>
  <c r="AG622" i="29"/>
  <c r="K632" i="29" s="1"/>
  <c r="N5" i="24"/>
  <c r="P5" i="24" s="1"/>
  <c r="FI24" i="24" s="1"/>
  <c r="O5" i="24"/>
  <c r="BZ5" i="24" s="1"/>
  <c r="V5" i="24"/>
  <c r="W5" i="24"/>
  <c r="Y5" i="24" l="1"/>
  <c r="AE212" i="24"/>
  <c r="AI212" i="24"/>
  <c r="X212" i="24"/>
  <c r="AA212" i="24" s="1"/>
  <c r="AB212" i="24" s="1"/>
  <c r="AC212" i="24" s="1"/>
  <c r="Q212" i="24"/>
  <c r="AP212" i="24"/>
  <c r="P212" i="24"/>
  <c r="V212" i="24"/>
  <c r="W212" i="24"/>
  <c r="FF212" i="24"/>
  <c r="FJ212" i="24"/>
  <c r="Q5" i="24"/>
  <c r="R5" i="24" s="1"/>
  <c r="FI58" i="24"/>
  <c r="FJ62" i="24"/>
  <c r="FJ77" i="24"/>
  <c r="FJ35" i="24"/>
  <c r="FI51" i="24"/>
  <c r="FJ69" i="24"/>
  <c r="FJ24" i="24"/>
  <c r="FJ72" i="24"/>
  <c r="FI91" i="24"/>
  <c r="FI54" i="24"/>
  <c r="FI18" i="24"/>
  <c r="FJ27" i="24"/>
  <c r="FJ41" i="24"/>
  <c r="FJ103" i="24"/>
  <c r="FI60" i="24"/>
  <c r="FJ51" i="24"/>
  <c r="FJ5" i="24"/>
  <c r="FI87" i="24"/>
  <c r="FJ21" i="24"/>
  <c r="FI63" i="24"/>
  <c r="FJ29" i="24"/>
  <c r="FJ38" i="24"/>
  <c r="FI85" i="24"/>
  <c r="FJ64" i="24"/>
  <c r="FI36" i="24"/>
  <c r="FJ63" i="24"/>
  <c r="FI15" i="24"/>
  <c r="FJ99" i="24"/>
  <c r="FJ42" i="24"/>
  <c r="FJ19" i="24"/>
  <c r="FI62" i="24"/>
  <c r="FJ48" i="24"/>
  <c r="FI19" i="24"/>
  <c r="FJ88" i="24"/>
  <c r="FI11" i="24"/>
  <c r="FJ57" i="24"/>
  <c r="FI55" i="24"/>
  <c r="FI14" i="24"/>
  <c r="FI61" i="24"/>
  <c r="FJ45" i="24"/>
  <c r="FI69" i="24"/>
  <c r="FI89" i="24"/>
  <c r="FI70" i="24"/>
  <c r="FJ92" i="24"/>
  <c r="FI9" i="24"/>
  <c r="FI50" i="24"/>
  <c r="FJ60" i="24"/>
  <c r="FI47" i="24"/>
  <c r="FJ49" i="24"/>
  <c r="FI72" i="24"/>
  <c r="CF5" i="24"/>
  <c r="FJ58" i="24"/>
  <c r="FI90" i="24"/>
  <c r="FJ32" i="24"/>
  <c r="FJ95" i="24"/>
  <c r="FJ23" i="24"/>
  <c r="FI81" i="24"/>
  <c r="FJ16" i="24"/>
  <c r="FJ85" i="24"/>
  <c r="FJ82" i="24"/>
  <c r="FJ61" i="24"/>
  <c r="FJ71" i="24"/>
  <c r="FJ90" i="24"/>
  <c r="FI43" i="24"/>
  <c r="FJ12" i="24"/>
  <c r="FI25" i="24"/>
  <c r="FJ83" i="24"/>
  <c r="FJ40" i="24"/>
  <c r="FI68" i="24"/>
  <c r="FI59" i="24"/>
  <c r="FJ87" i="24"/>
  <c r="FI42" i="24"/>
  <c r="FI57" i="24"/>
  <c r="FI95" i="24"/>
  <c r="FI33" i="24"/>
  <c r="FI77" i="24"/>
  <c r="FJ43" i="24"/>
  <c r="FJ74" i="24"/>
  <c r="FJ6" i="24"/>
  <c r="FI92" i="24"/>
  <c r="FI103" i="24"/>
  <c r="FJ76" i="24"/>
  <c r="FJ56" i="24"/>
  <c r="FJ84" i="24"/>
  <c r="FI49" i="24"/>
  <c r="FJ78" i="24"/>
  <c r="FJ54" i="24"/>
  <c r="FI41" i="24"/>
  <c r="FI40" i="24"/>
  <c r="FJ89" i="24"/>
  <c r="FJ18" i="24"/>
  <c r="FI79" i="24"/>
  <c r="FI26" i="24"/>
  <c r="FI80" i="24"/>
  <c r="FI35" i="24"/>
  <c r="FJ37" i="24"/>
  <c r="FI27" i="24"/>
  <c r="FJ36" i="24"/>
  <c r="FI32" i="24"/>
  <c r="FI39" i="24"/>
  <c r="FJ44" i="24"/>
  <c r="FI30" i="24"/>
  <c r="FI78" i="24"/>
  <c r="FJ101" i="24"/>
  <c r="FJ104" i="24"/>
  <c r="FI13" i="24"/>
  <c r="FI7" i="24"/>
  <c r="FI45" i="24"/>
  <c r="FI48" i="24"/>
  <c r="FJ13" i="24"/>
  <c r="FI34" i="24"/>
  <c r="FJ33" i="24"/>
  <c r="FI8" i="24"/>
  <c r="FJ52" i="24"/>
  <c r="FJ86" i="24"/>
  <c r="CE5" i="24"/>
  <c r="FJ73" i="24"/>
  <c r="FJ17" i="24"/>
  <c r="FJ80" i="24"/>
  <c r="FJ20" i="24"/>
  <c r="FJ46" i="24"/>
  <c r="FJ22" i="24"/>
  <c r="FI94" i="24"/>
  <c r="FI97" i="24"/>
  <c r="FI88" i="24"/>
  <c r="FI105" i="24"/>
  <c r="FI22" i="24"/>
  <c r="FI46" i="24"/>
  <c r="FI38" i="24"/>
  <c r="FJ15" i="24"/>
  <c r="FI96" i="24"/>
  <c r="FI5" i="24"/>
  <c r="FI37" i="24"/>
  <c r="FJ81" i="24"/>
  <c r="FJ97" i="24"/>
  <c r="FJ34" i="24"/>
  <c r="FJ100" i="24"/>
  <c r="FI23" i="24"/>
  <c r="FI93" i="24"/>
  <c r="FI53" i="24"/>
  <c r="FI44" i="24"/>
  <c r="FI71" i="24"/>
  <c r="FJ50" i="24"/>
  <c r="FI99" i="24"/>
  <c r="FI104" i="24"/>
  <c r="FJ102" i="24"/>
  <c r="FJ25" i="24"/>
  <c r="FI83" i="24"/>
  <c r="FJ14" i="24"/>
  <c r="FI102" i="24"/>
  <c r="FJ31" i="24"/>
  <c r="FJ96" i="24"/>
  <c r="FJ59" i="24"/>
  <c r="FI100" i="24"/>
  <c r="FJ67" i="24"/>
  <c r="FI16" i="24"/>
  <c r="FJ70" i="24"/>
  <c r="FI31" i="24"/>
  <c r="FJ39" i="24"/>
  <c r="FI73" i="24"/>
  <c r="FJ55" i="24"/>
  <c r="FJ79" i="24"/>
  <c r="FI101" i="24"/>
  <c r="FI98" i="24"/>
  <c r="FJ7" i="24"/>
  <c r="FI29" i="24"/>
  <c r="FI86" i="24"/>
  <c r="FI21" i="24"/>
  <c r="FI66" i="24"/>
  <c r="FI64" i="24"/>
  <c r="FI10" i="24"/>
  <c r="FI12" i="24"/>
  <c r="FJ26" i="24"/>
  <c r="FJ30" i="24"/>
  <c r="FJ94" i="24"/>
  <c r="FJ8" i="24"/>
  <c r="AP5" i="24"/>
  <c r="FJ91" i="24"/>
  <c r="FJ66" i="24"/>
  <c r="FI17" i="24"/>
  <c r="FJ53" i="24"/>
  <c r="FJ98" i="24"/>
  <c r="FJ11" i="24"/>
  <c r="FI74" i="24"/>
  <c r="FI20" i="24"/>
  <c r="FI52" i="24"/>
  <c r="FI67" i="24"/>
  <c r="FI84" i="24"/>
  <c r="FI65" i="24"/>
  <c r="FJ47" i="24"/>
  <c r="FJ9" i="24"/>
  <c r="FI75" i="24"/>
  <c r="FJ75" i="24"/>
  <c r="FJ65" i="24"/>
  <c r="FI28" i="24"/>
  <c r="FI76" i="24"/>
  <c r="FJ93" i="24"/>
  <c r="FI56" i="24"/>
  <c r="FI82" i="24"/>
  <c r="FJ105" i="24"/>
  <c r="FJ28" i="24"/>
  <c r="FJ10" i="24"/>
  <c r="FJ68" i="24"/>
  <c r="FI6" i="24"/>
  <c r="AE5" i="24"/>
  <c r="AI5" i="24"/>
  <c r="X5" i="24"/>
  <c r="AA5" i="24" s="1"/>
  <c r="AB5" i="24" s="1"/>
  <c r="AC5" i="24" s="1"/>
  <c r="Y212" i="24" l="1"/>
  <c r="AA3" i="29" s="1"/>
  <c r="AJ212" i="24"/>
  <c r="AT212" i="24" s="1"/>
  <c r="AG212" i="24"/>
  <c r="AF212" i="24"/>
  <c r="AJ5" i="24"/>
  <c r="AG5" i="24"/>
  <c r="AF5" i="24"/>
  <c r="AK212" i="24" l="1"/>
  <c r="AN212" i="24"/>
  <c r="BA212" i="24"/>
  <c r="AT5" i="24"/>
  <c r="BA5" i="24" s="1"/>
  <c r="AV5" i="24"/>
  <c r="AN5" i="24"/>
  <c r="BH5" i="24" s="1"/>
  <c r="AK5" i="24"/>
  <c r="BU5" i="24" l="1"/>
  <c r="AQ212" i="24"/>
  <c r="CE212" i="24"/>
  <c r="BI212" i="24"/>
  <c r="BL212" i="24" s="1"/>
  <c r="AS212" i="24"/>
  <c r="BJ212" i="24"/>
  <c r="BW212" i="24"/>
  <c r="BU212" i="24"/>
  <c r="BH212" i="24"/>
  <c r="AX212" i="24"/>
  <c r="BI5" i="24"/>
  <c r="BL5" i="24" s="1"/>
  <c r="AS5" i="24"/>
  <c r="BJ5" i="24"/>
  <c r="AQ5" i="24"/>
  <c r="AX5" i="24"/>
  <c r="BW5" i="24"/>
  <c r="AU212" i="24" l="1"/>
  <c r="BB212" i="24" s="1"/>
  <c r="AW212" i="24"/>
  <c r="AU5" i="24"/>
  <c r="BB5" i="24" s="1"/>
  <c r="AW5" i="24"/>
  <c r="BE212" i="24" l="1"/>
  <c r="BT212" i="24" s="1"/>
  <c r="AY212" i="24"/>
  <c r="AZ212" i="24" s="1"/>
  <c r="BD212" i="24"/>
  <c r="BE5" i="24"/>
  <c r="BT5" i="24" s="1"/>
  <c r="BD5" i="24"/>
  <c r="AY5" i="24"/>
  <c r="AZ5" i="24" s="1"/>
  <c r="BG212" i="24" l="1"/>
  <c r="BS212" i="24"/>
  <c r="BX212" i="24" s="1"/>
  <c r="BS5" i="24"/>
  <c r="BV5" i="24" s="1"/>
  <c r="BX5" i="24" s="1"/>
  <c r="BG5" i="24"/>
  <c r="BM5" i="24" s="1"/>
  <c r="BY212" i="24" l="1"/>
  <c r="CA212" i="24" s="1"/>
  <c r="BM212" i="24"/>
  <c r="BN212" i="24" s="1"/>
  <c r="BY5" i="24"/>
  <c r="CA5" i="24" s="1"/>
  <c r="CB5" i="24" s="1"/>
  <c r="BN5" i="24"/>
  <c r="CB212" i="24" l="1"/>
  <c r="CF212" i="24"/>
  <c r="EM5" i="25" l="1"/>
  <c r="CX5" i="25" l="1"/>
  <c r="CS5" i="25"/>
  <c r="CT5" i="25"/>
  <c r="CU5" i="25" l="1"/>
  <c r="CW5" i="25"/>
  <c r="CV5" i="25"/>
  <c r="DS5" i="25"/>
  <c r="FD5" i="25"/>
  <c r="CY5" i="25"/>
  <c r="CO5" i="25" l="1"/>
  <c r="CZ5" i="25" s="1"/>
  <c r="DB5" i="25" s="1"/>
  <c r="DA5" i="25" l="1"/>
  <c r="DD5" i="25" s="1"/>
  <c r="DE5" i="25" s="1"/>
  <c r="DF5" i="25" s="1"/>
  <c r="DM5" i="25" s="1"/>
  <c r="DW5" i="25" s="1"/>
  <c r="DH5" i="25"/>
  <c r="DJ5" i="25" l="1"/>
  <c r="DI5" i="25"/>
  <c r="EB5" i="25"/>
  <c r="EA5" i="25"/>
  <c r="DQ5" i="25" l="1"/>
  <c r="DV5" i="25" s="1"/>
  <c r="DN5" i="25"/>
  <c r="FA5" i="25" l="1"/>
  <c r="EJ5" i="25"/>
  <c r="EL5" i="25"/>
  <c r="EY5" i="25"/>
  <c r="EK5" i="25"/>
  <c r="EN5" i="25" s="1"/>
  <c r="DT5" i="25"/>
  <c r="DX5" i="25"/>
  <c r="EC5" i="25" s="1"/>
  <c r="DY5" i="25"/>
  <c r="FL5" i="25" s="1"/>
  <c r="CH5" i="25" l="1"/>
  <c r="CG5" i="25"/>
  <c r="EF5" i="25"/>
  <c r="EW5" i="25" s="1"/>
  <c r="EG5" i="25"/>
  <c r="EX5" i="25" s="1"/>
  <c r="EE5" i="25"/>
  <c r="J5" i="25" l="1"/>
  <c r="N5" i="25" s="1"/>
  <c r="EV5" i="25"/>
  <c r="EZ5" i="25" s="1"/>
  <c r="FB5" i="25" s="1"/>
  <c r="EI5" i="25"/>
  <c r="EO5" i="25" s="1"/>
  <c r="L5" i="25" l="1"/>
  <c r="BI5" i="25"/>
  <c r="EP5" i="25"/>
  <c r="FC5" i="25"/>
  <c r="FE5" i="25" s="1"/>
  <c r="FF5" i="25" s="1"/>
  <c r="P5" i="25"/>
  <c r="O5" i="25"/>
  <c r="T5" i="25"/>
  <c r="Q5" i="25" l="1"/>
  <c r="BZ5" i="25"/>
  <c r="R5" i="25"/>
  <c r="AO5" i="25"/>
  <c r="S5" i="25"/>
  <c r="K5" i="25" s="1"/>
  <c r="U5" i="25"/>
  <c r="V5" i="25" l="1"/>
  <c r="X5" i="25" s="1"/>
  <c r="FI63" i="25"/>
  <c r="FJ62" i="25"/>
  <c r="FI39" i="25"/>
  <c r="FI79" i="25"/>
  <c r="FJ71" i="25"/>
  <c r="FI14" i="25"/>
  <c r="FJ57" i="25"/>
  <c r="FI56" i="25"/>
  <c r="FI43" i="25"/>
  <c r="FI60" i="25"/>
  <c r="FI69" i="25"/>
  <c r="FJ33" i="25"/>
  <c r="FJ98" i="25"/>
  <c r="FJ94" i="25"/>
  <c r="FJ89" i="25"/>
  <c r="FI16" i="25"/>
  <c r="FJ40" i="25"/>
  <c r="FI24" i="25"/>
  <c r="FI38" i="25"/>
  <c r="FJ48" i="25"/>
  <c r="FJ42" i="25"/>
  <c r="FJ8" i="25"/>
  <c r="FJ12" i="25"/>
  <c r="FJ83" i="25"/>
  <c r="FJ26" i="25"/>
  <c r="FJ60" i="25"/>
  <c r="FJ101" i="25"/>
  <c r="FJ73" i="25"/>
  <c r="FJ19" i="25"/>
  <c r="FJ69" i="25"/>
  <c r="FJ53" i="25"/>
  <c r="FI94" i="25"/>
  <c r="FI15" i="25"/>
  <c r="FI95" i="25"/>
  <c r="FI17" i="25"/>
  <c r="CE5" i="25"/>
  <c r="FI47" i="25"/>
  <c r="FJ27" i="25"/>
  <c r="FI20" i="25"/>
  <c r="FI66" i="25"/>
  <c r="FJ97" i="25"/>
  <c r="FI75" i="25"/>
  <c r="FJ88" i="25"/>
  <c r="FJ15" i="25"/>
  <c r="FJ16" i="25"/>
  <c r="FJ86" i="25"/>
  <c r="FJ52" i="25"/>
  <c r="FI102" i="25"/>
  <c r="FI32" i="25"/>
  <c r="FI104" i="25"/>
  <c r="FJ22" i="25"/>
  <c r="FJ96" i="25"/>
  <c r="FI55" i="25"/>
  <c r="FI54" i="25"/>
  <c r="FI40" i="25"/>
  <c r="FJ63" i="25"/>
  <c r="FJ32" i="25"/>
  <c r="FJ92" i="25"/>
  <c r="FI35" i="25"/>
  <c r="FI71" i="25"/>
  <c r="FJ25" i="25"/>
  <c r="FI96" i="25"/>
  <c r="FI61" i="25"/>
  <c r="FI22" i="25"/>
  <c r="FI19" i="25"/>
  <c r="FJ38" i="25"/>
  <c r="FI82" i="25"/>
  <c r="FJ76" i="25"/>
  <c r="FJ20" i="25"/>
  <c r="FI8" i="25"/>
  <c r="FI84" i="25"/>
  <c r="FI41" i="25"/>
  <c r="FI59" i="25"/>
  <c r="FJ78" i="25"/>
  <c r="FJ11" i="25"/>
  <c r="FJ100" i="25"/>
  <c r="FJ66" i="25"/>
  <c r="FI76" i="25"/>
  <c r="FI45" i="25"/>
  <c r="FI92" i="25"/>
  <c r="FI70" i="25"/>
  <c r="FI74" i="25"/>
  <c r="FI27" i="25"/>
  <c r="FJ43" i="25"/>
  <c r="FJ34" i="25"/>
  <c r="FI7" i="25"/>
  <c r="FI87" i="25"/>
  <c r="FJ75" i="25"/>
  <c r="FJ64" i="25"/>
  <c r="FI52" i="25"/>
  <c r="FI18" i="25"/>
  <c r="FI53" i="25"/>
  <c r="FI28" i="25"/>
  <c r="FJ37" i="25"/>
  <c r="FJ90" i="25"/>
  <c r="FI10" i="25"/>
  <c r="FI97" i="25"/>
  <c r="FJ36" i="25"/>
  <c r="FI49" i="25"/>
  <c r="FI44" i="25"/>
  <c r="FJ24" i="25"/>
  <c r="FJ58" i="25"/>
  <c r="FJ45" i="25"/>
  <c r="FI25" i="25"/>
  <c r="FI67" i="25"/>
  <c r="FJ72" i="25"/>
  <c r="FI85" i="25"/>
  <c r="FJ55" i="25"/>
  <c r="FI103" i="25"/>
  <c r="FI83" i="25"/>
  <c r="FJ91" i="25"/>
  <c r="FI42" i="25"/>
  <c r="FI5" i="25"/>
  <c r="FI23" i="25"/>
  <c r="FJ93" i="25"/>
  <c r="FJ29" i="25"/>
  <c r="FI80" i="25"/>
  <c r="FJ61" i="25"/>
  <c r="FI58" i="25"/>
  <c r="FJ56" i="25"/>
  <c r="FJ28" i="25"/>
  <c r="FI34" i="25"/>
  <c r="FI91" i="25"/>
  <c r="FI62" i="25"/>
  <c r="FI36" i="25"/>
  <c r="FJ7" i="25"/>
  <c r="FJ47" i="25"/>
  <c r="FI46" i="25"/>
  <c r="FI101" i="25"/>
  <c r="FI30" i="25"/>
  <c r="FJ30" i="25"/>
  <c r="FJ14" i="25"/>
  <c r="FI48" i="25"/>
  <c r="FJ74" i="25"/>
  <c r="FI50" i="25"/>
  <c r="FJ84" i="25"/>
  <c r="FI6" i="25"/>
  <c r="FI90" i="25"/>
  <c r="FI21" i="25"/>
  <c r="FJ23" i="25"/>
  <c r="FJ18" i="25"/>
  <c r="FI105" i="25"/>
  <c r="FJ67" i="25"/>
  <c r="FI78" i="25"/>
  <c r="FI81" i="25"/>
  <c r="FJ65" i="25"/>
  <c r="FJ13" i="25"/>
  <c r="FJ31" i="25"/>
  <c r="FI89" i="25"/>
  <c r="FI13" i="25"/>
  <c r="FI29" i="25"/>
  <c r="FI64" i="25"/>
  <c r="FJ87" i="25"/>
  <c r="FI93" i="25"/>
  <c r="FJ105" i="25"/>
  <c r="FJ104" i="25"/>
  <c r="CF5" i="25"/>
  <c r="FJ9" i="25"/>
  <c r="FJ85" i="25"/>
  <c r="FJ21" i="25"/>
  <c r="FI72" i="25"/>
  <c r="FJ68" i="25"/>
  <c r="FJ5" i="25"/>
  <c r="FJ95" i="25"/>
  <c r="FJ10" i="25"/>
  <c r="FI11" i="25"/>
  <c r="FJ6" i="25"/>
  <c r="FJ51" i="25"/>
  <c r="FI31" i="25"/>
  <c r="FI37" i="25"/>
  <c r="FJ59" i="25"/>
  <c r="FJ77" i="25"/>
  <c r="FI73" i="25"/>
  <c r="FJ103" i="25"/>
  <c r="FI9" i="25"/>
  <c r="FJ70" i="25"/>
  <c r="FJ49" i="25"/>
  <c r="FJ50" i="25"/>
  <c r="FJ17" i="25"/>
  <c r="FJ35" i="25"/>
  <c r="FJ39" i="25"/>
  <c r="FJ99" i="25"/>
  <c r="FJ81" i="25"/>
  <c r="FI100" i="25"/>
  <c r="FI33" i="25"/>
  <c r="FI86" i="25"/>
  <c r="FI68" i="25"/>
  <c r="FI57" i="25"/>
  <c r="FJ80" i="25"/>
  <c r="FJ41" i="25"/>
  <c r="FI12" i="25"/>
  <c r="FJ54" i="25"/>
  <c r="FJ44" i="25"/>
  <c r="FI99" i="25"/>
  <c r="FJ102" i="25"/>
  <c r="FI26" i="25"/>
  <c r="FI88" i="25"/>
  <c r="FI98" i="25"/>
  <c r="FI77" i="25"/>
  <c r="FJ82" i="25"/>
  <c r="FI51" i="25"/>
  <c r="FJ79" i="25"/>
  <c r="FI65" i="25"/>
  <c r="FJ46" i="25"/>
  <c r="W5" i="25" l="1"/>
  <c r="Z5" i="25" s="1"/>
  <c r="AA5" i="25" s="1"/>
  <c r="AB5" i="25" s="1"/>
  <c r="AI5" i="25" s="1"/>
  <c r="AD5" i="25"/>
  <c r="AE5" i="25" s="1"/>
  <c r="AS5" i="25" l="1"/>
  <c r="AW5" i="25" s="1"/>
  <c r="AF5" i="25"/>
  <c r="AM5" i="25" s="1"/>
  <c r="BF5" i="25" s="1"/>
  <c r="AX5" i="25" l="1"/>
  <c r="AJ5" i="25"/>
  <c r="BG5" i="25"/>
  <c r="BJ5" i="25" s="1"/>
  <c r="AR5" i="25"/>
  <c r="BH5" i="25"/>
  <c r="AP5" i="25"/>
  <c r="BU5" i="25"/>
  <c r="BW5" i="25"/>
  <c r="AT5" i="25" l="1"/>
  <c r="AY5" i="25" s="1"/>
  <c r="AU5" i="25"/>
  <c r="BC5" i="25" l="1"/>
  <c r="BT5" i="25" s="1"/>
  <c r="BB5" i="25"/>
  <c r="BS5" i="25" s="1"/>
  <c r="BA5" i="25"/>
  <c r="BR5" i="25" l="1"/>
  <c r="BV5" i="25" s="1"/>
  <c r="BX5" i="25" s="1"/>
  <c r="BE5" i="25"/>
  <c r="BK5" i="25" s="1"/>
  <c r="BY5" i="25" l="1"/>
  <c r="CA5" i="25" s="1"/>
  <c r="CB5" i="25" s="1"/>
  <c r="BL5" i="25"/>
  <c r="G17" i="25"/>
  <c r="F192" i="25"/>
  <c r="G192" i="25"/>
  <c r="G63" i="25"/>
  <c r="F122" i="25"/>
  <c r="G122" i="25"/>
  <c r="F137" i="25"/>
  <c r="G137" i="25"/>
  <c r="G80" i="25"/>
  <c r="F93" i="25"/>
  <c r="BM93" i="25" s="1"/>
  <c r="G93" i="25"/>
  <c r="F138" i="24"/>
  <c r="F272" i="24"/>
  <c r="F157" i="24"/>
  <c r="F111" i="24"/>
  <c r="CF111" i="24" s="1"/>
  <c r="F145" i="24"/>
  <c r="BO145" i="24" s="1"/>
  <c r="BR145" i="24" s="1"/>
  <c r="F223" i="24"/>
  <c r="BO223" i="24" s="1"/>
  <c r="BR223" i="24" s="1"/>
  <c r="F253" i="24"/>
  <c r="F143" i="24"/>
  <c r="F160" i="24"/>
  <c r="BO160" i="24" s="1"/>
  <c r="BR160" i="24" s="1"/>
  <c r="F62" i="24"/>
  <c r="F158" i="24"/>
  <c r="BO158" i="24" s="1"/>
  <c r="BR158" i="24" s="1"/>
  <c r="F292" i="24"/>
  <c r="I292" i="24" s="1"/>
  <c r="F67" i="24"/>
  <c r="F224" i="24"/>
  <c r="F104" i="24"/>
  <c r="F22" i="24"/>
  <c r="I22" i="24" s="1"/>
  <c r="F241" i="24"/>
  <c r="BO241" i="24" s="1"/>
  <c r="BR241" i="24" s="1"/>
  <c r="F252" i="24"/>
  <c r="F114" i="24"/>
  <c r="F101" i="24"/>
  <c r="I101" i="24" s="1"/>
  <c r="F250" i="24"/>
  <c r="BO250" i="24" s="1"/>
  <c r="BR250" i="24" s="1"/>
  <c r="F165" i="24"/>
  <c r="F169" i="24"/>
  <c r="F97" i="24"/>
  <c r="F96" i="24"/>
  <c r="F14" i="24"/>
  <c r="BO14" i="24" s="1"/>
  <c r="BR14" i="24" s="1"/>
  <c r="F233" i="24"/>
  <c r="I233" i="24" s="1"/>
  <c r="F298" i="24"/>
  <c r="BO298" i="24" s="1"/>
  <c r="BR298" i="24" s="1"/>
  <c r="F263" i="24"/>
  <c r="F237" i="25"/>
  <c r="G237" i="25"/>
  <c r="BN237" i="25" s="1"/>
  <c r="F42" i="25"/>
  <c r="G42" i="25"/>
  <c r="F71" i="25"/>
  <c r="G71" i="25"/>
  <c r="F16" i="25"/>
  <c r="BM16" i="25" s="1"/>
  <c r="G16" i="25"/>
  <c r="G53" i="25"/>
  <c r="BN53" i="25" s="1"/>
  <c r="F94" i="25"/>
  <c r="G94" i="25"/>
  <c r="I94" i="25" s="1"/>
  <c r="F38" i="25"/>
  <c r="BM38" i="25" s="1"/>
  <c r="G38" i="25"/>
  <c r="I38" i="25" s="1"/>
  <c r="F145" i="25"/>
  <c r="G145" i="25"/>
  <c r="F190" i="25"/>
  <c r="G190" i="25"/>
  <c r="I190" i="25" s="1"/>
  <c r="F236" i="25"/>
  <c r="G236" i="25"/>
  <c r="BN236" i="25" s="1"/>
  <c r="F105" i="25"/>
  <c r="G105" i="25"/>
  <c r="G87" i="25"/>
  <c r="BN87" i="25" s="1"/>
  <c r="F83" i="25"/>
  <c r="BM83" i="25" s="1"/>
  <c r="G83" i="25"/>
  <c r="BN83" i="25" s="1"/>
  <c r="G29" i="25"/>
  <c r="BN29" i="25" s="1"/>
  <c r="G82" i="25"/>
  <c r="BN82" i="25" s="1"/>
  <c r="F125" i="25"/>
  <c r="G125" i="25"/>
  <c r="BN125" i="25" s="1"/>
  <c r="F9" i="25"/>
  <c r="G9" i="25"/>
  <c r="F162" i="25"/>
  <c r="G162" i="25"/>
  <c r="G111" i="25"/>
  <c r="F163" i="25"/>
  <c r="G163" i="25"/>
  <c r="I163" i="25" s="1"/>
  <c r="F157" i="25"/>
  <c r="G157" i="25"/>
  <c r="I157" i="25" s="1"/>
  <c r="F245" i="25"/>
  <c r="G245" i="25"/>
  <c r="I245" i="25" s="1"/>
  <c r="F129" i="25"/>
  <c r="G129" i="25"/>
  <c r="F241" i="25"/>
  <c r="G241" i="25"/>
  <c r="BN241" i="25" s="1"/>
  <c r="F58" i="25"/>
  <c r="BM58" i="25" s="1"/>
  <c r="G58" i="25"/>
  <c r="BN58" i="25" s="1"/>
  <c r="G69" i="25"/>
  <c r="BN69" i="25" s="1"/>
  <c r="F8" i="25"/>
  <c r="G8" i="25"/>
  <c r="BN8" i="25" s="1"/>
  <c r="F186" i="25"/>
  <c r="BM186" i="25" s="1"/>
  <c r="G186" i="25"/>
  <c r="I186" i="25" s="1"/>
  <c r="F164" i="25"/>
  <c r="G164" i="25"/>
  <c r="BN164" i="25" s="1"/>
  <c r="F202" i="25"/>
  <c r="BM202" i="25" s="1"/>
  <c r="G202" i="25"/>
  <c r="I202" i="25" s="1"/>
  <c r="F195" i="25"/>
  <c r="G195" i="25"/>
  <c r="G257" i="25"/>
  <c r="BN257" i="25" s="1"/>
  <c r="F279" i="25"/>
  <c r="BM279" i="25" s="1"/>
  <c r="G279" i="25"/>
  <c r="I279" i="25" s="1"/>
  <c r="F11" i="25"/>
  <c r="G11" i="25"/>
  <c r="G30" i="25"/>
  <c r="BN30" i="25" s="1"/>
  <c r="F23" i="25"/>
  <c r="G23" i="25"/>
  <c r="BN23" i="25" s="1"/>
  <c r="F52" i="25"/>
  <c r="G52" i="25"/>
  <c r="I52" i="25" s="1"/>
  <c r="G310" i="25"/>
  <c r="I310" i="25" s="1"/>
  <c r="G34" i="25"/>
  <c r="F270" i="25"/>
  <c r="G270" i="25"/>
  <c r="I270" i="25" s="1"/>
  <c r="F226" i="25"/>
  <c r="G226" i="25"/>
  <c r="F53" i="25"/>
  <c r="BM53" i="25" s="1"/>
  <c r="F257" i="25"/>
  <c r="F188" i="24"/>
  <c r="F29" i="25"/>
  <c r="F277" i="24"/>
  <c r="BO277" i="24" s="1"/>
  <c r="BR277" i="24" s="1"/>
  <c r="F41" i="24"/>
  <c r="F74" i="24"/>
  <c r="BO74" i="24" s="1"/>
  <c r="BR74" i="24" s="1"/>
  <c r="F147" i="24"/>
  <c r="BO147" i="24" s="1"/>
  <c r="BR147" i="24" s="1"/>
  <c r="F261" i="24"/>
  <c r="F190" i="24"/>
  <c r="I190" i="24" s="1"/>
  <c r="F159" i="24"/>
  <c r="F286" i="24"/>
  <c r="F259" i="24"/>
  <c r="BO259" i="24" s="1"/>
  <c r="BR259" i="24" s="1"/>
  <c r="F77" i="24"/>
  <c r="F21" i="24"/>
  <c r="I21" i="24" s="1"/>
  <c r="F88" i="24"/>
  <c r="F56" i="24"/>
  <c r="F24" i="24"/>
  <c r="BO24" i="24" s="1"/>
  <c r="BR24" i="24" s="1"/>
  <c r="F38" i="24"/>
  <c r="F6" i="24"/>
  <c r="BO6" i="24" s="1"/>
  <c r="BR6" i="24" s="1"/>
  <c r="F134" i="24"/>
  <c r="F225" i="24"/>
  <c r="F268" i="24"/>
  <c r="F274" i="24"/>
  <c r="BO274" i="24" s="1"/>
  <c r="BR274" i="24" s="1"/>
  <c r="F130" i="24"/>
  <c r="F132" i="24"/>
  <c r="I132" i="24" s="1"/>
  <c r="F75" i="24"/>
  <c r="BO75" i="24" s="1"/>
  <c r="BR75" i="24" s="1"/>
  <c r="F129" i="24"/>
  <c r="BO129" i="24" s="1"/>
  <c r="BR129" i="24" s="1"/>
  <c r="F162" i="24"/>
  <c r="I162" i="24" s="1"/>
  <c r="F266" i="24"/>
  <c r="F296" i="24"/>
  <c r="F206" i="24"/>
  <c r="BO206" i="24" s="1"/>
  <c r="BR206" i="24" s="1"/>
  <c r="F192" i="24"/>
  <c r="BO192" i="24" s="1"/>
  <c r="BR192" i="24" s="1"/>
  <c r="F251" i="24"/>
  <c r="BO251" i="24" s="1"/>
  <c r="BR251" i="24" s="1"/>
  <c r="F71" i="24"/>
  <c r="F39" i="24"/>
  <c r="F7" i="24"/>
  <c r="I7" i="24" s="1"/>
  <c r="F94" i="24"/>
  <c r="BO94" i="24" s="1"/>
  <c r="BR94" i="24" s="1"/>
  <c r="F125" i="24"/>
  <c r="BO125" i="24" s="1"/>
  <c r="BR125" i="24" s="1"/>
  <c r="F281" i="24"/>
  <c r="BO281" i="24" s="1"/>
  <c r="BR281" i="24" s="1"/>
  <c r="F254" i="24"/>
  <c r="F228" i="24"/>
  <c r="BO228" i="24" s="1"/>
  <c r="BR228" i="24" s="1"/>
  <c r="F194" i="24"/>
  <c r="BO194" i="24" s="1"/>
  <c r="BR194" i="24" s="1"/>
  <c r="F12" i="24"/>
  <c r="F99" i="24"/>
  <c r="F117" i="24"/>
  <c r="F186" i="24"/>
  <c r="F133" i="24"/>
  <c r="F246" i="24"/>
  <c r="F118" i="24"/>
  <c r="F243" i="24"/>
  <c r="BO243" i="24" s="1"/>
  <c r="BR243" i="24" s="1"/>
  <c r="F45" i="24"/>
  <c r="I45" i="24" s="1"/>
  <c r="F54" i="24"/>
  <c r="F191" i="24"/>
  <c r="I191" i="24" s="1"/>
  <c r="F314" i="24"/>
  <c r="F177" i="24"/>
  <c r="BO177" i="24" s="1"/>
  <c r="BR177" i="24" s="1"/>
  <c r="F33" i="24"/>
  <c r="F100" i="24"/>
  <c r="BO100" i="24" s="1"/>
  <c r="BR100" i="24" s="1"/>
  <c r="F68" i="24"/>
  <c r="F36" i="24"/>
  <c r="BO36" i="24" s="1"/>
  <c r="BR36" i="24" s="1"/>
  <c r="F50" i="24"/>
  <c r="BO50" i="24" s="1"/>
  <c r="BR50" i="24" s="1"/>
  <c r="F18" i="24"/>
  <c r="F146" i="24"/>
  <c r="F280" i="24"/>
  <c r="F302" i="24"/>
  <c r="BO302" i="24" s="1"/>
  <c r="BR302" i="24" s="1"/>
  <c r="F176" i="24"/>
  <c r="F267" i="24"/>
  <c r="F46" i="24"/>
  <c r="F163" i="24"/>
  <c r="BO163" i="24" s="1"/>
  <c r="BR163" i="24" s="1"/>
  <c r="F142" i="24"/>
  <c r="I142" i="24" s="1"/>
  <c r="F198" i="24"/>
  <c r="BO198" i="24" s="1"/>
  <c r="BR198" i="24" s="1"/>
  <c r="F276" i="24"/>
  <c r="F115" i="24"/>
  <c r="F255" i="25"/>
  <c r="G255" i="25"/>
  <c r="I255" i="25" s="1"/>
  <c r="F266" i="25"/>
  <c r="G266" i="25"/>
  <c r="BN266" i="25" s="1"/>
  <c r="F182" i="25"/>
  <c r="G182" i="25"/>
  <c r="F210" i="25"/>
  <c r="G210" i="25"/>
  <c r="F269" i="25"/>
  <c r="G269" i="25"/>
  <c r="BN269" i="25" s="1"/>
  <c r="F152" i="25"/>
  <c r="BM152" i="25" s="1"/>
  <c r="G152" i="25"/>
  <c r="F300" i="25"/>
  <c r="G300" i="25"/>
  <c r="BN300" i="25" s="1"/>
  <c r="F37" i="25"/>
  <c r="G37" i="25"/>
  <c r="F180" i="25"/>
  <c r="BM180" i="25" s="1"/>
  <c r="G180" i="25"/>
  <c r="F165" i="25"/>
  <c r="G165" i="25"/>
  <c r="F189" i="25"/>
  <c r="G189" i="25"/>
  <c r="I189" i="25" s="1"/>
  <c r="G277" i="25"/>
  <c r="BN277" i="25" s="1"/>
  <c r="F70" i="25"/>
  <c r="G70" i="25"/>
  <c r="BN70" i="25" s="1"/>
  <c r="F232" i="25"/>
  <c r="BM232" i="25" s="1"/>
  <c r="G232" i="25"/>
  <c r="F6" i="25"/>
  <c r="BM6" i="25" s="1"/>
  <c r="G6" i="25"/>
  <c r="F265" i="25"/>
  <c r="G265" i="25"/>
  <c r="I265" i="25" s="1"/>
  <c r="F31" i="25"/>
  <c r="G31" i="25"/>
  <c r="I31" i="25" s="1"/>
  <c r="F59" i="25"/>
  <c r="G59" i="25"/>
  <c r="I59" i="25" s="1"/>
  <c r="F188" i="25"/>
  <c r="G188" i="25"/>
  <c r="F167" i="24"/>
  <c r="BO167" i="24" s="1"/>
  <c r="BR167" i="24" s="1"/>
  <c r="F237" i="24"/>
  <c r="F30" i="25"/>
  <c r="BM30" i="25" s="1"/>
  <c r="F230" i="24"/>
  <c r="F307" i="24"/>
  <c r="BO307" i="24" s="1"/>
  <c r="BR307" i="24" s="1"/>
  <c r="F83" i="24"/>
  <c r="BO83" i="24" s="1"/>
  <c r="BR83" i="24" s="1"/>
  <c r="F19" i="24"/>
  <c r="F170" i="24"/>
  <c r="F304" i="24"/>
  <c r="F205" i="24"/>
  <c r="F70" i="24"/>
  <c r="BO70" i="24" s="1"/>
  <c r="BR70" i="24" s="1"/>
  <c r="F131" i="24"/>
  <c r="BO131" i="24" s="1"/>
  <c r="BR131" i="24" s="1"/>
  <c r="F123" i="24"/>
  <c r="F201" i="24"/>
  <c r="F255" i="24"/>
  <c r="F52" i="24"/>
  <c r="F37" i="24"/>
  <c r="F285" i="24"/>
  <c r="BO285" i="24" s="1"/>
  <c r="BR285" i="24" s="1"/>
  <c r="F232" i="24"/>
  <c r="F103" i="24"/>
  <c r="F202" i="24"/>
  <c r="F137" i="24"/>
  <c r="F122" i="24"/>
  <c r="F44" i="24"/>
  <c r="I44" i="24" s="1"/>
  <c r="F309" i="24"/>
  <c r="F256" i="24"/>
  <c r="F152" i="24"/>
  <c r="BO152" i="24" s="1"/>
  <c r="BR152" i="24" s="1"/>
  <c r="F63" i="24"/>
  <c r="F273" i="24"/>
  <c r="F82" i="24"/>
  <c r="F179" i="24"/>
  <c r="F116" i="24"/>
  <c r="F119" i="24"/>
  <c r="I119" i="24" s="1"/>
  <c r="F55" i="24"/>
  <c r="BO55" i="24" s="1"/>
  <c r="BR55" i="24" s="1"/>
  <c r="F265" i="24"/>
  <c r="F171" i="24"/>
  <c r="F295" i="24"/>
  <c r="F13" i="25"/>
  <c r="G13" i="25"/>
  <c r="I13" i="25" s="1"/>
  <c r="F26" i="25"/>
  <c r="G26" i="25"/>
  <c r="BN26" i="25" s="1"/>
  <c r="F77" i="25"/>
  <c r="G77" i="25"/>
  <c r="I77" i="25" s="1"/>
  <c r="F203" i="25"/>
  <c r="BM203" i="25" s="1"/>
  <c r="G203" i="25"/>
  <c r="BN203" i="25" s="1"/>
  <c r="F206" i="25"/>
  <c r="G206" i="25"/>
  <c r="BN206" i="25" s="1"/>
  <c r="F160" i="25"/>
  <c r="G160" i="25"/>
  <c r="BN160" i="25" s="1"/>
  <c r="F280" i="25"/>
  <c r="G280" i="25"/>
  <c r="BN280" i="25" s="1"/>
  <c r="F174" i="25"/>
  <c r="G174" i="25"/>
  <c r="F208" i="25"/>
  <c r="G208" i="25"/>
  <c r="I208" i="25" s="1"/>
  <c r="F132" i="25"/>
  <c r="G132" i="25"/>
  <c r="I132" i="25" s="1"/>
  <c r="F194" i="25"/>
  <c r="G194" i="25"/>
  <c r="I194" i="25" s="1"/>
  <c r="F120" i="25"/>
  <c r="G120" i="25"/>
  <c r="I120" i="25" s="1"/>
  <c r="G218" i="25"/>
  <c r="BN218" i="25" s="1"/>
  <c r="F315" i="25"/>
  <c r="BM315" i="25" s="1"/>
  <c r="G315" i="25"/>
  <c r="BN315" i="25" s="1"/>
  <c r="F271" i="25"/>
  <c r="G271" i="25"/>
  <c r="I271" i="25" s="1"/>
  <c r="F62" i="25"/>
  <c r="G62" i="25"/>
  <c r="I62" i="25" s="1"/>
  <c r="F204" i="25"/>
  <c r="G204" i="25"/>
  <c r="I204" i="25" s="1"/>
  <c r="F74" i="25"/>
  <c r="G74" i="25"/>
  <c r="F177" i="25"/>
  <c r="G177" i="25"/>
  <c r="I177" i="25" s="1"/>
  <c r="F246" i="25"/>
  <c r="BM246" i="25" s="1"/>
  <c r="G246" i="25"/>
  <c r="F126" i="25"/>
  <c r="G126" i="25"/>
  <c r="G15" i="25"/>
  <c r="I15" i="25" s="1"/>
  <c r="F176" i="25"/>
  <c r="G176" i="25"/>
  <c r="F73" i="25"/>
  <c r="G73" i="25"/>
  <c r="F159" i="25"/>
  <c r="BM159" i="25" s="1"/>
  <c r="G159" i="25"/>
  <c r="BN159" i="25" s="1"/>
  <c r="F185" i="25"/>
  <c r="G185" i="25"/>
  <c r="BN185" i="25" s="1"/>
  <c r="F141" i="25"/>
  <c r="BM141" i="25" s="1"/>
  <c r="G141" i="25"/>
  <c r="BN141" i="25" s="1"/>
  <c r="F151" i="25"/>
  <c r="BM151" i="25" s="1"/>
  <c r="G151" i="25"/>
  <c r="BN151" i="25" s="1"/>
  <c r="F168" i="25"/>
  <c r="BM168" i="25" s="1"/>
  <c r="G168" i="25"/>
  <c r="BN168" i="25" s="1"/>
  <c r="F193" i="25"/>
  <c r="BM193" i="25" s="1"/>
  <c r="G193" i="25"/>
  <c r="BN193" i="25" s="1"/>
  <c r="F143" i="25"/>
  <c r="G143" i="25"/>
  <c r="BN143" i="25" s="1"/>
  <c r="F169" i="25"/>
  <c r="G169" i="25"/>
  <c r="BN169" i="25" s="1"/>
  <c r="F273" i="25"/>
  <c r="G273" i="25"/>
  <c r="BN273" i="25" s="1"/>
  <c r="F239" i="25"/>
  <c r="BM239" i="25" s="1"/>
  <c r="G239" i="25"/>
  <c r="I239" i="25" s="1"/>
  <c r="F44" i="25"/>
  <c r="BM44" i="25" s="1"/>
  <c r="G44" i="25"/>
  <c r="I44" i="25" s="1"/>
  <c r="F81" i="25"/>
  <c r="BM81" i="25" s="1"/>
  <c r="G81" i="25"/>
  <c r="I81" i="25" s="1"/>
  <c r="F219" i="25"/>
  <c r="G219" i="25"/>
  <c r="I219" i="25" s="1"/>
  <c r="F230" i="25"/>
  <c r="G230" i="25"/>
  <c r="BN230" i="25" s="1"/>
  <c r="F104" i="25"/>
  <c r="G104" i="25"/>
  <c r="I104" i="25" s="1"/>
  <c r="F21" i="25"/>
  <c r="G21" i="25"/>
  <c r="BN21" i="25" s="1"/>
  <c r="F179" i="25"/>
  <c r="G179" i="25"/>
  <c r="BN179" i="25" s="1"/>
  <c r="F198" i="25"/>
  <c r="G198" i="25"/>
  <c r="I198" i="25" s="1"/>
  <c r="F96" i="25"/>
  <c r="G96" i="25"/>
  <c r="F197" i="25"/>
  <c r="G197" i="25"/>
  <c r="BN197" i="25" s="1"/>
  <c r="F118" i="25"/>
  <c r="G118" i="25"/>
  <c r="BN118" i="25" s="1"/>
  <c r="F115" i="25"/>
  <c r="G115" i="25"/>
  <c r="BN115" i="25" s="1"/>
  <c r="F205" i="25"/>
  <c r="G205" i="25"/>
  <c r="BN205" i="25" s="1"/>
  <c r="F183" i="25"/>
  <c r="G183" i="25"/>
  <c r="BN183" i="25" s="1"/>
  <c r="F200" i="25"/>
  <c r="G200" i="25"/>
  <c r="BN200" i="25" s="1"/>
  <c r="F114" i="25"/>
  <c r="G114" i="25"/>
  <c r="BN114" i="25" s="1"/>
  <c r="F207" i="25"/>
  <c r="G207" i="25"/>
  <c r="BN207" i="25" s="1"/>
  <c r="F130" i="25"/>
  <c r="G130" i="25"/>
  <c r="BN130" i="25" s="1"/>
  <c r="F116" i="25"/>
  <c r="G116" i="25"/>
  <c r="BN116" i="25" s="1"/>
  <c r="F218" i="25"/>
  <c r="BM218" i="25" s="1"/>
  <c r="F168" i="24"/>
  <c r="BO168" i="24" s="1"/>
  <c r="BR168" i="24" s="1"/>
  <c r="F43" i="24"/>
  <c r="F86" i="24"/>
  <c r="BO86" i="24" s="1"/>
  <c r="BR86" i="24" s="1"/>
  <c r="F239" i="24"/>
  <c r="F73" i="24"/>
  <c r="F51" i="24"/>
  <c r="F195" i="24"/>
  <c r="BO195" i="24" s="1"/>
  <c r="BR195" i="24" s="1"/>
  <c r="F290" i="24"/>
  <c r="F291" i="24"/>
  <c r="BO291" i="24" s="1"/>
  <c r="BR291" i="24" s="1"/>
  <c r="F102" i="24"/>
  <c r="F257" i="24"/>
  <c r="I257" i="24" s="1"/>
  <c r="M257" i="24" s="1"/>
  <c r="N257" i="24" s="1"/>
  <c r="F151" i="24"/>
  <c r="F164" i="24"/>
  <c r="BO164" i="24" s="1"/>
  <c r="BR164" i="24" s="1"/>
  <c r="F84" i="24"/>
  <c r="F20" i="24"/>
  <c r="F120" i="24"/>
  <c r="F141" i="24"/>
  <c r="F126" i="24"/>
  <c r="BO126" i="24" s="1"/>
  <c r="BR126" i="24" s="1"/>
  <c r="F283" i="24"/>
  <c r="BO283" i="24" s="1"/>
  <c r="BR283" i="24" s="1"/>
  <c r="F16" i="24"/>
  <c r="F187" i="24"/>
  <c r="F258" i="24"/>
  <c r="F247" i="24"/>
  <c r="F76" i="24"/>
  <c r="F58" i="24"/>
  <c r="F282" i="24"/>
  <c r="F185" i="24"/>
  <c r="BO185" i="24" s="1"/>
  <c r="BR185" i="24" s="1"/>
  <c r="F181" i="24"/>
  <c r="BO181" i="24" s="1"/>
  <c r="BR181" i="24" s="1"/>
  <c r="F95" i="24"/>
  <c r="F31" i="24"/>
  <c r="F182" i="24"/>
  <c r="F271" i="24"/>
  <c r="F69" i="24"/>
  <c r="F269" i="24"/>
  <c r="F175" i="24"/>
  <c r="BO175" i="24" s="1"/>
  <c r="BR175" i="24" s="1"/>
  <c r="F299" i="24"/>
  <c r="F87" i="24"/>
  <c r="F23" i="24"/>
  <c r="F174" i="24"/>
  <c r="F308" i="24"/>
  <c r="F204" i="24"/>
  <c r="F290" i="25"/>
  <c r="G290" i="25"/>
  <c r="BN290" i="25" s="1"/>
  <c r="F117" i="25"/>
  <c r="G117" i="25"/>
  <c r="I117" i="25" s="1"/>
  <c r="F297" i="25"/>
  <c r="G297" i="25"/>
  <c r="I297" i="25" s="1"/>
  <c r="F312" i="25"/>
  <c r="G312" i="25"/>
  <c r="BN312" i="25" s="1"/>
  <c r="F221" i="25"/>
  <c r="G221" i="25"/>
  <c r="I221" i="25" s="1"/>
  <c r="F49" i="25"/>
  <c r="G49" i="25"/>
  <c r="F35" i="25"/>
  <c r="G35" i="25"/>
  <c r="BN35" i="25" s="1"/>
  <c r="F48" i="25"/>
  <c r="BM48" i="25" s="1"/>
  <c r="G48" i="25"/>
  <c r="BN48" i="25" s="1"/>
  <c r="F85" i="25"/>
  <c r="G85" i="25"/>
  <c r="BN85" i="25" s="1"/>
  <c r="F91" i="25"/>
  <c r="G91" i="25"/>
  <c r="BN91" i="25" s="1"/>
  <c r="F20" i="25"/>
  <c r="G20" i="25"/>
  <c r="BN20" i="25" s="1"/>
  <c r="F57" i="25"/>
  <c r="G57" i="25"/>
  <c r="BN57" i="25" s="1"/>
  <c r="F98" i="25"/>
  <c r="G98" i="25"/>
  <c r="BN98" i="25" s="1"/>
  <c r="F24" i="25"/>
  <c r="G24" i="25"/>
  <c r="BN24" i="25" s="1"/>
  <c r="F22" i="25"/>
  <c r="G22" i="25"/>
  <c r="BN22" i="25" s="1"/>
  <c r="F123" i="25"/>
  <c r="G123" i="25"/>
  <c r="BN123" i="25" s="1"/>
  <c r="F140" i="25"/>
  <c r="G140" i="25"/>
  <c r="BN140" i="25" s="1"/>
  <c r="F149" i="25"/>
  <c r="G149" i="25"/>
  <c r="BN149" i="25" s="1"/>
  <c r="F127" i="25"/>
  <c r="G127" i="25"/>
  <c r="BN127" i="25" s="1"/>
  <c r="F153" i="25"/>
  <c r="G153" i="25"/>
  <c r="BN153" i="25" s="1"/>
  <c r="F196" i="25"/>
  <c r="G196" i="25"/>
  <c r="BN196" i="25" s="1"/>
  <c r="F135" i="25"/>
  <c r="G135" i="25"/>
  <c r="BN135" i="25" s="1"/>
  <c r="F307" i="25"/>
  <c r="G307" i="25"/>
  <c r="I307" i="25" s="1"/>
  <c r="F99" i="25"/>
  <c r="G99" i="25"/>
  <c r="F43" i="25"/>
  <c r="G43" i="25"/>
  <c r="BN43" i="25" s="1"/>
  <c r="F40" i="25"/>
  <c r="G40" i="25"/>
  <c r="BN40" i="25" s="1"/>
  <c r="F54" i="25"/>
  <c r="G54" i="25"/>
  <c r="BN54" i="25" s="1"/>
  <c r="F139" i="25"/>
  <c r="G139" i="25"/>
  <c r="BN139" i="25" s="1"/>
  <c r="F156" i="25"/>
  <c r="G156" i="25"/>
  <c r="I156" i="25" s="1"/>
  <c r="F278" i="25"/>
  <c r="G278" i="25"/>
  <c r="I278" i="25" s="1"/>
  <c r="F32" i="25"/>
  <c r="G32" i="25"/>
  <c r="F311" i="25"/>
  <c r="G311" i="25"/>
  <c r="I311" i="25" s="1"/>
  <c r="F150" i="25"/>
  <c r="G150" i="25"/>
  <c r="F260" i="25"/>
  <c r="G260" i="25"/>
  <c r="I260" i="25" s="1"/>
  <c r="F227" i="25"/>
  <c r="G227" i="25"/>
  <c r="I227" i="25" s="1"/>
  <c r="G97" i="25"/>
  <c r="F46" i="25"/>
  <c r="G46" i="25"/>
  <c r="BN46" i="25" s="1"/>
  <c r="F79" i="25"/>
  <c r="G79" i="25"/>
  <c r="BN79" i="25" s="1"/>
  <c r="F68" i="25"/>
  <c r="G68" i="25"/>
  <c r="BN68" i="25" s="1"/>
  <c r="F18" i="25"/>
  <c r="G18" i="25"/>
  <c r="BN18" i="25" s="1"/>
  <c r="F51" i="25"/>
  <c r="G51" i="25"/>
  <c r="BN51" i="25" s="1"/>
  <c r="F72" i="25"/>
  <c r="G72" i="25"/>
  <c r="BN72" i="25" s="1"/>
  <c r="F67" i="25"/>
  <c r="G67" i="25"/>
  <c r="BN67" i="25" s="1"/>
  <c r="F171" i="25"/>
  <c r="G171" i="25"/>
  <c r="BN171" i="25" s="1"/>
  <c r="F295" i="25"/>
  <c r="G295" i="25"/>
  <c r="BN295" i="25" s="1"/>
  <c r="F82" i="25"/>
  <c r="BM82" i="25" s="1"/>
  <c r="F34" i="25"/>
  <c r="BM34" i="25" s="1"/>
  <c r="F80" i="25"/>
  <c r="BM80" i="25" s="1"/>
  <c r="F284" i="24"/>
  <c r="BO284" i="24" s="1"/>
  <c r="BR284" i="24" s="1"/>
  <c r="F311" i="24"/>
  <c r="BO311" i="24" s="1"/>
  <c r="BR311" i="24" s="1"/>
  <c r="F148" i="24"/>
  <c r="BO148" i="24" s="1"/>
  <c r="BR148" i="24" s="1"/>
  <c r="F127" i="24"/>
  <c r="BO127" i="24" s="1"/>
  <c r="BR127" i="24" s="1"/>
  <c r="F150" i="24"/>
  <c r="BO150" i="24" s="1"/>
  <c r="BR150" i="24" s="1"/>
  <c r="F87" i="25"/>
  <c r="BM87" i="25" s="1"/>
  <c r="F61" i="24"/>
  <c r="BO61" i="24" s="1"/>
  <c r="BR61" i="24" s="1"/>
  <c r="F42" i="24"/>
  <c r="BO42" i="24" s="1"/>
  <c r="BR42" i="24" s="1"/>
  <c r="F60" i="24"/>
  <c r="BO60" i="24" s="1"/>
  <c r="BR60" i="24" s="1"/>
  <c r="F53" i="24"/>
  <c r="BO53" i="24" s="1"/>
  <c r="BR53" i="24" s="1"/>
  <c r="F81" i="24"/>
  <c r="BO81" i="24" s="1"/>
  <c r="BR81" i="24" s="1"/>
  <c r="F92" i="24"/>
  <c r="F293" i="24"/>
  <c r="F240" i="24"/>
  <c r="F200" i="24"/>
  <c r="F15" i="24"/>
  <c r="F166" i="24"/>
  <c r="F300" i="24"/>
  <c r="F17" i="24"/>
  <c r="F34" i="24"/>
  <c r="F221" i="24"/>
  <c r="F270" i="24"/>
  <c r="F13" i="24"/>
  <c r="F313" i="24"/>
  <c r="F260" i="24"/>
  <c r="F156" i="24"/>
  <c r="F90" i="24"/>
  <c r="F245" i="24"/>
  <c r="F217" i="24"/>
  <c r="F275" i="24"/>
  <c r="BO275" i="24" s="1"/>
  <c r="BR275" i="24" s="1"/>
  <c r="F8" i="24"/>
  <c r="F199" i="24"/>
  <c r="F155" i="24"/>
  <c r="F220" i="24"/>
  <c r="F180" i="24"/>
  <c r="F27" i="24"/>
  <c r="F178" i="24"/>
  <c r="BO178" i="24" s="1"/>
  <c r="BR178" i="24" s="1"/>
  <c r="F312" i="24"/>
  <c r="F208" i="24"/>
  <c r="F89" i="24"/>
  <c r="F113" i="24"/>
  <c r="F306" i="24"/>
  <c r="F128" i="24"/>
  <c r="F231" i="24"/>
  <c r="F286" i="25"/>
  <c r="G286" i="25"/>
  <c r="F276" i="25"/>
  <c r="G276" i="25"/>
  <c r="I276" i="25" s="1"/>
  <c r="F288" i="25"/>
  <c r="G288" i="25"/>
  <c r="BN288" i="25" s="1"/>
  <c r="F259" i="25"/>
  <c r="BM259" i="25" s="1"/>
  <c r="G259" i="25"/>
  <c r="I259" i="25" s="1"/>
  <c r="F308" i="25"/>
  <c r="G308" i="25"/>
  <c r="F283" i="25"/>
  <c r="G283" i="25"/>
  <c r="I283" i="25" s="1"/>
  <c r="F301" i="25"/>
  <c r="G301" i="25"/>
  <c r="F287" i="25"/>
  <c r="G287" i="25"/>
  <c r="I287" i="25" s="1"/>
  <c r="F268" i="25"/>
  <c r="G268" i="25"/>
  <c r="F12" i="25"/>
  <c r="G12" i="25"/>
  <c r="F314" i="25"/>
  <c r="G314" i="25"/>
  <c r="F274" i="25"/>
  <c r="G274" i="25"/>
  <c r="BN274" i="25" s="1"/>
  <c r="F263" i="25"/>
  <c r="G263" i="25"/>
  <c r="F253" i="25"/>
  <c r="G253" i="25"/>
  <c r="BN253" i="25" s="1"/>
  <c r="F100" i="25"/>
  <c r="G100" i="25"/>
  <c r="I100" i="25" s="1"/>
  <c r="F76" i="25"/>
  <c r="G76" i="25"/>
  <c r="I76" i="25" s="1"/>
  <c r="F84" i="25"/>
  <c r="G84" i="25"/>
  <c r="BN84" i="25" s="1"/>
  <c r="F90" i="25"/>
  <c r="G90" i="25"/>
  <c r="F45" i="25"/>
  <c r="G45" i="25"/>
  <c r="F64" i="25"/>
  <c r="G64" i="25"/>
  <c r="F14" i="25"/>
  <c r="G14" i="25"/>
  <c r="F36" i="25"/>
  <c r="G36" i="25"/>
  <c r="I36" i="25" s="1"/>
  <c r="F306" i="25"/>
  <c r="G306" i="25"/>
  <c r="F231" i="25"/>
  <c r="G231" i="25"/>
  <c r="BN231" i="25" s="1"/>
  <c r="F285" i="25"/>
  <c r="G285" i="25"/>
  <c r="F101" i="25"/>
  <c r="G101" i="25"/>
  <c r="F19" i="25"/>
  <c r="G19" i="25"/>
  <c r="F187" i="25"/>
  <c r="G187" i="25"/>
  <c r="F55" i="25"/>
  <c r="G55" i="25"/>
  <c r="G50" i="25"/>
  <c r="F142" i="25"/>
  <c r="G142" i="25"/>
  <c r="F166" i="25"/>
  <c r="G166" i="25"/>
  <c r="F256" i="25"/>
  <c r="BM256" i="25" s="1"/>
  <c r="G256" i="25"/>
  <c r="I256" i="25" s="1"/>
  <c r="F41" i="25"/>
  <c r="G41" i="25"/>
  <c r="BN41" i="25" s="1"/>
  <c r="F133" i="25"/>
  <c r="G133" i="25"/>
  <c r="I133" i="25" s="1"/>
  <c r="F119" i="25"/>
  <c r="G119" i="25"/>
  <c r="BN119" i="25" s="1"/>
  <c r="F131" i="25"/>
  <c r="G131" i="25"/>
  <c r="I131" i="25" s="1"/>
  <c r="F167" i="25"/>
  <c r="G167" i="25"/>
  <c r="F184" i="25"/>
  <c r="G184" i="25"/>
  <c r="F209" i="25"/>
  <c r="G209" i="25"/>
  <c r="F175" i="25"/>
  <c r="G175" i="25"/>
  <c r="F201" i="25"/>
  <c r="G201" i="25"/>
  <c r="F289" i="25"/>
  <c r="G289" i="25"/>
  <c r="I289" i="25" s="1"/>
  <c r="F238" i="25"/>
  <c r="G238" i="25"/>
  <c r="I238" i="25" s="1"/>
  <c r="F234" i="25"/>
  <c r="G234" i="25"/>
  <c r="F313" i="25"/>
  <c r="G313" i="25"/>
  <c r="I313" i="25" s="1"/>
  <c r="F304" i="25"/>
  <c r="G304" i="25"/>
  <c r="F60" i="25"/>
  <c r="G60" i="25"/>
  <c r="F75" i="25"/>
  <c r="G75" i="25"/>
  <c r="I75" i="25" s="1"/>
  <c r="F95" i="25"/>
  <c r="G95" i="25"/>
  <c r="I95" i="25" s="1"/>
  <c r="F264" i="25"/>
  <c r="G264" i="25"/>
  <c r="BN264" i="25" s="1"/>
  <c r="F235" i="25"/>
  <c r="G235" i="25"/>
  <c r="I235" i="25" s="1"/>
  <c r="F183" i="24"/>
  <c r="BO183" i="24" s="1"/>
  <c r="BR183" i="24" s="1"/>
  <c r="F105" i="24"/>
  <c r="F63" i="25"/>
  <c r="BM63" i="25" s="1"/>
  <c r="F26" i="24"/>
  <c r="BO26" i="24" s="1"/>
  <c r="BR26" i="24" s="1"/>
  <c r="F9" i="24"/>
  <c r="F48" i="24"/>
  <c r="BO48" i="24" s="1"/>
  <c r="BR48" i="24" s="1"/>
  <c r="F11" i="24"/>
  <c r="BO11" i="24" s="1"/>
  <c r="BR11" i="24" s="1"/>
  <c r="F28" i="24"/>
  <c r="BO28" i="24" s="1"/>
  <c r="BR28" i="24" s="1"/>
  <c r="F78" i="24"/>
  <c r="BO78" i="24" s="1"/>
  <c r="BR78" i="24" s="1"/>
  <c r="F29" i="24"/>
  <c r="BO29" i="24" s="1"/>
  <c r="BR29" i="24" s="1"/>
  <c r="F277" i="25"/>
  <c r="BM277" i="25" s="1"/>
  <c r="F310" i="25"/>
  <c r="BM310" i="25" s="1"/>
  <c r="F111" i="25"/>
  <c r="BM111" i="25" s="1"/>
  <c r="F69" i="25"/>
  <c r="BM69" i="25" s="1"/>
  <c r="F25" i="24"/>
  <c r="F226" i="24"/>
  <c r="F149" i="24"/>
  <c r="F124" i="24"/>
  <c r="F227" i="24"/>
  <c r="F47" i="24"/>
  <c r="F121" i="24"/>
  <c r="F278" i="24"/>
  <c r="F210" i="24"/>
  <c r="F287" i="24"/>
  <c r="F65" i="24"/>
  <c r="BO65" i="24" s="1"/>
  <c r="BR65" i="24" s="1"/>
  <c r="F66" i="24"/>
  <c r="F218" i="24"/>
  <c r="F264" i="24"/>
  <c r="I264" i="24" s="1"/>
  <c r="F219" i="24"/>
  <c r="F57" i="24"/>
  <c r="F80" i="24"/>
  <c r="F294" i="24"/>
  <c r="I294" i="24" s="1"/>
  <c r="F197" i="24"/>
  <c r="F189" i="24"/>
  <c r="F49" i="24"/>
  <c r="F93" i="24"/>
  <c r="F154" i="24"/>
  <c r="F288" i="24"/>
  <c r="F184" i="24"/>
  <c r="F40" i="24"/>
  <c r="F305" i="24"/>
  <c r="F316" i="24"/>
  <c r="F203" i="24"/>
  <c r="F139" i="24"/>
  <c r="F222" i="24"/>
  <c r="F235" i="24"/>
  <c r="BO235" i="24" s="1"/>
  <c r="BR235" i="24" s="1"/>
  <c r="F32" i="24"/>
  <c r="F297" i="24"/>
  <c r="F244" i="24"/>
  <c r="F140" i="24"/>
  <c r="F240" i="25"/>
  <c r="G240" i="25"/>
  <c r="BN240" i="25" s="1"/>
  <c r="F284" i="25"/>
  <c r="G284" i="25"/>
  <c r="F267" i="25"/>
  <c r="G267" i="25"/>
  <c r="F251" i="25"/>
  <c r="G251" i="25"/>
  <c r="F33" i="25"/>
  <c r="G33" i="25"/>
  <c r="F27" i="25"/>
  <c r="G27" i="25"/>
  <c r="F154" i="25"/>
  <c r="G154" i="25"/>
  <c r="F261" i="25"/>
  <c r="G261" i="25"/>
  <c r="F249" i="25"/>
  <c r="G249" i="25"/>
  <c r="F217" i="25"/>
  <c r="G217" i="25"/>
  <c r="BN217" i="25" s="1"/>
  <c r="F28" i="25"/>
  <c r="G28" i="25"/>
  <c r="F65" i="25"/>
  <c r="G65" i="25"/>
  <c r="F228" i="25"/>
  <c r="G228" i="25"/>
  <c r="F299" i="25"/>
  <c r="BM299" i="25" s="1"/>
  <c r="G299" i="25"/>
  <c r="F155" i="25"/>
  <c r="G155" i="25"/>
  <c r="F172" i="25"/>
  <c r="G172" i="25"/>
  <c r="F181" i="25"/>
  <c r="G181" i="25"/>
  <c r="I181" i="25" s="1"/>
  <c r="F191" i="25"/>
  <c r="G191" i="25"/>
  <c r="F178" i="25"/>
  <c r="G178" i="25"/>
  <c r="F173" i="25"/>
  <c r="G173" i="25"/>
  <c r="F309" i="25"/>
  <c r="G309" i="25"/>
  <c r="F7" i="25"/>
  <c r="G7" i="25"/>
  <c r="F92" i="25"/>
  <c r="G92" i="25"/>
  <c r="F78" i="25"/>
  <c r="G78" i="25"/>
  <c r="F229" i="25"/>
  <c r="G229" i="25"/>
  <c r="BN229" i="25" s="1"/>
  <c r="F303" i="25"/>
  <c r="BM303" i="25" s="1"/>
  <c r="G303" i="25"/>
  <c r="F282" i="25"/>
  <c r="G282" i="25"/>
  <c r="BN282" i="25" s="1"/>
  <c r="F172" i="24"/>
  <c r="BO172" i="24" s="1"/>
  <c r="BR172" i="24" s="1"/>
  <c r="F50" i="25"/>
  <c r="BM50" i="25" s="1"/>
  <c r="F17" i="25"/>
  <c r="BM17" i="25" s="1"/>
  <c r="F97" i="25"/>
  <c r="BM97" i="25" s="1"/>
  <c r="F59" i="24"/>
  <c r="BO59" i="24" s="1"/>
  <c r="BR59" i="24" s="1"/>
  <c r="F15" i="25"/>
  <c r="BM15" i="25" s="1"/>
  <c r="F85" i="24"/>
  <c r="F10" i="24"/>
  <c r="F229" i="24"/>
  <c r="F136" i="24"/>
  <c r="F79" i="24"/>
  <c r="F289" i="24"/>
  <c r="F236" i="24"/>
  <c r="I236" i="24" s="1"/>
  <c r="F196" i="24"/>
  <c r="F98" i="24"/>
  <c r="BO98" i="24" s="1"/>
  <c r="BR98" i="24" s="1"/>
  <c r="F310" i="24"/>
  <c r="F209" i="24"/>
  <c r="F193" i="24"/>
  <c r="F315" i="24"/>
  <c r="F30" i="24"/>
  <c r="F249" i="24"/>
  <c r="F135" i="24"/>
  <c r="F279" i="24"/>
  <c r="F35" i="24"/>
  <c r="F207" i="24"/>
  <c r="F238" i="24"/>
  <c r="F112" i="24"/>
  <c r="F72" i="24"/>
  <c r="F262" i="24"/>
  <c r="F173" i="24"/>
  <c r="F234" i="24"/>
  <c r="F303" i="24"/>
  <c r="F91" i="24"/>
  <c r="F301" i="24"/>
  <c r="F248" i="24"/>
  <c r="F144" i="24"/>
  <c r="F64" i="24"/>
  <c r="F242" i="24"/>
  <c r="F153" i="24"/>
  <c r="F161" i="24"/>
  <c r="F250" i="25"/>
  <c r="G250" i="25"/>
  <c r="F25" i="25"/>
  <c r="G25" i="25"/>
  <c r="F66" i="25"/>
  <c r="G66" i="25"/>
  <c r="F39" i="25"/>
  <c r="G39" i="25"/>
  <c r="F61" i="25"/>
  <c r="G61" i="25"/>
  <c r="F170" i="25"/>
  <c r="G170" i="25"/>
  <c r="F272" i="25"/>
  <c r="G272" i="25"/>
  <c r="F242" i="25"/>
  <c r="G242" i="25"/>
  <c r="I242" i="25" s="1"/>
  <c r="F252" i="25"/>
  <c r="G252" i="25"/>
  <c r="F225" i="25"/>
  <c r="G225" i="25"/>
  <c r="F247" i="25"/>
  <c r="G247" i="25"/>
  <c r="BN247" i="25" s="1"/>
  <c r="F316" i="25"/>
  <c r="G316" i="25"/>
  <c r="F293" i="25"/>
  <c r="G293" i="25"/>
  <c r="F281" i="25"/>
  <c r="G281" i="25"/>
  <c r="I281" i="25" s="1"/>
  <c r="F89" i="25"/>
  <c r="G89" i="25"/>
  <c r="F47" i="25"/>
  <c r="G47" i="25"/>
  <c r="F56" i="25"/>
  <c r="G56" i="25"/>
  <c r="I56" i="25" s="1"/>
  <c r="F86" i="25"/>
  <c r="G86" i="25"/>
  <c r="G110" i="25"/>
  <c r="BN110" i="25" s="1"/>
  <c r="BQ110" i="25" s="1"/>
  <c r="F305" i="25"/>
  <c r="G305" i="25"/>
  <c r="F124" i="25"/>
  <c r="G124" i="25"/>
  <c r="F121" i="25"/>
  <c r="G121" i="25"/>
  <c r="F136" i="25"/>
  <c r="G136" i="25"/>
  <c r="F161" i="25"/>
  <c r="G161" i="25"/>
  <c r="F292" i="25"/>
  <c r="G292" i="25"/>
  <c r="F243" i="25"/>
  <c r="G243" i="25"/>
  <c r="G216" i="25"/>
  <c r="BN216" i="25" s="1"/>
  <c r="BQ216" i="25" s="1"/>
  <c r="F298" i="25"/>
  <c r="G298" i="25"/>
  <c r="BN298" i="25" s="1"/>
  <c r="F113" i="25"/>
  <c r="G113" i="25"/>
  <c r="F148" i="25"/>
  <c r="G148" i="25"/>
  <c r="F233" i="25"/>
  <c r="G233" i="25"/>
  <c r="BN233" i="25" s="1"/>
  <c r="F291" i="25"/>
  <c r="G291" i="25"/>
  <c r="I291" i="25" s="1"/>
  <c r="F262" i="25"/>
  <c r="BM262" i="25" s="1"/>
  <c r="G262" i="25"/>
  <c r="F144" i="25"/>
  <c r="G144" i="25"/>
  <c r="F199" i="25"/>
  <c r="G199" i="25"/>
  <c r="I199" i="25" s="1"/>
  <c r="F146" i="25"/>
  <c r="G146" i="25"/>
  <c r="BN146" i="25" s="1"/>
  <c r="F220" i="25"/>
  <c r="G220" i="25"/>
  <c r="I220" i="25" s="1"/>
  <c r="F258" i="25"/>
  <c r="G258" i="25"/>
  <c r="BN258" i="25" s="1"/>
  <c r="F296" i="25"/>
  <c r="G296" i="25"/>
  <c r="I296" i="25" s="1"/>
  <c r="F248" i="25"/>
  <c r="G248" i="25"/>
  <c r="I248" i="25" s="1"/>
  <c r="F134" i="25"/>
  <c r="G134" i="25"/>
  <c r="I134" i="25" s="1"/>
  <c r="F128" i="25"/>
  <c r="G128" i="25"/>
  <c r="BN128" i="25" s="1"/>
  <c r="F302" i="25"/>
  <c r="G302" i="25"/>
  <c r="I302" i="25" s="1"/>
  <c r="F254" i="25"/>
  <c r="G254" i="25"/>
  <c r="I254" i="25" s="1"/>
  <c r="F112" i="25"/>
  <c r="G112" i="25"/>
  <c r="F103" i="25"/>
  <c r="G103" i="25"/>
  <c r="F88" i="25"/>
  <c r="G88" i="25"/>
  <c r="F147" i="25"/>
  <c r="G147" i="25"/>
  <c r="F138" i="25"/>
  <c r="G138" i="25"/>
  <c r="I138" i="25" s="1"/>
  <c r="F224" i="25"/>
  <c r="BM224" i="25" s="1"/>
  <c r="G224" i="25"/>
  <c r="BN224" i="25" s="1"/>
  <c r="F275" i="25"/>
  <c r="G275" i="25"/>
  <c r="I275" i="25" s="1"/>
  <c r="F223" i="25"/>
  <c r="G223" i="25"/>
  <c r="I223" i="25" s="1"/>
  <c r="F158" i="25"/>
  <c r="G158" i="25"/>
  <c r="F222" i="25"/>
  <c r="G222" i="25"/>
  <c r="I222" i="25" s="1"/>
  <c r="F102" i="25"/>
  <c r="G102" i="25"/>
  <c r="F10" i="25"/>
  <c r="BM10" i="25" s="1"/>
  <c r="G10" i="25"/>
  <c r="F244" i="25"/>
  <c r="G244" i="25"/>
  <c r="I244" i="25" s="1"/>
  <c r="F294" i="25"/>
  <c r="G294" i="25"/>
  <c r="I294" i="25" s="1"/>
  <c r="BQ218" i="25" l="1"/>
  <c r="BO105" i="24"/>
  <c r="BR105" i="24" s="1"/>
  <c r="BQ82" i="25"/>
  <c r="BQ69" i="25"/>
  <c r="BQ87" i="25"/>
  <c r="J29" i="25"/>
  <c r="BI29" i="25" s="1"/>
  <c r="J257" i="25"/>
  <c r="N257" i="25" s="1"/>
  <c r="T257" i="25" s="1"/>
  <c r="J179" i="25"/>
  <c r="BI179" i="25" s="1"/>
  <c r="J143" i="25"/>
  <c r="N143" i="25" s="1"/>
  <c r="P143" i="25" s="1"/>
  <c r="I69" i="25"/>
  <c r="J293" i="25"/>
  <c r="N293" i="25" s="1"/>
  <c r="T293" i="25" s="1"/>
  <c r="BQ30" i="25"/>
  <c r="I274" i="25"/>
  <c r="I43" i="25"/>
  <c r="J110" i="25"/>
  <c r="N110" i="25" s="1"/>
  <c r="O110" i="25" s="1"/>
  <c r="J265" i="25"/>
  <c r="BI265" i="25" s="1"/>
  <c r="BQ193" i="25"/>
  <c r="J11" i="25"/>
  <c r="L11" i="25" s="1"/>
  <c r="BN202" i="25"/>
  <c r="BQ202" i="25" s="1"/>
  <c r="BQ141" i="25"/>
  <c r="I253" i="25"/>
  <c r="BN186" i="25"/>
  <c r="BQ186" i="25" s="1"/>
  <c r="J129" i="25"/>
  <c r="N129" i="25" s="1"/>
  <c r="O129" i="25" s="1"/>
  <c r="I41" i="24"/>
  <c r="M41" i="24" s="1"/>
  <c r="BN81" i="25"/>
  <c r="BQ81" i="25" s="1"/>
  <c r="I40" i="25"/>
  <c r="I35" i="25"/>
  <c r="I230" i="25"/>
  <c r="I141" i="25"/>
  <c r="J77" i="25"/>
  <c r="BI77" i="25" s="1"/>
  <c r="BN52" i="25"/>
  <c r="I257" i="25"/>
  <c r="BQ224" i="25"/>
  <c r="J258" i="25"/>
  <c r="BI258" i="25" s="1"/>
  <c r="J131" i="25"/>
  <c r="N131" i="25" s="1"/>
  <c r="I290" i="25"/>
  <c r="BQ159" i="25"/>
  <c r="J237" i="25"/>
  <c r="L237" i="25" s="1"/>
  <c r="BO45" i="24"/>
  <c r="BR45" i="24" s="1"/>
  <c r="BN235" i="25"/>
  <c r="I119" i="25"/>
  <c r="BN156" i="25"/>
  <c r="I149" i="25"/>
  <c r="I280" i="25"/>
  <c r="I203" i="25"/>
  <c r="J189" i="25"/>
  <c r="BI189" i="25" s="1"/>
  <c r="BQ53" i="25"/>
  <c r="I164" i="25"/>
  <c r="I8" i="25"/>
  <c r="I241" i="25"/>
  <c r="I125" i="25"/>
  <c r="I87" i="25"/>
  <c r="I55" i="24"/>
  <c r="BK55" i="24" s="1"/>
  <c r="J28" i="25"/>
  <c r="BI28" i="25" s="1"/>
  <c r="I24" i="25"/>
  <c r="I193" i="25"/>
  <c r="J177" i="25"/>
  <c r="N177" i="25" s="1"/>
  <c r="T177" i="25" s="1"/>
  <c r="J280" i="25"/>
  <c r="L280" i="25" s="1"/>
  <c r="I72" i="25"/>
  <c r="I54" i="25"/>
  <c r="I207" i="25"/>
  <c r="BN239" i="25"/>
  <c r="BQ239" i="25" s="1"/>
  <c r="BN95" i="25"/>
  <c r="J104" i="25"/>
  <c r="L104" i="25" s="1"/>
  <c r="I206" i="25"/>
  <c r="I277" i="25"/>
  <c r="I83" i="25"/>
  <c r="J94" i="25"/>
  <c r="BI94" i="25" s="1"/>
  <c r="BO233" i="24"/>
  <c r="BR233" i="24" s="1"/>
  <c r="I160" i="24"/>
  <c r="S160" i="24" s="1"/>
  <c r="T160" i="24" s="1"/>
  <c r="I233" i="25"/>
  <c r="BN276" i="25"/>
  <c r="I171" i="25"/>
  <c r="I18" i="25"/>
  <c r="I79" i="25"/>
  <c r="I135" i="25"/>
  <c r="I153" i="25"/>
  <c r="I123" i="25"/>
  <c r="I57" i="25"/>
  <c r="I91" i="25"/>
  <c r="I48" i="25"/>
  <c r="I205" i="25"/>
  <c r="BN44" i="25"/>
  <c r="BQ44" i="25" s="1"/>
  <c r="I185" i="25"/>
  <c r="I218" i="25"/>
  <c r="BN77" i="25"/>
  <c r="BN13" i="25"/>
  <c r="I269" i="25"/>
  <c r="BM257" i="25"/>
  <c r="BQ257" i="25" s="1"/>
  <c r="I236" i="25"/>
  <c r="BM143" i="25"/>
  <c r="BQ143" i="25" s="1"/>
  <c r="BN131" i="25"/>
  <c r="BN133" i="25"/>
  <c r="BN256" i="25"/>
  <c r="BQ256" i="25" s="1"/>
  <c r="I231" i="25"/>
  <c r="BN287" i="25"/>
  <c r="I130" i="25"/>
  <c r="I197" i="25"/>
  <c r="BN198" i="25"/>
  <c r="BN104" i="25"/>
  <c r="I160" i="25"/>
  <c r="I26" i="25"/>
  <c r="BN245" i="25"/>
  <c r="BN38" i="25"/>
  <c r="BQ38" i="25" s="1"/>
  <c r="BN220" i="25"/>
  <c r="I146" i="25"/>
  <c r="I41" i="25"/>
  <c r="BN36" i="25"/>
  <c r="BN76" i="25"/>
  <c r="BN311" i="25"/>
  <c r="BQ48" i="25"/>
  <c r="I200" i="25"/>
  <c r="I179" i="25"/>
  <c r="I143" i="25"/>
  <c r="I151" i="25"/>
  <c r="BN177" i="25"/>
  <c r="BN270" i="25"/>
  <c r="I23" i="25"/>
  <c r="BN294" i="25"/>
  <c r="I128" i="25"/>
  <c r="I84" i="25"/>
  <c r="BN100" i="25"/>
  <c r="BN259" i="25"/>
  <c r="BQ259" i="25" s="1"/>
  <c r="BN227" i="25"/>
  <c r="I139" i="25"/>
  <c r="I115" i="25"/>
  <c r="I159" i="25"/>
  <c r="BN271" i="25"/>
  <c r="I300" i="25"/>
  <c r="I58" i="25"/>
  <c r="BN302" i="25"/>
  <c r="I67" i="25"/>
  <c r="I51" i="25"/>
  <c r="I68" i="25"/>
  <c r="I46" i="25"/>
  <c r="I196" i="25"/>
  <c r="I127" i="25"/>
  <c r="I140" i="25"/>
  <c r="I22" i="25"/>
  <c r="I98" i="25"/>
  <c r="I20" i="25"/>
  <c r="I85" i="25"/>
  <c r="I312" i="25"/>
  <c r="I315" i="25"/>
  <c r="I70" i="25"/>
  <c r="BN189" i="25"/>
  <c r="BN255" i="25"/>
  <c r="J190" i="25"/>
  <c r="L190" i="25" s="1"/>
  <c r="BN94" i="25"/>
  <c r="BQ277" i="25"/>
  <c r="I183" i="25"/>
  <c r="I273" i="25"/>
  <c r="BM29" i="25"/>
  <c r="BQ29" i="25" s="1"/>
  <c r="BN310" i="25"/>
  <c r="BQ310" i="25" s="1"/>
  <c r="BQ58" i="25"/>
  <c r="I237" i="25"/>
  <c r="BN134" i="25"/>
  <c r="BN283" i="25"/>
  <c r="I116" i="25"/>
  <c r="I118" i="25"/>
  <c r="I21" i="25"/>
  <c r="BQ315" i="25"/>
  <c r="I30" i="25"/>
  <c r="I82" i="25"/>
  <c r="I258" i="25"/>
  <c r="BN248" i="25"/>
  <c r="I282" i="25"/>
  <c r="BN75" i="25"/>
  <c r="BN307" i="25"/>
  <c r="I114" i="25"/>
  <c r="BN265" i="25"/>
  <c r="I266" i="25"/>
  <c r="BK264" i="24"/>
  <c r="S264" i="24"/>
  <c r="T264" i="24" s="1"/>
  <c r="BK294" i="24"/>
  <c r="S294" i="24"/>
  <c r="T294" i="24" s="1"/>
  <c r="P257" i="24"/>
  <c r="Q257" i="24"/>
  <c r="BK44" i="24"/>
  <c r="S44" i="24"/>
  <c r="T44" i="24" s="1"/>
  <c r="BK236" i="24"/>
  <c r="S236" i="24"/>
  <c r="T236" i="24" s="1"/>
  <c r="M236" i="24"/>
  <c r="N236" i="24" s="1"/>
  <c r="AL291" i="25"/>
  <c r="CC291" i="25"/>
  <c r="H291" i="25"/>
  <c r="J291" i="25"/>
  <c r="L291" i="25" s="1"/>
  <c r="BM291" i="25"/>
  <c r="BN305" i="25"/>
  <c r="I305" i="25"/>
  <c r="BN275" i="25"/>
  <c r="BN161" i="25"/>
  <c r="K72" i="24"/>
  <c r="AM72" i="24"/>
  <c r="H72" i="24"/>
  <c r="CE72" i="24"/>
  <c r="CF72" i="24"/>
  <c r="I72" i="24"/>
  <c r="M72" i="24" s="1"/>
  <c r="N72" i="24" s="1"/>
  <c r="BO72" i="24"/>
  <c r="BR72" i="24" s="1"/>
  <c r="K30" i="24"/>
  <c r="AM30" i="24"/>
  <c r="H30" i="24"/>
  <c r="CF30" i="24"/>
  <c r="CE30" i="24"/>
  <c r="I30" i="24"/>
  <c r="M30" i="24" s="1"/>
  <c r="N30" i="24" s="1"/>
  <c r="BO30" i="24"/>
  <c r="BR30" i="24" s="1"/>
  <c r="CE289" i="24"/>
  <c r="CF289" i="24"/>
  <c r="H289" i="24"/>
  <c r="AM289" i="24"/>
  <c r="I289" i="24"/>
  <c r="K289" i="24" s="1"/>
  <c r="BO289" i="24"/>
  <c r="BR289" i="24" s="1"/>
  <c r="I28" i="25"/>
  <c r="BN28" i="25"/>
  <c r="CC154" i="25"/>
  <c r="AL154" i="25"/>
  <c r="H154" i="25"/>
  <c r="J154" i="25"/>
  <c r="L154" i="25" s="1"/>
  <c r="BM154" i="25"/>
  <c r="I267" i="25"/>
  <c r="BN267" i="25"/>
  <c r="AM219" i="24"/>
  <c r="H219" i="24"/>
  <c r="CE219" i="24"/>
  <c r="CF219" i="24"/>
  <c r="I219" i="24"/>
  <c r="M219" i="24" s="1"/>
  <c r="N219" i="24" s="1"/>
  <c r="BO219" i="24"/>
  <c r="BR219" i="24" s="1"/>
  <c r="CF121" i="24"/>
  <c r="AM121" i="24"/>
  <c r="H121" i="24"/>
  <c r="CE121" i="24"/>
  <c r="I121" i="24"/>
  <c r="M121" i="24" s="1"/>
  <c r="N121" i="24" s="1"/>
  <c r="BO121" i="24"/>
  <c r="BR121" i="24" s="1"/>
  <c r="CF9" i="24"/>
  <c r="CE9" i="24"/>
  <c r="AM9" i="24"/>
  <c r="K9" i="24"/>
  <c r="H9" i="24"/>
  <c r="I9" i="24"/>
  <c r="I187" i="25"/>
  <c r="BN187" i="25"/>
  <c r="AL222" i="25"/>
  <c r="H222" i="25"/>
  <c r="CC222" i="25"/>
  <c r="BM222" i="25"/>
  <c r="J222" i="25"/>
  <c r="CE103" i="25"/>
  <c r="H103" i="25"/>
  <c r="CF103" i="25"/>
  <c r="AL103" i="25"/>
  <c r="CC103" i="25"/>
  <c r="J103" i="25"/>
  <c r="CC128" i="25"/>
  <c r="H128" i="25"/>
  <c r="AL128" i="25"/>
  <c r="J128" i="25"/>
  <c r="I148" i="25"/>
  <c r="BN199" i="25"/>
  <c r="CC136" i="25"/>
  <c r="AL136" i="25"/>
  <c r="H136" i="25"/>
  <c r="J136" i="25"/>
  <c r="BM136" i="25"/>
  <c r="H56" i="25"/>
  <c r="AL56" i="25"/>
  <c r="CC56" i="25"/>
  <c r="BM56" i="25"/>
  <c r="J56" i="25"/>
  <c r="L56" i="25" s="1"/>
  <c r="BN293" i="25"/>
  <c r="I293" i="25"/>
  <c r="H252" i="25"/>
  <c r="AL252" i="25"/>
  <c r="CC252" i="25"/>
  <c r="BM252" i="25"/>
  <c r="J252" i="25"/>
  <c r="L252" i="25" s="1"/>
  <c r="I61" i="25"/>
  <c r="H250" i="25"/>
  <c r="CC250" i="25"/>
  <c r="AL250" i="25"/>
  <c r="BM250" i="25"/>
  <c r="J250" i="25"/>
  <c r="L250" i="25" s="1"/>
  <c r="H91" i="24"/>
  <c r="CF91" i="24"/>
  <c r="AM91" i="24"/>
  <c r="CE91" i="24"/>
  <c r="K91" i="24"/>
  <c r="I91" i="24"/>
  <c r="AM207" i="24"/>
  <c r="CF207" i="24"/>
  <c r="CE207" i="24"/>
  <c r="H207" i="24"/>
  <c r="I207" i="24"/>
  <c r="K207" i="24" s="1"/>
  <c r="BO207" i="24"/>
  <c r="BR207" i="24" s="1"/>
  <c r="AM209" i="24"/>
  <c r="H209" i="24"/>
  <c r="I209" i="24"/>
  <c r="K209" i="24" s="1"/>
  <c r="BO209" i="24"/>
  <c r="BR209" i="24" s="1"/>
  <c r="H229" i="24"/>
  <c r="CF229" i="24"/>
  <c r="AM229" i="24"/>
  <c r="CE229" i="24"/>
  <c r="I229" i="24"/>
  <c r="K229" i="24" s="1"/>
  <c r="BO229" i="24"/>
  <c r="BR229" i="24" s="1"/>
  <c r="CE17" i="25"/>
  <c r="CF17" i="25"/>
  <c r="CC17" i="25"/>
  <c r="AL17" i="25"/>
  <c r="H17" i="25"/>
  <c r="J17" i="25"/>
  <c r="H303" i="25"/>
  <c r="AL303" i="25"/>
  <c r="CC303" i="25"/>
  <c r="J303" i="25"/>
  <c r="L303" i="25" s="1"/>
  <c r="I7" i="25"/>
  <c r="H191" i="25"/>
  <c r="AL191" i="25"/>
  <c r="CC191" i="25"/>
  <c r="BM191" i="25"/>
  <c r="I299" i="25"/>
  <c r="BN299" i="25"/>
  <c r="BQ299" i="25" s="1"/>
  <c r="AL217" i="25"/>
  <c r="CC217" i="25"/>
  <c r="H217" i="25"/>
  <c r="J217" i="25"/>
  <c r="L217" i="25" s="1"/>
  <c r="BM217" i="25"/>
  <c r="BQ217" i="25" s="1"/>
  <c r="I27" i="25"/>
  <c r="BN27" i="25"/>
  <c r="H284" i="25"/>
  <c r="AL284" i="25"/>
  <c r="CC284" i="25"/>
  <c r="J284" i="25"/>
  <c r="BM284" i="25"/>
  <c r="CF140" i="24"/>
  <c r="CE140" i="24"/>
  <c r="AM140" i="24"/>
  <c r="H140" i="24"/>
  <c r="I140" i="24"/>
  <c r="K140" i="24" s="1"/>
  <c r="BO140" i="24"/>
  <c r="BR140" i="24" s="1"/>
  <c r="AM316" i="24"/>
  <c r="H316" i="24"/>
  <c r="CE316" i="24"/>
  <c r="I316" i="24"/>
  <c r="K316" i="24" s="1"/>
  <c r="AM189" i="24"/>
  <c r="H189" i="24"/>
  <c r="I189" i="24"/>
  <c r="BO189" i="24"/>
  <c r="BR189" i="24" s="1"/>
  <c r="H66" i="24"/>
  <c r="AM66" i="24"/>
  <c r="CE66" i="24"/>
  <c r="CF66" i="24"/>
  <c r="K66" i="24"/>
  <c r="I66" i="24"/>
  <c r="BO66" i="24"/>
  <c r="BR66" i="24" s="1"/>
  <c r="CE124" i="24"/>
  <c r="H124" i="24"/>
  <c r="CF124" i="24"/>
  <c r="AM124" i="24"/>
  <c r="BO124" i="24"/>
  <c r="BR124" i="24" s="1"/>
  <c r="I124" i="24"/>
  <c r="K124" i="24" s="1"/>
  <c r="CC310" i="25"/>
  <c r="H310" i="25"/>
  <c r="AL310" i="25"/>
  <c r="J310" i="25"/>
  <c r="L310" i="25" s="1"/>
  <c r="H29" i="24"/>
  <c r="CF29" i="24"/>
  <c r="CE29" i="24"/>
  <c r="AM29" i="24"/>
  <c r="K29" i="24"/>
  <c r="I29" i="24"/>
  <c r="BO79" i="24"/>
  <c r="BR79" i="24" s="1"/>
  <c r="AM105" i="24"/>
  <c r="K105" i="24"/>
  <c r="H105" i="24"/>
  <c r="I105" i="24"/>
  <c r="H60" i="25"/>
  <c r="CF60" i="25"/>
  <c r="CE60" i="25"/>
  <c r="CC60" i="25"/>
  <c r="AL60" i="25"/>
  <c r="J60" i="25"/>
  <c r="L60" i="25" s="1"/>
  <c r="BM60" i="25"/>
  <c r="BN238" i="25"/>
  <c r="I209" i="25"/>
  <c r="BN209" i="25"/>
  <c r="BN50" i="25"/>
  <c r="BQ50" i="25" s="1"/>
  <c r="AL19" i="25"/>
  <c r="CC19" i="25"/>
  <c r="CE19" i="25"/>
  <c r="CF19" i="25"/>
  <c r="H19" i="25"/>
  <c r="J19" i="25"/>
  <c r="L19" i="25" s="1"/>
  <c r="BM19" i="25"/>
  <c r="CC231" i="25"/>
  <c r="H231" i="25"/>
  <c r="AL231" i="25"/>
  <c r="BM231" i="25"/>
  <c r="BQ231" i="25" s="1"/>
  <c r="J231" i="25"/>
  <c r="H64" i="25"/>
  <c r="AL64" i="25"/>
  <c r="CC64" i="25"/>
  <c r="J64" i="25"/>
  <c r="BM64" i="25"/>
  <c r="AL84" i="25"/>
  <c r="CC84" i="25"/>
  <c r="CF84" i="25"/>
  <c r="CE84" i="25"/>
  <c r="H84" i="25"/>
  <c r="BM84" i="25"/>
  <c r="BQ84" i="25" s="1"/>
  <c r="J84" i="25"/>
  <c r="CC76" i="25"/>
  <c r="H76" i="25"/>
  <c r="AL76" i="25"/>
  <c r="CF76" i="25"/>
  <c r="CE76" i="25"/>
  <c r="BM76" i="25"/>
  <c r="J76" i="25"/>
  <c r="L76" i="25" s="1"/>
  <c r="H100" i="25"/>
  <c r="CF100" i="25"/>
  <c r="CE100" i="25"/>
  <c r="AL100" i="25"/>
  <c r="CC100" i="25"/>
  <c r="BM100" i="25"/>
  <c r="J100" i="25"/>
  <c r="L100" i="25" s="1"/>
  <c r="CC253" i="25"/>
  <c r="H253" i="25"/>
  <c r="AL253" i="25"/>
  <c r="BM253" i="25"/>
  <c r="BQ253" i="25" s="1"/>
  <c r="J253" i="25"/>
  <c r="L253" i="25" s="1"/>
  <c r="I268" i="25"/>
  <c r="BN268" i="25"/>
  <c r="AL301" i="25"/>
  <c r="H301" i="25"/>
  <c r="CC301" i="25"/>
  <c r="BM301" i="25"/>
  <c r="J301" i="25"/>
  <c r="L301" i="25" s="1"/>
  <c r="I308" i="25"/>
  <c r="BN308" i="25"/>
  <c r="H288" i="25"/>
  <c r="AL288" i="25"/>
  <c r="CC288" i="25"/>
  <c r="J288" i="25"/>
  <c r="L288" i="25" s="1"/>
  <c r="I286" i="25"/>
  <c r="BN286" i="25"/>
  <c r="H113" i="24"/>
  <c r="CF113" i="24"/>
  <c r="CE113" i="24"/>
  <c r="AM113" i="24"/>
  <c r="I113" i="24"/>
  <c r="K113" i="24" s="1"/>
  <c r="BO113" i="24"/>
  <c r="BR113" i="24" s="1"/>
  <c r="CF155" i="24"/>
  <c r="CE155" i="24"/>
  <c r="AM155" i="24"/>
  <c r="H155" i="24"/>
  <c r="I155" i="24"/>
  <c r="K155" i="24" s="1"/>
  <c r="BO155" i="24"/>
  <c r="BR155" i="24" s="1"/>
  <c r="CE260" i="24"/>
  <c r="H260" i="24"/>
  <c r="CF260" i="24"/>
  <c r="AM260" i="24"/>
  <c r="I260" i="24"/>
  <c r="K260" i="24" s="1"/>
  <c r="BO260" i="24"/>
  <c r="BR260" i="24" s="1"/>
  <c r="AM166" i="24"/>
  <c r="H166" i="24"/>
  <c r="I166" i="24"/>
  <c r="K166" i="24" s="1"/>
  <c r="AM60" i="24"/>
  <c r="H60" i="24"/>
  <c r="CE60" i="24"/>
  <c r="K60" i="24"/>
  <c r="CF60" i="24"/>
  <c r="I60" i="24"/>
  <c r="H148" i="24"/>
  <c r="CF148" i="24"/>
  <c r="AM148" i="24"/>
  <c r="CE148" i="24"/>
  <c r="I148" i="24"/>
  <c r="K148" i="24" s="1"/>
  <c r="H171" i="25"/>
  <c r="AL171" i="25"/>
  <c r="CC171" i="25"/>
  <c r="BM171" i="25"/>
  <c r="BQ171" i="25" s="1"/>
  <c r="AL67" i="25"/>
  <c r="H67" i="25"/>
  <c r="CC67" i="25"/>
  <c r="CE67" i="25"/>
  <c r="CF67" i="25"/>
  <c r="J67" i="25"/>
  <c r="L67" i="25" s="1"/>
  <c r="BM67" i="25"/>
  <c r="BQ67" i="25" s="1"/>
  <c r="H72" i="25"/>
  <c r="CC72" i="25"/>
  <c r="AL72" i="25"/>
  <c r="BM72" i="25"/>
  <c r="BQ72" i="25" s="1"/>
  <c r="J72" i="25"/>
  <c r="L72" i="25" s="1"/>
  <c r="CC51" i="25"/>
  <c r="CF51" i="25"/>
  <c r="CE51" i="25"/>
  <c r="AL51" i="25"/>
  <c r="H51" i="25"/>
  <c r="J51" i="25"/>
  <c r="BM51" i="25"/>
  <c r="BQ51" i="25" s="1"/>
  <c r="H18" i="25"/>
  <c r="AL18" i="25"/>
  <c r="CC18" i="25"/>
  <c r="CE18" i="25"/>
  <c r="CF18" i="25"/>
  <c r="J18" i="25"/>
  <c r="BM18" i="25"/>
  <c r="BQ18" i="25" s="1"/>
  <c r="CC68" i="25"/>
  <c r="CE68" i="25"/>
  <c r="CF68" i="25"/>
  <c r="AL68" i="25"/>
  <c r="H68" i="25"/>
  <c r="BM68" i="25"/>
  <c r="BQ68" i="25" s="1"/>
  <c r="J68" i="25"/>
  <c r="L68" i="25" s="1"/>
  <c r="CC79" i="25"/>
  <c r="AL79" i="25"/>
  <c r="H79" i="25"/>
  <c r="J79" i="25"/>
  <c r="BM79" i="25"/>
  <c r="BQ79" i="25" s="1"/>
  <c r="H46" i="25"/>
  <c r="AL46" i="25"/>
  <c r="CC46" i="25"/>
  <c r="CF46" i="25"/>
  <c r="CE46" i="25"/>
  <c r="J46" i="25"/>
  <c r="L46" i="25" s="1"/>
  <c r="BM46" i="25"/>
  <c r="BQ46" i="25" s="1"/>
  <c r="H156" i="25"/>
  <c r="CC156" i="25"/>
  <c r="AL156" i="25"/>
  <c r="BM156" i="25"/>
  <c r="J156" i="25"/>
  <c r="L156" i="25" s="1"/>
  <c r="AL139" i="25"/>
  <c r="CC139" i="25"/>
  <c r="H139" i="25"/>
  <c r="J139" i="25"/>
  <c r="BM139" i="25"/>
  <c r="BQ139" i="25" s="1"/>
  <c r="CF54" i="25"/>
  <c r="AL54" i="25"/>
  <c r="CC54" i="25"/>
  <c r="CE54" i="25"/>
  <c r="H54" i="25"/>
  <c r="BM54" i="25"/>
  <c r="BQ54" i="25" s="1"/>
  <c r="H40" i="25"/>
  <c r="AL40" i="25"/>
  <c r="CC40" i="25"/>
  <c r="CE40" i="25"/>
  <c r="CF40" i="25"/>
  <c r="J40" i="25"/>
  <c r="L40" i="25" s="1"/>
  <c r="BM40" i="25"/>
  <c r="BQ40" i="25" s="1"/>
  <c r="CE43" i="25"/>
  <c r="AL43" i="25"/>
  <c r="CC43" i="25"/>
  <c r="CF43" i="25"/>
  <c r="H43" i="25"/>
  <c r="BM43" i="25"/>
  <c r="BQ43" i="25" s="1"/>
  <c r="AL312" i="25"/>
  <c r="CC312" i="25"/>
  <c r="H312" i="25"/>
  <c r="BM312" i="25"/>
  <c r="BQ312" i="25" s="1"/>
  <c r="J312" i="25"/>
  <c r="BN297" i="25"/>
  <c r="BN117" i="25"/>
  <c r="CF174" i="24"/>
  <c r="H174" i="24"/>
  <c r="CE174" i="24"/>
  <c r="AM174" i="24"/>
  <c r="I174" i="24"/>
  <c r="K174" i="24" s="1"/>
  <c r="BO174" i="24"/>
  <c r="BR174" i="24" s="1"/>
  <c r="AM151" i="24"/>
  <c r="H151" i="24"/>
  <c r="BO151" i="24"/>
  <c r="BR151" i="24" s="1"/>
  <c r="CE239" i="24"/>
  <c r="CF239" i="24"/>
  <c r="AM239" i="24"/>
  <c r="H239" i="24"/>
  <c r="I239" i="24"/>
  <c r="K239" i="24" s="1"/>
  <c r="BO239" i="24"/>
  <c r="BR239" i="24" s="1"/>
  <c r="BO49" i="24"/>
  <c r="BR49" i="24" s="1"/>
  <c r="CC205" i="25"/>
  <c r="AL205" i="25"/>
  <c r="H205" i="25"/>
  <c r="J205" i="25"/>
  <c r="L205" i="25" s="1"/>
  <c r="BM205" i="25"/>
  <c r="BQ205" i="25" s="1"/>
  <c r="BN96" i="25"/>
  <c r="I96" i="25"/>
  <c r="BN219" i="25"/>
  <c r="H273" i="25"/>
  <c r="AL273" i="25"/>
  <c r="CC273" i="25"/>
  <c r="J273" i="25"/>
  <c r="N273" i="25" s="1"/>
  <c r="BM273" i="25"/>
  <c r="BQ273" i="25" s="1"/>
  <c r="I168" i="25"/>
  <c r="BQ151" i="25"/>
  <c r="BN15" i="25"/>
  <c r="BQ15" i="25" s="1"/>
  <c r="AM52" i="24"/>
  <c r="H52" i="24"/>
  <c r="K52" i="24"/>
  <c r="CE52" i="24"/>
  <c r="CF52" i="24"/>
  <c r="I52" i="24"/>
  <c r="M52" i="24" s="1"/>
  <c r="N52" i="24" s="1"/>
  <c r="BK45" i="24"/>
  <c r="S45" i="24"/>
  <c r="T45" i="24" s="1"/>
  <c r="M45" i="24"/>
  <c r="N45" i="24" s="1"/>
  <c r="K88" i="24"/>
  <c r="AM88" i="24"/>
  <c r="H88" i="24"/>
  <c r="I88" i="24"/>
  <c r="M88" i="24" s="1"/>
  <c r="N88" i="24" s="1"/>
  <c r="BO88" i="24"/>
  <c r="BR88" i="24" s="1"/>
  <c r="BM288" i="25"/>
  <c r="BQ288" i="25" s="1"/>
  <c r="I42" i="25"/>
  <c r="BN42" i="25"/>
  <c r="CE169" i="24"/>
  <c r="AM169" i="24"/>
  <c r="CF169" i="24"/>
  <c r="H169" i="24"/>
  <c r="I169" i="24"/>
  <c r="K169" i="24" s="1"/>
  <c r="BO169" i="24"/>
  <c r="BR169" i="24" s="1"/>
  <c r="I161" i="25"/>
  <c r="BN242" i="25"/>
  <c r="BO180" i="24"/>
  <c r="BR180" i="24" s="1"/>
  <c r="J169" i="25"/>
  <c r="L169" i="25" s="1"/>
  <c r="J54" i="25"/>
  <c r="BM45" i="25"/>
  <c r="J191" i="25"/>
  <c r="I85" i="24"/>
  <c r="H296" i="25"/>
  <c r="AL296" i="25"/>
  <c r="CC296" i="25"/>
  <c r="J296" i="25"/>
  <c r="N296" i="25" s="1"/>
  <c r="BM296" i="25"/>
  <c r="BN225" i="25"/>
  <c r="I225" i="25"/>
  <c r="AL170" i="25"/>
  <c r="CC170" i="25"/>
  <c r="H170" i="25"/>
  <c r="BM170" i="25"/>
  <c r="J170" i="25"/>
  <c r="N170" i="25" s="1"/>
  <c r="I178" i="25"/>
  <c r="BN178" i="25"/>
  <c r="AL155" i="25"/>
  <c r="CC155" i="25"/>
  <c r="H155" i="25"/>
  <c r="J155" i="25"/>
  <c r="L155" i="25" s="1"/>
  <c r="BM155" i="25"/>
  <c r="CC244" i="25"/>
  <c r="H244" i="25"/>
  <c r="AL244" i="25"/>
  <c r="J244" i="25"/>
  <c r="BM244" i="25"/>
  <c r="BN158" i="25"/>
  <c r="AL138" i="25"/>
  <c r="CC138" i="25"/>
  <c r="H138" i="25"/>
  <c r="BM138" i="25"/>
  <c r="J138" i="25"/>
  <c r="L138" i="25" s="1"/>
  <c r="I112" i="25"/>
  <c r="BN112" i="25"/>
  <c r="AL199" i="25"/>
  <c r="CC199" i="25"/>
  <c r="H199" i="25"/>
  <c r="J199" i="25"/>
  <c r="N199" i="25" s="1"/>
  <c r="BM199" i="25"/>
  <c r="H233" i="25"/>
  <c r="AL233" i="25"/>
  <c r="CC233" i="25"/>
  <c r="J233" i="25"/>
  <c r="BM233" i="25"/>
  <c r="BQ233" i="25" s="1"/>
  <c r="H298" i="25"/>
  <c r="AL298" i="25"/>
  <c r="CC298" i="25"/>
  <c r="J298" i="25"/>
  <c r="J216" i="25"/>
  <c r="BN148" i="25"/>
  <c r="BN138" i="25"/>
  <c r="AL243" i="25"/>
  <c r="CC243" i="25"/>
  <c r="H243" i="25"/>
  <c r="BM243" i="25"/>
  <c r="J243" i="25"/>
  <c r="N243" i="25" s="1"/>
  <c r="I121" i="25"/>
  <c r="BN47" i="25"/>
  <c r="I47" i="25"/>
  <c r="H316" i="25"/>
  <c r="AL316" i="25"/>
  <c r="CC316" i="25"/>
  <c r="T322" i="25"/>
  <c r="J316" i="25"/>
  <c r="BM316" i="25"/>
  <c r="H39" i="25"/>
  <c r="CC39" i="25"/>
  <c r="AL39" i="25"/>
  <c r="CE39" i="25"/>
  <c r="CF39" i="25"/>
  <c r="J39" i="25"/>
  <c r="L39" i="25" s="1"/>
  <c r="BM39" i="25"/>
  <c r="AM242" i="24"/>
  <c r="H242" i="24"/>
  <c r="CE242" i="24"/>
  <c r="CF242" i="24"/>
  <c r="BO242" i="24"/>
  <c r="BR242" i="24" s="1"/>
  <c r="I242" i="24"/>
  <c r="H173" i="24"/>
  <c r="AM173" i="24"/>
  <c r="BO173" i="24"/>
  <c r="BR173" i="24" s="1"/>
  <c r="I173" i="24"/>
  <c r="K173" i="24" s="1"/>
  <c r="AM135" i="24"/>
  <c r="H135" i="24"/>
  <c r="I135" i="24"/>
  <c r="CF196" i="24"/>
  <c r="CE196" i="24"/>
  <c r="AM196" i="24"/>
  <c r="H196" i="24"/>
  <c r="I196" i="24"/>
  <c r="K196" i="24" s="1"/>
  <c r="BO196" i="24"/>
  <c r="BR196" i="24" s="1"/>
  <c r="H15" i="25"/>
  <c r="CF15" i="25"/>
  <c r="CE15" i="25"/>
  <c r="AL15" i="25"/>
  <c r="CC15" i="25"/>
  <c r="H309" i="25"/>
  <c r="AL309" i="25"/>
  <c r="CC309" i="25"/>
  <c r="J309" i="25"/>
  <c r="BM309" i="25"/>
  <c r="BN181" i="25"/>
  <c r="H228" i="25"/>
  <c r="AL228" i="25"/>
  <c r="CC228" i="25"/>
  <c r="BM228" i="25"/>
  <c r="J228" i="25"/>
  <c r="I249" i="25"/>
  <c r="BN249" i="25"/>
  <c r="CC33" i="25"/>
  <c r="AL33" i="25"/>
  <c r="CF33" i="25"/>
  <c r="CE33" i="25"/>
  <c r="H33" i="25"/>
  <c r="BM33" i="25"/>
  <c r="J33" i="25"/>
  <c r="AM32" i="24"/>
  <c r="CE32" i="24"/>
  <c r="CF32" i="24"/>
  <c r="K32" i="24"/>
  <c r="H32" i="24"/>
  <c r="I32" i="24"/>
  <c r="M32" i="24" s="1"/>
  <c r="BO32" i="24"/>
  <c r="BR32" i="24" s="1"/>
  <c r="CF184" i="24"/>
  <c r="H184" i="24"/>
  <c r="AM184" i="24"/>
  <c r="CE184" i="24"/>
  <c r="I184" i="24"/>
  <c r="K184" i="24" s="1"/>
  <c r="BO184" i="24"/>
  <c r="BR184" i="24" s="1"/>
  <c r="K80" i="24"/>
  <c r="H80" i="24"/>
  <c r="AM80" i="24"/>
  <c r="BO80" i="24"/>
  <c r="BR80" i="24" s="1"/>
  <c r="I80" i="24"/>
  <c r="M264" i="24"/>
  <c r="N264" i="24" s="1"/>
  <c r="AM210" i="24"/>
  <c r="H210" i="24"/>
  <c r="I210" i="24"/>
  <c r="K210" i="24" s="1"/>
  <c r="BO210" i="24"/>
  <c r="BR210" i="24" s="1"/>
  <c r="AM25" i="24"/>
  <c r="CE25" i="24"/>
  <c r="K25" i="24"/>
  <c r="CF25" i="24"/>
  <c r="H25" i="24"/>
  <c r="BO25" i="24"/>
  <c r="BR25" i="24" s="1"/>
  <c r="H111" i="25"/>
  <c r="AL111" i="25"/>
  <c r="CC111" i="25"/>
  <c r="J111" i="25"/>
  <c r="BM251" i="25"/>
  <c r="CC63" i="25"/>
  <c r="AL63" i="25"/>
  <c r="H63" i="25"/>
  <c r="CF63" i="25"/>
  <c r="CE63" i="25"/>
  <c r="J63" i="25"/>
  <c r="CC95" i="25"/>
  <c r="AL95" i="25"/>
  <c r="H95" i="25"/>
  <c r="CF95" i="25"/>
  <c r="CE95" i="25"/>
  <c r="BM95" i="25"/>
  <c r="J95" i="25"/>
  <c r="N95" i="25" s="1"/>
  <c r="AL75" i="25"/>
  <c r="CF75" i="25"/>
  <c r="CE75" i="25"/>
  <c r="CC75" i="25"/>
  <c r="H75" i="25"/>
  <c r="BM75" i="25"/>
  <c r="J75" i="25"/>
  <c r="L75" i="25" s="1"/>
  <c r="I304" i="25"/>
  <c r="BN304" i="25"/>
  <c r="AL234" i="25"/>
  <c r="H234" i="25"/>
  <c r="CC234" i="25"/>
  <c r="BM234" i="25"/>
  <c r="J234" i="25"/>
  <c r="CC184" i="25"/>
  <c r="AL184" i="25"/>
  <c r="H184" i="25"/>
  <c r="J184" i="25"/>
  <c r="BM184" i="25"/>
  <c r="BN101" i="25"/>
  <c r="I101" i="25"/>
  <c r="I45" i="25"/>
  <c r="BN45" i="25"/>
  <c r="H312" i="24"/>
  <c r="CE312" i="24"/>
  <c r="CF312" i="24"/>
  <c r="AM312" i="24"/>
  <c r="I312" i="24"/>
  <c r="M312" i="24" s="1"/>
  <c r="N312" i="24" s="1"/>
  <c r="BO312" i="24"/>
  <c r="BR312" i="24" s="1"/>
  <c r="CF275" i="24"/>
  <c r="AM275" i="24"/>
  <c r="H275" i="24"/>
  <c r="I275" i="24"/>
  <c r="H270" i="24"/>
  <c r="CE270" i="24"/>
  <c r="CF270" i="24"/>
  <c r="AM270" i="24"/>
  <c r="I270" i="24"/>
  <c r="M270" i="24" s="1"/>
  <c r="N270" i="24" s="1"/>
  <c r="BO270" i="24"/>
  <c r="BR270" i="24" s="1"/>
  <c r="CF240" i="24"/>
  <c r="H240" i="24"/>
  <c r="AM240" i="24"/>
  <c r="CE240" i="24"/>
  <c r="I240" i="24"/>
  <c r="K240" i="24" s="1"/>
  <c r="BO240" i="24"/>
  <c r="BR240" i="24" s="1"/>
  <c r="BO245" i="24"/>
  <c r="BR245" i="24" s="1"/>
  <c r="H295" i="25"/>
  <c r="AL295" i="25"/>
  <c r="CC295" i="25"/>
  <c r="J295" i="25"/>
  <c r="BM295" i="25"/>
  <c r="BQ295" i="25" s="1"/>
  <c r="AL260" i="25"/>
  <c r="CC260" i="25"/>
  <c r="H260" i="25"/>
  <c r="J260" i="25"/>
  <c r="L260" i="25" s="1"/>
  <c r="BM260" i="25"/>
  <c r="CC278" i="25"/>
  <c r="H278" i="25"/>
  <c r="AL278" i="25"/>
  <c r="BM278" i="25"/>
  <c r="J278" i="25"/>
  <c r="AL221" i="25"/>
  <c r="CC221" i="25"/>
  <c r="H221" i="25"/>
  <c r="BM221" i="25"/>
  <c r="J221" i="25"/>
  <c r="AM299" i="24"/>
  <c r="H299" i="24"/>
  <c r="I299" i="24"/>
  <c r="BO299" i="24"/>
  <c r="BR299" i="24" s="1"/>
  <c r="H120" i="24"/>
  <c r="CF120" i="24"/>
  <c r="CE120" i="24"/>
  <c r="AM120" i="24"/>
  <c r="I120" i="24"/>
  <c r="M120" i="24" s="1"/>
  <c r="BO120" i="24"/>
  <c r="BR120" i="24" s="1"/>
  <c r="AM290" i="24"/>
  <c r="CF290" i="24"/>
  <c r="H290" i="24"/>
  <c r="I290" i="24"/>
  <c r="M290" i="24" s="1"/>
  <c r="N290" i="24" s="1"/>
  <c r="BO290" i="24"/>
  <c r="BR290" i="24" s="1"/>
  <c r="BO58" i="24"/>
  <c r="BR58" i="24" s="1"/>
  <c r="BN244" i="25"/>
  <c r="H114" i="25"/>
  <c r="AL114" i="25"/>
  <c r="CC114" i="25"/>
  <c r="J114" i="25"/>
  <c r="N114" i="25" s="1"/>
  <c r="BM114" i="25"/>
  <c r="BQ114" i="25" s="1"/>
  <c r="I169" i="25"/>
  <c r="H204" i="25"/>
  <c r="CC204" i="25"/>
  <c r="AL204" i="25"/>
  <c r="BM204" i="25"/>
  <c r="J204" i="25"/>
  <c r="N204" i="25" s="1"/>
  <c r="BQ203" i="25"/>
  <c r="AM171" i="24"/>
  <c r="H171" i="24"/>
  <c r="CE171" i="24"/>
  <c r="CF171" i="24"/>
  <c r="I171" i="24"/>
  <c r="BO171" i="24"/>
  <c r="BR171" i="24" s="1"/>
  <c r="CF230" i="24"/>
  <c r="AM230" i="24"/>
  <c r="H230" i="24"/>
  <c r="CE230" i="24"/>
  <c r="I230" i="24"/>
  <c r="BO230" i="24"/>
  <c r="BR230" i="24" s="1"/>
  <c r="I210" i="25"/>
  <c r="BN210" i="25"/>
  <c r="BK142" i="24"/>
  <c r="S142" i="24"/>
  <c r="T142" i="24" s="1"/>
  <c r="CE254" i="24"/>
  <c r="CF254" i="24"/>
  <c r="H254" i="24"/>
  <c r="AM254" i="24"/>
  <c r="BO254" i="24"/>
  <c r="BR254" i="24" s="1"/>
  <c r="I254" i="24"/>
  <c r="BK132" i="24"/>
  <c r="S132" i="24"/>
  <c r="T132" i="24" s="1"/>
  <c r="M132" i="24"/>
  <c r="N132" i="24" s="1"/>
  <c r="CE134" i="24"/>
  <c r="AM134" i="24"/>
  <c r="H134" i="24"/>
  <c r="CF134" i="24"/>
  <c r="I134" i="24"/>
  <c r="K134" i="24" s="1"/>
  <c r="BO134" i="24"/>
  <c r="BR134" i="24" s="1"/>
  <c r="BK21" i="24"/>
  <c r="S21" i="24"/>
  <c r="T21" i="24" s="1"/>
  <c r="BK233" i="24"/>
  <c r="S233" i="24"/>
  <c r="T233" i="24" s="1"/>
  <c r="BN121" i="25"/>
  <c r="I247" i="25"/>
  <c r="I78" i="24"/>
  <c r="AL262" i="25"/>
  <c r="H262" i="25"/>
  <c r="CC262" i="25"/>
  <c r="J262" i="25"/>
  <c r="L262" i="25" s="1"/>
  <c r="AL275" i="25"/>
  <c r="CC275" i="25"/>
  <c r="H275" i="25"/>
  <c r="J275" i="25"/>
  <c r="N275" i="25" s="1"/>
  <c r="BM275" i="25"/>
  <c r="I88" i="25"/>
  <c r="BN88" i="25"/>
  <c r="AL305" i="25"/>
  <c r="CC305" i="25"/>
  <c r="H305" i="25"/>
  <c r="BM305" i="25"/>
  <c r="J305" i="25"/>
  <c r="N305" i="25" s="1"/>
  <c r="BN10" i="25"/>
  <c r="BQ10" i="25" s="1"/>
  <c r="CC223" i="25"/>
  <c r="H223" i="25"/>
  <c r="AL223" i="25"/>
  <c r="BM223" i="25"/>
  <c r="J223" i="25"/>
  <c r="I147" i="25"/>
  <c r="BN147" i="25"/>
  <c r="CC302" i="25"/>
  <c r="H302" i="25"/>
  <c r="AL302" i="25"/>
  <c r="J302" i="25"/>
  <c r="L302" i="25" s="1"/>
  <c r="BM302" i="25"/>
  <c r="AL248" i="25"/>
  <c r="CC248" i="25"/>
  <c r="H248" i="25"/>
  <c r="BM248" i="25"/>
  <c r="J248" i="25"/>
  <c r="N248" i="25" s="1"/>
  <c r="I144" i="25"/>
  <c r="I298" i="25"/>
  <c r="BN292" i="25"/>
  <c r="I292" i="25"/>
  <c r="AL124" i="25"/>
  <c r="CC124" i="25"/>
  <c r="H124" i="25"/>
  <c r="J124" i="25"/>
  <c r="L124" i="25" s="1"/>
  <c r="BM124" i="25"/>
  <c r="I110" i="25"/>
  <c r="AL89" i="25"/>
  <c r="CC89" i="25"/>
  <c r="H89" i="25"/>
  <c r="J89" i="25"/>
  <c r="N89" i="25" s="1"/>
  <c r="BM89" i="25"/>
  <c r="H272" i="25"/>
  <c r="CC272" i="25"/>
  <c r="AL272" i="25"/>
  <c r="BM272" i="25"/>
  <c r="J272" i="25"/>
  <c r="L272" i="25" s="1"/>
  <c r="BN66" i="25"/>
  <c r="I66" i="25"/>
  <c r="H248" i="24"/>
  <c r="AM248" i="24"/>
  <c r="CE248" i="24"/>
  <c r="CF248" i="24"/>
  <c r="I248" i="24"/>
  <c r="M248" i="24" s="1"/>
  <c r="CE112" i="24"/>
  <c r="CF112" i="24"/>
  <c r="AM112" i="24"/>
  <c r="H112" i="24"/>
  <c r="BO112" i="24"/>
  <c r="BR112" i="24" s="1"/>
  <c r="H315" i="24"/>
  <c r="CE315" i="24"/>
  <c r="AM315" i="24"/>
  <c r="BO315" i="24"/>
  <c r="BR315" i="24" s="1"/>
  <c r="I315" i="24"/>
  <c r="K315" i="24" s="1"/>
  <c r="H79" i="24"/>
  <c r="AM79" i="24"/>
  <c r="K79" i="24"/>
  <c r="I79" i="24"/>
  <c r="M79" i="24" s="1"/>
  <c r="H172" i="24"/>
  <c r="CF172" i="24"/>
  <c r="CE172" i="24"/>
  <c r="AM172" i="24"/>
  <c r="I172" i="24"/>
  <c r="M172" i="24" s="1"/>
  <c r="N172" i="24" s="1"/>
  <c r="H282" i="25"/>
  <c r="AL282" i="25"/>
  <c r="CC282" i="25"/>
  <c r="BM282" i="25"/>
  <c r="BQ282" i="25" s="1"/>
  <c r="J282" i="25"/>
  <c r="N282" i="25" s="1"/>
  <c r="H78" i="25"/>
  <c r="AL78" i="25"/>
  <c r="CC78" i="25"/>
  <c r="CF78" i="25"/>
  <c r="CE78" i="25"/>
  <c r="BM78" i="25"/>
  <c r="J78" i="25"/>
  <c r="L78" i="25" s="1"/>
  <c r="I173" i="25"/>
  <c r="BN173" i="25"/>
  <c r="AL172" i="25"/>
  <c r="CC172" i="25"/>
  <c r="H172" i="25"/>
  <c r="J172" i="25"/>
  <c r="BM172" i="25"/>
  <c r="I65" i="25"/>
  <c r="BN65" i="25"/>
  <c r="CC261" i="25"/>
  <c r="H261" i="25"/>
  <c r="AL261" i="25"/>
  <c r="BM261" i="25"/>
  <c r="J261" i="25"/>
  <c r="N261" i="25" s="1"/>
  <c r="I251" i="25"/>
  <c r="BN251" i="25"/>
  <c r="H139" i="24"/>
  <c r="AM139" i="24"/>
  <c r="I139" i="24"/>
  <c r="BO139" i="24"/>
  <c r="BR139" i="24" s="1"/>
  <c r="AM93" i="24"/>
  <c r="CF93" i="24"/>
  <c r="CE93" i="24"/>
  <c r="K93" i="24"/>
  <c r="H93" i="24"/>
  <c r="BO93" i="24"/>
  <c r="BR93" i="24" s="1"/>
  <c r="I93" i="24"/>
  <c r="H264" i="24"/>
  <c r="K264" i="24"/>
  <c r="CE264" i="24"/>
  <c r="CF264" i="24"/>
  <c r="AM264" i="24"/>
  <c r="BO264" i="24"/>
  <c r="BR264" i="24" s="1"/>
  <c r="K47" i="24"/>
  <c r="H47" i="24"/>
  <c r="AM47" i="24"/>
  <c r="CF47" i="24"/>
  <c r="CE47" i="24"/>
  <c r="I47" i="24"/>
  <c r="M47" i="24" s="1"/>
  <c r="N47" i="24" s="1"/>
  <c r="BO47" i="24"/>
  <c r="BR47" i="24" s="1"/>
  <c r="K28" i="24"/>
  <c r="AM28" i="24"/>
  <c r="H28" i="24"/>
  <c r="CE28" i="24"/>
  <c r="CF28" i="24"/>
  <c r="I28" i="24"/>
  <c r="AM48" i="24"/>
  <c r="K48" i="24"/>
  <c r="H48" i="24"/>
  <c r="CE48" i="24"/>
  <c r="CF48" i="24"/>
  <c r="I48" i="24"/>
  <c r="M48" i="24" s="1"/>
  <c r="N48" i="24" s="1"/>
  <c r="CC201" i="25"/>
  <c r="AL201" i="25"/>
  <c r="H201" i="25"/>
  <c r="J201" i="25"/>
  <c r="N201" i="25" s="1"/>
  <c r="BM201" i="25"/>
  <c r="BN167" i="25"/>
  <c r="I167" i="25"/>
  <c r="AL166" i="25"/>
  <c r="CC166" i="25"/>
  <c r="H166" i="25"/>
  <c r="J166" i="25"/>
  <c r="BM166" i="25"/>
  <c r="I55" i="25"/>
  <c r="BN55" i="25"/>
  <c r="H285" i="25"/>
  <c r="AL285" i="25"/>
  <c r="CC285" i="25"/>
  <c r="BM285" i="25"/>
  <c r="J285" i="25"/>
  <c r="I306" i="25"/>
  <c r="BN306" i="25"/>
  <c r="AL90" i="25"/>
  <c r="CC90" i="25"/>
  <c r="H90" i="25"/>
  <c r="J90" i="25"/>
  <c r="L90" i="25" s="1"/>
  <c r="BM90" i="25"/>
  <c r="I263" i="25"/>
  <c r="BN263" i="25"/>
  <c r="H314" i="25"/>
  <c r="AL314" i="25"/>
  <c r="CC314" i="25"/>
  <c r="BM314" i="25"/>
  <c r="J314" i="25"/>
  <c r="N314" i="25" s="1"/>
  <c r="AL287" i="25"/>
  <c r="H287" i="25"/>
  <c r="CC287" i="25"/>
  <c r="J287" i="25"/>
  <c r="L287" i="25" s="1"/>
  <c r="BM287" i="25"/>
  <c r="CC259" i="25"/>
  <c r="H259" i="25"/>
  <c r="AL259" i="25"/>
  <c r="J259" i="25"/>
  <c r="N259" i="25" s="1"/>
  <c r="CF128" i="24"/>
  <c r="CE128" i="24"/>
  <c r="AM128" i="24"/>
  <c r="H128" i="24"/>
  <c r="I128" i="24"/>
  <c r="K128" i="24" s="1"/>
  <c r="H180" i="24"/>
  <c r="AM180" i="24"/>
  <c r="I180" i="24"/>
  <c r="M180" i="24" s="1"/>
  <c r="AM90" i="24"/>
  <c r="K90" i="24"/>
  <c r="H90" i="24"/>
  <c r="CF90" i="24"/>
  <c r="CE90" i="24"/>
  <c r="I90" i="24"/>
  <c r="M90" i="24" s="1"/>
  <c r="BO90" i="24"/>
  <c r="BR90" i="24" s="1"/>
  <c r="K17" i="24"/>
  <c r="H17" i="24"/>
  <c r="AM17" i="24"/>
  <c r="CF17" i="24"/>
  <c r="CE17" i="24"/>
  <c r="I17" i="24"/>
  <c r="BO17" i="24"/>
  <c r="BR17" i="24" s="1"/>
  <c r="CE61" i="24"/>
  <c r="K61" i="24"/>
  <c r="CF61" i="24"/>
  <c r="H61" i="24"/>
  <c r="AM61" i="24"/>
  <c r="I61" i="24"/>
  <c r="M61" i="24" s="1"/>
  <c r="N61" i="24" s="1"/>
  <c r="BO316" i="24"/>
  <c r="BR316" i="24" s="1"/>
  <c r="CC34" i="25"/>
  <c r="AL34" i="25"/>
  <c r="CF34" i="25"/>
  <c r="H34" i="25"/>
  <c r="CE34" i="25"/>
  <c r="J34" i="25"/>
  <c r="N34" i="25" s="1"/>
  <c r="I295" i="25"/>
  <c r="H227" i="25"/>
  <c r="AL227" i="25"/>
  <c r="CC227" i="25"/>
  <c r="J227" i="25"/>
  <c r="L227" i="25" s="1"/>
  <c r="BM227" i="25"/>
  <c r="BQ227" i="25" s="1"/>
  <c r="BN260" i="25"/>
  <c r="BN278" i="25"/>
  <c r="BN221" i="25"/>
  <c r="AM204" i="24"/>
  <c r="H204" i="24"/>
  <c r="BO204" i="24"/>
  <c r="BR204" i="24" s="1"/>
  <c r="I204" i="24"/>
  <c r="K204" i="24" s="1"/>
  <c r="CE69" i="24"/>
  <c r="K69" i="24"/>
  <c r="H69" i="24"/>
  <c r="AM69" i="24"/>
  <c r="CF69" i="24"/>
  <c r="I69" i="24"/>
  <c r="BO69" i="24"/>
  <c r="BR69" i="24" s="1"/>
  <c r="AM31" i="24"/>
  <c r="CF31" i="24"/>
  <c r="CE31" i="24"/>
  <c r="K31" i="24"/>
  <c r="H31" i="24"/>
  <c r="I31" i="24"/>
  <c r="BO31" i="24"/>
  <c r="BR31" i="24" s="1"/>
  <c r="BK257" i="24"/>
  <c r="S257" i="24"/>
  <c r="T257" i="24" s="1"/>
  <c r="BM292" i="25"/>
  <c r="BN223" i="25"/>
  <c r="AL116" i="25"/>
  <c r="H116" i="25"/>
  <c r="CC116" i="25"/>
  <c r="J116" i="25"/>
  <c r="BM116" i="25"/>
  <c r="BQ116" i="25" s="1"/>
  <c r="AL118" i="25"/>
  <c r="CC118" i="25"/>
  <c r="H118" i="25"/>
  <c r="J118" i="25"/>
  <c r="BM118" i="25"/>
  <c r="BQ118" i="25" s="1"/>
  <c r="CF96" i="25"/>
  <c r="CE96" i="25"/>
  <c r="AL96" i="25"/>
  <c r="CC96" i="25"/>
  <c r="H96" i="25"/>
  <c r="J96" i="25"/>
  <c r="L96" i="25" s="1"/>
  <c r="BM96" i="25"/>
  <c r="CC21" i="25"/>
  <c r="H21" i="25"/>
  <c r="AL21" i="25"/>
  <c r="CF21" i="25"/>
  <c r="CE21" i="25"/>
  <c r="J21" i="25"/>
  <c r="N21" i="25" s="1"/>
  <c r="BM21" i="25"/>
  <c r="BQ21" i="25" s="1"/>
  <c r="I176" i="25"/>
  <c r="BN176" i="25"/>
  <c r="AL126" i="25"/>
  <c r="CC126" i="25"/>
  <c r="H126" i="25"/>
  <c r="BM126" i="25"/>
  <c r="H174" i="25"/>
  <c r="AL174" i="25"/>
  <c r="CC174" i="25"/>
  <c r="AM201" i="24"/>
  <c r="H201" i="24"/>
  <c r="BO201" i="24"/>
  <c r="BR201" i="24" s="1"/>
  <c r="I201" i="24"/>
  <c r="AM77" i="24"/>
  <c r="CF77" i="24"/>
  <c r="CE77" i="24"/>
  <c r="H77" i="24"/>
  <c r="K77" i="24"/>
  <c r="BO77" i="24"/>
  <c r="BR77" i="24" s="1"/>
  <c r="I77" i="24"/>
  <c r="BQ83" i="25"/>
  <c r="I240" i="25"/>
  <c r="M233" i="24"/>
  <c r="N233" i="24" s="1"/>
  <c r="I288" i="25"/>
  <c r="BO52" i="24"/>
  <c r="BR52" i="24" s="1"/>
  <c r="BM298" i="25"/>
  <c r="BQ298" i="25" s="1"/>
  <c r="J43" i="25"/>
  <c r="BK22" i="24"/>
  <c r="S22" i="24"/>
  <c r="T22" i="24" s="1"/>
  <c r="CC178" i="25"/>
  <c r="AL178" i="25"/>
  <c r="H178" i="25"/>
  <c r="BM178" i="25"/>
  <c r="J178" i="25"/>
  <c r="N178" i="25" s="1"/>
  <c r="AL267" i="25"/>
  <c r="CC267" i="25"/>
  <c r="H267" i="25"/>
  <c r="J267" i="25"/>
  <c r="N267" i="25" s="1"/>
  <c r="BM267" i="25"/>
  <c r="CF244" i="24"/>
  <c r="AM244" i="24"/>
  <c r="H244" i="24"/>
  <c r="CE244" i="24"/>
  <c r="I244" i="24"/>
  <c r="BO244" i="24"/>
  <c r="BR244" i="24" s="1"/>
  <c r="H65" i="24"/>
  <c r="CF65" i="24"/>
  <c r="CE65" i="24"/>
  <c r="K65" i="24"/>
  <c r="AM65" i="24"/>
  <c r="I65" i="24"/>
  <c r="AL187" i="25"/>
  <c r="CC187" i="25"/>
  <c r="H187" i="25"/>
  <c r="J187" i="25"/>
  <c r="BM187" i="25"/>
  <c r="H14" i="25"/>
  <c r="CC14" i="25"/>
  <c r="CE14" i="25"/>
  <c r="CF14" i="25"/>
  <c r="AL14" i="25"/>
  <c r="J14" i="25"/>
  <c r="N14" i="25" s="1"/>
  <c r="BM14" i="25"/>
  <c r="AM89" i="24"/>
  <c r="CE89" i="24"/>
  <c r="CF89" i="24"/>
  <c r="K89" i="24"/>
  <c r="H89" i="24"/>
  <c r="I89" i="24"/>
  <c r="BO89" i="24"/>
  <c r="BR89" i="24" s="1"/>
  <c r="H199" i="24"/>
  <c r="CF199" i="24"/>
  <c r="CE199" i="24"/>
  <c r="AM199" i="24"/>
  <c r="I199" i="24"/>
  <c r="M199" i="24" s="1"/>
  <c r="N199" i="24" s="1"/>
  <c r="AM313" i="24"/>
  <c r="CE313" i="24"/>
  <c r="CF313" i="24"/>
  <c r="H313" i="24"/>
  <c r="I313" i="24"/>
  <c r="M313" i="24" s="1"/>
  <c r="BO313" i="24"/>
  <c r="BR313" i="24" s="1"/>
  <c r="H15" i="24"/>
  <c r="AM15" i="24"/>
  <c r="CE15" i="24"/>
  <c r="CF15" i="24"/>
  <c r="K15" i="24"/>
  <c r="I15" i="24"/>
  <c r="BO15" i="24"/>
  <c r="BR15" i="24" s="1"/>
  <c r="BO91" i="24"/>
  <c r="BR91" i="24" s="1"/>
  <c r="CF53" i="24"/>
  <c r="AM53" i="24"/>
  <c r="CE53" i="24"/>
  <c r="K53" i="24"/>
  <c r="H53" i="24"/>
  <c r="I53" i="24"/>
  <c r="M53" i="24" s="1"/>
  <c r="N53" i="24" s="1"/>
  <c r="BO154" i="24"/>
  <c r="BR154" i="24" s="1"/>
  <c r="CF127" i="24"/>
  <c r="CE127" i="24"/>
  <c r="AM127" i="24"/>
  <c r="H127" i="24"/>
  <c r="I127" i="24"/>
  <c r="M127" i="24" s="1"/>
  <c r="N127" i="24" s="1"/>
  <c r="BO199" i="24"/>
  <c r="BR199" i="24" s="1"/>
  <c r="BN97" i="25"/>
  <c r="BQ97" i="25" s="1"/>
  <c r="I97" i="25"/>
  <c r="I150" i="25"/>
  <c r="BN150" i="25"/>
  <c r="CC32" i="25"/>
  <c r="CF32" i="25"/>
  <c r="CE32" i="25"/>
  <c r="H32" i="25"/>
  <c r="AL32" i="25"/>
  <c r="J32" i="25"/>
  <c r="N32" i="25" s="1"/>
  <c r="BM32" i="25"/>
  <c r="BN99" i="25"/>
  <c r="I99" i="25"/>
  <c r="H49" i="25"/>
  <c r="CF49" i="25"/>
  <c r="CE49" i="25"/>
  <c r="CC49" i="25"/>
  <c r="AL49" i="25"/>
  <c r="BM49" i="25"/>
  <c r="J49" i="25"/>
  <c r="L49" i="25" s="1"/>
  <c r="CE23" i="24"/>
  <c r="CF23" i="24"/>
  <c r="AM23" i="24"/>
  <c r="K23" i="24"/>
  <c r="H23" i="24"/>
  <c r="I23" i="24"/>
  <c r="BO23" i="24"/>
  <c r="BR23" i="24" s="1"/>
  <c r="CF86" i="24"/>
  <c r="K86" i="24"/>
  <c r="H86" i="24"/>
  <c r="AM86" i="24"/>
  <c r="CE86" i="24"/>
  <c r="I86" i="24"/>
  <c r="M86" i="24" s="1"/>
  <c r="N86" i="24" s="1"/>
  <c r="I224" i="25"/>
  <c r="H183" i="25"/>
  <c r="AL183" i="25"/>
  <c r="CC183" i="25"/>
  <c r="BM183" i="25"/>
  <c r="BQ183" i="25" s="1"/>
  <c r="J183" i="25"/>
  <c r="L183" i="25" s="1"/>
  <c r="H179" i="25"/>
  <c r="AL179" i="25"/>
  <c r="CC179" i="25"/>
  <c r="BM179" i="25"/>
  <c r="BQ179" i="25" s="1"/>
  <c r="BQ168" i="25"/>
  <c r="I246" i="25"/>
  <c r="BN246" i="25"/>
  <c r="BQ246" i="25" s="1"/>
  <c r="H59" i="25"/>
  <c r="AL59" i="25"/>
  <c r="CC59" i="25"/>
  <c r="CE59" i="25"/>
  <c r="CF59" i="25"/>
  <c r="BM59" i="25"/>
  <c r="J59" i="25"/>
  <c r="L59" i="25" s="1"/>
  <c r="I232" i="25"/>
  <c r="BN232" i="25"/>
  <c r="BQ232" i="25" s="1"/>
  <c r="I180" i="25"/>
  <c r="BN180" i="25"/>
  <c r="BQ180" i="25" s="1"/>
  <c r="CC255" i="25"/>
  <c r="H255" i="25"/>
  <c r="AL255" i="25"/>
  <c r="J255" i="25"/>
  <c r="N255" i="25" s="1"/>
  <c r="BM255" i="25"/>
  <c r="I162" i="25"/>
  <c r="BN162" i="25"/>
  <c r="BO135" i="24"/>
  <c r="BR135" i="24" s="1"/>
  <c r="J304" i="25"/>
  <c r="L304" i="25" s="1"/>
  <c r="CC88" i="25"/>
  <c r="AL88" i="25"/>
  <c r="CF88" i="25"/>
  <c r="CE88" i="25"/>
  <c r="H88" i="25"/>
  <c r="J88" i="25"/>
  <c r="BM88" i="25"/>
  <c r="H161" i="24"/>
  <c r="AM161" i="24"/>
  <c r="I161" i="24"/>
  <c r="K161" i="24" s="1"/>
  <c r="AM303" i="24"/>
  <c r="H303" i="24"/>
  <c r="CE303" i="24"/>
  <c r="CF303" i="24"/>
  <c r="I303" i="24"/>
  <c r="M303" i="24" s="1"/>
  <c r="BO303" i="24"/>
  <c r="BR303" i="24" s="1"/>
  <c r="H10" i="24"/>
  <c r="CF10" i="24"/>
  <c r="CE10" i="24"/>
  <c r="K10" i="24"/>
  <c r="AM10" i="24"/>
  <c r="I10" i="24"/>
  <c r="M10" i="24" s="1"/>
  <c r="AL28" i="25"/>
  <c r="H28" i="25"/>
  <c r="CE28" i="25"/>
  <c r="CF28" i="25"/>
  <c r="CC28" i="25"/>
  <c r="BM28" i="25"/>
  <c r="I154" i="25"/>
  <c r="H197" i="24"/>
  <c r="CF197" i="24"/>
  <c r="CE197" i="24"/>
  <c r="AM197" i="24"/>
  <c r="I197" i="24"/>
  <c r="BO197" i="24"/>
  <c r="BR197" i="24" s="1"/>
  <c r="H149" i="24"/>
  <c r="CF149" i="24"/>
  <c r="CE149" i="24"/>
  <c r="AM149" i="24"/>
  <c r="I149" i="24"/>
  <c r="K149" i="24" s="1"/>
  <c r="BO149" i="24"/>
  <c r="BR149" i="24" s="1"/>
  <c r="H264" i="25"/>
  <c r="AL264" i="25"/>
  <c r="CC264" i="25"/>
  <c r="J264" i="25"/>
  <c r="L264" i="25" s="1"/>
  <c r="BM264" i="25"/>
  <c r="BQ264" i="25" s="1"/>
  <c r="AL313" i="25"/>
  <c r="CC313" i="25"/>
  <c r="H313" i="25"/>
  <c r="J313" i="25"/>
  <c r="L313" i="25" s="1"/>
  <c r="I175" i="25"/>
  <c r="BN175" i="25"/>
  <c r="I142" i="25"/>
  <c r="BN142" i="25"/>
  <c r="I12" i="25"/>
  <c r="BN12" i="25"/>
  <c r="CC294" i="25"/>
  <c r="H294" i="25"/>
  <c r="AL294" i="25"/>
  <c r="J294" i="25"/>
  <c r="BM294" i="25"/>
  <c r="CC224" i="25"/>
  <c r="H224" i="25"/>
  <c r="AL224" i="25"/>
  <c r="J224" i="25"/>
  <c r="L224" i="25" s="1"/>
  <c r="BN103" i="25"/>
  <c r="I103" i="25"/>
  <c r="BN254" i="25"/>
  <c r="CC146" i="25"/>
  <c r="H146" i="25"/>
  <c r="AL146" i="25"/>
  <c r="J146" i="25"/>
  <c r="L146" i="25" s="1"/>
  <c r="BM146" i="25"/>
  <c r="BQ146" i="25" s="1"/>
  <c r="BN291" i="25"/>
  <c r="BN296" i="25"/>
  <c r="I113" i="25"/>
  <c r="BN136" i="25"/>
  <c r="I136" i="25"/>
  <c r="BN56" i="25"/>
  <c r="CC293" i="25"/>
  <c r="H293" i="25"/>
  <c r="AL293" i="25"/>
  <c r="BM293" i="25"/>
  <c r="BN252" i="25"/>
  <c r="I252" i="25"/>
  <c r="CF61" i="25"/>
  <c r="H61" i="25"/>
  <c r="AL61" i="25"/>
  <c r="CC61" i="25"/>
  <c r="CE61" i="25"/>
  <c r="J61" i="25"/>
  <c r="BM61" i="25"/>
  <c r="BN250" i="25"/>
  <c r="I250" i="25"/>
  <c r="AM64" i="24"/>
  <c r="CE64" i="24"/>
  <c r="CF64" i="24"/>
  <c r="K64" i="24"/>
  <c r="H64" i="24"/>
  <c r="BO64" i="24"/>
  <c r="BR64" i="24" s="1"/>
  <c r="I64" i="24"/>
  <c r="AM262" i="24"/>
  <c r="CE262" i="24"/>
  <c r="H262" i="24"/>
  <c r="CF262" i="24"/>
  <c r="I262" i="24"/>
  <c r="BO262" i="24"/>
  <c r="BR262" i="24" s="1"/>
  <c r="AM249" i="24"/>
  <c r="H249" i="24"/>
  <c r="CE249" i="24"/>
  <c r="CF249" i="24"/>
  <c r="I249" i="24"/>
  <c r="K249" i="24" s="1"/>
  <c r="BO249" i="24"/>
  <c r="BR249" i="24" s="1"/>
  <c r="CE236" i="24"/>
  <c r="H236" i="24"/>
  <c r="K236" i="24"/>
  <c r="CF236" i="24"/>
  <c r="AM236" i="24"/>
  <c r="BO236" i="24"/>
  <c r="BR236" i="24" s="1"/>
  <c r="I303" i="25"/>
  <c r="BN303" i="25"/>
  <c r="BQ303" i="25" s="1"/>
  <c r="AL7" i="25"/>
  <c r="CC7" i="25"/>
  <c r="H7" i="25"/>
  <c r="CF7" i="25"/>
  <c r="CE7" i="25"/>
  <c r="J7" i="25"/>
  <c r="L7" i="25" s="1"/>
  <c r="BM7" i="25"/>
  <c r="I191" i="25"/>
  <c r="BN191" i="25"/>
  <c r="AL299" i="25"/>
  <c r="CC299" i="25"/>
  <c r="H299" i="25"/>
  <c r="J299" i="25"/>
  <c r="L299" i="25" s="1"/>
  <c r="CF27" i="25"/>
  <c r="H27" i="25"/>
  <c r="AL27" i="25"/>
  <c r="CC27" i="25"/>
  <c r="CE27" i="25"/>
  <c r="BM27" i="25"/>
  <c r="J27" i="25"/>
  <c r="I284" i="25"/>
  <c r="BN284" i="25"/>
  <c r="CF235" i="24"/>
  <c r="H235" i="24"/>
  <c r="AM235" i="24"/>
  <c r="CE235" i="24"/>
  <c r="I235" i="24"/>
  <c r="CE288" i="24"/>
  <c r="AM288" i="24"/>
  <c r="H288" i="24"/>
  <c r="I288" i="24"/>
  <c r="K288" i="24" s="1"/>
  <c r="BO288" i="24"/>
  <c r="BR288" i="24" s="1"/>
  <c r="CE57" i="24"/>
  <c r="CF57" i="24"/>
  <c r="K57" i="24"/>
  <c r="H57" i="24"/>
  <c r="AM57" i="24"/>
  <c r="I57" i="24"/>
  <c r="BO57" i="24"/>
  <c r="BR57" i="24" s="1"/>
  <c r="CE278" i="24"/>
  <c r="H278" i="24"/>
  <c r="CF278" i="24"/>
  <c r="AM278" i="24"/>
  <c r="I278" i="24"/>
  <c r="K278" i="24" s="1"/>
  <c r="BO278" i="24"/>
  <c r="BR278" i="24" s="1"/>
  <c r="H69" i="25"/>
  <c r="CE69" i="25"/>
  <c r="AL69" i="25"/>
  <c r="CC69" i="25"/>
  <c r="CF69" i="25"/>
  <c r="J69" i="25"/>
  <c r="L69" i="25" s="1"/>
  <c r="K26" i="24"/>
  <c r="CF26" i="24"/>
  <c r="CE26" i="24"/>
  <c r="AM26" i="24"/>
  <c r="H26" i="24"/>
  <c r="I26" i="24"/>
  <c r="I60" i="25"/>
  <c r="BN60" i="25"/>
  <c r="BN313" i="25"/>
  <c r="AL209" i="25"/>
  <c r="CC209" i="25"/>
  <c r="H209" i="25"/>
  <c r="BM209" i="25"/>
  <c r="J209" i="25"/>
  <c r="L209" i="25" s="1"/>
  <c r="H131" i="25"/>
  <c r="AL131" i="25"/>
  <c r="CC131" i="25"/>
  <c r="BM131" i="25"/>
  <c r="CC119" i="25"/>
  <c r="H119" i="25"/>
  <c r="AL119" i="25"/>
  <c r="J119" i="25"/>
  <c r="BM119" i="25"/>
  <c r="BQ119" i="25" s="1"/>
  <c r="AL133" i="25"/>
  <c r="CC133" i="25"/>
  <c r="H133" i="25"/>
  <c r="BM133" i="25"/>
  <c r="J133" i="25"/>
  <c r="L133" i="25" s="1"/>
  <c r="AL41" i="25"/>
  <c r="H41" i="25"/>
  <c r="CC41" i="25"/>
  <c r="CE41" i="25"/>
  <c r="CF41" i="25"/>
  <c r="J41" i="25"/>
  <c r="BM41" i="25"/>
  <c r="BQ41" i="25" s="1"/>
  <c r="AL256" i="25"/>
  <c r="H256" i="25"/>
  <c r="CC256" i="25"/>
  <c r="J256" i="25"/>
  <c r="I19" i="25"/>
  <c r="AL36" i="25"/>
  <c r="CC36" i="25"/>
  <c r="CF36" i="25"/>
  <c r="CE36" i="25"/>
  <c r="H36" i="25"/>
  <c r="BM36" i="25"/>
  <c r="J36" i="25"/>
  <c r="I64" i="25"/>
  <c r="BN64" i="25"/>
  <c r="AL274" i="25"/>
  <c r="CC274" i="25"/>
  <c r="H274" i="25"/>
  <c r="BM274" i="25"/>
  <c r="BQ274" i="25" s="1"/>
  <c r="J274" i="25"/>
  <c r="L274" i="25" s="1"/>
  <c r="H268" i="25"/>
  <c r="AL268" i="25"/>
  <c r="CC268" i="25"/>
  <c r="J268" i="25"/>
  <c r="L268" i="25" s="1"/>
  <c r="BM268" i="25"/>
  <c r="I301" i="25"/>
  <c r="BN301" i="25"/>
  <c r="H308" i="25"/>
  <c r="AL308" i="25"/>
  <c r="CC308" i="25"/>
  <c r="J308" i="25"/>
  <c r="CC286" i="25"/>
  <c r="H286" i="25"/>
  <c r="AL286" i="25"/>
  <c r="J286" i="25"/>
  <c r="BM286" i="25"/>
  <c r="AM178" i="24"/>
  <c r="H178" i="24"/>
  <c r="I178" i="24"/>
  <c r="H217" i="24"/>
  <c r="CF217" i="24"/>
  <c r="AM217" i="24"/>
  <c r="CE217" i="24"/>
  <c r="BO217" i="24"/>
  <c r="BR217" i="24" s="1"/>
  <c r="I217" i="24"/>
  <c r="K217" i="24" s="1"/>
  <c r="H221" i="24"/>
  <c r="CF221" i="24"/>
  <c r="AM221" i="24"/>
  <c r="CE221" i="24"/>
  <c r="I221" i="24"/>
  <c r="K221" i="24" s="1"/>
  <c r="BO221" i="24"/>
  <c r="BR221" i="24" s="1"/>
  <c r="CE293" i="24"/>
  <c r="CF293" i="24"/>
  <c r="H293" i="24"/>
  <c r="AM293" i="24"/>
  <c r="BO293" i="24"/>
  <c r="BR293" i="24" s="1"/>
  <c r="I293" i="24"/>
  <c r="K293" i="24" s="1"/>
  <c r="H135" i="25"/>
  <c r="AL135" i="25"/>
  <c r="CC135" i="25"/>
  <c r="J135" i="25"/>
  <c r="L135" i="25" s="1"/>
  <c r="BM135" i="25"/>
  <c r="BQ135" i="25" s="1"/>
  <c r="AL196" i="25"/>
  <c r="CC196" i="25"/>
  <c r="H196" i="25"/>
  <c r="J196" i="25"/>
  <c r="BM196" i="25"/>
  <c r="BQ196" i="25" s="1"/>
  <c r="CC153" i="25"/>
  <c r="H153" i="25"/>
  <c r="AL153" i="25"/>
  <c r="J153" i="25"/>
  <c r="H127" i="25"/>
  <c r="AL127" i="25"/>
  <c r="CC127" i="25"/>
  <c r="BM127" i="25"/>
  <c r="BQ127" i="25" s="1"/>
  <c r="J127" i="25"/>
  <c r="L127" i="25" s="1"/>
  <c r="AL149" i="25"/>
  <c r="CC149" i="25"/>
  <c r="H149" i="25"/>
  <c r="J149" i="25"/>
  <c r="BM149" i="25"/>
  <c r="BQ149" i="25" s="1"/>
  <c r="AL140" i="25"/>
  <c r="CC140" i="25"/>
  <c r="H140" i="25"/>
  <c r="BM140" i="25"/>
  <c r="BQ140" i="25" s="1"/>
  <c r="J140" i="25"/>
  <c r="L140" i="25" s="1"/>
  <c r="H123" i="25"/>
  <c r="AL123" i="25"/>
  <c r="CC123" i="25"/>
  <c r="J123" i="25"/>
  <c r="BM123" i="25"/>
  <c r="BQ123" i="25" s="1"/>
  <c r="H22" i="25"/>
  <c r="CE22" i="25"/>
  <c r="AL22" i="25"/>
  <c r="CC22" i="25"/>
  <c r="CF22" i="25"/>
  <c r="J22" i="25"/>
  <c r="L22" i="25" s="1"/>
  <c r="BM22" i="25"/>
  <c r="BQ22" i="25" s="1"/>
  <c r="CE24" i="25"/>
  <c r="AL24" i="25"/>
  <c r="H24" i="25"/>
  <c r="CC24" i="25"/>
  <c r="CF24" i="25"/>
  <c r="J24" i="25"/>
  <c r="BM24" i="25"/>
  <c r="BQ24" i="25" s="1"/>
  <c r="CC98" i="25"/>
  <c r="H98" i="25"/>
  <c r="AL98" i="25"/>
  <c r="BM98" i="25"/>
  <c r="BQ98" i="25" s="1"/>
  <c r="J98" i="25"/>
  <c r="CC57" i="25"/>
  <c r="CF57" i="25"/>
  <c r="CE57" i="25"/>
  <c r="H57" i="25"/>
  <c r="AL57" i="25"/>
  <c r="BM57" i="25"/>
  <c r="BQ57" i="25" s="1"/>
  <c r="J57" i="25"/>
  <c r="L57" i="25" s="1"/>
  <c r="H20" i="25"/>
  <c r="CF20" i="25"/>
  <c r="CE20" i="25"/>
  <c r="CC20" i="25"/>
  <c r="AL20" i="25"/>
  <c r="J20" i="25"/>
  <c r="L20" i="25" s="1"/>
  <c r="BM20" i="25"/>
  <c r="BQ20" i="25" s="1"/>
  <c r="CC91" i="25"/>
  <c r="AL91" i="25"/>
  <c r="CF91" i="25"/>
  <c r="H91" i="25"/>
  <c r="CE91" i="25"/>
  <c r="J91" i="25"/>
  <c r="CC85" i="25"/>
  <c r="H85" i="25"/>
  <c r="CF85" i="25"/>
  <c r="CE85" i="25"/>
  <c r="AL85" i="25"/>
  <c r="J85" i="25"/>
  <c r="BM85" i="25"/>
  <c r="BQ85" i="25" s="1"/>
  <c r="CF48" i="25"/>
  <c r="CE48" i="25"/>
  <c r="H48" i="25"/>
  <c r="AL48" i="25"/>
  <c r="CC48" i="25"/>
  <c r="J48" i="25"/>
  <c r="CE35" i="25"/>
  <c r="CF35" i="25"/>
  <c r="H35" i="25"/>
  <c r="CC35" i="25"/>
  <c r="AL35" i="25"/>
  <c r="BM35" i="25"/>
  <c r="BQ35" i="25" s="1"/>
  <c r="J35" i="25"/>
  <c r="H175" i="24"/>
  <c r="CF175" i="24"/>
  <c r="AM175" i="24"/>
  <c r="CE175" i="24"/>
  <c r="I175" i="24"/>
  <c r="K95" i="24"/>
  <c r="H95" i="24"/>
  <c r="AM95" i="24"/>
  <c r="CE95" i="24"/>
  <c r="CF95" i="24"/>
  <c r="I95" i="24"/>
  <c r="BO95" i="24"/>
  <c r="BR95" i="24" s="1"/>
  <c r="CE258" i="24"/>
  <c r="H258" i="24"/>
  <c r="CF258" i="24"/>
  <c r="AM258" i="24"/>
  <c r="I258" i="24"/>
  <c r="BO258" i="24"/>
  <c r="BR258" i="24" s="1"/>
  <c r="BM66" i="25"/>
  <c r="BM92" i="25"/>
  <c r="BN222" i="25"/>
  <c r="CC207" i="25"/>
  <c r="AL207" i="25"/>
  <c r="H207" i="25"/>
  <c r="J207" i="25"/>
  <c r="BM207" i="25"/>
  <c r="BQ207" i="25" s="1"/>
  <c r="CC230" i="25"/>
  <c r="H230" i="25"/>
  <c r="AL230" i="25"/>
  <c r="J230" i="25"/>
  <c r="L230" i="25" s="1"/>
  <c r="BM230" i="25"/>
  <c r="BQ230" i="25" s="1"/>
  <c r="BN74" i="25"/>
  <c r="I74" i="25"/>
  <c r="AL62" i="25"/>
  <c r="CC62" i="25"/>
  <c r="H62" i="25"/>
  <c r="BM62" i="25"/>
  <c r="J62" i="25"/>
  <c r="N62" i="25" s="1"/>
  <c r="CF237" i="24"/>
  <c r="AM237" i="24"/>
  <c r="H237" i="24"/>
  <c r="CE237" i="24"/>
  <c r="BO237" i="24"/>
  <c r="BR237" i="24" s="1"/>
  <c r="I237" i="24"/>
  <c r="M237" i="24" s="1"/>
  <c r="N237" i="24" s="1"/>
  <c r="BK162" i="24"/>
  <c r="S162" i="24"/>
  <c r="T162" i="24" s="1"/>
  <c r="M162" i="24"/>
  <c r="N162" i="24" s="1"/>
  <c r="I16" i="25"/>
  <c r="BN16" i="25"/>
  <c r="BQ16" i="25" s="1"/>
  <c r="I50" i="25"/>
  <c r="BM220" i="25"/>
  <c r="BO166" i="24"/>
  <c r="BR166" i="24" s="1"/>
  <c r="BM91" i="25"/>
  <c r="BQ91" i="25" s="1"/>
  <c r="BM103" i="25"/>
  <c r="J87" i="25"/>
  <c r="N87" i="25" s="1"/>
  <c r="AL113" i="25"/>
  <c r="CC113" i="25"/>
  <c r="H113" i="25"/>
  <c r="J113" i="25"/>
  <c r="N113" i="25" s="1"/>
  <c r="BM113" i="25"/>
  <c r="AL225" i="25"/>
  <c r="CC225" i="25"/>
  <c r="H225" i="25"/>
  <c r="BM225" i="25"/>
  <c r="J225" i="25"/>
  <c r="L225" i="25" s="1"/>
  <c r="CC25" i="25"/>
  <c r="AL25" i="25"/>
  <c r="CE25" i="25"/>
  <c r="CF25" i="25"/>
  <c r="H25" i="25"/>
  <c r="BM25" i="25"/>
  <c r="J25" i="25"/>
  <c r="L25" i="25" s="1"/>
  <c r="H310" i="24"/>
  <c r="AM310" i="24"/>
  <c r="CE310" i="24"/>
  <c r="I310" i="24"/>
  <c r="M310" i="24" s="1"/>
  <c r="BO310" i="24"/>
  <c r="BR310" i="24" s="1"/>
  <c r="CC97" i="25"/>
  <c r="H97" i="25"/>
  <c r="AL97" i="25"/>
  <c r="J97" i="25"/>
  <c r="L97" i="25" s="1"/>
  <c r="I92" i="25"/>
  <c r="BN92" i="25"/>
  <c r="I155" i="25"/>
  <c r="BN155" i="25"/>
  <c r="H305" i="24"/>
  <c r="AM305" i="24"/>
  <c r="CE305" i="24"/>
  <c r="CF305" i="24"/>
  <c r="I305" i="24"/>
  <c r="K305" i="24" s="1"/>
  <c r="BO305" i="24"/>
  <c r="BR305" i="24" s="1"/>
  <c r="H158" i="25"/>
  <c r="AL158" i="25"/>
  <c r="CC158" i="25"/>
  <c r="J158" i="25"/>
  <c r="N158" i="25" s="1"/>
  <c r="H112" i="25"/>
  <c r="CC112" i="25"/>
  <c r="AL112" i="25"/>
  <c r="BM112" i="25"/>
  <c r="J112" i="25"/>
  <c r="L112" i="25" s="1"/>
  <c r="H134" i="25"/>
  <c r="AL134" i="25"/>
  <c r="CC134" i="25"/>
  <c r="J134" i="25"/>
  <c r="L134" i="25" s="1"/>
  <c r="BM134" i="25"/>
  <c r="H258" i="25"/>
  <c r="AL258" i="25"/>
  <c r="CC258" i="25"/>
  <c r="BM258" i="25"/>
  <c r="BQ258" i="25" s="1"/>
  <c r="I216" i="25"/>
  <c r="BN113" i="25"/>
  <c r="BN243" i="25"/>
  <c r="I243" i="25"/>
  <c r="H121" i="25"/>
  <c r="AL121" i="25"/>
  <c r="CC121" i="25"/>
  <c r="J121" i="25"/>
  <c r="L121" i="25" s="1"/>
  <c r="BM121" i="25"/>
  <c r="H47" i="25"/>
  <c r="CF47" i="25"/>
  <c r="CE47" i="25"/>
  <c r="AL47" i="25"/>
  <c r="CC47" i="25"/>
  <c r="J47" i="25"/>
  <c r="BM47" i="25"/>
  <c r="BN316" i="25"/>
  <c r="I316" i="25"/>
  <c r="AL242" i="25"/>
  <c r="CC242" i="25"/>
  <c r="H242" i="25"/>
  <c r="BM242" i="25"/>
  <c r="J242" i="25"/>
  <c r="BN39" i="25"/>
  <c r="I39" i="25"/>
  <c r="H301" i="24"/>
  <c r="AM301" i="24"/>
  <c r="CE301" i="24"/>
  <c r="CF301" i="24"/>
  <c r="I301" i="24"/>
  <c r="BO301" i="24"/>
  <c r="BR301" i="24" s="1"/>
  <c r="AM238" i="24"/>
  <c r="CE238" i="24"/>
  <c r="CF238" i="24"/>
  <c r="H238" i="24"/>
  <c r="I238" i="24"/>
  <c r="M238" i="24" s="1"/>
  <c r="N238" i="24" s="1"/>
  <c r="BO238" i="24"/>
  <c r="BR238" i="24" s="1"/>
  <c r="H193" i="24"/>
  <c r="AM193" i="24"/>
  <c r="I193" i="24"/>
  <c r="M193" i="24" s="1"/>
  <c r="BO193" i="24"/>
  <c r="BR193" i="24" s="1"/>
  <c r="H136" i="24"/>
  <c r="AM136" i="24"/>
  <c r="CF136" i="24"/>
  <c r="CE136" i="24"/>
  <c r="I136" i="24"/>
  <c r="BO136" i="24"/>
  <c r="BR136" i="24" s="1"/>
  <c r="CC50" i="25"/>
  <c r="AL50" i="25"/>
  <c r="H50" i="25"/>
  <c r="CE50" i="25"/>
  <c r="CF50" i="25"/>
  <c r="J50" i="25"/>
  <c r="AL229" i="25"/>
  <c r="CC229" i="25"/>
  <c r="H229" i="25"/>
  <c r="J229" i="25"/>
  <c r="N229" i="25" s="1"/>
  <c r="BM229" i="25"/>
  <c r="BQ229" i="25" s="1"/>
  <c r="I309" i="25"/>
  <c r="BN309" i="25"/>
  <c r="AL181" i="25"/>
  <c r="CC181" i="25"/>
  <c r="H181" i="25"/>
  <c r="BM181" i="25"/>
  <c r="J181" i="25"/>
  <c r="I228" i="25"/>
  <c r="BN228" i="25"/>
  <c r="AL249" i="25"/>
  <c r="CC249" i="25"/>
  <c r="H249" i="25"/>
  <c r="J249" i="25"/>
  <c r="L249" i="25" s="1"/>
  <c r="BM249" i="25"/>
  <c r="BN33" i="25"/>
  <c r="I33" i="25"/>
  <c r="H240" i="25"/>
  <c r="CC240" i="25"/>
  <c r="AL240" i="25"/>
  <c r="J240" i="25"/>
  <c r="N240" i="25" s="1"/>
  <c r="BM240" i="25"/>
  <c r="BQ240" i="25" s="1"/>
  <c r="H203" i="24"/>
  <c r="AM203" i="24"/>
  <c r="I203" i="24"/>
  <c r="K203" i="24" s="1"/>
  <c r="BO203" i="24"/>
  <c r="BR203" i="24" s="1"/>
  <c r="H49" i="24"/>
  <c r="AM49" i="24"/>
  <c r="CF49" i="24"/>
  <c r="CE49" i="24"/>
  <c r="K49" i="24"/>
  <c r="I49" i="24"/>
  <c r="M294" i="24"/>
  <c r="N294" i="24" s="1"/>
  <c r="CE218" i="24"/>
  <c r="H218" i="24"/>
  <c r="CF218" i="24"/>
  <c r="AM218" i="24"/>
  <c r="I218" i="24"/>
  <c r="M218" i="24" s="1"/>
  <c r="BO218" i="24"/>
  <c r="BR218" i="24" s="1"/>
  <c r="CF227" i="24"/>
  <c r="AM227" i="24"/>
  <c r="CE227" i="24"/>
  <c r="H227" i="24"/>
  <c r="BO227" i="24"/>
  <c r="BR227" i="24" s="1"/>
  <c r="I227" i="24"/>
  <c r="M227" i="24" s="1"/>
  <c r="BM158" i="25"/>
  <c r="AL277" i="25"/>
  <c r="CC277" i="25"/>
  <c r="H277" i="25"/>
  <c r="J277" i="25"/>
  <c r="L277" i="25" s="1"/>
  <c r="H78" i="24"/>
  <c r="CF78" i="24"/>
  <c r="CE78" i="24"/>
  <c r="AM78" i="24"/>
  <c r="K78" i="24"/>
  <c r="H11" i="24"/>
  <c r="CF11" i="24"/>
  <c r="CE11" i="24"/>
  <c r="AM11" i="24"/>
  <c r="K11" i="24"/>
  <c r="I11" i="24"/>
  <c r="CE183" i="24"/>
  <c r="H183" i="24"/>
  <c r="CF183" i="24"/>
  <c r="AM183" i="24"/>
  <c r="I183" i="24"/>
  <c r="H235" i="25"/>
  <c r="AL235" i="25"/>
  <c r="CC235" i="25"/>
  <c r="J235" i="25"/>
  <c r="L235" i="25" s="1"/>
  <c r="BM235" i="25"/>
  <c r="AL304" i="25"/>
  <c r="CC304" i="25"/>
  <c r="H304" i="25"/>
  <c r="I234" i="25"/>
  <c r="BN234" i="25"/>
  <c r="AL289" i="25"/>
  <c r="CC289" i="25"/>
  <c r="H289" i="25"/>
  <c r="BM289" i="25"/>
  <c r="J289" i="25"/>
  <c r="I184" i="25"/>
  <c r="BN184" i="25"/>
  <c r="AL101" i="25"/>
  <c r="CC101" i="25"/>
  <c r="H101" i="25"/>
  <c r="J101" i="25"/>
  <c r="BM101" i="25"/>
  <c r="H45" i="25"/>
  <c r="AL45" i="25"/>
  <c r="CC45" i="25"/>
  <c r="J45" i="25"/>
  <c r="L45" i="25" s="1"/>
  <c r="H306" i="24"/>
  <c r="AM306" i="24"/>
  <c r="I306" i="24"/>
  <c r="M306" i="24" s="1"/>
  <c r="H220" i="24"/>
  <c r="CE220" i="24"/>
  <c r="CF220" i="24"/>
  <c r="AM220" i="24"/>
  <c r="BO220" i="24"/>
  <c r="BR220" i="24" s="1"/>
  <c r="I220" i="24"/>
  <c r="K220" i="24" s="1"/>
  <c r="CE156" i="24"/>
  <c r="AM156" i="24"/>
  <c r="H156" i="24"/>
  <c r="CF156" i="24"/>
  <c r="I156" i="24"/>
  <c r="BO156" i="24"/>
  <c r="BR156" i="24" s="1"/>
  <c r="CE300" i="24"/>
  <c r="CF300" i="24"/>
  <c r="H300" i="24"/>
  <c r="AM300" i="24"/>
  <c r="I300" i="24"/>
  <c r="BO300" i="24"/>
  <c r="BR300" i="24" s="1"/>
  <c r="CF42" i="24"/>
  <c r="AM42" i="24"/>
  <c r="CE42" i="24"/>
  <c r="K42" i="24"/>
  <c r="H42" i="24"/>
  <c r="I42" i="24"/>
  <c r="AM311" i="24"/>
  <c r="H311" i="24"/>
  <c r="CE311" i="24"/>
  <c r="I311" i="24"/>
  <c r="K311" i="24" s="1"/>
  <c r="H80" i="25"/>
  <c r="CC80" i="25"/>
  <c r="AL80" i="25"/>
  <c r="J80" i="25"/>
  <c r="L80" i="25" s="1"/>
  <c r="AL311" i="25"/>
  <c r="CC311" i="25"/>
  <c r="H311" i="25"/>
  <c r="J311" i="25"/>
  <c r="L311" i="25" s="1"/>
  <c r="BM311" i="25"/>
  <c r="AL307" i="25"/>
  <c r="CC307" i="25"/>
  <c r="H307" i="25"/>
  <c r="J307" i="25"/>
  <c r="BM307" i="25"/>
  <c r="CE308" i="24"/>
  <c r="AM308" i="24"/>
  <c r="H308" i="24"/>
  <c r="I308" i="24"/>
  <c r="K308" i="24" s="1"/>
  <c r="BO308" i="24"/>
  <c r="BR308" i="24" s="1"/>
  <c r="AM271" i="24"/>
  <c r="H271" i="24"/>
  <c r="CE271" i="24"/>
  <c r="CF271" i="24"/>
  <c r="BO271" i="24"/>
  <c r="BR271" i="24" s="1"/>
  <c r="I271" i="24"/>
  <c r="M271" i="24" s="1"/>
  <c r="N271" i="24" s="1"/>
  <c r="AM181" i="24"/>
  <c r="CF181" i="24"/>
  <c r="H181" i="24"/>
  <c r="CE181" i="24"/>
  <c r="I181" i="24"/>
  <c r="M181" i="24" s="1"/>
  <c r="N181" i="24" s="1"/>
  <c r="CE58" i="24"/>
  <c r="K58" i="24"/>
  <c r="H58" i="24"/>
  <c r="AM58" i="24"/>
  <c r="CF58" i="24"/>
  <c r="I58" i="24"/>
  <c r="K84" i="24"/>
  <c r="H84" i="24"/>
  <c r="AM84" i="24"/>
  <c r="CF84" i="24"/>
  <c r="CE84" i="24"/>
  <c r="BO84" i="24"/>
  <c r="BR84" i="24" s="1"/>
  <c r="I84" i="24"/>
  <c r="K51" i="24"/>
  <c r="AM51" i="24"/>
  <c r="H51" i="24"/>
  <c r="CF51" i="24"/>
  <c r="CE51" i="24"/>
  <c r="I51" i="24"/>
  <c r="BO51" i="24"/>
  <c r="BR51" i="24" s="1"/>
  <c r="K43" i="24"/>
  <c r="H43" i="24"/>
  <c r="AM43" i="24"/>
  <c r="CE43" i="24"/>
  <c r="CF43" i="24"/>
  <c r="I43" i="24"/>
  <c r="M43" i="24" s="1"/>
  <c r="N43" i="24" s="1"/>
  <c r="BO43" i="24"/>
  <c r="BR43" i="24" s="1"/>
  <c r="I158" i="25"/>
  <c r="AL115" i="25"/>
  <c r="H115" i="25"/>
  <c r="CC115" i="25"/>
  <c r="J115" i="25"/>
  <c r="BM115" i="25"/>
  <c r="BQ115" i="25" s="1"/>
  <c r="BN7" i="25"/>
  <c r="CF44" i="24"/>
  <c r="K44" i="24"/>
  <c r="H44" i="24"/>
  <c r="AM44" i="24"/>
  <c r="CE44" i="24"/>
  <c r="M44" i="24"/>
  <c r="N44" i="24" s="1"/>
  <c r="BO44" i="24"/>
  <c r="BR44" i="24" s="1"/>
  <c r="AL31" i="25"/>
  <c r="CC31" i="25"/>
  <c r="CE31" i="25"/>
  <c r="CF31" i="25"/>
  <c r="H31" i="25"/>
  <c r="J31" i="25"/>
  <c r="N31" i="25" s="1"/>
  <c r="BM31" i="25"/>
  <c r="CF115" i="24"/>
  <c r="CE115" i="24"/>
  <c r="AM115" i="24"/>
  <c r="H115" i="24"/>
  <c r="I115" i="24"/>
  <c r="BO115" i="24"/>
  <c r="BR115" i="24" s="1"/>
  <c r="BK191" i="24"/>
  <c r="S191" i="24"/>
  <c r="T191" i="24" s="1"/>
  <c r="M191" i="24"/>
  <c r="N191" i="24" s="1"/>
  <c r="CE246" i="24"/>
  <c r="CF246" i="24"/>
  <c r="H246" i="24"/>
  <c r="AM246" i="24"/>
  <c r="I246" i="24"/>
  <c r="BO246" i="24"/>
  <c r="BR246" i="24" s="1"/>
  <c r="I229" i="25"/>
  <c r="BK101" i="24"/>
  <c r="S101" i="24"/>
  <c r="T101" i="24" s="1"/>
  <c r="BK292" i="24"/>
  <c r="S292" i="24"/>
  <c r="T292" i="24" s="1"/>
  <c r="M292" i="24"/>
  <c r="N292" i="24" s="1"/>
  <c r="BN289" i="25"/>
  <c r="BN19" i="25"/>
  <c r="BN154" i="25"/>
  <c r="BN61" i="25"/>
  <c r="BM313" i="25"/>
  <c r="BM308" i="25"/>
  <c r="BM128" i="25"/>
  <c r="BQ128" i="25" s="1"/>
  <c r="BM174" i="25"/>
  <c r="BO128" i="24"/>
  <c r="BR128" i="24" s="1"/>
  <c r="I151" i="24"/>
  <c r="K151" i="24" s="1"/>
  <c r="H102" i="25"/>
  <c r="AL102" i="25"/>
  <c r="CC102" i="25"/>
  <c r="J102" i="25"/>
  <c r="BM102" i="25"/>
  <c r="AL254" i="25"/>
  <c r="CC254" i="25"/>
  <c r="H254" i="25"/>
  <c r="BM254" i="25"/>
  <c r="J254" i="25"/>
  <c r="L254" i="25" s="1"/>
  <c r="H161" i="25"/>
  <c r="AL161" i="25"/>
  <c r="CC161" i="25"/>
  <c r="J161" i="25"/>
  <c r="N161" i="25" s="1"/>
  <c r="BM161" i="25"/>
  <c r="CF86" i="25"/>
  <c r="CE86" i="25"/>
  <c r="AL86" i="25"/>
  <c r="H86" i="25"/>
  <c r="CC86" i="25"/>
  <c r="BM86" i="25"/>
  <c r="J86" i="25"/>
  <c r="BN170" i="25"/>
  <c r="I170" i="25"/>
  <c r="AM35" i="24"/>
  <c r="CF35" i="24"/>
  <c r="CE35" i="24"/>
  <c r="K35" i="24"/>
  <c r="H35" i="24"/>
  <c r="I35" i="24"/>
  <c r="BO35" i="24"/>
  <c r="BR35" i="24" s="1"/>
  <c r="AL10" i="25"/>
  <c r="CF10" i="25"/>
  <c r="CE10" i="25"/>
  <c r="H10" i="25"/>
  <c r="CC10" i="25"/>
  <c r="J10" i="25"/>
  <c r="L10" i="25" s="1"/>
  <c r="H147" i="25"/>
  <c r="AL147" i="25"/>
  <c r="CC147" i="25"/>
  <c r="J147" i="25"/>
  <c r="N147" i="25" s="1"/>
  <c r="BM147" i="25"/>
  <c r="AL220" i="25"/>
  <c r="CC220" i="25"/>
  <c r="H220" i="25"/>
  <c r="J220" i="25"/>
  <c r="L220" i="25" s="1"/>
  <c r="CC144" i="25"/>
  <c r="AL144" i="25"/>
  <c r="H144" i="25"/>
  <c r="BM144" i="25"/>
  <c r="J144" i="25"/>
  <c r="AL148" i="25"/>
  <c r="H148" i="25"/>
  <c r="CC148" i="25"/>
  <c r="J148" i="25"/>
  <c r="N148" i="25" s="1"/>
  <c r="BM148" i="25"/>
  <c r="AL292" i="25"/>
  <c r="CC292" i="25"/>
  <c r="H292" i="25"/>
  <c r="J292" i="25"/>
  <c r="N292" i="25" s="1"/>
  <c r="BN124" i="25"/>
  <c r="I124" i="25"/>
  <c r="BN89" i="25"/>
  <c r="I89" i="25"/>
  <c r="H247" i="25"/>
  <c r="AL247" i="25"/>
  <c r="CC247" i="25"/>
  <c r="J247" i="25"/>
  <c r="N247" i="25" s="1"/>
  <c r="BN272" i="25"/>
  <c r="I272" i="25"/>
  <c r="H66" i="25"/>
  <c r="AL66" i="25"/>
  <c r="CC66" i="25"/>
  <c r="CF66" i="25"/>
  <c r="CE66" i="25"/>
  <c r="J66" i="25"/>
  <c r="L66" i="25" s="1"/>
  <c r="CF153" i="24"/>
  <c r="AM153" i="24"/>
  <c r="H153" i="24"/>
  <c r="CE153" i="24"/>
  <c r="I153" i="24"/>
  <c r="K153" i="24" s="1"/>
  <c r="BO153" i="24"/>
  <c r="BR153" i="24" s="1"/>
  <c r="CE234" i="24"/>
  <c r="H234" i="24"/>
  <c r="CF234" i="24"/>
  <c r="AM234" i="24"/>
  <c r="I234" i="24"/>
  <c r="M234" i="24" s="1"/>
  <c r="BO234" i="24"/>
  <c r="BR234" i="24" s="1"/>
  <c r="CE279" i="24"/>
  <c r="AM279" i="24"/>
  <c r="H279" i="24"/>
  <c r="I279" i="24"/>
  <c r="M279" i="24" s="1"/>
  <c r="BO279" i="24"/>
  <c r="BR279" i="24" s="1"/>
  <c r="AM98" i="24"/>
  <c r="K98" i="24"/>
  <c r="H98" i="24"/>
  <c r="I98" i="24"/>
  <c r="AM85" i="24"/>
  <c r="CF85" i="24"/>
  <c r="CE85" i="24"/>
  <c r="K85" i="24"/>
  <c r="H85" i="24"/>
  <c r="BO85" i="24"/>
  <c r="BR85" i="24" s="1"/>
  <c r="K59" i="24"/>
  <c r="AM59" i="24"/>
  <c r="H59" i="24"/>
  <c r="CF59" i="24"/>
  <c r="CE59" i="24"/>
  <c r="I59" i="24"/>
  <c r="I78" i="25"/>
  <c r="BN78" i="25"/>
  <c r="CC173" i="25"/>
  <c r="H173" i="25"/>
  <c r="AL173" i="25"/>
  <c r="J173" i="25"/>
  <c r="N173" i="25" s="1"/>
  <c r="BM173" i="25"/>
  <c r="I172" i="25"/>
  <c r="BN172" i="25"/>
  <c r="H65" i="25"/>
  <c r="CF65" i="25"/>
  <c r="AL65" i="25"/>
  <c r="CC65" i="25"/>
  <c r="CE65" i="25"/>
  <c r="BM65" i="25"/>
  <c r="J65" i="25"/>
  <c r="L65" i="25" s="1"/>
  <c r="I261" i="25"/>
  <c r="BN261" i="25"/>
  <c r="AL251" i="25"/>
  <c r="CC251" i="25"/>
  <c r="H251" i="25"/>
  <c r="J251" i="25"/>
  <c r="L251" i="25" s="1"/>
  <c r="AM297" i="24"/>
  <c r="H297" i="24"/>
  <c r="CE297" i="24"/>
  <c r="I297" i="24"/>
  <c r="BO297" i="24"/>
  <c r="BR297" i="24" s="1"/>
  <c r="AM40" i="24"/>
  <c r="K40" i="24"/>
  <c r="H40" i="24"/>
  <c r="CE40" i="24"/>
  <c r="CF40" i="24"/>
  <c r="BO40" i="24"/>
  <c r="BR40" i="24" s="1"/>
  <c r="I40" i="24"/>
  <c r="M40" i="24" s="1"/>
  <c r="H294" i="24"/>
  <c r="CE294" i="24"/>
  <c r="K294" i="24"/>
  <c r="CF294" i="24"/>
  <c r="AM294" i="24"/>
  <c r="BO294" i="24"/>
  <c r="BR294" i="24" s="1"/>
  <c r="CE287" i="24"/>
  <c r="CF287" i="24"/>
  <c r="AM287" i="24"/>
  <c r="H287" i="24"/>
  <c r="I287" i="24"/>
  <c r="M287" i="24" s="1"/>
  <c r="BO287" i="24"/>
  <c r="BR287" i="24" s="1"/>
  <c r="CE226" i="24"/>
  <c r="CF226" i="24"/>
  <c r="AM226" i="24"/>
  <c r="H226" i="24"/>
  <c r="I226" i="24"/>
  <c r="M226" i="24" s="1"/>
  <c r="BO226" i="24"/>
  <c r="BR226" i="24" s="1"/>
  <c r="BO10" i="24"/>
  <c r="BR10" i="24" s="1"/>
  <c r="BO9" i="24"/>
  <c r="BR9" i="24" s="1"/>
  <c r="I201" i="25"/>
  <c r="BN201" i="25"/>
  <c r="AL167" i="25"/>
  <c r="CC167" i="25"/>
  <c r="H167" i="25"/>
  <c r="J167" i="25"/>
  <c r="N167" i="25" s="1"/>
  <c r="BM167" i="25"/>
  <c r="I166" i="25"/>
  <c r="BN166" i="25"/>
  <c r="H55" i="25"/>
  <c r="AL55" i="25"/>
  <c r="CC55" i="25"/>
  <c r="J55" i="25"/>
  <c r="BM55" i="25"/>
  <c r="I285" i="25"/>
  <c r="BN285" i="25"/>
  <c r="H306" i="25"/>
  <c r="AL306" i="25"/>
  <c r="CC306" i="25"/>
  <c r="J306" i="25"/>
  <c r="N306" i="25" s="1"/>
  <c r="BM306" i="25"/>
  <c r="I90" i="25"/>
  <c r="BN90" i="25"/>
  <c r="H263" i="25"/>
  <c r="AL263" i="25"/>
  <c r="CC263" i="25"/>
  <c r="J263" i="25"/>
  <c r="BM263" i="25"/>
  <c r="I314" i="25"/>
  <c r="BN314" i="25"/>
  <c r="H283" i="25"/>
  <c r="CC283" i="25"/>
  <c r="AL283" i="25"/>
  <c r="J283" i="25"/>
  <c r="N283" i="25" s="1"/>
  <c r="BM283" i="25"/>
  <c r="AL276" i="25"/>
  <c r="CC276" i="25"/>
  <c r="H276" i="25"/>
  <c r="J276" i="25"/>
  <c r="N276" i="25" s="1"/>
  <c r="BM276" i="25"/>
  <c r="H208" i="24"/>
  <c r="AM208" i="24"/>
  <c r="I208" i="24"/>
  <c r="BO208" i="24"/>
  <c r="BR208" i="24" s="1"/>
  <c r="CE8" i="24"/>
  <c r="H8" i="24"/>
  <c r="CF8" i="24"/>
  <c r="AM8" i="24"/>
  <c r="K8" i="24"/>
  <c r="I8" i="24"/>
  <c r="BO8" i="24"/>
  <c r="BR8" i="24" s="1"/>
  <c r="CE13" i="24"/>
  <c r="AM13" i="24"/>
  <c r="K13" i="24"/>
  <c r="H13" i="24"/>
  <c r="CF13" i="24"/>
  <c r="BO13" i="24"/>
  <c r="BR13" i="24" s="1"/>
  <c r="I13" i="24"/>
  <c r="AM200" i="24"/>
  <c r="H200" i="24"/>
  <c r="I200" i="24"/>
  <c r="M200" i="24" s="1"/>
  <c r="BO200" i="24"/>
  <c r="BR200" i="24" s="1"/>
  <c r="AM81" i="24"/>
  <c r="K81" i="24"/>
  <c r="H81" i="24"/>
  <c r="I81" i="24"/>
  <c r="CF150" i="24"/>
  <c r="CE150" i="24"/>
  <c r="AM150" i="24"/>
  <c r="H150" i="24"/>
  <c r="I150" i="24"/>
  <c r="M150" i="24" s="1"/>
  <c r="N150" i="24" s="1"/>
  <c r="AM284" i="24"/>
  <c r="H284" i="24"/>
  <c r="CE284" i="24"/>
  <c r="I284" i="24"/>
  <c r="H117" i="25"/>
  <c r="AL117" i="25"/>
  <c r="CC117" i="25"/>
  <c r="BM117" i="25"/>
  <c r="CC290" i="25"/>
  <c r="H290" i="25"/>
  <c r="AL290" i="25"/>
  <c r="J290" i="25"/>
  <c r="BM290" i="25"/>
  <c r="BQ290" i="25" s="1"/>
  <c r="CF87" i="24"/>
  <c r="CE87" i="24"/>
  <c r="K87" i="24"/>
  <c r="H87" i="24"/>
  <c r="AM87" i="24"/>
  <c r="I87" i="24"/>
  <c r="BO87" i="24"/>
  <c r="BR87" i="24" s="1"/>
  <c r="H187" i="24"/>
  <c r="CF187" i="24"/>
  <c r="CE187" i="24"/>
  <c r="AM187" i="24"/>
  <c r="I187" i="24"/>
  <c r="K187" i="24" s="1"/>
  <c r="BO187" i="24"/>
  <c r="BR187" i="24" s="1"/>
  <c r="H200" i="25"/>
  <c r="CC200" i="25"/>
  <c r="AL200" i="25"/>
  <c r="BM200" i="25"/>
  <c r="BQ200" i="25" s="1"/>
  <c r="J200" i="25"/>
  <c r="L200" i="25" s="1"/>
  <c r="AL198" i="25"/>
  <c r="CC198" i="25"/>
  <c r="H198" i="25"/>
  <c r="J198" i="25"/>
  <c r="N198" i="25" s="1"/>
  <c r="BM198" i="25"/>
  <c r="BK119" i="24"/>
  <c r="S119" i="24"/>
  <c r="T119" i="24" s="1"/>
  <c r="M119" i="24"/>
  <c r="N119" i="24" s="1"/>
  <c r="CE159" i="24"/>
  <c r="H159" i="24"/>
  <c r="AM159" i="24"/>
  <c r="CF159" i="24"/>
  <c r="I159" i="24"/>
  <c r="BO159" i="24"/>
  <c r="BR159" i="24" s="1"/>
  <c r="H188" i="24"/>
  <c r="CE188" i="24"/>
  <c r="AM188" i="24"/>
  <c r="CF188" i="24"/>
  <c r="BO188" i="24"/>
  <c r="BR188" i="24" s="1"/>
  <c r="I188" i="24"/>
  <c r="M188" i="24" s="1"/>
  <c r="N188" i="24" s="1"/>
  <c r="BN144" i="25"/>
  <c r="BI190" i="25"/>
  <c r="N190" i="25"/>
  <c r="T190" i="25" s="1"/>
  <c r="I71" i="25"/>
  <c r="BN71" i="25"/>
  <c r="AM263" i="24"/>
  <c r="CE263" i="24"/>
  <c r="H263" i="24"/>
  <c r="BO263" i="24"/>
  <c r="BR263" i="24" s="1"/>
  <c r="K104" i="24"/>
  <c r="H104" i="24"/>
  <c r="AM104" i="24"/>
  <c r="I104" i="24"/>
  <c r="BO104" i="24"/>
  <c r="BR104" i="24" s="1"/>
  <c r="I10" i="25"/>
  <c r="BN281" i="25"/>
  <c r="I122" i="25"/>
  <c r="BN122" i="25"/>
  <c r="BM304" i="25"/>
  <c r="BM153" i="25"/>
  <c r="BQ153" i="25" s="1"/>
  <c r="BO248" i="24"/>
  <c r="BR248" i="24" s="1"/>
  <c r="J117" i="25"/>
  <c r="L117" i="25" s="1"/>
  <c r="J15" i="25"/>
  <c r="L15" i="25" s="1"/>
  <c r="I25" i="24"/>
  <c r="M25" i="24" s="1"/>
  <c r="N25" i="24" s="1"/>
  <c r="I112" i="24"/>
  <c r="I263" i="24"/>
  <c r="J171" i="25"/>
  <c r="L171" i="25" s="1"/>
  <c r="I102" i="25"/>
  <c r="BN102" i="25"/>
  <c r="I262" i="25"/>
  <c r="BN262" i="25"/>
  <c r="BQ262" i="25" s="1"/>
  <c r="BN86" i="25"/>
  <c r="I86" i="25"/>
  <c r="AL281" i="25"/>
  <c r="CC281" i="25"/>
  <c r="H281" i="25"/>
  <c r="BM281" i="25"/>
  <c r="J281" i="25"/>
  <c r="L281" i="25" s="1"/>
  <c r="BN25" i="25"/>
  <c r="I25" i="25"/>
  <c r="H144" i="24"/>
  <c r="CF144" i="24"/>
  <c r="CE144" i="24"/>
  <c r="AM144" i="24"/>
  <c r="I144" i="24"/>
  <c r="BO144" i="24"/>
  <c r="BR144" i="24" s="1"/>
  <c r="H92" i="25"/>
  <c r="AL92" i="25"/>
  <c r="CC92" i="25"/>
  <c r="J92" i="25"/>
  <c r="N92" i="25" s="1"/>
  <c r="AM222" i="24"/>
  <c r="H222" i="24"/>
  <c r="CE222" i="24"/>
  <c r="CF222" i="24"/>
  <c r="I222" i="24"/>
  <c r="BO222" i="24"/>
  <c r="BR222" i="24" s="1"/>
  <c r="H154" i="24"/>
  <c r="CF154" i="24"/>
  <c r="CE154" i="24"/>
  <c r="AM154" i="24"/>
  <c r="I154" i="24"/>
  <c r="CC238" i="25"/>
  <c r="H238" i="25"/>
  <c r="AL238" i="25"/>
  <c r="J238" i="25"/>
  <c r="N238" i="25" s="1"/>
  <c r="BM238" i="25"/>
  <c r="H175" i="25"/>
  <c r="AL175" i="25"/>
  <c r="CC175" i="25"/>
  <c r="BM175" i="25"/>
  <c r="J175" i="25"/>
  <c r="CC142" i="25"/>
  <c r="H142" i="25"/>
  <c r="AL142" i="25"/>
  <c r="BM142" i="25"/>
  <c r="J142" i="25"/>
  <c r="L142" i="25" s="1"/>
  <c r="I14" i="25"/>
  <c r="BN14" i="25"/>
  <c r="AL12" i="25"/>
  <c r="CC12" i="25"/>
  <c r="H12" i="25"/>
  <c r="CF12" i="25"/>
  <c r="CE12" i="25"/>
  <c r="J12" i="25"/>
  <c r="L12" i="25" s="1"/>
  <c r="BM12" i="25"/>
  <c r="CE231" i="24"/>
  <c r="CF231" i="24"/>
  <c r="H231" i="24"/>
  <c r="AM231" i="24"/>
  <c r="I231" i="24"/>
  <c r="M231" i="24" s="1"/>
  <c r="BO231" i="24"/>
  <c r="BR231" i="24" s="1"/>
  <c r="AM27" i="24"/>
  <c r="CF27" i="24"/>
  <c r="K27" i="24"/>
  <c r="CE27" i="24"/>
  <c r="H27" i="24"/>
  <c r="I27" i="24"/>
  <c r="M27" i="24" s="1"/>
  <c r="N27" i="24" s="1"/>
  <c r="BO27" i="24"/>
  <c r="BR27" i="24" s="1"/>
  <c r="AM245" i="24"/>
  <c r="H245" i="24"/>
  <c r="CE245" i="24"/>
  <c r="I245" i="24"/>
  <c r="AM34" i="24"/>
  <c r="CE34" i="24"/>
  <c r="CF34" i="24"/>
  <c r="K34" i="24"/>
  <c r="H34" i="24"/>
  <c r="BO34" i="24"/>
  <c r="BR34" i="24" s="1"/>
  <c r="I34" i="24"/>
  <c r="AM92" i="24"/>
  <c r="K92" i="24"/>
  <c r="H92" i="24"/>
  <c r="BO92" i="24"/>
  <c r="BR92" i="24" s="1"/>
  <c r="I92" i="24"/>
  <c r="AL87" i="25"/>
  <c r="CF87" i="25"/>
  <c r="CE87" i="25"/>
  <c r="H87" i="25"/>
  <c r="CC87" i="25"/>
  <c r="AL82" i="25"/>
  <c r="CC82" i="25"/>
  <c r="H82" i="25"/>
  <c r="J82" i="25"/>
  <c r="N82" i="25" s="1"/>
  <c r="H150" i="25"/>
  <c r="AL150" i="25"/>
  <c r="CC150" i="25"/>
  <c r="BM150" i="25"/>
  <c r="J150" i="25"/>
  <c r="L150" i="25" s="1"/>
  <c r="BN32" i="25"/>
  <c r="I32" i="25"/>
  <c r="H99" i="25"/>
  <c r="AL99" i="25"/>
  <c r="CC99" i="25"/>
  <c r="CF99" i="25"/>
  <c r="CE99" i="25"/>
  <c r="J99" i="25"/>
  <c r="L99" i="25" s="1"/>
  <c r="BM99" i="25"/>
  <c r="I49" i="25"/>
  <c r="BN49" i="25"/>
  <c r="H297" i="25"/>
  <c r="AL297" i="25"/>
  <c r="CC297" i="25"/>
  <c r="J297" i="25"/>
  <c r="BM297" i="25"/>
  <c r="CF269" i="24"/>
  <c r="H269" i="24"/>
  <c r="AM269" i="24"/>
  <c r="CE269" i="24"/>
  <c r="I269" i="24"/>
  <c r="BO269" i="24"/>
  <c r="BR269" i="24" s="1"/>
  <c r="AM182" i="24"/>
  <c r="H182" i="24"/>
  <c r="I182" i="24"/>
  <c r="M182" i="24" s="1"/>
  <c r="N182" i="24" s="1"/>
  <c r="BO182" i="24"/>
  <c r="BR182" i="24" s="1"/>
  <c r="H76" i="24"/>
  <c r="CE76" i="24"/>
  <c r="CF76" i="24"/>
  <c r="AM76" i="24"/>
  <c r="K76" i="24"/>
  <c r="I76" i="24"/>
  <c r="M76" i="24" s="1"/>
  <c r="N76" i="24" s="1"/>
  <c r="BO76" i="24"/>
  <c r="BR76" i="24" s="1"/>
  <c r="K16" i="24"/>
  <c r="H16" i="24"/>
  <c r="AM16" i="24"/>
  <c r="CF16" i="24"/>
  <c r="CE16" i="24"/>
  <c r="I16" i="24"/>
  <c r="M16" i="24" s="1"/>
  <c r="BO16" i="24"/>
  <c r="BR16" i="24" s="1"/>
  <c r="H141" i="24"/>
  <c r="CF141" i="24"/>
  <c r="CE141" i="24"/>
  <c r="AM141" i="24"/>
  <c r="I141" i="24"/>
  <c r="K141" i="24" s="1"/>
  <c r="BO141" i="24"/>
  <c r="BR141" i="24" s="1"/>
  <c r="CF164" i="24"/>
  <c r="CE164" i="24"/>
  <c r="AM164" i="24"/>
  <c r="H164" i="24"/>
  <c r="I164" i="24"/>
  <c r="K164" i="24" s="1"/>
  <c r="K73" i="24"/>
  <c r="H73" i="24"/>
  <c r="AM73" i="24"/>
  <c r="I73" i="24"/>
  <c r="BO73" i="24"/>
  <c r="BR73" i="24" s="1"/>
  <c r="BM247" i="25"/>
  <c r="BQ247" i="25" s="1"/>
  <c r="CC130" i="25"/>
  <c r="AL130" i="25"/>
  <c r="H130" i="25"/>
  <c r="J130" i="25"/>
  <c r="L130" i="25" s="1"/>
  <c r="BM130" i="25"/>
  <c r="BQ130" i="25" s="1"/>
  <c r="H197" i="25"/>
  <c r="AL197" i="25"/>
  <c r="CC197" i="25"/>
  <c r="J197" i="25"/>
  <c r="BM197" i="25"/>
  <c r="BQ197" i="25" s="1"/>
  <c r="H104" i="25"/>
  <c r="AL104" i="25"/>
  <c r="CC104" i="25"/>
  <c r="BM104" i="25"/>
  <c r="H219" i="25"/>
  <c r="AL219" i="25"/>
  <c r="CC219" i="25"/>
  <c r="J219" i="25"/>
  <c r="L219" i="25" s="1"/>
  <c r="BM219" i="25"/>
  <c r="BN73" i="25"/>
  <c r="I73" i="25"/>
  <c r="AL271" i="25"/>
  <c r="H271" i="25"/>
  <c r="CC271" i="25"/>
  <c r="BM271" i="25"/>
  <c r="J271" i="25"/>
  <c r="L271" i="25" s="1"/>
  <c r="CE137" i="24"/>
  <c r="H137" i="24"/>
  <c r="CF137" i="24"/>
  <c r="AM137" i="24"/>
  <c r="BO137" i="24"/>
  <c r="BR137" i="24" s="1"/>
  <c r="I137" i="24"/>
  <c r="K137" i="24" s="1"/>
  <c r="H265" i="25"/>
  <c r="AL265" i="25"/>
  <c r="CC265" i="25"/>
  <c r="BM265" i="25"/>
  <c r="BK7" i="24"/>
  <c r="S7" i="24"/>
  <c r="T7" i="24" s="1"/>
  <c r="BK190" i="24"/>
  <c r="S190" i="24"/>
  <c r="T190" i="24" s="1"/>
  <c r="BO161" i="24"/>
  <c r="BR161" i="24" s="1"/>
  <c r="I226" i="25"/>
  <c r="BN226" i="25"/>
  <c r="I217" i="25"/>
  <c r="CF253" i="24"/>
  <c r="AM253" i="24"/>
  <c r="H253" i="24"/>
  <c r="CE253" i="24"/>
  <c r="I253" i="24"/>
  <c r="K253" i="24" s="1"/>
  <c r="BO253" i="24"/>
  <c r="BR253" i="24" s="1"/>
  <c r="H157" i="24"/>
  <c r="AM157" i="24"/>
  <c r="I157" i="24"/>
  <c r="K157" i="24" s="1"/>
  <c r="BO157" i="24"/>
  <c r="BR157" i="24" s="1"/>
  <c r="I264" i="25"/>
  <c r="BO306" i="24"/>
  <c r="BR306" i="24" s="1"/>
  <c r="J126" i="25"/>
  <c r="J174" i="25"/>
  <c r="N174" i="25" s="1"/>
  <c r="J73" i="25"/>
  <c r="L73" i="25" s="1"/>
  <c r="AM179" i="24"/>
  <c r="H179" i="24"/>
  <c r="H309" i="24"/>
  <c r="CE309" i="24"/>
  <c r="AM309" i="24"/>
  <c r="I309" i="24"/>
  <c r="K309" i="24" s="1"/>
  <c r="H232" i="24"/>
  <c r="CF232" i="24"/>
  <c r="AM232" i="24"/>
  <c r="CE232" i="24"/>
  <c r="I232" i="24"/>
  <c r="K232" i="24" s="1"/>
  <c r="CF304" i="24"/>
  <c r="AM304" i="24"/>
  <c r="H304" i="24"/>
  <c r="CE304" i="24"/>
  <c r="I304" i="24"/>
  <c r="K304" i="24" s="1"/>
  <c r="AL30" i="25"/>
  <c r="CC30" i="25"/>
  <c r="CE30" i="25"/>
  <c r="CF30" i="25"/>
  <c r="H30" i="25"/>
  <c r="J30" i="25"/>
  <c r="N30" i="25" s="1"/>
  <c r="H300" i="25"/>
  <c r="CC300" i="25"/>
  <c r="AL300" i="25"/>
  <c r="H266" i="25"/>
  <c r="AL266" i="25"/>
  <c r="CC266" i="25"/>
  <c r="CF176" i="24"/>
  <c r="CE176" i="24"/>
  <c r="AM176" i="24"/>
  <c r="H176" i="24"/>
  <c r="CF118" i="24"/>
  <c r="AM118" i="24"/>
  <c r="CE118" i="24"/>
  <c r="H118" i="24"/>
  <c r="CF117" i="24"/>
  <c r="H117" i="24"/>
  <c r="CE117" i="24"/>
  <c r="AM117" i="24"/>
  <c r="I117" i="24"/>
  <c r="AM12" i="24"/>
  <c r="K12" i="24"/>
  <c r="CE12" i="24"/>
  <c r="H12" i="24"/>
  <c r="CF12" i="24"/>
  <c r="CE266" i="24"/>
  <c r="CF266" i="24"/>
  <c r="H266" i="24"/>
  <c r="AM266" i="24"/>
  <c r="I266" i="24"/>
  <c r="K266" i="24" s="1"/>
  <c r="CF225" i="24"/>
  <c r="H225" i="24"/>
  <c r="AM225" i="24"/>
  <c r="CE225" i="24"/>
  <c r="I225" i="24"/>
  <c r="M225" i="24" s="1"/>
  <c r="N225" i="24" s="1"/>
  <c r="AM286" i="24"/>
  <c r="H286" i="24"/>
  <c r="CE286" i="24"/>
  <c r="I286" i="24"/>
  <c r="K286" i="24" s="1"/>
  <c r="AM41" i="24"/>
  <c r="CF41" i="24"/>
  <c r="CE41" i="24"/>
  <c r="K41" i="24"/>
  <c r="H41" i="24"/>
  <c r="BN34" i="25"/>
  <c r="BQ34" i="25" s="1"/>
  <c r="I34" i="25"/>
  <c r="H129" i="25"/>
  <c r="AL129" i="25"/>
  <c r="CC129" i="25"/>
  <c r="CC245" i="25"/>
  <c r="AL245" i="25"/>
  <c r="H245" i="25"/>
  <c r="CC105" i="25"/>
  <c r="AL105" i="25"/>
  <c r="H105" i="25"/>
  <c r="AL236" i="25"/>
  <c r="CC236" i="25"/>
  <c r="H236" i="25"/>
  <c r="J236" i="25"/>
  <c r="L236" i="25" s="1"/>
  <c r="CC145" i="25"/>
  <c r="H145" i="25"/>
  <c r="AL145" i="25"/>
  <c r="K22" i="24"/>
  <c r="H22" i="24"/>
  <c r="AM22" i="24"/>
  <c r="CF22" i="24"/>
  <c r="CE22" i="24"/>
  <c r="CE224" i="24"/>
  <c r="CF224" i="24"/>
  <c r="AM224" i="24"/>
  <c r="H224" i="24"/>
  <c r="AM143" i="24"/>
  <c r="H143" i="24"/>
  <c r="CE143" i="24"/>
  <c r="CF143" i="24"/>
  <c r="BN93" i="25"/>
  <c r="BQ93" i="25" s="1"/>
  <c r="I93" i="25"/>
  <c r="BN63" i="25"/>
  <c r="BQ63" i="25" s="1"/>
  <c r="I63" i="25"/>
  <c r="BN192" i="25"/>
  <c r="I192" i="25"/>
  <c r="J71" i="25"/>
  <c r="N71" i="25" s="1"/>
  <c r="BO12" i="24"/>
  <c r="BR12" i="24" s="1"/>
  <c r="BM94" i="25"/>
  <c r="BM162" i="25"/>
  <c r="BM169" i="25"/>
  <c r="BQ169" i="25" s="1"/>
  <c r="BO162" i="24"/>
  <c r="BR162" i="24" s="1"/>
  <c r="J125" i="25"/>
  <c r="L125" i="25" s="1"/>
  <c r="J203" i="25"/>
  <c r="L203" i="25" s="1"/>
  <c r="J13" i="25"/>
  <c r="N13" i="25" s="1"/>
  <c r="I147" i="24"/>
  <c r="M147" i="24" s="1"/>
  <c r="N147" i="24" s="1"/>
  <c r="I130" i="24"/>
  <c r="M130" i="24" s="1"/>
  <c r="BM13" i="25"/>
  <c r="BO119" i="24"/>
  <c r="BR119" i="24" s="1"/>
  <c r="BO33" i="24"/>
  <c r="BR33" i="24" s="1"/>
  <c r="BO19" i="24"/>
  <c r="BR19" i="24" s="1"/>
  <c r="BM8" i="25"/>
  <c r="BQ8" i="25" s="1"/>
  <c r="BM129" i="25"/>
  <c r="BO256" i="24"/>
  <c r="BR256" i="24" s="1"/>
  <c r="BO82" i="24"/>
  <c r="BR82" i="24" s="1"/>
  <c r="BO116" i="24"/>
  <c r="BR116" i="24" s="1"/>
  <c r="BO280" i="24"/>
  <c r="BR280" i="24" s="1"/>
  <c r="BO247" i="24"/>
  <c r="BR247" i="24" s="1"/>
  <c r="BM270" i="25"/>
  <c r="BM71" i="25"/>
  <c r="BM206" i="25"/>
  <c r="BQ206" i="25" s="1"/>
  <c r="I205" i="24"/>
  <c r="M205" i="24" s="1"/>
  <c r="N205" i="24" s="1"/>
  <c r="I116" i="24"/>
  <c r="M116" i="24" s="1"/>
  <c r="I97" i="24"/>
  <c r="M97" i="24" s="1"/>
  <c r="I194" i="24"/>
  <c r="K194" i="24" s="1"/>
  <c r="AM282" i="24"/>
  <c r="CE282" i="24"/>
  <c r="CF282" i="24"/>
  <c r="H282" i="24"/>
  <c r="I282" i="24"/>
  <c r="K282" i="24" s="1"/>
  <c r="CE126" i="24"/>
  <c r="CF126" i="24"/>
  <c r="AM126" i="24"/>
  <c r="H126" i="24"/>
  <c r="I126" i="24"/>
  <c r="AM102" i="24"/>
  <c r="K102" i="24"/>
  <c r="H102" i="24"/>
  <c r="I102" i="24"/>
  <c r="AL218" i="25"/>
  <c r="CC218" i="25"/>
  <c r="H218" i="25"/>
  <c r="J218" i="25"/>
  <c r="L218" i="25" s="1"/>
  <c r="CC176" i="25"/>
  <c r="AL176" i="25"/>
  <c r="H176" i="25"/>
  <c r="I126" i="25"/>
  <c r="BN126" i="25"/>
  <c r="H74" i="25"/>
  <c r="CC74" i="25"/>
  <c r="AL74" i="25"/>
  <c r="BN204" i="25"/>
  <c r="BN62" i="25"/>
  <c r="H120" i="25"/>
  <c r="AL120" i="25"/>
  <c r="CC120" i="25"/>
  <c r="J120" i="25"/>
  <c r="L120" i="25" s="1"/>
  <c r="CC194" i="25"/>
  <c r="AL194" i="25"/>
  <c r="H194" i="25"/>
  <c r="AL132" i="25"/>
  <c r="CC132" i="25"/>
  <c r="H132" i="25"/>
  <c r="CC208" i="25"/>
  <c r="AL208" i="25"/>
  <c r="H208" i="25"/>
  <c r="J208" i="25"/>
  <c r="L208" i="25" s="1"/>
  <c r="H55" i="24"/>
  <c r="K55" i="24"/>
  <c r="AM55" i="24"/>
  <c r="H63" i="24"/>
  <c r="K63" i="24"/>
  <c r="AM63" i="24"/>
  <c r="CF63" i="24"/>
  <c r="CE63" i="24"/>
  <c r="I63" i="24"/>
  <c r="K103" i="24"/>
  <c r="H103" i="24"/>
  <c r="AM103" i="24"/>
  <c r="I103" i="24"/>
  <c r="CF131" i="24"/>
  <c r="H131" i="24"/>
  <c r="AM131" i="24"/>
  <c r="CE131" i="24"/>
  <c r="I131" i="24"/>
  <c r="K131" i="24" s="1"/>
  <c r="H188" i="25"/>
  <c r="AL188" i="25"/>
  <c r="CC188" i="25"/>
  <c r="J188" i="25"/>
  <c r="L188" i="25" s="1"/>
  <c r="BN59" i="25"/>
  <c r="BN31" i="25"/>
  <c r="I6" i="25"/>
  <c r="BN6" i="25"/>
  <c r="BQ6" i="25" s="1"/>
  <c r="BN165" i="25"/>
  <c r="I165" i="25"/>
  <c r="CF198" i="24"/>
  <c r="AM198" i="24"/>
  <c r="CE198" i="24"/>
  <c r="H198" i="24"/>
  <c r="CE267" i="24"/>
  <c r="H267" i="24"/>
  <c r="AM267" i="24"/>
  <c r="H146" i="24"/>
  <c r="CF146" i="24"/>
  <c r="CE146" i="24"/>
  <c r="AM146" i="24"/>
  <c r="AM100" i="24"/>
  <c r="CE100" i="24"/>
  <c r="CF100" i="24"/>
  <c r="H100" i="24"/>
  <c r="K100" i="24"/>
  <c r="I100" i="24"/>
  <c r="H314" i="24"/>
  <c r="CF314" i="24"/>
  <c r="AM314" i="24"/>
  <c r="CE314" i="24"/>
  <c r="I314" i="24"/>
  <c r="H186" i="24"/>
  <c r="AM186" i="24"/>
  <c r="H99" i="24"/>
  <c r="AM99" i="24"/>
  <c r="CF99" i="24"/>
  <c r="K99" i="24"/>
  <c r="CE99" i="24"/>
  <c r="I99" i="24"/>
  <c r="CF125" i="24"/>
  <c r="CE125" i="24"/>
  <c r="AM125" i="24"/>
  <c r="H125" i="24"/>
  <c r="CE39" i="24"/>
  <c r="K39" i="24"/>
  <c r="AM39" i="24"/>
  <c r="H39" i="24"/>
  <c r="CF39" i="24"/>
  <c r="H296" i="24"/>
  <c r="AM296" i="24"/>
  <c r="CE296" i="24"/>
  <c r="CF296" i="24"/>
  <c r="AM75" i="24"/>
  <c r="K75" i="24"/>
  <c r="H75" i="24"/>
  <c r="CE75" i="24"/>
  <c r="CF75" i="24"/>
  <c r="CF38" i="24"/>
  <c r="CE38" i="24"/>
  <c r="K38" i="24"/>
  <c r="H38" i="24"/>
  <c r="AM38" i="24"/>
  <c r="I38" i="24"/>
  <c r="CF259" i="24"/>
  <c r="AM259" i="24"/>
  <c r="H259" i="24"/>
  <c r="CE259" i="24"/>
  <c r="I259" i="24"/>
  <c r="K259" i="24" s="1"/>
  <c r="AM261" i="24"/>
  <c r="H261" i="24"/>
  <c r="CE261" i="24"/>
  <c r="CF261" i="24"/>
  <c r="K74" i="24"/>
  <c r="AM74" i="24"/>
  <c r="H74" i="24"/>
  <c r="H277" i="24"/>
  <c r="CF277" i="24"/>
  <c r="AM277" i="24"/>
  <c r="I277" i="24"/>
  <c r="AL53" i="25"/>
  <c r="CC53" i="25"/>
  <c r="CE53" i="25"/>
  <c r="CF53" i="25"/>
  <c r="H53" i="25"/>
  <c r="J53" i="25"/>
  <c r="L53" i="25" s="1"/>
  <c r="CE11" i="25"/>
  <c r="AL11" i="25"/>
  <c r="CC11" i="25"/>
  <c r="H11" i="25"/>
  <c r="CF11" i="25"/>
  <c r="CC279" i="25"/>
  <c r="H279" i="25"/>
  <c r="AL279" i="25"/>
  <c r="I195" i="25"/>
  <c r="BN195" i="25"/>
  <c r="H157" i="25"/>
  <c r="AL157" i="25"/>
  <c r="CC157" i="25"/>
  <c r="AL163" i="25"/>
  <c r="CC163" i="25"/>
  <c r="H163" i="25"/>
  <c r="H190" i="25"/>
  <c r="AL190" i="25"/>
  <c r="CC190" i="25"/>
  <c r="I53" i="25"/>
  <c r="AM241" i="24"/>
  <c r="H241" i="24"/>
  <c r="CE241" i="24"/>
  <c r="I241" i="24"/>
  <c r="AL137" i="25"/>
  <c r="CC137" i="25"/>
  <c r="H137" i="25"/>
  <c r="BO170" i="24"/>
  <c r="BR170" i="24" s="1"/>
  <c r="BO190" i="24"/>
  <c r="BR190" i="24" s="1"/>
  <c r="J145" i="25"/>
  <c r="J165" i="25"/>
  <c r="L165" i="25" s="1"/>
  <c r="BO102" i="24"/>
  <c r="BR102" i="24" s="1"/>
  <c r="BO142" i="24"/>
  <c r="BR142" i="24" s="1"/>
  <c r="BM26" i="25"/>
  <c r="BQ26" i="25" s="1"/>
  <c r="BM11" i="25"/>
  <c r="BO179" i="24"/>
  <c r="BR179" i="24" s="1"/>
  <c r="BO143" i="24"/>
  <c r="BR143" i="24" s="1"/>
  <c r="J246" i="25"/>
  <c r="N246" i="25" s="1"/>
  <c r="I71" i="24"/>
  <c r="J210" i="25"/>
  <c r="L210" i="25" s="1"/>
  <c r="I74" i="24"/>
  <c r="I39" i="24"/>
  <c r="I179" i="24"/>
  <c r="I206" i="24"/>
  <c r="K206" i="24" s="1"/>
  <c r="I146" i="24"/>
  <c r="K146" i="24" s="1"/>
  <c r="I198" i="24"/>
  <c r="K198" i="24" s="1"/>
  <c r="I176" i="24"/>
  <c r="I12" i="24"/>
  <c r="CE247" i="24"/>
  <c r="CF247" i="24"/>
  <c r="H247" i="24"/>
  <c r="AM247" i="24"/>
  <c r="I247" i="24"/>
  <c r="K247" i="24" s="1"/>
  <c r="CF20" i="24"/>
  <c r="K20" i="24"/>
  <c r="H20" i="24"/>
  <c r="AM20" i="24"/>
  <c r="CE20" i="24"/>
  <c r="CF195" i="24"/>
  <c r="AM195" i="24"/>
  <c r="CE195" i="24"/>
  <c r="H195" i="24"/>
  <c r="AL177" i="25"/>
  <c r="H177" i="25"/>
  <c r="CC177" i="25"/>
  <c r="CE295" i="24"/>
  <c r="AM295" i="24"/>
  <c r="H295" i="24"/>
  <c r="I295" i="24"/>
  <c r="K295" i="24" s="1"/>
  <c r="AM122" i="24"/>
  <c r="CF122" i="24"/>
  <c r="CE122" i="24"/>
  <c r="H122" i="24"/>
  <c r="CF255" i="24"/>
  <c r="AM255" i="24"/>
  <c r="CE255" i="24"/>
  <c r="H255" i="24"/>
  <c r="I255" i="24"/>
  <c r="K255" i="24" s="1"/>
  <c r="AM19" i="24"/>
  <c r="CF19" i="24"/>
  <c r="CE19" i="24"/>
  <c r="K19" i="24"/>
  <c r="H19" i="24"/>
  <c r="I19" i="24"/>
  <c r="M19" i="24" s="1"/>
  <c r="H307" i="24"/>
  <c r="AM307" i="24"/>
  <c r="I307" i="24"/>
  <c r="M307" i="24" s="1"/>
  <c r="N307" i="24" s="1"/>
  <c r="AM167" i="24"/>
  <c r="CF167" i="24"/>
  <c r="CE167" i="24"/>
  <c r="H167" i="24"/>
  <c r="I167" i="24"/>
  <c r="K167" i="24" s="1"/>
  <c r="CC70" i="25"/>
  <c r="AL70" i="25"/>
  <c r="CE70" i="25"/>
  <c r="CF70" i="25"/>
  <c r="H70" i="25"/>
  <c r="CE37" i="25"/>
  <c r="CF37" i="25"/>
  <c r="CC37" i="25"/>
  <c r="AL37" i="25"/>
  <c r="H37" i="25"/>
  <c r="J37" i="25"/>
  <c r="BN152" i="25"/>
  <c r="BQ152" i="25" s="1"/>
  <c r="I152" i="25"/>
  <c r="CC182" i="25"/>
  <c r="H182" i="25"/>
  <c r="AL182" i="25"/>
  <c r="CE276" i="24"/>
  <c r="AM276" i="24"/>
  <c r="H276" i="24"/>
  <c r="I276" i="24"/>
  <c r="K276" i="24" s="1"/>
  <c r="CF280" i="24"/>
  <c r="H280" i="24"/>
  <c r="AM280" i="24"/>
  <c r="CE280" i="24"/>
  <c r="I280" i="24"/>
  <c r="AM191" i="24"/>
  <c r="K191" i="24"/>
  <c r="H191" i="24"/>
  <c r="CE133" i="24"/>
  <c r="H133" i="24"/>
  <c r="CF133" i="24"/>
  <c r="AM133" i="24"/>
  <c r="I133" i="24"/>
  <c r="M133" i="24" s="1"/>
  <c r="N133" i="24" s="1"/>
  <c r="CE251" i="24"/>
  <c r="CF251" i="24"/>
  <c r="H251" i="24"/>
  <c r="AM251" i="24"/>
  <c r="I251" i="24"/>
  <c r="K251" i="24" s="1"/>
  <c r="CF192" i="24"/>
  <c r="CE192" i="24"/>
  <c r="AM192" i="24"/>
  <c r="H192" i="24"/>
  <c r="I192" i="24"/>
  <c r="H129" i="24"/>
  <c r="CF129" i="24"/>
  <c r="CE129" i="24"/>
  <c r="AM129" i="24"/>
  <c r="K6" i="24"/>
  <c r="H6" i="24"/>
  <c r="AM6" i="24"/>
  <c r="CF6" i="24"/>
  <c r="CE6" i="24"/>
  <c r="I6" i="24"/>
  <c r="M6" i="24" s="1"/>
  <c r="N6" i="24" s="1"/>
  <c r="M21" i="24"/>
  <c r="N21" i="24" s="1"/>
  <c r="CF190" i="24"/>
  <c r="CE190" i="24"/>
  <c r="K190" i="24"/>
  <c r="AM190" i="24"/>
  <c r="H190" i="24"/>
  <c r="BO232" i="24"/>
  <c r="BR232" i="24" s="1"/>
  <c r="BN279" i="25"/>
  <c r="BQ279" i="25" s="1"/>
  <c r="CF58" i="25"/>
  <c r="CE58" i="25"/>
  <c r="AL58" i="25"/>
  <c r="CC58" i="25"/>
  <c r="H58" i="25"/>
  <c r="J58" i="25"/>
  <c r="H241" i="25"/>
  <c r="AL241" i="25"/>
  <c r="CC241" i="25"/>
  <c r="H9" i="25"/>
  <c r="CE9" i="25"/>
  <c r="CF9" i="25"/>
  <c r="AL9" i="25"/>
  <c r="CC9" i="25"/>
  <c r="H125" i="25"/>
  <c r="AL125" i="25"/>
  <c r="CC125" i="25"/>
  <c r="I29" i="25"/>
  <c r="M22" i="24"/>
  <c r="N22" i="24" s="1"/>
  <c r="H223" i="24"/>
  <c r="CE223" i="24"/>
  <c r="CF223" i="24"/>
  <c r="AM223" i="24"/>
  <c r="I223" i="24"/>
  <c r="K223" i="24" s="1"/>
  <c r="CE111" i="24"/>
  <c r="AM111" i="24"/>
  <c r="H111" i="24"/>
  <c r="J315" i="25"/>
  <c r="L315" i="25" s="1"/>
  <c r="J44" i="25"/>
  <c r="L44" i="25" s="1"/>
  <c r="BO286" i="24"/>
  <c r="BR286" i="24" s="1"/>
  <c r="I285" i="24"/>
  <c r="K285" i="24" s="1"/>
  <c r="J182" i="25"/>
  <c r="J279" i="25"/>
  <c r="J241" i="25"/>
  <c r="BM23" i="25"/>
  <c r="BQ23" i="25" s="1"/>
  <c r="J157" i="25"/>
  <c r="J81" i="25"/>
  <c r="L81" i="25" s="1"/>
  <c r="BO99" i="24"/>
  <c r="BR99" i="24" s="1"/>
  <c r="BM160" i="25"/>
  <c r="BQ160" i="25" s="1"/>
  <c r="J105" i="25"/>
  <c r="L105" i="25" s="1"/>
  <c r="J176" i="25"/>
  <c r="BO132" i="24"/>
  <c r="BR132" i="24" s="1"/>
  <c r="BM105" i="25"/>
  <c r="BO103" i="24"/>
  <c r="BR103" i="24" s="1"/>
  <c r="BO133" i="24"/>
  <c r="BR133" i="24" s="1"/>
  <c r="BO38" i="24"/>
  <c r="BR38" i="24" s="1"/>
  <c r="BM300" i="25"/>
  <c r="BQ300" i="25" s="1"/>
  <c r="BM194" i="25"/>
  <c r="I118" i="24"/>
  <c r="K118" i="24" s="1"/>
  <c r="BM9" i="25"/>
  <c r="BO191" i="24"/>
  <c r="BR191" i="24" s="1"/>
  <c r="BO276" i="24"/>
  <c r="BR276" i="24" s="1"/>
  <c r="BO266" i="24"/>
  <c r="BR266" i="24" s="1"/>
  <c r="BO224" i="24"/>
  <c r="BR224" i="24" s="1"/>
  <c r="I129" i="24"/>
  <c r="M129" i="24" s="1"/>
  <c r="N129" i="24" s="1"/>
  <c r="AL73" i="25"/>
  <c r="H73" i="25"/>
  <c r="CF73" i="25"/>
  <c r="CE73" i="25"/>
  <c r="CC73" i="25"/>
  <c r="AL246" i="25"/>
  <c r="CC246" i="25"/>
  <c r="H246" i="25"/>
  <c r="BN120" i="25"/>
  <c r="BN194" i="25"/>
  <c r="BN132" i="25"/>
  <c r="BN208" i="25"/>
  <c r="H116" i="24"/>
  <c r="CF116" i="24"/>
  <c r="AM116" i="24"/>
  <c r="CE116" i="24"/>
  <c r="CE256" i="24"/>
  <c r="H256" i="24"/>
  <c r="CF256" i="24"/>
  <c r="AM256" i="24"/>
  <c r="I256" i="24"/>
  <c r="AM205" i="24"/>
  <c r="H205" i="24"/>
  <c r="CC232" i="25"/>
  <c r="H232" i="25"/>
  <c r="AL232" i="25"/>
  <c r="J232" i="25"/>
  <c r="N232" i="25" s="1"/>
  <c r="CC180" i="25"/>
  <c r="H180" i="25"/>
  <c r="AL180" i="25"/>
  <c r="CC210" i="25"/>
  <c r="AL210" i="25"/>
  <c r="H210" i="25"/>
  <c r="CE163" i="24"/>
  <c r="CF163" i="24"/>
  <c r="H163" i="24"/>
  <c r="AM163" i="24"/>
  <c r="I163" i="24"/>
  <c r="M163" i="24" s="1"/>
  <c r="N163" i="24" s="1"/>
  <c r="CF302" i="24"/>
  <c r="AM302" i="24"/>
  <c r="H302" i="24"/>
  <c r="I302" i="24"/>
  <c r="K302" i="24" s="1"/>
  <c r="K50" i="24"/>
  <c r="H50" i="24"/>
  <c r="AM50" i="24"/>
  <c r="CF50" i="24"/>
  <c r="CE50" i="24"/>
  <c r="AM162" i="24"/>
  <c r="K162" i="24"/>
  <c r="H162" i="24"/>
  <c r="H56" i="24"/>
  <c r="AM56" i="24"/>
  <c r="K56" i="24"/>
  <c r="H21" i="24"/>
  <c r="CF21" i="24"/>
  <c r="CE21" i="24"/>
  <c r="K21" i="24"/>
  <c r="AM21" i="24"/>
  <c r="BM177" i="25"/>
  <c r="BM266" i="25"/>
  <c r="BQ266" i="25" s="1"/>
  <c r="AL226" i="25"/>
  <c r="CC226" i="25"/>
  <c r="H226" i="25"/>
  <c r="BN157" i="25"/>
  <c r="BN163" i="25"/>
  <c r="CC162" i="25"/>
  <c r="AL162" i="25"/>
  <c r="H162" i="25"/>
  <c r="BN190" i="25"/>
  <c r="AL16" i="25"/>
  <c r="CC16" i="25"/>
  <c r="H16" i="25"/>
  <c r="CF16" i="25"/>
  <c r="CE16" i="25"/>
  <c r="AL71" i="25"/>
  <c r="H71" i="25"/>
  <c r="CC71" i="25"/>
  <c r="H42" i="25"/>
  <c r="AL42" i="25"/>
  <c r="CC42" i="25"/>
  <c r="CE42" i="25"/>
  <c r="CF42" i="25"/>
  <c r="K96" i="24"/>
  <c r="H96" i="24"/>
  <c r="AM96" i="24"/>
  <c r="CF96" i="24"/>
  <c r="CE96" i="24"/>
  <c r="CF97" i="24"/>
  <c r="CE97" i="24"/>
  <c r="AM97" i="24"/>
  <c r="H97" i="24"/>
  <c r="K97" i="24"/>
  <c r="CF145" i="24"/>
  <c r="CE145" i="24"/>
  <c r="AM145" i="24"/>
  <c r="H145" i="24"/>
  <c r="I145" i="24"/>
  <c r="H138" i="24"/>
  <c r="CF138" i="24"/>
  <c r="AM138" i="24"/>
  <c r="CE138" i="24"/>
  <c r="AL122" i="25"/>
  <c r="CC122" i="25"/>
  <c r="H122" i="25"/>
  <c r="J122" i="25"/>
  <c r="L122" i="25" s="1"/>
  <c r="BM73" i="25"/>
  <c r="BO21" i="24"/>
  <c r="BR21" i="24" s="1"/>
  <c r="BO39" i="24"/>
  <c r="BR39" i="24" s="1"/>
  <c r="BO225" i="24"/>
  <c r="BR225" i="24" s="1"/>
  <c r="BM195" i="25"/>
  <c r="BO295" i="24"/>
  <c r="BR295" i="24" s="1"/>
  <c r="BO309" i="24"/>
  <c r="BR309" i="24" s="1"/>
  <c r="J300" i="25"/>
  <c r="L300" i="25" s="1"/>
  <c r="J245" i="25"/>
  <c r="J137" i="25"/>
  <c r="J6" i="25"/>
  <c r="N6" i="25" s="1"/>
  <c r="T6" i="25" s="1"/>
  <c r="BM52" i="25"/>
  <c r="BO186" i="24"/>
  <c r="BR186" i="24" s="1"/>
  <c r="BO176" i="24"/>
  <c r="BR176" i="24" s="1"/>
  <c r="J23" i="25"/>
  <c r="L23" i="25" s="1"/>
  <c r="I20" i="24"/>
  <c r="I111" i="24"/>
  <c r="J163" i="25"/>
  <c r="J180" i="25"/>
  <c r="J132" i="25"/>
  <c r="J74" i="25"/>
  <c r="L74" i="25" s="1"/>
  <c r="I195" i="24"/>
  <c r="K195" i="24" s="1"/>
  <c r="J206" i="25"/>
  <c r="N206" i="25" s="1"/>
  <c r="H291" i="24"/>
  <c r="AM291" i="24"/>
  <c r="CE291" i="24"/>
  <c r="I291" i="24"/>
  <c r="K291" i="24" s="1"/>
  <c r="H169" i="25"/>
  <c r="AL169" i="25"/>
  <c r="CC169" i="25"/>
  <c r="CC143" i="25"/>
  <c r="AL143" i="25"/>
  <c r="H143" i="25"/>
  <c r="AL193" i="25"/>
  <c r="H193" i="25"/>
  <c r="CC193" i="25"/>
  <c r="CC168" i="25"/>
  <c r="AL168" i="25"/>
  <c r="H168" i="25"/>
  <c r="AL151" i="25"/>
  <c r="H151" i="25"/>
  <c r="CC151" i="25"/>
  <c r="CC141" i="25"/>
  <c r="H141" i="25"/>
  <c r="AL141" i="25"/>
  <c r="AL185" i="25"/>
  <c r="CC185" i="25"/>
  <c r="H185" i="25"/>
  <c r="AL159" i="25"/>
  <c r="CC159" i="25"/>
  <c r="H159" i="25"/>
  <c r="BN174" i="25"/>
  <c r="I174" i="25"/>
  <c r="CF265" i="24"/>
  <c r="AM265" i="24"/>
  <c r="H265" i="24"/>
  <c r="CE265" i="24"/>
  <c r="I265" i="24"/>
  <c r="CF273" i="24"/>
  <c r="AM273" i="24"/>
  <c r="CE273" i="24"/>
  <c r="H273" i="24"/>
  <c r="I273" i="24"/>
  <c r="H202" i="24"/>
  <c r="AM202" i="24"/>
  <c r="AM37" i="24"/>
  <c r="CF37" i="24"/>
  <c r="CE37" i="24"/>
  <c r="K37" i="24"/>
  <c r="H37" i="24"/>
  <c r="CF123" i="24"/>
  <c r="CE123" i="24"/>
  <c r="AM123" i="24"/>
  <c r="H123" i="24"/>
  <c r="I123" i="24"/>
  <c r="AL269" i="25"/>
  <c r="CC269" i="25"/>
  <c r="H269" i="25"/>
  <c r="J269" i="25"/>
  <c r="L269" i="25" s="1"/>
  <c r="K142" i="24"/>
  <c r="H142" i="24"/>
  <c r="CF142" i="24"/>
  <c r="CE142" i="24"/>
  <c r="AM142" i="24"/>
  <c r="H18" i="24"/>
  <c r="AM18" i="24"/>
  <c r="CF18" i="24"/>
  <c r="CE18" i="24"/>
  <c r="K18" i="24"/>
  <c r="I18" i="24"/>
  <c r="M18" i="24" s="1"/>
  <c r="N18" i="24" s="1"/>
  <c r="CF228" i="24"/>
  <c r="H228" i="24"/>
  <c r="AM228" i="24"/>
  <c r="CE228" i="24"/>
  <c r="M7" i="24"/>
  <c r="N7" i="24" s="1"/>
  <c r="CE24" i="24"/>
  <c r="CF24" i="24"/>
  <c r="K24" i="24"/>
  <c r="AM24" i="24"/>
  <c r="H24" i="24"/>
  <c r="I24" i="24"/>
  <c r="M24" i="24" s="1"/>
  <c r="N24" i="24" s="1"/>
  <c r="M190" i="24"/>
  <c r="N190" i="24" s="1"/>
  <c r="H147" i="24"/>
  <c r="CE147" i="24"/>
  <c r="AM147" i="24"/>
  <c r="CF147" i="24"/>
  <c r="H257" i="25"/>
  <c r="AL257" i="25"/>
  <c r="CC257" i="25"/>
  <c r="AL270" i="25"/>
  <c r="CC270" i="25"/>
  <c r="H270" i="25"/>
  <c r="BN129" i="25"/>
  <c r="I129" i="25"/>
  <c r="I111" i="25"/>
  <c r="BN111" i="25"/>
  <c r="BQ111" i="25" s="1"/>
  <c r="AL83" i="25"/>
  <c r="H83" i="25"/>
  <c r="CC83" i="25"/>
  <c r="CF83" i="25"/>
  <c r="CE83" i="25"/>
  <c r="J83" i="25"/>
  <c r="L83" i="25" s="1"/>
  <c r="I105" i="25"/>
  <c r="BN105" i="25"/>
  <c r="I145" i="25"/>
  <c r="BN145" i="25"/>
  <c r="AM14" i="24"/>
  <c r="CF14" i="24"/>
  <c r="CE14" i="24"/>
  <c r="K14" i="24"/>
  <c r="H14" i="24"/>
  <c r="I14" i="24"/>
  <c r="M14" i="24" s="1"/>
  <c r="N14" i="24" s="1"/>
  <c r="AM101" i="24"/>
  <c r="K101" i="24"/>
  <c r="H101" i="24"/>
  <c r="CF252" i="24"/>
  <c r="H252" i="24"/>
  <c r="AM252" i="24"/>
  <c r="CE252" i="24"/>
  <c r="K62" i="24"/>
  <c r="H62" i="24"/>
  <c r="AM62" i="24"/>
  <c r="CE62" i="24"/>
  <c r="CF62" i="24"/>
  <c r="I62" i="24"/>
  <c r="M62" i="24" s="1"/>
  <c r="N62" i="24" s="1"/>
  <c r="CE160" i="24"/>
  <c r="AM160" i="24"/>
  <c r="H160" i="24"/>
  <c r="CF160" i="24"/>
  <c r="CE272" i="24"/>
  <c r="AM272" i="24"/>
  <c r="H272" i="24"/>
  <c r="I272" i="24"/>
  <c r="M272" i="24" s="1"/>
  <c r="N272" i="24" s="1"/>
  <c r="CC93" i="25"/>
  <c r="AL93" i="25"/>
  <c r="CF93" i="25"/>
  <c r="H93" i="25"/>
  <c r="CE93" i="25"/>
  <c r="J93" i="25"/>
  <c r="L93" i="25" s="1"/>
  <c r="AL192" i="25"/>
  <c r="CC192" i="25"/>
  <c r="H192" i="25"/>
  <c r="J192" i="25"/>
  <c r="N192" i="25" s="1"/>
  <c r="T192" i="25" s="1"/>
  <c r="J194" i="25"/>
  <c r="L194" i="25" s="1"/>
  <c r="J193" i="25"/>
  <c r="L193" i="25" s="1"/>
  <c r="BO272" i="24"/>
  <c r="BR272" i="24" s="1"/>
  <c r="BM157" i="25"/>
  <c r="BM132" i="25"/>
  <c r="BO68" i="24"/>
  <c r="BR68" i="24" s="1"/>
  <c r="BO41" i="24"/>
  <c r="BR41" i="24" s="1"/>
  <c r="BO205" i="24"/>
  <c r="BR205" i="24" s="1"/>
  <c r="BM210" i="25"/>
  <c r="BM125" i="25"/>
  <c r="BQ125" i="25" s="1"/>
  <c r="BM190" i="25"/>
  <c r="BO96" i="24"/>
  <c r="BR96" i="24" s="1"/>
  <c r="BO101" i="24"/>
  <c r="BR101" i="24" s="1"/>
  <c r="BO255" i="24"/>
  <c r="BR255" i="24" s="1"/>
  <c r="BO314" i="24"/>
  <c r="BR314" i="24" s="1"/>
  <c r="BO20" i="24"/>
  <c r="BR20" i="24" s="1"/>
  <c r="BO62" i="24"/>
  <c r="BR62" i="24" s="1"/>
  <c r="BM42" i="25"/>
  <c r="BO138" i="24"/>
  <c r="BR138" i="24" s="1"/>
  <c r="BO117" i="24"/>
  <c r="BR117" i="24" s="1"/>
  <c r="I50" i="24"/>
  <c r="BM163" i="25"/>
  <c r="BO282" i="24"/>
  <c r="BR282" i="24" s="1"/>
  <c r="BO122" i="24"/>
  <c r="BR122" i="24" s="1"/>
  <c r="BM192" i="25"/>
  <c r="BO123" i="24"/>
  <c r="BR123" i="24" s="1"/>
  <c r="BO267" i="24"/>
  <c r="BR267" i="24" s="1"/>
  <c r="BM145" i="25"/>
  <c r="BO7" i="24"/>
  <c r="BR7" i="24" s="1"/>
  <c r="I75" i="24"/>
  <c r="I122" i="24"/>
  <c r="K122" i="24" s="1"/>
  <c r="I261" i="24"/>
  <c r="I228" i="24"/>
  <c r="K228" i="24" s="1"/>
  <c r="I138" i="24"/>
  <c r="K138" i="24" s="1"/>
  <c r="I296" i="24"/>
  <c r="I267" i="24"/>
  <c r="I202" i="24"/>
  <c r="I252" i="24"/>
  <c r="K252" i="24" s="1"/>
  <c r="H160" i="25"/>
  <c r="AL160" i="25"/>
  <c r="CC160" i="25"/>
  <c r="J160" i="25"/>
  <c r="H206" i="25"/>
  <c r="CC206" i="25"/>
  <c r="AL206" i="25"/>
  <c r="H203" i="25"/>
  <c r="AL203" i="25"/>
  <c r="CC203" i="25"/>
  <c r="AL77" i="25"/>
  <c r="CE77" i="25"/>
  <c r="CF77" i="25"/>
  <c r="CC77" i="25"/>
  <c r="H77" i="25"/>
  <c r="CC26" i="25"/>
  <c r="AL26" i="25"/>
  <c r="CE26" i="25"/>
  <c r="CF26" i="25"/>
  <c r="H26" i="25"/>
  <c r="J26" i="25"/>
  <c r="L26" i="25" s="1"/>
  <c r="H13" i="25"/>
  <c r="CC13" i="25"/>
  <c r="AL13" i="25"/>
  <c r="CE13" i="25"/>
  <c r="CF13" i="25"/>
  <c r="AM82" i="24"/>
  <c r="CF82" i="24"/>
  <c r="CE82" i="24"/>
  <c r="K82" i="24"/>
  <c r="H82" i="24"/>
  <c r="I82" i="24"/>
  <c r="CE285" i="24"/>
  <c r="H285" i="24"/>
  <c r="AM285" i="24"/>
  <c r="AM170" i="24"/>
  <c r="H170" i="24"/>
  <c r="AM83" i="24"/>
  <c r="CF83" i="24"/>
  <c r="CE83" i="24"/>
  <c r="H83" i="24"/>
  <c r="K83" i="24"/>
  <c r="I83" i="24"/>
  <c r="M83" i="24" s="1"/>
  <c r="BN188" i="25"/>
  <c r="I188" i="25"/>
  <c r="H6" i="25"/>
  <c r="CC6" i="25"/>
  <c r="CF6" i="25"/>
  <c r="CE6" i="25"/>
  <c r="AL6" i="25"/>
  <c r="AL165" i="25"/>
  <c r="H165" i="25"/>
  <c r="CC165" i="25"/>
  <c r="AM68" i="24"/>
  <c r="CE68" i="24"/>
  <c r="CF68" i="24"/>
  <c r="K68" i="24"/>
  <c r="H68" i="24"/>
  <c r="I68" i="24"/>
  <c r="M68" i="24" s="1"/>
  <c r="N68" i="24" s="1"/>
  <c r="AM33" i="24"/>
  <c r="CE33" i="24"/>
  <c r="CF33" i="24"/>
  <c r="K33" i="24"/>
  <c r="H33" i="24"/>
  <c r="CE177" i="24"/>
  <c r="H177" i="24"/>
  <c r="AM177" i="24"/>
  <c r="CF177" i="24"/>
  <c r="I177" i="24"/>
  <c r="K177" i="24" s="1"/>
  <c r="AM54" i="24"/>
  <c r="CE54" i="24"/>
  <c r="CF54" i="24"/>
  <c r="K54" i="24"/>
  <c r="H54" i="24"/>
  <c r="I54" i="24"/>
  <c r="CE243" i="24"/>
  <c r="CF243" i="24"/>
  <c r="H243" i="24"/>
  <c r="AM243" i="24"/>
  <c r="H194" i="24"/>
  <c r="CE194" i="24"/>
  <c r="AM194" i="24"/>
  <c r="CF194" i="24"/>
  <c r="CF7" i="24"/>
  <c r="K7" i="24"/>
  <c r="AM7" i="24"/>
  <c r="H7" i="24"/>
  <c r="CE7" i="24"/>
  <c r="AM71" i="24"/>
  <c r="CE71" i="24"/>
  <c r="CF71" i="24"/>
  <c r="K71" i="24"/>
  <c r="H71" i="24"/>
  <c r="CF130" i="24"/>
  <c r="CE130" i="24"/>
  <c r="AM130" i="24"/>
  <c r="H130" i="24"/>
  <c r="AM268" i="24"/>
  <c r="CE268" i="24"/>
  <c r="H268" i="24"/>
  <c r="I268" i="24"/>
  <c r="M268" i="24" s="1"/>
  <c r="N268" i="24" s="1"/>
  <c r="BO202" i="24"/>
  <c r="BR202" i="24" s="1"/>
  <c r="H52" i="25"/>
  <c r="AL52" i="25"/>
  <c r="CC52" i="25"/>
  <c r="H23" i="25"/>
  <c r="CC23" i="25"/>
  <c r="AL23" i="25"/>
  <c r="CF23" i="25"/>
  <c r="CE23" i="25"/>
  <c r="BN11" i="25"/>
  <c r="I11" i="25"/>
  <c r="H195" i="25"/>
  <c r="AL195" i="25"/>
  <c r="CC195" i="25"/>
  <c r="J195" i="25"/>
  <c r="CC202" i="25"/>
  <c r="AL202" i="25"/>
  <c r="H202" i="25"/>
  <c r="J202" i="25"/>
  <c r="L202" i="25" s="1"/>
  <c r="H164" i="25"/>
  <c r="AL164" i="25"/>
  <c r="CC164" i="25"/>
  <c r="J164" i="25"/>
  <c r="L164" i="25" s="1"/>
  <c r="H186" i="25"/>
  <c r="AL186" i="25"/>
  <c r="CC186" i="25"/>
  <c r="H8" i="25"/>
  <c r="CC8" i="25"/>
  <c r="AL8" i="25"/>
  <c r="CF8" i="25"/>
  <c r="CE8" i="25"/>
  <c r="J8" i="25"/>
  <c r="L8" i="25" s="1"/>
  <c r="H237" i="25"/>
  <c r="AL237" i="25"/>
  <c r="CC237" i="25"/>
  <c r="CE233" i="24"/>
  <c r="CF233" i="24"/>
  <c r="H233" i="24"/>
  <c r="K233" i="24"/>
  <c r="AM233" i="24"/>
  <c r="CE250" i="24"/>
  <c r="CF250" i="24"/>
  <c r="H250" i="24"/>
  <c r="AM250" i="24"/>
  <c r="I250" i="24"/>
  <c r="AM114" i="24"/>
  <c r="H114" i="24"/>
  <c r="CF114" i="24"/>
  <c r="CE114" i="24"/>
  <c r="I114" i="24"/>
  <c r="CF67" i="24"/>
  <c r="CE67" i="24"/>
  <c r="AM67" i="24"/>
  <c r="K67" i="24"/>
  <c r="H67" i="24"/>
  <c r="I67" i="24"/>
  <c r="CF158" i="24"/>
  <c r="CE158" i="24"/>
  <c r="AM158" i="24"/>
  <c r="H158" i="24"/>
  <c r="I158" i="24"/>
  <c r="K158" i="24" s="1"/>
  <c r="BN80" i="25"/>
  <c r="BQ80" i="25" s="1"/>
  <c r="I80" i="25"/>
  <c r="BN137" i="25"/>
  <c r="I137" i="25"/>
  <c r="BO265" i="24"/>
  <c r="BR265" i="24" s="1"/>
  <c r="BM269" i="25"/>
  <c r="BQ269" i="25" s="1"/>
  <c r="BO130" i="24"/>
  <c r="BR130" i="24" s="1"/>
  <c r="BO97" i="24"/>
  <c r="BR97" i="24" s="1"/>
  <c r="BO111" i="24"/>
  <c r="BR111" i="24" s="1"/>
  <c r="BM208" i="25"/>
  <c r="BO261" i="24"/>
  <c r="BR261" i="24" s="1"/>
  <c r="J270" i="25"/>
  <c r="I170" i="24"/>
  <c r="K170" i="24" s="1"/>
  <c r="J266" i="25"/>
  <c r="J16" i="25"/>
  <c r="BM226" i="25"/>
  <c r="BO118" i="24"/>
  <c r="BR118" i="24" s="1"/>
  <c r="J185" i="25"/>
  <c r="J186" i="25"/>
  <c r="N186" i="25" s="1"/>
  <c r="J52" i="25"/>
  <c r="J70" i="25"/>
  <c r="I96" i="24"/>
  <c r="J151" i="25"/>
  <c r="I224" i="24"/>
  <c r="I125" i="24"/>
  <c r="K125" i="24" s="1"/>
  <c r="I33" i="24"/>
  <c r="J159" i="25"/>
  <c r="I143" i="24"/>
  <c r="H185" i="24"/>
  <c r="AM185" i="24"/>
  <c r="I185" i="24"/>
  <c r="K185" i="24" s="1"/>
  <c r="CE283" i="24"/>
  <c r="CF283" i="24"/>
  <c r="H283" i="24"/>
  <c r="AM283" i="24"/>
  <c r="I283" i="24"/>
  <c r="H257" i="24"/>
  <c r="K257" i="24"/>
  <c r="AM257" i="24"/>
  <c r="CE257" i="24"/>
  <c r="U257" i="24"/>
  <c r="H168" i="24"/>
  <c r="AM168" i="24"/>
  <c r="AL81" i="25"/>
  <c r="CC81" i="25"/>
  <c r="H81" i="25"/>
  <c r="H44" i="25"/>
  <c r="CE44" i="25"/>
  <c r="CC44" i="25"/>
  <c r="AL44" i="25"/>
  <c r="CF44" i="25"/>
  <c r="AL239" i="25"/>
  <c r="CC239" i="25"/>
  <c r="H239" i="25"/>
  <c r="J239" i="25"/>
  <c r="L239" i="25" s="1"/>
  <c r="H315" i="25"/>
  <c r="AL315" i="25"/>
  <c r="CC315" i="25"/>
  <c r="H280" i="25"/>
  <c r="AL280" i="25"/>
  <c r="CC280" i="25"/>
  <c r="K119" i="24"/>
  <c r="CE119" i="24"/>
  <c r="H119" i="24"/>
  <c r="AM119" i="24"/>
  <c r="CF119" i="24"/>
  <c r="CF152" i="24"/>
  <c r="CE152" i="24"/>
  <c r="AM152" i="24"/>
  <c r="H152" i="24"/>
  <c r="K70" i="24"/>
  <c r="AM70" i="24"/>
  <c r="H70" i="24"/>
  <c r="CE70" i="24"/>
  <c r="CF70" i="24"/>
  <c r="I70" i="24"/>
  <c r="AL189" i="25"/>
  <c r="CC189" i="25"/>
  <c r="H189" i="25"/>
  <c r="BN37" i="25"/>
  <c r="I37" i="25"/>
  <c r="CC152" i="25"/>
  <c r="AL152" i="25"/>
  <c r="H152" i="25"/>
  <c r="J152" i="25"/>
  <c r="L152" i="25" s="1"/>
  <c r="BN182" i="25"/>
  <c r="I182" i="25"/>
  <c r="M142" i="24"/>
  <c r="AM46" i="24"/>
  <c r="CE46" i="24"/>
  <c r="CF46" i="24"/>
  <c r="K46" i="24"/>
  <c r="H46" i="24"/>
  <c r="I46" i="24"/>
  <c r="H36" i="24"/>
  <c r="CE36" i="24"/>
  <c r="CF36" i="24"/>
  <c r="AM36" i="24"/>
  <c r="K36" i="24"/>
  <c r="I36" i="24"/>
  <c r="AM45" i="24"/>
  <c r="K45" i="24"/>
  <c r="H45" i="24"/>
  <c r="CE281" i="24"/>
  <c r="CF281" i="24"/>
  <c r="AM281" i="24"/>
  <c r="H281" i="24"/>
  <c r="I281" i="24"/>
  <c r="K94" i="24"/>
  <c r="AM94" i="24"/>
  <c r="H94" i="24"/>
  <c r="CF94" i="24"/>
  <c r="CE94" i="24"/>
  <c r="I94" i="24"/>
  <c r="CE206" i="24"/>
  <c r="AM206" i="24"/>
  <c r="CF206" i="24"/>
  <c r="H206" i="24"/>
  <c r="CE132" i="24"/>
  <c r="AM132" i="24"/>
  <c r="CF132" i="24"/>
  <c r="K132" i="24"/>
  <c r="H132" i="24"/>
  <c r="CE274" i="24"/>
  <c r="H274" i="24"/>
  <c r="AM274" i="24"/>
  <c r="I274" i="24"/>
  <c r="K274" i="24" s="1"/>
  <c r="BO268" i="24"/>
  <c r="BR268" i="24" s="1"/>
  <c r="CF29" i="25"/>
  <c r="H29" i="25"/>
  <c r="AL29" i="25"/>
  <c r="CC29" i="25"/>
  <c r="CE29" i="25"/>
  <c r="BN9" i="25"/>
  <c r="I9" i="25"/>
  <c r="AL38" i="25"/>
  <c r="CC38" i="25"/>
  <c r="CE38" i="25"/>
  <c r="CF38" i="25"/>
  <c r="H38" i="25"/>
  <c r="J38" i="25"/>
  <c r="L38" i="25" s="1"/>
  <c r="CF94" i="25"/>
  <c r="AL94" i="25"/>
  <c r="CC94" i="25"/>
  <c r="L94" i="25"/>
  <c r="CE94" i="25"/>
  <c r="H94" i="25"/>
  <c r="CE298" i="24"/>
  <c r="CF298" i="24"/>
  <c r="H298" i="24"/>
  <c r="AM298" i="24"/>
  <c r="I298" i="24"/>
  <c r="K298" i="24" s="1"/>
  <c r="H165" i="24"/>
  <c r="CF165" i="24"/>
  <c r="CE165" i="24"/>
  <c r="AM165" i="24"/>
  <c r="I165" i="24"/>
  <c r="M101" i="24"/>
  <c r="CE292" i="24"/>
  <c r="AM292" i="24"/>
  <c r="H292" i="24"/>
  <c r="K292" i="24"/>
  <c r="BN17" i="25"/>
  <c r="BQ17" i="25" s="1"/>
  <c r="I17" i="25"/>
  <c r="I243" i="24"/>
  <c r="BM280" i="25"/>
  <c r="BQ280" i="25" s="1"/>
  <c r="BM122" i="25"/>
  <c r="BM165" i="25"/>
  <c r="BM164" i="25"/>
  <c r="BQ164" i="25" s="1"/>
  <c r="BO165" i="24"/>
  <c r="BR165" i="24" s="1"/>
  <c r="BM185" i="25"/>
  <c r="BQ185" i="25" s="1"/>
  <c r="I186" i="24"/>
  <c r="J42" i="25"/>
  <c r="J141" i="25"/>
  <c r="J9" i="25"/>
  <c r="BO46" i="24"/>
  <c r="BR46" i="24" s="1"/>
  <c r="BM189" i="25"/>
  <c r="BM70" i="25"/>
  <c r="BQ70" i="25" s="1"/>
  <c r="BO18" i="24"/>
  <c r="BR18" i="24" s="1"/>
  <c r="BO56" i="24"/>
  <c r="BR56" i="24" s="1"/>
  <c r="BM241" i="25"/>
  <c r="BQ241" i="25" s="1"/>
  <c r="BO146" i="24"/>
  <c r="BR146" i="24" s="1"/>
  <c r="BM237" i="25"/>
  <c r="BQ237" i="25" s="1"/>
  <c r="BO71" i="24"/>
  <c r="BR71" i="24" s="1"/>
  <c r="BO37" i="24"/>
  <c r="BR37" i="24" s="1"/>
  <c r="BM188" i="25"/>
  <c r="BM176" i="25"/>
  <c r="J226" i="25"/>
  <c r="I152" i="24"/>
  <c r="K152" i="24" s="1"/>
  <c r="I37" i="24"/>
  <c r="J162" i="25"/>
  <c r="BO54" i="24"/>
  <c r="BR54" i="24" s="1"/>
  <c r="BM245" i="25"/>
  <c r="BM74" i="25"/>
  <c r="BO63" i="24"/>
  <c r="BR63" i="24" s="1"/>
  <c r="BO273" i="24"/>
  <c r="BR273" i="24" s="1"/>
  <c r="BM182" i="25"/>
  <c r="BM236" i="25"/>
  <c r="BQ236" i="25" s="1"/>
  <c r="BM137" i="25"/>
  <c r="BO252" i="24"/>
  <c r="BR252" i="24" s="1"/>
  <c r="BO257" i="24"/>
  <c r="BR257" i="24" s="1"/>
  <c r="BO22" i="24"/>
  <c r="BR22" i="24" s="1"/>
  <c r="BO296" i="24"/>
  <c r="BR296" i="24" s="1"/>
  <c r="BM77" i="25"/>
  <c r="BO304" i="24"/>
  <c r="BR304" i="24" s="1"/>
  <c r="BM37" i="25"/>
  <c r="BO114" i="24"/>
  <c r="BR114" i="24" s="1"/>
  <c r="BO292" i="24"/>
  <c r="BR292" i="24" s="1"/>
  <c r="BO67" i="24"/>
  <c r="BR67" i="24" s="1"/>
  <c r="BM120" i="25"/>
  <c r="I168" i="24"/>
  <c r="I56" i="24"/>
  <c r="J168" i="25"/>
  <c r="K160" i="24" l="1"/>
  <c r="BK160" i="24"/>
  <c r="L29" i="25"/>
  <c r="BI257" i="25"/>
  <c r="BQ177" i="25"/>
  <c r="N94" i="25"/>
  <c r="T94" i="25" s="1"/>
  <c r="U94" i="25" s="1"/>
  <c r="BQ104" i="25"/>
  <c r="M55" i="24"/>
  <c r="N55" i="24" s="1"/>
  <c r="AP55" i="24" s="1"/>
  <c r="BQ270" i="25"/>
  <c r="S55" i="24"/>
  <c r="T55" i="24" s="1"/>
  <c r="J55" i="24" s="1"/>
  <c r="L257" i="25"/>
  <c r="BQ161" i="25"/>
  <c r="N262" i="25"/>
  <c r="T262" i="25" s="1"/>
  <c r="M160" i="24"/>
  <c r="N160" i="24" s="1"/>
  <c r="P160" i="24" s="1"/>
  <c r="U45" i="24"/>
  <c r="V45" i="24" s="1"/>
  <c r="BQ225" i="25"/>
  <c r="BK41" i="24"/>
  <c r="BQ42" i="25"/>
  <c r="BQ308" i="25"/>
  <c r="S41" i="24"/>
  <c r="T41" i="24" s="1"/>
  <c r="J41" i="24" s="1"/>
  <c r="BQ242" i="25"/>
  <c r="U233" i="24"/>
  <c r="V233" i="24" s="1"/>
  <c r="N155" i="25"/>
  <c r="T155" i="25" s="1"/>
  <c r="BQ297" i="25"/>
  <c r="N11" i="25"/>
  <c r="T11" i="25" s="1"/>
  <c r="U11" i="25" s="1"/>
  <c r="BI280" i="25"/>
  <c r="BI11" i="25"/>
  <c r="N280" i="25"/>
  <c r="T280" i="25" s="1"/>
  <c r="U280" i="25" s="1"/>
  <c r="U119" i="24"/>
  <c r="V119" i="24" s="1"/>
  <c r="U162" i="24"/>
  <c r="V162" i="24" s="1"/>
  <c r="K130" i="24"/>
  <c r="U132" i="24"/>
  <c r="V132" i="24" s="1"/>
  <c r="BQ162" i="25"/>
  <c r="BQ37" i="25"/>
  <c r="K116" i="24"/>
  <c r="M289" i="24"/>
  <c r="N289" i="24" s="1"/>
  <c r="P289" i="24" s="1"/>
  <c r="BI143" i="25"/>
  <c r="L177" i="25"/>
  <c r="L143" i="25"/>
  <c r="BQ88" i="25"/>
  <c r="N189" i="25"/>
  <c r="T189" i="25" s="1"/>
  <c r="U189" i="25" s="1"/>
  <c r="BI237" i="25"/>
  <c r="N29" i="25"/>
  <c r="T29" i="25" s="1"/>
  <c r="U29" i="25" s="1"/>
  <c r="N237" i="25"/>
  <c r="T237" i="25" s="1"/>
  <c r="U237" i="25" s="1"/>
  <c r="BQ263" i="25"/>
  <c r="BQ189" i="25"/>
  <c r="L258" i="25"/>
  <c r="N258" i="25"/>
  <c r="P258" i="25" s="1"/>
  <c r="BQ73" i="25"/>
  <c r="T13" i="25"/>
  <c r="U13" i="25" s="1"/>
  <c r="BQ74" i="25"/>
  <c r="BQ148" i="25"/>
  <c r="BQ302" i="25"/>
  <c r="BQ255" i="25"/>
  <c r="BI293" i="25"/>
  <c r="BQ265" i="25"/>
  <c r="M223" i="24"/>
  <c r="U223" i="24" s="1"/>
  <c r="BQ219" i="25"/>
  <c r="L87" i="25"/>
  <c r="K225" i="24"/>
  <c r="BQ55" i="25"/>
  <c r="L293" i="25"/>
  <c r="BQ120" i="25"/>
  <c r="BQ167" i="25"/>
  <c r="BQ187" i="25"/>
  <c r="BQ293" i="25"/>
  <c r="T143" i="25"/>
  <c r="U143" i="25" s="1"/>
  <c r="BI177" i="25"/>
  <c r="BQ117" i="25"/>
  <c r="BQ96" i="25"/>
  <c r="N179" i="25"/>
  <c r="P179" i="25" s="1"/>
  <c r="BQ220" i="25"/>
  <c r="BQ275" i="25"/>
  <c r="N265" i="25"/>
  <c r="T265" i="25" s="1"/>
  <c r="U265" i="25" s="1"/>
  <c r="BQ313" i="25"/>
  <c r="L265" i="25"/>
  <c r="L179" i="25"/>
  <c r="BQ165" i="25"/>
  <c r="BQ137" i="25"/>
  <c r="K147" i="24"/>
  <c r="BQ122" i="25"/>
  <c r="U294" i="24"/>
  <c r="V294" i="24" s="1"/>
  <c r="BQ66" i="25"/>
  <c r="BI129" i="25"/>
  <c r="L206" i="25"/>
  <c r="U191" i="24"/>
  <c r="V191" i="24" s="1"/>
  <c r="BQ294" i="25"/>
  <c r="BQ103" i="25"/>
  <c r="O143" i="25"/>
  <c r="AO143" i="25" s="1"/>
  <c r="N97" i="25"/>
  <c r="T97" i="25" s="1"/>
  <c r="BQ77" i="25"/>
  <c r="L189" i="25"/>
  <c r="BQ306" i="25"/>
  <c r="L110" i="25"/>
  <c r="BQ112" i="25"/>
  <c r="N28" i="25"/>
  <c r="T28" i="25" s="1"/>
  <c r="U28" i="25" s="1"/>
  <c r="T110" i="25"/>
  <c r="U110" i="25" s="1"/>
  <c r="P110" i="25"/>
  <c r="BZ110" i="25" s="1"/>
  <c r="BQ176" i="25"/>
  <c r="BQ13" i="25"/>
  <c r="L129" i="25"/>
  <c r="BQ158" i="25"/>
  <c r="L28" i="25"/>
  <c r="N291" i="25"/>
  <c r="T291" i="25" s="1"/>
  <c r="BQ95" i="25"/>
  <c r="N77" i="25"/>
  <c r="L77" i="25"/>
  <c r="BQ94" i="25"/>
  <c r="BQ283" i="25"/>
  <c r="BQ311" i="25"/>
  <c r="BQ134" i="25"/>
  <c r="BQ292" i="25"/>
  <c r="BI110" i="25"/>
  <c r="BQ245" i="25"/>
  <c r="BQ304" i="25"/>
  <c r="P129" i="25"/>
  <c r="BZ129" i="25" s="1"/>
  <c r="T129" i="25"/>
  <c r="U129" i="25" s="1"/>
  <c r="BQ52" i="25"/>
  <c r="BQ47" i="25"/>
  <c r="BQ133" i="25"/>
  <c r="BQ76" i="25"/>
  <c r="BQ121" i="25"/>
  <c r="K188" i="24"/>
  <c r="M251" i="24"/>
  <c r="N251" i="24" s="1"/>
  <c r="AP251" i="24" s="1"/>
  <c r="M137" i="24"/>
  <c r="N137" i="24" s="1"/>
  <c r="Q137" i="24" s="1"/>
  <c r="K127" i="24"/>
  <c r="BQ100" i="25"/>
  <c r="BQ195" i="25"/>
  <c r="BQ156" i="25"/>
  <c r="M167" i="24"/>
  <c r="N167" i="24" s="1"/>
  <c r="P167" i="24" s="1"/>
  <c r="BQ192" i="25"/>
  <c r="BQ178" i="25"/>
  <c r="BQ99" i="25"/>
  <c r="BQ267" i="25"/>
  <c r="BQ157" i="25"/>
  <c r="BQ150" i="25"/>
  <c r="BQ181" i="25"/>
  <c r="BQ305" i="25"/>
  <c r="BQ226" i="25"/>
  <c r="N104" i="25"/>
  <c r="T104" i="25" s="1"/>
  <c r="U104" i="25" s="1"/>
  <c r="BI131" i="25"/>
  <c r="N154" i="25"/>
  <c r="P154" i="25" s="1"/>
  <c r="BQ238" i="25"/>
  <c r="L173" i="25"/>
  <c r="BQ307" i="25"/>
  <c r="BQ147" i="25"/>
  <c r="T131" i="25"/>
  <c r="U131" i="25" s="1"/>
  <c r="BQ210" i="25"/>
  <c r="BQ198" i="25"/>
  <c r="L131" i="25"/>
  <c r="BQ199" i="25"/>
  <c r="BQ12" i="25"/>
  <c r="U264" i="24"/>
  <c r="V264" i="24" s="1"/>
  <c r="L199" i="25"/>
  <c r="BQ145" i="25"/>
  <c r="BQ190" i="25"/>
  <c r="N41" i="24"/>
  <c r="AP41" i="24" s="1"/>
  <c r="U41" i="24"/>
  <c r="V41" i="24" s="1"/>
  <c r="BQ194" i="25"/>
  <c r="K200" i="24"/>
  <c r="K193" i="24"/>
  <c r="K237" i="24"/>
  <c r="K306" i="24"/>
  <c r="K313" i="24"/>
  <c r="M77" i="24"/>
  <c r="N77" i="24" s="1"/>
  <c r="AP77" i="24" s="1"/>
  <c r="N96" i="25"/>
  <c r="T96" i="25" s="1"/>
  <c r="U96" i="25" s="1"/>
  <c r="K248" i="24"/>
  <c r="U225" i="24"/>
  <c r="V225" i="24" s="1"/>
  <c r="K279" i="24"/>
  <c r="K234" i="24"/>
  <c r="BQ182" i="25"/>
  <c r="L6" i="25"/>
  <c r="M285" i="24"/>
  <c r="N285" i="24" s="1"/>
  <c r="AP285" i="24" s="1"/>
  <c r="K205" i="24"/>
  <c r="K307" i="24"/>
  <c r="BQ71" i="25"/>
  <c r="K182" i="24"/>
  <c r="L167" i="25"/>
  <c r="BQ254" i="25"/>
  <c r="K246" i="24"/>
  <c r="M84" i="24"/>
  <c r="N84" i="24" s="1"/>
  <c r="Q84" i="24" s="1"/>
  <c r="R84" i="24" s="1"/>
  <c r="BQ235" i="25"/>
  <c r="K227" i="24"/>
  <c r="BQ268" i="25"/>
  <c r="U236" i="24"/>
  <c r="V236" i="24" s="1"/>
  <c r="K303" i="24"/>
  <c r="M134" i="24"/>
  <c r="N134" i="24" s="1"/>
  <c r="AP134" i="24" s="1"/>
  <c r="U88" i="24"/>
  <c r="V88" i="24" s="1"/>
  <c r="BI104" i="25"/>
  <c r="K272" i="24"/>
  <c r="K226" i="24"/>
  <c r="K310" i="24"/>
  <c r="BQ209" i="25"/>
  <c r="BQ27" i="25"/>
  <c r="BQ287" i="25"/>
  <c r="L71" i="25"/>
  <c r="T232" i="25"/>
  <c r="U232" i="25" s="1"/>
  <c r="BQ276" i="25"/>
  <c r="BQ188" i="25"/>
  <c r="M252" i="24"/>
  <c r="N252" i="24" s="1"/>
  <c r="P252" i="24" s="1"/>
  <c r="K290" i="24"/>
  <c r="L13" i="25"/>
  <c r="BQ175" i="25"/>
  <c r="BQ173" i="25"/>
  <c r="M246" i="24"/>
  <c r="N246" i="24" s="1"/>
  <c r="AP246" i="24" s="1"/>
  <c r="M286" i="24"/>
  <c r="N286" i="24" s="1"/>
  <c r="U292" i="24"/>
  <c r="V292" i="24" s="1"/>
  <c r="U7" i="24"/>
  <c r="V7" i="24" s="1"/>
  <c r="M276" i="24"/>
  <c r="N276" i="24" s="1"/>
  <c r="AP276" i="24" s="1"/>
  <c r="M157" i="24"/>
  <c r="N157" i="24" s="1"/>
  <c r="AP157" i="24" s="1"/>
  <c r="K218" i="24"/>
  <c r="N59" i="25"/>
  <c r="T59" i="25" s="1"/>
  <c r="BQ248" i="25"/>
  <c r="BQ142" i="25"/>
  <c r="L306" i="25"/>
  <c r="BQ86" i="25"/>
  <c r="L161" i="25"/>
  <c r="BQ249" i="25"/>
  <c r="BQ113" i="25"/>
  <c r="BQ131" i="25"/>
  <c r="T255" i="25"/>
  <c r="U255" i="25" s="1"/>
  <c r="L32" i="25"/>
  <c r="L95" i="25"/>
  <c r="T296" i="25"/>
  <c r="U296" i="25" s="1"/>
  <c r="L273" i="25"/>
  <c r="BQ208" i="25"/>
  <c r="L198" i="25"/>
  <c r="BQ65" i="25"/>
  <c r="BQ286" i="25"/>
  <c r="L14" i="25"/>
  <c r="L114" i="25"/>
  <c r="BQ251" i="25"/>
  <c r="L147" i="25"/>
  <c r="L229" i="25"/>
  <c r="BQ28" i="25"/>
  <c r="L248" i="25"/>
  <c r="BQ271" i="25"/>
  <c r="L276" i="25"/>
  <c r="L247" i="25"/>
  <c r="L158" i="25"/>
  <c r="BQ36" i="25"/>
  <c r="L261" i="25"/>
  <c r="L186" i="25"/>
  <c r="L292" i="25"/>
  <c r="L148" i="25"/>
  <c r="BQ101" i="25"/>
  <c r="L113" i="25"/>
  <c r="L255" i="25"/>
  <c r="L243" i="25"/>
  <c r="L240" i="25"/>
  <c r="BQ75" i="25"/>
  <c r="T186" i="25"/>
  <c r="U186" i="25" s="1"/>
  <c r="L192" i="25"/>
  <c r="L283" i="25"/>
  <c r="U192" i="25"/>
  <c r="Q6" i="24"/>
  <c r="R6" i="24" s="1"/>
  <c r="P6" i="24"/>
  <c r="U257" i="25"/>
  <c r="BK165" i="24"/>
  <c r="S165" i="24"/>
  <c r="T165" i="24" s="1"/>
  <c r="M165" i="24"/>
  <c r="N165" i="24" s="1"/>
  <c r="AP165" i="24" s="1"/>
  <c r="BK33" i="24"/>
  <c r="S33" i="24"/>
  <c r="T33" i="24" s="1"/>
  <c r="M33" i="24"/>
  <c r="N33" i="24" s="1"/>
  <c r="AP33" i="24" s="1"/>
  <c r="BI162" i="25"/>
  <c r="N162" i="25"/>
  <c r="T162" i="25" s="1"/>
  <c r="BI9" i="25"/>
  <c r="N9" i="25"/>
  <c r="T9" i="25" s="1"/>
  <c r="L9" i="25"/>
  <c r="AP45" i="24"/>
  <c r="AH239" i="25"/>
  <c r="BK224" i="24"/>
  <c r="S224" i="24"/>
  <c r="T224" i="24" s="1"/>
  <c r="K224" i="24"/>
  <c r="AP233" i="24"/>
  <c r="U18" i="24"/>
  <c r="BK111" i="24"/>
  <c r="S111" i="24"/>
  <c r="T111" i="24" s="1"/>
  <c r="K111" i="24"/>
  <c r="M111" i="24"/>
  <c r="N111" i="24" s="1"/>
  <c r="AP111" i="24" s="1"/>
  <c r="BI245" i="25"/>
  <c r="N245" i="25"/>
  <c r="T245" i="25" s="1"/>
  <c r="L245" i="25"/>
  <c r="N97" i="24"/>
  <c r="AP97" i="24" s="1"/>
  <c r="U97" i="24"/>
  <c r="P82" i="25"/>
  <c r="O82" i="25"/>
  <c r="P27" i="24"/>
  <c r="Q27" i="24"/>
  <c r="R27" i="24" s="1"/>
  <c r="P148" i="25"/>
  <c r="O148" i="25"/>
  <c r="T148" i="25"/>
  <c r="P147" i="25"/>
  <c r="O147" i="25"/>
  <c r="AO147" i="25" s="1"/>
  <c r="P240" i="25"/>
  <c r="O240" i="25"/>
  <c r="AO240" i="25" s="1"/>
  <c r="T240" i="25"/>
  <c r="P113" i="25"/>
  <c r="O113" i="25"/>
  <c r="AO113" i="25" s="1"/>
  <c r="T113" i="25"/>
  <c r="P237" i="24"/>
  <c r="Q237" i="24"/>
  <c r="N303" i="24"/>
  <c r="AP303" i="24" s="1"/>
  <c r="U303" i="24"/>
  <c r="P267" i="25"/>
  <c r="O267" i="25"/>
  <c r="AO267" i="25" s="1"/>
  <c r="N90" i="24"/>
  <c r="AP90" i="24" s="1"/>
  <c r="U90" i="24"/>
  <c r="N79" i="24"/>
  <c r="AP79" i="24" s="1"/>
  <c r="U79" i="24"/>
  <c r="BK281" i="24"/>
  <c r="S281" i="24"/>
  <c r="T281" i="24" s="1"/>
  <c r="M281" i="24"/>
  <c r="N281" i="24" s="1"/>
  <c r="AP281" i="24" s="1"/>
  <c r="AH81" i="25"/>
  <c r="BI168" i="25"/>
  <c r="N168" i="25"/>
  <c r="T168" i="25" s="1"/>
  <c r="L168" i="25"/>
  <c r="U147" i="24"/>
  <c r="BK37" i="24"/>
  <c r="S37" i="24"/>
  <c r="T37" i="24" s="1"/>
  <c r="M37" i="24"/>
  <c r="N37" i="24" s="1"/>
  <c r="AP37" i="24" s="1"/>
  <c r="BI141" i="25"/>
  <c r="N141" i="25"/>
  <c r="T141" i="25" s="1"/>
  <c r="L141" i="25"/>
  <c r="AH38" i="25"/>
  <c r="BK94" i="24"/>
  <c r="S94" i="24"/>
  <c r="T94" i="24" s="1"/>
  <c r="M94" i="24"/>
  <c r="AH315" i="25"/>
  <c r="AH44" i="25"/>
  <c r="S283" i="24"/>
  <c r="T283" i="24" s="1"/>
  <c r="BK283" i="24"/>
  <c r="M283" i="24"/>
  <c r="N283" i="24" s="1"/>
  <c r="AP283" i="24" s="1"/>
  <c r="K283" i="24"/>
  <c r="BI151" i="25"/>
  <c r="N151" i="25"/>
  <c r="T151" i="25" s="1"/>
  <c r="L151" i="25"/>
  <c r="BI16" i="25"/>
  <c r="L16" i="25"/>
  <c r="N16" i="25"/>
  <c r="T16" i="25" s="1"/>
  <c r="AH8" i="25"/>
  <c r="N83" i="24"/>
  <c r="AP83" i="24" s="1"/>
  <c r="U83" i="24"/>
  <c r="BI160" i="25"/>
  <c r="N160" i="25"/>
  <c r="BK261" i="24"/>
  <c r="S261" i="24"/>
  <c r="T261" i="24" s="1"/>
  <c r="M261" i="24"/>
  <c r="N261" i="24" s="1"/>
  <c r="AP261" i="24" s="1"/>
  <c r="K261" i="24"/>
  <c r="U268" i="24"/>
  <c r="Q129" i="24"/>
  <c r="P129" i="24"/>
  <c r="M224" i="24"/>
  <c r="N224" i="24" s="1"/>
  <c r="AP224" i="24" s="1"/>
  <c r="N116" i="24"/>
  <c r="AP116" i="24" s="1"/>
  <c r="U116" i="24"/>
  <c r="N130" i="24"/>
  <c r="AP130" i="24" s="1"/>
  <c r="U130" i="24"/>
  <c r="P92" i="25"/>
  <c r="O92" i="25"/>
  <c r="T92" i="25"/>
  <c r="Q238" i="24"/>
  <c r="P238" i="24"/>
  <c r="N10" i="24"/>
  <c r="AP10" i="24" s="1"/>
  <c r="U10" i="24"/>
  <c r="P259" i="25"/>
  <c r="O259" i="25"/>
  <c r="T259" i="25"/>
  <c r="P89" i="25"/>
  <c r="O89" i="25"/>
  <c r="T89" i="25"/>
  <c r="N32" i="24"/>
  <c r="AP32" i="24" s="1"/>
  <c r="U32" i="24"/>
  <c r="P243" i="25"/>
  <c r="O243" i="25"/>
  <c r="AO243" i="25" s="1"/>
  <c r="T243" i="25"/>
  <c r="BK243" i="24"/>
  <c r="S243" i="24"/>
  <c r="T243" i="24" s="1"/>
  <c r="BK67" i="24"/>
  <c r="S67" i="24"/>
  <c r="T67" i="24" s="1"/>
  <c r="M67" i="24"/>
  <c r="N67" i="24" s="1"/>
  <c r="AP67" i="24" s="1"/>
  <c r="AP268" i="24"/>
  <c r="P192" i="25"/>
  <c r="O192" i="25"/>
  <c r="P307" i="24"/>
  <c r="Q307" i="24"/>
  <c r="P206" i="25"/>
  <c r="O206" i="25"/>
  <c r="T206" i="25"/>
  <c r="P246" i="25"/>
  <c r="O246" i="25"/>
  <c r="AO246" i="25" s="1"/>
  <c r="Q205" i="24"/>
  <c r="P205" i="24"/>
  <c r="P238" i="25"/>
  <c r="O238" i="25"/>
  <c r="AO238" i="25" s="1"/>
  <c r="T238" i="25"/>
  <c r="P292" i="25"/>
  <c r="O292" i="25"/>
  <c r="AO292" i="25" s="1"/>
  <c r="T292" i="25"/>
  <c r="N193" i="24"/>
  <c r="U193" i="24"/>
  <c r="P32" i="25"/>
  <c r="O32" i="25"/>
  <c r="AO32" i="25" s="1"/>
  <c r="T32" i="25"/>
  <c r="Q199" i="24"/>
  <c r="P199" i="24"/>
  <c r="P201" i="25"/>
  <c r="O201" i="25"/>
  <c r="AO201" i="25" s="1"/>
  <c r="T201" i="25"/>
  <c r="N248" i="24"/>
  <c r="AP248" i="24" s="1"/>
  <c r="U248" i="24"/>
  <c r="P95" i="25"/>
  <c r="O95" i="25"/>
  <c r="AO95" i="25" s="1"/>
  <c r="T95" i="25"/>
  <c r="BK56" i="24"/>
  <c r="S56" i="24"/>
  <c r="T56" i="24" s="1"/>
  <c r="M56" i="24"/>
  <c r="N56" i="24" s="1"/>
  <c r="BI42" i="25"/>
  <c r="N42" i="25"/>
  <c r="T42" i="25" s="1"/>
  <c r="L42" i="25"/>
  <c r="N142" i="24"/>
  <c r="AP142" i="24" s="1"/>
  <c r="U142" i="24"/>
  <c r="BK250" i="24"/>
  <c r="S250" i="24"/>
  <c r="T250" i="24" s="1"/>
  <c r="M250" i="24"/>
  <c r="N250" i="24" s="1"/>
  <c r="AP250" i="24" s="1"/>
  <c r="K165" i="24"/>
  <c r="AP132" i="24"/>
  <c r="AH189" i="25"/>
  <c r="BI70" i="25"/>
  <c r="L70" i="25"/>
  <c r="N70" i="25"/>
  <c r="BK170" i="24"/>
  <c r="S170" i="24"/>
  <c r="T170" i="24" s="1"/>
  <c r="M170" i="24"/>
  <c r="N170" i="24" s="1"/>
  <c r="BI8" i="25"/>
  <c r="N8" i="25"/>
  <c r="T8" i="25" s="1"/>
  <c r="BI164" i="25"/>
  <c r="N164" i="25"/>
  <c r="T164" i="25" s="1"/>
  <c r="BI202" i="25"/>
  <c r="N202" i="25"/>
  <c r="BI195" i="25"/>
  <c r="L195" i="25"/>
  <c r="N195" i="25"/>
  <c r="T195" i="25" s="1"/>
  <c r="AP7" i="24"/>
  <c r="K243" i="24"/>
  <c r="BK82" i="24"/>
  <c r="S82" i="24"/>
  <c r="T82" i="24" s="1"/>
  <c r="M82" i="24"/>
  <c r="N82" i="24" s="1"/>
  <c r="AP82" i="24" s="1"/>
  <c r="P163" i="24"/>
  <c r="Q163" i="24"/>
  <c r="BI81" i="25"/>
  <c r="N81" i="25"/>
  <c r="BI44" i="25"/>
  <c r="N44" i="25"/>
  <c r="AP191" i="24"/>
  <c r="P13" i="25"/>
  <c r="O13" i="25"/>
  <c r="AO13" i="25" s="1"/>
  <c r="O71" i="25"/>
  <c r="P71" i="25"/>
  <c r="T71" i="25"/>
  <c r="N200" i="24"/>
  <c r="U200" i="24"/>
  <c r="P306" i="25"/>
  <c r="O306" i="25"/>
  <c r="T306" i="25"/>
  <c r="N40" i="24"/>
  <c r="AP40" i="24" s="1"/>
  <c r="U40" i="24"/>
  <c r="P173" i="25"/>
  <c r="O173" i="25"/>
  <c r="AO173" i="25" s="1"/>
  <c r="T173" i="25"/>
  <c r="P31" i="25"/>
  <c r="O31" i="25"/>
  <c r="AO31" i="25" s="1"/>
  <c r="N227" i="24"/>
  <c r="AP227" i="24" s="1"/>
  <c r="U227" i="24"/>
  <c r="N218" i="24"/>
  <c r="AP218" i="24" s="1"/>
  <c r="U218" i="24"/>
  <c r="N310" i="24"/>
  <c r="U310" i="24"/>
  <c r="P314" i="25"/>
  <c r="O314" i="25"/>
  <c r="AO314" i="25" s="1"/>
  <c r="P47" i="24"/>
  <c r="Q47" i="24"/>
  <c r="R47" i="24" s="1"/>
  <c r="N120" i="24"/>
  <c r="AP120" i="24" s="1"/>
  <c r="U120" i="24"/>
  <c r="P270" i="24"/>
  <c r="Q270" i="24"/>
  <c r="P273" i="25"/>
  <c r="O273" i="25"/>
  <c r="AO273" i="25" s="1"/>
  <c r="T273" i="25"/>
  <c r="BK152" i="24"/>
  <c r="S152" i="24"/>
  <c r="T152" i="24" s="1"/>
  <c r="M152" i="24"/>
  <c r="N152" i="24" s="1"/>
  <c r="AP152" i="24" s="1"/>
  <c r="P147" i="24"/>
  <c r="Q147" i="24"/>
  <c r="BK70" i="24"/>
  <c r="S70" i="24"/>
  <c r="T70" i="24" s="1"/>
  <c r="M70" i="24"/>
  <c r="N70" i="24" s="1"/>
  <c r="AP70" i="24" s="1"/>
  <c r="BK186" i="24"/>
  <c r="S186" i="24"/>
  <c r="T186" i="24" s="1"/>
  <c r="M186" i="24"/>
  <c r="N186" i="24" s="1"/>
  <c r="K186" i="24"/>
  <c r="Q24" i="24"/>
  <c r="R24" i="24" s="1"/>
  <c r="P24" i="24"/>
  <c r="BK168" i="24"/>
  <c r="S168" i="24"/>
  <c r="T168" i="24" s="1"/>
  <c r="M168" i="24"/>
  <c r="N168" i="24" s="1"/>
  <c r="AP168" i="24" s="1"/>
  <c r="AP292" i="24"/>
  <c r="BK298" i="24"/>
  <c r="S298" i="24"/>
  <c r="T298" i="24" s="1"/>
  <c r="M298" i="24"/>
  <c r="AH94" i="25"/>
  <c r="BK274" i="24"/>
  <c r="S274" i="24"/>
  <c r="T274" i="24" s="1"/>
  <c r="M274" i="24"/>
  <c r="N274" i="24" s="1"/>
  <c r="K281" i="24"/>
  <c r="Q18" i="24"/>
  <c r="R18" i="24" s="1"/>
  <c r="P18" i="24"/>
  <c r="AP119" i="24"/>
  <c r="K168" i="24"/>
  <c r="BK143" i="24"/>
  <c r="S143" i="24"/>
  <c r="T143" i="24" s="1"/>
  <c r="M143" i="24"/>
  <c r="N143" i="24" s="1"/>
  <c r="AP143" i="24" s="1"/>
  <c r="K143" i="24"/>
  <c r="U6" i="25"/>
  <c r="BK202" i="24"/>
  <c r="S202" i="24"/>
  <c r="T202" i="24" s="1"/>
  <c r="M202" i="24"/>
  <c r="N202" i="24" s="1"/>
  <c r="K202" i="24"/>
  <c r="BK50" i="24"/>
  <c r="S50" i="24"/>
  <c r="T50" i="24" s="1"/>
  <c r="M50" i="24"/>
  <c r="N50" i="24" s="1"/>
  <c r="AP50" i="24" s="1"/>
  <c r="BQ132" i="25"/>
  <c r="U272" i="24"/>
  <c r="U14" i="24"/>
  <c r="AH257" i="25"/>
  <c r="AH141" i="25"/>
  <c r="AH168" i="25"/>
  <c r="P283" i="25"/>
  <c r="O283" i="25"/>
  <c r="AO283" i="25" s="1"/>
  <c r="T283" i="25"/>
  <c r="P167" i="25"/>
  <c r="O167" i="25"/>
  <c r="AO167" i="25" s="1"/>
  <c r="T167" i="25"/>
  <c r="N313" i="24"/>
  <c r="AP313" i="24" s="1"/>
  <c r="U313" i="24"/>
  <c r="P178" i="25"/>
  <c r="O178" i="25"/>
  <c r="AO178" i="25" s="1"/>
  <c r="T178" i="25"/>
  <c r="P248" i="25"/>
  <c r="O248" i="25"/>
  <c r="AO248" i="25" s="1"/>
  <c r="T248" i="25"/>
  <c r="P114" i="25"/>
  <c r="O114" i="25"/>
  <c r="AO114" i="25" s="1"/>
  <c r="T114" i="25"/>
  <c r="Q290" i="24"/>
  <c r="P290" i="24"/>
  <c r="P199" i="25"/>
  <c r="O199" i="25"/>
  <c r="AO199" i="25" s="1"/>
  <c r="AH186" i="25"/>
  <c r="BI226" i="25"/>
  <c r="L226" i="25"/>
  <c r="N226" i="25"/>
  <c r="Q14" i="24"/>
  <c r="R14" i="24" s="1"/>
  <c r="P14" i="24"/>
  <c r="AH29" i="25"/>
  <c r="BK185" i="24"/>
  <c r="S185" i="24"/>
  <c r="T185" i="24" s="1"/>
  <c r="M185" i="24"/>
  <c r="N185" i="24" s="1"/>
  <c r="N101" i="24"/>
  <c r="U101" i="24"/>
  <c r="BI38" i="25"/>
  <c r="N38" i="25"/>
  <c r="P257" i="25"/>
  <c r="O257" i="25"/>
  <c r="AO257" i="25" s="1"/>
  <c r="BK46" i="24"/>
  <c r="S46" i="24"/>
  <c r="T46" i="24" s="1"/>
  <c r="M46" i="24"/>
  <c r="AH152" i="25"/>
  <c r="BI239" i="25"/>
  <c r="N239" i="25"/>
  <c r="P186" i="25"/>
  <c r="O186" i="25"/>
  <c r="AO186" i="25" s="1"/>
  <c r="K250" i="24"/>
  <c r="L160" i="25"/>
  <c r="AH270" i="25"/>
  <c r="BK265" i="24"/>
  <c r="S265" i="24"/>
  <c r="T265" i="24" s="1"/>
  <c r="M265" i="24"/>
  <c r="N265" i="24" s="1"/>
  <c r="AP265" i="24" s="1"/>
  <c r="K265" i="24"/>
  <c r="BI132" i="25"/>
  <c r="N132" i="25"/>
  <c r="T132" i="25" s="1"/>
  <c r="L132" i="25"/>
  <c r="L162" i="25"/>
  <c r="N19" i="24"/>
  <c r="AP19" i="24" s="1"/>
  <c r="U19" i="24"/>
  <c r="P174" i="25"/>
  <c r="O174" i="25"/>
  <c r="AO174" i="25" s="1"/>
  <c r="P87" i="25"/>
  <c r="O87" i="25"/>
  <c r="T87" i="25"/>
  <c r="AH280" i="25"/>
  <c r="N185" i="25"/>
  <c r="T185" i="25" s="1"/>
  <c r="BI185" i="25"/>
  <c r="AH23" i="25"/>
  <c r="BK296" i="24"/>
  <c r="M296" i="24"/>
  <c r="N296" i="24" s="1"/>
  <c r="AP296" i="24" s="1"/>
  <c r="S296" i="24"/>
  <c r="T296" i="24" s="1"/>
  <c r="K296" i="24"/>
  <c r="U62" i="24"/>
  <c r="M243" i="24"/>
  <c r="N243" i="24" s="1"/>
  <c r="L185" i="25"/>
  <c r="AP163" i="24"/>
  <c r="BQ9" i="25"/>
  <c r="N241" i="25"/>
  <c r="T241" i="25" s="1"/>
  <c r="BI241" i="25"/>
  <c r="L241" i="25"/>
  <c r="BI58" i="25"/>
  <c r="N58" i="25"/>
  <c r="T58" i="25" s="1"/>
  <c r="L58" i="25"/>
  <c r="AH182" i="25"/>
  <c r="Q76" i="24"/>
  <c r="R76" i="24" s="1"/>
  <c r="P76" i="24"/>
  <c r="P25" i="24"/>
  <c r="Q25" i="24"/>
  <c r="R25" i="24" s="1"/>
  <c r="P276" i="25"/>
  <c r="O276" i="25"/>
  <c r="AO276" i="25" s="1"/>
  <c r="N226" i="24"/>
  <c r="AP226" i="24" s="1"/>
  <c r="U226" i="24"/>
  <c r="N287" i="24"/>
  <c r="AP287" i="24" s="1"/>
  <c r="U287" i="24"/>
  <c r="P247" i="25"/>
  <c r="O247" i="25"/>
  <c r="AO247" i="25" s="1"/>
  <c r="P161" i="25"/>
  <c r="O161" i="25"/>
  <c r="AO161" i="25" s="1"/>
  <c r="N306" i="24"/>
  <c r="U306" i="24"/>
  <c r="P158" i="25"/>
  <c r="O158" i="25"/>
  <c r="AO158" i="25" s="1"/>
  <c r="T158" i="25"/>
  <c r="P21" i="25"/>
  <c r="O21" i="25"/>
  <c r="AO21" i="25" s="1"/>
  <c r="T21" i="25"/>
  <c r="N180" i="24"/>
  <c r="U180" i="24"/>
  <c r="P282" i="25"/>
  <c r="O282" i="25"/>
  <c r="AO282" i="25" s="1"/>
  <c r="T282" i="25"/>
  <c r="Q312" i="24"/>
  <c r="P312" i="24"/>
  <c r="Q272" i="24"/>
  <c r="P272" i="24"/>
  <c r="BI152" i="25"/>
  <c r="N152" i="25"/>
  <c r="T152" i="25" s="1"/>
  <c r="Q62" i="24"/>
  <c r="R62" i="24" s="1"/>
  <c r="P62" i="24"/>
  <c r="BK36" i="24"/>
  <c r="S36" i="24"/>
  <c r="T36" i="24" s="1"/>
  <c r="M36" i="24"/>
  <c r="N36" i="24" s="1"/>
  <c r="AP36" i="24" s="1"/>
  <c r="V257" i="24"/>
  <c r="Q268" i="24"/>
  <c r="P268" i="24"/>
  <c r="BK138" i="24"/>
  <c r="S138" i="24"/>
  <c r="T138" i="24" s="1"/>
  <c r="M138" i="24"/>
  <c r="N138" i="24" s="1"/>
  <c r="AP138" i="24" s="1"/>
  <c r="BI193" i="25"/>
  <c r="N193" i="25"/>
  <c r="T193" i="25" s="1"/>
  <c r="BK273" i="24"/>
  <c r="S273" i="24"/>
  <c r="T273" i="24" s="1"/>
  <c r="M273" i="24"/>
  <c r="N273" i="24" s="1"/>
  <c r="AP273" i="24" s="1"/>
  <c r="K273" i="24"/>
  <c r="P232" i="25"/>
  <c r="O232" i="25"/>
  <c r="BK6" i="24"/>
  <c r="S6" i="24"/>
  <c r="T6" i="24" s="1"/>
  <c r="U6" i="24"/>
  <c r="N16" i="24"/>
  <c r="AP16" i="24" s="1"/>
  <c r="U16" i="24"/>
  <c r="N231" i="24"/>
  <c r="AP231" i="24" s="1"/>
  <c r="U231" i="24"/>
  <c r="P150" i="24"/>
  <c r="Q150" i="24"/>
  <c r="N279" i="24"/>
  <c r="AP279" i="24" s="1"/>
  <c r="U279" i="24"/>
  <c r="N234" i="24"/>
  <c r="AP234" i="24" s="1"/>
  <c r="U234" i="24"/>
  <c r="P271" i="24"/>
  <c r="Q271" i="24"/>
  <c r="P229" i="25"/>
  <c r="O229" i="25"/>
  <c r="AO229" i="25" s="1"/>
  <c r="T229" i="25"/>
  <c r="P14" i="25"/>
  <c r="O14" i="25"/>
  <c r="AO14" i="25" s="1"/>
  <c r="T14" i="25"/>
  <c r="P261" i="25"/>
  <c r="O261" i="25"/>
  <c r="T261" i="25"/>
  <c r="P30" i="25"/>
  <c r="O30" i="25"/>
  <c r="AO30" i="25" s="1"/>
  <c r="BK12" i="24"/>
  <c r="S12" i="24"/>
  <c r="T12" i="24" s="1"/>
  <c r="M12" i="24"/>
  <c r="N12" i="24" s="1"/>
  <c r="AP12" i="24" s="1"/>
  <c r="BK74" i="24"/>
  <c r="S74" i="24"/>
  <c r="T74" i="24" s="1"/>
  <c r="M74" i="24"/>
  <c r="N74" i="24" s="1"/>
  <c r="AP74" i="24" s="1"/>
  <c r="U190" i="25"/>
  <c r="AH208" i="25"/>
  <c r="AH74" i="25"/>
  <c r="BI203" i="25"/>
  <c r="BI30" i="25"/>
  <c r="L30" i="25"/>
  <c r="BI73" i="25"/>
  <c r="AH130" i="25"/>
  <c r="P182" i="24"/>
  <c r="Q182" i="24"/>
  <c r="AP182" i="24"/>
  <c r="BK269" i="24"/>
  <c r="S269" i="24"/>
  <c r="T269" i="24" s="1"/>
  <c r="M269" i="24"/>
  <c r="N269" i="24" s="1"/>
  <c r="AP269" i="24" s="1"/>
  <c r="BK245" i="24"/>
  <c r="S245" i="24"/>
  <c r="T245" i="24" s="1"/>
  <c r="BI175" i="25"/>
  <c r="AH238" i="25"/>
  <c r="BK222" i="24"/>
  <c r="S222" i="24"/>
  <c r="T222" i="24" s="1"/>
  <c r="Q119" i="24"/>
  <c r="P119" i="24"/>
  <c r="Q43" i="24"/>
  <c r="R43" i="24" s="1"/>
  <c r="P43" i="24"/>
  <c r="BK87" i="24"/>
  <c r="S87" i="24"/>
  <c r="T87" i="24" s="1"/>
  <c r="M87" i="24"/>
  <c r="N87" i="24" s="1"/>
  <c r="AP87" i="24" s="1"/>
  <c r="BI290" i="25"/>
  <c r="N290" i="25"/>
  <c r="T290" i="25" s="1"/>
  <c r="L290" i="25"/>
  <c r="BK284" i="24"/>
  <c r="S284" i="24"/>
  <c r="T284" i="24" s="1"/>
  <c r="BK81" i="24"/>
  <c r="S81" i="24"/>
  <c r="T81" i="24" s="1"/>
  <c r="BK208" i="24"/>
  <c r="S208" i="24"/>
  <c r="T208" i="24" s="1"/>
  <c r="BI263" i="25"/>
  <c r="AP294" i="24"/>
  <c r="BK297" i="24"/>
  <c r="S297" i="24"/>
  <c r="T297" i="24" s="1"/>
  <c r="K297" i="24"/>
  <c r="AH65" i="25"/>
  <c r="BK98" i="24"/>
  <c r="S98" i="24"/>
  <c r="T98" i="24" s="1"/>
  <c r="BI144" i="25"/>
  <c r="L144" i="25"/>
  <c r="P275" i="25"/>
  <c r="O275" i="25"/>
  <c r="AO275" i="25" s="1"/>
  <c r="BK35" i="24"/>
  <c r="S35" i="24"/>
  <c r="T35" i="24" s="1"/>
  <c r="BI102" i="25"/>
  <c r="BQ174" i="25"/>
  <c r="AH115" i="25"/>
  <c r="BK43" i="24"/>
  <c r="S43" i="24"/>
  <c r="T43" i="24" s="1"/>
  <c r="Q181" i="24"/>
  <c r="P181" i="24"/>
  <c r="AP271" i="24"/>
  <c r="BI101" i="25"/>
  <c r="BI289" i="25"/>
  <c r="BI50" i="25"/>
  <c r="N50" i="25"/>
  <c r="T50" i="25" s="1"/>
  <c r="BK136" i="24"/>
  <c r="S136" i="24"/>
  <c r="T136" i="24" s="1"/>
  <c r="BI47" i="25"/>
  <c r="AH258" i="25"/>
  <c r="AH134" i="25"/>
  <c r="AH207" i="25"/>
  <c r="BK258" i="24"/>
  <c r="S258" i="24"/>
  <c r="T258" i="24" s="1"/>
  <c r="M258" i="24"/>
  <c r="N258" i="24" s="1"/>
  <c r="AP258" i="24" s="1"/>
  <c r="BI35" i="25"/>
  <c r="N35" i="25"/>
  <c r="T35" i="25" s="1"/>
  <c r="BI91" i="25"/>
  <c r="N91" i="25"/>
  <c r="T91" i="25" s="1"/>
  <c r="AH57" i="25"/>
  <c r="BI24" i="25"/>
  <c r="N24" i="25"/>
  <c r="T24" i="25" s="1"/>
  <c r="L24" i="25"/>
  <c r="BI149" i="25"/>
  <c r="N149" i="25"/>
  <c r="T149" i="25" s="1"/>
  <c r="BK178" i="24"/>
  <c r="S178" i="24"/>
  <c r="T178" i="24" s="1"/>
  <c r="M178" i="24"/>
  <c r="N178" i="24" s="1"/>
  <c r="BI36" i="25"/>
  <c r="N36" i="25"/>
  <c r="T36" i="25" s="1"/>
  <c r="BI256" i="25"/>
  <c r="N256" i="25"/>
  <c r="T256" i="25" s="1"/>
  <c r="BI119" i="25"/>
  <c r="N119" i="25"/>
  <c r="T119" i="25" s="1"/>
  <c r="AH131" i="25"/>
  <c r="N61" i="25"/>
  <c r="T61" i="25" s="1"/>
  <c r="BI61" i="25"/>
  <c r="AH61" i="25"/>
  <c r="U293" i="25"/>
  <c r="AH146" i="25"/>
  <c r="AH294" i="25"/>
  <c r="AH264" i="25"/>
  <c r="BI88" i="25"/>
  <c r="BQ59" i="25"/>
  <c r="AH179" i="25"/>
  <c r="Q86" i="24"/>
  <c r="R86" i="24" s="1"/>
  <c r="P86" i="24"/>
  <c r="BK23" i="24"/>
  <c r="S23" i="24"/>
  <c r="T23" i="24" s="1"/>
  <c r="BK15" i="24"/>
  <c r="S15" i="24"/>
  <c r="T15" i="24" s="1"/>
  <c r="BK244" i="24"/>
  <c r="S244" i="24"/>
  <c r="T244" i="24" s="1"/>
  <c r="O22" i="24"/>
  <c r="BZ22" i="24" s="1"/>
  <c r="J22" i="24"/>
  <c r="BK201" i="24"/>
  <c r="S201" i="24"/>
  <c r="T201" i="24" s="1"/>
  <c r="T174" i="25"/>
  <c r="AH21" i="25"/>
  <c r="AH96" i="25"/>
  <c r="AH116" i="25"/>
  <c r="AH314" i="25"/>
  <c r="AH166" i="25"/>
  <c r="AH201" i="25"/>
  <c r="BK28" i="24"/>
  <c r="S28" i="24"/>
  <c r="T28" i="24" s="1"/>
  <c r="AP264" i="24"/>
  <c r="BQ261" i="25"/>
  <c r="BI172" i="25"/>
  <c r="BK172" i="24"/>
  <c r="S172" i="24"/>
  <c r="T172" i="24" s="1"/>
  <c r="AH272" i="25"/>
  <c r="AH89" i="25"/>
  <c r="AH110" i="25"/>
  <c r="BI305" i="25"/>
  <c r="BI275" i="25"/>
  <c r="AH275" i="25"/>
  <c r="AH262" i="25"/>
  <c r="BK254" i="24"/>
  <c r="S254" i="24"/>
  <c r="T254" i="24" s="1"/>
  <c r="BK230" i="24"/>
  <c r="S230" i="24"/>
  <c r="T230" i="24" s="1"/>
  <c r="BK171" i="24"/>
  <c r="S171" i="24"/>
  <c r="T171" i="24" s="1"/>
  <c r="K171" i="24"/>
  <c r="P204" i="25"/>
  <c r="O204" i="25"/>
  <c r="AO204" i="25" s="1"/>
  <c r="AH295" i="25"/>
  <c r="BK275" i="24"/>
  <c r="S275" i="24"/>
  <c r="T275" i="24" s="1"/>
  <c r="BI234" i="25"/>
  <c r="BK135" i="24"/>
  <c r="S135" i="24"/>
  <c r="T135" i="24" s="1"/>
  <c r="BI316" i="25"/>
  <c r="BI298" i="25"/>
  <c r="BI244" i="25"/>
  <c r="AH244" i="25"/>
  <c r="BK85" i="24"/>
  <c r="S85" i="24"/>
  <c r="T85" i="24" s="1"/>
  <c r="AH43" i="25"/>
  <c r="AH54" i="25"/>
  <c r="AH46" i="25"/>
  <c r="BI51" i="25"/>
  <c r="N51" i="25"/>
  <c r="T51" i="25" s="1"/>
  <c r="AH72" i="25"/>
  <c r="AH171" i="25"/>
  <c r="M81" i="24"/>
  <c r="N81" i="24" s="1"/>
  <c r="BQ301" i="25"/>
  <c r="BQ60" i="25"/>
  <c r="AH217" i="25"/>
  <c r="BI17" i="25"/>
  <c r="N17" i="25"/>
  <c r="T17" i="25" s="1"/>
  <c r="BK91" i="24"/>
  <c r="S91" i="24"/>
  <c r="T91" i="24" s="1"/>
  <c r="M91" i="24"/>
  <c r="N91" i="24" s="1"/>
  <c r="AP91" i="24" s="1"/>
  <c r="BI136" i="25"/>
  <c r="N136" i="25"/>
  <c r="T136" i="25" s="1"/>
  <c r="L136" i="25"/>
  <c r="BI128" i="25"/>
  <c r="N128" i="25"/>
  <c r="T128" i="25" s="1"/>
  <c r="L128" i="25"/>
  <c r="AH222" i="25"/>
  <c r="BK9" i="24"/>
  <c r="S9" i="24"/>
  <c r="T9" i="24" s="1"/>
  <c r="AH154" i="25"/>
  <c r="M15" i="24"/>
  <c r="N15" i="24" s="1"/>
  <c r="AP15" i="24" s="1"/>
  <c r="N75" i="25"/>
  <c r="M208" i="24"/>
  <c r="N208" i="24" s="1"/>
  <c r="M305" i="24"/>
  <c r="N305" i="24" s="1"/>
  <c r="AP305" i="24" s="1"/>
  <c r="M85" i="24"/>
  <c r="M34" i="24"/>
  <c r="N34" i="24" s="1"/>
  <c r="AP34" i="24" s="1"/>
  <c r="P131" i="25"/>
  <c r="O131" i="25"/>
  <c r="N144" i="25"/>
  <c r="T144" i="25" s="1"/>
  <c r="BI159" i="25"/>
  <c r="N159" i="25"/>
  <c r="BI52" i="25"/>
  <c r="BI270" i="25"/>
  <c r="N270" i="25"/>
  <c r="T270" i="25" s="1"/>
  <c r="BK114" i="24"/>
  <c r="S114" i="24"/>
  <c r="T114" i="24" s="1"/>
  <c r="M114" i="24"/>
  <c r="K114" i="24"/>
  <c r="BK68" i="24"/>
  <c r="S68" i="24"/>
  <c r="T68" i="24" s="1"/>
  <c r="AH13" i="25"/>
  <c r="AH160" i="25"/>
  <c r="BK122" i="24"/>
  <c r="S122" i="24"/>
  <c r="T122" i="24" s="1"/>
  <c r="AP18" i="24"/>
  <c r="P6" i="25"/>
  <c r="O6" i="25"/>
  <c r="AO6" i="25" s="1"/>
  <c r="AH193" i="25"/>
  <c r="BI180" i="25"/>
  <c r="BI6" i="25"/>
  <c r="AH122" i="25"/>
  <c r="AH16" i="25"/>
  <c r="AH162" i="25"/>
  <c r="AH226" i="25"/>
  <c r="BK302" i="24"/>
  <c r="S302" i="24"/>
  <c r="T302" i="24" s="1"/>
  <c r="M302" i="24"/>
  <c r="N302" i="24" s="1"/>
  <c r="BK256" i="24"/>
  <c r="S256" i="24"/>
  <c r="T256" i="24" s="1"/>
  <c r="AH246" i="25"/>
  <c r="AH73" i="25"/>
  <c r="BI157" i="25"/>
  <c r="N157" i="25"/>
  <c r="BI315" i="25"/>
  <c r="N315" i="25"/>
  <c r="AH125" i="25"/>
  <c r="AH241" i="25"/>
  <c r="AP6" i="24"/>
  <c r="K129" i="24"/>
  <c r="AP129" i="24"/>
  <c r="M118" i="24"/>
  <c r="N118" i="24" s="1"/>
  <c r="AP118" i="24" s="1"/>
  <c r="L182" i="25"/>
  <c r="BI37" i="25"/>
  <c r="AH70" i="25"/>
  <c r="BK307" i="24"/>
  <c r="S307" i="24"/>
  <c r="T307" i="24" s="1"/>
  <c r="BI210" i="25"/>
  <c r="K241" i="24"/>
  <c r="L157" i="25"/>
  <c r="AH53" i="25"/>
  <c r="BK99" i="24"/>
  <c r="S99" i="24"/>
  <c r="T99" i="24" s="1"/>
  <c r="M99" i="24"/>
  <c r="N99" i="24" s="1"/>
  <c r="AP99" i="24" s="1"/>
  <c r="BK314" i="24"/>
  <c r="M314" i="24"/>
  <c r="N314" i="24" s="1"/>
  <c r="AP314" i="24" s="1"/>
  <c r="S314" i="24"/>
  <c r="T314" i="24" s="1"/>
  <c r="K314" i="24"/>
  <c r="BK103" i="24"/>
  <c r="S103" i="24"/>
  <c r="T103" i="24" s="1"/>
  <c r="M103" i="24"/>
  <c r="AH194" i="25"/>
  <c r="BI120" i="25"/>
  <c r="N120" i="25"/>
  <c r="T120" i="25" s="1"/>
  <c r="BI125" i="25"/>
  <c r="U22" i="24"/>
  <c r="BK117" i="24"/>
  <c r="S117" i="24"/>
  <c r="T117" i="24" s="1"/>
  <c r="M117" i="24"/>
  <c r="T30" i="25"/>
  <c r="BI271" i="25"/>
  <c r="K269" i="24"/>
  <c r="L82" i="25"/>
  <c r="K222" i="24"/>
  <c r="L92" i="25"/>
  <c r="AH92" i="25"/>
  <c r="AH281" i="25"/>
  <c r="K159" i="24"/>
  <c r="O119" i="24"/>
  <c r="BZ119" i="24" s="1"/>
  <c r="J119" i="24"/>
  <c r="K150" i="24"/>
  <c r="AH263" i="25"/>
  <c r="BK40" i="24"/>
  <c r="S40" i="24"/>
  <c r="T40" i="24" s="1"/>
  <c r="BI66" i="25"/>
  <c r="BI247" i="25"/>
  <c r="AH148" i="25"/>
  <c r="BQ144" i="25"/>
  <c r="P296" i="25"/>
  <c r="O296" i="25"/>
  <c r="AO296" i="25" s="1"/>
  <c r="AH254" i="25"/>
  <c r="BK246" i="24"/>
  <c r="S246" i="24"/>
  <c r="T246" i="24" s="1"/>
  <c r="M115" i="24"/>
  <c r="N115" i="24" s="1"/>
  <c r="AP115" i="24" s="1"/>
  <c r="BQ31" i="25"/>
  <c r="L31" i="25"/>
  <c r="U44" i="24"/>
  <c r="AP44" i="24"/>
  <c r="BI115" i="25"/>
  <c r="U43" i="24"/>
  <c r="BI80" i="25"/>
  <c r="N80" i="25"/>
  <c r="T80" i="25" s="1"/>
  <c r="Q53" i="24"/>
  <c r="R53" i="24" s="1"/>
  <c r="P53" i="24"/>
  <c r="BK156" i="24"/>
  <c r="S156" i="24"/>
  <c r="T156" i="24" s="1"/>
  <c r="K156" i="24"/>
  <c r="BI45" i="25"/>
  <c r="BQ289" i="25"/>
  <c r="AH304" i="25"/>
  <c r="BI235" i="25"/>
  <c r="BK11" i="24"/>
  <c r="S11" i="24"/>
  <c r="T11" i="24" s="1"/>
  <c r="M11" i="24"/>
  <c r="N11" i="24" s="1"/>
  <c r="AP11" i="24" s="1"/>
  <c r="AH181" i="25"/>
  <c r="BK301" i="24"/>
  <c r="S301" i="24"/>
  <c r="T301" i="24" s="1"/>
  <c r="BI242" i="25"/>
  <c r="L242" i="25"/>
  <c r="AH121" i="25"/>
  <c r="BI112" i="25"/>
  <c r="BI97" i="25"/>
  <c r="AH25" i="25"/>
  <c r="L91" i="25"/>
  <c r="BI98" i="25"/>
  <c r="N98" i="25"/>
  <c r="AH98" i="25"/>
  <c r="BI140" i="25"/>
  <c r="N140" i="25"/>
  <c r="AH140" i="25"/>
  <c r="BI196" i="25"/>
  <c r="N196" i="25"/>
  <c r="L196" i="25"/>
  <c r="K178" i="24"/>
  <c r="BI308" i="25"/>
  <c r="N308" i="25"/>
  <c r="T308" i="25" s="1"/>
  <c r="AH308" i="25"/>
  <c r="AH268" i="25"/>
  <c r="BI133" i="25"/>
  <c r="N133" i="25"/>
  <c r="T133" i="25" s="1"/>
  <c r="AH133" i="25"/>
  <c r="P48" i="24"/>
  <c r="Q48" i="24"/>
  <c r="R48" i="24" s="1"/>
  <c r="BK278" i="24"/>
  <c r="S278" i="24"/>
  <c r="T278" i="24" s="1"/>
  <c r="M278" i="24"/>
  <c r="N278" i="24" s="1"/>
  <c r="AP278" i="24" s="1"/>
  <c r="K235" i="24"/>
  <c r="BI27" i="25"/>
  <c r="N27" i="25"/>
  <c r="AP236" i="24"/>
  <c r="BI294" i="25"/>
  <c r="N294" i="25"/>
  <c r="T294" i="25" s="1"/>
  <c r="BI183" i="25"/>
  <c r="N183" i="25"/>
  <c r="U86" i="24"/>
  <c r="BK53" i="24"/>
  <c r="S53" i="24"/>
  <c r="T53" i="24" s="1"/>
  <c r="AH187" i="25"/>
  <c r="BI178" i="25"/>
  <c r="AH126" i="25"/>
  <c r="AH118" i="25"/>
  <c r="BI116" i="25"/>
  <c r="J257" i="24"/>
  <c r="W257" i="24" s="1"/>
  <c r="O257" i="24"/>
  <c r="BZ257" i="24" s="1"/>
  <c r="BI227" i="25"/>
  <c r="N227" i="25"/>
  <c r="T227" i="25" s="1"/>
  <c r="BK17" i="24"/>
  <c r="S17" i="24"/>
  <c r="T17" i="24" s="1"/>
  <c r="BK90" i="24"/>
  <c r="S90" i="24"/>
  <c r="T90" i="24" s="1"/>
  <c r="K180" i="24"/>
  <c r="BK128" i="24"/>
  <c r="S128" i="24"/>
  <c r="T128" i="24" s="1"/>
  <c r="AP47" i="24"/>
  <c r="BK93" i="24"/>
  <c r="S93" i="24"/>
  <c r="T93" i="24" s="1"/>
  <c r="BK139" i="24"/>
  <c r="S139" i="24"/>
  <c r="T139" i="24" s="1"/>
  <c r="AH261" i="25"/>
  <c r="L172" i="25"/>
  <c r="L282" i="25"/>
  <c r="U172" i="24"/>
  <c r="BQ89" i="25"/>
  <c r="L305" i="25"/>
  <c r="T275" i="25"/>
  <c r="M254" i="24"/>
  <c r="N254" i="24" s="1"/>
  <c r="AP254" i="24" s="1"/>
  <c r="BQ204" i="25"/>
  <c r="K120" i="24"/>
  <c r="BI221" i="25"/>
  <c r="BQ260" i="25"/>
  <c r="K312" i="24"/>
  <c r="BQ234" i="25"/>
  <c r="L234" i="25"/>
  <c r="BI111" i="25"/>
  <c r="N111" i="25"/>
  <c r="T111" i="25" s="1"/>
  <c r="AP25" i="24"/>
  <c r="P264" i="24"/>
  <c r="Q264" i="24"/>
  <c r="BK184" i="24"/>
  <c r="S184" i="24"/>
  <c r="T184" i="24" s="1"/>
  <c r="AH33" i="25"/>
  <c r="AH15" i="25"/>
  <c r="BQ39" i="25"/>
  <c r="BI243" i="25"/>
  <c r="AH243" i="25"/>
  <c r="BI199" i="25"/>
  <c r="BQ138" i="25"/>
  <c r="L244" i="25"/>
  <c r="BI191" i="25"/>
  <c r="N191" i="25"/>
  <c r="T191" i="25" s="1"/>
  <c r="M169" i="24"/>
  <c r="N169" i="24" s="1"/>
  <c r="AP169" i="24" s="1"/>
  <c r="AH312" i="25"/>
  <c r="AH40" i="25"/>
  <c r="BI68" i="25"/>
  <c r="N68" i="25"/>
  <c r="BI18" i="25"/>
  <c r="N18" i="25"/>
  <c r="AH51" i="25"/>
  <c r="BK166" i="24"/>
  <c r="S166" i="24"/>
  <c r="T166" i="24" s="1"/>
  <c r="M166" i="24"/>
  <c r="N166" i="24" s="1"/>
  <c r="AH301" i="25"/>
  <c r="BI100" i="25"/>
  <c r="N100" i="25"/>
  <c r="AH84" i="25"/>
  <c r="BI231" i="25"/>
  <c r="N231" i="25"/>
  <c r="L231" i="25"/>
  <c r="N60" i="25"/>
  <c r="T60" i="25" s="1"/>
  <c r="BI60" i="25"/>
  <c r="BI310" i="25"/>
  <c r="N310" i="25"/>
  <c r="T310" i="25" s="1"/>
  <c r="BK189" i="24"/>
  <c r="S189" i="24"/>
  <c r="T189" i="24" s="1"/>
  <c r="M189" i="24"/>
  <c r="N189" i="24" s="1"/>
  <c r="BQ284" i="25"/>
  <c r="N217" i="25"/>
  <c r="BI217" i="25"/>
  <c r="BI56" i="25"/>
  <c r="N56" i="25"/>
  <c r="BI222" i="25"/>
  <c r="N222" i="25"/>
  <c r="L222" i="25"/>
  <c r="BK72" i="24"/>
  <c r="S72" i="24"/>
  <c r="T72" i="24" s="1"/>
  <c r="M210" i="24"/>
  <c r="N244" i="25"/>
  <c r="T244" i="25" s="1"/>
  <c r="N235" i="25"/>
  <c r="T235" i="25" s="1"/>
  <c r="M297" i="24"/>
  <c r="N297" i="24" s="1"/>
  <c r="M244" i="24"/>
  <c r="N244" i="24" s="1"/>
  <c r="AP244" i="24" s="1"/>
  <c r="N124" i="25"/>
  <c r="T124" i="25" s="1"/>
  <c r="M245" i="24"/>
  <c r="N245" i="24" s="1"/>
  <c r="P293" i="25"/>
  <c r="O293" i="25"/>
  <c r="N220" i="25"/>
  <c r="M275" i="24"/>
  <c r="N275" i="24" s="1"/>
  <c r="AP275" i="24" s="1"/>
  <c r="N254" i="25"/>
  <c r="T254" i="25" s="1"/>
  <c r="BI186" i="25"/>
  <c r="L52" i="25"/>
  <c r="AH52" i="25"/>
  <c r="BK177" i="24"/>
  <c r="S177" i="24"/>
  <c r="T177" i="24" s="1"/>
  <c r="AH6" i="25"/>
  <c r="AH77" i="25"/>
  <c r="AH206" i="25"/>
  <c r="BK252" i="24"/>
  <c r="S252" i="24"/>
  <c r="T252" i="24" s="1"/>
  <c r="BK75" i="24"/>
  <c r="S75" i="24"/>
  <c r="T75" i="24" s="1"/>
  <c r="M75" i="24"/>
  <c r="N75" i="24" s="1"/>
  <c r="BQ163" i="25"/>
  <c r="BI192" i="25"/>
  <c r="AH93" i="25"/>
  <c r="BK272" i="24"/>
  <c r="S272" i="24"/>
  <c r="T272" i="24" s="1"/>
  <c r="BK14" i="24"/>
  <c r="S14" i="24"/>
  <c r="T14" i="24" s="1"/>
  <c r="AP24" i="24"/>
  <c r="Q133" i="24"/>
  <c r="P133" i="24"/>
  <c r="AH143" i="25"/>
  <c r="BI163" i="25"/>
  <c r="N163" i="25"/>
  <c r="T163" i="25" s="1"/>
  <c r="BI137" i="25"/>
  <c r="N137" i="25"/>
  <c r="T137" i="25" s="1"/>
  <c r="AH42" i="25"/>
  <c r="U21" i="24"/>
  <c r="AH232" i="25"/>
  <c r="AP205" i="24"/>
  <c r="BQ105" i="25"/>
  <c r="U307" i="24"/>
  <c r="AH177" i="25"/>
  <c r="BK247" i="24"/>
  <c r="S247" i="24"/>
  <c r="T247" i="24" s="1"/>
  <c r="BK176" i="24"/>
  <c r="S176" i="24"/>
  <c r="T176" i="24" s="1"/>
  <c r="M176" i="24"/>
  <c r="N176" i="24" s="1"/>
  <c r="AP176" i="24" s="1"/>
  <c r="BK71" i="24"/>
  <c r="S71" i="24"/>
  <c r="T71" i="24" s="1"/>
  <c r="BI165" i="25"/>
  <c r="AH190" i="25"/>
  <c r="L163" i="25"/>
  <c r="AH279" i="25"/>
  <c r="BK277" i="24"/>
  <c r="S277" i="24"/>
  <c r="T277" i="24" s="1"/>
  <c r="M277" i="24"/>
  <c r="K277" i="24"/>
  <c r="M195" i="24"/>
  <c r="AH145" i="25"/>
  <c r="BK225" i="24"/>
  <c r="S225" i="24"/>
  <c r="T225" i="24" s="1"/>
  <c r="K117" i="24"/>
  <c r="BK232" i="24"/>
  <c r="S232" i="24"/>
  <c r="T232" i="24" s="1"/>
  <c r="M232" i="24"/>
  <c r="BI174" i="25"/>
  <c r="M253" i="24"/>
  <c r="N253" i="24" s="1"/>
  <c r="AP253" i="24" s="1"/>
  <c r="BK137" i="24"/>
  <c r="S137" i="24"/>
  <c r="T137" i="24" s="1"/>
  <c r="N219" i="25"/>
  <c r="BK182" i="24"/>
  <c r="S182" i="24"/>
  <c r="T182" i="24" s="1"/>
  <c r="AH150" i="25"/>
  <c r="K231" i="24"/>
  <c r="BI12" i="25"/>
  <c r="BI142" i="25"/>
  <c r="AH142" i="25"/>
  <c r="AH175" i="25"/>
  <c r="BK263" i="24"/>
  <c r="S263" i="24"/>
  <c r="T263" i="24" s="1"/>
  <c r="M263" i="24"/>
  <c r="M159" i="24"/>
  <c r="N159" i="24" s="1"/>
  <c r="AP159" i="24" s="1"/>
  <c r="AH198" i="25"/>
  <c r="BI200" i="25"/>
  <c r="N200" i="25"/>
  <c r="BK187" i="24"/>
  <c r="S187" i="24"/>
  <c r="T187" i="24" s="1"/>
  <c r="M187" i="24"/>
  <c r="BK8" i="24"/>
  <c r="S8" i="24"/>
  <c r="T8" i="24" s="1"/>
  <c r="AH276" i="25"/>
  <c r="BI283" i="25"/>
  <c r="AH283" i="25"/>
  <c r="AH167" i="25"/>
  <c r="K287" i="24"/>
  <c r="AH66" i="25"/>
  <c r="T247" i="25"/>
  <c r="BI10" i="25"/>
  <c r="AH161" i="25"/>
  <c r="P292" i="24"/>
  <c r="Q292" i="24"/>
  <c r="L115" i="25"/>
  <c r="U181" i="24"/>
  <c r="BI307" i="25"/>
  <c r="AH311" i="25"/>
  <c r="AH80" i="25"/>
  <c r="AH235" i="25"/>
  <c r="N277" i="25"/>
  <c r="BI277" i="25"/>
  <c r="P294" i="24"/>
  <c r="Q294" i="24"/>
  <c r="BK203" i="24"/>
  <c r="S203" i="24"/>
  <c r="T203" i="24" s="1"/>
  <c r="AH229" i="25"/>
  <c r="L50" i="25"/>
  <c r="AH97" i="25"/>
  <c r="BI225" i="25"/>
  <c r="AH225" i="25"/>
  <c r="P162" i="24"/>
  <c r="Q162" i="24"/>
  <c r="AP237" i="24"/>
  <c r="AH62" i="25"/>
  <c r="BI230" i="25"/>
  <c r="N230" i="25"/>
  <c r="AH20" i="25"/>
  <c r="AH22" i="25"/>
  <c r="AH123" i="25"/>
  <c r="AH135" i="25"/>
  <c r="BK217" i="24"/>
  <c r="S217" i="24"/>
  <c r="T217" i="24" s="1"/>
  <c r="M217" i="24"/>
  <c r="N217" i="24" s="1"/>
  <c r="AP217" i="24" s="1"/>
  <c r="BI274" i="25"/>
  <c r="N274" i="25"/>
  <c r="AH41" i="25"/>
  <c r="AH119" i="25"/>
  <c r="BI209" i="25"/>
  <c r="N209" i="25"/>
  <c r="M28" i="24"/>
  <c r="N28" i="24" s="1"/>
  <c r="AP28" i="24" s="1"/>
  <c r="AH27" i="25"/>
  <c r="BK262" i="24"/>
  <c r="S262" i="24"/>
  <c r="T262" i="24" s="1"/>
  <c r="M262" i="24"/>
  <c r="L61" i="25"/>
  <c r="L294" i="25"/>
  <c r="BI264" i="25"/>
  <c r="BK161" i="24"/>
  <c r="S161" i="24"/>
  <c r="T161" i="24" s="1"/>
  <c r="J160" i="24"/>
  <c r="O160" i="24"/>
  <c r="BZ160" i="24" s="1"/>
  <c r="N52" i="25"/>
  <c r="T52" i="25" s="1"/>
  <c r="BK86" i="24"/>
  <c r="S86" i="24"/>
  <c r="T86" i="24" s="1"/>
  <c r="AP86" i="24"/>
  <c r="AH49" i="25"/>
  <c r="U53" i="24"/>
  <c r="BK89" i="24"/>
  <c r="S89" i="24"/>
  <c r="T89" i="24" s="1"/>
  <c r="M201" i="24"/>
  <c r="N201" i="24" s="1"/>
  <c r="L174" i="25"/>
  <c r="L21" i="25"/>
  <c r="L116" i="25"/>
  <c r="AH34" i="25"/>
  <c r="BI287" i="25"/>
  <c r="BQ166" i="25"/>
  <c r="L201" i="25"/>
  <c r="BK315" i="24"/>
  <c r="S315" i="24"/>
  <c r="T315" i="24" s="1"/>
  <c r="BI89" i="25"/>
  <c r="L89" i="25"/>
  <c r="BQ124" i="25"/>
  <c r="AH302" i="25"/>
  <c r="BI223" i="25"/>
  <c r="T305" i="25"/>
  <c r="O21" i="24"/>
  <c r="BZ21" i="24" s="1"/>
  <c r="J21" i="24"/>
  <c r="K230" i="24"/>
  <c r="T204" i="25"/>
  <c r="M247" i="24"/>
  <c r="BQ221" i="25"/>
  <c r="AH278" i="25"/>
  <c r="BI260" i="25"/>
  <c r="AP312" i="24"/>
  <c r="BQ184" i="25"/>
  <c r="AH184" i="25"/>
  <c r="AH75" i="25"/>
  <c r="BK80" i="24"/>
  <c r="S80" i="24"/>
  <c r="T80" i="24" s="1"/>
  <c r="BQ309" i="25"/>
  <c r="BI39" i="25"/>
  <c r="AH39" i="25"/>
  <c r="AH316" i="25"/>
  <c r="BQ243" i="25"/>
  <c r="AH199" i="25"/>
  <c r="AH155" i="25"/>
  <c r="BQ45" i="25"/>
  <c r="BK239" i="24"/>
  <c r="S239" i="24"/>
  <c r="T239" i="24" s="1"/>
  <c r="M239" i="24"/>
  <c r="BI139" i="25"/>
  <c r="N139" i="25"/>
  <c r="AH18" i="25"/>
  <c r="BI67" i="25"/>
  <c r="N67" i="25"/>
  <c r="AH67" i="25"/>
  <c r="BI288" i="25"/>
  <c r="N288" i="25"/>
  <c r="AH64" i="25"/>
  <c r="AH310" i="25"/>
  <c r="AH17" i="25"/>
  <c r="BQ56" i="25"/>
  <c r="BQ222" i="25"/>
  <c r="AH291" i="25"/>
  <c r="M80" i="24"/>
  <c r="P236" i="24"/>
  <c r="Q236" i="24"/>
  <c r="AO110" i="25"/>
  <c r="R110" i="25"/>
  <c r="S110" i="25"/>
  <c r="K110" i="25" s="1"/>
  <c r="Q110" i="25"/>
  <c r="N45" i="25"/>
  <c r="T45" i="25" s="1"/>
  <c r="N115" i="25"/>
  <c r="N142" i="25"/>
  <c r="N251" i="25"/>
  <c r="N39" i="25"/>
  <c r="M128" i="24"/>
  <c r="N128" i="24" s="1"/>
  <c r="AP128" i="24" s="1"/>
  <c r="M35" i="24"/>
  <c r="N35" i="24" s="1"/>
  <c r="M301" i="24"/>
  <c r="N301" i="24" s="1"/>
  <c r="AP301" i="24" s="1"/>
  <c r="M315" i="24"/>
  <c r="N223" i="25"/>
  <c r="AP190" i="24"/>
  <c r="BK192" i="24"/>
  <c r="S192" i="24"/>
  <c r="T192" i="24" s="1"/>
  <c r="M192" i="24"/>
  <c r="N192" i="24" s="1"/>
  <c r="AP192" i="24" s="1"/>
  <c r="BK198" i="24"/>
  <c r="S198" i="24"/>
  <c r="T198" i="24" s="1"/>
  <c r="M198" i="24"/>
  <c r="N198" i="24" s="1"/>
  <c r="AP198" i="24" s="1"/>
  <c r="BI246" i="25"/>
  <c r="BI145" i="25"/>
  <c r="N145" i="25"/>
  <c r="T145" i="25" s="1"/>
  <c r="BK241" i="24"/>
  <c r="S241" i="24"/>
  <c r="T241" i="24" s="1"/>
  <c r="M241" i="24"/>
  <c r="N241" i="24" s="1"/>
  <c r="AH120" i="25"/>
  <c r="AH176" i="25"/>
  <c r="AH218" i="25"/>
  <c r="BK102" i="24"/>
  <c r="S102" i="24"/>
  <c r="T102" i="24" s="1"/>
  <c r="M102" i="24"/>
  <c r="N102" i="24" s="1"/>
  <c r="BK194" i="24"/>
  <c r="S194" i="24"/>
  <c r="T194" i="24" s="1"/>
  <c r="M194" i="24"/>
  <c r="BI236" i="25"/>
  <c r="N236" i="25"/>
  <c r="T236" i="25" s="1"/>
  <c r="AH245" i="25"/>
  <c r="AO129" i="25"/>
  <c r="AH129" i="25"/>
  <c r="BI126" i="25"/>
  <c r="AH219" i="25"/>
  <c r="AH104" i="25"/>
  <c r="BK73" i="24"/>
  <c r="S73" i="24"/>
  <c r="T73" i="24" s="1"/>
  <c r="M73" i="24"/>
  <c r="N73" i="24" s="1"/>
  <c r="BK76" i="24"/>
  <c r="S76" i="24"/>
  <c r="T76" i="24" s="1"/>
  <c r="U182" i="24"/>
  <c r="BI82" i="25"/>
  <c r="BK34" i="24"/>
  <c r="S34" i="24"/>
  <c r="T34" i="24" s="1"/>
  <c r="BK154" i="24"/>
  <c r="S154" i="24"/>
  <c r="T154" i="24" s="1"/>
  <c r="BK144" i="24"/>
  <c r="S144" i="24"/>
  <c r="T144" i="24" s="1"/>
  <c r="BI281" i="25"/>
  <c r="BK112" i="24"/>
  <c r="S112" i="24"/>
  <c r="T112" i="24" s="1"/>
  <c r="P190" i="25"/>
  <c r="O190" i="25"/>
  <c r="Q188" i="24"/>
  <c r="P188" i="24"/>
  <c r="P198" i="25"/>
  <c r="O198" i="25"/>
  <c r="AH290" i="25"/>
  <c r="BK150" i="24"/>
  <c r="S150" i="24"/>
  <c r="T150" i="24" s="1"/>
  <c r="BK13" i="24"/>
  <c r="S13" i="24"/>
  <c r="T13" i="24" s="1"/>
  <c r="AH306" i="25"/>
  <c r="P219" i="24"/>
  <c r="Q219" i="24"/>
  <c r="BI65" i="25"/>
  <c r="P305" i="25"/>
  <c r="O305" i="25"/>
  <c r="AO305" i="25" s="1"/>
  <c r="BI147" i="25"/>
  <c r="BI254" i="25"/>
  <c r="AH102" i="25"/>
  <c r="BK115" i="24"/>
  <c r="S115" i="24"/>
  <c r="T115" i="24" s="1"/>
  <c r="BI31" i="25"/>
  <c r="Q44" i="24"/>
  <c r="R44" i="24" s="1"/>
  <c r="P44" i="24"/>
  <c r="AP43" i="24"/>
  <c r="P127" i="24"/>
  <c r="Q127" i="24"/>
  <c r="BK300" i="24"/>
  <c r="S300" i="24"/>
  <c r="T300" i="24" s="1"/>
  <c r="BK49" i="24"/>
  <c r="S49" i="24"/>
  <c r="T49" i="24" s="1"/>
  <c r="BI181" i="25"/>
  <c r="L181" i="25"/>
  <c r="K136" i="24"/>
  <c r="M98" i="24"/>
  <c r="N98" i="24" s="1"/>
  <c r="BK238" i="24"/>
  <c r="S238" i="24"/>
  <c r="T238" i="24" s="1"/>
  <c r="P177" i="25"/>
  <c r="O177" i="25"/>
  <c r="J162" i="24"/>
  <c r="O162" i="24"/>
  <c r="BZ162" i="24" s="1"/>
  <c r="BK237" i="24"/>
  <c r="S237" i="24"/>
  <c r="T237" i="24" s="1"/>
  <c r="BK175" i="24"/>
  <c r="S175" i="24"/>
  <c r="T175" i="24" s="1"/>
  <c r="M175" i="24"/>
  <c r="N175" i="24" s="1"/>
  <c r="AP175" i="24" s="1"/>
  <c r="BI85" i="25"/>
  <c r="N85" i="25"/>
  <c r="T85" i="25" s="1"/>
  <c r="BI57" i="25"/>
  <c r="N57" i="25"/>
  <c r="T57" i="25" s="1"/>
  <c r="BI153" i="25"/>
  <c r="N153" i="25"/>
  <c r="T153" i="25" s="1"/>
  <c r="AH286" i="25"/>
  <c r="L119" i="25"/>
  <c r="BI69" i="25"/>
  <c r="N69" i="25"/>
  <c r="T69" i="25" s="1"/>
  <c r="BK235" i="24"/>
  <c r="S235" i="24"/>
  <c r="T235" i="24" s="1"/>
  <c r="M235" i="24"/>
  <c r="N235" i="24" s="1"/>
  <c r="AP235" i="24" s="1"/>
  <c r="AH299" i="25"/>
  <c r="BI146" i="25"/>
  <c r="N146" i="25"/>
  <c r="T146" i="25" s="1"/>
  <c r="AH224" i="25"/>
  <c r="BK197" i="24"/>
  <c r="S197" i="24"/>
  <c r="T197" i="24" s="1"/>
  <c r="BK127" i="24"/>
  <c r="S127" i="24"/>
  <c r="T127" i="24" s="1"/>
  <c r="BK199" i="24"/>
  <c r="S199" i="24"/>
  <c r="T199" i="24" s="1"/>
  <c r="AH14" i="25"/>
  <c r="L187" i="25"/>
  <c r="BK65" i="24"/>
  <c r="S65" i="24"/>
  <c r="T65" i="24" s="1"/>
  <c r="L267" i="25"/>
  <c r="BI43" i="25"/>
  <c r="N43" i="25"/>
  <c r="T43" i="25" s="1"/>
  <c r="BI118" i="25"/>
  <c r="L118" i="25"/>
  <c r="BK69" i="24"/>
  <c r="S69" i="24"/>
  <c r="T69" i="24" s="1"/>
  <c r="M69" i="24"/>
  <c r="N69" i="24" s="1"/>
  <c r="AP69" i="24" s="1"/>
  <c r="AH227" i="25"/>
  <c r="U61" i="24"/>
  <c r="AH259" i="25"/>
  <c r="AH287" i="25"/>
  <c r="BQ90" i="25"/>
  <c r="BI285" i="25"/>
  <c r="BI166" i="25"/>
  <c r="BK48" i="24"/>
  <c r="S48" i="24"/>
  <c r="T48" i="24" s="1"/>
  <c r="M65" i="24"/>
  <c r="N65" i="24" s="1"/>
  <c r="AP65" i="24" s="1"/>
  <c r="BI124" i="25"/>
  <c r="AH248" i="25"/>
  <c r="BQ223" i="25"/>
  <c r="AH223" i="25"/>
  <c r="BK270" i="24"/>
  <c r="S270" i="24"/>
  <c r="T270" i="24" s="1"/>
  <c r="BI184" i="25"/>
  <c r="L184" i="25"/>
  <c r="BI63" i="25"/>
  <c r="N63" i="25"/>
  <c r="BI309" i="25"/>
  <c r="AH309" i="25"/>
  <c r="BK196" i="24"/>
  <c r="S196" i="24"/>
  <c r="T196" i="24" s="1"/>
  <c r="BK242" i="24"/>
  <c r="S242" i="24"/>
  <c r="T242" i="24" s="1"/>
  <c r="L316" i="25"/>
  <c r="L298" i="25"/>
  <c r="BI233" i="25"/>
  <c r="AH233" i="25"/>
  <c r="BQ155" i="25"/>
  <c r="BI54" i="25"/>
  <c r="N54" i="25"/>
  <c r="T54" i="25" s="1"/>
  <c r="BK169" i="24"/>
  <c r="S169" i="24"/>
  <c r="T169" i="24" s="1"/>
  <c r="AP88" i="24"/>
  <c r="M295" i="24"/>
  <c r="N295" i="24" s="1"/>
  <c r="L54" i="25"/>
  <c r="AH156" i="25"/>
  <c r="AH79" i="25"/>
  <c r="L51" i="25"/>
  <c r="BK60" i="24"/>
  <c r="S60" i="24"/>
  <c r="T60" i="24" s="1"/>
  <c r="M60" i="24"/>
  <c r="N60" i="24" s="1"/>
  <c r="BQ64" i="25"/>
  <c r="AH231" i="25"/>
  <c r="AH19" i="25"/>
  <c r="BK66" i="24"/>
  <c r="S66" i="24"/>
  <c r="T66" i="24" s="1"/>
  <c r="M66" i="24"/>
  <c r="N66" i="24" s="1"/>
  <c r="AP66" i="24" s="1"/>
  <c r="BI284" i="25"/>
  <c r="N284" i="25"/>
  <c r="T284" i="25" s="1"/>
  <c r="AH284" i="25"/>
  <c r="BK207" i="24"/>
  <c r="S207" i="24"/>
  <c r="T207" i="24" s="1"/>
  <c r="M207" i="24"/>
  <c r="N207" i="24" s="1"/>
  <c r="AP207" i="24" s="1"/>
  <c r="BI252" i="25"/>
  <c r="N252" i="25"/>
  <c r="T252" i="25" s="1"/>
  <c r="BQ154" i="25"/>
  <c r="U30" i="24"/>
  <c r="AP30" i="24"/>
  <c r="U72" i="24"/>
  <c r="BQ291" i="25"/>
  <c r="M89" i="24"/>
  <c r="M184" i="24"/>
  <c r="O236" i="24"/>
  <c r="BZ236" i="24" s="1"/>
  <c r="J236" i="24"/>
  <c r="M299" i="24"/>
  <c r="N299" i="24" s="1"/>
  <c r="N316" i="25"/>
  <c r="T316" i="25" s="1"/>
  <c r="N12" i="25"/>
  <c r="N88" i="25"/>
  <c r="T88" i="25" s="1"/>
  <c r="M23" i="24"/>
  <c r="N23" i="24" s="1"/>
  <c r="AP23" i="24" s="1"/>
  <c r="M49" i="24"/>
  <c r="N49" i="24" s="1"/>
  <c r="AP49" i="24" s="1"/>
  <c r="J264" i="24"/>
  <c r="O264" i="24"/>
  <c r="BZ264" i="24" s="1"/>
  <c r="M112" i="24"/>
  <c r="N112" i="24" s="1"/>
  <c r="AP112" i="24" s="1"/>
  <c r="AP257" i="24"/>
  <c r="BK125" i="24"/>
  <c r="S125" i="24"/>
  <c r="T125" i="24" s="1"/>
  <c r="M125" i="24"/>
  <c r="N125" i="24" s="1"/>
  <c r="AP125" i="24" s="1"/>
  <c r="AH164" i="25"/>
  <c r="AH202" i="25"/>
  <c r="BK268" i="24"/>
  <c r="S268" i="24"/>
  <c r="T268" i="24" s="1"/>
  <c r="BK54" i="24"/>
  <c r="S54" i="24"/>
  <c r="T54" i="24" s="1"/>
  <c r="M54" i="24"/>
  <c r="AP68" i="24"/>
  <c r="AH165" i="25"/>
  <c r="BI26" i="25"/>
  <c r="BK267" i="24"/>
  <c r="S267" i="24"/>
  <c r="T267" i="24" s="1"/>
  <c r="M267" i="24"/>
  <c r="N267" i="24" s="1"/>
  <c r="AP62" i="24"/>
  <c r="AH83" i="25"/>
  <c r="AP147" i="24"/>
  <c r="M177" i="24"/>
  <c r="N177" i="24" s="1"/>
  <c r="AP177" i="24" s="1"/>
  <c r="N203" i="25"/>
  <c r="AH159" i="25"/>
  <c r="AH185" i="25"/>
  <c r="BI206" i="25"/>
  <c r="BK20" i="24"/>
  <c r="S20" i="24"/>
  <c r="T20" i="24" s="1"/>
  <c r="BI300" i="25"/>
  <c r="N300" i="25"/>
  <c r="T300" i="25" s="1"/>
  <c r="BI122" i="25"/>
  <c r="AP21" i="24"/>
  <c r="K163" i="24"/>
  <c r="L246" i="25"/>
  <c r="U190" i="24"/>
  <c r="BK118" i="24"/>
  <c r="S118" i="24"/>
  <c r="T118" i="24" s="1"/>
  <c r="N176" i="25"/>
  <c r="T176" i="25" s="1"/>
  <c r="BI176" i="25"/>
  <c r="BI279" i="25"/>
  <c r="N279" i="25"/>
  <c r="T279" i="25" s="1"/>
  <c r="Q22" i="24"/>
  <c r="R22" i="24" s="1"/>
  <c r="P22" i="24"/>
  <c r="BK133" i="24"/>
  <c r="S133" i="24"/>
  <c r="T133" i="24" s="1"/>
  <c r="BK167" i="24"/>
  <c r="S167" i="24"/>
  <c r="T167" i="24" s="1"/>
  <c r="BK255" i="24"/>
  <c r="S255" i="24"/>
  <c r="T255" i="24" s="1"/>
  <c r="BK146" i="24"/>
  <c r="S146" i="24"/>
  <c r="T146" i="24" s="1"/>
  <c r="M146" i="24"/>
  <c r="AH137" i="25"/>
  <c r="BK38" i="24"/>
  <c r="S38" i="24"/>
  <c r="T38" i="24" s="1"/>
  <c r="M38" i="24"/>
  <c r="K267" i="24"/>
  <c r="BK131" i="24"/>
  <c r="M131" i="24"/>
  <c r="S131" i="24"/>
  <c r="T131" i="24" s="1"/>
  <c r="BK282" i="24"/>
  <c r="S282" i="24"/>
  <c r="T282" i="24" s="1"/>
  <c r="M282" i="24"/>
  <c r="BK97" i="24"/>
  <c r="S97" i="24"/>
  <c r="T97" i="24" s="1"/>
  <c r="K176" i="24"/>
  <c r="K179" i="24"/>
  <c r="O190" i="24"/>
  <c r="BZ190" i="24" s="1"/>
  <c r="J190" i="24"/>
  <c r="N271" i="25"/>
  <c r="T271" i="25" s="1"/>
  <c r="AH271" i="25"/>
  <c r="BI219" i="25"/>
  <c r="BK16" i="24"/>
  <c r="S16" i="24"/>
  <c r="T16" i="24" s="1"/>
  <c r="T82" i="25"/>
  <c r="BK231" i="24"/>
  <c r="S231" i="24"/>
  <c r="T231" i="24" s="1"/>
  <c r="L175" i="25"/>
  <c r="BQ281" i="25"/>
  <c r="BK25" i="24"/>
  <c r="S25" i="24"/>
  <c r="T25" i="24" s="1"/>
  <c r="M104" i="24"/>
  <c r="N104" i="24" s="1"/>
  <c r="BK188" i="24"/>
  <c r="S188" i="24"/>
  <c r="T188" i="24" s="1"/>
  <c r="U150" i="24"/>
  <c r="K208" i="24"/>
  <c r="L263" i="25"/>
  <c r="BI167" i="25"/>
  <c r="Q121" i="24"/>
  <c r="P121" i="24"/>
  <c r="Q72" i="24"/>
  <c r="R72" i="24" s="1"/>
  <c r="P72" i="24"/>
  <c r="BK153" i="24"/>
  <c r="S153" i="24"/>
  <c r="T153" i="24" s="1"/>
  <c r="BI148" i="25"/>
  <c r="AH144" i="25"/>
  <c r="T147" i="25"/>
  <c r="J292" i="24"/>
  <c r="O292" i="24"/>
  <c r="BZ292" i="24" s="1"/>
  <c r="T31" i="25"/>
  <c r="BK84" i="24"/>
  <c r="S84" i="24"/>
  <c r="T84" i="24" s="1"/>
  <c r="BK58" i="24"/>
  <c r="S58" i="24"/>
  <c r="T58" i="24" s="1"/>
  <c r="BK308" i="24"/>
  <c r="S308" i="24"/>
  <c r="T308" i="24" s="1"/>
  <c r="BK42" i="24"/>
  <c r="S42" i="24"/>
  <c r="T42" i="24" s="1"/>
  <c r="M42" i="24"/>
  <c r="BK306" i="24"/>
  <c r="S306" i="24"/>
  <c r="T306" i="24" s="1"/>
  <c r="AH45" i="25"/>
  <c r="AH101" i="25"/>
  <c r="BK183" i="24"/>
  <c r="S183" i="24"/>
  <c r="T183" i="24" s="1"/>
  <c r="M183" i="24"/>
  <c r="BI229" i="25"/>
  <c r="U238" i="24"/>
  <c r="K301" i="24"/>
  <c r="AH47" i="25"/>
  <c r="AH112" i="25"/>
  <c r="N10" i="25"/>
  <c r="BI25" i="25"/>
  <c r="BI87" i="25"/>
  <c r="BI62" i="25"/>
  <c r="L62" i="25"/>
  <c r="AH48" i="25"/>
  <c r="AH85" i="25"/>
  <c r="L98" i="25"/>
  <c r="BI123" i="25"/>
  <c r="N123" i="25"/>
  <c r="L123" i="25"/>
  <c r="AH149" i="25"/>
  <c r="AH127" i="25"/>
  <c r="P34" i="25"/>
  <c r="O34" i="25"/>
  <c r="L308" i="25"/>
  <c r="AH36" i="25"/>
  <c r="L256" i="25"/>
  <c r="BI41" i="25"/>
  <c r="N41" i="25"/>
  <c r="BK26" i="24"/>
  <c r="S26" i="24"/>
  <c r="T26" i="24" s="1"/>
  <c r="M26" i="24"/>
  <c r="L27" i="25"/>
  <c r="BK249" i="24"/>
  <c r="S249" i="24"/>
  <c r="T249" i="24" s="1"/>
  <c r="M249" i="24"/>
  <c r="AH28" i="25"/>
  <c r="AH255" i="25"/>
  <c r="U199" i="24"/>
  <c r="K244" i="24"/>
  <c r="AH267" i="25"/>
  <c r="P233" i="24"/>
  <c r="Q233" i="24"/>
  <c r="M71" i="24"/>
  <c r="BQ126" i="25"/>
  <c r="BI96" i="25"/>
  <c r="BK61" i="24"/>
  <c r="S61" i="24"/>
  <c r="T61" i="24" s="1"/>
  <c r="AP61" i="24"/>
  <c r="BK180" i="24"/>
  <c r="S180" i="24"/>
  <c r="T180" i="24" s="1"/>
  <c r="L314" i="25"/>
  <c r="BI90" i="25"/>
  <c r="BQ285" i="25"/>
  <c r="AH285" i="25"/>
  <c r="L166" i="25"/>
  <c r="BQ201" i="25"/>
  <c r="AP48" i="24"/>
  <c r="BI282" i="25"/>
  <c r="K172" i="24"/>
  <c r="AP172" i="24"/>
  <c r="P262" i="25"/>
  <c r="BI302" i="25"/>
  <c r="BI262" i="25"/>
  <c r="J233" i="24"/>
  <c r="O233" i="24"/>
  <c r="BZ233" i="24" s="1"/>
  <c r="P132" i="24"/>
  <c r="Q132" i="24"/>
  <c r="M255" i="24"/>
  <c r="N26" i="25"/>
  <c r="AP290" i="24"/>
  <c r="L221" i="25"/>
  <c r="U270" i="24"/>
  <c r="K275" i="24"/>
  <c r="BI95" i="25"/>
  <c r="L63" i="25"/>
  <c r="BK210" i="24"/>
  <c r="S210" i="24"/>
  <c r="T210" i="24" s="1"/>
  <c r="BI33" i="25"/>
  <c r="L33" i="25"/>
  <c r="BI228" i="25"/>
  <c r="AH228" i="25"/>
  <c r="L233" i="25"/>
  <c r="AH138" i="25"/>
  <c r="BI155" i="25"/>
  <c r="BI170" i="25"/>
  <c r="AH170" i="25"/>
  <c r="BQ296" i="25"/>
  <c r="BI169" i="25"/>
  <c r="N169" i="25"/>
  <c r="P45" i="24"/>
  <c r="Q45" i="24"/>
  <c r="R45" i="24" s="1"/>
  <c r="BK52" i="24"/>
  <c r="S52" i="24"/>
  <c r="T52" i="24" s="1"/>
  <c r="AP52" i="24"/>
  <c r="BI273" i="25"/>
  <c r="AH273" i="25"/>
  <c r="BI79" i="25"/>
  <c r="N79" i="25"/>
  <c r="L79" i="25"/>
  <c r="L18" i="25"/>
  <c r="BI72" i="25"/>
  <c r="N72" i="25"/>
  <c r="M284" i="24"/>
  <c r="N284" i="24" s="1"/>
  <c r="BK113" i="24"/>
  <c r="S113" i="24"/>
  <c r="T113" i="24" s="1"/>
  <c r="M113" i="24"/>
  <c r="AH288" i="25"/>
  <c r="AH253" i="25"/>
  <c r="BI64" i="25"/>
  <c r="N64" i="25"/>
  <c r="T64" i="25" s="1"/>
  <c r="L64" i="25"/>
  <c r="BK29" i="24"/>
  <c r="S29" i="24"/>
  <c r="T29" i="24" s="1"/>
  <c r="M29" i="24"/>
  <c r="BK124" i="24"/>
  <c r="S124" i="24"/>
  <c r="T124" i="24" s="1"/>
  <c r="M124" i="24"/>
  <c r="N124" i="24" s="1"/>
  <c r="BK140" i="24"/>
  <c r="S140" i="24"/>
  <c r="T140" i="24" s="1"/>
  <c r="M140" i="24"/>
  <c r="BQ252" i="25"/>
  <c r="BK219" i="24"/>
  <c r="S219" i="24"/>
  <c r="T219" i="24" s="1"/>
  <c r="BI154" i="25"/>
  <c r="BK30" i="24"/>
  <c r="S30" i="24"/>
  <c r="T30" i="24" s="1"/>
  <c r="BI291" i="25"/>
  <c r="N233" i="25"/>
  <c r="T233" i="25" s="1"/>
  <c r="N307" i="25"/>
  <c r="M196" i="24"/>
  <c r="N196" i="24" s="1"/>
  <c r="M153" i="24"/>
  <c r="N260" i="25"/>
  <c r="N65" i="25"/>
  <c r="T65" i="25" s="1"/>
  <c r="N263" i="25"/>
  <c r="T263" i="25" s="1"/>
  <c r="M161" i="24"/>
  <c r="N166" i="25"/>
  <c r="T166" i="25" s="1"/>
  <c r="M203" i="24"/>
  <c r="M308" i="24"/>
  <c r="N264" i="25"/>
  <c r="N116" i="25"/>
  <c r="AH192" i="25"/>
  <c r="BI93" i="25"/>
  <c r="N93" i="25"/>
  <c r="BK62" i="24"/>
  <c r="S62" i="24"/>
  <c r="T62" i="24" s="1"/>
  <c r="Q190" i="24"/>
  <c r="P190" i="24"/>
  <c r="P7" i="24"/>
  <c r="Q7" i="24"/>
  <c r="R7" i="24" s="1"/>
  <c r="P68" i="24"/>
  <c r="Q68" i="24"/>
  <c r="R68" i="24" s="1"/>
  <c r="BK123" i="24"/>
  <c r="S123" i="24"/>
  <c r="T123" i="24" s="1"/>
  <c r="M123" i="24"/>
  <c r="AH169" i="25"/>
  <c r="BI23" i="25"/>
  <c r="BK145" i="24"/>
  <c r="S145" i="24"/>
  <c r="T145" i="24" s="1"/>
  <c r="M145" i="24"/>
  <c r="BI232" i="25"/>
  <c r="L232" i="25"/>
  <c r="BI105" i="25"/>
  <c r="N105" i="25"/>
  <c r="BI182" i="25"/>
  <c r="BK223" i="24"/>
  <c r="S223" i="24"/>
  <c r="T223" i="24" s="1"/>
  <c r="AH9" i="25"/>
  <c r="Q225" i="24"/>
  <c r="P225" i="24"/>
  <c r="U133" i="24"/>
  <c r="AP133" i="24"/>
  <c r="BK276" i="24"/>
  <c r="S276" i="24"/>
  <c r="T276" i="24" s="1"/>
  <c r="AH37" i="25"/>
  <c r="AP307" i="24"/>
  <c r="BK295" i="24"/>
  <c r="S295" i="24"/>
  <c r="T295" i="24" s="1"/>
  <c r="BK206" i="24"/>
  <c r="S206" i="24"/>
  <c r="T206" i="24" s="1"/>
  <c r="M206" i="24"/>
  <c r="AH11" i="25"/>
  <c r="L176" i="25"/>
  <c r="BK116" i="24"/>
  <c r="S116" i="24"/>
  <c r="T116" i="24" s="1"/>
  <c r="BK130" i="24"/>
  <c r="S130" i="24"/>
  <c r="T130" i="24" s="1"/>
  <c r="BK286" i="24"/>
  <c r="S286" i="24"/>
  <c r="T286" i="24" s="1"/>
  <c r="AP225" i="24"/>
  <c r="AH30" i="25"/>
  <c r="BK157" i="24"/>
  <c r="S157" i="24"/>
  <c r="T157" i="24" s="1"/>
  <c r="BK253" i="24"/>
  <c r="S253" i="24"/>
  <c r="T253" i="24" s="1"/>
  <c r="N37" i="25"/>
  <c r="T37" i="25" s="1"/>
  <c r="AH265" i="25"/>
  <c r="BI197" i="25"/>
  <c r="N197" i="25"/>
  <c r="AH197" i="25"/>
  <c r="BI130" i="25"/>
  <c r="N130" i="25"/>
  <c r="T130" i="25" s="1"/>
  <c r="BK141" i="24"/>
  <c r="S141" i="24"/>
  <c r="T141" i="24" s="1"/>
  <c r="M141" i="24"/>
  <c r="U76" i="24"/>
  <c r="AH297" i="25"/>
  <c r="BI150" i="25"/>
  <c r="N150" i="25"/>
  <c r="T150" i="25" s="1"/>
  <c r="BK92" i="24"/>
  <c r="S92" i="24"/>
  <c r="T92" i="24" s="1"/>
  <c r="BI92" i="25"/>
  <c r="K144" i="24"/>
  <c r="BI15" i="25"/>
  <c r="N15" i="25"/>
  <c r="T15" i="25" s="1"/>
  <c r="BK159" i="24"/>
  <c r="S159" i="24"/>
  <c r="T159" i="24" s="1"/>
  <c r="BI198" i="25"/>
  <c r="AH117" i="25"/>
  <c r="BI55" i="25"/>
  <c r="AH55" i="25"/>
  <c r="BI251" i="25"/>
  <c r="AH251" i="25"/>
  <c r="BK59" i="24"/>
  <c r="S59" i="24"/>
  <c r="T59" i="24" s="1"/>
  <c r="P30" i="24"/>
  <c r="Q30" i="24"/>
  <c r="R30" i="24" s="1"/>
  <c r="AH292" i="25"/>
  <c r="AH220" i="25"/>
  <c r="AH147" i="25"/>
  <c r="AH86" i="25"/>
  <c r="R129" i="25"/>
  <c r="S129" i="25"/>
  <c r="K129" i="25" s="1"/>
  <c r="Q129" i="25"/>
  <c r="P191" i="24"/>
  <c r="Q191" i="24"/>
  <c r="AH31" i="25"/>
  <c r="AP181" i="24"/>
  <c r="BK271" i="24"/>
  <c r="S271" i="24"/>
  <c r="T271" i="24" s="1"/>
  <c r="AH307" i="25"/>
  <c r="BK218" i="24"/>
  <c r="S218" i="24"/>
  <c r="T218" i="24" s="1"/>
  <c r="BK193" i="24"/>
  <c r="S193" i="24"/>
  <c r="T193" i="24" s="1"/>
  <c r="BI134" i="25"/>
  <c r="BQ25" i="25"/>
  <c r="U237" i="24"/>
  <c r="BQ62" i="25"/>
  <c r="BQ92" i="25"/>
  <c r="L85" i="25"/>
  <c r="BI127" i="25"/>
  <c r="N127" i="25"/>
  <c r="T127" i="25" s="1"/>
  <c r="AH153" i="25"/>
  <c r="AH196" i="25"/>
  <c r="P61" i="24"/>
  <c r="Q61" i="24"/>
  <c r="R61" i="24" s="1"/>
  <c r="BK288" i="24"/>
  <c r="S288" i="24"/>
  <c r="T288" i="24" s="1"/>
  <c r="M288" i="24"/>
  <c r="BQ7" i="25"/>
  <c r="Q172" i="24"/>
  <c r="P172" i="24"/>
  <c r="AH293" i="25"/>
  <c r="BI224" i="25"/>
  <c r="N224" i="25"/>
  <c r="BI313" i="25"/>
  <c r="AH313" i="25"/>
  <c r="BK149" i="24"/>
  <c r="S149" i="24"/>
  <c r="T149" i="24" s="1"/>
  <c r="BK303" i="24"/>
  <c r="S303" i="24"/>
  <c r="T303" i="24" s="1"/>
  <c r="AH59" i="25"/>
  <c r="AH183" i="25"/>
  <c r="BI49" i="25"/>
  <c r="AH32" i="25"/>
  <c r="U127" i="24"/>
  <c r="AP53" i="24"/>
  <c r="BK77" i="24"/>
  <c r="S77" i="24"/>
  <c r="T77" i="24" s="1"/>
  <c r="N210" i="25"/>
  <c r="N126" i="25"/>
  <c r="T126" i="25" s="1"/>
  <c r="L126" i="25"/>
  <c r="BK31" i="24"/>
  <c r="S31" i="24"/>
  <c r="T31" i="24" s="1"/>
  <c r="M31" i="24"/>
  <c r="N31" i="24" s="1"/>
  <c r="AP31" i="24" s="1"/>
  <c r="BI34" i="25"/>
  <c r="L34" i="25"/>
  <c r="BI314" i="25"/>
  <c r="BI201" i="25"/>
  <c r="U48" i="24"/>
  <c r="AH282" i="25"/>
  <c r="BK79" i="24"/>
  <c r="S79" i="24"/>
  <c r="T79" i="24" s="1"/>
  <c r="BK248" i="24"/>
  <c r="S248" i="24"/>
  <c r="T248" i="24" s="1"/>
  <c r="BI272" i="25"/>
  <c r="AH305" i="25"/>
  <c r="J132" i="24"/>
  <c r="O132" i="24"/>
  <c r="BZ132" i="24" s="1"/>
  <c r="M230" i="24"/>
  <c r="N230" i="24" s="1"/>
  <c r="AP230" i="24" s="1"/>
  <c r="AH204" i="25"/>
  <c r="BK120" i="24"/>
  <c r="S120" i="24"/>
  <c r="T120" i="24" s="1"/>
  <c r="BK299" i="24"/>
  <c r="S299" i="24"/>
  <c r="T299" i="24" s="1"/>
  <c r="K299" i="24"/>
  <c r="BI278" i="25"/>
  <c r="BK240" i="24"/>
  <c r="S240" i="24"/>
  <c r="T240" i="24" s="1"/>
  <c r="AH95" i="25"/>
  <c r="AH111" i="25"/>
  <c r="BQ33" i="25"/>
  <c r="BQ228" i="25"/>
  <c r="L309" i="25"/>
  <c r="K135" i="24"/>
  <c r="BK173" i="24"/>
  <c r="S173" i="24"/>
  <c r="T173" i="24" s="1"/>
  <c r="K242" i="24"/>
  <c r="BQ170" i="25"/>
  <c r="AH296" i="25"/>
  <c r="Q52" i="24"/>
  <c r="R52" i="24" s="1"/>
  <c r="P52" i="24"/>
  <c r="BI205" i="25"/>
  <c r="N205" i="25"/>
  <c r="BI312" i="25"/>
  <c r="N312" i="25"/>
  <c r="T312" i="25" s="1"/>
  <c r="AH139" i="25"/>
  <c r="BK148" i="24"/>
  <c r="S148" i="24"/>
  <c r="T148" i="24" s="1"/>
  <c r="M148" i="24"/>
  <c r="BK155" i="24"/>
  <c r="S155" i="24"/>
  <c r="T155" i="24" s="1"/>
  <c r="M155" i="24"/>
  <c r="N155" i="24" s="1"/>
  <c r="AP155" i="24" s="1"/>
  <c r="N253" i="25"/>
  <c r="T253" i="25" s="1"/>
  <c r="BI253" i="25"/>
  <c r="AH100" i="25"/>
  <c r="BI84" i="25"/>
  <c r="N84" i="25"/>
  <c r="L84" i="25"/>
  <c r="BQ19" i="25"/>
  <c r="AH60" i="25"/>
  <c r="AH191" i="25"/>
  <c r="BI303" i="25"/>
  <c r="N303" i="25"/>
  <c r="L17" i="25"/>
  <c r="M59" i="24"/>
  <c r="BK209" i="24"/>
  <c r="S209" i="24"/>
  <c r="T209" i="24" s="1"/>
  <c r="M209" i="24"/>
  <c r="BI250" i="25"/>
  <c r="N250" i="25"/>
  <c r="T250" i="25" s="1"/>
  <c r="AH252" i="25"/>
  <c r="AH136" i="25"/>
  <c r="AH103" i="25"/>
  <c r="AP121" i="24"/>
  <c r="U219" i="24"/>
  <c r="K219" i="24"/>
  <c r="BK289" i="24"/>
  <c r="S289" i="24"/>
  <c r="T289" i="24" s="1"/>
  <c r="N175" i="25"/>
  <c r="N278" i="25"/>
  <c r="M135" i="24"/>
  <c r="N135" i="24" s="1"/>
  <c r="N242" i="25"/>
  <c r="M300" i="24"/>
  <c r="N300" i="24" s="1"/>
  <c r="N313" i="25"/>
  <c r="N172" i="25"/>
  <c r="T172" i="25" s="1"/>
  <c r="N33" i="25"/>
  <c r="T33" i="25" s="1"/>
  <c r="M144" i="24"/>
  <c r="N144" i="24" s="1"/>
  <c r="N221" i="25"/>
  <c r="N184" i="25"/>
  <c r="T184" i="25" s="1"/>
  <c r="N302" i="25"/>
  <c r="N90" i="25"/>
  <c r="M93" i="24"/>
  <c r="N118" i="25"/>
  <c r="N49" i="25"/>
  <c r="T49" i="25" s="1"/>
  <c r="N25" i="25"/>
  <c r="M13" i="24"/>
  <c r="N13" i="24" s="1"/>
  <c r="BI83" i="25"/>
  <c r="N83" i="25"/>
  <c r="T83" i="25" s="1"/>
  <c r="BK24" i="24"/>
  <c r="S24" i="24"/>
  <c r="T24" i="24" s="1"/>
  <c r="AH269" i="25"/>
  <c r="L159" i="25"/>
  <c r="AH151" i="25"/>
  <c r="BK291" i="24"/>
  <c r="S291" i="24"/>
  <c r="T291" i="24" s="1"/>
  <c r="M291" i="24"/>
  <c r="N291" i="24" s="1"/>
  <c r="BK195" i="24"/>
  <c r="S195" i="24"/>
  <c r="T195" i="24" s="1"/>
  <c r="AP162" i="24"/>
  <c r="BK163" i="24"/>
  <c r="S163" i="24"/>
  <c r="T163" i="24" s="1"/>
  <c r="AH210" i="25"/>
  <c r="AH180" i="25"/>
  <c r="T246" i="25"/>
  <c r="BK129" i="24"/>
  <c r="S129" i="24"/>
  <c r="T129" i="24" s="1"/>
  <c r="BK285" i="24"/>
  <c r="S285" i="24"/>
  <c r="T285" i="24" s="1"/>
  <c r="P21" i="24"/>
  <c r="Q21" i="24"/>
  <c r="R21" i="24" s="1"/>
  <c r="U129" i="24"/>
  <c r="K192" i="24"/>
  <c r="N180" i="25"/>
  <c r="T180" i="25" s="1"/>
  <c r="U177" i="25"/>
  <c r="BK179" i="24"/>
  <c r="S179" i="24"/>
  <c r="T179" i="24" s="1"/>
  <c r="M179" i="24"/>
  <c r="N179" i="24" s="1"/>
  <c r="BQ11" i="25"/>
  <c r="L137" i="25"/>
  <c r="N53" i="25"/>
  <c r="BI53" i="25"/>
  <c r="AH188" i="25"/>
  <c r="AH132" i="25"/>
  <c r="BK205" i="24"/>
  <c r="S205" i="24"/>
  <c r="T205" i="24" s="1"/>
  <c r="U205" i="24"/>
  <c r="BK147" i="24"/>
  <c r="S147" i="24"/>
  <c r="T147" i="24" s="1"/>
  <c r="AP22" i="24"/>
  <c r="AH236" i="25"/>
  <c r="AH266" i="25"/>
  <c r="AH300" i="25"/>
  <c r="BK304" i="24"/>
  <c r="S304" i="24"/>
  <c r="T304" i="24" s="1"/>
  <c r="M304" i="24"/>
  <c r="N304" i="24" s="1"/>
  <c r="AP304" i="24" s="1"/>
  <c r="BI99" i="25"/>
  <c r="N99" i="25"/>
  <c r="K245" i="24"/>
  <c r="BK27" i="24"/>
  <c r="S27" i="24"/>
  <c r="T27" i="24" s="1"/>
  <c r="AP27" i="24"/>
  <c r="K154" i="24"/>
  <c r="BK104" i="24"/>
  <c r="S104" i="24"/>
  <c r="T104" i="24" s="1"/>
  <c r="U188" i="24"/>
  <c r="M122" i="24"/>
  <c r="T198" i="25"/>
  <c r="K284" i="24"/>
  <c r="AP150" i="24"/>
  <c r="BI276" i="25"/>
  <c r="BK287" i="24"/>
  <c r="S287" i="24"/>
  <c r="T287" i="24" s="1"/>
  <c r="BK234" i="24"/>
  <c r="S234" i="24"/>
  <c r="T234" i="24" s="1"/>
  <c r="P170" i="25"/>
  <c r="O170" i="25"/>
  <c r="BI220" i="25"/>
  <c r="AH10" i="25"/>
  <c r="BI161" i="25"/>
  <c r="L102" i="25"/>
  <c r="BK151" i="24"/>
  <c r="S151" i="24"/>
  <c r="T151" i="24" s="1"/>
  <c r="J101" i="24"/>
  <c r="O101" i="24"/>
  <c r="BZ101" i="24" s="1"/>
  <c r="J191" i="24"/>
  <c r="O191" i="24"/>
  <c r="BZ191" i="24" s="1"/>
  <c r="BK51" i="24"/>
  <c r="S51" i="24"/>
  <c r="T51" i="24" s="1"/>
  <c r="BI311" i="25"/>
  <c r="BK311" i="24"/>
  <c r="S311" i="24"/>
  <c r="T311" i="24" s="1"/>
  <c r="M311" i="24"/>
  <c r="N311" i="24" s="1"/>
  <c r="BK220" i="24"/>
  <c r="S220" i="24"/>
  <c r="T220" i="24" s="1"/>
  <c r="L101" i="25"/>
  <c r="AH289" i="25"/>
  <c r="AH277" i="25"/>
  <c r="BK227" i="24"/>
  <c r="S227" i="24"/>
  <c r="T227" i="24" s="1"/>
  <c r="AH240" i="25"/>
  <c r="BI249" i="25"/>
  <c r="AH249" i="25"/>
  <c r="AH50" i="25"/>
  <c r="L47" i="25"/>
  <c r="BI121" i="25"/>
  <c r="AH216" i="25"/>
  <c r="BK305" i="24"/>
  <c r="S305" i="24"/>
  <c r="T305" i="24" s="1"/>
  <c r="AH113" i="25"/>
  <c r="U68" i="24"/>
  <c r="P62" i="25"/>
  <c r="O62" i="25"/>
  <c r="AH230" i="25"/>
  <c r="BK95" i="24"/>
  <c r="S95" i="24"/>
  <c r="T95" i="24" s="1"/>
  <c r="M95" i="24"/>
  <c r="AH35" i="25"/>
  <c r="BI48" i="25"/>
  <c r="N48" i="25"/>
  <c r="T48" i="25" s="1"/>
  <c r="AH91" i="25"/>
  <c r="BI20" i="25"/>
  <c r="N20" i="25"/>
  <c r="T20" i="25" s="1"/>
  <c r="L149" i="25"/>
  <c r="BK293" i="24"/>
  <c r="S293" i="24"/>
  <c r="T293" i="24" s="1"/>
  <c r="M293" i="24"/>
  <c r="N293" i="24" s="1"/>
  <c r="BK221" i="24"/>
  <c r="S221" i="24"/>
  <c r="T221" i="24" s="1"/>
  <c r="M221" i="24"/>
  <c r="N221" i="24" s="1"/>
  <c r="AP221" i="24" s="1"/>
  <c r="AH274" i="25"/>
  <c r="AH209" i="25"/>
  <c r="BI7" i="25"/>
  <c r="N7" i="25"/>
  <c r="T7" i="25" s="1"/>
  <c r="AH88" i="25"/>
  <c r="BI304" i="25"/>
  <c r="N125" i="25"/>
  <c r="P255" i="25"/>
  <c r="O255" i="25"/>
  <c r="M20" i="24"/>
  <c r="N20" i="24" s="1"/>
  <c r="BQ49" i="25"/>
  <c r="BQ32" i="25"/>
  <c r="BQ14" i="25"/>
  <c r="BI187" i="25"/>
  <c r="BI267" i="25"/>
  <c r="AH178" i="25"/>
  <c r="N165" i="25"/>
  <c r="AH174" i="25"/>
  <c r="BI21" i="25"/>
  <c r="T34" i="25"/>
  <c r="BI259" i="25"/>
  <c r="L259" i="25"/>
  <c r="BQ314" i="25"/>
  <c r="BK47" i="24"/>
  <c r="S47" i="24"/>
  <c r="T47" i="24" s="1"/>
  <c r="BQ172" i="25"/>
  <c r="BI78" i="25"/>
  <c r="K112" i="24"/>
  <c r="BQ272" i="25"/>
  <c r="L275" i="25"/>
  <c r="M171" i="24"/>
  <c r="N171" i="24" s="1"/>
  <c r="AP171" i="24" s="1"/>
  <c r="N73" i="25"/>
  <c r="BK290" i="24"/>
  <c r="S290" i="24"/>
  <c r="T290" i="24" s="1"/>
  <c r="BQ278" i="25"/>
  <c r="AH260" i="25"/>
  <c r="BI295" i="25"/>
  <c r="L295" i="25"/>
  <c r="K270" i="24"/>
  <c r="BK312" i="24"/>
  <c r="S312" i="24"/>
  <c r="T312" i="24" s="1"/>
  <c r="BI75" i="25"/>
  <c r="BI296" i="25"/>
  <c r="Q88" i="24"/>
  <c r="R88" i="24" s="1"/>
  <c r="P88" i="24"/>
  <c r="O45" i="24"/>
  <c r="BZ45" i="24" s="1"/>
  <c r="J45" i="24"/>
  <c r="BI46" i="25"/>
  <c r="N46" i="25"/>
  <c r="T46" i="25" s="1"/>
  <c r="AH68" i="25"/>
  <c r="BI19" i="25"/>
  <c r="N19" i="25"/>
  <c r="T19" i="25" s="1"/>
  <c r="BK105" i="24"/>
  <c r="S105" i="24"/>
  <c r="T105" i="24" s="1"/>
  <c r="M105" i="24"/>
  <c r="N105" i="24" s="1"/>
  <c r="BK316" i="24"/>
  <c r="S316" i="24"/>
  <c r="T316" i="24" s="1"/>
  <c r="M316" i="24"/>
  <c r="L284" i="25"/>
  <c r="BQ191" i="25"/>
  <c r="BQ250" i="25"/>
  <c r="AH250" i="25"/>
  <c r="AH56" i="25"/>
  <c r="AH128" i="25"/>
  <c r="BI103" i="25"/>
  <c r="N103" i="25"/>
  <c r="L103" i="25"/>
  <c r="BK121" i="24"/>
  <c r="S121" i="24"/>
  <c r="T121" i="24" s="1"/>
  <c r="K121" i="24"/>
  <c r="AP219" i="24"/>
  <c r="N234" i="25"/>
  <c r="N66" i="25"/>
  <c r="N112" i="25"/>
  <c r="O44" i="24"/>
  <c r="BZ44" i="24" s="1"/>
  <c r="J44" i="24"/>
  <c r="O294" i="24"/>
  <c r="BZ294" i="24" s="1"/>
  <c r="J294" i="24"/>
  <c r="M173" i="24"/>
  <c r="N173" i="24" s="1"/>
  <c r="AP173" i="24" s="1"/>
  <c r="N47" i="25"/>
  <c r="M156" i="24"/>
  <c r="N156" i="24" s="1"/>
  <c r="M149" i="24"/>
  <c r="N228" i="25"/>
  <c r="N289" i="25"/>
  <c r="N249" i="25"/>
  <c r="N102" i="25"/>
  <c r="T102" i="25" s="1"/>
  <c r="N187" i="25"/>
  <c r="M139" i="24"/>
  <c r="N225" i="25"/>
  <c r="M58" i="24"/>
  <c r="N311" i="25"/>
  <c r="T311" i="25" s="1"/>
  <c r="M154" i="24"/>
  <c r="N154" i="24" s="1"/>
  <c r="N281" i="25"/>
  <c r="N55" i="25"/>
  <c r="BK96" i="24"/>
  <c r="S96" i="24"/>
  <c r="T96" i="24" s="1"/>
  <c r="M96" i="24"/>
  <c r="N96" i="24" s="1"/>
  <c r="AP96" i="24" s="1"/>
  <c r="BI266" i="25"/>
  <c r="N266" i="25"/>
  <c r="BK158" i="24"/>
  <c r="S158" i="24"/>
  <c r="T158" i="24" s="1"/>
  <c r="M158" i="24"/>
  <c r="AH237" i="25"/>
  <c r="AH195" i="25"/>
  <c r="K268" i="24"/>
  <c r="BK83" i="24"/>
  <c r="S83" i="24"/>
  <c r="T83" i="24" s="1"/>
  <c r="AH26" i="25"/>
  <c r="AH203" i="25"/>
  <c r="BK228" i="24"/>
  <c r="S228" i="24"/>
  <c r="T228" i="24" s="1"/>
  <c r="M228" i="24"/>
  <c r="BI194" i="25"/>
  <c r="N194" i="25"/>
  <c r="AP272" i="24"/>
  <c r="AP14" i="24"/>
  <c r="L270" i="25"/>
  <c r="U24" i="24"/>
  <c r="BK18" i="24"/>
  <c r="S18" i="24"/>
  <c r="T18" i="24" s="1"/>
  <c r="BI269" i="25"/>
  <c r="N269" i="25"/>
  <c r="T269" i="25" s="1"/>
  <c r="K123" i="24"/>
  <c r="BI74" i="25"/>
  <c r="N74" i="25"/>
  <c r="K145" i="24"/>
  <c r="AH71" i="25"/>
  <c r="U163" i="24"/>
  <c r="L180" i="25"/>
  <c r="K256" i="24"/>
  <c r="AH58" i="25"/>
  <c r="BK251" i="24"/>
  <c r="S251" i="24"/>
  <c r="T251" i="24" s="1"/>
  <c r="K133" i="24"/>
  <c r="BK280" i="24"/>
  <c r="S280" i="24"/>
  <c r="T280" i="24" s="1"/>
  <c r="K280" i="24"/>
  <c r="L37" i="25"/>
  <c r="BK19" i="24"/>
  <c r="S19" i="24"/>
  <c r="T19" i="24" s="1"/>
  <c r="BK39" i="24"/>
  <c r="S39" i="24"/>
  <c r="T39" i="24" s="1"/>
  <c r="M39" i="24"/>
  <c r="AH163" i="25"/>
  <c r="AH157" i="25"/>
  <c r="L279" i="25"/>
  <c r="BK259" i="24"/>
  <c r="S259" i="24"/>
  <c r="T259" i="24" s="1"/>
  <c r="M259" i="24"/>
  <c r="BK100" i="24"/>
  <c r="S100" i="24"/>
  <c r="T100" i="24" s="1"/>
  <c r="M100" i="24"/>
  <c r="BI188" i="25"/>
  <c r="N188" i="25"/>
  <c r="BK63" i="24"/>
  <c r="S63" i="24"/>
  <c r="T63" i="24" s="1"/>
  <c r="M63" i="24"/>
  <c r="BI208" i="25"/>
  <c r="N208" i="25"/>
  <c r="BI218" i="25"/>
  <c r="N218" i="25"/>
  <c r="BK126" i="24"/>
  <c r="S126" i="24"/>
  <c r="T126" i="24" s="1"/>
  <c r="M126" i="24"/>
  <c r="K126" i="24"/>
  <c r="BQ129" i="25"/>
  <c r="BI13" i="25"/>
  <c r="BI71" i="25"/>
  <c r="L145" i="25"/>
  <c r="AH105" i="25"/>
  <c r="BK266" i="24"/>
  <c r="S266" i="24"/>
  <c r="T266" i="24" s="1"/>
  <c r="M266" i="24"/>
  <c r="L266" i="25"/>
  <c r="BK309" i="24"/>
  <c r="S309" i="24"/>
  <c r="T309" i="24" s="1"/>
  <c r="M309" i="24"/>
  <c r="N122" i="25"/>
  <c r="N23" i="25"/>
  <c r="J7" i="24"/>
  <c r="O7" i="24"/>
  <c r="BZ7" i="24" s="1"/>
  <c r="L197" i="25"/>
  <c r="BK164" i="24"/>
  <c r="S164" i="24"/>
  <c r="T164" i="24" s="1"/>
  <c r="M164" i="24"/>
  <c r="AP76" i="24"/>
  <c r="BI297" i="25"/>
  <c r="N297" i="25"/>
  <c r="L297" i="25"/>
  <c r="AH99" i="25"/>
  <c r="AH82" i="25"/>
  <c r="AH87" i="25"/>
  <c r="U27" i="24"/>
  <c r="AH12" i="25"/>
  <c r="BI238" i="25"/>
  <c r="L238" i="25"/>
  <c r="BI171" i="25"/>
  <c r="N171" i="25"/>
  <c r="BI117" i="25"/>
  <c r="N117" i="25"/>
  <c r="T117" i="25" s="1"/>
  <c r="K263" i="24"/>
  <c r="AP188" i="24"/>
  <c r="AH200" i="25"/>
  <c r="BK200" i="24"/>
  <c r="S200" i="24"/>
  <c r="T200" i="24" s="1"/>
  <c r="T276" i="25"/>
  <c r="BI306" i="25"/>
  <c r="L55" i="25"/>
  <c r="BK226" i="24"/>
  <c r="S226" i="24"/>
  <c r="T226" i="24" s="1"/>
  <c r="BI173" i="25"/>
  <c r="AH173" i="25"/>
  <c r="BK279" i="24"/>
  <c r="S279" i="24"/>
  <c r="T279" i="24" s="1"/>
  <c r="AH247" i="25"/>
  <c r="BI292" i="25"/>
  <c r="BI86" i="25"/>
  <c r="L86" i="25"/>
  <c r="T161" i="25"/>
  <c r="BQ102" i="25"/>
  <c r="K115" i="24"/>
  <c r="N182" i="25"/>
  <c r="T182" i="25" s="1"/>
  <c r="M51" i="24"/>
  <c r="N51" i="24" s="1"/>
  <c r="BK181" i="24"/>
  <c r="S181" i="24"/>
  <c r="T181" i="24" s="1"/>
  <c r="K181" i="24"/>
  <c r="U271" i="24"/>
  <c r="K271" i="24"/>
  <c r="L307" i="25"/>
  <c r="K300" i="24"/>
  <c r="L289" i="25"/>
  <c r="K183" i="24"/>
  <c r="BI240" i="25"/>
  <c r="AP238" i="24"/>
  <c r="K238" i="24"/>
  <c r="AH242" i="25"/>
  <c r="BI158" i="25"/>
  <c r="AH158" i="25"/>
  <c r="BK310" i="24"/>
  <c r="S310" i="24"/>
  <c r="T310" i="24" s="1"/>
  <c r="BI113" i="25"/>
  <c r="M280" i="24"/>
  <c r="T62" i="25"/>
  <c r="BI207" i="25"/>
  <c r="N207" i="25"/>
  <c r="L207" i="25"/>
  <c r="K258" i="24"/>
  <c r="K175" i="24"/>
  <c r="L35" i="25"/>
  <c r="L48" i="25"/>
  <c r="AH24" i="25"/>
  <c r="BI22" i="25"/>
  <c r="N22" i="25"/>
  <c r="L153" i="25"/>
  <c r="BI135" i="25"/>
  <c r="N135" i="25"/>
  <c r="BI286" i="25"/>
  <c r="N286" i="25"/>
  <c r="L286" i="25"/>
  <c r="BI268" i="25"/>
  <c r="N268" i="25"/>
  <c r="L36" i="25"/>
  <c r="AH256" i="25"/>
  <c r="L41" i="25"/>
  <c r="AH69" i="25"/>
  <c r="BK57" i="24"/>
  <c r="S57" i="24"/>
  <c r="T57" i="24" s="1"/>
  <c r="M57" i="24"/>
  <c r="BI299" i="25"/>
  <c r="N299" i="25"/>
  <c r="AH7" i="25"/>
  <c r="K262" i="24"/>
  <c r="BK64" i="24"/>
  <c r="S64" i="24"/>
  <c r="T64" i="24" s="1"/>
  <c r="M64" i="24"/>
  <c r="BQ61" i="25"/>
  <c r="K197" i="24"/>
  <c r="BK10" i="24"/>
  <c r="S10" i="24"/>
  <c r="T10" i="24" s="1"/>
  <c r="L88" i="25"/>
  <c r="BI255" i="25"/>
  <c r="BI59" i="25"/>
  <c r="BI32" i="25"/>
  <c r="AP127" i="24"/>
  <c r="BK313" i="24"/>
  <c r="S313" i="24"/>
  <c r="T313" i="24" s="1"/>
  <c r="K199" i="24"/>
  <c r="AP199" i="24"/>
  <c r="BI14" i="25"/>
  <c r="T267" i="25"/>
  <c r="L178" i="25"/>
  <c r="K201" i="24"/>
  <c r="M256" i="24"/>
  <c r="N256" i="24" s="1"/>
  <c r="BK204" i="24"/>
  <c r="S204" i="24"/>
  <c r="T204" i="24" s="1"/>
  <c r="M204" i="24"/>
  <c r="T314" i="25"/>
  <c r="AH90" i="25"/>
  <c r="L285" i="25"/>
  <c r="U47" i="24"/>
  <c r="K139" i="24"/>
  <c r="BI261" i="25"/>
  <c r="AH172" i="25"/>
  <c r="BQ78" i="25"/>
  <c r="AH78" i="25"/>
  <c r="AH124" i="25"/>
  <c r="BI248" i="25"/>
  <c r="L223" i="25"/>
  <c r="BK78" i="24"/>
  <c r="S78" i="24"/>
  <c r="T78" i="24" s="1"/>
  <c r="M78" i="24"/>
  <c r="BK134" i="24"/>
  <c r="S134" i="24"/>
  <c r="T134" i="24" s="1"/>
  <c r="K254" i="24"/>
  <c r="J142" i="24"/>
  <c r="O142" i="24"/>
  <c r="BZ142" i="24" s="1"/>
  <c r="BI204" i="25"/>
  <c r="L204" i="25"/>
  <c r="BI114" i="25"/>
  <c r="AH114" i="25"/>
  <c r="U290" i="24"/>
  <c r="AH221" i="25"/>
  <c r="L278" i="25"/>
  <c r="AP270" i="24"/>
  <c r="U312" i="24"/>
  <c r="AH234" i="25"/>
  <c r="AH63" i="25"/>
  <c r="M9" i="24"/>
  <c r="N9" i="24" s="1"/>
  <c r="AP9" i="24" s="1"/>
  <c r="L111" i="25"/>
  <c r="U25" i="24"/>
  <c r="BK32" i="24"/>
  <c r="S32" i="24"/>
  <c r="T32" i="24" s="1"/>
  <c r="L228" i="25"/>
  <c r="BQ316" i="25"/>
  <c r="L216" i="25"/>
  <c r="BI216" i="25"/>
  <c r="N216" i="25"/>
  <c r="AH298" i="25"/>
  <c r="T199" i="25"/>
  <c r="BI138" i="25"/>
  <c r="BQ244" i="25"/>
  <c r="T170" i="25"/>
  <c r="L170" i="25"/>
  <c r="L296" i="25"/>
  <c r="BK88" i="24"/>
  <c r="S88" i="24"/>
  <c r="T88" i="24" s="1"/>
  <c r="U52" i="24"/>
  <c r="AH205" i="25"/>
  <c r="M151" i="24"/>
  <c r="N151" i="24" s="1"/>
  <c r="BK174" i="24"/>
  <c r="S174" i="24"/>
  <c r="T174" i="24" s="1"/>
  <c r="M174" i="24"/>
  <c r="L312" i="25"/>
  <c r="L43" i="25"/>
  <c r="BI40" i="25"/>
  <c r="N40" i="25"/>
  <c r="L139" i="25"/>
  <c r="BI156" i="25"/>
  <c r="N156" i="25"/>
  <c r="BK260" i="24"/>
  <c r="S260" i="24"/>
  <c r="T260" i="24" s="1"/>
  <c r="M260" i="24"/>
  <c r="BI301" i="25"/>
  <c r="N301" i="25"/>
  <c r="BI76" i="25"/>
  <c r="N76" i="25"/>
  <c r="AH76" i="25"/>
  <c r="K189" i="24"/>
  <c r="L191" i="25"/>
  <c r="AH303" i="25"/>
  <c r="BK229" i="24"/>
  <c r="S229" i="24"/>
  <c r="T229" i="24" s="1"/>
  <c r="M229" i="24"/>
  <c r="BQ136" i="25"/>
  <c r="U121" i="24"/>
  <c r="AP72" i="24"/>
  <c r="N295" i="25"/>
  <c r="N272" i="25"/>
  <c r="N138" i="25"/>
  <c r="N101" i="25"/>
  <c r="M242" i="24"/>
  <c r="N242" i="24" s="1"/>
  <c r="N298" i="25"/>
  <c r="M220" i="24"/>
  <c r="M197" i="24"/>
  <c r="N197" i="24" s="1"/>
  <c r="AP197" i="24" s="1"/>
  <c r="N78" i="25"/>
  <c r="N285" i="25"/>
  <c r="T285" i="25" s="1"/>
  <c r="M17" i="24"/>
  <c r="N17" i="24" s="1"/>
  <c r="N309" i="25"/>
  <c r="T309" i="25" s="1"/>
  <c r="M92" i="24"/>
  <c r="N92" i="24" s="1"/>
  <c r="N304" i="25"/>
  <c r="N181" i="25"/>
  <c r="M8" i="24"/>
  <c r="M136" i="24"/>
  <c r="N136" i="24" s="1"/>
  <c r="N86" i="25"/>
  <c r="N287" i="25"/>
  <c r="M240" i="24"/>
  <c r="N240" i="24" s="1"/>
  <c r="M222" i="24"/>
  <c r="N222" i="24" s="1"/>
  <c r="N121" i="25"/>
  <c r="N134" i="25"/>
  <c r="T134" i="25" s="1"/>
  <c r="AP189" i="24" l="1"/>
  <c r="O55" i="24"/>
  <c r="BZ55" i="24" s="1"/>
  <c r="AP267" i="24"/>
  <c r="AP56" i="24"/>
  <c r="O262" i="25"/>
  <c r="AP208" i="24"/>
  <c r="AP193" i="24"/>
  <c r="AP299" i="24"/>
  <c r="O94" i="25"/>
  <c r="S94" i="25" s="1"/>
  <c r="K94" i="25" s="1"/>
  <c r="AP101" i="24"/>
  <c r="AP202" i="24"/>
  <c r="AP297" i="24"/>
  <c r="P55" i="24"/>
  <c r="Q55" i="24"/>
  <c r="R55" i="24" s="1"/>
  <c r="U55" i="24"/>
  <c r="V55" i="24" s="1"/>
  <c r="P94" i="25"/>
  <c r="Q160" i="24"/>
  <c r="AP286" i="24"/>
  <c r="AP81" i="24"/>
  <c r="AP180" i="24"/>
  <c r="AP310" i="24"/>
  <c r="AP98" i="24"/>
  <c r="AP306" i="24"/>
  <c r="AP200" i="24"/>
  <c r="AP160" i="24"/>
  <c r="W45" i="24"/>
  <c r="Y45" i="24" s="1"/>
  <c r="AO71" i="25"/>
  <c r="Y257" i="24"/>
  <c r="U105" i="24"/>
  <c r="V105" i="24" s="1"/>
  <c r="P11" i="25"/>
  <c r="U160" i="24"/>
  <c r="V160" i="24" s="1"/>
  <c r="O11" i="25"/>
  <c r="AO11" i="25" s="1"/>
  <c r="AP252" i="24"/>
  <c r="O41" i="24"/>
  <c r="BZ41" i="24" s="1"/>
  <c r="AP186" i="24"/>
  <c r="P280" i="25"/>
  <c r="O280" i="25"/>
  <c r="Q280" i="25" s="1"/>
  <c r="AP245" i="24"/>
  <c r="BZ273" i="25"/>
  <c r="BZ306" i="25"/>
  <c r="BZ31" i="25"/>
  <c r="AO306" i="25"/>
  <c r="U252" i="24"/>
  <c r="V252" i="24" s="1"/>
  <c r="O155" i="25"/>
  <c r="AO155" i="25" s="1"/>
  <c r="P155" i="25"/>
  <c r="AP241" i="24"/>
  <c r="AP178" i="24"/>
  <c r="U87" i="24"/>
  <c r="V87" i="24" s="1"/>
  <c r="W233" i="24"/>
  <c r="Y233" i="24" s="1"/>
  <c r="O96" i="25"/>
  <c r="AO96" i="25" s="1"/>
  <c r="U286" i="24"/>
  <c r="V286" i="24" s="1"/>
  <c r="P96" i="25"/>
  <c r="T154" i="25"/>
  <c r="U154" i="25" s="1"/>
  <c r="Q286" i="24"/>
  <c r="P286" i="24"/>
  <c r="Q252" i="24"/>
  <c r="U258" i="24"/>
  <c r="V258" i="24" s="1"/>
  <c r="P77" i="24"/>
  <c r="Q77" i="24"/>
  <c r="R77" i="24" s="1"/>
  <c r="Q285" i="24"/>
  <c r="P137" i="24"/>
  <c r="U305" i="24"/>
  <c r="V305" i="24" s="1"/>
  <c r="P246" i="24"/>
  <c r="P285" i="24"/>
  <c r="AP137" i="24"/>
  <c r="AP84" i="24"/>
  <c r="Q246" i="24"/>
  <c r="U137" i="24"/>
  <c r="V137" i="24" s="1"/>
  <c r="P84" i="24"/>
  <c r="U74" i="24"/>
  <c r="V74" i="24" s="1"/>
  <c r="BZ147" i="25"/>
  <c r="O154" i="25"/>
  <c r="AO154" i="25" s="1"/>
  <c r="U118" i="24"/>
  <c r="V118" i="24" s="1"/>
  <c r="U281" i="24"/>
  <c r="V281" i="24" s="1"/>
  <c r="U276" i="24"/>
  <c r="V276" i="24" s="1"/>
  <c r="W264" i="24"/>
  <c r="Y264" i="24" s="1"/>
  <c r="P276" i="24"/>
  <c r="P189" i="25"/>
  <c r="Q276" i="24"/>
  <c r="Q143" i="25"/>
  <c r="N223" i="24"/>
  <c r="AP223" i="24" s="1"/>
  <c r="U12" i="24"/>
  <c r="V12" i="24" s="1"/>
  <c r="U254" i="24"/>
  <c r="V254" i="24" s="1"/>
  <c r="AP170" i="24"/>
  <c r="BZ114" i="25"/>
  <c r="U35" i="24"/>
  <c r="V35" i="24" s="1"/>
  <c r="U60" i="24"/>
  <c r="V60" i="24" s="1"/>
  <c r="U230" i="24"/>
  <c r="V230" i="24" s="1"/>
  <c r="O97" i="25"/>
  <c r="AP166" i="24"/>
  <c r="Q157" i="24"/>
  <c r="Q289" i="24"/>
  <c r="AP289" i="24"/>
  <c r="P157" i="24"/>
  <c r="U251" i="24"/>
  <c r="V251" i="24" s="1"/>
  <c r="O29" i="25"/>
  <c r="R29" i="25" s="1"/>
  <c r="P251" i="24"/>
  <c r="U152" i="24"/>
  <c r="V152" i="24" s="1"/>
  <c r="AO92" i="25"/>
  <c r="P29" i="25"/>
  <c r="P134" i="24"/>
  <c r="U157" i="24"/>
  <c r="V157" i="24" s="1"/>
  <c r="Q251" i="24"/>
  <c r="BZ174" i="25"/>
  <c r="Q134" i="24"/>
  <c r="U178" i="24"/>
  <c r="V178" i="24" s="1"/>
  <c r="U289" i="24"/>
  <c r="V289" i="24" s="1"/>
  <c r="AP274" i="24"/>
  <c r="R143" i="25"/>
  <c r="S143" i="25"/>
  <c r="K143" i="25" s="1"/>
  <c r="V143" i="25" s="1"/>
  <c r="X143" i="25" s="1"/>
  <c r="BZ143" i="25"/>
  <c r="BZ267" i="25"/>
  <c r="O189" i="25"/>
  <c r="AO189" i="25" s="1"/>
  <c r="BZ292" i="25"/>
  <c r="P97" i="25"/>
  <c r="U81" i="24"/>
  <c r="V81" i="24" s="1"/>
  <c r="U284" i="24"/>
  <c r="V284" i="24" s="1"/>
  <c r="O265" i="25"/>
  <c r="AO265" i="25" s="1"/>
  <c r="U207" i="24"/>
  <c r="V207" i="24" s="1"/>
  <c r="U302" i="24"/>
  <c r="V302" i="24" s="1"/>
  <c r="AP167" i="24"/>
  <c r="P265" i="25"/>
  <c r="U267" i="24"/>
  <c r="V267" i="24" s="1"/>
  <c r="Q167" i="24"/>
  <c r="U91" i="24"/>
  <c r="V91" i="24" s="1"/>
  <c r="U166" i="24"/>
  <c r="V166" i="24" s="1"/>
  <c r="U67" i="24"/>
  <c r="V67" i="24" s="1"/>
  <c r="BZ161" i="25"/>
  <c r="BZ71" i="25"/>
  <c r="P237" i="25"/>
  <c r="BZ247" i="25"/>
  <c r="O179" i="25"/>
  <c r="R179" i="25" s="1"/>
  <c r="T179" i="25"/>
  <c r="U179" i="25" s="1"/>
  <c r="T258" i="25"/>
  <c r="U258" i="25" s="1"/>
  <c r="O237" i="25"/>
  <c r="R237" i="25" s="1"/>
  <c r="O258" i="25"/>
  <c r="BZ258" i="25" s="1"/>
  <c r="BZ167" i="25"/>
  <c r="U66" i="24"/>
  <c r="V66" i="24" s="1"/>
  <c r="BZ82" i="25"/>
  <c r="U99" i="24"/>
  <c r="V99" i="24" s="1"/>
  <c r="BZ30" i="25"/>
  <c r="BZ238" i="25"/>
  <c r="BZ32" i="25"/>
  <c r="BZ13" i="25"/>
  <c r="AO82" i="25"/>
  <c r="O104" i="25"/>
  <c r="BZ199" i="25"/>
  <c r="BZ248" i="25"/>
  <c r="P104" i="25"/>
  <c r="O291" i="25"/>
  <c r="AO291" i="25" s="1"/>
  <c r="P291" i="25"/>
  <c r="P59" i="25"/>
  <c r="O59" i="25"/>
  <c r="S59" i="25" s="1"/>
  <c r="K59" i="25" s="1"/>
  <c r="V59" i="25" s="1"/>
  <c r="O28" i="25"/>
  <c r="AO28" i="25" s="1"/>
  <c r="BZ14" i="25"/>
  <c r="P28" i="25"/>
  <c r="BZ276" i="25"/>
  <c r="BZ305" i="25"/>
  <c r="BZ178" i="25"/>
  <c r="BZ283" i="25"/>
  <c r="BZ95" i="25"/>
  <c r="BZ204" i="25"/>
  <c r="BZ206" i="25"/>
  <c r="BZ259" i="25"/>
  <c r="BZ92" i="25"/>
  <c r="BZ229" i="25"/>
  <c r="AO259" i="25"/>
  <c r="BZ243" i="25"/>
  <c r="AO206" i="25"/>
  <c r="BZ240" i="25"/>
  <c r="V129" i="25"/>
  <c r="X129" i="25" s="1"/>
  <c r="FI212" i="25"/>
  <c r="FJ212" i="25"/>
  <c r="U269" i="24"/>
  <c r="V269" i="24" s="1"/>
  <c r="BZ293" i="25"/>
  <c r="U11" i="24"/>
  <c r="V11" i="24" s="1"/>
  <c r="U314" i="24"/>
  <c r="V314" i="24" s="1"/>
  <c r="U173" i="24"/>
  <c r="V173" i="24" s="1"/>
  <c r="U20" i="24"/>
  <c r="V20" i="24" s="1"/>
  <c r="U49" i="24"/>
  <c r="V49" i="24" s="1"/>
  <c r="U125" i="24"/>
  <c r="V125" i="24" s="1"/>
  <c r="U167" i="24"/>
  <c r="V167" i="24" s="1"/>
  <c r="U175" i="24"/>
  <c r="V175" i="24" s="1"/>
  <c r="U82" i="24"/>
  <c r="V82" i="24" s="1"/>
  <c r="BZ173" i="25"/>
  <c r="BZ21" i="25"/>
  <c r="BZ201" i="25"/>
  <c r="BZ192" i="25"/>
  <c r="BZ89" i="25"/>
  <c r="P77" i="25"/>
  <c r="O77" i="25"/>
  <c r="T77" i="25"/>
  <c r="U77" i="25" s="1"/>
  <c r="AO293" i="25"/>
  <c r="BZ314" i="25"/>
  <c r="U208" i="24"/>
  <c r="V208" i="24" s="1"/>
  <c r="U278" i="24"/>
  <c r="V278" i="24" s="1"/>
  <c r="U13" i="24"/>
  <c r="V13" i="24" s="1"/>
  <c r="U201" i="24"/>
  <c r="V201" i="24" s="1"/>
  <c r="U155" i="24"/>
  <c r="V155" i="24" s="1"/>
  <c r="BZ87" i="25"/>
  <c r="BZ261" i="25"/>
  <c r="BZ232" i="25"/>
  <c r="BZ148" i="25"/>
  <c r="BZ296" i="25"/>
  <c r="BZ6" i="25"/>
  <c r="U124" i="24"/>
  <c r="AO87" i="25"/>
  <c r="U169" i="24"/>
  <c r="V169" i="24" s="1"/>
  <c r="U165" i="24"/>
  <c r="V165" i="24" s="1"/>
  <c r="BZ158" i="25"/>
  <c r="AO232" i="25"/>
  <c r="AO261" i="25"/>
  <c r="U202" i="24"/>
  <c r="V202" i="24" s="1"/>
  <c r="U70" i="24"/>
  <c r="V70" i="24" s="1"/>
  <c r="U189" i="24"/>
  <c r="V189" i="24" s="1"/>
  <c r="W236" i="24"/>
  <c r="Y236" i="24" s="1"/>
  <c r="BZ282" i="25"/>
  <c r="BZ246" i="25"/>
  <c r="BZ113" i="25"/>
  <c r="AO148" i="25"/>
  <c r="U198" i="24"/>
  <c r="V198" i="24" s="1"/>
  <c r="AO192" i="25"/>
  <c r="U217" i="24"/>
  <c r="V217" i="24" s="1"/>
  <c r="AO89" i="25"/>
  <c r="U274" i="24"/>
  <c r="V274" i="24" s="1"/>
  <c r="U311" i="24"/>
  <c r="V311" i="24" s="1"/>
  <c r="U253" i="24"/>
  <c r="V253" i="24" s="1"/>
  <c r="U15" i="24"/>
  <c r="V15" i="24" s="1"/>
  <c r="BZ34" i="25"/>
  <c r="U296" i="24"/>
  <c r="V296" i="24" s="1"/>
  <c r="U37" i="24"/>
  <c r="P41" i="24"/>
  <c r="Q41" i="24"/>
  <c r="R41" i="24" s="1"/>
  <c r="U77" i="24"/>
  <c r="V77" i="24" s="1"/>
  <c r="U50" i="24"/>
  <c r="V50" i="24" s="1"/>
  <c r="U128" i="24"/>
  <c r="V128" i="24" s="1"/>
  <c r="U273" i="24"/>
  <c r="V273" i="24" s="1"/>
  <c r="BZ275" i="25"/>
  <c r="U224" i="24"/>
  <c r="V224" i="24" s="1"/>
  <c r="U84" i="24"/>
  <c r="V84" i="24" s="1"/>
  <c r="U56" i="24"/>
  <c r="V56" i="24" s="1"/>
  <c r="U285" i="24"/>
  <c r="V285" i="24" s="1"/>
  <c r="U265" i="24"/>
  <c r="V265" i="24" s="1"/>
  <c r="U134" i="24"/>
  <c r="V134" i="24" s="1"/>
  <c r="U246" i="24"/>
  <c r="V246" i="24" s="1"/>
  <c r="BZ186" i="25"/>
  <c r="U193" i="25"/>
  <c r="U151" i="25"/>
  <c r="U245" i="25"/>
  <c r="U102" i="25"/>
  <c r="U271" i="25"/>
  <c r="U263" i="25"/>
  <c r="U284" i="25"/>
  <c r="U164" i="25"/>
  <c r="U309" i="25"/>
  <c r="U17" i="25"/>
  <c r="U311" i="25"/>
  <c r="U48" i="25"/>
  <c r="U236" i="25"/>
  <c r="U60" i="25"/>
  <c r="U152" i="25"/>
  <c r="U241" i="25"/>
  <c r="U269" i="25"/>
  <c r="U8" i="25"/>
  <c r="U16" i="25"/>
  <c r="U88" i="25"/>
  <c r="U132" i="25"/>
  <c r="U117" i="25"/>
  <c r="U182" i="25"/>
  <c r="U83" i="25"/>
  <c r="U130" i="25"/>
  <c r="U37" i="25"/>
  <c r="U141" i="25"/>
  <c r="U134" i="25"/>
  <c r="U166" i="25"/>
  <c r="U43" i="25"/>
  <c r="N220" i="24"/>
  <c r="U220" i="24"/>
  <c r="J88" i="24"/>
  <c r="O88" i="24"/>
  <c r="BZ88" i="24" s="1"/>
  <c r="U7" i="25"/>
  <c r="U20" i="25"/>
  <c r="U180" i="25"/>
  <c r="P240" i="24"/>
  <c r="Q240" i="24"/>
  <c r="Q256" i="24"/>
  <c r="P256" i="24"/>
  <c r="J19" i="24"/>
  <c r="W19" i="24" s="1"/>
  <c r="O19" i="24"/>
  <c r="BZ19" i="24" s="1"/>
  <c r="P138" i="25"/>
  <c r="O138" i="25"/>
  <c r="T138" i="25"/>
  <c r="N229" i="24"/>
  <c r="U229" i="24"/>
  <c r="U312" i="25"/>
  <c r="V312" i="24"/>
  <c r="V290" i="24"/>
  <c r="N78" i="24"/>
  <c r="U78" i="24"/>
  <c r="J204" i="24"/>
  <c r="O204" i="24"/>
  <c r="BZ204" i="24" s="1"/>
  <c r="J64" i="24"/>
  <c r="O64" i="24"/>
  <c r="BZ64" i="24" s="1"/>
  <c r="P135" i="25"/>
  <c r="O135" i="25"/>
  <c r="T135" i="25"/>
  <c r="U150" i="25"/>
  <c r="N164" i="24"/>
  <c r="U164" i="24"/>
  <c r="AE7" i="24"/>
  <c r="AI7" i="24"/>
  <c r="X7" i="24"/>
  <c r="AA7" i="24" s="1"/>
  <c r="AB7" i="24" s="1"/>
  <c r="AC7" i="24" s="1"/>
  <c r="N266" i="24"/>
  <c r="U266" i="24"/>
  <c r="P218" i="25"/>
  <c r="O218" i="25"/>
  <c r="T218" i="25"/>
  <c r="P188" i="25"/>
  <c r="O188" i="25"/>
  <c r="T188" i="25"/>
  <c r="N100" i="24"/>
  <c r="U100" i="24"/>
  <c r="N39" i="24"/>
  <c r="U39" i="24"/>
  <c r="J251" i="24"/>
  <c r="O251" i="24"/>
  <c r="BZ251" i="24" s="1"/>
  <c r="U291" i="24"/>
  <c r="J158" i="24"/>
  <c r="O158" i="24"/>
  <c r="BZ158" i="24" s="1"/>
  <c r="O96" i="24"/>
  <c r="BZ96" i="24" s="1"/>
  <c r="J96" i="24"/>
  <c r="P225" i="25"/>
  <c r="O225" i="25"/>
  <c r="T225" i="25"/>
  <c r="Q156" i="24"/>
  <c r="P156" i="24"/>
  <c r="P66" i="25"/>
  <c r="O66" i="25"/>
  <c r="Q105" i="24"/>
  <c r="R105" i="24" s="1"/>
  <c r="P105" i="24"/>
  <c r="J290" i="24"/>
  <c r="W290" i="24" s="1"/>
  <c r="O290" i="24"/>
  <c r="BZ290" i="24" s="1"/>
  <c r="Q293" i="24"/>
  <c r="P293" i="24"/>
  <c r="J234" i="24"/>
  <c r="W234" i="24" s="1"/>
  <c r="O234" i="24"/>
  <c r="BZ234" i="24" s="1"/>
  <c r="O205" i="24"/>
  <c r="BZ205" i="24" s="1"/>
  <c r="J205" i="24"/>
  <c r="W205" i="24" s="1"/>
  <c r="O179" i="24"/>
  <c r="BZ179" i="24" s="1"/>
  <c r="J179" i="24"/>
  <c r="U246" i="25"/>
  <c r="P302" i="25"/>
  <c r="O302" i="25"/>
  <c r="T302" i="25"/>
  <c r="P242" i="25"/>
  <c r="O242" i="25"/>
  <c r="T242" i="25"/>
  <c r="N209" i="24"/>
  <c r="U209" i="24"/>
  <c r="P253" i="25"/>
  <c r="O253" i="25"/>
  <c r="J248" i="24"/>
  <c r="W248" i="24" s="1"/>
  <c r="O248" i="24"/>
  <c r="BZ248" i="24" s="1"/>
  <c r="J79" i="24"/>
  <c r="O79" i="24"/>
  <c r="BZ79" i="24" s="1"/>
  <c r="O77" i="24"/>
  <c r="BZ77" i="24" s="1"/>
  <c r="J77" i="24"/>
  <c r="N288" i="24"/>
  <c r="U288" i="24"/>
  <c r="O276" i="24"/>
  <c r="BZ276" i="24" s="1"/>
  <c r="J276" i="24"/>
  <c r="J123" i="24"/>
  <c r="O123" i="24"/>
  <c r="BZ123" i="24" s="1"/>
  <c r="P93" i="25"/>
  <c r="O93" i="25"/>
  <c r="T93" i="25"/>
  <c r="P116" i="25"/>
  <c r="O116" i="25"/>
  <c r="T116" i="25"/>
  <c r="P65" i="25"/>
  <c r="O65" i="25"/>
  <c r="J30" i="24"/>
  <c r="W30" i="24" s="1"/>
  <c r="O30" i="24"/>
  <c r="BZ30" i="24" s="1"/>
  <c r="J124" i="24"/>
  <c r="O124" i="24"/>
  <c r="BZ124" i="24" s="1"/>
  <c r="P72" i="25"/>
  <c r="O72" i="25"/>
  <c r="T72" i="25"/>
  <c r="O52" i="24"/>
  <c r="BZ52" i="24" s="1"/>
  <c r="J52" i="24"/>
  <c r="W52" i="24" s="1"/>
  <c r="S262" i="25"/>
  <c r="K262" i="25" s="1"/>
  <c r="V262" i="25" s="1"/>
  <c r="R262" i="25"/>
  <c r="Q262" i="25"/>
  <c r="J61" i="24"/>
  <c r="W61" i="24" s="1"/>
  <c r="O61" i="24"/>
  <c r="BZ61" i="24" s="1"/>
  <c r="V199" i="24"/>
  <c r="O26" i="24"/>
  <c r="BZ26" i="24" s="1"/>
  <c r="J26" i="24"/>
  <c r="J183" i="24"/>
  <c r="O183" i="24"/>
  <c r="BZ183" i="24" s="1"/>
  <c r="AP154" i="24"/>
  <c r="J97" i="24"/>
  <c r="W97" i="24" s="1"/>
  <c r="O97" i="24"/>
  <c r="BZ97" i="24" s="1"/>
  <c r="W190" i="24"/>
  <c r="V190" i="24"/>
  <c r="N54" i="24"/>
  <c r="U54" i="24"/>
  <c r="P125" i="24"/>
  <c r="Q125" i="24"/>
  <c r="Q112" i="24"/>
  <c r="P112" i="24"/>
  <c r="Q299" i="24"/>
  <c r="P299" i="24"/>
  <c r="P54" i="25"/>
  <c r="O54" i="25"/>
  <c r="J196" i="24"/>
  <c r="O196" i="24"/>
  <c r="BZ196" i="24" s="1"/>
  <c r="V61" i="24"/>
  <c r="O237" i="24"/>
  <c r="BZ237" i="24" s="1"/>
  <c r="J237" i="24"/>
  <c r="W237" i="24" s="1"/>
  <c r="J238" i="24"/>
  <c r="W238" i="24" s="1"/>
  <c r="O238" i="24"/>
  <c r="BZ238" i="24" s="1"/>
  <c r="Q102" i="24"/>
  <c r="R102" i="24" s="1"/>
  <c r="P102" i="24"/>
  <c r="FJ110" i="25"/>
  <c r="FJ209" i="25"/>
  <c r="FI207" i="25"/>
  <c r="FI176" i="25"/>
  <c r="FJ164" i="25"/>
  <c r="FI113" i="25"/>
  <c r="FI204" i="25"/>
  <c r="FJ129" i="25"/>
  <c r="FI151" i="25"/>
  <c r="FI126" i="25"/>
  <c r="FI187" i="25"/>
  <c r="FI137" i="25"/>
  <c r="FJ189" i="25"/>
  <c r="FJ170" i="25"/>
  <c r="FI142" i="25"/>
  <c r="FJ158" i="25"/>
  <c r="FJ172" i="25"/>
  <c r="FI135" i="25"/>
  <c r="FI183" i="25"/>
  <c r="FJ123" i="25"/>
  <c r="FI168" i="25"/>
  <c r="FI157" i="25"/>
  <c r="FJ182" i="25"/>
  <c r="FI110" i="25"/>
  <c r="FJ141" i="25"/>
  <c r="F212" i="25"/>
  <c r="FI123" i="25"/>
  <c r="FI122" i="25"/>
  <c r="FI125" i="25"/>
  <c r="FJ190" i="25"/>
  <c r="FJ111" i="25"/>
  <c r="FJ148" i="25"/>
  <c r="FI166" i="25"/>
  <c r="FI201" i="25"/>
  <c r="FJ208" i="25"/>
  <c r="FJ203" i="25"/>
  <c r="FI190" i="25"/>
  <c r="FI174" i="25"/>
  <c r="FJ120" i="25"/>
  <c r="FI194" i="25"/>
  <c r="FJ142" i="25"/>
  <c r="FJ124" i="25"/>
  <c r="FI170" i="25"/>
  <c r="FJ121" i="25"/>
  <c r="FJ185" i="25"/>
  <c r="FJ153" i="25"/>
  <c r="FI156" i="25"/>
  <c r="FI143" i="25"/>
  <c r="FI121" i="25"/>
  <c r="FI119" i="25"/>
  <c r="FJ174" i="25"/>
  <c r="FI193" i="25"/>
  <c r="FI162" i="25"/>
  <c r="FI165" i="25"/>
  <c r="FJ161" i="25"/>
  <c r="FJ160" i="25"/>
  <c r="FJ191" i="25"/>
  <c r="FJ193" i="25"/>
  <c r="FJ207" i="25"/>
  <c r="FJ152" i="25"/>
  <c r="FJ177" i="25"/>
  <c r="FJ184" i="25"/>
  <c r="FI173" i="25"/>
  <c r="FI148" i="25"/>
  <c r="FI127" i="25"/>
  <c r="FI158" i="25"/>
  <c r="FI208" i="25"/>
  <c r="FJ130" i="25"/>
  <c r="FI167" i="25"/>
  <c r="FJ187" i="25"/>
  <c r="FI199" i="25"/>
  <c r="FJ195" i="25"/>
  <c r="FI180" i="25"/>
  <c r="FJ150" i="25"/>
  <c r="FJ127" i="25"/>
  <c r="FI131" i="25"/>
  <c r="FJ134" i="25"/>
  <c r="G212" i="25"/>
  <c r="FJ112" i="25"/>
  <c r="FI154" i="25"/>
  <c r="FI205" i="25"/>
  <c r="FJ167" i="25"/>
  <c r="FI140" i="25"/>
  <c r="FJ176" i="25"/>
  <c r="FI178" i="25"/>
  <c r="FI163" i="25"/>
  <c r="FJ114" i="25"/>
  <c r="FJ145" i="25"/>
  <c r="FI195" i="25"/>
  <c r="FJ186" i="25"/>
  <c r="FI197" i="25"/>
  <c r="FI116" i="25"/>
  <c r="FJ205" i="25"/>
  <c r="FI179" i="25"/>
  <c r="FI182" i="25"/>
  <c r="FI169" i="25"/>
  <c r="FI111" i="25"/>
  <c r="FJ157" i="25"/>
  <c r="FJ149" i="25"/>
  <c r="FJ175" i="25"/>
  <c r="FI206" i="25"/>
  <c r="FI115" i="25"/>
  <c r="FI185" i="25"/>
  <c r="FJ143" i="25"/>
  <c r="FI172" i="25"/>
  <c r="FI192" i="25"/>
  <c r="FJ173" i="25"/>
  <c r="FJ171" i="25"/>
  <c r="FJ116" i="25"/>
  <c r="FI129" i="25"/>
  <c r="FJ180" i="25"/>
  <c r="FJ163" i="25"/>
  <c r="FI198" i="25"/>
  <c r="FJ118" i="25"/>
  <c r="CE110" i="25"/>
  <c r="FI112" i="25"/>
  <c r="FI133" i="25"/>
  <c r="FJ137" i="25"/>
  <c r="FI124" i="25"/>
  <c r="FJ168" i="25"/>
  <c r="FJ178" i="25"/>
  <c r="FI164" i="25"/>
  <c r="FI175" i="25"/>
  <c r="FI186" i="25"/>
  <c r="FJ159" i="25"/>
  <c r="FI150" i="25"/>
  <c r="FI144" i="25"/>
  <c r="FJ169" i="25"/>
  <c r="FJ166" i="25"/>
  <c r="FJ181" i="25"/>
  <c r="FJ126" i="25"/>
  <c r="FJ131" i="25"/>
  <c r="FJ201" i="25"/>
  <c r="FJ128" i="25"/>
  <c r="FJ144" i="25"/>
  <c r="FI146" i="25"/>
  <c r="FI177" i="25"/>
  <c r="FI149" i="25"/>
  <c r="FJ200" i="25"/>
  <c r="FI196" i="25"/>
  <c r="FJ202" i="25"/>
  <c r="FJ198" i="25"/>
  <c r="FJ136" i="25"/>
  <c r="FI139" i="25"/>
  <c r="FI202" i="25"/>
  <c r="FJ155" i="25"/>
  <c r="FI188" i="25"/>
  <c r="FJ125" i="25"/>
  <c r="FJ117" i="25"/>
  <c r="FJ156" i="25"/>
  <c r="FJ132" i="25"/>
  <c r="FJ188" i="25"/>
  <c r="FI209" i="25"/>
  <c r="FJ140" i="25"/>
  <c r="FJ135" i="25"/>
  <c r="FI117" i="25"/>
  <c r="FJ179" i="25"/>
  <c r="FJ154" i="25"/>
  <c r="FJ194" i="25"/>
  <c r="FJ119" i="25"/>
  <c r="FJ133" i="25"/>
  <c r="FI210" i="25"/>
  <c r="FI134" i="25"/>
  <c r="FI153" i="25"/>
  <c r="FJ197" i="25"/>
  <c r="FI152" i="25"/>
  <c r="FI160" i="25"/>
  <c r="FJ204" i="25"/>
  <c r="FJ162" i="25"/>
  <c r="FI118" i="25"/>
  <c r="FI189" i="25"/>
  <c r="FI128" i="25"/>
  <c r="FI155" i="25"/>
  <c r="FI161" i="25"/>
  <c r="FJ115" i="25"/>
  <c r="FI159" i="25"/>
  <c r="FJ138" i="25"/>
  <c r="FJ183" i="25"/>
  <c r="FJ199" i="25"/>
  <c r="FJ192" i="25"/>
  <c r="FJ196" i="25"/>
  <c r="FI141" i="25"/>
  <c r="FI171" i="25"/>
  <c r="FI181" i="25"/>
  <c r="FJ147" i="25"/>
  <c r="FI114" i="25"/>
  <c r="FJ165" i="25"/>
  <c r="FI120" i="25"/>
  <c r="FI184" i="25"/>
  <c r="FJ151" i="25"/>
  <c r="FI136" i="25"/>
  <c r="FJ206" i="25"/>
  <c r="FI130" i="25"/>
  <c r="FJ210" i="25"/>
  <c r="FJ146" i="25"/>
  <c r="FI200" i="25"/>
  <c r="FI138" i="25"/>
  <c r="FJ139" i="25"/>
  <c r="FI203" i="25"/>
  <c r="FI191" i="25"/>
  <c r="FJ122" i="25"/>
  <c r="FI145" i="25"/>
  <c r="FI132" i="25"/>
  <c r="FJ113" i="25"/>
  <c r="FI147" i="25"/>
  <c r="CF110" i="25"/>
  <c r="CF128" i="25"/>
  <c r="CE136" i="25"/>
  <c r="CE118" i="25"/>
  <c r="CF118" i="25"/>
  <c r="CF126" i="25"/>
  <c r="CF119" i="25"/>
  <c r="CF123" i="25"/>
  <c r="CF121" i="25"/>
  <c r="CE115" i="25"/>
  <c r="CF117" i="25"/>
  <c r="CF142" i="25"/>
  <c r="CF150" i="25"/>
  <c r="CE130" i="25"/>
  <c r="CF130" i="25"/>
  <c r="CE125" i="25"/>
  <c r="CE141" i="25"/>
  <c r="CF206" i="25"/>
  <c r="CE114" i="25"/>
  <c r="CE119" i="25"/>
  <c r="CF133" i="25"/>
  <c r="CE140" i="25"/>
  <c r="CF158" i="25"/>
  <c r="CE121" i="25"/>
  <c r="CF115" i="25"/>
  <c r="CE167" i="25"/>
  <c r="CE150" i="25"/>
  <c r="CF157" i="25"/>
  <c r="CF125" i="25"/>
  <c r="CF162" i="25"/>
  <c r="CE128" i="25"/>
  <c r="CE124" i="25"/>
  <c r="CF116" i="25"/>
  <c r="CF178" i="25"/>
  <c r="CE146" i="25"/>
  <c r="CE133" i="25"/>
  <c r="CF127" i="25"/>
  <c r="CF140" i="25"/>
  <c r="CE123" i="25"/>
  <c r="CE158" i="25"/>
  <c r="CE117" i="25"/>
  <c r="CE157" i="25"/>
  <c r="CE162" i="25"/>
  <c r="CF122" i="25"/>
  <c r="CF136" i="25"/>
  <c r="CE155" i="25"/>
  <c r="CE178" i="25"/>
  <c r="CF131" i="25"/>
  <c r="CE149" i="25"/>
  <c r="CE197" i="25"/>
  <c r="CE139" i="25"/>
  <c r="CE116" i="25"/>
  <c r="CF146" i="25"/>
  <c r="CE127" i="25"/>
  <c r="CF149" i="25"/>
  <c r="CF113" i="25"/>
  <c r="CF112" i="25"/>
  <c r="CE134" i="25"/>
  <c r="CF111" i="25"/>
  <c r="CE131" i="25"/>
  <c r="CE113" i="25"/>
  <c r="CE112" i="25"/>
  <c r="CF134" i="25"/>
  <c r="CE144" i="25"/>
  <c r="CF148" i="25"/>
  <c r="CE122" i="25"/>
  <c r="CE143" i="25"/>
  <c r="CF139" i="25"/>
  <c r="CF155" i="25"/>
  <c r="CE111" i="25"/>
  <c r="CF124" i="25"/>
  <c r="CE187" i="25"/>
  <c r="CF144" i="25"/>
  <c r="CF129" i="25"/>
  <c r="CF145" i="25"/>
  <c r="CF120" i="25"/>
  <c r="CE137" i="25"/>
  <c r="CF143" i="25"/>
  <c r="CF141" i="25"/>
  <c r="CF114" i="25"/>
  <c r="CE126" i="25"/>
  <c r="CF187" i="25"/>
  <c r="CE148" i="25"/>
  <c r="CF167" i="25"/>
  <c r="CE142" i="25"/>
  <c r="CF197" i="25"/>
  <c r="CE129" i="25"/>
  <c r="CE145" i="25"/>
  <c r="CE120" i="25"/>
  <c r="CF137" i="25"/>
  <c r="CE206" i="25"/>
  <c r="CE152" i="25"/>
  <c r="CF152" i="25"/>
  <c r="CF195" i="25"/>
  <c r="CE195" i="25"/>
  <c r="AO34" i="25"/>
  <c r="P52" i="25"/>
  <c r="O52" i="25"/>
  <c r="U308" i="25"/>
  <c r="BZ62" i="25"/>
  <c r="U80" i="25"/>
  <c r="AP35" i="24"/>
  <c r="P200" i="25"/>
  <c r="O200" i="25"/>
  <c r="T200" i="25"/>
  <c r="BZ177" i="25"/>
  <c r="V21" i="24"/>
  <c r="W21" i="24"/>
  <c r="O177" i="24"/>
  <c r="BZ177" i="24" s="1"/>
  <c r="J177" i="24"/>
  <c r="P275" i="24"/>
  <c r="Q275" i="24"/>
  <c r="P235" i="25"/>
  <c r="O235" i="25"/>
  <c r="P222" i="25"/>
  <c r="O222" i="25"/>
  <c r="T222" i="25"/>
  <c r="P310" i="25"/>
  <c r="O310" i="25"/>
  <c r="P166" i="24"/>
  <c r="Q166" i="24"/>
  <c r="U28" i="24"/>
  <c r="P133" i="25"/>
  <c r="O133" i="25"/>
  <c r="P98" i="25"/>
  <c r="O98" i="25"/>
  <c r="T98" i="25"/>
  <c r="P80" i="25"/>
  <c r="O80" i="25"/>
  <c r="O246" i="24"/>
  <c r="BZ246" i="24" s="1"/>
  <c r="J246" i="24"/>
  <c r="U297" i="24"/>
  <c r="P118" i="24"/>
  <c r="Q118" i="24"/>
  <c r="P315" i="25"/>
  <c r="O315" i="25"/>
  <c r="T315" i="25"/>
  <c r="Q34" i="24"/>
  <c r="R34" i="24" s="1"/>
  <c r="P34" i="24"/>
  <c r="Q15" i="24"/>
  <c r="R15" i="24" s="1"/>
  <c r="P15" i="24"/>
  <c r="O85" i="24"/>
  <c r="BZ85" i="24" s="1"/>
  <c r="J85" i="24"/>
  <c r="J135" i="24"/>
  <c r="O135" i="24"/>
  <c r="BZ135" i="24" s="1"/>
  <c r="S204" i="25"/>
  <c r="K204" i="25" s="1"/>
  <c r="V204" i="25" s="1"/>
  <c r="R204" i="25"/>
  <c r="Q204" i="25"/>
  <c r="BZ262" i="25"/>
  <c r="U174" i="25"/>
  <c r="S275" i="25"/>
  <c r="K275" i="25" s="1"/>
  <c r="V275" i="25" s="1"/>
  <c r="R275" i="25"/>
  <c r="Q275" i="25"/>
  <c r="J208" i="24"/>
  <c r="O208" i="24"/>
  <c r="BZ208" i="24" s="1"/>
  <c r="P74" i="24"/>
  <c r="Q74" i="24"/>
  <c r="R74" i="24" s="1"/>
  <c r="R14" i="25"/>
  <c r="S14" i="25"/>
  <c r="K14" i="25" s="1"/>
  <c r="V14" i="25" s="1"/>
  <c r="Q14" i="25"/>
  <c r="Q16" i="24"/>
  <c r="R16" i="24" s="1"/>
  <c r="P16" i="24"/>
  <c r="Q138" i="24"/>
  <c r="P138" i="24"/>
  <c r="V180" i="24"/>
  <c r="U158" i="25"/>
  <c r="V62" i="24"/>
  <c r="P185" i="25"/>
  <c r="O185" i="25"/>
  <c r="U87" i="25"/>
  <c r="U192" i="24"/>
  <c r="P239" i="25"/>
  <c r="O239" i="25"/>
  <c r="T239" i="25"/>
  <c r="N46" i="24"/>
  <c r="U46" i="24"/>
  <c r="S248" i="25"/>
  <c r="K248" i="25" s="1"/>
  <c r="V248" i="25" s="1"/>
  <c r="R248" i="25"/>
  <c r="Q248" i="25"/>
  <c r="V272" i="24"/>
  <c r="O168" i="24"/>
  <c r="BZ168" i="24" s="1"/>
  <c r="J168" i="24"/>
  <c r="O186" i="24"/>
  <c r="BZ186" i="24" s="1"/>
  <c r="J186" i="24"/>
  <c r="Q310" i="24"/>
  <c r="P310" i="24"/>
  <c r="U306" i="25"/>
  <c r="U73" i="24"/>
  <c r="Q142" i="24"/>
  <c r="P142" i="24"/>
  <c r="V193" i="24"/>
  <c r="U243" i="25"/>
  <c r="U89" i="25"/>
  <c r="Q130" i="24"/>
  <c r="P130" i="24"/>
  <c r="U283" i="24"/>
  <c r="N94" i="24"/>
  <c r="U94" i="24"/>
  <c r="P168" i="25"/>
  <c r="O168" i="25"/>
  <c r="V79" i="24"/>
  <c r="U235" i="24"/>
  <c r="P97" i="24"/>
  <c r="Q97" i="24"/>
  <c r="R97" i="24" s="1"/>
  <c r="P165" i="24"/>
  <c r="Q165" i="24"/>
  <c r="N8" i="24"/>
  <c r="U8" i="24"/>
  <c r="P121" i="25"/>
  <c r="O121" i="25"/>
  <c r="P242" i="24"/>
  <c r="Q242" i="24"/>
  <c r="P268" i="25"/>
  <c r="O268" i="25"/>
  <c r="T268" i="25"/>
  <c r="Q51" i="24"/>
  <c r="R51" i="24" s="1"/>
  <c r="P51" i="24"/>
  <c r="V27" i="24"/>
  <c r="U300" i="25"/>
  <c r="P289" i="25"/>
  <c r="O289" i="25"/>
  <c r="U199" i="25"/>
  <c r="N64" i="24"/>
  <c r="U64" i="24"/>
  <c r="J126" i="24"/>
  <c r="O126" i="24"/>
  <c r="BZ126" i="24" s="1"/>
  <c r="P86" i="25"/>
  <c r="O86" i="25"/>
  <c r="T86" i="25"/>
  <c r="P285" i="25"/>
  <c r="O285" i="25"/>
  <c r="V121" i="24"/>
  <c r="P136" i="24"/>
  <c r="Q136" i="24"/>
  <c r="P78" i="25"/>
  <c r="O78" i="25"/>
  <c r="T78" i="25"/>
  <c r="P272" i="25"/>
  <c r="O272" i="25"/>
  <c r="T272" i="25"/>
  <c r="U128" i="25"/>
  <c r="U191" i="25"/>
  <c r="U19" i="25"/>
  <c r="J260" i="24"/>
  <c r="O260" i="24"/>
  <c r="BZ260" i="24" s="1"/>
  <c r="O32" i="24"/>
  <c r="BZ32" i="24" s="1"/>
  <c r="J32" i="24"/>
  <c r="W32" i="24" s="1"/>
  <c r="U240" i="24"/>
  <c r="J78" i="24"/>
  <c r="O78" i="24"/>
  <c r="BZ78" i="24" s="1"/>
  <c r="U314" i="25"/>
  <c r="U267" i="25"/>
  <c r="N57" i="24"/>
  <c r="U57" i="24"/>
  <c r="P286" i="25"/>
  <c r="O286" i="25"/>
  <c r="T286" i="25"/>
  <c r="O207" i="25"/>
  <c r="P207" i="25"/>
  <c r="T207" i="25"/>
  <c r="AE55" i="24"/>
  <c r="AI55" i="24"/>
  <c r="X55" i="24"/>
  <c r="AA55" i="24" s="1"/>
  <c r="AB55" i="24" s="1"/>
  <c r="AC55" i="24" s="1"/>
  <c r="U136" i="24"/>
  <c r="U276" i="25"/>
  <c r="P23" i="25"/>
  <c r="O23" i="25"/>
  <c r="T23" i="25"/>
  <c r="J266" i="24"/>
  <c r="O266" i="24"/>
  <c r="BZ266" i="24" s="1"/>
  <c r="N63" i="24"/>
  <c r="U63" i="24"/>
  <c r="O100" i="24"/>
  <c r="BZ100" i="24" s="1"/>
  <c r="J100" i="24"/>
  <c r="J259" i="24"/>
  <c r="O259" i="24"/>
  <c r="BZ259" i="24" s="1"/>
  <c r="P194" i="25"/>
  <c r="O194" i="25"/>
  <c r="T194" i="25"/>
  <c r="N139" i="24"/>
  <c r="U139" i="24"/>
  <c r="P47" i="25"/>
  <c r="O47" i="25"/>
  <c r="P234" i="25"/>
  <c r="O234" i="25"/>
  <c r="O105" i="24"/>
  <c r="BZ105" i="24" s="1"/>
  <c r="J105" i="24"/>
  <c r="AE45" i="24"/>
  <c r="X45" i="24"/>
  <c r="AA45" i="24" s="1"/>
  <c r="AB45" i="24" s="1"/>
  <c r="AC45" i="24" s="1"/>
  <c r="AI45" i="24"/>
  <c r="O293" i="24"/>
  <c r="BZ293" i="24" s="1"/>
  <c r="J293" i="24"/>
  <c r="P311" i="24"/>
  <c r="Q311" i="24"/>
  <c r="R170" i="25"/>
  <c r="S170" i="25"/>
  <c r="K170" i="25" s="1"/>
  <c r="V170" i="25" s="1"/>
  <c r="Q170" i="25"/>
  <c r="U198" i="25"/>
  <c r="P53" i="25"/>
  <c r="O53" i="25"/>
  <c r="P184" i="25"/>
  <c r="O184" i="25"/>
  <c r="Q135" i="24"/>
  <c r="P135" i="24"/>
  <c r="V219" i="24"/>
  <c r="P230" i="24"/>
  <c r="Q230" i="24"/>
  <c r="U262" i="25"/>
  <c r="V127" i="24"/>
  <c r="J303" i="24"/>
  <c r="W303" i="24" s="1"/>
  <c r="O303" i="24"/>
  <c r="BZ303" i="24" s="1"/>
  <c r="U57" i="25"/>
  <c r="P15" i="25"/>
  <c r="O15" i="25"/>
  <c r="O157" i="24"/>
  <c r="BZ157" i="24" s="1"/>
  <c r="J157" i="24"/>
  <c r="J286" i="24"/>
  <c r="O286" i="24"/>
  <c r="BZ286" i="24" s="1"/>
  <c r="O116" i="24"/>
  <c r="BZ116" i="24" s="1"/>
  <c r="J116" i="24"/>
  <c r="J223" i="24"/>
  <c r="W223" i="24" s="1"/>
  <c r="O223" i="24"/>
  <c r="BZ223" i="24" s="1"/>
  <c r="P264" i="25"/>
  <c r="O264" i="25"/>
  <c r="T264" i="25"/>
  <c r="P260" i="25"/>
  <c r="O260" i="25"/>
  <c r="T260" i="25"/>
  <c r="N113" i="24"/>
  <c r="U113" i="24"/>
  <c r="BZ255" i="25"/>
  <c r="V238" i="24"/>
  <c r="U31" i="25"/>
  <c r="N38" i="24"/>
  <c r="U38" i="24"/>
  <c r="J167" i="24"/>
  <c r="O167" i="24"/>
  <c r="BZ167" i="24" s="1"/>
  <c r="Q267" i="24"/>
  <c r="P267" i="24"/>
  <c r="O54" i="24"/>
  <c r="BZ54" i="24" s="1"/>
  <c r="J54" i="24"/>
  <c r="J268" i="24"/>
  <c r="W268" i="24" s="1"/>
  <c r="O268" i="24"/>
  <c r="BZ268" i="24" s="1"/>
  <c r="U35" i="25"/>
  <c r="Q69" i="24"/>
  <c r="R69" i="24" s="1"/>
  <c r="P69" i="24"/>
  <c r="P235" i="24"/>
  <c r="Q235" i="24"/>
  <c r="P69" i="25"/>
  <c r="O69" i="25"/>
  <c r="P153" i="25"/>
  <c r="O153" i="25"/>
  <c r="P85" i="25"/>
  <c r="O85" i="25"/>
  <c r="R198" i="25"/>
  <c r="S198" i="25"/>
  <c r="K198" i="25" s="1"/>
  <c r="Q198" i="25"/>
  <c r="O198" i="24"/>
  <c r="BZ198" i="24" s="1"/>
  <c r="J198" i="24"/>
  <c r="N239" i="24"/>
  <c r="U239" i="24"/>
  <c r="O89" i="24"/>
  <c r="BZ89" i="24" s="1"/>
  <c r="J89" i="24"/>
  <c r="N262" i="24"/>
  <c r="U262" i="24"/>
  <c r="Q217" i="24"/>
  <c r="P217" i="24"/>
  <c r="AP300" i="24"/>
  <c r="N277" i="24"/>
  <c r="U277" i="24"/>
  <c r="P176" i="24"/>
  <c r="Q176" i="24"/>
  <c r="AP291" i="24"/>
  <c r="P220" i="25"/>
  <c r="O220" i="25"/>
  <c r="T220" i="25"/>
  <c r="P244" i="25"/>
  <c r="O244" i="25"/>
  <c r="P100" i="25"/>
  <c r="O100" i="25"/>
  <c r="T100" i="25"/>
  <c r="O166" i="24"/>
  <c r="BZ166" i="24" s="1"/>
  <c r="J166" i="24"/>
  <c r="P68" i="25"/>
  <c r="O68" i="25"/>
  <c r="T68" i="25"/>
  <c r="J184" i="24"/>
  <c r="O184" i="24"/>
  <c r="BZ184" i="24" s="1"/>
  <c r="P111" i="25"/>
  <c r="O111" i="25"/>
  <c r="O93" i="24"/>
  <c r="BZ93" i="24" s="1"/>
  <c r="J93" i="24"/>
  <c r="U119" i="25"/>
  <c r="U149" i="25"/>
  <c r="W22" i="24"/>
  <c r="V22" i="24"/>
  <c r="P99" i="24"/>
  <c r="Q99" i="24"/>
  <c r="R99" i="24" s="1"/>
  <c r="P302" i="24"/>
  <c r="Q302" i="24"/>
  <c r="N114" i="24"/>
  <c r="U114" i="24"/>
  <c r="Q81" i="24"/>
  <c r="R81" i="24" s="1"/>
  <c r="P81" i="24"/>
  <c r="O254" i="24"/>
  <c r="BZ254" i="24" s="1"/>
  <c r="J254" i="24"/>
  <c r="AO262" i="25"/>
  <c r="P61" i="25"/>
  <c r="O61" i="25"/>
  <c r="AO131" i="25"/>
  <c r="P178" i="24"/>
  <c r="Q178" i="24"/>
  <c r="J74" i="24"/>
  <c r="O74" i="24"/>
  <c r="BZ74" i="24" s="1"/>
  <c r="V6" i="24"/>
  <c r="P180" i="24"/>
  <c r="Q180" i="24"/>
  <c r="R158" i="25"/>
  <c r="S158" i="25"/>
  <c r="K158" i="25" s="1"/>
  <c r="V158" i="25" s="1"/>
  <c r="Q158" i="25"/>
  <c r="V287" i="24"/>
  <c r="U154" i="24"/>
  <c r="S87" i="25"/>
  <c r="K87" i="25" s="1"/>
  <c r="V87" i="25" s="1"/>
  <c r="R87" i="25"/>
  <c r="Q87" i="25"/>
  <c r="S174" i="25"/>
  <c r="K174" i="25" s="1"/>
  <c r="R174" i="25"/>
  <c r="Q174" i="25"/>
  <c r="J46" i="24"/>
  <c r="O46" i="24"/>
  <c r="BZ46" i="24" s="1"/>
  <c r="W101" i="24"/>
  <c r="V101" i="24"/>
  <c r="P226" i="25"/>
  <c r="O226" i="25"/>
  <c r="U92" i="24"/>
  <c r="V120" i="24"/>
  <c r="R306" i="25"/>
  <c r="S306" i="25"/>
  <c r="K306" i="25" s="1"/>
  <c r="Q306" i="25"/>
  <c r="P202" i="25"/>
  <c r="O202" i="25"/>
  <c r="P70" i="25"/>
  <c r="O70" i="25"/>
  <c r="U32" i="25"/>
  <c r="P193" i="24"/>
  <c r="Q193" i="24"/>
  <c r="R243" i="25"/>
  <c r="S243" i="25"/>
  <c r="K243" i="25" s="1"/>
  <c r="V243" i="25" s="1"/>
  <c r="Q243" i="25"/>
  <c r="R89" i="25"/>
  <c r="S89" i="25"/>
  <c r="K89" i="25" s="1"/>
  <c r="V89" i="25" s="1"/>
  <c r="Q89" i="25"/>
  <c r="V116" i="24"/>
  <c r="O160" i="25"/>
  <c r="P160" i="25"/>
  <c r="T160" i="25"/>
  <c r="Q283" i="24"/>
  <c r="P283" i="24"/>
  <c r="J94" i="24"/>
  <c r="O94" i="24"/>
  <c r="BZ94" i="24" s="1"/>
  <c r="Q37" i="24"/>
  <c r="R37" i="24" s="1"/>
  <c r="P37" i="24"/>
  <c r="Q281" i="24"/>
  <c r="P281" i="24"/>
  <c r="Q79" i="24"/>
  <c r="R79" i="24" s="1"/>
  <c r="P79" i="24"/>
  <c r="J111" i="24"/>
  <c r="O111" i="24"/>
  <c r="BZ111" i="24" s="1"/>
  <c r="P9" i="25"/>
  <c r="O9" i="25"/>
  <c r="J165" i="24"/>
  <c r="O165" i="24"/>
  <c r="BZ165" i="24" s="1"/>
  <c r="P295" i="25"/>
  <c r="O295" i="25"/>
  <c r="J229" i="24"/>
  <c r="O229" i="24"/>
  <c r="BZ229" i="24" s="1"/>
  <c r="U253" i="25"/>
  <c r="N174" i="24"/>
  <c r="U174" i="24"/>
  <c r="U170" i="25"/>
  <c r="T295" i="25"/>
  <c r="AE142" i="24"/>
  <c r="AI142" i="24"/>
  <c r="X142" i="24"/>
  <c r="AA142" i="24" s="1"/>
  <c r="AB142" i="24" s="1"/>
  <c r="AC142" i="24" s="1"/>
  <c r="V47" i="24"/>
  <c r="U50" i="25"/>
  <c r="U161" i="25"/>
  <c r="P171" i="25"/>
  <c r="O171" i="25"/>
  <c r="O164" i="24"/>
  <c r="BZ164" i="24" s="1"/>
  <c r="J164" i="24"/>
  <c r="P122" i="25"/>
  <c r="O122" i="25"/>
  <c r="T122" i="25"/>
  <c r="J63" i="24"/>
  <c r="O63" i="24"/>
  <c r="BZ63" i="24" s="1"/>
  <c r="J39" i="24"/>
  <c r="O39" i="24"/>
  <c r="BZ39" i="24" s="1"/>
  <c r="P269" i="25"/>
  <c r="O269" i="25"/>
  <c r="P187" i="25"/>
  <c r="O187" i="25"/>
  <c r="P173" i="24"/>
  <c r="Q173" i="24"/>
  <c r="J121" i="24"/>
  <c r="W121" i="24" s="1"/>
  <c r="O121" i="24"/>
  <c r="BZ121" i="24" s="1"/>
  <c r="P73" i="25"/>
  <c r="O73" i="25"/>
  <c r="T73" i="25"/>
  <c r="J47" i="24"/>
  <c r="O47" i="24"/>
  <c r="BZ47" i="24" s="1"/>
  <c r="N95" i="24"/>
  <c r="U95" i="24"/>
  <c r="J51" i="24"/>
  <c r="O51" i="24"/>
  <c r="BZ51" i="24" s="1"/>
  <c r="AE101" i="24"/>
  <c r="X101" i="24"/>
  <c r="AA101" i="24" s="1"/>
  <c r="AB101" i="24" s="1"/>
  <c r="AC101" i="24" s="1"/>
  <c r="AI101" i="24"/>
  <c r="N122" i="24"/>
  <c r="U122" i="24"/>
  <c r="P304" i="24"/>
  <c r="Q304" i="24"/>
  <c r="Q13" i="24"/>
  <c r="R13" i="24" s="1"/>
  <c r="P13" i="24"/>
  <c r="P221" i="25"/>
  <c r="O221" i="25"/>
  <c r="T221" i="25"/>
  <c r="P278" i="25"/>
  <c r="O278" i="25"/>
  <c r="T278" i="25"/>
  <c r="J209" i="24"/>
  <c r="O209" i="24"/>
  <c r="BZ209" i="24" s="1"/>
  <c r="U242" i="24"/>
  <c r="O288" i="24"/>
  <c r="BZ288" i="24" s="1"/>
  <c r="J288" i="24"/>
  <c r="O92" i="24"/>
  <c r="BZ92" i="24" s="1"/>
  <c r="J92" i="24"/>
  <c r="O295" i="24"/>
  <c r="BZ295" i="24" s="1"/>
  <c r="J295" i="24"/>
  <c r="N145" i="24"/>
  <c r="U145" i="24"/>
  <c r="N308" i="24"/>
  <c r="U308" i="24"/>
  <c r="N153" i="24"/>
  <c r="U153" i="24"/>
  <c r="N29" i="24"/>
  <c r="U29" i="24"/>
  <c r="P64" i="25"/>
  <c r="O64" i="25"/>
  <c r="J113" i="24"/>
  <c r="O113" i="24"/>
  <c r="BZ113" i="24" s="1"/>
  <c r="AP151" i="24"/>
  <c r="U124" i="25"/>
  <c r="J180" i="24"/>
  <c r="O180" i="24"/>
  <c r="BZ180" i="24" s="1"/>
  <c r="N71" i="24"/>
  <c r="U71" i="24"/>
  <c r="U197" i="24"/>
  <c r="O306" i="24"/>
  <c r="BZ306" i="24" s="1"/>
  <c r="J306" i="24"/>
  <c r="W306" i="24" s="1"/>
  <c r="O16" i="24"/>
  <c r="BZ16" i="24" s="1"/>
  <c r="J16" i="24"/>
  <c r="W16" i="24" s="1"/>
  <c r="U163" i="25"/>
  <c r="N146" i="24"/>
  <c r="U146" i="24"/>
  <c r="P203" i="25"/>
  <c r="O203" i="25"/>
  <c r="T203" i="25"/>
  <c r="J125" i="24"/>
  <c r="O125" i="24"/>
  <c r="BZ125" i="24" s="1"/>
  <c r="AE264" i="24"/>
  <c r="AI264" i="24"/>
  <c r="X264" i="24"/>
  <c r="AA264" i="24" s="1"/>
  <c r="AB264" i="24" s="1"/>
  <c r="AC264" i="24" s="1"/>
  <c r="AE236" i="24"/>
  <c r="AI236" i="24"/>
  <c r="X236" i="24"/>
  <c r="AA236" i="24" s="1"/>
  <c r="AB236" i="24" s="1"/>
  <c r="AC236" i="24" s="1"/>
  <c r="P252" i="25"/>
  <c r="O252" i="25"/>
  <c r="P63" i="25"/>
  <c r="O63" i="25"/>
  <c r="O270" i="24"/>
  <c r="BZ270" i="24" s="1"/>
  <c r="J270" i="24"/>
  <c r="W270" i="24" s="1"/>
  <c r="P65" i="24"/>
  <c r="Q65" i="24"/>
  <c r="R65" i="24" s="1"/>
  <c r="J69" i="24"/>
  <c r="O69" i="24"/>
  <c r="BZ69" i="24" s="1"/>
  <c r="O65" i="24"/>
  <c r="BZ65" i="24" s="1"/>
  <c r="J65" i="24"/>
  <c r="P146" i="25"/>
  <c r="O146" i="25"/>
  <c r="O112" i="24"/>
  <c r="BZ112" i="24" s="1"/>
  <c r="J112" i="24"/>
  <c r="O154" i="24"/>
  <c r="BZ154" i="24" s="1"/>
  <c r="J154" i="24"/>
  <c r="P73" i="24"/>
  <c r="Q73" i="24"/>
  <c r="R73" i="24" s="1"/>
  <c r="J102" i="24"/>
  <c r="O102" i="24"/>
  <c r="BZ102" i="24" s="1"/>
  <c r="O145" i="25"/>
  <c r="P145" i="25"/>
  <c r="AD110" i="25"/>
  <c r="W110" i="25"/>
  <c r="Z110" i="25" s="1"/>
  <c r="AA110" i="25" s="1"/>
  <c r="AB110" i="25" s="1"/>
  <c r="AI110" i="25" s="1"/>
  <c r="AP60" i="24"/>
  <c r="O239" i="24"/>
  <c r="BZ239" i="24" s="1"/>
  <c r="J239" i="24"/>
  <c r="J80" i="24"/>
  <c r="O80" i="24"/>
  <c r="BZ80" i="24" s="1"/>
  <c r="U227" i="25"/>
  <c r="AE160" i="24"/>
  <c r="AI160" i="24"/>
  <c r="X160" i="24"/>
  <c r="AA160" i="24" s="1"/>
  <c r="AB160" i="24" s="1"/>
  <c r="AC160" i="24" s="1"/>
  <c r="O262" i="24"/>
  <c r="BZ262" i="24" s="1"/>
  <c r="J262" i="24"/>
  <c r="U36" i="25"/>
  <c r="U222" i="24"/>
  <c r="AP73" i="24"/>
  <c r="O277" i="24"/>
  <c r="BZ277" i="24" s="1"/>
  <c r="J277" i="24"/>
  <c r="AO190" i="25"/>
  <c r="J176" i="24"/>
  <c r="O176" i="24"/>
  <c r="BZ176" i="24" s="1"/>
  <c r="P137" i="25"/>
  <c r="O137" i="25"/>
  <c r="O252" i="24"/>
  <c r="BZ252" i="24" s="1"/>
  <c r="J252" i="24"/>
  <c r="R293" i="25"/>
  <c r="S293" i="25"/>
  <c r="K293" i="25" s="1"/>
  <c r="Q293" i="25"/>
  <c r="N210" i="24"/>
  <c r="U210" i="24"/>
  <c r="U244" i="25"/>
  <c r="Q254" i="24"/>
  <c r="P254" i="24"/>
  <c r="V172" i="24"/>
  <c r="O139" i="24"/>
  <c r="BZ139" i="24" s="1"/>
  <c r="J139" i="24"/>
  <c r="U244" i="24"/>
  <c r="J53" i="24"/>
  <c r="W53" i="24" s="1"/>
  <c r="O53" i="24"/>
  <c r="BZ53" i="24" s="1"/>
  <c r="U256" i="25"/>
  <c r="U24" i="25"/>
  <c r="O156" i="24"/>
  <c r="BZ156" i="24" s="1"/>
  <c r="J156" i="24"/>
  <c r="S296" i="25"/>
  <c r="K296" i="25" s="1"/>
  <c r="R296" i="25"/>
  <c r="Q296" i="25"/>
  <c r="O40" i="24"/>
  <c r="BZ40" i="24" s="1"/>
  <c r="J40" i="24"/>
  <c r="W40" i="24" s="1"/>
  <c r="AP92" i="24"/>
  <c r="O99" i="24"/>
  <c r="BZ99" i="24" s="1"/>
  <c r="J99" i="24"/>
  <c r="P157" i="25"/>
  <c r="O157" i="25"/>
  <c r="O122" i="24"/>
  <c r="BZ122" i="24" s="1"/>
  <c r="J122" i="24"/>
  <c r="P159" i="25"/>
  <c r="O159" i="25"/>
  <c r="T159" i="25"/>
  <c r="Q91" i="24"/>
  <c r="R91" i="24" s="1"/>
  <c r="P91" i="24"/>
  <c r="J201" i="24"/>
  <c r="O201" i="24"/>
  <c r="BZ201" i="24" s="1"/>
  <c r="O244" i="24"/>
  <c r="BZ244" i="24" s="1"/>
  <c r="J244" i="24"/>
  <c r="O23" i="24"/>
  <c r="BZ23" i="24" s="1"/>
  <c r="J23" i="24"/>
  <c r="P36" i="25"/>
  <c r="O36" i="25"/>
  <c r="J178" i="24"/>
  <c r="O178" i="24"/>
  <c r="BZ178" i="24" s="1"/>
  <c r="O136" i="24"/>
  <c r="BZ136" i="24" s="1"/>
  <c r="J136" i="24"/>
  <c r="J43" i="24"/>
  <c r="W43" i="24" s="1"/>
  <c r="O43" i="24"/>
  <c r="BZ43" i="24" s="1"/>
  <c r="O6" i="24"/>
  <c r="BZ6" i="24" s="1"/>
  <c r="J6" i="24"/>
  <c r="Q273" i="24"/>
  <c r="P273" i="24"/>
  <c r="J138" i="24"/>
  <c r="O138" i="24"/>
  <c r="BZ138" i="24" s="1"/>
  <c r="U21" i="25"/>
  <c r="P287" i="24"/>
  <c r="Q287" i="24"/>
  <c r="P101" i="24"/>
  <c r="Q101" i="24"/>
  <c r="R101" i="24" s="1"/>
  <c r="T226" i="25"/>
  <c r="U69" i="24"/>
  <c r="U51" i="24"/>
  <c r="Q202" i="24"/>
  <c r="P202" i="24"/>
  <c r="U273" i="25"/>
  <c r="P120" i="24"/>
  <c r="Q120" i="24"/>
  <c r="U65" i="24"/>
  <c r="V218" i="24"/>
  <c r="U173" i="25"/>
  <c r="P81" i="25"/>
  <c r="O81" i="25"/>
  <c r="T81" i="25"/>
  <c r="Q82" i="24"/>
  <c r="R82" i="24" s="1"/>
  <c r="P82" i="24"/>
  <c r="T202" i="25"/>
  <c r="Q250" i="24"/>
  <c r="P250" i="24"/>
  <c r="V248" i="24"/>
  <c r="S32" i="25"/>
  <c r="K32" i="25" s="1"/>
  <c r="V32" i="25" s="1"/>
  <c r="R32" i="25"/>
  <c r="Q32" i="25"/>
  <c r="U238" i="25"/>
  <c r="U206" i="25"/>
  <c r="U177" i="24"/>
  <c r="P67" i="24"/>
  <c r="Q67" i="24"/>
  <c r="R67" i="24" s="1"/>
  <c r="Q116" i="24"/>
  <c r="P116" i="24"/>
  <c r="O281" i="24"/>
  <c r="BZ281" i="24" s="1"/>
  <c r="J281" i="24"/>
  <c r="V90" i="24"/>
  <c r="O245" i="25"/>
  <c r="P245" i="25"/>
  <c r="Q33" i="24"/>
  <c r="R33" i="24" s="1"/>
  <c r="P33" i="24"/>
  <c r="U36" i="24"/>
  <c r="P181" i="25"/>
  <c r="O181" i="25"/>
  <c r="U250" i="25"/>
  <c r="O174" i="24"/>
  <c r="BZ174" i="24" s="1"/>
  <c r="J174" i="24"/>
  <c r="V52" i="24"/>
  <c r="P216" i="25"/>
  <c r="O216" i="25"/>
  <c r="T216" i="25"/>
  <c r="O10" i="24"/>
  <c r="BZ10" i="24" s="1"/>
  <c r="J10" i="24"/>
  <c r="W10" i="24" s="1"/>
  <c r="J57" i="24"/>
  <c r="O57" i="24"/>
  <c r="BZ57" i="24" s="1"/>
  <c r="J226" i="24"/>
  <c r="W226" i="24" s="1"/>
  <c r="O226" i="24"/>
  <c r="BZ226" i="24" s="1"/>
  <c r="N309" i="24"/>
  <c r="U309" i="24"/>
  <c r="U176" i="25"/>
  <c r="J280" i="24"/>
  <c r="O280" i="24"/>
  <c r="BZ280" i="24" s="1"/>
  <c r="P266" i="25"/>
  <c r="O266" i="25"/>
  <c r="P55" i="25"/>
  <c r="O55" i="25"/>
  <c r="P102" i="25"/>
  <c r="O102" i="25"/>
  <c r="AE294" i="24"/>
  <c r="X294" i="24"/>
  <c r="AA294" i="24" s="1"/>
  <c r="AB294" i="24" s="1"/>
  <c r="AC294" i="24" s="1"/>
  <c r="AI294" i="24"/>
  <c r="N316" i="24"/>
  <c r="U316" i="24"/>
  <c r="AP242" i="24"/>
  <c r="P171" i="24"/>
  <c r="Q171" i="24"/>
  <c r="P165" i="25"/>
  <c r="O165" i="25"/>
  <c r="T165" i="25"/>
  <c r="P221" i="24"/>
  <c r="Q221" i="24"/>
  <c r="J95" i="24"/>
  <c r="O95" i="24"/>
  <c r="BZ95" i="24" s="1"/>
  <c r="R62" i="25"/>
  <c r="S62" i="25"/>
  <c r="K62" i="25" s="1"/>
  <c r="V62" i="25" s="1"/>
  <c r="Q62" i="25"/>
  <c r="O311" i="24"/>
  <c r="BZ311" i="24" s="1"/>
  <c r="J311" i="24"/>
  <c r="J151" i="24"/>
  <c r="O151" i="24"/>
  <c r="BZ151" i="24" s="1"/>
  <c r="V188" i="24"/>
  <c r="J285" i="24"/>
  <c r="O285" i="24"/>
  <c r="BZ285" i="24" s="1"/>
  <c r="O195" i="24"/>
  <c r="BZ195" i="24" s="1"/>
  <c r="J195" i="24"/>
  <c r="P25" i="25"/>
  <c r="O25" i="25"/>
  <c r="T25" i="25"/>
  <c r="Q144" i="24"/>
  <c r="P144" i="24"/>
  <c r="Q155" i="24"/>
  <c r="P155" i="24"/>
  <c r="O205" i="25"/>
  <c r="P205" i="25"/>
  <c r="T205" i="25"/>
  <c r="U184" i="25"/>
  <c r="J299" i="24"/>
  <c r="O299" i="24"/>
  <c r="BZ299" i="24" s="1"/>
  <c r="AE132" i="24"/>
  <c r="X132" i="24"/>
  <c r="AA132" i="24" s="1"/>
  <c r="AB132" i="24" s="1"/>
  <c r="AC132" i="24" s="1"/>
  <c r="AI132" i="24"/>
  <c r="J193" i="24"/>
  <c r="O193" i="24"/>
  <c r="BZ193" i="24" s="1"/>
  <c r="U65" i="25"/>
  <c r="W294" i="24"/>
  <c r="Y294" i="24" s="1"/>
  <c r="P130" i="25"/>
  <c r="O130" i="25"/>
  <c r="P197" i="25"/>
  <c r="O197" i="25"/>
  <c r="T197" i="25"/>
  <c r="O145" i="24"/>
  <c r="BZ145" i="24" s="1"/>
  <c r="J145" i="24"/>
  <c r="P196" i="24"/>
  <c r="Q196" i="24"/>
  <c r="V270" i="24"/>
  <c r="AE233" i="24"/>
  <c r="X233" i="24"/>
  <c r="AA233" i="24" s="1"/>
  <c r="AB233" i="24" s="1"/>
  <c r="AC233" i="24" s="1"/>
  <c r="AI233" i="24"/>
  <c r="AO255" i="25"/>
  <c r="U146" i="25"/>
  <c r="AP311" i="24"/>
  <c r="J308" i="24"/>
  <c r="O308" i="24"/>
  <c r="BZ308" i="24" s="1"/>
  <c r="J84" i="24"/>
  <c r="O84" i="24"/>
  <c r="BZ84" i="24" s="1"/>
  <c r="AE292" i="24"/>
  <c r="X292" i="24"/>
  <c r="AA292" i="24" s="1"/>
  <c r="AB292" i="24" s="1"/>
  <c r="AC292" i="24" s="1"/>
  <c r="AI292" i="24"/>
  <c r="O188" i="24"/>
  <c r="BZ188" i="24" s="1"/>
  <c r="J188" i="24"/>
  <c r="N282" i="24"/>
  <c r="U282" i="24"/>
  <c r="J38" i="24"/>
  <c r="O38" i="24"/>
  <c r="BZ38" i="24" s="1"/>
  <c r="P176" i="25"/>
  <c r="O176" i="25"/>
  <c r="J20" i="24"/>
  <c r="O20" i="24"/>
  <c r="BZ20" i="24" s="1"/>
  <c r="J267" i="24"/>
  <c r="O267" i="24"/>
  <c r="BZ267" i="24" s="1"/>
  <c r="Q49" i="24"/>
  <c r="R49" i="24" s="1"/>
  <c r="P49" i="24"/>
  <c r="P284" i="25"/>
  <c r="O284" i="25"/>
  <c r="J127" i="24"/>
  <c r="O127" i="24"/>
  <c r="BZ127" i="24" s="1"/>
  <c r="J235" i="24"/>
  <c r="O235" i="24"/>
  <c r="BZ235" i="24" s="1"/>
  <c r="J115" i="24"/>
  <c r="O115" i="24"/>
  <c r="BZ115" i="24" s="1"/>
  <c r="J13" i="24"/>
  <c r="O13" i="24"/>
  <c r="BZ13" i="24" s="1"/>
  <c r="V182" i="24"/>
  <c r="J73" i="24"/>
  <c r="O73" i="24"/>
  <c r="BZ73" i="24" s="1"/>
  <c r="Q192" i="24"/>
  <c r="P192" i="24"/>
  <c r="P223" i="25"/>
  <c r="O223" i="25"/>
  <c r="T223" i="25"/>
  <c r="P39" i="25"/>
  <c r="O39" i="25"/>
  <c r="T39" i="25"/>
  <c r="P67" i="25"/>
  <c r="O67" i="25"/>
  <c r="T67" i="25"/>
  <c r="AE21" i="24"/>
  <c r="AI21" i="24"/>
  <c r="X21" i="24"/>
  <c r="AA21" i="24" s="1"/>
  <c r="AB21" i="24" s="1"/>
  <c r="AC21" i="24" s="1"/>
  <c r="O315" i="24"/>
  <c r="BZ315" i="24" s="1"/>
  <c r="J315" i="24"/>
  <c r="Q28" i="24"/>
  <c r="R28" i="24" s="1"/>
  <c r="P28" i="24"/>
  <c r="P274" i="25"/>
  <c r="O274" i="25"/>
  <c r="T274" i="25"/>
  <c r="O217" i="24"/>
  <c r="BZ217" i="24" s="1"/>
  <c r="J217" i="24"/>
  <c r="P230" i="25"/>
  <c r="O230" i="25"/>
  <c r="T230" i="25"/>
  <c r="T47" i="25"/>
  <c r="U235" i="25"/>
  <c r="J263" i="24"/>
  <c r="O263" i="24"/>
  <c r="BZ263" i="24" s="1"/>
  <c r="N232" i="24"/>
  <c r="U232" i="24"/>
  <c r="N195" i="24"/>
  <c r="U195" i="24"/>
  <c r="AO177" i="25"/>
  <c r="J272" i="24"/>
  <c r="W272" i="24" s="1"/>
  <c r="O272" i="24"/>
  <c r="BZ272" i="24" s="1"/>
  <c r="U136" i="25"/>
  <c r="U275" i="25"/>
  <c r="J17" i="24"/>
  <c r="O17" i="24"/>
  <c r="BZ17" i="24" s="1"/>
  <c r="P294" i="25"/>
  <c r="O294" i="25"/>
  <c r="P27" i="25"/>
  <c r="O27" i="25"/>
  <c r="T27" i="25"/>
  <c r="P278" i="24"/>
  <c r="Q278" i="24"/>
  <c r="P308" i="25"/>
  <c r="O308" i="25"/>
  <c r="O301" i="24"/>
  <c r="BZ301" i="24" s="1"/>
  <c r="J301" i="24"/>
  <c r="P11" i="24"/>
  <c r="Q11" i="24"/>
  <c r="R11" i="24" s="1"/>
  <c r="AE119" i="24"/>
  <c r="X119" i="24"/>
  <c r="AA119" i="24" s="1"/>
  <c r="AB119" i="24" s="1"/>
  <c r="AC119" i="24" s="1"/>
  <c r="AI119" i="24"/>
  <c r="U30" i="25"/>
  <c r="J302" i="24"/>
  <c r="O302" i="24"/>
  <c r="BZ302" i="24" s="1"/>
  <c r="J68" i="24"/>
  <c r="W68" i="24" s="1"/>
  <c r="O68" i="24"/>
  <c r="BZ68" i="24" s="1"/>
  <c r="J114" i="24"/>
  <c r="O114" i="24"/>
  <c r="BZ114" i="24" s="1"/>
  <c r="N85" i="24"/>
  <c r="U85" i="24"/>
  <c r="P136" i="25"/>
  <c r="O136" i="25"/>
  <c r="P24" i="25"/>
  <c r="O24" i="25"/>
  <c r="P91" i="25"/>
  <c r="O91" i="25"/>
  <c r="O35" i="24"/>
  <c r="BZ35" i="24" s="1"/>
  <c r="J35" i="24"/>
  <c r="P290" i="25"/>
  <c r="O290" i="25"/>
  <c r="O222" i="24"/>
  <c r="BZ222" i="24" s="1"/>
  <c r="J222" i="24"/>
  <c r="R30" i="25"/>
  <c r="S30" i="25"/>
  <c r="K30" i="25" s="1"/>
  <c r="V30" i="25" s="1"/>
  <c r="Q30" i="25"/>
  <c r="U261" i="25"/>
  <c r="V234" i="24"/>
  <c r="Q36" i="24"/>
  <c r="R36" i="24" s="1"/>
  <c r="P36" i="24"/>
  <c r="S21" i="25"/>
  <c r="K21" i="25" s="1"/>
  <c r="V21" i="25" s="1"/>
  <c r="R21" i="25"/>
  <c r="Q21" i="25"/>
  <c r="V306" i="24"/>
  <c r="V226" i="24"/>
  <c r="Q243" i="24"/>
  <c r="P243" i="24"/>
  <c r="O296" i="24"/>
  <c r="BZ296" i="24" s="1"/>
  <c r="J296" i="24"/>
  <c r="U31" i="24"/>
  <c r="U304" i="24"/>
  <c r="U185" i="24"/>
  <c r="T266" i="25"/>
  <c r="U178" i="25"/>
  <c r="U167" i="25"/>
  <c r="V14" i="24"/>
  <c r="Q50" i="24"/>
  <c r="R50" i="24" s="1"/>
  <c r="P50" i="24"/>
  <c r="J202" i="24"/>
  <c r="O202" i="24"/>
  <c r="BZ202" i="24" s="1"/>
  <c r="U143" i="24"/>
  <c r="Q274" i="24"/>
  <c r="P274" i="24"/>
  <c r="Q70" i="24"/>
  <c r="R70" i="24" s="1"/>
  <c r="P70" i="24"/>
  <c r="S273" i="25"/>
  <c r="K273" i="25" s="1"/>
  <c r="V273" i="25" s="1"/>
  <c r="R273" i="25"/>
  <c r="Q273" i="25"/>
  <c r="Q218" i="24"/>
  <c r="P218" i="24"/>
  <c r="S173" i="25"/>
  <c r="K173" i="25" s="1"/>
  <c r="V173" i="25" s="1"/>
  <c r="R173" i="25"/>
  <c r="Q173" i="25"/>
  <c r="V200" i="24"/>
  <c r="U71" i="25"/>
  <c r="U168" i="25"/>
  <c r="J82" i="24"/>
  <c r="O82" i="24"/>
  <c r="BZ82" i="24" s="1"/>
  <c r="T70" i="25"/>
  <c r="P56" i="24"/>
  <c r="Q56" i="24"/>
  <c r="R56" i="24" s="1"/>
  <c r="P248" i="24"/>
  <c r="Q248" i="24"/>
  <c r="S238" i="25"/>
  <c r="K238" i="25" s="1"/>
  <c r="V238" i="25" s="1"/>
  <c r="R238" i="25"/>
  <c r="Q238" i="25"/>
  <c r="R206" i="25"/>
  <c r="S206" i="25"/>
  <c r="K206" i="25" s="1"/>
  <c r="Q206" i="25"/>
  <c r="W132" i="24"/>
  <c r="Y132" i="24" s="1"/>
  <c r="U259" i="25"/>
  <c r="U104" i="24"/>
  <c r="U176" i="24"/>
  <c r="U261" i="24"/>
  <c r="J37" i="24"/>
  <c r="O37" i="24"/>
  <c r="BZ37" i="24" s="1"/>
  <c r="Q90" i="24"/>
  <c r="R90" i="24" s="1"/>
  <c r="P90" i="24"/>
  <c r="U113" i="25"/>
  <c r="R147" i="25"/>
  <c r="S147" i="25"/>
  <c r="K147" i="25" s="1"/>
  <c r="V147" i="25" s="1"/>
  <c r="Q147" i="25"/>
  <c r="U241" i="24"/>
  <c r="V18" i="24"/>
  <c r="U33" i="24"/>
  <c r="P134" i="25"/>
  <c r="O134" i="25"/>
  <c r="P298" i="25"/>
  <c r="O298" i="25"/>
  <c r="V25" i="24"/>
  <c r="U172" i="25"/>
  <c r="J313" i="24"/>
  <c r="W313" i="24" s="1"/>
  <c r="O313" i="24"/>
  <c r="BZ313" i="24" s="1"/>
  <c r="U49" i="25"/>
  <c r="U127" i="25"/>
  <c r="U62" i="25"/>
  <c r="J310" i="24"/>
  <c r="W310" i="24" s="1"/>
  <c r="O310" i="24"/>
  <c r="BZ310" i="24" s="1"/>
  <c r="V271" i="24"/>
  <c r="U290" i="25"/>
  <c r="O309" i="24"/>
  <c r="BZ309" i="24" s="1"/>
  <c r="J309" i="24"/>
  <c r="N126" i="24"/>
  <c r="U126" i="24"/>
  <c r="P208" i="25"/>
  <c r="O208" i="25"/>
  <c r="T208" i="25"/>
  <c r="N228" i="24"/>
  <c r="U228" i="24"/>
  <c r="P281" i="25"/>
  <c r="O281" i="25"/>
  <c r="P249" i="25"/>
  <c r="O249" i="25"/>
  <c r="T249" i="25"/>
  <c r="J316" i="24"/>
  <c r="O316" i="24"/>
  <c r="BZ316" i="24" s="1"/>
  <c r="P46" i="25"/>
  <c r="O46" i="25"/>
  <c r="J312" i="24"/>
  <c r="W312" i="24" s="1"/>
  <c r="O312" i="24"/>
  <c r="BZ312" i="24" s="1"/>
  <c r="Q20" i="24"/>
  <c r="R20" i="24" s="1"/>
  <c r="P20" i="24"/>
  <c r="O305" i="24"/>
  <c r="BZ305" i="24" s="1"/>
  <c r="J305" i="24"/>
  <c r="O287" i="24"/>
  <c r="BZ287" i="24" s="1"/>
  <c r="J287" i="24"/>
  <c r="J104" i="24"/>
  <c r="O104" i="24"/>
  <c r="BZ104" i="24" s="1"/>
  <c r="P99" i="25"/>
  <c r="O99" i="25"/>
  <c r="J304" i="24"/>
  <c r="O304" i="24"/>
  <c r="BZ304" i="24" s="1"/>
  <c r="O147" i="24"/>
  <c r="BZ147" i="24" s="1"/>
  <c r="J147" i="24"/>
  <c r="W147" i="24" s="1"/>
  <c r="U137" i="25"/>
  <c r="J24" i="24"/>
  <c r="W24" i="24" s="1"/>
  <c r="O24" i="24"/>
  <c r="BZ24" i="24" s="1"/>
  <c r="P49" i="25"/>
  <c r="O49" i="25"/>
  <c r="P33" i="25"/>
  <c r="O33" i="25"/>
  <c r="P175" i="25"/>
  <c r="O175" i="25"/>
  <c r="U252" i="25"/>
  <c r="N59" i="24"/>
  <c r="U59" i="24"/>
  <c r="U64" i="25"/>
  <c r="N148" i="24"/>
  <c r="U148" i="24"/>
  <c r="O173" i="24"/>
  <c r="BZ173" i="24" s="1"/>
  <c r="J173" i="24"/>
  <c r="O149" i="24"/>
  <c r="BZ149" i="24" s="1"/>
  <c r="J149" i="24"/>
  <c r="P224" i="25"/>
  <c r="O224" i="25"/>
  <c r="T224" i="25"/>
  <c r="U69" i="25"/>
  <c r="O271" i="24"/>
  <c r="BZ271" i="24" s="1"/>
  <c r="J271" i="24"/>
  <c r="W271" i="24" s="1"/>
  <c r="AD129" i="25"/>
  <c r="W129" i="25"/>
  <c r="Z129" i="25" s="1"/>
  <c r="AA129" i="25" s="1"/>
  <c r="AB129" i="25" s="1"/>
  <c r="AI129" i="25" s="1"/>
  <c r="T281" i="25"/>
  <c r="V76" i="24"/>
  <c r="U145" i="25"/>
  <c r="N203" i="24"/>
  <c r="U203" i="24"/>
  <c r="P307" i="25"/>
  <c r="O307" i="25"/>
  <c r="T307" i="25"/>
  <c r="J29" i="24"/>
  <c r="O29" i="24"/>
  <c r="BZ29" i="24" s="1"/>
  <c r="N249" i="24"/>
  <c r="U249" i="24"/>
  <c r="P41" i="25"/>
  <c r="O41" i="25"/>
  <c r="T41" i="25"/>
  <c r="P123" i="25"/>
  <c r="O123" i="25"/>
  <c r="T123" i="25"/>
  <c r="U300" i="24"/>
  <c r="U147" i="25"/>
  <c r="O153" i="24"/>
  <c r="BZ153" i="24" s="1"/>
  <c r="J153" i="24"/>
  <c r="J282" i="24"/>
  <c r="O282" i="24"/>
  <c r="BZ282" i="24" s="1"/>
  <c r="J146" i="24"/>
  <c r="O146" i="24"/>
  <c r="BZ146" i="24" s="1"/>
  <c r="O255" i="24"/>
  <c r="BZ255" i="24" s="1"/>
  <c r="J255" i="24"/>
  <c r="Q23" i="24"/>
  <c r="R23" i="24" s="1"/>
  <c r="P23" i="24"/>
  <c r="N184" i="24"/>
  <c r="U184" i="24"/>
  <c r="V30" i="24"/>
  <c r="P295" i="24"/>
  <c r="Q295" i="24"/>
  <c r="O48" i="24"/>
  <c r="BZ48" i="24" s="1"/>
  <c r="J48" i="24"/>
  <c r="W48" i="24" s="1"/>
  <c r="O197" i="24"/>
  <c r="BZ197" i="24" s="1"/>
  <c r="J197" i="24"/>
  <c r="P175" i="24"/>
  <c r="Q175" i="24"/>
  <c r="AE162" i="24"/>
  <c r="X162" i="24"/>
  <c r="AA162" i="24" s="1"/>
  <c r="AB162" i="24" s="1"/>
  <c r="AC162" i="24" s="1"/>
  <c r="AI162" i="24"/>
  <c r="P98" i="24"/>
  <c r="Q98" i="24"/>
  <c r="R98" i="24" s="1"/>
  <c r="T175" i="25"/>
  <c r="N194" i="24"/>
  <c r="U194" i="24"/>
  <c r="AP20" i="24"/>
  <c r="N315" i="24"/>
  <c r="U315" i="24"/>
  <c r="P251" i="25"/>
  <c r="O251" i="25"/>
  <c r="T251" i="25"/>
  <c r="U316" i="25"/>
  <c r="N247" i="24"/>
  <c r="U247" i="24"/>
  <c r="U17" i="24"/>
  <c r="J86" i="24"/>
  <c r="W86" i="24" s="1"/>
  <c r="O86" i="24"/>
  <c r="BZ86" i="24" s="1"/>
  <c r="O161" i="24"/>
  <c r="BZ161" i="24" s="1"/>
  <c r="J161" i="24"/>
  <c r="P209" i="25"/>
  <c r="O209" i="25"/>
  <c r="T209" i="25"/>
  <c r="U133" i="25"/>
  <c r="U301" i="24"/>
  <c r="P277" i="25"/>
  <c r="O277" i="25"/>
  <c r="T277" i="25"/>
  <c r="T289" i="25"/>
  <c r="N187" i="24"/>
  <c r="U187" i="24"/>
  <c r="P219" i="25"/>
  <c r="O219" i="25"/>
  <c r="T219" i="25"/>
  <c r="Q253" i="24"/>
  <c r="P253" i="24"/>
  <c r="J232" i="24"/>
  <c r="O232" i="24"/>
  <c r="BZ232" i="24" s="1"/>
  <c r="U120" i="25"/>
  <c r="U256" i="24"/>
  <c r="P245" i="24"/>
  <c r="Q245" i="24"/>
  <c r="O72" i="24"/>
  <c r="BZ72" i="24" s="1"/>
  <c r="J72" i="24"/>
  <c r="W72" i="24" s="1"/>
  <c r="P56" i="25"/>
  <c r="O56" i="25"/>
  <c r="T56" i="25"/>
  <c r="Q189" i="24"/>
  <c r="P189" i="24"/>
  <c r="P60" i="25"/>
  <c r="O60" i="25"/>
  <c r="U151" i="24"/>
  <c r="J128" i="24"/>
  <c r="O128" i="24"/>
  <c r="BZ128" i="24" s="1"/>
  <c r="O278" i="24"/>
  <c r="BZ278" i="24" s="1"/>
  <c r="J278" i="24"/>
  <c r="U293" i="24"/>
  <c r="U91" i="25"/>
  <c r="V44" i="24"/>
  <c r="W44" i="24"/>
  <c r="N117" i="24"/>
  <c r="U117" i="24"/>
  <c r="J314" i="24"/>
  <c r="O314" i="24"/>
  <c r="BZ314" i="24" s="1"/>
  <c r="J307" i="24"/>
  <c r="W307" i="24" s="1"/>
  <c r="O307" i="24"/>
  <c r="BZ307" i="24" s="1"/>
  <c r="P305" i="24"/>
  <c r="Q305" i="24"/>
  <c r="J91" i="24"/>
  <c r="O91" i="24"/>
  <c r="BZ91" i="24" s="1"/>
  <c r="P17" i="25"/>
  <c r="O17" i="25"/>
  <c r="AP196" i="24"/>
  <c r="J171" i="24"/>
  <c r="O171" i="24"/>
  <c r="BZ171" i="24" s="1"/>
  <c r="P119" i="25"/>
  <c r="O119" i="25"/>
  <c r="P50" i="25"/>
  <c r="O50" i="25"/>
  <c r="J98" i="24"/>
  <c r="O98" i="24"/>
  <c r="BZ98" i="24" s="1"/>
  <c r="J81" i="24"/>
  <c r="O81" i="24"/>
  <c r="BZ81" i="24" s="1"/>
  <c r="J245" i="24"/>
  <c r="O245" i="24"/>
  <c r="BZ245" i="24" s="1"/>
  <c r="Q12" i="24"/>
  <c r="R12" i="24" s="1"/>
  <c r="P12" i="24"/>
  <c r="S261" i="25"/>
  <c r="K261" i="25" s="1"/>
  <c r="R261" i="25"/>
  <c r="Q261" i="25"/>
  <c r="U229" i="25"/>
  <c r="P234" i="24"/>
  <c r="Q234" i="24"/>
  <c r="J273" i="24"/>
  <c r="O273" i="24"/>
  <c r="BZ273" i="24" s="1"/>
  <c r="P193" i="25"/>
  <c r="O193" i="25"/>
  <c r="O152" i="25"/>
  <c r="P152" i="25"/>
  <c r="P306" i="24"/>
  <c r="Q306" i="24"/>
  <c r="P226" i="24"/>
  <c r="Q226" i="24"/>
  <c r="U102" i="24"/>
  <c r="P296" i="24"/>
  <c r="Q296" i="24"/>
  <c r="T53" i="25"/>
  <c r="P132" i="25"/>
  <c r="O132" i="25"/>
  <c r="P265" i="24"/>
  <c r="Q265" i="24"/>
  <c r="R257" i="25"/>
  <c r="S257" i="25"/>
  <c r="K257" i="25" s="1"/>
  <c r="Q257" i="25"/>
  <c r="Q185" i="24"/>
  <c r="P185" i="24"/>
  <c r="U114" i="25"/>
  <c r="S178" i="25"/>
  <c r="K178" i="25" s="1"/>
  <c r="V178" i="25" s="1"/>
  <c r="R178" i="25"/>
  <c r="Q178" i="25"/>
  <c r="S167" i="25"/>
  <c r="K167" i="25" s="1"/>
  <c r="R167" i="25"/>
  <c r="Q167" i="25"/>
  <c r="J274" i="24"/>
  <c r="O274" i="24"/>
  <c r="BZ274" i="24" s="1"/>
  <c r="N298" i="24"/>
  <c r="U298" i="24"/>
  <c r="J70" i="24"/>
  <c r="O70" i="24"/>
  <c r="BZ70" i="24" s="1"/>
  <c r="P152" i="24"/>
  <c r="Q152" i="24"/>
  <c r="V227" i="24"/>
  <c r="P200" i="24"/>
  <c r="Q200" i="24"/>
  <c r="P195" i="25"/>
  <c r="O195" i="25"/>
  <c r="P8" i="25"/>
  <c r="O8" i="25"/>
  <c r="U170" i="24"/>
  <c r="J250" i="24"/>
  <c r="O250" i="24"/>
  <c r="BZ250" i="24" s="1"/>
  <c r="O56" i="24"/>
  <c r="BZ56" i="24" s="1"/>
  <c r="J56" i="24"/>
  <c r="T63" i="25"/>
  <c r="U201" i="25"/>
  <c r="U292" i="25"/>
  <c r="S246" i="25"/>
  <c r="K246" i="25" s="1"/>
  <c r="R246" i="25"/>
  <c r="Q246" i="25"/>
  <c r="J67" i="24"/>
  <c r="O67" i="24"/>
  <c r="BZ67" i="24" s="1"/>
  <c r="R259" i="25"/>
  <c r="S259" i="25"/>
  <c r="K259" i="25" s="1"/>
  <c r="Q259" i="25"/>
  <c r="U92" i="25"/>
  <c r="Q224" i="24"/>
  <c r="P224" i="24"/>
  <c r="V83" i="24"/>
  <c r="P151" i="25"/>
  <c r="O151" i="25"/>
  <c r="O283" i="24"/>
  <c r="BZ283" i="24" s="1"/>
  <c r="J283" i="24"/>
  <c r="R267" i="25"/>
  <c r="S267" i="25"/>
  <c r="K267" i="25" s="1"/>
  <c r="V267" i="25" s="1"/>
  <c r="Q267" i="25"/>
  <c r="R113" i="25"/>
  <c r="S113" i="25"/>
  <c r="K113" i="25" s="1"/>
  <c r="V113" i="25" s="1"/>
  <c r="Q113" i="25"/>
  <c r="AP302" i="24"/>
  <c r="O162" i="25"/>
  <c r="P162" i="25"/>
  <c r="O33" i="24"/>
  <c r="BZ33" i="24" s="1"/>
  <c r="J33" i="24"/>
  <c r="Q197" i="24"/>
  <c r="P197" i="24"/>
  <c r="P304" i="25"/>
  <c r="O304" i="25"/>
  <c r="T304" i="25"/>
  <c r="P151" i="24"/>
  <c r="Q151" i="24"/>
  <c r="P74" i="25"/>
  <c r="O74" i="25"/>
  <c r="T74" i="25"/>
  <c r="P103" i="25"/>
  <c r="O103" i="25"/>
  <c r="U285" i="25"/>
  <c r="U126" i="25"/>
  <c r="R255" i="25"/>
  <c r="S255" i="25"/>
  <c r="K255" i="25" s="1"/>
  <c r="Q255" i="25"/>
  <c r="P7" i="25"/>
  <c r="O7" i="25"/>
  <c r="J221" i="24"/>
  <c r="O221" i="24"/>
  <c r="BZ221" i="24" s="1"/>
  <c r="V68" i="24"/>
  <c r="V129" i="24"/>
  <c r="J129" i="24"/>
  <c r="O129" i="24"/>
  <c r="BZ129" i="24" s="1"/>
  <c r="P291" i="24"/>
  <c r="Q291" i="24"/>
  <c r="P118" i="25"/>
  <c r="O118" i="25"/>
  <c r="P172" i="25"/>
  <c r="O172" i="25"/>
  <c r="U291" i="25"/>
  <c r="J289" i="24"/>
  <c r="O289" i="24"/>
  <c r="BZ289" i="24" s="1"/>
  <c r="P250" i="25"/>
  <c r="O250" i="25"/>
  <c r="J155" i="24"/>
  <c r="O155" i="24"/>
  <c r="BZ155" i="24" s="1"/>
  <c r="U54" i="25"/>
  <c r="U155" i="25"/>
  <c r="J240" i="24"/>
  <c r="O240" i="24"/>
  <c r="BZ240" i="24" s="1"/>
  <c r="Q31" i="24"/>
  <c r="R31" i="24" s="1"/>
  <c r="P31" i="24"/>
  <c r="P126" i="25"/>
  <c r="O126" i="25"/>
  <c r="U153" i="25"/>
  <c r="V237" i="24"/>
  <c r="T181" i="25"/>
  <c r="P150" i="25"/>
  <c r="O150" i="25"/>
  <c r="N141" i="24"/>
  <c r="U141" i="24"/>
  <c r="O105" i="25"/>
  <c r="P105" i="25"/>
  <c r="O62" i="24"/>
  <c r="BZ62" i="24" s="1"/>
  <c r="J62" i="24"/>
  <c r="W62" i="24" s="1"/>
  <c r="P166" i="25"/>
  <c r="O166" i="25"/>
  <c r="P233" i="25"/>
  <c r="O233" i="25"/>
  <c r="N140" i="24"/>
  <c r="U140" i="24"/>
  <c r="P284" i="24"/>
  <c r="Q284" i="24"/>
  <c r="P79" i="25"/>
  <c r="O79" i="25"/>
  <c r="T79" i="25"/>
  <c r="BZ170" i="25"/>
  <c r="P26" i="25"/>
  <c r="O26" i="25"/>
  <c r="T26" i="25"/>
  <c r="U85" i="25"/>
  <c r="P10" i="25"/>
  <c r="O10" i="25"/>
  <c r="T10" i="25"/>
  <c r="V150" i="24"/>
  <c r="Q104" i="24"/>
  <c r="R104" i="24" s="1"/>
  <c r="P104" i="24"/>
  <c r="AP144" i="24"/>
  <c r="J231" i="24"/>
  <c r="W231" i="24" s="1"/>
  <c r="O231" i="24"/>
  <c r="BZ231" i="24" s="1"/>
  <c r="J131" i="24"/>
  <c r="O131" i="24"/>
  <c r="BZ131" i="24" s="1"/>
  <c r="J133" i="24"/>
  <c r="W133" i="24" s="1"/>
  <c r="O133" i="24"/>
  <c r="BZ133" i="24" s="1"/>
  <c r="P88" i="25"/>
  <c r="O88" i="25"/>
  <c r="N89" i="24"/>
  <c r="U89" i="24"/>
  <c r="P207" i="24"/>
  <c r="Q207" i="24"/>
  <c r="Q60" i="24"/>
  <c r="R60" i="24" s="1"/>
  <c r="P60" i="24"/>
  <c r="J242" i="24"/>
  <c r="O242" i="24"/>
  <c r="BZ242" i="24" s="1"/>
  <c r="T234" i="25"/>
  <c r="AP17" i="24"/>
  <c r="J199" i="24"/>
  <c r="W199" i="24" s="1"/>
  <c r="O199" i="24"/>
  <c r="BZ199" i="24" s="1"/>
  <c r="J175" i="24"/>
  <c r="O175" i="24"/>
  <c r="BZ175" i="24" s="1"/>
  <c r="S177" i="25"/>
  <c r="K177" i="25" s="1"/>
  <c r="R177" i="25"/>
  <c r="Q177" i="25"/>
  <c r="S190" i="25"/>
  <c r="K190" i="25" s="1"/>
  <c r="R190" i="25"/>
  <c r="Q190" i="25"/>
  <c r="O34" i="24"/>
  <c r="BZ34" i="24" s="1"/>
  <c r="J34" i="24"/>
  <c r="J76" i="24"/>
  <c r="O76" i="24"/>
  <c r="BZ76" i="24" s="1"/>
  <c r="O236" i="25"/>
  <c r="P236" i="25"/>
  <c r="O192" i="24"/>
  <c r="BZ192" i="24" s="1"/>
  <c r="J192" i="24"/>
  <c r="P301" i="24"/>
  <c r="Q301" i="24"/>
  <c r="P142" i="25"/>
  <c r="O142" i="25"/>
  <c r="T142" i="25"/>
  <c r="O139" i="25"/>
  <c r="P139" i="25"/>
  <c r="T139" i="25"/>
  <c r="U111" i="25"/>
  <c r="U204" i="25"/>
  <c r="U305" i="25"/>
  <c r="U294" i="25"/>
  <c r="AP136" i="24"/>
  <c r="U45" i="25"/>
  <c r="T66" i="25"/>
  <c r="P159" i="24"/>
  <c r="Q159" i="24"/>
  <c r="J225" i="24"/>
  <c r="O225" i="24"/>
  <c r="BZ225" i="24" s="1"/>
  <c r="BZ190" i="25"/>
  <c r="V307" i="24"/>
  <c r="P163" i="25"/>
  <c r="O163" i="25"/>
  <c r="Q75" i="24"/>
  <c r="R75" i="24" s="1"/>
  <c r="P75" i="24"/>
  <c r="P124" i="25"/>
  <c r="O124" i="25"/>
  <c r="P217" i="25"/>
  <c r="O217" i="25"/>
  <c r="T217" i="25"/>
  <c r="O189" i="24"/>
  <c r="BZ189" i="24" s="1"/>
  <c r="J189" i="24"/>
  <c r="P18" i="25"/>
  <c r="O18" i="25"/>
  <c r="T18" i="25"/>
  <c r="P169" i="24"/>
  <c r="Q169" i="24"/>
  <c r="U135" i="24"/>
  <c r="V110" i="25"/>
  <c r="X110" i="25" s="1"/>
  <c r="AE257" i="24"/>
  <c r="X257" i="24"/>
  <c r="AA257" i="24" s="1"/>
  <c r="AB257" i="24" s="1"/>
  <c r="AC257" i="24" s="1"/>
  <c r="AI257" i="24"/>
  <c r="U23" i="24"/>
  <c r="J11" i="24"/>
  <c r="O11" i="24"/>
  <c r="BZ11" i="24" s="1"/>
  <c r="V43" i="24"/>
  <c r="Q314" i="24"/>
  <c r="P314" i="24"/>
  <c r="S6" i="25"/>
  <c r="K6" i="25" s="1"/>
  <c r="R6" i="25"/>
  <c r="Q6" i="25"/>
  <c r="P270" i="25"/>
  <c r="O270" i="25"/>
  <c r="O144" i="25"/>
  <c r="P144" i="25"/>
  <c r="P208" i="24"/>
  <c r="Q208" i="24"/>
  <c r="AP105" i="24"/>
  <c r="P51" i="25"/>
  <c r="O51" i="25"/>
  <c r="J15" i="24"/>
  <c r="O15" i="24"/>
  <c r="BZ15" i="24" s="1"/>
  <c r="Q258" i="24"/>
  <c r="P258" i="24"/>
  <c r="AP51" i="24"/>
  <c r="P269" i="24"/>
  <c r="Q269" i="24"/>
  <c r="J12" i="24"/>
  <c r="O12" i="24"/>
  <c r="BZ12" i="24" s="1"/>
  <c r="R229" i="25"/>
  <c r="S229" i="25"/>
  <c r="K229" i="25" s="1"/>
  <c r="V229" i="25" s="1"/>
  <c r="Q229" i="25"/>
  <c r="V279" i="24"/>
  <c r="V231" i="24"/>
  <c r="AP256" i="24"/>
  <c r="J36" i="24"/>
  <c r="O36" i="24"/>
  <c r="BZ36" i="24" s="1"/>
  <c r="U282" i="25"/>
  <c r="S161" i="25"/>
  <c r="K161" i="25" s="1"/>
  <c r="V161" i="25" s="1"/>
  <c r="R161" i="25"/>
  <c r="Q161" i="25"/>
  <c r="S276" i="25"/>
  <c r="K276" i="25" s="1"/>
  <c r="V276" i="25" s="1"/>
  <c r="R276" i="25"/>
  <c r="Q276" i="25"/>
  <c r="U295" i="24"/>
  <c r="P241" i="25"/>
  <c r="O241" i="25"/>
  <c r="U115" i="24"/>
  <c r="U179" i="24"/>
  <c r="J265" i="24"/>
  <c r="O265" i="24"/>
  <c r="BZ265" i="24" s="1"/>
  <c r="S186" i="25"/>
  <c r="K186" i="25" s="1"/>
  <c r="R186" i="25"/>
  <c r="Q186" i="25"/>
  <c r="S114" i="25"/>
  <c r="K114" i="25" s="1"/>
  <c r="R114" i="25"/>
  <c r="Q114" i="25"/>
  <c r="J50" i="24"/>
  <c r="O50" i="24"/>
  <c r="BZ50" i="24" s="1"/>
  <c r="P143" i="24"/>
  <c r="Q143" i="24"/>
  <c r="J298" i="24"/>
  <c r="O298" i="24"/>
  <c r="BZ298" i="24" s="1"/>
  <c r="U186" i="24"/>
  <c r="P227" i="24"/>
  <c r="Q227" i="24"/>
  <c r="V40" i="24"/>
  <c r="U34" i="24"/>
  <c r="S71" i="25"/>
  <c r="K71" i="25" s="1"/>
  <c r="R71" i="25"/>
  <c r="Q71" i="25"/>
  <c r="P170" i="24"/>
  <c r="Q170" i="24"/>
  <c r="U42" i="25"/>
  <c r="U95" i="25"/>
  <c r="R201" i="25"/>
  <c r="S201" i="25"/>
  <c r="K201" i="25" s="1"/>
  <c r="V201" i="25" s="1"/>
  <c r="Q201" i="25"/>
  <c r="S292" i="25"/>
  <c r="K292" i="25" s="1"/>
  <c r="V292" i="25" s="1"/>
  <c r="R292" i="25"/>
  <c r="Q292" i="25"/>
  <c r="T99" i="25"/>
  <c r="V32" i="24"/>
  <c r="R92" i="25"/>
  <c r="S92" i="25"/>
  <c r="K92" i="25" s="1"/>
  <c r="Q92" i="25"/>
  <c r="Q261" i="24"/>
  <c r="P261" i="24"/>
  <c r="Q83" i="24"/>
  <c r="R83" i="24" s="1"/>
  <c r="P83" i="24"/>
  <c r="U148" i="25"/>
  <c r="R82" i="25"/>
  <c r="S82" i="25"/>
  <c r="K82" i="25" s="1"/>
  <c r="V82" i="25" s="1"/>
  <c r="Q82" i="25"/>
  <c r="U111" i="24"/>
  <c r="U162" i="25"/>
  <c r="U243" i="24"/>
  <c r="P301" i="25"/>
  <c r="O301" i="25"/>
  <c r="T301" i="25"/>
  <c r="Q222" i="24"/>
  <c r="P222" i="24"/>
  <c r="N280" i="24"/>
  <c r="U280" i="24"/>
  <c r="J18" i="24"/>
  <c r="O18" i="24"/>
  <c r="BZ18" i="24" s="1"/>
  <c r="Q154" i="24"/>
  <c r="P154" i="24"/>
  <c r="AE44" i="24"/>
  <c r="X44" i="24"/>
  <c r="AA44" i="24" s="1"/>
  <c r="AB44" i="24" s="1"/>
  <c r="AC44" i="24" s="1"/>
  <c r="AI44" i="24"/>
  <c r="U46" i="25"/>
  <c r="Q9" i="24"/>
  <c r="R9" i="24" s="1"/>
  <c r="P9" i="24"/>
  <c r="P299" i="25"/>
  <c r="O299" i="25"/>
  <c r="T299" i="25"/>
  <c r="O181" i="24"/>
  <c r="BZ181" i="24" s="1"/>
  <c r="J181" i="24"/>
  <c r="W181" i="24" s="1"/>
  <c r="V163" i="24"/>
  <c r="P228" i="25"/>
  <c r="O228" i="25"/>
  <c r="T228" i="25"/>
  <c r="O19" i="25"/>
  <c r="P19" i="25"/>
  <c r="T298" i="25"/>
  <c r="U34" i="25"/>
  <c r="AE41" i="24"/>
  <c r="X41" i="24"/>
  <c r="AA41" i="24" s="1"/>
  <c r="AB41" i="24" s="1"/>
  <c r="AC41" i="24" s="1"/>
  <c r="AI41" i="24"/>
  <c r="P20" i="25"/>
  <c r="O20" i="25"/>
  <c r="P48" i="25"/>
  <c r="O48" i="25"/>
  <c r="O227" i="24"/>
  <c r="BZ227" i="24" s="1"/>
  <c r="J227" i="24"/>
  <c r="W227" i="24" s="1"/>
  <c r="AE191" i="24"/>
  <c r="AI191" i="24"/>
  <c r="X191" i="24"/>
  <c r="AA191" i="24" s="1"/>
  <c r="AB191" i="24" s="1"/>
  <c r="AC191" i="24" s="1"/>
  <c r="V205" i="24"/>
  <c r="Q179" i="24"/>
  <c r="P179" i="24"/>
  <c r="P180" i="25"/>
  <c r="O180" i="25"/>
  <c r="J163" i="24"/>
  <c r="W163" i="24" s="1"/>
  <c r="O163" i="24"/>
  <c r="BZ163" i="24" s="1"/>
  <c r="O291" i="24"/>
  <c r="BZ291" i="24" s="1"/>
  <c r="J291" i="24"/>
  <c r="N93" i="24"/>
  <c r="U93" i="24"/>
  <c r="P313" i="25"/>
  <c r="O313" i="25"/>
  <c r="T313" i="25"/>
  <c r="P303" i="25"/>
  <c r="O303" i="25"/>
  <c r="T303" i="25"/>
  <c r="P84" i="25"/>
  <c r="O84" i="25"/>
  <c r="T84" i="25"/>
  <c r="J148" i="24"/>
  <c r="O148" i="24"/>
  <c r="BZ148" i="24" s="1"/>
  <c r="P312" i="25"/>
  <c r="O312" i="25"/>
  <c r="U233" i="25"/>
  <c r="O120" i="24"/>
  <c r="BZ120" i="24" s="1"/>
  <c r="J120" i="24"/>
  <c r="B67" i="2"/>
  <c r="D67" i="2" s="1"/>
  <c r="O210" i="25"/>
  <c r="P210" i="25"/>
  <c r="T210" i="25"/>
  <c r="P127" i="25"/>
  <c r="O127" i="25"/>
  <c r="J218" i="24"/>
  <c r="O218" i="24"/>
  <c r="BZ218" i="24" s="1"/>
  <c r="O159" i="24"/>
  <c r="BZ159" i="24" s="1"/>
  <c r="J159" i="24"/>
  <c r="U144" i="24"/>
  <c r="O141" i="24"/>
  <c r="BZ141" i="24" s="1"/>
  <c r="J141" i="24"/>
  <c r="J253" i="24"/>
  <c r="O253" i="24"/>
  <c r="BZ253" i="24" s="1"/>
  <c r="O130" i="24"/>
  <c r="BZ130" i="24" s="1"/>
  <c r="J130" i="24"/>
  <c r="W130" i="24" s="1"/>
  <c r="N206" i="24"/>
  <c r="U206" i="24"/>
  <c r="V133" i="24"/>
  <c r="N123" i="24"/>
  <c r="U123" i="24"/>
  <c r="N161" i="24"/>
  <c r="U161" i="24"/>
  <c r="Q124" i="24"/>
  <c r="P124" i="24"/>
  <c r="N255" i="24"/>
  <c r="U255" i="24"/>
  <c r="T118" i="25"/>
  <c r="J249" i="24"/>
  <c r="O249" i="24"/>
  <c r="BZ249" i="24" s="1"/>
  <c r="N42" i="24"/>
  <c r="U42" i="24"/>
  <c r="P271" i="25"/>
  <c r="O271" i="25"/>
  <c r="N131" i="24"/>
  <c r="U131" i="24"/>
  <c r="J118" i="24"/>
  <c r="O118" i="24"/>
  <c r="BZ118" i="24" s="1"/>
  <c r="P12" i="25"/>
  <c r="O12" i="25"/>
  <c r="T12" i="25"/>
  <c r="O207" i="24"/>
  <c r="BZ207" i="24" s="1"/>
  <c r="J207" i="24"/>
  <c r="Q66" i="24"/>
  <c r="R66" i="24" s="1"/>
  <c r="P66" i="24"/>
  <c r="O169" i="24"/>
  <c r="BZ169" i="24" s="1"/>
  <c r="J169" i="24"/>
  <c r="P43" i="25"/>
  <c r="O43" i="25"/>
  <c r="P57" i="25"/>
  <c r="O57" i="25"/>
  <c r="O49" i="24"/>
  <c r="BZ49" i="24" s="1"/>
  <c r="J49" i="24"/>
  <c r="J300" i="24"/>
  <c r="O300" i="24"/>
  <c r="BZ300" i="24" s="1"/>
  <c r="S305" i="25"/>
  <c r="K305" i="25" s="1"/>
  <c r="V305" i="25" s="1"/>
  <c r="R305" i="25"/>
  <c r="Q305" i="25"/>
  <c r="O150" i="24"/>
  <c r="BZ150" i="24" s="1"/>
  <c r="J150" i="24"/>
  <c r="AP179" i="24"/>
  <c r="J194" i="24"/>
  <c r="O194" i="24"/>
  <c r="BZ194" i="24" s="1"/>
  <c r="Q241" i="24"/>
  <c r="P241" i="24"/>
  <c r="Q35" i="24"/>
  <c r="R35" i="24" s="1"/>
  <c r="P35" i="24"/>
  <c r="P115" i="25"/>
  <c r="O115" i="25"/>
  <c r="T115" i="25"/>
  <c r="U9" i="24"/>
  <c r="P288" i="25"/>
  <c r="O288" i="25"/>
  <c r="T288" i="25"/>
  <c r="U97" i="25"/>
  <c r="U156" i="24"/>
  <c r="U144" i="25"/>
  <c r="U98" i="24"/>
  <c r="J187" i="24"/>
  <c r="O187" i="24"/>
  <c r="BZ187" i="24" s="1"/>
  <c r="BZ198" i="25"/>
  <c r="N263" i="24"/>
  <c r="U263" i="24"/>
  <c r="J182" i="24"/>
  <c r="W182" i="24" s="1"/>
  <c r="O182" i="24"/>
  <c r="BZ182" i="24" s="1"/>
  <c r="U270" i="25"/>
  <c r="J71" i="24"/>
  <c r="O71" i="24"/>
  <c r="BZ71" i="24" s="1"/>
  <c r="J247" i="24"/>
  <c r="O247" i="24"/>
  <c r="BZ247" i="24" s="1"/>
  <c r="AP295" i="24"/>
  <c r="W162" i="24"/>
  <c r="Y162" i="24" s="1"/>
  <c r="J14" i="24"/>
  <c r="O14" i="24"/>
  <c r="BZ14" i="24" s="1"/>
  <c r="P244" i="24"/>
  <c r="Q244" i="24"/>
  <c r="P191" i="25"/>
  <c r="O191" i="25"/>
  <c r="V86" i="24"/>
  <c r="U61" i="25"/>
  <c r="P196" i="25"/>
  <c r="O196" i="25"/>
  <c r="T196" i="25"/>
  <c r="AP284" i="24"/>
  <c r="O117" i="24"/>
  <c r="BZ117" i="24" s="1"/>
  <c r="J117" i="24"/>
  <c r="P120" i="25"/>
  <c r="O120" i="25"/>
  <c r="N103" i="24"/>
  <c r="U103" i="24"/>
  <c r="O256" i="24"/>
  <c r="BZ256" i="24" s="1"/>
  <c r="J256" i="24"/>
  <c r="S131" i="25"/>
  <c r="K131" i="25" s="1"/>
  <c r="R131" i="25"/>
  <c r="Q131" i="25"/>
  <c r="P75" i="25"/>
  <c r="O75" i="25"/>
  <c r="T75" i="25"/>
  <c r="J9" i="24"/>
  <c r="O9" i="24"/>
  <c r="BZ9" i="24" s="1"/>
  <c r="J275" i="24"/>
  <c r="O275" i="24"/>
  <c r="BZ275" i="24" s="1"/>
  <c r="J230" i="24"/>
  <c r="O230" i="24"/>
  <c r="BZ230" i="24" s="1"/>
  <c r="O28" i="24"/>
  <c r="BZ28" i="24" s="1"/>
  <c r="J28" i="24"/>
  <c r="P35" i="25"/>
  <c r="O35" i="25"/>
  <c r="AP156" i="24"/>
  <c r="O297" i="24"/>
  <c r="BZ297" i="24" s="1"/>
  <c r="J297" i="24"/>
  <c r="Q87" i="24"/>
  <c r="R87" i="24" s="1"/>
  <c r="P87" i="24"/>
  <c r="T187" i="25"/>
  <c r="Q279" i="24"/>
  <c r="P279" i="24"/>
  <c r="P231" i="24"/>
  <c r="Q231" i="24"/>
  <c r="R232" i="25"/>
  <c r="S232" i="25"/>
  <c r="K232" i="25" s="1"/>
  <c r="Q232" i="25"/>
  <c r="R282" i="25"/>
  <c r="S282" i="25"/>
  <c r="K282" i="25" s="1"/>
  <c r="V282" i="25" s="1"/>
  <c r="Q282" i="25"/>
  <c r="U58" i="25"/>
  <c r="U185" i="25"/>
  <c r="U112" i="24"/>
  <c r="V19" i="24"/>
  <c r="O185" i="24"/>
  <c r="BZ185" i="24" s="1"/>
  <c r="J185" i="24"/>
  <c r="S199" i="25"/>
  <c r="K199" i="25" s="1"/>
  <c r="V199" i="25" s="1"/>
  <c r="R199" i="25"/>
  <c r="Q199" i="25"/>
  <c r="V313" i="24"/>
  <c r="U283" i="25"/>
  <c r="V223" i="24"/>
  <c r="J143" i="24"/>
  <c r="O143" i="24"/>
  <c r="BZ143" i="24" s="1"/>
  <c r="Q168" i="24"/>
  <c r="P168" i="24"/>
  <c r="P186" i="24"/>
  <c r="Q186" i="24"/>
  <c r="O152" i="24"/>
  <c r="BZ152" i="24" s="1"/>
  <c r="J152" i="24"/>
  <c r="S31" i="25"/>
  <c r="K31" i="25" s="1"/>
  <c r="R31" i="25"/>
  <c r="Q31" i="25"/>
  <c r="Q40" i="24"/>
  <c r="R40" i="24" s="1"/>
  <c r="P40" i="24"/>
  <c r="R13" i="25"/>
  <c r="S13" i="25"/>
  <c r="K13" i="25" s="1"/>
  <c r="Q13" i="25"/>
  <c r="U9" i="25"/>
  <c r="U195" i="25"/>
  <c r="P164" i="25"/>
  <c r="O164" i="25"/>
  <c r="U96" i="24"/>
  <c r="S95" i="25"/>
  <c r="K95" i="25" s="1"/>
  <c r="V95" i="25" s="1"/>
  <c r="R95" i="25"/>
  <c r="Q95" i="25"/>
  <c r="S192" i="25"/>
  <c r="K192" i="25" s="1"/>
  <c r="R192" i="25"/>
  <c r="Q192" i="25"/>
  <c r="J243" i="24"/>
  <c r="O243" i="24"/>
  <c r="BZ243" i="24" s="1"/>
  <c r="P32" i="24"/>
  <c r="Q32" i="24"/>
  <c r="R32" i="24" s="1"/>
  <c r="V10" i="24"/>
  <c r="W7" i="24"/>
  <c r="Y7" i="24" s="1"/>
  <c r="P16" i="25"/>
  <c r="O16" i="25"/>
  <c r="P141" i="25"/>
  <c r="O141" i="25"/>
  <c r="V147" i="24"/>
  <c r="T103" i="25"/>
  <c r="V303" i="24"/>
  <c r="U240" i="25"/>
  <c r="S148" i="25"/>
  <c r="K148" i="25" s="1"/>
  <c r="V148" i="25" s="1"/>
  <c r="R148" i="25"/>
  <c r="Q148" i="25"/>
  <c r="P111" i="24"/>
  <c r="Q111" i="24"/>
  <c r="J224" i="24"/>
  <c r="O224" i="24"/>
  <c r="BZ224" i="24" s="1"/>
  <c r="P40" i="25"/>
  <c r="O40" i="25"/>
  <c r="T40" i="25"/>
  <c r="P92" i="24"/>
  <c r="Q92" i="24"/>
  <c r="R92" i="24" s="1"/>
  <c r="U51" i="25"/>
  <c r="U15" i="25"/>
  <c r="P22" i="25"/>
  <c r="O22" i="25"/>
  <c r="T22" i="25"/>
  <c r="U279" i="25"/>
  <c r="V24" i="24"/>
  <c r="P309" i="25"/>
  <c r="O309" i="25"/>
  <c r="J134" i="24"/>
  <c r="O134" i="24"/>
  <c r="BZ134" i="24" s="1"/>
  <c r="N204" i="24"/>
  <c r="U204" i="24"/>
  <c r="P182" i="25"/>
  <c r="O182" i="25"/>
  <c r="J228" i="24"/>
  <c r="O228" i="24"/>
  <c r="BZ228" i="24" s="1"/>
  <c r="P311" i="25"/>
  <c r="O311" i="25"/>
  <c r="P287" i="25"/>
  <c r="O287" i="25"/>
  <c r="T287" i="25"/>
  <c r="Q17" i="24"/>
  <c r="R17" i="24" s="1"/>
  <c r="P17" i="24"/>
  <c r="P101" i="25"/>
  <c r="O101" i="25"/>
  <c r="P76" i="25"/>
  <c r="O76" i="25"/>
  <c r="T76" i="25"/>
  <c r="N260" i="24"/>
  <c r="U260" i="24"/>
  <c r="P156" i="25"/>
  <c r="O156" i="25"/>
  <c r="T156" i="25"/>
  <c r="U33" i="25"/>
  <c r="AP240" i="24"/>
  <c r="U171" i="24"/>
  <c r="T121" i="25"/>
  <c r="J279" i="24"/>
  <c r="W279" i="24" s="1"/>
  <c r="O279" i="24"/>
  <c r="BZ279" i="24" s="1"/>
  <c r="O200" i="24"/>
  <c r="BZ200" i="24" s="1"/>
  <c r="J200" i="24"/>
  <c r="W200" i="24" s="1"/>
  <c r="P117" i="25"/>
  <c r="O117" i="25"/>
  <c r="P297" i="25"/>
  <c r="O297" i="25"/>
  <c r="T297" i="25"/>
  <c r="N259" i="24"/>
  <c r="U259" i="24"/>
  <c r="J83" i="24"/>
  <c r="W83" i="24" s="1"/>
  <c r="O83" i="24"/>
  <c r="BZ83" i="24" s="1"/>
  <c r="U52" i="25"/>
  <c r="N158" i="24"/>
  <c r="U158" i="24"/>
  <c r="Q96" i="24"/>
  <c r="R96" i="24" s="1"/>
  <c r="P96" i="24"/>
  <c r="N58" i="24"/>
  <c r="U58" i="24"/>
  <c r="N149" i="24"/>
  <c r="U149" i="24"/>
  <c r="O112" i="25"/>
  <c r="P112" i="25"/>
  <c r="T112" i="25"/>
  <c r="P125" i="25"/>
  <c r="O125" i="25"/>
  <c r="T125" i="25"/>
  <c r="J220" i="24"/>
  <c r="O220" i="24"/>
  <c r="BZ220" i="24" s="1"/>
  <c r="U254" i="25"/>
  <c r="J27" i="24"/>
  <c r="O27" i="24"/>
  <c r="BZ27" i="24" s="1"/>
  <c r="P83" i="25"/>
  <c r="O83" i="25"/>
  <c r="P90" i="25"/>
  <c r="O90" i="25"/>
  <c r="T90" i="25"/>
  <c r="Q300" i="24"/>
  <c r="P300" i="24"/>
  <c r="U196" i="24"/>
  <c r="V48" i="24"/>
  <c r="O31" i="24"/>
  <c r="BZ31" i="24" s="1"/>
  <c r="J31" i="24"/>
  <c r="AP293" i="24"/>
  <c r="J59" i="24"/>
  <c r="O59" i="24"/>
  <c r="BZ59" i="24" s="1"/>
  <c r="P37" i="25"/>
  <c r="O37" i="25"/>
  <c r="O206" i="24"/>
  <c r="BZ206" i="24" s="1"/>
  <c r="J206" i="24"/>
  <c r="P263" i="25"/>
  <c r="O263" i="25"/>
  <c r="O219" i="24"/>
  <c r="BZ219" i="24" s="1"/>
  <c r="J219" i="24"/>
  <c r="W219" i="24" s="1"/>
  <c r="J140" i="24"/>
  <c r="O140" i="24"/>
  <c r="BZ140" i="24" s="1"/>
  <c r="O169" i="25"/>
  <c r="P169" i="25"/>
  <c r="T169" i="25"/>
  <c r="AO170" i="25"/>
  <c r="AP135" i="24"/>
  <c r="O210" i="24"/>
  <c r="BZ210" i="24" s="1"/>
  <c r="J210" i="24"/>
  <c r="N26" i="24"/>
  <c r="U26" i="24"/>
  <c r="R34" i="25"/>
  <c r="S34" i="25"/>
  <c r="K34" i="25" s="1"/>
  <c r="Q34" i="25"/>
  <c r="N183" i="24"/>
  <c r="U183" i="24"/>
  <c r="O42" i="24"/>
  <c r="BZ42" i="24" s="1"/>
  <c r="J42" i="24"/>
  <c r="J58" i="24"/>
  <c r="O58" i="24"/>
  <c r="BZ58" i="24" s="1"/>
  <c r="O25" i="24"/>
  <c r="BZ25" i="24" s="1"/>
  <c r="J25" i="24"/>
  <c r="W25" i="24" s="1"/>
  <c r="U82" i="25"/>
  <c r="AE190" i="24"/>
  <c r="X190" i="24"/>
  <c r="AA190" i="24" s="1"/>
  <c r="AB190" i="24" s="1"/>
  <c r="AC190" i="24" s="1"/>
  <c r="AI190" i="24"/>
  <c r="P279" i="25"/>
  <c r="O279" i="25"/>
  <c r="P300" i="25"/>
  <c r="O300" i="25"/>
  <c r="Q177" i="24"/>
  <c r="P177" i="24"/>
  <c r="P316" i="25"/>
  <c r="O316" i="25"/>
  <c r="B70" i="2"/>
  <c r="V72" i="24"/>
  <c r="J66" i="24"/>
  <c r="O66" i="24"/>
  <c r="BZ66" i="24" s="1"/>
  <c r="J60" i="24"/>
  <c r="O60" i="24"/>
  <c r="BZ60" i="24" s="1"/>
  <c r="AP13" i="24"/>
  <c r="J144" i="24"/>
  <c r="O144" i="24"/>
  <c r="BZ144" i="24" s="1"/>
  <c r="O241" i="24"/>
  <c r="BZ241" i="24" s="1"/>
  <c r="J241" i="24"/>
  <c r="P198" i="24"/>
  <c r="Q198" i="24"/>
  <c r="P128" i="24"/>
  <c r="Q128" i="24"/>
  <c r="P45" i="25"/>
  <c r="O45" i="25"/>
  <c r="N80" i="24"/>
  <c r="U80" i="24"/>
  <c r="AP124" i="24"/>
  <c r="U310" i="25"/>
  <c r="Q201" i="24"/>
  <c r="P201" i="24"/>
  <c r="V53" i="24"/>
  <c r="U59" i="25"/>
  <c r="AO62" i="25"/>
  <c r="J203" i="24"/>
  <c r="O203" i="24"/>
  <c r="BZ203" i="24" s="1"/>
  <c r="V181" i="24"/>
  <c r="U247" i="25"/>
  <c r="O8" i="24"/>
  <c r="BZ8" i="24" s="1"/>
  <c r="J8" i="24"/>
  <c r="AO198" i="25"/>
  <c r="AP104" i="24"/>
  <c r="AP222" i="24"/>
  <c r="O137" i="24"/>
  <c r="BZ137" i="24" s="1"/>
  <c r="J137" i="24"/>
  <c r="W41" i="24"/>
  <c r="Y41" i="24" s="1"/>
  <c r="AP102" i="24"/>
  <c r="U75" i="24"/>
  <c r="W191" i="24"/>
  <c r="Y191" i="24" s="1"/>
  <c r="O75" i="24"/>
  <c r="BZ75" i="24" s="1"/>
  <c r="J75" i="24"/>
  <c r="P254" i="25"/>
  <c r="O254" i="25"/>
  <c r="P297" i="24"/>
  <c r="Q297" i="24"/>
  <c r="P231" i="25"/>
  <c r="O231" i="25"/>
  <c r="T231" i="25"/>
  <c r="U275" i="24"/>
  <c r="O90" i="24"/>
  <c r="BZ90" i="24" s="1"/>
  <c r="J90" i="24"/>
  <c r="P227" i="25"/>
  <c r="O227" i="25"/>
  <c r="AP201" i="24"/>
  <c r="P183" i="25"/>
  <c r="O183" i="25"/>
  <c r="T183" i="25"/>
  <c r="P140" i="25"/>
  <c r="O140" i="25"/>
  <c r="T140" i="25"/>
  <c r="T101" i="25"/>
  <c r="P115" i="24"/>
  <c r="Q115" i="24"/>
  <c r="U245" i="24"/>
  <c r="J103" i="24"/>
  <c r="O103" i="24"/>
  <c r="BZ103" i="24" s="1"/>
  <c r="AP75" i="24"/>
  <c r="T157" i="25"/>
  <c r="P128" i="25"/>
  <c r="O128" i="25"/>
  <c r="T171" i="25"/>
  <c r="J172" i="24"/>
  <c r="O172" i="24"/>
  <c r="BZ172" i="24" s="1"/>
  <c r="AE22" i="24"/>
  <c r="X22" i="24"/>
  <c r="AA22" i="24" s="1"/>
  <c r="AB22" i="24" s="1"/>
  <c r="AC22" i="24" s="1"/>
  <c r="AI22" i="24"/>
  <c r="BZ131" i="25"/>
  <c r="P256" i="25"/>
  <c r="O256" i="25"/>
  <c r="P149" i="25"/>
  <c r="O149" i="25"/>
  <c r="O258" i="24"/>
  <c r="BZ258" i="24" s="1"/>
  <c r="J258" i="24"/>
  <c r="O284" i="24"/>
  <c r="BZ284" i="24" s="1"/>
  <c r="J284" i="24"/>
  <c r="O87" i="24"/>
  <c r="BZ87" i="24" s="1"/>
  <c r="J87" i="24"/>
  <c r="O269" i="24"/>
  <c r="BZ269" i="24" s="1"/>
  <c r="J269" i="24"/>
  <c r="U14" i="25"/>
  <c r="V16" i="24"/>
  <c r="U138" i="24"/>
  <c r="U221" i="24"/>
  <c r="R247" i="25"/>
  <c r="S247" i="25"/>
  <c r="K247" i="25" s="1"/>
  <c r="V247" i="25" s="1"/>
  <c r="Q247" i="25"/>
  <c r="P58" i="25"/>
  <c r="O58" i="25"/>
  <c r="Q19" i="24"/>
  <c r="R19" i="24" s="1"/>
  <c r="P19" i="24"/>
  <c r="U168" i="24"/>
  <c r="P38" i="25"/>
  <c r="O38" i="25"/>
  <c r="T38" i="25"/>
  <c r="U248" i="25"/>
  <c r="Q313" i="24"/>
  <c r="P313" i="24"/>
  <c r="S283" i="25"/>
  <c r="K283" i="25" s="1"/>
  <c r="V283" i="25" s="1"/>
  <c r="R283" i="25"/>
  <c r="Q283" i="25"/>
  <c r="BZ257" i="25"/>
  <c r="AP243" i="24"/>
  <c r="AP185" i="24"/>
  <c r="S314" i="25"/>
  <c r="K314" i="25" s="1"/>
  <c r="V314" i="25" s="1"/>
  <c r="R314" i="25"/>
  <c r="Q314" i="25"/>
  <c r="V310" i="24"/>
  <c r="T55" i="25"/>
  <c r="P44" i="25"/>
  <c r="O44" i="25"/>
  <c r="T44" i="25"/>
  <c r="U250" i="24"/>
  <c r="J170" i="24"/>
  <c r="O170" i="24"/>
  <c r="BZ170" i="24" s="1"/>
  <c r="W119" i="24"/>
  <c r="Y119" i="24" s="1"/>
  <c r="V142" i="24"/>
  <c r="W142" i="24"/>
  <c r="P42" i="25"/>
  <c r="O42" i="25"/>
  <c r="U159" i="24"/>
  <c r="U299" i="24"/>
  <c r="P10" i="24"/>
  <c r="Q10" i="24"/>
  <c r="R10" i="24" s="1"/>
  <c r="V130" i="24"/>
  <c r="V268" i="24"/>
  <c r="J261" i="24"/>
  <c r="O261" i="24"/>
  <c r="BZ261" i="24" s="1"/>
  <c r="Q303" i="24"/>
  <c r="P303" i="24"/>
  <c r="R240" i="25"/>
  <c r="S240" i="25"/>
  <c r="K240" i="25" s="1"/>
  <c r="V240" i="25" s="1"/>
  <c r="Q240" i="25"/>
  <c r="V97" i="24"/>
  <c r="T105" i="25"/>
  <c r="W292" i="24"/>
  <c r="Y292" i="24" s="1"/>
  <c r="X170" i="25" l="1"/>
  <c r="Q94" i="25"/>
  <c r="BZ94" i="25"/>
  <c r="R94" i="25"/>
  <c r="AO94" i="25"/>
  <c r="Y270" i="24"/>
  <c r="W55" i="24"/>
  <c r="Y55" i="24" s="1"/>
  <c r="Y268" i="24"/>
  <c r="Y97" i="24"/>
  <c r="Y61" i="24"/>
  <c r="Y205" i="24"/>
  <c r="Y248" i="24"/>
  <c r="Y238" i="24"/>
  <c r="Y313" i="24"/>
  <c r="Y237" i="24"/>
  <c r="Y303" i="24"/>
  <c r="Y133" i="24"/>
  <c r="X62" i="25"/>
  <c r="Y130" i="24"/>
  <c r="Y52" i="24"/>
  <c r="Y32" i="24"/>
  <c r="Y24" i="24"/>
  <c r="Y30" i="24"/>
  <c r="X248" i="25"/>
  <c r="Y142" i="24"/>
  <c r="Y310" i="24"/>
  <c r="Y68" i="24"/>
  <c r="Y48" i="24"/>
  <c r="Y306" i="24"/>
  <c r="X262" i="25"/>
  <c r="Y223" i="24"/>
  <c r="Y226" i="24"/>
  <c r="Y231" i="24"/>
  <c r="X204" i="25"/>
  <c r="Y16" i="24"/>
  <c r="Y234" i="24"/>
  <c r="Y43" i="24"/>
  <c r="X147" i="25"/>
  <c r="X82" i="25"/>
  <c r="AO104" i="25"/>
  <c r="Y147" i="24"/>
  <c r="Y307" i="24"/>
  <c r="Y181" i="24"/>
  <c r="X59" i="25"/>
  <c r="X275" i="25"/>
  <c r="X14" i="25"/>
  <c r="X229" i="25"/>
  <c r="Y182" i="24"/>
  <c r="Y272" i="24"/>
  <c r="Y271" i="24"/>
  <c r="Y190" i="24"/>
  <c r="Y219" i="24"/>
  <c r="X89" i="25"/>
  <c r="Y199" i="24"/>
  <c r="Y227" i="24"/>
  <c r="Y121" i="24"/>
  <c r="X283" i="25"/>
  <c r="X161" i="25"/>
  <c r="Y279" i="24"/>
  <c r="Y290" i="24"/>
  <c r="Y163" i="24"/>
  <c r="Y200" i="24"/>
  <c r="Y312" i="24"/>
  <c r="X292" i="25"/>
  <c r="X113" i="25"/>
  <c r="X199" i="25"/>
  <c r="X201" i="25"/>
  <c r="X238" i="25"/>
  <c r="X158" i="25"/>
  <c r="X32" i="25"/>
  <c r="X267" i="25"/>
  <c r="X282" i="25"/>
  <c r="X273" i="25"/>
  <c r="X314" i="25"/>
  <c r="X247" i="25"/>
  <c r="X178" i="25"/>
  <c r="X21" i="25"/>
  <c r="X276" i="25"/>
  <c r="X87" i="25"/>
  <c r="X240" i="25"/>
  <c r="X148" i="25"/>
  <c r="X95" i="25"/>
  <c r="X305" i="25"/>
  <c r="X30" i="25"/>
  <c r="X173" i="25"/>
  <c r="X243" i="25"/>
  <c r="Y86" i="24"/>
  <c r="Y19" i="24"/>
  <c r="Y22" i="24"/>
  <c r="Y72" i="24"/>
  <c r="Y44" i="24"/>
  <c r="Y53" i="24"/>
  <c r="Y10" i="24"/>
  <c r="Y40" i="24"/>
  <c r="Y83" i="24"/>
  <c r="Y21" i="24"/>
  <c r="Y25" i="24"/>
  <c r="Y101" i="24"/>
  <c r="Y62" i="24"/>
  <c r="W160" i="24"/>
  <c r="Y160" i="24" s="1"/>
  <c r="S11" i="25"/>
  <c r="K11" i="25" s="1"/>
  <c r="V11" i="25" s="1"/>
  <c r="X11" i="25" s="1"/>
  <c r="R11" i="25"/>
  <c r="Q11" i="25"/>
  <c r="R280" i="25"/>
  <c r="S280" i="25"/>
  <c r="K280" i="25" s="1"/>
  <c r="V280" i="25" s="1"/>
  <c r="X280" i="25" s="1"/>
  <c r="BZ11" i="25"/>
  <c r="AO280" i="25"/>
  <c r="BZ280" i="25"/>
  <c r="W305" i="24"/>
  <c r="Y305" i="24" s="1"/>
  <c r="S155" i="25"/>
  <c r="K155" i="25" s="1"/>
  <c r="W155" i="25" s="1"/>
  <c r="Z155" i="25" s="1"/>
  <c r="AA155" i="25" s="1"/>
  <c r="AB155" i="25" s="1"/>
  <c r="AI155" i="25" s="1"/>
  <c r="R155" i="25"/>
  <c r="W267" i="24"/>
  <c r="Y267" i="24" s="1"/>
  <c r="AJ191" i="24"/>
  <c r="AT191" i="24" s="1"/>
  <c r="Q155" i="25"/>
  <c r="W252" i="24"/>
  <c r="Y252" i="24" s="1"/>
  <c r="AJ190" i="24"/>
  <c r="AT190" i="24" s="1"/>
  <c r="W152" i="24"/>
  <c r="Y152" i="24" s="1"/>
  <c r="Q96" i="25"/>
  <c r="W12" i="24"/>
  <c r="Y12" i="24" s="1"/>
  <c r="R96" i="25"/>
  <c r="S96" i="25"/>
  <c r="K96" i="25" s="1"/>
  <c r="AD96" i="25" s="1"/>
  <c r="W178" i="24"/>
  <c r="Y178" i="24" s="1"/>
  <c r="W128" i="24"/>
  <c r="Y128" i="24" s="1"/>
  <c r="BZ155" i="25"/>
  <c r="W87" i="24"/>
  <c r="Y87" i="24" s="1"/>
  <c r="BZ96" i="25"/>
  <c r="W137" i="24"/>
  <c r="Y137" i="24" s="1"/>
  <c r="W276" i="24"/>
  <c r="Y276" i="24" s="1"/>
  <c r="W74" i="24"/>
  <c r="Y74" i="24" s="1"/>
  <c r="W286" i="24"/>
  <c r="Y286" i="24" s="1"/>
  <c r="W254" i="24"/>
  <c r="Y254" i="24" s="1"/>
  <c r="W60" i="24"/>
  <c r="Y60" i="24" s="1"/>
  <c r="W143" i="25"/>
  <c r="Z143" i="25" s="1"/>
  <c r="AA143" i="25" s="1"/>
  <c r="AB143" i="25" s="1"/>
  <c r="AI143" i="25" s="1"/>
  <c r="AS143" i="25" s="1"/>
  <c r="Q265" i="25"/>
  <c r="AD143" i="25"/>
  <c r="AE143" i="25" s="1"/>
  <c r="AJ162" i="24"/>
  <c r="AT162" i="24" s="1"/>
  <c r="AJ160" i="24"/>
  <c r="AT160" i="24" s="1"/>
  <c r="Q154" i="25"/>
  <c r="S154" i="25"/>
  <c r="K154" i="25" s="1"/>
  <c r="V154" i="25" s="1"/>
  <c r="X154" i="25" s="1"/>
  <c r="R154" i="25"/>
  <c r="W296" i="24"/>
  <c r="Y296" i="24" s="1"/>
  <c r="BZ154" i="25"/>
  <c r="W314" i="24"/>
  <c r="Y314" i="24" s="1"/>
  <c r="AJ101" i="24"/>
  <c r="W165" i="24"/>
  <c r="Y165" i="24" s="1"/>
  <c r="W157" i="24"/>
  <c r="Y157" i="24" s="1"/>
  <c r="W217" i="24"/>
  <c r="Y217" i="24" s="1"/>
  <c r="W91" i="24"/>
  <c r="Y91" i="24" s="1"/>
  <c r="P223" i="24"/>
  <c r="Q223" i="24"/>
  <c r="BZ97" i="25"/>
  <c r="W230" i="24"/>
  <c r="Y230" i="24" s="1"/>
  <c r="Q97" i="25"/>
  <c r="R97" i="25"/>
  <c r="S97" i="25"/>
  <c r="K97" i="25" s="1"/>
  <c r="V97" i="25" s="1"/>
  <c r="X97" i="25" s="1"/>
  <c r="AO97" i="25"/>
  <c r="Q258" i="25"/>
  <c r="S258" i="25"/>
  <c r="K258" i="25" s="1"/>
  <c r="V258" i="25" s="1"/>
  <c r="X258" i="25" s="1"/>
  <c r="W302" i="24"/>
  <c r="Y302" i="24" s="1"/>
  <c r="R258" i="25"/>
  <c r="AO258" i="25"/>
  <c r="W208" i="24"/>
  <c r="Y208" i="24" s="1"/>
  <c r="W49" i="24"/>
  <c r="Y49" i="24" s="1"/>
  <c r="S265" i="25"/>
  <c r="K265" i="25" s="1"/>
  <c r="AD265" i="25" s="1"/>
  <c r="BZ29" i="25"/>
  <c r="R265" i="25"/>
  <c r="Q291" i="25"/>
  <c r="AO29" i="25"/>
  <c r="R291" i="25"/>
  <c r="Q29" i="25"/>
  <c r="S291" i="25"/>
  <c r="K291" i="25" s="1"/>
  <c r="V291" i="25" s="1"/>
  <c r="X291" i="25" s="1"/>
  <c r="S29" i="25"/>
  <c r="K29" i="25" s="1"/>
  <c r="AD29" i="25" s="1"/>
  <c r="BZ265" i="25"/>
  <c r="R59" i="25"/>
  <c r="Q189" i="25"/>
  <c r="W37" i="24"/>
  <c r="S189" i="25"/>
  <c r="K189" i="25" s="1"/>
  <c r="W189" i="25" s="1"/>
  <c r="Z189" i="25" s="1"/>
  <c r="AA189" i="25" s="1"/>
  <c r="AB189" i="25" s="1"/>
  <c r="AI189" i="25" s="1"/>
  <c r="R189" i="25"/>
  <c r="BZ189" i="25"/>
  <c r="AO179" i="25"/>
  <c r="BZ179" i="25"/>
  <c r="Q179" i="25"/>
  <c r="S179" i="25"/>
  <c r="K179" i="25" s="1"/>
  <c r="V179" i="25" s="1"/>
  <c r="X179" i="25" s="1"/>
  <c r="BZ291" i="25"/>
  <c r="V37" i="24"/>
  <c r="W125" i="24"/>
  <c r="Y125" i="24" s="1"/>
  <c r="R28" i="25"/>
  <c r="W50" i="24"/>
  <c r="Y50" i="24" s="1"/>
  <c r="W265" i="24"/>
  <c r="Y265" i="24" s="1"/>
  <c r="W11" i="24"/>
  <c r="Y11" i="24" s="1"/>
  <c r="W175" i="24"/>
  <c r="Y175" i="24" s="1"/>
  <c r="W201" i="24"/>
  <c r="Y201" i="24" s="1"/>
  <c r="Q104" i="25"/>
  <c r="Q28" i="25"/>
  <c r="S28" i="25"/>
  <c r="K28" i="25" s="1"/>
  <c r="AD28" i="25" s="1"/>
  <c r="W253" i="24"/>
  <c r="Y253" i="24" s="1"/>
  <c r="Q59" i="25"/>
  <c r="R104" i="25"/>
  <c r="S104" i="25"/>
  <c r="K104" i="25" s="1"/>
  <c r="W104" i="25" s="1"/>
  <c r="Z104" i="25" s="1"/>
  <c r="AA104" i="25" s="1"/>
  <c r="AB104" i="25" s="1"/>
  <c r="AI104" i="25" s="1"/>
  <c r="Q237" i="25"/>
  <c r="BZ237" i="25"/>
  <c r="AO237" i="25"/>
  <c r="S237" i="25"/>
  <c r="K237" i="25" s="1"/>
  <c r="V237" i="25" s="1"/>
  <c r="X237" i="25" s="1"/>
  <c r="BZ104" i="25"/>
  <c r="BZ28" i="25"/>
  <c r="BZ59" i="25"/>
  <c r="AO59" i="25"/>
  <c r="W274" i="24"/>
  <c r="Y274" i="24" s="1"/>
  <c r="W20" i="24"/>
  <c r="Y20" i="24" s="1"/>
  <c r="W70" i="24"/>
  <c r="Y70" i="24" s="1"/>
  <c r="BN212" i="25"/>
  <c r="I212" i="25"/>
  <c r="CC212" i="25"/>
  <c r="BM212" i="25"/>
  <c r="AL212" i="25"/>
  <c r="J212" i="25"/>
  <c r="L212" i="25" s="1"/>
  <c r="AJ21" i="24"/>
  <c r="W124" i="24"/>
  <c r="AJ45" i="24"/>
  <c r="W224" i="24"/>
  <c r="Y224" i="24" s="1"/>
  <c r="W198" i="24"/>
  <c r="Y198" i="24" s="1"/>
  <c r="V124" i="24"/>
  <c r="W56" i="24"/>
  <c r="Y56" i="24" s="1"/>
  <c r="W169" i="24"/>
  <c r="Y169" i="24" s="1"/>
  <c r="AO77" i="25"/>
  <c r="S77" i="25"/>
  <c r="K77" i="25" s="1"/>
  <c r="BZ77" i="25"/>
  <c r="R77" i="25"/>
  <c r="Q77" i="25"/>
  <c r="AJ44" i="24"/>
  <c r="AJ55" i="24"/>
  <c r="AJ294" i="24"/>
  <c r="AT294" i="24" s="1"/>
  <c r="AJ41" i="24"/>
  <c r="AJ257" i="24"/>
  <c r="AT257" i="24" s="1"/>
  <c r="AJ119" i="24"/>
  <c r="AT119" i="24" s="1"/>
  <c r="AJ7" i="24"/>
  <c r="AJ233" i="24"/>
  <c r="AT233" i="24" s="1"/>
  <c r="AE284" i="24"/>
  <c r="AI284" i="24"/>
  <c r="X284" i="24"/>
  <c r="AA284" i="24" s="1"/>
  <c r="AB284" i="24" s="1"/>
  <c r="AC284" i="24" s="1"/>
  <c r="AE210" i="24"/>
  <c r="AI210" i="24"/>
  <c r="X210" i="24"/>
  <c r="AA210" i="24" s="1"/>
  <c r="AB210" i="24" s="1"/>
  <c r="AC210" i="24" s="1"/>
  <c r="U288" i="25"/>
  <c r="AE120" i="24"/>
  <c r="AI120" i="24"/>
  <c r="X120" i="24"/>
  <c r="AA120" i="24" s="1"/>
  <c r="AB120" i="24" s="1"/>
  <c r="AC120" i="24" s="1"/>
  <c r="U303" i="25"/>
  <c r="AD114" i="25"/>
  <c r="W114" i="25"/>
  <c r="Z114" i="25" s="1"/>
  <c r="AA114" i="25" s="1"/>
  <c r="AB114" i="25" s="1"/>
  <c r="AI114" i="25" s="1"/>
  <c r="V295" i="24"/>
  <c r="W295" i="24"/>
  <c r="S18" i="25"/>
  <c r="K18" i="25" s="1"/>
  <c r="V18" i="25" s="1"/>
  <c r="R18" i="25"/>
  <c r="Q18" i="25"/>
  <c r="AO18" i="25"/>
  <c r="BZ18" i="25"/>
  <c r="S88" i="25"/>
  <c r="K88" i="25" s="1"/>
  <c r="R88" i="25"/>
  <c r="Q88" i="25"/>
  <c r="AO88" i="25"/>
  <c r="BZ88" i="25"/>
  <c r="AE155" i="24"/>
  <c r="AI155" i="24"/>
  <c r="X155" i="24"/>
  <c r="AA155" i="24" s="1"/>
  <c r="AB155" i="24" s="1"/>
  <c r="AC155" i="24" s="1"/>
  <c r="AE250" i="24"/>
  <c r="AI250" i="24"/>
  <c r="X250" i="24"/>
  <c r="AA250" i="24" s="1"/>
  <c r="AB250" i="24" s="1"/>
  <c r="AC250" i="24" s="1"/>
  <c r="W298" i="24"/>
  <c r="V298" i="24"/>
  <c r="AD167" i="25"/>
  <c r="W167" i="25"/>
  <c r="Z167" i="25" s="1"/>
  <c r="AA167" i="25" s="1"/>
  <c r="AB167" i="25" s="1"/>
  <c r="AI167" i="25" s="1"/>
  <c r="AE81" i="24"/>
  <c r="AI81" i="24"/>
  <c r="X81" i="24"/>
  <c r="AA81" i="24" s="1"/>
  <c r="AB81" i="24" s="1"/>
  <c r="AC81" i="24" s="1"/>
  <c r="Q117" i="24"/>
  <c r="P117" i="24"/>
  <c r="AP117" i="24"/>
  <c r="AE278" i="24"/>
  <c r="AI278" i="24"/>
  <c r="X278" i="24"/>
  <c r="AA278" i="24" s="1"/>
  <c r="AB278" i="24" s="1"/>
  <c r="AC278" i="24" s="1"/>
  <c r="S56" i="25"/>
  <c r="K56" i="25" s="1"/>
  <c r="V56" i="25" s="1"/>
  <c r="R56" i="25"/>
  <c r="Q56" i="25"/>
  <c r="BZ56" i="25"/>
  <c r="AO56" i="25"/>
  <c r="AE232" i="24"/>
  <c r="AI232" i="24"/>
  <c r="X232" i="24"/>
  <c r="AA232" i="24" s="1"/>
  <c r="AB232" i="24" s="1"/>
  <c r="AC232" i="24" s="1"/>
  <c r="Q187" i="24"/>
  <c r="P187" i="24"/>
  <c r="AP187" i="24"/>
  <c r="W17" i="24"/>
  <c r="V17" i="24"/>
  <c r="R251" i="25"/>
  <c r="S251" i="25"/>
  <c r="K251" i="25" s="1"/>
  <c r="V251" i="25" s="1"/>
  <c r="Q251" i="25"/>
  <c r="AO251" i="25"/>
  <c r="BZ251" i="25"/>
  <c r="AG162" i="24"/>
  <c r="AF162" i="24"/>
  <c r="AE282" i="24"/>
  <c r="AI282" i="24"/>
  <c r="X282" i="24"/>
  <c r="AA282" i="24" s="1"/>
  <c r="AB282" i="24" s="1"/>
  <c r="AC282" i="24" s="1"/>
  <c r="V59" i="24"/>
  <c r="W59" i="24"/>
  <c r="R49" i="25"/>
  <c r="S49" i="25"/>
  <c r="K49" i="25" s="1"/>
  <c r="Q49" i="25"/>
  <c r="AO49" i="25"/>
  <c r="BZ49" i="25"/>
  <c r="AE305" i="24"/>
  <c r="AI305" i="24"/>
  <c r="X305" i="24"/>
  <c r="AA305" i="24" s="1"/>
  <c r="AB305" i="24" s="1"/>
  <c r="AC305" i="24" s="1"/>
  <c r="R249" i="25"/>
  <c r="S249" i="25"/>
  <c r="K249" i="25" s="1"/>
  <c r="V249" i="25" s="1"/>
  <c r="Q249" i="25"/>
  <c r="AO249" i="25"/>
  <c r="BZ249" i="25"/>
  <c r="V126" i="24"/>
  <c r="W126" i="24"/>
  <c r="AD206" i="25"/>
  <c r="W206" i="25"/>
  <c r="Z206" i="25" s="1"/>
  <c r="AA206" i="25" s="1"/>
  <c r="AB206" i="25" s="1"/>
  <c r="AI206" i="25" s="1"/>
  <c r="V31" i="24"/>
  <c r="W31" i="24"/>
  <c r="AE114" i="24"/>
  <c r="AI114" i="24"/>
  <c r="X114" i="24"/>
  <c r="AA114" i="24" s="1"/>
  <c r="AB114" i="24" s="1"/>
  <c r="AC114" i="24" s="1"/>
  <c r="S294" i="25"/>
  <c r="K294" i="25" s="1"/>
  <c r="R294" i="25"/>
  <c r="Q294" i="25"/>
  <c r="BZ294" i="25"/>
  <c r="AO294" i="25"/>
  <c r="W81" i="24"/>
  <c r="Y81" i="24" s="1"/>
  <c r="U230" i="25"/>
  <c r="AG21" i="24"/>
  <c r="AF21" i="24"/>
  <c r="AE73" i="24"/>
  <c r="AI73" i="24"/>
  <c r="X73" i="24"/>
  <c r="AA73" i="24" s="1"/>
  <c r="AB73" i="24" s="1"/>
  <c r="AC73" i="24" s="1"/>
  <c r="AE115" i="24"/>
  <c r="AI115" i="24"/>
  <c r="X115" i="24"/>
  <c r="AA115" i="24" s="1"/>
  <c r="AB115" i="24" s="1"/>
  <c r="AC115" i="24" s="1"/>
  <c r="AE38" i="24"/>
  <c r="AI38" i="24"/>
  <c r="X38" i="24"/>
  <c r="AA38" i="24" s="1"/>
  <c r="AB38" i="24" s="1"/>
  <c r="AC38" i="24" s="1"/>
  <c r="AE188" i="24"/>
  <c r="AI188" i="24"/>
  <c r="X188" i="24"/>
  <c r="AA188" i="24" s="1"/>
  <c r="AB188" i="24" s="1"/>
  <c r="AC188" i="24" s="1"/>
  <c r="AE308" i="24"/>
  <c r="AI308" i="24"/>
  <c r="X308" i="24"/>
  <c r="AA308" i="24" s="1"/>
  <c r="AB308" i="24" s="1"/>
  <c r="AC308" i="24" s="1"/>
  <c r="U197" i="25"/>
  <c r="AG132" i="24"/>
  <c r="AF132" i="24"/>
  <c r="R25" i="25"/>
  <c r="S25" i="25"/>
  <c r="K25" i="25" s="1"/>
  <c r="V25" i="25" s="1"/>
  <c r="Q25" i="25"/>
  <c r="BZ25" i="25"/>
  <c r="AO25" i="25"/>
  <c r="AE151" i="24"/>
  <c r="AI151" i="24"/>
  <c r="X151" i="24"/>
  <c r="AA151" i="24" s="1"/>
  <c r="AB151" i="24" s="1"/>
  <c r="AC151" i="24" s="1"/>
  <c r="AE280" i="24"/>
  <c r="AI280" i="24"/>
  <c r="X280" i="24"/>
  <c r="AA280" i="24" s="1"/>
  <c r="AB280" i="24" s="1"/>
  <c r="AC280" i="24" s="1"/>
  <c r="V244" i="24"/>
  <c r="W244" i="24"/>
  <c r="AG160" i="24"/>
  <c r="AF160" i="24"/>
  <c r="AE65" i="24"/>
  <c r="AI65" i="24"/>
  <c r="X65" i="24"/>
  <c r="AA65" i="24" s="1"/>
  <c r="AB65" i="24" s="1"/>
  <c r="AC65" i="24" s="1"/>
  <c r="Q146" i="24"/>
  <c r="P146" i="24"/>
  <c r="AP146" i="24"/>
  <c r="P71" i="24"/>
  <c r="Q71" i="24"/>
  <c r="R71" i="24" s="1"/>
  <c r="AP71" i="24"/>
  <c r="AE113" i="24"/>
  <c r="AI113" i="24"/>
  <c r="X113" i="24"/>
  <c r="AA113" i="24" s="1"/>
  <c r="AB113" i="24" s="1"/>
  <c r="AC113" i="24" s="1"/>
  <c r="Q153" i="24"/>
  <c r="P153" i="24"/>
  <c r="AP153" i="24"/>
  <c r="U122" i="25"/>
  <c r="AE165" i="24"/>
  <c r="AI165" i="24"/>
  <c r="X165" i="24"/>
  <c r="AA165" i="24" s="1"/>
  <c r="AB165" i="24" s="1"/>
  <c r="AC165" i="24" s="1"/>
  <c r="AD306" i="25"/>
  <c r="W306" i="25"/>
  <c r="Z306" i="25" s="1"/>
  <c r="AA306" i="25" s="1"/>
  <c r="AB306" i="25" s="1"/>
  <c r="AI306" i="25" s="1"/>
  <c r="AE254" i="24"/>
  <c r="AI254" i="24"/>
  <c r="X254" i="24"/>
  <c r="AA254" i="24" s="1"/>
  <c r="AB254" i="24" s="1"/>
  <c r="AC254" i="24" s="1"/>
  <c r="AE166" i="24"/>
  <c r="AI166" i="24"/>
  <c r="X166" i="24"/>
  <c r="AA166" i="24" s="1"/>
  <c r="AB166" i="24" s="1"/>
  <c r="AC166" i="24" s="1"/>
  <c r="S220" i="25"/>
  <c r="K220" i="25" s="1"/>
  <c r="V220" i="25" s="1"/>
  <c r="R220" i="25"/>
  <c r="Q220" i="25"/>
  <c r="AO220" i="25"/>
  <c r="BZ220" i="25"/>
  <c r="R260" i="25"/>
  <c r="S260" i="25"/>
  <c r="K260" i="25" s="1"/>
  <c r="V260" i="25" s="1"/>
  <c r="Q260" i="25"/>
  <c r="BZ260" i="25"/>
  <c r="AO260" i="25"/>
  <c r="R15" i="25"/>
  <c r="S15" i="25"/>
  <c r="K15" i="25" s="1"/>
  <c r="Q15" i="25"/>
  <c r="BZ15" i="25"/>
  <c r="AO15" i="25"/>
  <c r="AE105" i="24"/>
  <c r="AI105" i="24"/>
  <c r="X105" i="24"/>
  <c r="AA105" i="24" s="1"/>
  <c r="AB105" i="24" s="1"/>
  <c r="AC105" i="24" s="1"/>
  <c r="Q63" i="24"/>
  <c r="R63" i="24" s="1"/>
  <c r="P63" i="24"/>
  <c r="AP63" i="24"/>
  <c r="S207" i="25"/>
  <c r="K207" i="25" s="1"/>
  <c r="V207" i="25" s="1"/>
  <c r="R207" i="25"/>
  <c r="Q207" i="25"/>
  <c r="AO207" i="25"/>
  <c r="BZ207" i="25"/>
  <c r="AE32" i="24"/>
  <c r="AI32" i="24"/>
  <c r="X32" i="24"/>
  <c r="AA32" i="24" s="1"/>
  <c r="AB32" i="24" s="1"/>
  <c r="AC32" i="24" s="1"/>
  <c r="R78" i="25"/>
  <c r="S78" i="25"/>
  <c r="K78" i="25" s="1"/>
  <c r="V78" i="25" s="1"/>
  <c r="Q78" i="25"/>
  <c r="AO78" i="25"/>
  <c r="BZ78" i="25"/>
  <c r="U86" i="25"/>
  <c r="R239" i="25"/>
  <c r="S239" i="25"/>
  <c r="K239" i="25" s="1"/>
  <c r="V239" i="25" s="1"/>
  <c r="Q239" i="25"/>
  <c r="BZ239" i="25"/>
  <c r="AO239" i="25"/>
  <c r="AD14" i="25"/>
  <c r="W14" i="25"/>
  <c r="Z14" i="25" s="1"/>
  <c r="AA14" i="25" s="1"/>
  <c r="AB14" i="25" s="1"/>
  <c r="AI14" i="25" s="1"/>
  <c r="U315" i="25"/>
  <c r="AE276" i="24"/>
  <c r="AI276" i="24"/>
  <c r="X276" i="24"/>
  <c r="AA276" i="24" s="1"/>
  <c r="AB276" i="24" s="1"/>
  <c r="AC276" i="24" s="1"/>
  <c r="AE79" i="24"/>
  <c r="AI79" i="24"/>
  <c r="X79" i="24"/>
  <c r="AA79" i="24" s="1"/>
  <c r="AB79" i="24" s="1"/>
  <c r="AC79" i="24" s="1"/>
  <c r="U302" i="25"/>
  <c r="AE179" i="24"/>
  <c r="AI179" i="24"/>
  <c r="X179" i="24"/>
  <c r="AA179" i="24" s="1"/>
  <c r="AB179" i="24" s="1"/>
  <c r="AC179" i="24" s="1"/>
  <c r="S66" i="25"/>
  <c r="K66" i="25" s="1"/>
  <c r="V66" i="25" s="1"/>
  <c r="R66" i="25"/>
  <c r="Q66" i="25"/>
  <c r="AO66" i="25"/>
  <c r="BZ66" i="25"/>
  <c r="AE251" i="24"/>
  <c r="AI251" i="24"/>
  <c r="X251" i="24"/>
  <c r="AA251" i="24" s="1"/>
  <c r="AB251" i="24" s="1"/>
  <c r="AC251" i="24" s="1"/>
  <c r="W251" i="24"/>
  <c r="Y251" i="24" s="1"/>
  <c r="AG7" i="24"/>
  <c r="AF7" i="24"/>
  <c r="W78" i="24"/>
  <c r="V78" i="24"/>
  <c r="W105" i="24"/>
  <c r="Y105" i="24" s="1"/>
  <c r="AE172" i="24"/>
  <c r="AI172" i="24"/>
  <c r="X172" i="24"/>
  <c r="AA172" i="24" s="1"/>
  <c r="AB172" i="24" s="1"/>
  <c r="AC172" i="24" s="1"/>
  <c r="V75" i="24"/>
  <c r="W75" i="24"/>
  <c r="S169" i="25"/>
  <c r="K169" i="25" s="1"/>
  <c r="V169" i="25" s="1"/>
  <c r="R169" i="25"/>
  <c r="Q169" i="25"/>
  <c r="BZ169" i="25"/>
  <c r="AO169" i="25"/>
  <c r="R112" i="25"/>
  <c r="S112" i="25"/>
  <c r="K112" i="25" s="1"/>
  <c r="V112" i="25" s="1"/>
  <c r="Q112" i="25"/>
  <c r="BZ112" i="25"/>
  <c r="AO112" i="25"/>
  <c r="V204" i="24"/>
  <c r="W204" i="24"/>
  <c r="AD232" i="25"/>
  <c r="V232" i="25"/>
  <c r="X232" i="25" s="1"/>
  <c r="W232" i="25"/>
  <c r="Z232" i="25" s="1"/>
  <c r="AA232" i="25" s="1"/>
  <c r="AB232" i="25" s="1"/>
  <c r="AI232" i="25" s="1"/>
  <c r="AE118" i="24"/>
  <c r="AI118" i="24"/>
  <c r="X118" i="24"/>
  <c r="AA118" i="24" s="1"/>
  <c r="AB118" i="24" s="1"/>
  <c r="AC118" i="24" s="1"/>
  <c r="AE141" i="24"/>
  <c r="AI141" i="24"/>
  <c r="X141" i="24"/>
  <c r="AA141" i="24" s="1"/>
  <c r="AB141" i="24" s="1"/>
  <c r="AC141" i="24" s="1"/>
  <c r="R312" i="25"/>
  <c r="S312" i="25"/>
  <c r="K312" i="25" s="1"/>
  <c r="Q312" i="25"/>
  <c r="AO312" i="25"/>
  <c r="BZ312" i="25"/>
  <c r="Q93" i="24"/>
  <c r="R93" i="24" s="1"/>
  <c r="P93" i="24"/>
  <c r="AP93" i="24"/>
  <c r="U99" i="25"/>
  <c r="AE298" i="24"/>
  <c r="AI298" i="24"/>
  <c r="X298" i="24"/>
  <c r="AA298" i="24" s="1"/>
  <c r="AB298" i="24" s="1"/>
  <c r="AC298" i="24" s="1"/>
  <c r="AE265" i="24"/>
  <c r="AI265" i="24"/>
  <c r="X265" i="24"/>
  <c r="AA265" i="24" s="1"/>
  <c r="AB265" i="24" s="1"/>
  <c r="AC265" i="24" s="1"/>
  <c r="AE131" i="24"/>
  <c r="AI131" i="24"/>
  <c r="X131" i="24"/>
  <c r="AA131" i="24" s="1"/>
  <c r="AB131" i="24" s="1"/>
  <c r="AC131" i="24" s="1"/>
  <c r="V140" i="24"/>
  <c r="W140" i="24"/>
  <c r="AE289" i="24"/>
  <c r="AI289" i="24"/>
  <c r="X289" i="24"/>
  <c r="AA289" i="24" s="1"/>
  <c r="AB289" i="24" s="1"/>
  <c r="AC289" i="24" s="1"/>
  <c r="AD259" i="25"/>
  <c r="W259" i="25"/>
  <c r="Z259" i="25" s="1"/>
  <c r="AA259" i="25" s="1"/>
  <c r="AB259" i="25" s="1"/>
  <c r="AI259" i="25" s="1"/>
  <c r="U101" i="25"/>
  <c r="S183" i="25"/>
  <c r="K183" i="25" s="1"/>
  <c r="V183" i="25" s="1"/>
  <c r="R183" i="25"/>
  <c r="Q183" i="25"/>
  <c r="AO183" i="25"/>
  <c r="BZ183" i="25"/>
  <c r="U231" i="25"/>
  <c r="R279" i="25"/>
  <c r="S279" i="25"/>
  <c r="K279" i="25" s="1"/>
  <c r="Q279" i="25"/>
  <c r="AO279" i="25"/>
  <c r="BZ279" i="25"/>
  <c r="AE31" i="24"/>
  <c r="AI31" i="24"/>
  <c r="X31" i="24"/>
  <c r="AA31" i="24" s="1"/>
  <c r="AB31" i="24" s="1"/>
  <c r="AC31" i="24" s="1"/>
  <c r="V149" i="24"/>
  <c r="W149" i="24"/>
  <c r="U156" i="25"/>
  <c r="U287" i="25"/>
  <c r="Q204" i="24"/>
  <c r="P204" i="24"/>
  <c r="AP204" i="24"/>
  <c r="AD148" i="25"/>
  <c r="W148" i="25"/>
  <c r="Z148" i="25" s="1"/>
  <c r="AA148" i="25" s="1"/>
  <c r="AB148" i="25" s="1"/>
  <c r="AI148" i="25" s="1"/>
  <c r="R141" i="25"/>
  <c r="S141" i="25"/>
  <c r="K141" i="25" s="1"/>
  <c r="Q141" i="25"/>
  <c r="AO141" i="25"/>
  <c r="BZ141" i="25"/>
  <c r="AE28" i="24"/>
  <c r="AI28" i="24"/>
  <c r="X28" i="24"/>
  <c r="AA28" i="24" s="1"/>
  <c r="AB28" i="24" s="1"/>
  <c r="AC28" i="24" s="1"/>
  <c r="R120" i="25"/>
  <c r="S120" i="25"/>
  <c r="K120" i="25" s="1"/>
  <c r="Q120" i="25"/>
  <c r="AO120" i="25"/>
  <c r="BZ120" i="25"/>
  <c r="R191" i="25"/>
  <c r="S191" i="25"/>
  <c r="K191" i="25" s="1"/>
  <c r="Q191" i="25"/>
  <c r="BZ191" i="25"/>
  <c r="AO191" i="25"/>
  <c r="AE14" i="24"/>
  <c r="AI14" i="24"/>
  <c r="X14" i="24"/>
  <c r="AA14" i="24" s="1"/>
  <c r="AB14" i="24" s="1"/>
  <c r="AC14" i="24" s="1"/>
  <c r="R288" i="25"/>
  <c r="S288" i="25"/>
  <c r="K288" i="25" s="1"/>
  <c r="V288" i="25" s="1"/>
  <c r="Q288" i="25"/>
  <c r="BZ288" i="25"/>
  <c r="AO288" i="25"/>
  <c r="AE49" i="24"/>
  <c r="AI49" i="24"/>
  <c r="X49" i="24"/>
  <c r="AA49" i="24" s="1"/>
  <c r="AB49" i="24" s="1"/>
  <c r="AC49" i="24" s="1"/>
  <c r="V206" i="24"/>
  <c r="W206" i="24"/>
  <c r="AE218" i="24"/>
  <c r="AI218" i="24"/>
  <c r="X218" i="24"/>
  <c r="AA218" i="24" s="1"/>
  <c r="AB218" i="24" s="1"/>
  <c r="AC218" i="24" s="1"/>
  <c r="S303" i="25"/>
  <c r="K303" i="25" s="1"/>
  <c r="V303" i="25" s="1"/>
  <c r="R303" i="25"/>
  <c r="Q303" i="25"/>
  <c r="BZ303" i="25"/>
  <c r="AO303" i="25"/>
  <c r="AG191" i="24"/>
  <c r="AF191" i="24"/>
  <c r="V179" i="24"/>
  <c r="W179" i="24"/>
  <c r="AD59" i="25"/>
  <c r="W59" i="25"/>
  <c r="Z59" i="25" s="1"/>
  <c r="AA59" i="25" s="1"/>
  <c r="AB59" i="25" s="1"/>
  <c r="AI59" i="25" s="1"/>
  <c r="AE76" i="24"/>
  <c r="AI76" i="24"/>
  <c r="X76" i="24"/>
  <c r="AA76" i="24" s="1"/>
  <c r="AB76" i="24" s="1"/>
  <c r="AC76" i="24" s="1"/>
  <c r="AE199" i="24"/>
  <c r="AI199" i="24"/>
  <c r="X199" i="24"/>
  <c r="AA199" i="24" s="1"/>
  <c r="AB199" i="24" s="1"/>
  <c r="AC199" i="24" s="1"/>
  <c r="U79" i="25"/>
  <c r="Q140" i="24"/>
  <c r="P140" i="24"/>
  <c r="AP140" i="24"/>
  <c r="R105" i="25"/>
  <c r="S105" i="25"/>
  <c r="K105" i="25" s="1"/>
  <c r="V105" i="25" s="1"/>
  <c r="Q105" i="25"/>
  <c r="AO105" i="25"/>
  <c r="BZ105" i="25"/>
  <c r="AE240" i="24"/>
  <c r="AI240" i="24"/>
  <c r="X240" i="24"/>
  <c r="AA240" i="24" s="1"/>
  <c r="AB240" i="24" s="1"/>
  <c r="AC240" i="24" s="1"/>
  <c r="AE221" i="24"/>
  <c r="AI221" i="24"/>
  <c r="X221" i="24"/>
  <c r="AA221" i="24" s="1"/>
  <c r="AB221" i="24" s="1"/>
  <c r="AC221" i="24" s="1"/>
  <c r="W170" i="24"/>
  <c r="V170" i="24"/>
  <c r="Q298" i="24"/>
  <c r="P298" i="24"/>
  <c r="AP298" i="24"/>
  <c r="R132" i="25"/>
  <c r="S132" i="25"/>
  <c r="K132" i="25" s="1"/>
  <c r="Q132" i="25"/>
  <c r="AO132" i="25"/>
  <c r="BZ132" i="25"/>
  <c r="AE273" i="24"/>
  <c r="AI273" i="24"/>
  <c r="X273" i="24"/>
  <c r="AA273" i="24" s="1"/>
  <c r="AB273" i="24" s="1"/>
  <c r="AC273" i="24" s="1"/>
  <c r="AD261" i="25"/>
  <c r="W261" i="25"/>
  <c r="Z261" i="25" s="1"/>
  <c r="AA261" i="25" s="1"/>
  <c r="AB261" i="25" s="1"/>
  <c r="AI261" i="25" s="1"/>
  <c r="R119" i="25"/>
  <c r="S119" i="25"/>
  <c r="K119" i="25" s="1"/>
  <c r="Q119" i="25"/>
  <c r="AO119" i="25"/>
  <c r="BZ119" i="25"/>
  <c r="S17" i="25"/>
  <c r="K17" i="25" s="1"/>
  <c r="R17" i="25"/>
  <c r="Q17" i="25"/>
  <c r="AO17" i="25"/>
  <c r="BZ17" i="25"/>
  <c r="AE161" i="24"/>
  <c r="AI161" i="24"/>
  <c r="X161" i="24"/>
  <c r="AA161" i="24" s="1"/>
  <c r="AB161" i="24" s="1"/>
  <c r="AC161" i="24" s="1"/>
  <c r="U175" i="25"/>
  <c r="W249" i="24"/>
  <c r="V249" i="24"/>
  <c r="P59" i="24"/>
  <c r="Q59" i="24"/>
  <c r="R59" i="24" s="1"/>
  <c r="AP59" i="24"/>
  <c r="AE104" i="24"/>
  <c r="AI104" i="24"/>
  <c r="X104" i="24"/>
  <c r="AA104" i="24" s="1"/>
  <c r="AB104" i="24" s="1"/>
  <c r="AC104" i="24" s="1"/>
  <c r="S46" i="25"/>
  <c r="K46" i="25" s="1"/>
  <c r="R46" i="25"/>
  <c r="Q46" i="25"/>
  <c r="BZ46" i="25"/>
  <c r="AO46" i="25"/>
  <c r="P126" i="24"/>
  <c r="Q126" i="24"/>
  <c r="AP126" i="24"/>
  <c r="V261" i="24"/>
  <c r="W261" i="24"/>
  <c r="U70" i="25"/>
  <c r="AD273" i="25"/>
  <c r="W273" i="25"/>
  <c r="Z273" i="25" s="1"/>
  <c r="AA273" i="25" s="1"/>
  <c r="AB273" i="25" s="1"/>
  <c r="AI273" i="25" s="1"/>
  <c r="AE202" i="24"/>
  <c r="AI202" i="24"/>
  <c r="X202" i="24"/>
  <c r="AA202" i="24" s="1"/>
  <c r="AB202" i="24" s="1"/>
  <c r="AC202" i="24" s="1"/>
  <c r="AE296" i="24"/>
  <c r="AI296" i="24"/>
  <c r="X296" i="24"/>
  <c r="AA296" i="24" s="1"/>
  <c r="AB296" i="24" s="1"/>
  <c r="AC296" i="24" s="1"/>
  <c r="AE222" i="24"/>
  <c r="AI222" i="24"/>
  <c r="X222" i="24"/>
  <c r="AA222" i="24" s="1"/>
  <c r="AB222" i="24" s="1"/>
  <c r="AC222" i="24" s="1"/>
  <c r="S308" i="25"/>
  <c r="K308" i="25" s="1"/>
  <c r="R308" i="25"/>
  <c r="Q308" i="25"/>
  <c r="BZ308" i="25"/>
  <c r="AO308" i="25"/>
  <c r="V195" i="24"/>
  <c r="W195" i="24"/>
  <c r="S230" i="25"/>
  <c r="K230" i="25" s="1"/>
  <c r="R230" i="25"/>
  <c r="Q230" i="25"/>
  <c r="BZ230" i="25"/>
  <c r="AO230" i="25"/>
  <c r="U223" i="25"/>
  <c r="AE267" i="24"/>
  <c r="AI267" i="24"/>
  <c r="X267" i="24"/>
  <c r="AA267" i="24" s="1"/>
  <c r="AB267" i="24" s="1"/>
  <c r="AC267" i="24" s="1"/>
  <c r="R197" i="25"/>
  <c r="S197" i="25"/>
  <c r="K197" i="25" s="1"/>
  <c r="V197" i="25" s="1"/>
  <c r="Q197" i="25"/>
  <c r="AO197" i="25"/>
  <c r="BZ197" i="25"/>
  <c r="AE311" i="24"/>
  <c r="AI311" i="24"/>
  <c r="X311" i="24"/>
  <c r="AA311" i="24" s="1"/>
  <c r="AB311" i="24" s="1"/>
  <c r="AC311" i="24" s="1"/>
  <c r="V316" i="24"/>
  <c r="W316" i="24"/>
  <c r="S55" i="25"/>
  <c r="K55" i="25" s="1"/>
  <c r="V55" i="25" s="1"/>
  <c r="R55" i="25"/>
  <c r="Q55" i="25"/>
  <c r="AO55" i="25"/>
  <c r="BZ55" i="25"/>
  <c r="V309" i="24"/>
  <c r="W309" i="24"/>
  <c r="W36" i="24"/>
  <c r="V36" i="24"/>
  <c r="AE281" i="24"/>
  <c r="AI281" i="24"/>
  <c r="X281" i="24"/>
  <c r="AA281" i="24" s="1"/>
  <c r="AB281" i="24" s="1"/>
  <c r="AC281" i="24" s="1"/>
  <c r="AD32" i="25"/>
  <c r="W32" i="25"/>
  <c r="Z32" i="25" s="1"/>
  <c r="AA32" i="25" s="1"/>
  <c r="AB32" i="25" s="1"/>
  <c r="AI32" i="25" s="1"/>
  <c r="AE99" i="24"/>
  <c r="AI99" i="24"/>
  <c r="X99" i="24"/>
  <c r="AA99" i="24" s="1"/>
  <c r="AB99" i="24" s="1"/>
  <c r="AC99" i="24" s="1"/>
  <c r="AE277" i="24"/>
  <c r="AI277" i="24"/>
  <c r="X277" i="24"/>
  <c r="AA277" i="24" s="1"/>
  <c r="AB277" i="24" s="1"/>
  <c r="AC277" i="24" s="1"/>
  <c r="AS110" i="25"/>
  <c r="AE102" i="24"/>
  <c r="AI102" i="24"/>
  <c r="X102" i="24"/>
  <c r="AA102" i="24" s="1"/>
  <c r="AB102" i="24" s="1"/>
  <c r="AC102" i="24" s="1"/>
  <c r="AE270" i="24"/>
  <c r="AI270" i="24"/>
  <c r="X270" i="24"/>
  <c r="AA270" i="24" s="1"/>
  <c r="AB270" i="24" s="1"/>
  <c r="AC270" i="24" s="1"/>
  <c r="AG264" i="24"/>
  <c r="AF264" i="24"/>
  <c r="R64" i="25"/>
  <c r="S64" i="25"/>
  <c r="K64" i="25" s="1"/>
  <c r="Q64" i="25"/>
  <c r="AO64" i="25"/>
  <c r="BZ64" i="25"/>
  <c r="W308" i="24"/>
  <c r="V308" i="24"/>
  <c r="AE288" i="24"/>
  <c r="AI288" i="24"/>
  <c r="X288" i="24"/>
  <c r="AA288" i="24" s="1"/>
  <c r="AB288" i="24" s="1"/>
  <c r="AC288" i="24" s="1"/>
  <c r="AE209" i="24"/>
  <c r="AI209" i="24"/>
  <c r="X209" i="24"/>
  <c r="AA209" i="24" s="1"/>
  <c r="AB209" i="24" s="1"/>
  <c r="AC209" i="24" s="1"/>
  <c r="AE121" i="24"/>
  <c r="AI121" i="24"/>
  <c r="X121" i="24"/>
  <c r="AA121" i="24" s="1"/>
  <c r="AB121" i="24" s="1"/>
  <c r="AC121" i="24" s="1"/>
  <c r="S122" i="25"/>
  <c r="K122" i="25" s="1"/>
  <c r="V122" i="25" s="1"/>
  <c r="R122" i="25"/>
  <c r="Q122" i="25"/>
  <c r="BZ122" i="25"/>
  <c r="AO122" i="25"/>
  <c r="S9" i="25"/>
  <c r="K9" i="25" s="1"/>
  <c r="R9" i="25"/>
  <c r="Q9" i="25"/>
  <c r="BZ9" i="25"/>
  <c r="AO9" i="25"/>
  <c r="U160" i="25"/>
  <c r="V154" i="24"/>
  <c r="W154" i="24"/>
  <c r="W114" i="24"/>
  <c r="V114" i="24"/>
  <c r="S85" i="25"/>
  <c r="K85" i="25" s="1"/>
  <c r="R85" i="25"/>
  <c r="Q85" i="25"/>
  <c r="BZ85" i="25"/>
  <c r="AO85" i="25"/>
  <c r="S53" i="25"/>
  <c r="K53" i="25" s="1"/>
  <c r="V53" i="25" s="1"/>
  <c r="R53" i="25"/>
  <c r="Q53" i="25"/>
  <c r="AO53" i="25"/>
  <c r="BZ53" i="25"/>
  <c r="U286" i="25"/>
  <c r="R86" i="25"/>
  <c r="S86" i="25"/>
  <c r="K86" i="25" s="1"/>
  <c r="Q86" i="25"/>
  <c r="BZ86" i="25"/>
  <c r="AO86" i="25"/>
  <c r="W8" i="24"/>
  <c r="V8" i="24"/>
  <c r="V94" i="24"/>
  <c r="W94" i="24"/>
  <c r="AE168" i="24"/>
  <c r="AI168" i="24"/>
  <c r="X168" i="24"/>
  <c r="AA168" i="24" s="1"/>
  <c r="AB168" i="24" s="1"/>
  <c r="AC168" i="24" s="1"/>
  <c r="AD275" i="25"/>
  <c r="W275" i="25"/>
  <c r="Z275" i="25" s="1"/>
  <c r="AA275" i="25" s="1"/>
  <c r="AB275" i="25" s="1"/>
  <c r="AI275" i="25" s="1"/>
  <c r="S315" i="25"/>
  <c r="K315" i="25" s="1"/>
  <c r="R315" i="25"/>
  <c r="Q315" i="25"/>
  <c r="AO315" i="25"/>
  <c r="BZ315" i="25"/>
  <c r="V297" i="24"/>
  <c r="W297" i="24"/>
  <c r="V28" i="24"/>
  <c r="W28" i="24"/>
  <c r="S235" i="25"/>
  <c r="K235" i="25" s="1"/>
  <c r="R235" i="25"/>
  <c r="Q235" i="25"/>
  <c r="AO235" i="25"/>
  <c r="BZ235" i="25"/>
  <c r="W99" i="24"/>
  <c r="Y99" i="24" s="1"/>
  <c r="AD94" i="25"/>
  <c r="W94" i="25"/>
  <c r="Z94" i="25" s="1"/>
  <c r="AA94" i="25" s="1"/>
  <c r="AB94" i="25" s="1"/>
  <c r="AI94" i="25" s="1"/>
  <c r="V94" i="25"/>
  <c r="X94" i="25" s="1"/>
  <c r="AE52" i="24"/>
  <c r="AI52" i="24"/>
  <c r="X52" i="24"/>
  <c r="AA52" i="24" s="1"/>
  <c r="AB52" i="24" s="1"/>
  <c r="AC52" i="24" s="1"/>
  <c r="U93" i="25"/>
  <c r="W288" i="24"/>
  <c r="V288" i="24"/>
  <c r="V209" i="24"/>
  <c r="W209" i="24"/>
  <c r="R302" i="25"/>
  <c r="S302" i="25"/>
  <c r="K302" i="25" s="1"/>
  <c r="V302" i="25" s="1"/>
  <c r="Q302" i="25"/>
  <c r="AO302" i="25"/>
  <c r="BZ302" i="25"/>
  <c r="U218" i="25"/>
  <c r="W164" i="24"/>
  <c r="V164" i="24"/>
  <c r="P78" i="24"/>
  <c r="Q78" i="24"/>
  <c r="R78" i="24" s="1"/>
  <c r="AP78" i="24"/>
  <c r="AE19" i="24"/>
  <c r="AI19" i="24"/>
  <c r="X19" i="24"/>
  <c r="AA19" i="24" s="1"/>
  <c r="AB19" i="24" s="1"/>
  <c r="AC19" i="24" s="1"/>
  <c r="W275" i="24"/>
  <c r="V275" i="24"/>
  <c r="AE25" i="24"/>
  <c r="AI25" i="24"/>
  <c r="X25" i="24"/>
  <c r="AA25" i="24" s="1"/>
  <c r="AB25" i="24" s="1"/>
  <c r="AC25" i="24" s="1"/>
  <c r="AE206" i="24"/>
  <c r="AI206" i="24"/>
  <c r="X206" i="24"/>
  <c r="AA206" i="24" s="1"/>
  <c r="AB206" i="24" s="1"/>
  <c r="AC206" i="24" s="1"/>
  <c r="S117" i="25"/>
  <c r="K117" i="25" s="1"/>
  <c r="R117" i="25"/>
  <c r="Q117" i="25"/>
  <c r="AO117" i="25"/>
  <c r="BZ117" i="25"/>
  <c r="R40" i="25"/>
  <c r="S40" i="25"/>
  <c r="K40" i="25" s="1"/>
  <c r="V40" i="25" s="1"/>
  <c r="Q40" i="25"/>
  <c r="AO40" i="25"/>
  <c r="BZ40" i="25"/>
  <c r="S164" i="25"/>
  <c r="K164" i="25" s="1"/>
  <c r="R164" i="25"/>
  <c r="Q164" i="25"/>
  <c r="AO164" i="25"/>
  <c r="BZ164" i="25"/>
  <c r="P255" i="24"/>
  <c r="Q255" i="24"/>
  <c r="AP255" i="24"/>
  <c r="R58" i="25"/>
  <c r="S58" i="25"/>
  <c r="K58" i="25" s="1"/>
  <c r="Q58" i="25"/>
  <c r="BZ58" i="25"/>
  <c r="AO58" i="25"/>
  <c r="AE103" i="24"/>
  <c r="AI103" i="24"/>
  <c r="X103" i="24"/>
  <c r="AA103" i="24" s="1"/>
  <c r="AB103" i="24" s="1"/>
  <c r="AC103" i="24" s="1"/>
  <c r="R231" i="25"/>
  <c r="S231" i="25"/>
  <c r="K231" i="25" s="1"/>
  <c r="V231" i="25" s="1"/>
  <c r="Q231" i="25"/>
  <c r="BZ231" i="25"/>
  <c r="AO231" i="25"/>
  <c r="R316" i="25"/>
  <c r="S316" i="25"/>
  <c r="K316" i="25" s="1"/>
  <c r="Q316" i="25"/>
  <c r="BZ316" i="25"/>
  <c r="AO316" i="25"/>
  <c r="AE140" i="24"/>
  <c r="AI140" i="24"/>
  <c r="X140" i="24"/>
  <c r="AA140" i="24" s="1"/>
  <c r="AB140" i="24" s="1"/>
  <c r="AC140" i="24" s="1"/>
  <c r="P149" i="24"/>
  <c r="Q149" i="24"/>
  <c r="AP149" i="24"/>
  <c r="AE200" i="24"/>
  <c r="AI200" i="24"/>
  <c r="X200" i="24"/>
  <c r="AA200" i="24" s="1"/>
  <c r="AB200" i="24" s="1"/>
  <c r="AC200" i="24" s="1"/>
  <c r="U121" i="25"/>
  <c r="W171" i="24"/>
  <c r="V171" i="24"/>
  <c r="R156" i="25"/>
  <c r="S156" i="25"/>
  <c r="K156" i="25" s="1"/>
  <c r="Q156" i="25"/>
  <c r="AO156" i="25"/>
  <c r="BZ156" i="25"/>
  <c r="S287" i="25"/>
  <c r="K287" i="25" s="1"/>
  <c r="V287" i="25" s="1"/>
  <c r="R287" i="25"/>
  <c r="Q287" i="25"/>
  <c r="BZ287" i="25"/>
  <c r="AO287" i="25"/>
  <c r="AD95" i="25"/>
  <c r="W95" i="25"/>
  <c r="Z95" i="25" s="1"/>
  <c r="AA95" i="25" s="1"/>
  <c r="AB95" i="25" s="1"/>
  <c r="AI95" i="25" s="1"/>
  <c r="AD131" i="25"/>
  <c r="W131" i="25"/>
  <c r="Z131" i="25" s="1"/>
  <c r="AA131" i="25" s="1"/>
  <c r="AB131" i="25" s="1"/>
  <c r="AI131" i="25" s="1"/>
  <c r="V131" i="25"/>
  <c r="X131" i="25" s="1"/>
  <c r="AE187" i="24"/>
  <c r="AI187" i="24"/>
  <c r="X187" i="24"/>
  <c r="AA187" i="24" s="1"/>
  <c r="AB187" i="24" s="1"/>
  <c r="AC187" i="24" s="1"/>
  <c r="AE150" i="24"/>
  <c r="AI150" i="24"/>
  <c r="X150" i="24"/>
  <c r="AA150" i="24" s="1"/>
  <c r="AB150" i="24" s="1"/>
  <c r="AC150" i="24" s="1"/>
  <c r="R43" i="25"/>
  <c r="S43" i="25"/>
  <c r="K43" i="25" s="1"/>
  <c r="Q43" i="25"/>
  <c r="BZ43" i="25"/>
  <c r="AO43" i="25"/>
  <c r="AE207" i="24"/>
  <c r="AI207" i="24"/>
  <c r="X207" i="24"/>
  <c r="AA207" i="24" s="1"/>
  <c r="AB207" i="24" s="1"/>
  <c r="AC207" i="24" s="1"/>
  <c r="V161" i="24"/>
  <c r="W161" i="24"/>
  <c r="P206" i="24"/>
  <c r="Q206" i="24"/>
  <c r="AP206" i="24"/>
  <c r="V144" i="24"/>
  <c r="W144" i="24"/>
  <c r="R127" i="25"/>
  <c r="S127" i="25"/>
  <c r="K127" i="25" s="1"/>
  <c r="Q127" i="25"/>
  <c r="AO127" i="25"/>
  <c r="BZ127" i="25"/>
  <c r="AE291" i="24"/>
  <c r="AI291" i="24"/>
  <c r="X291" i="24"/>
  <c r="AA291" i="24" s="1"/>
  <c r="AB291" i="24" s="1"/>
  <c r="AC291" i="24" s="1"/>
  <c r="AE227" i="24"/>
  <c r="AI227" i="24"/>
  <c r="X227" i="24"/>
  <c r="AA227" i="24" s="1"/>
  <c r="AB227" i="24" s="1"/>
  <c r="AC227" i="24" s="1"/>
  <c r="AD92" i="25"/>
  <c r="W92" i="25"/>
  <c r="Z92" i="25" s="1"/>
  <c r="AA92" i="25" s="1"/>
  <c r="AB92" i="25" s="1"/>
  <c r="AI92" i="25" s="1"/>
  <c r="V115" i="24"/>
  <c r="W115" i="24"/>
  <c r="AE36" i="24"/>
  <c r="AI36" i="24"/>
  <c r="X36" i="24"/>
  <c r="AA36" i="24" s="1"/>
  <c r="AB36" i="24" s="1"/>
  <c r="AC36" i="24" s="1"/>
  <c r="AE11" i="24"/>
  <c r="AI11" i="24"/>
  <c r="X11" i="24"/>
  <c r="AA11" i="24" s="1"/>
  <c r="AB11" i="24" s="1"/>
  <c r="AC11" i="24" s="1"/>
  <c r="AE189" i="24"/>
  <c r="AI189" i="24"/>
  <c r="X189" i="24"/>
  <c r="AA189" i="24" s="1"/>
  <c r="AB189" i="24" s="1"/>
  <c r="AC189" i="24" s="1"/>
  <c r="AE34" i="24"/>
  <c r="AI34" i="24"/>
  <c r="X34" i="24"/>
  <c r="AA34" i="24" s="1"/>
  <c r="AB34" i="24" s="1"/>
  <c r="AC34" i="24" s="1"/>
  <c r="S79" i="25"/>
  <c r="K79" i="25" s="1"/>
  <c r="V79" i="25" s="1"/>
  <c r="R79" i="25"/>
  <c r="Q79" i="25"/>
  <c r="BZ79" i="25"/>
  <c r="AO79" i="25"/>
  <c r="S233" i="25"/>
  <c r="K233" i="25" s="1"/>
  <c r="R233" i="25"/>
  <c r="Q233" i="25"/>
  <c r="AO233" i="25"/>
  <c r="BZ233" i="25"/>
  <c r="AE129" i="24"/>
  <c r="AI129" i="24"/>
  <c r="X129" i="24"/>
  <c r="AA129" i="24" s="1"/>
  <c r="AB129" i="24" s="1"/>
  <c r="AC129" i="24" s="1"/>
  <c r="R7" i="25"/>
  <c r="S7" i="25"/>
  <c r="K7" i="25" s="1"/>
  <c r="Q7" i="25"/>
  <c r="AO7" i="25"/>
  <c r="BZ7" i="25"/>
  <c r="S8" i="25"/>
  <c r="K8" i="25" s="1"/>
  <c r="R8" i="25"/>
  <c r="Q8" i="25"/>
  <c r="AO8" i="25"/>
  <c r="BZ8" i="25"/>
  <c r="AE307" i="24"/>
  <c r="AI307" i="24"/>
  <c r="X307" i="24"/>
  <c r="AA307" i="24" s="1"/>
  <c r="AB307" i="24" s="1"/>
  <c r="AC307" i="24" s="1"/>
  <c r="W151" i="24"/>
  <c r="V151" i="24"/>
  <c r="AE72" i="24"/>
  <c r="AI72" i="24"/>
  <c r="X72" i="24"/>
  <c r="AA72" i="24" s="1"/>
  <c r="AB72" i="24" s="1"/>
  <c r="AC72" i="24" s="1"/>
  <c r="W256" i="24"/>
  <c r="V256" i="24"/>
  <c r="W247" i="24"/>
  <c r="V247" i="24"/>
  <c r="W315" i="24"/>
  <c r="V315" i="24"/>
  <c r="AE255" i="24"/>
  <c r="AI255" i="24"/>
  <c r="X255" i="24"/>
  <c r="AA255" i="24" s="1"/>
  <c r="AB255" i="24" s="1"/>
  <c r="AC255" i="24" s="1"/>
  <c r="V300" i="24"/>
  <c r="W300" i="24"/>
  <c r="P249" i="24"/>
  <c r="Q249" i="24"/>
  <c r="AP249" i="24"/>
  <c r="AE29" i="24"/>
  <c r="AI29" i="24"/>
  <c r="X29" i="24"/>
  <c r="AA29" i="24" s="1"/>
  <c r="AB29" i="24" s="1"/>
  <c r="AC29" i="24" s="1"/>
  <c r="U224" i="25"/>
  <c r="AE173" i="24"/>
  <c r="AI173" i="24"/>
  <c r="X173" i="24"/>
  <c r="AA173" i="24" s="1"/>
  <c r="AB173" i="24" s="1"/>
  <c r="AC173" i="24" s="1"/>
  <c r="AE147" i="24"/>
  <c r="AI147" i="24"/>
  <c r="X147" i="24"/>
  <c r="AA147" i="24" s="1"/>
  <c r="AB147" i="24" s="1"/>
  <c r="AC147" i="24" s="1"/>
  <c r="AE287" i="24"/>
  <c r="AI287" i="24"/>
  <c r="X287" i="24"/>
  <c r="AA287" i="24" s="1"/>
  <c r="AB287" i="24" s="1"/>
  <c r="AC287" i="24" s="1"/>
  <c r="R281" i="25"/>
  <c r="S281" i="25"/>
  <c r="K281" i="25" s="1"/>
  <c r="V281" i="25" s="1"/>
  <c r="Q281" i="25"/>
  <c r="BZ281" i="25"/>
  <c r="AO281" i="25"/>
  <c r="AE309" i="24"/>
  <c r="AI309" i="24"/>
  <c r="X309" i="24"/>
  <c r="AA309" i="24" s="1"/>
  <c r="AB309" i="24" s="1"/>
  <c r="AC309" i="24" s="1"/>
  <c r="V33" i="24"/>
  <c r="W33" i="24"/>
  <c r="W176" i="24"/>
  <c r="V176" i="24"/>
  <c r="U266" i="25"/>
  <c r="S91" i="25"/>
  <c r="K91" i="25" s="1"/>
  <c r="R91" i="25"/>
  <c r="Q91" i="25"/>
  <c r="AO91" i="25"/>
  <c r="BZ91" i="25"/>
  <c r="AE68" i="24"/>
  <c r="AI68" i="24"/>
  <c r="X68" i="24"/>
  <c r="AA68" i="24" s="1"/>
  <c r="AB68" i="24" s="1"/>
  <c r="AC68" i="24" s="1"/>
  <c r="P195" i="24"/>
  <c r="Q195" i="24"/>
  <c r="AP195" i="24"/>
  <c r="U67" i="25"/>
  <c r="S223" i="25"/>
  <c r="K223" i="25" s="1"/>
  <c r="V223" i="25" s="1"/>
  <c r="R223" i="25"/>
  <c r="Q223" i="25"/>
  <c r="BZ223" i="25"/>
  <c r="AO223" i="25"/>
  <c r="AE235" i="24"/>
  <c r="AI235" i="24"/>
  <c r="X235" i="24"/>
  <c r="AA235" i="24" s="1"/>
  <c r="AB235" i="24" s="1"/>
  <c r="AC235" i="24" s="1"/>
  <c r="S284" i="25"/>
  <c r="K284" i="25" s="1"/>
  <c r="R284" i="25"/>
  <c r="Q284" i="25"/>
  <c r="BZ284" i="25"/>
  <c r="AO284" i="25"/>
  <c r="W282" i="24"/>
  <c r="V282" i="24"/>
  <c r="AD280" i="25"/>
  <c r="AE299" i="24"/>
  <c r="AI299" i="24"/>
  <c r="X299" i="24"/>
  <c r="AA299" i="24" s="1"/>
  <c r="AB299" i="24" s="1"/>
  <c r="AC299" i="24" s="1"/>
  <c r="AE195" i="24"/>
  <c r="AI195" i="24"/>
  <c r="X195" i="24"/>
  <c r="AA195" i="24" s="1"/>
  <c r="AB195" i="24" s="1"/>
  <c r="AC195" i="24" s="1"/>
  <c r="U165" i="25"/>
  <c r="P316" i="24"/>
  <c r="Q316" i="24"/>
  <c r="AP316" i="24"/>
  <c r="P309" i="24"/>
  <c r="Q309" i="24"/>
  <c r="AP309" i="24"/>
  <c r="AE57" i="24"/>
  <c r="AI57" i="24"/>
  <c r="X57" i="24"/>
  <c r="AA57" i="24" s="1"/>
  <c r="AB57" i="24" s="1"/>
  <c r="AC57" i="24" s="1"/>
  <c r="W177" i="24"/>
  <c r="V177" i="24"/>
  <c r="V51" i="24"/>
  <c r="W51" i="24"/>
  <c r="AE6" i="24"/>
  <c r="AI6" i="24"/>
  <c r="X6" i="24"/>
  <c r="AA6" i="24" s="1"/>
  <c r="AB6" i="24" s="1"/>
  <c r="AC6" i="24" s="1"/>
  <c r="AE23" i="24"/>
  <c r="AI23" i="24"/>
  <c r="X23" i="24"/>
  <c r="AA23" i="24" s="1"/>
  <c r="AB23" i="24" s="1"/>
  <c r="AC23" i="24" s="1"/>
  <c r="U159" i="25"/>
  <c r="AE139" i="24"/>
  <c r="AI139" i="24"/>
  <c r="X139" i="24"/>
  <c r="AA139" i="24" s="1"/>
  <c r="AB139" i="24" s="1"/>
  <c r="AC139" i="24" s="1"/>
  <c r="AE252" i="24"/>
  <c r="AI252" i="24"/>
  <c r="X252" i="24"/>
  <c r="AA252" i="24" s="1"/>
  <c r="AB252" i="24" s="1"/>
  <c r="AC252" i="24" s="1"/>
  <c r="W278" i="24"/>
  <c r="Y278" i="24" s="1"/>
  <c r="AF110" i="25"/>
  <c r="AE110" i="25"/>
  <c r="S146" i="25"/>
  <c r="K146" i="25" s="1"/>
  <c r="R146" i="25"/>
  <c r="Q146" i="25"/>
  <c r="BZ146" i="25"/>
  <c r="AO146" i="25"/>
  <c r="R252" i="25"/>
  <c r="S252" i="25"/>
  <c r="K252" i="25" s="1"/>
  <c r="Q252" i="25"/>
  <c r="BZ252" i="25"/>
  <c r="AO252" i="25"/>
  <c r="AE180" i="24"/>
  <c r="AI180" i="24"/>
  <c r="X180" i="24"/>
  <c r="AA180" i="24" s="1"/>
  <c r="AB180" i="24" s="1"/>
  <c r="AC180" i="24" s="1"/>
  <c r="Q308" i="24"/>
  <c r="P308" i="24"/>
  <c r="AP308" i="24"/>
  <c r="U278" i="25"/>
  <c r="AG101" i="24"/>
  <c r="AF101" i="24"/>
  <c r="AE47" i="24"/>
  <c r="AI47" i="24"/>
  <c r="X47" i="24"/>
  <c r="AA47" i="24" s="1"/>
  <c r="AB47" i="24" s="1"/>
  <c r="AC47" i="24" s="1"/>
  <c r="W47" i="24"/>
  <c r="Y47" i="24" s="1"/>
  <c r="W174" i="24"/>
  <c r="V174" i="24"/>
  <c r="AD243" i="25"/>
  <c r="W243" i="25"/>
  <c r="Z243" i="25" s="1"/>
  <c r="AA243" i="25" s="1"/>
  <c r="AB243" i="25" s="1"/>
  <c r="AI243" i="25" s="1"/>
  <c r="R70" i="25"/>
  <c r="S70" i="25"/>
  <c r="K70" i="25" s="1"/>
  <c r="Q70" i="25"/>
  <c r="BZ70" i="25"/>
  <c r="AO70" i="25"/>
  <c r="W120" i="24"/>
  <c r="Y120" i="24" s="1"/>
  <c r="W273" i="24"/>
  <c r="Y273" i="24" s="1"/>
  <c r="Q114" i="24"/>
  <c r="P114" i="24"/>
  <c r="AP114" i="24"/>
  <c r="AE184" i="24"/>
  <c r="AI184" i="24"/>
  <c r="X184" i="24"/>
  <c r="AA184" i="24" s="1"/>
  <c r="AB184" i="24" s="1"/>
  <c r="AC184" i="24" s="1"/>
  <c r="U100" i="25"/>
  <c r="AE268" i="24"/>
  <c r="AI268" i="24"/>
  <c r="X268" i="24"/>
  <c r="AA268" i="24" s="1"/>
  <c r="AB268" i="24" s="1"/>
  <c r="AC268" i="24" s="1"/>
  <c r="W113" i="24"/>
  <c r="V113" i="24"/>
  <c r="U264" i="25"/>
  <c r="AE116" i="24"/>
  <c r="AI116" i="24"/>
  <c r="X116" i="24"/>
  <c r="AA116" i="24" s="1"/>
  <c r="AB116" i="24" s="1"/>
  <c r="AC116" i="24" s="1"/>
  <c r="AD170" i="25"/>
  <c r="W170" i="25"/>
  <c r="Z170" i="25" s="1"/>
  <c r="AA170" i="25" s="1"/>
  <c r="AB170" i="25" s="1"/>
  <c r="AI170" i="25" s="1"/>
  <c r="R234" i="25"/>
  <c r="S234" i="25"/>
  <c r="K234" i="25" s="1"/>
  <c r="V234" i="25" s="1"/>
  <c r="Q234" i="25"/>
  <c r="AO234" i="25"/>
  <c r="BZ234" i="25"/>
  <c r="U194" i="25"/>
  <c r="AE266" i="24"/>
  <c r="AI266" i="24"/>
  <c r="X266" i="24"/>
  <c r="AA266" i="24" s="1"/>
  <c r="AB266" i="24" s="1"/>
  <c r="AC266" i="24" s="1"/>
  <c r="V136" i="24"/>
  <c r="W136" i="24"/>
  <c r="R286" i="25"/>
  <c r="S286" i="25"/>
  <c r="K286" i="25" s="1"/>
  <c r="Q286" i="25"/>
  <c r="AO286" i="25"/>
  <c r="BZ286" i="25"/>
  <c r="U268" i="25"/>
  <c r="P8" i="24"/>
  <c r="Q8" i="24"/>
  <c r="R8" i="24" s="1"/>
  <c r="AP8" i="24"/>
  <c r="Q94" i="24"/>
  <c r="R94" i="24" s="1"/>
  <c r="P94" i="24"/>
  <c r="AP94" i="24"/>
  <c r="V73" i="24"/>
  <c r="W73" i="24"/>
  <c r="W192" i="24"/>
  <c r="V192" i="24"/>
  <c r="AE246" i="24"/>
  <c r="AI246" i="24"/>
  <c r="W246" i="24"/>
  <c r="Y246" i="24" s="1"/>
  <c r="X246" i="24"/>
  <c r="AA246" i="24" s="1"/>
  <c r="AB246" i="24" s="1"/>
  <c r="AC246" i="24" s="1"/>
  <c r="U98" i="25"/>
  <c r="S52" i="25"/>
  <c r="K52" i="25" s="1"/>
  <c r="R52" i="25"/>
  <c r="Q52" i="25"/>
  <c r="BZ52" i="25"/>
  <c r="AO52" i="25"/>
  <c r="H212" i="25"/>
  <c r="AE238" i="24"/>
  <c r="AI238" i="24"/>
  <c r="X238" i="24"/>
  <c r="AA238" i="24" s="1"/>
  <c r="AB238" i="24" s="1"/>
  <c r="AC238" i="24" s="1"/>
  <c r="AE183" i="24"/>
  <c r="AI183" i="24"/>
  <c r="X183" i="24"/>
  <c r="AA183" i="24" s="1"/>
  <c r="AB183" i="24" s="1"/>
  <c r="AC183" i="24" s="1"/>
  <c r="AE61" i="24"/>
  <c r="AI61" i="24"/>
  <c r="X61" i="24"/>
  <c r="AA61" i="24" s="1"/>
  <c r="AB61" i="24" s="1"/>
  <c r="AC61" i="24" s="1"/>
  <c r="R93" i="25"/>
  <c r="S93" i="25"/>
  <c r="K93" i="25" s="1"/>
  <c r="Q93" i="25"/>
  <c r="AO93" i="25"/>
  <c r="BZ93" i="25"/>
  <c r="Q288" i="24"/>
  <c r="P288" i="24"/>
  <c r="AP288" i="24"/>
  <c r="AE248" i="24"/>
  <c r="AI248" i="24"/>
  <c r="X248" i="24"/>
  <c r="AA248" i="24" s="1"/>
  <c r="AB248" i="24" s="1"/>
  <c r="AC248" i="24" s="1"/>
  <c r="P209" i="24"/>
  <c r="Q209" i="24"/>
  <c r="AP209" i="24"/>
  <c r="AE205" i="24"/>
  <c r="AI205" i="24"/>
  <c r="X205" i="24"/>
  <c r="AA205" i="24" s="1"/>
  <c r="AB205" i="24" s="1"/>
  <c r="AC205" i="24" s="1"/>
  <c r="AE158" i="24"/>
  <c r="AI158" i="24"/>
  <c r="X158" i="24"/>
  <c r="AA158" i="24" s="1"/>
  <c r="AB158" i="24" s="1"/>
  <c r="AC158" i="24" s="1"/>
  <c r="V39" i="24"/>
  <c r="W39" i="24"/>
  <c r="S218" i="25"/>
  <c r="K218" i="25" s="1"/>
  <c r="V218" i="25" s="1"/>
  <c r="R218" i="25"/>
  <c r="Q218" i="25"/>
  <c r="AO218" i="25"/>
  <c r="BZ218" i="25"/>
  <c r="P164" i="24"/>
  <c r="Q164" i="24"/>
  <c r="AP164" i="24"/>
  <c r="W311" i="24"/>
  <c r="Y311" i="24" s="1"/>
  <c r="S44" i="25"/>
  <c r="K44" i="25" s="1"/>
  <c r="V44" i="25" s="1"/>
  <c r="R44" i="25"/>
  <c r="Q44" i="25"/>
  <c r="AO44" i="25"/>
  <c r="BZ44" i="25"/>
  <c r="R256" i="25"/>
  <c r="S256" i="25"/>
  <c r="K256" i="25" s="1"/>
  <c r="Q256" i="25"/>
  <c r="AO256" i="25"/>
  <c r="BZ256" i="25"/>
  <c r="Q26" i="24"/>
  <c r="R26" i="24" s="1"/>
  <c r="P26" i="24"/>
  <c r="AP26" i="24"/>
  <c r="Q158" i="24"/>
  <c r="P158" i="24"/>
  <c r="AP158" i="24"/>
  <c r="Q103" i="24"/>
  <c r="R103" i="24" s="1"/>
  <c r="P103" i="24"/>
  <c r="AP103" i="24"/>
  <c r="S271" i="25"/>
  <c r="K271" i="25" s="1"/>
  <c r="R271" i="25"/>
  <c r="Q271" i="25"/>
  <c r="AO271" i="25"/>
  <c r="BZ271" i="25"/>
  <c r="U55" i="25"/>
  <c r="U105" i="25"/>
  <c r="W138" i="24"/>
  <c r="V138" i="24"/>
  <c r="AE258" i="24"/>
  <c r="AI258" i="24"/>
  <c r="X258" i="24"/>
  <c r="AA258" i="24" s="1"/>
  <c r="AB258" i="24" s="1"/>
  <c r="AC258" i="24" s="1"/>
  <c r="U171" i="25"/>
  <c r="R254" i="25"/>
  <c r="S254" i="25"/>
  <c r="K254" i="25" s="1"/>
  <c r="Q254" i="25"/>
  <c r="BZ254" i="25"/>
  <c r="AO254" i="25"/>
  <c r="AE60" i="24"/>
  <c r="AI60" i="24"/>
  <c r="X60" i="24"/>
  <c r="AA60" i="24" s="1"/>
  <c r="AB60" i="24" s="1"/>
  <c r="AC60" i="24" s="1"/>
  <c r="AD34" i="25"/>
  <c r="W34" i="25"/>
  <c r="Z34" i="25" s="1"/>
  <c r="AA34" i="25" s="1"/>
  <c r="AB34" i="25" s="1"/>
  <c r="AI34" i="25" s="1"/>
  <c r="R182" i="25"/>
  <c r="S182" i="25"/>
  <c r="K182" i="25" s="1"/>
  <c r="Q182" i="25"/>
  <c r="AO182" i="25"/>
  <c r="BZ182" i="25"/>
  <c r="AE243" i="24"/>
  <c r="AI243" i="24"/>
  <c r="X243" i="24"/>
  <c r="AA243" i="24" s="1"/>
  <c r="AB243" i="24" s="1"/>
  <c r="AC243" i="24" s="1"/>
  <c r="AE256" i="24"/>
  <c r="AI256" i="24"/>
  <c r="X256" i="24"/>
  <c r="AA256" i="24" s="1"/>
  <c r="AB256" i="24" s="1"/>
  <c r="AC256" i="24" s="1"/>
  <c r="AE117" i="24"/>
  <c r="AI117" i="24"/>
  <c r="X117" i="24"/>
  <c r="AA117" i="24" s="1"/>
  <c r="AB117" i="24" s="1"/>
  <c r="AC117" i="24" s="1"/>
  <c r="W98" i="24"/>
  <c r="V98" i="24"/>
  <c r="S57" i="25"/>
  <c r="K57" i="25" s="1"/>
  <c r="R57" i="25"/>
  <c r="Q57" i="25"/>
  <c r="BZ57" i="25"/>
  <c r="AO57" i="25"/>
  <c r="Q161" i="24"/>
  <c r="P161" i="24"/>
  <c r="AP161" i="24"/>
  <c r="AE130" i="24"/>
  <c r="AI130" i="24"/>
  <c r="X130" i="24"/>
  <c r="AA130" i="24" s="1"/>
  <c r="AB130" i="24" s="1"/>
  <c r="AC130" i="24" s="1"/>
  <c r="AE159" i="24"/>
  <c r="AI159" i="24"/>
  <c r="X159" i="24"/>
  <c r="AA159" i="24" s="1"/>
  <c r="AB159" i="24" s="1"/>
  <c r="AC159" i="24" s="1"/>
  <c r="AE148" i="24"/>
  <c r="AI148" i="24"/>
  <c r="X148" i="24"/>
  <c r="AA148" i="24" s="1"/>
  <c r="AB148" i="24" s="1"/>
  <c r="AC148" i="24" s="1"/>
  <c r="R19" i="25"/>
  <c r="S19" i="25"/>
  <c r="K19" i="25" s="1"/>
  <c r="Q19" i="25"/>
  <c r="AO19" i="25"/>
  <c r="BZ19" i="25"/>
  <c r="AE18" i="24"/>
  <c r="AI18" i="24"/>
  <c r="X18" i="24"/>
  <c r="AA18" i="24" s="1"/>
  <c r="AB18" i="24" s="1"/>
  <c r="AC18" i="24" s="1"/>
  <c r="U301" i="25"/>
  <c r="AD292" i="25"/>
  <c r="W292" i="25"/>
  <c r="Z292" i="25" s="1"/>
  <c r="AA292" i="25" s="1"/>
  <c r="AB292" i="25" s="1"/>
  <c r="AI292" i="25" s="1"/>
  <c r="AD276" i="25"/>
  <c r="W276" i="25"/>
  <c r="Z276" i="25" s="1"/>
  <c r="AA276" i="25" s="1"/>
  <c r="AB276" i="25" s="1"/>
  <c r="AI276" i="25" s="1"/>
  <c r="AE15" i="24"/>
  <c r="AI15" i="24"/>
  <c r="X15" i="24"/>
  <c r="AA15" i="24" s="1"/>
  <c r="AB15" i="24" s="1"/>
  <c r="AC15" i="24" s="1"/>
  <c r="AD6" i="25"/>
  <c r="V6" i="25"/>
  <c r="X6" i="25" s="1"/>
  <c r="W6" i="25"/>
  <c r="Z6" i="25" s="1"/>
  <c r="AA6" i="25" s="1"/>
  <c r="AB6" i="25" s="1"/>
  <c r="AI6" i="25" s="1"/>
  <c r="W23" i="24"/>
  <c r="V23" i="24"/>
  <c r="S163" i="25"/>
  <c r="K163" i="25" s="1"/>
  <c r="R163" i="25"/>
  <c r="Q163" i="25"/>
  <c r="BZ163" i="25"/>
  <c r="AO163" i="25"/>
  <c r="AE225" i="24"/>
  <c r="AI225" i="24"/>
  <c r="W225" i="24"/>
  <c r="Y225" i="24" s="1"/>
  <c r="X225" i="24"/>
  <c r="AA225" i="24" s="1"/>
  <c r="AB225" i="24" s="1"/>
  <c r="AC225" i="24" s="1"/>
  <c r="U139" i="25"/>
  <c r="AE192" i="24"/>
  <c r="AI192" i="24"/>
  <c r="X192" i="24"/>
  <c r="AA192" i="24" s="1"/>
  <c r="AB192" i="24" s="1"/>
  <c r="AC192" i="24" s="1"/>
  <c r="AD177" i="25"/>
  <c r="W177" i="25"/>
  <c r="Z177" i="25" s="1"/>
  <c r="AA177" i="25" s="1"/>
  <c r="AB177" i="25" s="1"/>
  <c r="AI177" i="25" s="1"/>
  <c r="V177" i="25"/>
  <c r="X177" i="25" s="1"/>
  <c r="AE231" i="24"/>
  <c r="AI231" i="24"/>
  <c r="X231" i="24"/>
  <c r="AA231" i="24" s="1"/>
  <c r="AB231" i="24" s="1"/>
  <c r="AC231" i="24" s="1"/>
  <c r="U10" i="25"/>
  <c r="S126" i="25"/>
  <c r="K126" i="25" s="1"/>
  <c r="R126" i="25"/>
  <c r="Q126" i="25"/>
  <c r="BZ126" i="25"/>
  <c r="AO126" i="25"/>
  <c r="S172" i="25"/>
  <c r="K172" i="25" s="1"/>
  <c r="R172" i="25"/>
  <c r="Q172" i="25"/>
  <c r="BZ172" i="25"/>
  <c r="AO172" i="25"/>
  <c r="W129" i="24"/>
  <c r="Y129" i="24" s="1"/>
  <c r="S103" i="25"/>
  <c r="K103" i="25" s="1"/>
  <c r="V103" i="25" s="1"/>
  <c r="R103" i="25"/>
  <c r="Q103" i="25"/>
  <c r="BZ103" i="25"/>
  <c r="AO103" i="25"/>
  <c r="AE283" i="24"/>
  <c r="AI283" i="24"/>
  <c r="X283" i="24"/>
  <c r="AA283" i="24" s="1"/>
  <c r="AB283" i="24" s="1"/>
  <c r="AC283" i="24" s="1"/>
  <c r="AE274" i="24"/>
  <c r="AI274" i="24"/>
  <c r="X274" i="24"/>
  <c r="AA274" i="24" s="1"/>
  <c r="AB274" i="24" s="1"/>
  <c r="AC274" i="24" s="1"/>
  <c r="AD178" i="25"/>
  <c r="W178" i="25"/>
  <c r="Z178" i="25" s="1"/>
  <c r="AA178" i="25" s="1"/>
  <c r="AB178" i="25" s="1"/>
  <c r="AI178" i="25" s="1"/>
  <c r="AD257" i="25"/>
  <c r="W257" i="25"/>
  <c r="Z257" i="25" s="1"/>
  <c r="AA257" i="25" s="1"/>
  <c r="AB257" i="25" s="1"/>
  <c r="AI257" i="25" s="1"/>
  <c r="V257" i="25"/>
  <c r="X257" i="25" s="1"/>
  <c r="U53" i="25"/>
  <c r="AE128" i="24"/>
  <c r="AI128" i="24"/>
  <c r="X128" i="24"/>
  <c r="AA128" i="24" s="1"/>
  <c r="AB128" i="24" s="1"/>
  <c r="AC128" i="24" s="1"/>
  <c r="S60" i="25"/>
  <c r="K60" i="25" s="1"/>
  <c r="R60" i="25"/>
  <c r="Q60" i="25"/>
  <c r="AO60" i="25"/>
  <c r="BZ60" i="25"/>
  <c r="U219" i="25"/>
  <c r="U289" i="25"/>
  <c r="U209" i="25"/>
  <c r="P247" i="24"/>
  <c r="Q247" i="24"/>
  <c r="AP247" i="24"/>
  <c r="Q315" i="24"/>
  <c r="P315" i="24"/>
  <c r="AP315" i="24"/>
  <c r="U123" i="25"/>
  <c r="U307" i="25"/>
  <c r="AS129" i="25"/>
  <c r="S224" i="25"/>
  <c r="K224" i="25" s="1"/>
  <c r="R224" i="25"/>
  <c r="Q224" i="25"/>
  <c r="AO224" i="25"/>
  <c r="BZ224" i="25"/>
  <c r="AE24" i="24"/>
  <c r="AI24" i="24"/>
  <c r="X24" i="24"/>
  <c r="AA24" i="24" s="1"/>
  <c r="AB24" i="24" s="1"/>
  <c r="AC24" i="24" s="1"/>
  <c r="AE313" i="24"/>
  <c r="AI313" i="24"/>
  <c r="X313" i="24"/>
  <c r="AA313" i="24" s="1"/>
  <c r="AB313" i="24" s="1"/>
  <c r="AC313" i="24" s="1"/>
  <c r="W173" i="24"/>
  <c r="Y173" i="24" s="1"/>
  <c r="W18" i="24"/>
  <c r="Y18" i="24" s="1"/>
  <c r="W104" i="24"/>
  <c r="V104" i="24"/>
  <c r="AE82" i="24"/>
  <c r="AI82" i="24"/>
  <c r="X82" i="24"/>
  <c r="AA82" i="24" s="1"/>
  <c r="AB82" i="24" s="1"/>
  <c r="AC82" i="24" s="1"/>
  <c r="V261" i="25"/>
  <c r="X261" i="25" s="1"/>
  <c r="R290" i="25"/>
  <c r="S290" i="25"/>
  <c r="K290" i="25" s="1"/>
  <c r="Q290" i="25"/>
  <c r="BZ290" i="25"/>
  <c r="AO290" i="25"/>
  <c r="S136" i="25"/>
  <c r="K136" i="25" s="1"/>
  <c r="Q136" i="25"/>
  <c r="R136" i="25"/>
  <c r="AO136" i="25"/>
  <c r="BZ136" i="25"/>
  <c r="W232" i="24"/>
  <c r="V232" i="24"/>
  <c r="AE217" i="24"/>
  <c r="AI217" i="24"/>
  <c r="X217" i="24"/>
  <c r="AA217" i="24" s="1"/>
  <c r="AB217" i="24" s="1"/>
  <c r="AC217" i="24" s="1"/>
  <c r="S67" i="25"/>
  <c r="K67" i="25" s="1"/>
  <c r="R67" i="25"/>
  <c r="Q67" i="25"/>
  <c r="BZ67" i="25"/>
  <c r="AO67" i="25"/>
  <c r="AE20" i="24"/>
  <c r="AI20" i="24"/>
  <c r="X20" i="24"/>
  <c r="AA20" i="24" s="1"/>
  <c r="AB20" i="24" s="1"/>
  <c r="AC20" i="24" s="1"/>
  <c r="P282" i="24"/>
  <c r="Q282" i="24"/>
  <c r="AP282" i="24"/>
  <c r="AJ292" i="24"/>
  <c r="AE145" i="24"/>
  <c r="AI145" i="24"/>
  <c r="X145" i="24"/>
  <c r="AA145" i="24" s="1"/>
  <c r="AB145" i="24" s="1"/>
  <c r="AC145" i="24" s="1"/>
  <c r="R130" i="25"/>
  <c r="S130" i="25"/>
  <c r="K130" i="25" s="1"/>
  <c r="Q130" i="25"/>
  <c r="BZ130" i="25"/>
  <c r="AO130" i="25"/>
  <c r="R165" i="25"/>
  <c r="S165" i="25"/>
  <c r="K165" i="25" s="1"/>
  <c r="V165" i="25" s="1"/>
  <c r="Q165" i="25"/>
  <c r="BZ165" i="25"/>
  <c r="AO165" i="25"/>
  <c r="S266" i="25"/>
  <c r="K266" i="25" s="1"/>
  <c r="V266" i="25" s="1"/>
  <c r="R266" i="25"/>
  <c r="Q266" i="25"/>
  <c r="AO266" i="25"/>
  <c r="BZ266" i="25"/>
  <c r="AE174" i="24"/>
  <c r="AI174" i="24"/>
  <c r="X174" i="24"/>
  <c r="AA174" i="24" s="1"/>
  <c r="AB174" i="24" s="1"/>
  <c r="AC174" i="24" s="1"/>
  <c r="U202" i="25"/>
  <c r="W69" i="24"/>
  <c r="V69" i="24"/>
  <c r="AE178" i="24"/>
  <c r="AI178" i="24"/>
  <c r="X178" i="24"/>
  <c r="AA178" i="24" s="1"/>
  <c r="AB178" i="24" s="1"/>
  <c r="AC178" i="24" s="1"/>
  <c r="S159" i="25"/>
  <c r="K159" i="25" s="1"/>
  <c r="V159" i="25" s="1"/>
  <c r="R159" i="25"/>
  <c r="Q159" i="25"/>
  <c r="AO159" i="25"/>
  <c r="BZ159" i="25"/>
  <c r="V210" i="24"/>
  <c r="W210" i="24"/>
  <c r="AE69" i="24"/>
  <c r="AI69" i="24"/>
  <c r="X69" i="24"/>
  <c r="AA69" i="24" s="1"/>
  <c r="AB69" i="24" s="1"/>
  <c r="AC69" i="24" s="1"/>
  <c r="S63" i="25"/>
  <c r="K63" i="25" s="1"/>
  <c r="V63" i="25" s="1"/>
  <c r="R63" i="25"/>
  <c r="Q63" i="25"/>
  <c r="AO63" i="25"/>
  <c r="BZ63" i="25"/>
  <c r="AE125" i="24"/>
  <c r="AI125" i="24"/>
  <c r="X125" i="24"/>
  <c r="AA125" i="24" s="1"/>
  <c r="AB125" i="24" s="1"/>
  <c r="AC125" i="24" s="1"/>
  <c r="W29" i="24"/>
  <c r="V29" i="24"/>
  <c r="V145" i="24"/>
  <c r="W145" i="24"/>
  <c r="R278" i="25"/>
  <c r="S278" i="25"/>
  <c r="K278" i="25" s="1"/>
  <c r="Q278" i="25"/>
  <c r="BZ278" i="25"/>
  <c r="AO278" i="25"/>
  <c r="U73" i="25"/>
  <c r="AE164" i="24"/>
  <c r="AI164" i="24"/>
  <c r="X164" i="24"/>
  <c r="AA164" i="24" s="1"/>
  <c r="AB164" i="24" s="1"/>
  <c r="AC164" i="24" s="1"/>
  <c r="P174" i="24"/>
  <c r="Q174" i="24"/>
  <c r="AP174" i="24"/>
  <c r="R160" i="25"/>
  <c r="S160" i="25"/>
  <c r="K160" i="25" s="1"/>
  <c r="V160" i="25" s="1"/>
  <c r="Q160" i="25"/>
  <c r="AO160" i="25"/>
  <c r="BZ160" i="25"/>
  <c r="W202" i="24"/>
  <c r="Y202" i="24" s="1"/>
  <c r="AD174" i="25"/>
  <c r="W174" i="25"/>
  <c r="Z174" i="25" s="1"/>
  <c r="AA174" i="25" s="1"/>
  <c r="AB174" i="25" s="1"/>
  <c r="AI174" i="25" s="1"/>
  <c r="W287" i="24"/>
  <c r="Y287" i="24" s="1"/>
  <c r="R61" i="25"/>
  <c r="S61" i="25"/>
  <c r="K61" i="25" s="1"/>
  <c r="Q61" i="25"/>
  <c r="BZ61" i="25"/>
  <c r="AO61" i="25"/>
  <c r="S100" i="25"/>
  <c r="K100" i="25" s="1"/>
  <c r="R100" i="25"/>
  <c r="Q100" i="25"/>
  <c r="AO100" i="25"/>
  <c r="BZ100" i="25"/>
  <c r="V239" i="24"/>
  <c r="W239" i="24"/>
  <c r="R153" i="25"/>
  <c r="S153" i="25"/>
  <c r="K153" i="25" s="1"/>
  <c r="Q153" i="25"/>
  <c r="AO153" i="25"/>
  <c r="BZ153" i="25"/>
  <c r="AE54" i="24"/>
  <c r="AI54" i="24"/>
  <c r="X54" i="24"/>
  <c r="AA54" i="24" s="1"/>
  <c r="AB54" i="24" s="1"/>
  <c r="AC54" i="24" s="1"/>
  <c r="AE167" i="24"/>
  <c r="AI167" i="24"/>
  <c r="W167" i="24"/>
  <c r="Y167" i="24" s="1"/>
  <c r="X167" i="24"/>
  <c r="AA167" i="24" s="1"/>
  <c r="AB167" i="24" s="1"/>
  <c r="AC167" i="24" s="1"/>
  <c r="Q113" i="24"/>
  <c r="P113" i="24"/>
  <c r="AP113" i="24"/>
  <c r="R264" i="25"/>
  <c r="S264" i="25"/>
  <c r="K264" i="25" s="1"/>
  <c r="Q264" i="25"/>
  <c r="BZ264" i="25"/>
  <c r="AO264" i="25"/>
  <c r="R194" i="25"/>
  <c r="S194" i="25"/>
  <c r="K194" i="25" s="1"/>
  <c r="V194" i="25" s="1"/>
  <c r="Q194" i="25"/>
  <c r="AO194" i="25"/>
  <c r="BZ194" i="25"/>
  <c r="U23" i="25"/>
  <c r="R268" i="25"/>
  <c r="S268" i="25"/>
  <c r="K268" i="25" s="1"/>
  <c r="Q268" i="25"/>
  <c r="AO268" i="25"/>
  <c r="BZ268" i="25"/>
  <c r="V283" i="24"/>
  <c r="W283" i="24"/>
  <c r="V306" i="25"/>
  <c r="X306" i="25" s="1"/>
  <c r="W180" i="24"/>
  <c r="Y180" i="24" s="1"/>
  <c r="R98" i="25"/>
  <c r="S98" i="25"/>
  <c r="K98" i="25" s="1"/>
  <c r="Q98" i="25"/>
  <c r="AO98" i="25"/>
  <c r="BZ98" i="25"/>
  <c r="AE237" i="24"/>
  <c r="AI237" i="24"/>
  <c r="X237" i="24"/>
  <c r="AA237" i="24" s="1"/>
  <c r="AB237" i="24" s="1"/>
  <c r="AC237" i="24" s="1"/>
  <c r="AE196" i="24"/>
  <c r="AI196" i="24"/>
  <c r="X196" i="24"/>
  <c r="AA196" i="24" s="1"/>
  <c r="AB196" i="24" s="1"/>
  <c r="AC196" i="24" s="1"/>
  <c r="U72" i="25"/>
  <c r="AE30" i="24"/>
  <c r="AI30" i="24"/>
  <c r="X30" i="24"/>
  <c r="AA30" i="24" s="1"/>
  <c r="AB30" i="24" s="1"/>
  <c r="AC30" i="24" s="1"/>
  <c r="W118" i="24"/>
  <c r="Y118" i="24" s="1"/>
  <c r="AE234" i="24"/>
  <c r="AI234" i="24"/>
  <c r="X234" i="24"/>
  <c r="AA234" i="24" s="1"/>
  <c r="AB234" i="24" s="1"/>
  <c r="AC234" i="24" s="1"/>
  <c r="AE290" i="24"/>
  <c r="AI290" i="24"/>
  <c r="X290" i="24"/>
  <c r="AA290" i="24" s="1"/>
  <c r="AB290" i="24" s="1"/>
  <c r="AC290" i="24" s="1"/>
  <c r="Q39" i="24"/>
  <c r="R39" i="24" s="1"/>
  <c r="P39" i="24"/>
  <c r="AP39" i="24"/>
  <c r="AE64" i="24"/>
  <c r="AI64" i="24"/>
  <c r="X64" i="24"/>
  <c r="AA64" i="24" s="1"/>
  <c r="AB64" i="24" s="1"/>
  <c r="AC64" i="24" s="1"/>
  <c r="V229" i="24"/>
  <c r="W229" i="24"/>
  <c r="W155" i="24"/>
  <c r="Y155" i="24" s="1"/>
  <c r="U183" i="25"/>
  <c r="S83" i="25"/>
  <c r="K83" i="25" s="1"/>
  <c r="R83" i="25"/>
  <c r="Q83" i="25"/>
  <c r="BZ83" i="25"/>
  <c r="AO83" i="25"/>
  <c r="AE185" i="24"/>
  <c r="AI185" i="24"/>
  <c r="X185" i="24"/>
  <c r="AA185" i="24" s="1"/>
  <c r="AB185" i="24" s="1"/>
  <c r="AC185" i="24" s="1"/>
  <c r="AE300" i="24"/>
  <c r="AI300" i="24"/>
  <c r="X300" i="24"/>
  <c r="AA300" i="24" s="1"/>
  <c r="AB300" i="24" s="1"/>
  <c r="AC300" i="24" s="1"/>
  <c r="V299" i="24"/>
  <c r="W299" i="24"/>
  <c r="AE261" i="24"/>
  <c r="AI261" i="24"/>
  <c r="X261" i="24"/>
  <c r="AA261" i="24" s="1"/>
  <c r="AB261" i="24" s="1"/>
  <c r="AC261" i="24" s="1"/>
  <c r="U38" i="25"/>
  <c r="AE269" i="24"/>
  <c r="AI269" i="24"/>
  <c r="X269" i="24"/>
  <c r="AA269" i="24" s="1"/>
  <c r="AB269" i="24" s="1"/>
  <c r="AC269" i="24" s="1"/>
  <c r="U140" i="25"/>
  <c r="AE144" i="24"/>
  <c r="AI144" i="24"/>
  <c r="X144" i="24"/>
  <c r="AA144" i="24" s="1"/>
  <c r="AB144" i="24" s="1"/>
  <c r="AC144" i="24" s="1"/>
  <c r="AE58" i="24"/>
  <c r="AI58" i="24"/>
  <c r="X58" i="24"/>
  <c r="AA58" i="24" s="1"/>
  <c r="AB58" i="24" s="1"/>
  <c r="AC58" i="24" s="1"/>
  <c r="AE219" i="24"/>
  <c r="AI219" i="24"/>
  <c r="X219" i="24"/>
  <c r="AA219" i="24" s="1"/>
  <c r="AB219" i="24" s="1"/>
  <c r="AC219" i="24" s="1"/>
  <c r="V58" i="24"/>
  <c r="W58" i="24"/>
  <c r="AE134" i="24"/>
  <c r="AI134" i="24"/>
  <c r="W134" i="24"/>
  <c r="Y134" i="24" s="1"/>
  <c r="X134" i="24"/>
  <c r="AA134" i="24" s="1"/>
  <c r="AB134" i="24" s="1"/>
  <c r="AC134" i="24" s="1"/>
  <c r="S16" i="25"/>
  <c r="K16" i="25" s="1"/>
  <c r="R16" i="25"/>
  <c r="Q16" i="25"/>
  <c r="BZ16" i="25"/>
  <c r="AO16" i="25"/>
  <c r="W159" i="24"/>
  <c r="V159" i="24"/>
  <c r="AD283" i="25"/>
  <c r="W283" i="25"/>
  <c r="Z283" i="25" s="1"/>
  <c r="AA283" i="25" s="1"/>
  <c r="AB283" i="25" s="1"/>
  <c r="AI283" i="25" s="1"/>
  <c r="S38" i="25"/>
  <c r="K38" i="25" s="1"/>
  <c r="V38" i="25" s="1"/>
  <c r="R38" i="25"/>
  <c r="Q38" i="25"/>
  <c r="BZ38" i="25"/>
  <c r="AO38" i="25"/>
  <c r="AJ22" i="24"/>
  <c r="R128" i="25"/>
  <c r="S128" i="25"/>
  <c r="K128" i="25" s="1"/>
  <c r="Q128" i="25"/>
  <c r="AO128" i="25"/>
  <c r="BZ128" i="25"/>
  <c r="W245" i="24"/>
  <c r="V245" i="24"/>
  <c r="R140" i="25"/>
  <c r="S140" i="25"/>
  <c r="K140" i="25" s="1"/>
  <c r="V140" i="25" s="1"/>
  <c r="Q140" i="25"/>
  <c r="BZ140" i="25"/>
  <c r="AO140" i="25"/>
  <c r="S227" i="25"/>
  <c r="K227" i="25" s="1"/>
  <c r="R227" i="25"/>
  <c r="Q227" i="25"/>
  <c r="AO227" i="25"/>
  <c r="BZ227" i="25"/>
  <c r="AE42" i="24"/>
  <c r="AI42" i="24"/>
  <c r="X42" i="24"/>
  <c r="AA42" i="24" s="1"/>
  <c r="AB42" i="24" s="1"/>
  <c r="AC42" i="24" s="1"/>
  <c r="R37" i="25"/>
  <c r="S37" i="25"/>
  <c r="K37" i="25" s="1"/>
  <c r="Q37" i="25"/>
  <c r="AO37" i="25"/>
  <c r="BZ37" i="25"/>
  <c r="AE220" i="24"/>
  <c r="AI220" i="24"/>
  <c r="X220" i="24"/>
  <c r="AA220" i="24" s="1"/>
  <c r="AB220" i="24" s="1"/>
  <c r="AC220" i="24" s="1"/>
  <c r="Q58" i="24"/>
  <c r="R58" i="24" s="1"/>
  <c r="P58" i="24"/>
  <c r="AP58" i="24"/>
  <c r="AE83" i="24"/>
  <c r="AI83" i="24"/>
  <c r="X83" i="24"/>
  <c r="AA83" i="24" s="1"/>
  <c r="AB83" i="24" s="1"/>
  <c r="AC83" i="24" s="1"/>
  <c r="V260" i="24"/>
  <c r="W260" i="24"/>
  <c r="W289" i="24"/>
  <c r="Y289" i="24" s="1"/>
  <c r="R311" i="25"/>
  <c r="S311" i="25"/>
  <c r="K311" i="25" s="1"/>
  <c r="Q311" i="25"/>
  <c r="BZ311" i="25"/>
  <c r="AO311" i="25"/>
  <c r="R309" i="25"/>
  <c r="S309" i="25"/>
  <c r="K309" i="25" s="1"/>
  <c r="Q309" i="25"/>
  <c r="BZ309" i="25"/>
  <c r="AO309" i="25"/>
  <c r="AE224" i="24"/>
  <c r="AI224" i="24"/>
  <c r="X224" i="24"/>
  <c r="AA224" i="24" s="1"/>
  <c r="AB224" i="24" s="1"/>
  <c r="AC224" i="24" s="1"/>
  <c r="AD282" i="25"/>
  <c r="W282" i="25"/>
  <c r="Z282" i="25" s="1"/>
  <c r="AA282" i="25" s="1"/>
  <c r="AB282" i="25" s="1"/>
  <c r="AI282" i="25" s="1"/>
  <c r="R35" i="25"/>
  <c r="S35" i="25"/>
  <c r="K35" i="25" s="1"/>
  <c r="Q35" i="25"/>
  <c r="BZ35" i="25"/>
  <c r="AO35" i="25"/>
  <c r="AE9" i="24"/>
  <c r="AI9" i="24"/>
  <c r="X9" i="24"/>
  <c r="AA9" i="24" s="1"/>
  <c r="AB9" i="24" s="1"/>
  <c r="AC9" i="24" s="1"/>
  <c r="W189" i="24"/>
  <c r="Y189" i="24" s="1"/>
  <c r="U12" i="25"/>
  <c r="W42" i="24"/>
  <c r="V42" i="24"/>
  <c r="B101" i="2"/>
  <c r="U210" i="25"/>
  <c r="U313" i="25"/>
  <c r="AG41" i="24"/>
  <c r="AF41" i="24"/>
  <c r="AE181" i="24"/>
  <c r="AI181" i="24"/>
  <c r="X181" i="24"/>
  <c r="AA181" i="24" s="1"/>
  <c r="AB181" i="24" s="1"/>
  <c r="AC181" i="24" s="1"/>
  <c r="S301" i="25"/>
  <c r="K301" i="25" s="1"/>
  <c r="R301" i="25"/>
  <c r="Q301" i="25"/>
  <c r="AO301" i="25"/>
  <c r="BZ301" i="25"/>
  <c r="W111" i="24"/>
  <c r="V111" i="24"/>
  <c r="W186" i="24"/>
  <c r="V186" i="24"/>
  <c r="AD186" i="25"/>
  <c r="W186" i="25"/>
  <c r="Z186" i="25" s="1"/>
  <c r="AA186" i="25" s="1"/>
  <c r="AB186" i="25" s="1"/>
  <c r="AI186" i="25" s="1"/>
  <c r="V186" i="25"/>
  <c r="X186" i="25" s="1"/>
  <c r="S241" i="25"/>
  <c r="K241" i="25" s="1"/>
  <c r="R241" i="25"/>
  <c r="Q241" i="25"/>
  <c r="BZ241" i="25"/>
  <c r="AO241" i="25"/>
  <c r="AD229" i="25"/>
  <c r="W229" i="25"/>
  <c r="Z229" i="25" s="1"/>
  <c r="AA229" i="25" s="1"/>
  <c r="AB229" i="25" s="1"/>
  <c r="AI229" i="25" s="1"/>
  <c r="W258" i="24"/>
  <c r="Y258" i="24" s="1"/>
  <c r="W135" i="24"/>
  <c r="V135" i="24"/>
  <c r="U217" i="25"/>
  <c r="AE133" i="24"/>
  <c r="AI133" i="24"/>
  <c r="X133" i="24"/>
  <c r="AA133" i="24" s="1"/>
  <c r="AB133" i="24" s="1"/>
  <c r="AC133" i="24" s="1"/>
  <c r="R10" i="25"/>
  <c r="S10" i="25"/>
  <c r="K10" i="25" s="1"/>
  <c r="V10" i="25" s="1"/>
  <c r="Q10" i="25"/>
  <c r="AO10" i="25"/>
  <c r="BZ10" i="25"/>
  <c r="R166" i="25"/>
  <c r="S166" i="25"/>
  <c r="K166" i="25" s="1"/>
  <c r="Q166" i="25"/>
  <c r="BZ166" i="25"/>
  <c r="AO166" i="25"/>
  <c r="U181" i="25"/>
  <c r="AE33" i="24"/>
  <c r="AI33" i="24"/>
  <c r="X33" i="24"/>
  <c r="AA33" i="24" s="1"/>
  <c r="AB33" i="24" s="1"/>
  <c r="AC33" i="24" s="1"/>
  <c r="AD113" i="25"/>
  <c r="W113" i="25"/>
  <c r="Z113" i="25" s="1"/>
  <c r="AA113" i="25" s="1"/>
  <c r="AB113" i="25" s="1"/>
  <c r="AI113" i="25" s="1"/>
  <c r="AE67" i="24"/>
  <c r="AI67" i="24"/>
  <c r="X67" i="24"/>
  <c r="AA67" i="24" s="1"/>
  <c r="AB67" i="24" s="1"/>
  <c r="AC67" i="24" s="1"/>
  <c r="U63" i="25"/>
  <c r="R195" i="25"/>
  <c r="S195" i="25"/>
  <c r="K195" i="25" s="1"/>
  <c r="Q195" i="25"/>
  <c r="AO195" i="25"/>
  <c r="BZ195" i="25"/>
  <c r="V114" i="25"/>
  <c r="X114" i="25" s="1"/>
  <c r="AE98" i="24"/>
  <c r="AI98" i="24"/>
  <c r="X98" i="24"/>
  <c r="AA98" i="24" s="1"/>
  <c r="AB98" i="24" s="1"/>
  <c r="AC98" i="24" s="1"/>
  <c r="AE91" i="24"/>
  <c r="AI91" i="24"/>
  <c r="X91" i="24"/>
  <c r="AA91" i="24" s="1"/>
  <c r="AB91" i="24" s="1"/>
  <c r="AC91" i="24" s="1"/>
  <c r="R219" i="25"/>
  <c r="S219" i="25"/>
  <c r="K219" i="25" s="1"/>
  <c r="Q219" i="25"/>
  <c r="AO219" i="25"/>
  <c r="BZ219" i="25"/>
  <c r="U277" i="25"/>
  <c r="S209" i="25"/>
  <c r="K209" i="25" s="1"/>
  <c r="V209" i="25" s="1"/>
  <c r="R209" i="25"/>
  <c r="Q209" i="25"/>
  <c r="BZ209" i="25"/>
  <c r="AO209" i="25"/>
  <c r="AE86" i="24"/>
  <c r="AI86" i="24"/>
  <c r="X86" i="24"/>
  <c r="AA86" i="24" s="1"/>
  <c r="AB86" i="24" s="1"/>
  <c r="AC86" i="24" s="1"/>
  <c r="AE197" i="24"/>
  <c r="AI197" i="24"/>
  <c r="X197" i="24"/>
  <c r="AA197" i="24" s="1"/>
  <c r="AB197" i="24" s="1"/>
  <c r="AC197" i="24" s="1"/>
  <c r="V184" i="24"/>
  <c r="W184" i="24"/>
  <c r="R123" i="25"/>
  <c r="S123" i="25"/>
  <c r="K123" i="25" s="1"/>
  <c r="V123" i="25" s="1"/>
  <c r="Q123" i="25"/>
  <c r="AO123" i="25"/>
  <c r="BZ123" i="25"/>
  <c r="R307" i="25"/>
  <c r="S307" i="25"/>
  <c r="K307" i="25" s="1"/>
  <c r="V307" i="25" s="1"/>
  <c r="Q307" i="25"/>
  <c r="BZ307" i="25"/>
  <c r="AO307" i="25"/>
  <c r="W76" i="24"/>
  <c r="Y76" i="24" s="1"/>
  <c r="AF129" i="25"/>
  <c r="AE129" i="25"/>
  <c r="V148" i="24"/>
  <c r="W148" i="24"/>
  <c r="R175" i="25"/>
  <c r="S175" i="25"/>
  <c r="K175" i="25" s="1"/>
  <c r="V175" i="25" s="1"/>
  <c r="Q175" i="25"/>
  <c r="BZ175" i="25"/>
  <c r="AO175" i="25"/>
  <c r="AE316" i="24"/>
  <c r="AI316" i="24"/>
  <c r="X316" i="24"/>
  <c r="AA316" i="24" s="1"/>
  <c r="AB316" i="24" s="1"/>
  <c r="AC316" i="24" s="1"/>
  <c r="W228" i="24"/>
  <c r="V228" i="24"/>
  <c r="V259" i="25"/>
  <c r="X259" i="25" s="1"/>
  <c r="AD238" i="25"/>
  <c r="W238" i="25"/>
  <c r="Z238" i="25" s="1"/>
  <c r="AA238" i="25" s="1"/>
  <c r="AB238" i="25" s="1"/>
  <c r="AI238" i="25" s="1"/>
  <c r="AD173" i="25"/>
  <c r="W173" i="25"/>
  <c r="Z173" i="25" s="1"/>
  <c r="AA173" i="25" s="1"/>
  <c r="AB173" i="25" s="1"/>
  <c r="AI173" i="25" s="1"/>
  <c r="W14" i="24"/>
  <c r="Y14" i="24" s="1"/>
  <c r="S24" i="25"/>
  <c r="K24" i="25" s="1"/>
  <c r="R24" i="25"/>
  <c r="Q24" i="25"/>
  <c r="BZ24" i="25"/>
  <c r="AO24" i="25"/>
  <c r="AE301" i="24"/>
  <c r="AI301" i="24"/>
  <c r="X301" i="24"/>
  <c r="AA301" i="24" s="1"/>
  <c r="AB301" i="24" s="1"/>
  <c r="AC301" i="24" s="1"/>
  <c r="AE17" i="24"/>
  <c r="AI17" i="24"/>
  <c r="X17" i="24"/>
  <c r="AA17" i="24" s="1"/>
  <c r="AB17" i="24" s="1"/>
  <c r="AC17" i="24" s="1"/>
  <c r="P232" i="24"/>
  <c r="Q232" i="24"/>
  <c r="AP232" i="24"/>
  <c r="AE315" i="24"/>
  <c r="AI315" i="24"/>
  <c r="X315" i="24"/>
  <c r="AA315" i="24" s="1"/>
  <c r="AB315" i="24" s="1"/>
  <c r="AC315" i="24" s="1"/>
  <c r="AE127" i="24"/>
  <c r="AI127" i="24"/>
  <c r="X127" i="24"/>
  <c r="AA127" i="24" s="1"/>
  <c r="AB127" i="24" s="1"/>
  <c r="AC127" i="24" s="1"/>
  <c r="R176" i="25"/>
  <c r="S176" i="25"/>
  <c r="K176" i="25" s="1"/>
  <c r="Q176" i="25"/>
  <c r="AO176" i="25"/>
  <c r="BZ176" i="25"/>
  <c r="AG292" i="24"/>
  <c r="AF292" i="24"/>
  <c r="AE193" i="24"/>
  <c r="AI193" i="24"/>
  <c r="X193" i="24"/>
  <c r="AA193" i="24" s="1"/>
  <c r="AB193" i="24" s="1"/>
  <c r="AC193" i="24" s="1"/>
  <c r="W188" i="24"/>
  <c r="Y188" i="24" s="1"/>
  <c r="AD62" i="25"/>
  <c r="W62" i="25"/>
  <c r="Z62" i="25" s="1"/>
  <c r="AA62" i="25" s="1"/>
  <c r="AB62" i="25" s="1"/>
  <c r="AI62" i="25" s="1"/>
  <c r="W284" i="24"/>
  <c r="Y284" i="24" s="1"/>
  <c r="V206" i="25"/>
  <c r="X206" i="25" s="1"/>
  <c r="W218" i="24"/>
  <c r="Y218" i="24" s="1"/>
  <c r="U226" i="25"/>
  <c r="R36" i="25"/>
  <c r="S36" i="25"/>
  <c r="K36" i="25" s="1"/>
  <c r="Q36" i="25"/>
  <c r="AO36" i="25"/>
  <c r="BZ36" i="25"/>
  <c r="AE244" i="24"/>
  <c r="AI244" i="24"/>
  <c r="X244" i="24"/>
  <c r="AA244" i="24" s="1"/>
  <c r="AB244" i="24" s="1"/>
  <c r="AC244" i="24" s="1"/>
  <c r="W269" i="24"/>
  <c r="Y269" i="24" s="1"/>
  <c r="AD296" i="25"/>
  <c r="W296" i="25"/>
  <c r="Z296" i="25" s="1"/>
  <c r="AA296" i="25" s="1"/>
  <c r="AB296" i="25" s="1"/>
  <c r="AI296" i="25" s="1"/>
  <c r="V296" i="25"/>
  <c r="X296" i="25" s="1"/>
  <c r="W172" i="24"/>
  <c r="Y172" i="24" s="1"/>
  <c r="Q210" i="24"/>
  <c r="P210" i="24"/>
  <c r="AP210" i="24"/>
  <c r="R137" i="25"/>
  <c r="S137" i="25"/>
  <c r="K137" i="25" s="1"/>
  <c r="Q137" i="25"/>
  <c r="AO137" i="25"/>
  <c r="BZ137" i="25"/>
  <c r="V222" i="24"/>
  <c r="W222" i="24"/>
  <c r="AE262" i="24"/>
  <c r="AI262" i="24"/>
  <c r="X262" i="24"/>
  <c r="AA262" i="24" s="1"/>
  <c r="AB262" i="24" s="1"/>
  <c r="AC262" i="24" s="1"/>
  <c r="AE80" i="24"/>
  <c r="AI80" i="24"/>
  <c r="X80" i="24"/>
  <c r="AA80" i="24" s="1"/>
  <c r="AB80" i="24" s="1"/>
  <c r="AC80" i="24" s="1"/>
  <c r="AJ236" i="24"/>
  <c r="U203" i="25"/>
  <c r="AE306" i="24"/>
  <c r="AI306" i="24"/>
  <c r="X306" i="24"/>
  <c r="AA306" i="24" s="1"/>
  <c r="AB306" i="24" s="1"/>
  <c r="AC306" i="24" s="1"/>
  <c r="P29" i="24"/>
  <c r="Q29" i="24"/>
  <c r="R29" i="24" s="1"/>
  <c r="AP29" i="24"/>
  <c r="P145" i="24"/>
  <c r="Q145" i="24"/>
  <c r="AP145" i="24"/>
  <c r="AE92" i="24"/>
  <c r="AI92" i="24"/>
  <c r="X92" i="24"/>
  <c r="AA92" i="24" s="1"/>
  <c r="AB92" i="24" s="1"/>
  <c r="AC92" i="24" s="1"/>
  <c r="AE51" i="24"/>
  <c r="AI51" i="24"/>
  <c r="X51" i="24"/>
  <c r="AA51" i="24" s="1"/>
  <c r="AB51" i="24" s="1"/>
  <c r="AC51" i="24" s="1"/>
  <c r="R73" i="25"/>
  <c r="S73" i="25"/>
  <c r="K73" i="25" s="1"/>
  <c r="V73" i="25" s="1"/>
  <c r="Q73" i="25"/>
  <c r="AO73" i="25"/>
  <c r="BZ73" i="25"/>
  <c r="R187" i="25"/>
  <c r="S187" i="25"/>
  <c r="K187" i="25" s="1"/>
  <c r="V187" i="25" s="1"/>
  <c r="Q187" i="25"/>
  <c r="BZ187" i="25"/>
  <c r="AO187" i="25"/>
  <c r="AE39" i="24"/>
  <c r="AI39" i="24"/>
  <c r="X39" i="24"/>
  <c r="AA39" i="24" s="1"/>
  <c r="AB39" i="24" s="1"/>
  <c r="AC39" i="24" s="1"/>
  <c r="AJ142" i="24"/>
  <c r="AE229" i="24"/>
  <c r="AI229" i="24"/>
  <c r="X229" i="24"/>
  <c r="AA229" i="24" s="1"/>
  <c r="AB229" i="24" s="1"/>
  <c r="AC229" i="24" s="1"/>
  <c r="AE111" i="24"/>
  <c r="AI111" i="24"/>
  <c r="X111" i="24"/>
  <c r="AA111" i="24" s="1"/>
  <c r="AB111" i="24" s="1"/>
  <c r="AC111" i="24" s="1"/>
  <c r="W116" i="24"/>
  <c r="Y116" i="24" s="1"/>
  <c r="W67" i="24"/>
  <c r="Y67" i="24" s="1"/>
  <c r="W92" i="24"/>
  <c r="V92" i="24"/>
  <c r="AE46" i="24"/>
  <c r="AI46" i="24"/>
  <c r="X46" i="24"/>
  <c r="AA46" i="24" s="1"/>
  <c r="AB46" i="24" s="1"/>
  <c r="AC46" i="24" s="1"/>
  <c r="W6" i="24"/>
  <c r="Y6" i="24" s="1"/>
  <c r="W277" i="24"/>
  <c r="V277" i="24"/>
  <c r="Q239" i="24"/>
  <c r="P239" i="24"/>
  <c r="AP239" i="24"/>
  <c r="W38" i="24"/>
  <c r="V38" i="24"/>
  <c r="R47" i="25"/>
  <c r="S47" i="25"/>
  <c r="K47" i="25" s="1"/>
  <c r="V47" i="25" s="1"/>
  <c r="Q47" i="25"/>
  <c r="AO47" i="25"/>
  <c r="BZ47" i="25"/>
  <c r="AE259" i="24"/>
  <c r="AI259" i="24"/>
  <c r="X259" i="24"/>
  <c r="AA259" i="24" s="1"/>
  <c r="AB259" i="24" s="1"/>
  <c r="AC259" i="24" s="1"/>
  <c r="S23" i="25"/>
  <c r="K23" i="25" s="1"/>
  <c r="R23" i="25"/>
  <c r="Q23" i="25"/>
  <c r="AO23" i="25"/>
  <c r="BZ23" i="25"/>
  <c r="V57" i="24"/>
  <c r="W57" i="24"/>
  <c r="U272" i="25"/>
  <c r="AE126" i="24"/>
  <c r="AI126" i="24"/>
  <c r="X126" i="24"/>
  <c r="AA126" i="24" s="1"/>
  <c r="AB126" i="24" s="1"/>
  <c r="AC126" i="24" s="1"/>
  <c r="V235" i="24"/>
  <c r="W235" i="24"/>
  <c r="W193" i="24"/>
  <c r="Y193" i="24" s="1"/>
  <c r="AD248" i="25"/>
  <c r="W248" i="25"/>
  <c r="Z248" i="25" s="1"/>
  <c r="AA248" i="25" s="1"/>
  <c r="AB248" i="25" s="1"/>
  <c r="AI248" i="25" s="1"/>
  <c r="V174" i="25"/>
  <c r="X174" i="25" s="1"/>
  <c r="AD204" i="25"/>
  <c r="W204" i="25"/>
  <c r="Z204" i="25" s="1"/>
  <c r="AA204" i="25" s="1"/>
  <c r="AB204" i="25" s="1"/>
  <c r="AI204" i="25" s="1"/>
  <c r="S80" i="25"/>
  <c r="K80" i="25" s="1"/>
  <c r="R80" i="25"/>
  <c r="Q80" i="25"/>
  <c r="AO80" i="25"/>
  <c r="BZ80" i="25"/>
  <c r="R310" i="25"/>
  <c r="S310" i="25"/>
  <c r="K310" i="25" s="1"/>
  <c r="Q310" i="25"/>
  <c r="AO310" i="25"/>
  <c r="BZ310" i="25"/>
  <c r="FJ211" i="25"/>
  <c r="R54" i="25"/>
  <c r="S54" i="25"/>
  <c r="K54" i="25" s="1"/>
  <c r="Q54" i="25"/>
  <c r="BZ54" i="25"/>
  <c r="AO54" i="25"/>
  <c r="S72" i="25"/>
  <c r="K72" i="25" s="1"/>
  <c r="R72" i="25"/>
  <c r="Q72" i="25"/>
  <c r="AO72" i="25"/>
  <c r="BZ72" i="25"/>
  <c r="R65" i="25"/>
  <c r="S65" i="25"/>
  <c r="K65" i="25" s="1"/>
  <c r="Q65" i="25"/>
  <c r="BZ65" i="25"/>
  <c r="AO65" i="25"/>
  <c r="U225" i="25"/>
  <c r="W291" i="24"/>
  <c r="V291" i="24"/>
  <c r="V100" i="24"/>
  <c r="W100" i="24"/>
  <c r="W266" i="24"/>
  <c r="V266" i="24"/>
  <c r="Q229" i="24"/>
  <c r="P229" i="24"/>
  <c r="AP229" i="24"/>
  <c r="AE88" i="24"/>
  <c r="AI88" i="24"/>
  <c r="W88" i="24"/>
  <c r="Y88" i="24" s="1"/>
  <c r="X88" i="24"/>
  <c r="AA88" i="24" s="1"/>
  <c r="AB88" i="24" s="1"/>
  <c r="AC88" i="24" s="1"/>
  <c r="AE170" i="24"/>
  <c r="AI170" i="24"/>
  <c r="X170" i="24"/>
  <c r="AA170" i="24" s="1"/>
  <c r="AB170" i="24" s="1"/>
  <c r="AC170" i="24" s="1"/>
  <c r="AD247" i="25"/>
  <c r="W247" i="25"/>
  <c r="Z247" i="25" s="1"/>
  <c r="AA247" i="25" s="1"/>
  <c r="AB247" i="25" s="1"/>
  <c r="AI247" i="25" s="1"/>
  <c r="R149" i="25"/>
  <c r="S149" i="25"/>
  <c r="K149" i="25" s="1"/>
  <c r="Q149" i="25"/>
  <c r="AO149" i="25"/>
  <c r="BZ149" i="25"/>
  <c r="AG22" i="24"/>
  <c r="AF22" i="24"/>
  <c r="W80" i="24"/>
  <c r="V80" i="24"/>
  <c r="AE241" i="24"/>
  <c r="AI241" i="24"/>
  <c r="X241" i="24"/>
  <c r="AA241" i="24" s="1"/>
  <c r="AB241" i="24" s="1"/>
  <c r="AC241" i="24" s="1"/>
  <c r="AE66" i="24"/>
  <c r="AI66" i="24"/>
  <c r="X66" i="24"/>
  <c r="AA66" i="24" s="1"/>
  <c r="AB66" i="24" s="1"/>
  <c r="AC66" i="24" s="1"/>
  <c r="AG190" i="24"/>
  <c r="AF190" i="24"/>
  <c r="R263" i="25"/>
  <c r="S263" i="25"/>
  <c r="K263" i="25" s="1"/>
  <c r="Q263" i="25"/>
  <c r="AO263" i="25"/>
  <c r="BZ263" i="25"/>
  <c r="U90" i="25"/>
  <c r="U125" i="25"/>
  <c r="U297" i="25"/>
  <c r="AE279" i="24"/>
  <c r="AI279" i="24"/>
  <c r="X279" i="24"/>
  <c r="AA279" i="24" s="1"/>
  <c r="AB279" i="24" s="1"/>
  <c r="AC279" i="24" s="1"/>
  <c r="P260" i="24"/>
  <c r="Q260" i="24"/>
  <c r="AP260" i="24"/>
  <c r="S101" i="25"/>
  <c r="K101" i="25" s="1"/>
  <c r="V101" i="25" s="1"/>
  <c r="R101" i="25"/>
  <c r="Q101" i="25"/>
  <c r="AO101" i="25"/>
  <c r="BZ101" i="25"/>
  <c r="AD31" i="25"/>
  <c r="W31" i="25"/>
  <c r="Z31" i="25" s="1"/>
  <c r="AA31" i="25" s="1"/>
  <c r="AB31" i="25" s="1"/>
  <c r="AI31" i="25" s="1"/>
  <c r="V112" i="24"/>
  <c r="W112" i="24"/>
  <c r="AE230" i="24"/>
  <c r="AI230" i="24"/>
  <c r="X230" i="24"/>
  <c r="AA230" i="24" s="1"/>
  <c r="AB230" i="24" s="1"/>
  <c r="AC230" i="24" s="1"/>
  <c r="U75" i="25"/>
  <c r="AE247" i="24"/>
  <c r="AI247" i="24"/>
  <c r="X247" i="24"/>
  <c r="AA247" i="24" s="1"/>
  <c r="AB247" i="24" s="1"/>
  <c r="AC247" i="24" s="1"/>
  <c r="AE182" i="24"/>
  <c r="AI182" i="24"/>
  <c r="X182" i="24"/>
  <c r="AA182" i="24" s="1"/>
  <c r="AB182" i="24" s="1"/>
  <c r="AC182" i="24" s="1"/>
  <c r="V9" i="24"/>
  <c r="W9" i="24"/>
  <c r="S12" i="25"/>
  <c r="K12" i="25" s="1"/>
  <c r="R12" i="25"/>
  <c r="Q12" i="25"/>
  <c r="AO12" i="25"/>
  <c r="BZ12" i="25"/>
  <c r="W131" i="24"/>
  <c r="V131" i="24"/>
  <c r="P42" i="24"/>
  <c r="Q42" i="24"/>
  <c r="R42" i="24" s="1"/>
  <c r="AP42" i="24"/>
  <c r="AE249" i="24"/>
  <c r="AI249" i="24"/>
  <c r="X249" i="24"/>
  <c r="AA249" i="24" s="1"/>
  <c r="AB249" i="24" s="1"/>
  <c r="AC249" i="24" s="1"/>
  <c r="V123" i="24"/>
  <c r="W123" i="24"/>
  <c r="U84" i="25"/>
  <c r="S313" i="25"/>
  <c r="K313" i="25" s="1"/>
  <c r="R313" i="25"/>
  <c r="Q313" i="25"/>
  <c r="AO313" i="25"/>
  <c r="BZ313" i="25"/>
  <c r="AE163" i="24"/>
  <c r="AI163" i="24"/>
  <c r="X163" i="24"/>
  <c r="AA163" i="24" s="1"/>
  <c r="AB163" i="24" s="1"/>
  <c r="AC163" i="24" s="1"/>
  <c r="S48" i="25"/>
  <c r="K48" i="25" s="1"/>
  <c r="R48" i="25"/>
  <c r="Q48" i="25"/>
  <c r="BZ48" i="25"/>
  <c r="AO48" i="25"/>
  <c r="V34" i="25"/>
  <c r="X34" i="25" s="1"/>
  <c r="U228" i="25"/>
  <c r="W280" i="24"/>
  <c r="V280" i="24"/>
  <c r="AD201" i="25"/>
  <c r="W201" i="25"/>
  <c r="Z201" i="25" s="1"/>
  <c r="AA201" i="25" s="1"/>
  <c r="AB201" i="25" s="1"/>
  <c r="AI201" i="25" s="1"/>
  <c r="AE50" i="24"/>
  <c r="AI50" i="24"/>
  <c r="X50" i="24"/>
  <c r="AA50" i="24" s="1"/>
  <c r="AB50" i="24" s="1"/>
  <c r="AC50" i="24" s="1"/>
  <c r="S144" i="25"/>
  <c r="K144" i="25" s="1"/>
  <c r="R144" i="25"/>
  <c r="Q144" i="25"/>
  <c r="AO144" i="25"/>
  <c r="BZ144" i="25"/>
  <c r="S217" i="25"/>
  <c r="K217" i="25" s="1"/>
  <c r="V217" i="25" s="1"/>
  <c r="R217" i="25"/>
  <c r="Q217" i="25"/>
  <c r="AO217" i="25"/>
  <c r="BZ217" i="25"/>
  <c r="R139" i="25"/>
  <c r="S139" i="25"/>
  <c r="K139" i="25" s="1"/>
  <c r="V139" i="25" s="1"/>
  <c r="Q139" i="25"/>
  <c r="AO139" i="25"/>
  <c r="BZ139" i="25"/>
  <c r="AE175" i="24"/>
  <c r="AI175" i="24"/>
  <c r="X175" i="24"/>
  <c r="AA175" i="24" s="1"/>
  <c r="AB175" i="24" s="1"/>
  <c r="AC175" i="24" s="1"/>
  <c r="U234" i="25"/>
  <c r="U26" i="25"/>
  <c r="W141" i="24"/>
  <c r="V141" i="24"/>
  <c r="S250" i="25"/>
  <c r="K250" i="25" s="1"/>
  <c r="R250" i="25"/>
  <c r="Q250" i="25"/>
  <c r="AO250" i="25"/>
  <c r="BZ250" i="25"/>
  <c r="R118" i="25"/>
  <c r="S118" i="25"/>
  <c r="K118" i="25" s="1"/>
  <c r="V118" i="25" s="1"/>
  <c r="Q118" i="25"/>
  <c r="AO118" i="25"/>
  <c r="BZ118" i="25"/>
  <c r="AD255" i="25"/>
  <c r="W255" i="25"/>
  <c r="Z255" i="25" s="1"/>
  <c r="AA255" i="25" s="1"/>
  <c r="AB255" i="25" s="1"/>
  <c r="AI255" i="25" s="1"/>
  <c r="V255" i="25"/>
  <c r="X255" i="25" s="1"/>
  <c r="U74" i="25"/>
  <c r="R151" i="25"/>
  <c r="S151" i="25"/>
  <c r="K151" i="25" s="1"/>
  <c r="Q151" i="25"/>
  <c r="AO151" i="25"/>
  <c r="BZ151" i="25"/>
  <c r="V92" i="25"/>
  <c r="X92" i="25" s="1"/>
  <c r="AE56" i="24"/>
  <c r="AI56" i="24"/>
  <c r="X56" i="24"/>
  <c r="AA56" i="24" s="1"/>
  <c r="AB56" i="24" s="1"/>
  <c r="AC56" i="24" s="1"/>
  <c r="AE70" i="24"/>
  <c r="AI70" i="24"/>
  <c r="X70" i="24"/>
  <c r="AA70" i="24" s="1"/>
  <c r="AB70" i="24" s="1"/>
  <c r="AC70" i="24" s="1"/>
  <c r="S152" i="25"/>
  <c r="K152" i="25" s="1"/>
  <c r="R152" i="25"/>
  <c r="Q152" i="25"/>
  <c r="AO152" i="25"/>
  <c r="BZ152" i="25"/>
  <c r="S50" i="25"/>
  <c r="K50" i="25" s="1"/>
  <c r="R50" i="25"/>
  <c r="Q50" i="25"/>
  <c r="AO50" i="25"/>
  <c r="BZ50" i="25"/>
  <c r="S277" i="25"/>
  <c r="K277" i="25" s="1"/>
  <c r="R277" i="25"/>
  <c r="Q277" i="25"/>
  <c r="AO277" i="25"/>
  <c r="BZ277" i="25"/>
  <c r="P184" i="24"/>
  <c r="Q184" i="24"/>
  <c r="AP184" i="24"/>
  <c r="AE146" i="24"/>
  <c r="AI146" i="24"/>
  <c r="X146" i="24"/>
  <c r="AA146" i="24" s="1"/>
  <c r="AB146" i="24" s="1"/>
  <c r="AC146" i="24" s="1"/>
  <c r="AE153" i="24"/>
  <c r="AI153" i="24"/>
  <c r="X153" i="24"/>
  <c r="AA153" i="24" s="1"/>
  <c r="AB153" i="24" s="1"/>
  <c r="AC153" i="24" s="1"/>
  <c r="AE271" i="24"/>
  <c r="AI271" i="24"/>
  <c r="X271" i="24"/>
  <c r="AA271" i="24" s="1"/>
  <c r="AB271" i="24" s="1"/>
  <c r="AC271" i="24" s="1"/>
  <c r="AE149" i="24"/>
  <c r="AI149" i="24"/>
  <c r="X149" i="24"/>
  <c r="AA149" i="24" s="1"/>
  <c r="AB149" i="24" s="1"/>
  <c r="AC149" i="24" s="1"/>
  <c r="P148" i="24"/>
  <c r="Q148" i="24"/>
  <c r="AP148" i="24"/>
  <c r="AE304" i="24"/>
  <c r="AI304" i="24"/>
  <c r="X304" i="24"/>
  <c r="AA304" i="24" s="1"/>
  <c r="AB304" i="24" s="1"/>
  <c r="AC304" i="24" s="1"/>
  <c r="Q228" i="24"/>
  <c r="P228" i="24"/>
  <c r="AP228" i="24"/>
  <c r="U208" i="25"/>
  <c r="R298" i="25"/>
  <c r="S298" i="25"/>
  <c r="K298" i="25" s="1"/>
  <c r="V298" i="25" s="1"/>
  <c r="Q298" i="25"/>
  <c r="BZ298" i="25"/>
  <c r="AO298" i="25"/>
  <c r="W241" i="24"/>
  <c r="V241" i="24"/>
  <c r="V185" i="24"/>
  <c r="W185" i="24"/>
  <c r="AD21" i="25"/>
  <c r="W21" i="25"/>
  <c r="Z21" i="25" s="1"/>
  <c r="AA21" i="25" s="1"/>
  <c r="AB21" i="25" s="1"/>
  <c r="AI21" i="25" s="1"/>
  <c r="AE35" i="24"/>
  <c r="AI35" i="24"/>
  <c r="X35" i="24"/>
  <c r="AA35" i="24" s="1"/>
  <c r="AB35" i="24" s="1"/>
  <c r="AC35" i="24" s="1"/>
  <c r="W85" i="24"/>
  <c r="V85" i="24"/>
  <c r="U27" i="25"/>
  <c r="U274" i="25"/>
  <c r="U205" i="25"/>
  <c r="AE10" i="24"/>
  <c r="AI10" i="24"/>
  <c r="X10" i="24"/>
  <c r="AA10" i="24" s="1"/>
  <c r="AB10" i="24" s="1"/>
  <c r="AC10" i="24" s="1"/>
  <c r="W65" i="24"/>
  <c r="V65" i="24"/>
  <c r="W82" i="24"/>
  <c r="Y82" i="24" s="1"/>
  <c r="AE43" i="24"/>
  <c r="AI43" i="24"/>
  <c r="X43" i="24"/>
  <c r="AA43" i="24" s="1"/>
  <c r="AB43" i="24" s="1"/>
  <c r="AC43" i="24" s="1"/>
  <c r="AE122" i="24"/>
  <c r="AI122" i="24"/>
  <c r="X122" i="24"/>
  <c r="AA122" i="24" s="1"/>
  <c r="AB122" i="24" s="1"/>
  <c r="AC122" i="24" s="1"/>
  <c r="AE40" i="24"/>
  <c r="AI40" i="24"/>
  <c r="X40" i="24"/>
  <c r="AA40" i="24" s="1"/>
  <c r="AB40" i="24" s="1"/>
  <c r="AC40" i="24" s="1"/>
  <c r="AE239" i="24"/>
  <c r="AI239" i="24"/>
  <c r="X239" i="24"/>
  <c r="AA239" i="24" s="1"/>
  <c r="AB239" i="24" s="1"/>
  <c r="AC239" i="24" s="1"/>
  <c r="AE154" i="24"/>
  <c r="AI154" i="24"/>
  <c r="X154" i="24"/>
  <c r="AA154" i="24" s="1"/>
  <c r="AB154" i="24" s="1"/>
  <c r="AC154" i="24" s="1"/>
  <c r="R203" i="25"/>
  <c r="S203" i="25"/>
  <c r="K203" i="25" s="1"/>
  <c r="V203" i="25" s="1"/>
  <c r="Q203" i="25"/>
  <c r="AO203" i="25"/>
  <c r="BZ203" i="25"/>
  <c r="V197" i="24"/>
  <c r="W197" i="24"/>
  <c r="W207" i="24"/>
  <c r="Y207" i="24" s="1"/>
  <c r="U221" i="25"/>
  <c r="V95" i="24"/>
  <c r="W95" i="24"/>
  <c r="S171" i="25"/>
  <c r="K171" i="25" s="1"/>
  <c r="V171" i="25" s="1"/>
  <c r="R171" i="25"/>
  <c r="Q171" i="25"/>
  <c r="AO171" i="25"/>
  <c r="BZ171" i="25"/>
  <c r="R295" i="25"/>
  <c r="S295" i="25"/>
  <c r="K295" i="25" s="1"/>
  <c r="V295" i="25" s="1"/>
  <c r="Q295" i="25"/>
  <c r="AO295" i="25"/>
  <c r="BZ295" i="25"/>
  <c r="R202" i="25"/>
  <c r="S202" i="25"/>
  <c r="K202" i="25" s="1"/>
  <c r="V202" i="25" s="1"/>
  <c r="Q202" i="25"/>
  <c r="AO202" i="25"/>
  <c r="BZ202" i="25"/>
  <c r="R226" i="25"/>
  <c r="S226" i="25"/>
  <c r="K226" i="25" s="1"/>
  <c r="Q226" i="25"/>
  <c r="AO226" i="25"/>
  <c r="BZ226" i="25"/>
  <c r="AD158" i="25"/>
  <c r="W158" i="25"/>
  <c r="Z158" i="25" s="1"/>
  <c r="AA158" i="25" s="1"/>
  <c r="AB158" i="25" s="1"/>
  <c r="AI158" i="25" s="1"/>
  <c r="AE93" i="24"/>
  <c r="AI93" i="24"/>
  <c r="X93" i="24"/>
  <c r="AA93" i="24" s="1"/>
  <c r="AB93" i="24" s="1"/>
  <c r="AC93" i="24" s="1"/>
  <c r="U68" i="25"/>
  <c r="S244" i="25"/>
  <c r="K244" i="25" s="1"/>
  <c r="R244" i="25"/>
  <c r="Q244" i="25"/>
  <c r="AO244" i="25"/>
  <c r="BZ244" i="25"/>
  <c r="P277" i="24"/>
  <c r="Q277" i="24"/>
  <c r="AP277" i="24"/>
  <c r="W262" i="24"/>
  <c r="V262" i="24"/>
  <c r="W166" i="24"/>
  <c r="Y166" i="24" s="1"/>
  <c r="S69" i="25"/>
  <c r="K69" i="25" s="1"/>
  <c r="R69" i="25"/>
  <c r="Q69" i="25"/>
  <c r="BZ69" i="25"/>
  <c r="AO69" i="25"/>
  <c r="Q38" i="24"/>
  <c r="R38" i="24" s="1"/>
  <c r="P38" i="24"/>
  <c r="AP38" i="24"/>
  <c r="V31" i="25"/>
  <c r="X31" i="25" s="1"/>
  <c r="AE286" i="24"/>
  <c r="AI286" i="24"/>
  <c r="X286" i="24"/>
  <c r="AA286" i="24" s="1"/>
  <c r="AB286" i="24" s="1"/>
  <c r="AC286" i="24" s="1"/>
  <c r="AE100" i="24"/>
  <c r="AI100" i="24"/>
  <c r="X100" i="24"/>
  <c r="AA100" i="24" s="1"/>
  <c r="AB100" i="24" s="1"/>
  <c r="AC100" i="24" s="1"/>
  <c r="AG55" i="24"/>
  <c r="AF55" i="24"/>
  <c r="Q57" i="24"/>
  <c r="R57" i="24" s="1"/>
  <c r="P57" i="24"/>
  <c r="AP57" i="24"/>
  <c r="AE260" i="24"/>
  <c r="AI260" i="24"/>
  <c r="X260" i="24"/>
  <c r="AA260" i="24" s="1"/>
  <c r="AB260" i="24" s="1"/>
  <c r="AC260" i="24" s="1"/>
  <c r="S272" i="25"/>
  <c r="K272" i="25" s="1"/>
  <c r="V272" i="25" s="1"/>
  <c r="R272" i="25"/>
  <c r="Q272" i="25"/>
  <c r="AO272" i="25"/>
  <c r="BZ272" i="25"/>
  <c r="V64" i="24"/>
  <c r="W64" i="24"/>
  <c r="W79" i="24"/>
  <c r="Y79" i="24" s="1"/>
  <c r="V46" i="24"/>
  <c r="W46" i="24"/>
  <c r="R185" i="25"/>
  <c r="S185" i="25"/>
  <c r="K185" i="25" s="1"/>
  <c r="Q185" i="25"/>
  <c r="AO185" i="25"/>
  <c r="BZ185" i="25"/>
  <c r="W281" i="24"/>
  <c r="Y281" i="24" s="1"/>
  <c r="R133" i="25"/>
  <c r="S133" i="25"/>
  <c r="K133" i="25" s="1"/>
  <c r="Q133" i="25"/>
  <c r="BZ133" i="25"/>
  <c r="AO133" i="25"/>
  <c r="U200" i="25"/>
  <c r="AE26" i="24"/>
  <c r="AI26" i="24"/>
  <c r="X26" i="24"/>
  <c r="AA26" i="24" s="1"/>
  <c r="AB26" i="24" s="1"/>
  <c r="AC26" i="24" s="1"/>
  <c r="AE123" i="24"/>
  <c r="AI123" i="24"/>
  <c r="X123" i="24"/>
  <c r="AA123" i="24" s="1"/>
  <c r="AB123" i="24" s="1"/>
  <c r="AC123" i="24" s="1"/>
  <c r="AE77" i="24"/>
  <c r="AI77" i="24"/>
  <c r="X77" i="24"/>
  <c r="AA77" i="24" s="1"/>
  <c r="AB77" i="24" s="1"/>
  <c r="AC77" i="24" s="1"/>
  <c r="W77" i="24"/>
  <c r="Y77" i="24" s="1"/>
  <c r="U242" i="25"/>
  <c r="S225" i="25"/>
  <c r="K225" i="25" s="1"/>
  <c r="V225" i="25" s="1"/>
  <c r="R225" i="25"/>
  <c r="Q225" i="25"/>
  <c r="AO225" i="25"/>
  <c r="BZ225" i="25"/>
  <c r="Q100" i="24"/>
  <c r="R100" i="24" s="1"/>
  <c r="P100" i="24"/>
  <c r="AP100" i="24"/>
  <c r="P266" i="24"/>
  <c r="Q266" i="24"/>
  <c r="AP266" i="24"/>
  <c r="U135" i="25"/>
  <c r="U138" i="25"/>
  <c r="W250" i="24"/>
  <c r="V250" i="24"/>
  <c r="W168" i="24"/>
  <c r="V168" i="24"/>
  <c r="AE87" i="24"/>
  <c r="AI87" i="24"/>
  <c r="X87" i="24"/>
  <c r="AA87" i="24" s="1"/>
  <c r="AB87" i="24" s="1"/>
  <c r="AC87" i="24" s="1"/>
  <c r="U157" i="25"/>
  <c r="AE90" i="24"/>
  <c r="AI90" i="24"/>
  <c r="X90" i="24"/>
  <c r="AA90" i="24" s="1"/>
  <c r="AB90" i="24" s="1"/>
  <c r="AC90" i="24" s="1"/>
  <c r="AE75" i="24"/>
  <c r="AI75" i="24"/>
  <c r="X75" i="24"/>
  <c r="AA75" i="24" s="1"/>
  <c r="AB75" i="24" s="1"/>
  <c r="AC75" i="24" s="1"/>
  <c r="AE8" i="24"/>
  <c r="AI8" i="24"/>
  <c r="X8" i="24"/>
  <c r="AA8" i="24" s="1"/>
  <c r="AB8" i="24" s="1"/>
  <c r="AC8" i="24" s="1"/>
  <c r="AE203" i="24"/>
  <c r="AI203" i="24"/>
  <c r="X203" i="24"/>
  <c r="AA203" i="24" s="1"/>
  <c r="AB203" i="24" s="1"/>
  <c r="AC203" i="24" s="1"/>
  <c r="P80" i="24"/>
  <c r="Q80" i="24"/>
  <c r="R80" i="24" s="1"/>
  <c r="AP80" i="24"/>
  <c r="S300" i="25"/>
  <c r="K300" i="25" s="1"/>
  <c r="R300" i="25"/>
  <c r="Q300" i="25"/>
  <c r="BZ300" i="25"/>
  <c r="AO300" i="25"/>
  <c r="V183" i="24"/>
  <c r="W183" i="24"/>
  <c r="U169" i="25"/>
  <c r="R90" i="25"/>
  <c r="S90" i="25"/>
  <c r="K90" i="25" s="1"/>
  <c r="V90" i="25" s="1"/>
  <c r="Q90" i="25"/>
  <c r="BZ90" i="25"/>
  <c r="AO90" i="25"/>
  <c r="R125" i="25"/>
  <c r="S125" i="25"/>
  <c r="K125" i="25" s="1"/>
  <c r="Q125" i="25"/>
  <c r="BZ125" i="25"/>
  <c r="AO125" i="25"/>
  <c r="U112" i="25"/>
  <c r="V259" i="24"/>
  <c r="W259" i="24"/>
  <c r="R297" i="25"/>
  <c r="S297" i="25"/>
  <c r="K297" i="25" s="1"/>
  <c r="Q297" i="25"/>
  <c r="AO297" i="25"/>
  <c r="BZ297" i="25"/>
  <c r="U76" i="25"/>
  <c r="U22" i="25"/>
  <c r="U103" i="25"/>
  <c r="W96" i="24"/>
  <c r="V96" i="24"/>
  <c r="AE152" i="24"/>
  <c r="AI152" i="24"/>
  <c r="X152" i="24"/>
  <c r="AA152" i="24" s="1"/>
  <c r="AB152" i="24" s="1"/>
  <c r="AC152" i="24" s="1"/>
  <c r="AE143" i="24"/>
  <c r="AI143" i="24"/>
  <c r="X143" i="24"/>
  <c r="AA143" i="24" s="1"/>
  <c r="AB143" i="24" s="1"/>
  <c r="AC143" i="24" s="1"/>
  <c r="U187" i="25"/>
  <c r="AE297" i="24"/>
  <c r="AI297" i="24"/>
  <c r="X297" i="24"/>
  <c r="AA297" i="24" s="1"/>
  <c r="AB297" i="24" s="1"/>
  <c r="AC297" i="24" s="1"/>
  <c r="R75" i="25"/>
  <c r="S75" i="25"/>
  <c r="K75" i="25" s="1"/>
  <c r="Q75" i="25"/>
  <c r="BZ75" i="25"/>
  <c r="AO75" i="25"/>
  <c r="U196" i="25"/>
  <c r="V263" i="24"/>
  <c r="W263" i="24"/>
  <c r="V156" i="24"/>
  <c r="W156" i="24"/>
  <c r="U115" i="25"/>
  <c r="AD305" i="25"/>
  <c r="W305" i="25"/>
  <c r="Z305" i="25" s="1"/>
  <c r="AA305" i="25" s="1"/>
  <c r="AB305" i="25" s="1"/>
  <c r="AI305" i="25" s="1"/>
  <c r="AE169" i="24"/>
  <c r="AI169" i="24"/>
  <c r="X169" i="24"/>
  <c r="AA169" i="24" s="1"/>
  <c r="AB169" i="24" s="1"/>
  <c r="AC169" i="24" s="1"/>
  <c r="Q131" i="24"/>
  <c r="P131" i="24"/>
  <c r="AP131" i="24"/>
  <c r="U118" i="25"/>
  <c r="Q123" i="24"/>
  <c r="P123" i="24"/>
  <c r="AP123" i="24"/>
  <c r="AE253" i="24"/>
  <c r="AI253" i="24"/>
  <c r="X253" i="24"/>
  <c r="AA253" i="24" s="1"/>
  <c r="AB253" i="24" s="1"/>
  <c r="AC253" i="24" s="1"/>
  <c r="S210" i="25"/>
  <c r="K210" i="25" s="1"/>
  <c r="R210" i="25"/>
  <c r="Q210" i="25"/>
  <c r="AO210" i="25"/>
  <c r="BZ210" i="25"/>
  <c r="S84" i="25"/>
  <c r="K84" i="25" s="1"/>
  <c r="V84" i="25" s="1"/>
  <c r="R84" i="25"/>
  <c r="Q84" i="25"/>
  <c r="AO84" i="25"/>
  <c r="BZ84" i="25"/>
  <c r="S180" i="25"/>
  <c r="K180" i="25" s="1"/>
  <c r="R180" i="25"/>
  <c r="Q180" i="25"/>
  <c r="AO180" i="25"/>
  <c r="BZ180" i="25"/>
  <c r="S228" i="25"/>
  <c r="K228" i="25" s="1"/>
  <c r="V228" i="25" s="1"/>
  <c r="R228" i="25"/>
  <c r="Q228" i="25"/>
  <c r="AO228" i="25"/>
  <c r="BZ228" i="25"/>
  <c r="U299" i="25"/>
  <c r="P280" i="24"/>
  <c r="Q280" i="24"/>
  <c r="AP280" i="24"/>
  <c r="V243" i="24"/>
  <c r="W243" i="24"/>
  <c r="AD71" i="25"/>
  <c r="W71" i="25"/>
  <c r="Z71" i="25" s="1"/>
  <c r="AA71" i="25" s="1"/>
  <c r="AB71" i="25" s="1"/>
  <c r="AI71" i="25" s="1"/>
  <c r="AD161" i="25"/>
  <c r="W161" i="25"/>
  <c r="Z161" i="25" s="1"/>
  <c r="AA161" i="25" s="1"/>
  <c r="AB161" i="25" s="1"/>
  <c r="AI161" i="25" s="1"/>
  <c r="S270" i="25"/>
  <c r="K270" i="25" s="1"/>
  <c r="Q270" i="25"/>
  <c r="R270" i="25"/>
  <c r="AO270" i="25"/>
  <c r="BZ270" i="25"/>
  <c r="AG257" i="24"/>
  <c r="AF257" i="24"/>
  <c r="U142" i="25"/>
  <c r="AD190" i="25"/>
  <c r="W190" i="25"/>
  <c r="Z190" i="25" s="1"/>
  <c r="AA190" i="25" s="1"/>
  <c r="AB190" i="25" s="1"/>
  <c r="AI190" i="25" s="1"/>
  <c r="V190" i="25"/>
  <c r="X190" i="25" s="1"/>
  <c r="W89" i="24"/>
  <c r="V89" i="24"/>
  <c r="S26" i="25"/>
  <c r="K26" i="25" s="1"/>
  <c r="V26" i="25" s="1"/>
  <c r="R26" i="25"/>
  <c r="Q26" i="25"/>
  <c r="AO26" i="25"/>
  <c r="BZ26" i="25"/>
  <c r="W66" i="24"/>
  <c r="Y66" i="24" s="1"/>
  <c r="AE62" i="24"/>
  <c r="AI62" i="24"/>
  <c r="X62" i="24"/>
  <c r="AA62" i="24" s="1"/>
  <c r="AB62" i="24" s="1"/>
  <c r="AC62" i="24" s="1"/>
  <c r="Q141" i="24"/>
  <c r="P141" i="24"/>
  <c r="AP141" i="24"/>
  <c r="S74" i="25"/>
  <c r="K74" i="25" s="1"/>
  <c r="V74" i="25" s="1"/>
  <c r="R74" i="25"/>
  <c r="Q74" i="25"/>
  <c r="BZ74" i="25"/>
  <c r="AO74" i="25"/>
  <c r="U304" i="25"/>
  <c r="S193" i="25"/>
  <c r="K193" i="25" s="1"/>
  <c r="R193" i="25"/>
  <c r="Q193" i="25"/>
  <c r="AO193" i="25"/>
  <c r="BZ193" i="25"/>
  <c r="AE245" i="24"/>
  <c r="AI245" i="24"/>
  <c r="X245" i="24"/>
  <c r="AA245" i="24" s="1"/>
  <c r="AB245" i="24" s="1"/>
  <c r="AC245" i="24" s="1"/>
  <c r="AE171" i="24"/>
  <c r="AI171" i="24"/>
  <c r="X171" i="24"/>
  <c r="AA171" i="24" s="1"/>
  <c r="AB171" i="24" s="1"/>
  <c r="AC171" i="24" s="1"/>
  <c r="AE314" i="24"/>
  <c r="AI314" i="24"/>
  <c r="X314" i="24"/>
  <c r="AA314" i="24" s="1"/>
  <c r="AB314" i="24" s="1"/>
  <c r="AC314" i="24" s="1"/>
  <c r="V194" i="24"/>
  <c r="W194" i="24"/>
  <c r="AE48" i="24"/>
  <c r="AI48" i="24"/>
  <c r="X48" i="24"/>
  <c r="AA48" i="24" s="1"/>
  <c r="AB48" i="24" s="1"/>
  <c r="AC48" i="24" s="1"/>
  <c r="U41" i="25"/>
  <c r="V203" i="24"/>
  <c r="W203" i="24"/>
  <c r="S33" i="25"/>
  <c r="K33" i="25" s="1"/>
  <c r="R33" i="25"/>
  <c r="Q33" i="25"/>
  <c r="AO33" i="25"/>
  <c r="BZ33" i="25"/>
  <c r="S99" i="25"/>
  <c r="K99" i="25" s="1"/>
  <c r="V99" i="25" s="1"/>
  <c r="R99" i="25"/>
  <c r="Q99" i="25"/>
  <c r="BZ99" i="25"/>
  <c r="AO99" i="25"/>
  <c r="R208" i="25"/>
  <c r="S208" i="25"/>
  <c r="K208" i="25" s="1"/>
  <c r="V208" i="25" s="1"/>
  <c r="Q208" i="25"/>
  <c r="AO208" i="25"/>
  <c r="BZ208" i="25"/>
  <c r="V143" i="24"/>
  <c r="W143" i="24"/>
  <c r="AD30" i="25"/>
  <c r="W30" i="25"/>
  <c r="Z30" i="25" s="1"/>
  <c r="AA30" i="25" s="1"/>
  <c r="AB30" i="25" s="1"/>
  <c r="AI30" i="25" s="1"/>
  <c r="Q85" i="24"/>
  <c r="R85" i="24" s="1"/>
  <c r="P85" i="24"/>
  <c r="AP85" i="24"/>
  <c r="AE302" i="24"/>
  <c r="AI302" i="24"/>
  <c r="X302" i="24"/>
  <c r="AA302" i="24" s="1"/>
  <c r="AB302" i="24" s="1"/>
  <c r="AC302" i="24" s="1"/>
  <c r="AG119" i="24"/>
  <c r="AF119" i="24"/>
  <c r="R27" i="25"/>
  <c r="S27" i="25"/>
  <c r="K27" i="25" s="1"/>
  <c r="V27" i="25" s="1"/>
  <c r="Q27" i="25"/>
  <c r="AO27" i="25"/>
  <c r="BZ27" i="25"/>
  <c r="AE263" i="24"/>
  <c r="AI263" i="24"/>
  <c r="X263" i="24"/>
  <c r="AA263" i="24" s="1"/>
  <c r="AB263" i="24" s="1"/>
  <c r="AC263" i="24" s="1"/>
  <c r="U47" i="25"/>
  <c r="S274" i="25"/>
  <c r="K274" i="25" s="1"/>
  <c r="R274" i="25"/>
  <c r="Q274" i="25"/>
  <c r="AO274" i="25"/>
  <c r="BZ274" i="25"/>
  <c r="U39" i="25"/>
  <c r="AE13" i="24"/>
  <c r="AI13" i="24"/>
  <c r="X13" i="24"/>
  <c r="AA13" i="24" s="1"/>
  <c r="AB13" i="24" s="1"/>
  <c r="AC13" i="24" s="1"/>
  <c r="AE84" i="24"/>
  <c r="AI84" i="24"/>
  <c r="X84" i="24"/>
  <c r="AA84" i="24" s="1"/>
  <c r="AB84" i="24" s="1"/>
  <c r="AC84" i="24" s="1"/>
  <c r="W84" i="24"/>
  <c r="Y84" i="24" s="1"/>
  <c r="AE285" i="24"/>
  <c r="AI285" i="24"/>
  <c r="W285" i="24"/>
  <c r="Y285" i="24" s="1"/>
  <c r="X285" i="24"/>
  <c r="AA285" i="24" s="1"/>
  <c r="AB285" i="24" s="1"/>
  <c r="AC285" i="24" s="1"/>
  <c r="W13" i="24"/>
  <c r="Y13" i="24" s="1"/>
  <c r="AG294" i="24"/>
  <c r="AF294" i="24"/>
  <c r="U216" i="25"/>
  <c r="R245" i="25"/>
  <c r="S245" i="25"/>
  <c r="K245" i="25" s="1"/>
  <c r="Q245" i="25"/>
  <c r="AO245" i="25"/>
  <c r="BZ245" i="25"/>
  <c r="U81" i="25"/>
  <c r="AE136" i="24"/>
  <c r="AI136" i="24"/>
  <c r="X136" i="24"/>
  <c r="AA136" i="24" s="1"/>
  <c r="AB136" i="24" s="1"/>
  <c r="AC136" i="24" s="1"/>
  <c r="AE156" i="24"/>
  <c r="AI156" i="24"/>
  <c r="X156" i="24"/>
  <c r="AA156" i="24" s="1"/>
  <c r="AB156" i="24" s="1"/>
  <c r="AC156" i="24" s="1"/>
  <c r="AD293" i="25"/>
  <c r="W293" i="25"/>
  <c r="Z293" i="25" s="1"/>
  <c r="AA293" i="25" s="1"/>
  <c r="AB293" i="25" s="1"/>
  <c r="AI293" i="25" s="1"/>
  <c r="V293" i="25"/>
  <c r="X293" i="25" s="1"/>
  <c r="AG236" i="24"/>
  <c r="AF236" i="24"/>
  <c r="AE295" i="24"/>
  <c r="AI295" i="24"/>
  <c r="X295" i="24"/>
  <c r="AA295" i="24" s="1"/>
  <c r="AB295" i="24" s="1"/>
  <c r="AC295" i="24" s="1"/>
  <c r="S221" i="25"/>
  <c r="K221" i="25" s="1"/>
  <c r="V221" i="25" s="1"/>
  <c r="R221" i="25"/>
  <c r="Q221" i="25"/>
  <c r="BZ221" i="25"/>
  <c r="AO221" i="25"/>
  <c r="W122" i="24"/>
  <c r="V122" i="24"/>
  <c r="Q95" i="24"/>
  <c r="R95" i="24" s="1"/>
  <c r="P95" i="24"/>
  <c r="AP95" i="24"/>
  <c r="AG142" i="24"/>
  <c r="AF142" i="24"/>
  <c r="AE94" i="24"/>
  <c r="AI94" i="24"/>
  <c r="X94" i="24"/>
  <c r="AA94" i="24" s="1"/>
  <c r="AB94" i="24" s="1"/>
  <c r="AC94" i="24" s="1"/>
  <c r="AD87" i="25"/>
  <c r="W87" i="25"/>
  <c r="Z87" i="25" s="1"/>
  <c r="AA87" i="25" s="1"/>
  <c r="AB87" i="25" s="1"/>
  <c r="AI87" i="25" s="1"/>
  <c r="AE74" i="24"/>
  <c r="AI74" i="24"/>
  <c r="X74" i="24"/>
  <c r="AA74" i="24" s="1"/>
  <c r="AB74" i="24" s="1"/>
  <c r="AC74" i="24" s="1"/>
  <c r="S68" i="25"/>
  <c r="K68" i="25" s="1"/>
  <c r="R68" i="25"/>
  <c r="Q68" i="25"/>
  <c r="AO68" i="25"/>
  <c r="BZ68" i="25"/>
  <c r="Q262" i="24"/>
  <c r="P262" i="24"/>
  <c r="AP262" i="24"/>
  <c r="AD198" i="25"/>
  <c r="W198" i="25"/>
  <c r="Z198" i="25" s="1"/>
  <c r="AA198" i="25" s="1"/>
  <c r="AB198" i="25" s="1"/>
  <c r="AI198" i="25" s="1"/>
  <c r="AE157" i="24"/>
  <c r="AI157" i="24"/>
  <c r="X157" i="24"/>
  <c r="AA157" i="24" s="1"/>
  <c r="AB157" i="24" s="1"/>
  <c r="AC157" i="24" s="1"/>
  <c r="AE303" i="24"/>
  <c r="AI303" i="24"/>
  <c r="X303" i="24"/>
  <c r="AA303" i="24" s="1"/>
  <c r="AB303" i="24" s="1"/>
  <c r="AC303" i="24" s="1"/>
  <c r="R184" i="25"/>
  <c r="S184" i="25"/>
  <c r="K184" i="25" s="1"/>
  <c r="Q184" i="25"/>
  <c r="BZ184" i="25"/>
  <c r="AO184" i="25"/>
  <c r="V198" i="25"/>
  <c r="X198" i="25" s="1"/>
  <c r="AE293" i="24"/>
  <c r="AI293" i="24"/>
  <c r="X293" i="24"/>
  <c r="AA293" i="24" s="1"/>
  <c r="AB293" i="24" s="1"/>
  <c r="AC293" i="24" s="1"/>
  <c r="W139" i="24"/>
  <c r="V139" i="24"/>
  <c r="U207" i="25"/>
  <c r="AE78" i="24"/>
  <c r="AI78" i="24"/>
  <c r="X78" i="24"/>
  <c r="AA78" i="24" s="1"/>
  <c r="AB78" i="24" s="1"/>
  <c r="AC78" i="24" s="1"/>
  <c r="R285" i="25"/>
  <c r="S285" i="25"/>
  <c r="K285" i="25" s="1"/>
  <c r="Q285" i="25"/>
  <c r="AO285" i="25"/>
  <c r="BZ285" i="25"/>
  <c r="P64" i="24"/>
  <c r="Q64" i="24"/>
  <c r="R64" i="24" s="1"/>
  <c r="AP64" i="24"/>
  <c r="S289" i="25"/>
  <c r="K289" i="25" s="1"/>
  <c r="R289" i="25"/>
  <c r="Q289" i="25"/>
  <c r="AO289" i="25"/>
  <c r="BZ289" i="25"/>
  <c r="P46" i="24"/>
  <c r="Q46" i="24"/>
  <c r="R46" i="24" s="1"/>
  <c r="AP46" i="24"/>
  <c r="AE208" i="24"/>
  <c r="AI208" i="24"/>
  <c r="X208" i="24"/>
  <c r="AA208" i="24" s="1"/>
  <c r="AB208" i="24" s="1"/>
  <c r="AC208" i="24" s="1"/>
  <c r="AE135" i="24"/>
  <c r="AI135" i="24"/>
  <c r="X135" i="24"/>
  <c r="AA135" i="24" s="1"/>
  <c r="AB135" i="24" s="1"/>
  <c r="AC135" i="24" s="1"/>
  <c r="U222" i="25"/>
  <c r="R200" i="25"/>
  <c r="S200" i="25"/>
  <c r="K200" i="25" s="1"/>
  <c r="Q200" i="25"/>
  <c r="BZ200" i="25"/>
  <c r="AO200" i="25"/>
  <c r="W54" i="24"/>
  <c r="V54" i="24"/>
  <c r="AE97" i="24"/>
  <c r="AI97" i="24"/>
  <c r="X97" i="24"/>
  <c r="AA97" i="24" s="1"/>
  <c r="AB97" i="24" s="1"/>
  <c r="AC97" i="24" s="1"/>
  <c r="U116" i="25"/>
  <c r="S242" i="25"/>
  <c r="K242" i="25" s="1"/>
  <c r="V242" i="25" s="1"/>
  <c r="R242" i="25"/>
  <c r="Q242" i="25"/>
  <c r="BZ242" i="25"/>
  <c r="AO242" i="25"/>
  <c r="U188" i="25"/>
  <c r="W35" i="24"/>
  <c r="Y35" i="24" s="1"/>
  <c r="R135" i="25"/>
  <c r="S135" i="25"/>
  <c r="K135" i="25" s="1"/>
  <c r="Q135" i="25"/>
  <c r="BZ135" i="25"/>
  <c r="AO135" i="25"/>
  <c r="R138" i="25"/>
  <c r="S138" i="25"/>
  <c r="K138" i="25" s="1"/>
  <c r="V138" i="25" s="1"/>
  <c r="Q138" i="25"/>
  <c r="BZ138" i="25"/>
  <c r="AO138" i="25"/>
  <c r="V220" i="24"/>
  <c r="W220" i="24"/>
  <c r="R42" i="25"/>
  <c r="S42" i="25"/>
  <c r="K42" i="25" s="1"/>
  <c r="Q42" i="25"/>
  <c r="AO42" i="25"/>
  <c r="BZ42" i="25"/>
  <c r="AD240" i="25"/>
  <c r="W240" i="25"/>
  <c r="Z240" i="25" s="1"/>
  <c r="AA240" i="25" s="1"/>
  <c r="AB240" i="25" s="1"/>
  <c r="AI240" i="25" s="1"/>
  <c r="U44" i="25"/>
  <c r="AD314" i="25"/>
  <c r="W314" i="25"/>
  <c r="Z314" i="25" s="1"/>
  <c r="AA314" i="25" s="1"/>
  <c r="AB314" i="25" s="1"/>
  <c r="AI314" i="25" s="1"/>
  <c r="W221" i="24"/>
  <c r="V221" i="24"/>
  <c r="AE137" i="24"/>
  <c r="AI137" i="24"/>
  <c r="X137" i="24"/>
  <c r="AA137" i="24" s="1"/>
  <c r="AB137" i="24" s="1"/>
  <c r="AC137" i="24" s="1"/>
  <c r="S45" i="25"/>
  <c r="K45" i="25" s="1"/>
  <c r="R45" i="25"/>
  <c r="Q45" i="25"/>
  <c r="AO45" i="25"/>
  <c r="BZ45" i="25"/>
  <c r="P183" i="24"/>
  <c r="Q183" i="24"/>
  <c r="AP183" i="24"/>
  <c r="W26" i="24"/>
  <c r="V26" i="24"/>
  <c r="AE59" i="24"/>
  <c r="AI59" i="24"/>
  <c r="X59" i="24"/>
  <c r="AA59" i="24" s="1"/>
  <c r="AB59" i="24" s="1"/>
  <c r="AC59" i="24" s="1"/>
  <c r="W196" i="24"/>
  <c r="V196" i="24"/>
  <c r="AE27" i="24"/>
  <c r="AI27" i="24"/>
  <c r="X27" i="24"/>
  <c r="AA27" i="24" s="1"/>
  <c r="AB27" i="24" s="1"/>
  <c r="AC27" i="24" s="1"/>
  <c r="W158" i="24"/>
  <c r="V158" i="24"/>
  <c r="Q259" i="24"/>
  <c r="P259" i="24"/>
  <c r="AP259" i="24"/>
  <c r="S76" i="25"/>
  <c r="K76" i="25" s="1"/>
  <c r="R76" i="25"/>
  <c r="Q76" i="25"/>
  <c r="BZ76" i="25"/>
  <c r="AO76" i="25"/>
  <c r="AE228" i="24"/>
  <c r="AI228" i="24"/>
  <c r="X228" i="24"/>
  <c r="AA228" i="24" s="1"/>
  <c r="AB228" i="24" s="1"/>
  <c r="AC228" i="24" s="1"/>
  <c r="S22" i="25"/>
  <c r="K22" i="25" s="1"/>
  <c r="V22" i="25" s="1"/>
  <c r="R22" i="25"/>
  <c r="Q22" i="25"/>
  <c r="BZ22" i="25"/>
  <c r="AO22" i="25"/>
  <c r="U40" i="25"/>
  <c r="AD192" i="25"/>
  <c r="V192" i="25"/>
  <c r="X192" i="25" s="1"/>
  <c r="W192" i="25"/>
  <c r="Z192" i="25" s="1"/>
  <c r="AA192" i="25" s="1"/>
  <c r="AB192" i="25" s="1"/>
  <c r="AI192" i="25" s="1"/>
  <c r="AD13" i="25"/>
  <c r="V13" i="25"/>
  <c r="X13" i="25" s="1"/>
  <c r="W13" i="25"/>
  <c r="Z13" i="25" s="1"/>
  <c r="AA13" i="25" s="1"/>
  <c r="AB13" i="25" s="1"/>
  <c r="AI13" i="25" s="1"/>
  <c r="AD199" i="25"/>
  <c r="W199" i="25"/>
  <c r="Z199" i="25" s="1"/>
  <c r="AA199" i="25" s="1"/>
  <c r="AB199" i="25" s="1"/>
  <c r="AI199" i="25" s="1"/>
  <c r="AE275" i="24"/>
  <c r="AI275" i="24"/>
  <c r="X275" i="24"/>
  <c r="AA275" i="24" s="1"/>
  <c r="AB275" i="24" s="1"/>
  <c r="AC275" i="24" s="1"/>
  <c r="V103" i="24"/>
  <c r="W103" i="24"/>
  <c r="R196" i="25"/>
  <c r="S196" i="25"/>
  <c r="K196" i="25" s="1"/>
  <c r="V196" i="25" s="1"/>
  <c r="Q196" i="25"/>
  <c r="BZ196" i="25"/>
  <c r="AO196" i="25"/>
  <c r="AE71" i="24"/>
  <c r="AI71" i="24"/>
  <c r="X71" i="24"/>
  <c r="AA71" i="24" s="1"/>
  <c r="AB71" i="24" s="1"/>
  <c r="AC71" i="24" s="1"/>
  <c r="P263" i="24"/>
  <c r="Q263" i="24"/>
  <c r="AP263" i="24"/>
  <c r="R115" i="25"/>
  <c r="S115" i="25"/>
  <c r="K115" i="25" s="1"/>
  <c r="Q115" i="25"/>
  <c r="AO115" i="25"/>
  <c r="BZ115" i="25"/>
  <c r="AE194" i="24"/>
  <c r="AI194" i="24"/>
  <c r="X194" i="24"/>
  <c r="AA194" i="24" s="1"/>
  <c r="AB194" i="24" s="1"/>
  <c r="AC194" i="24" s="1"/>
  <c r="V255" i="24"/>
  <c r="W255" i="24"/>
  <c r="V93" i="24"/>
  <c r="W93" i="24"/>
  <c r="S20" i="25"/>
  <c r="K20" i="25" s="1"/>
  <c r="R20" i="25"/>
  <c r="Q20" i="25"/>
  <c r="AO20" i="25"/>
  <c r="BZ20" i="25"/>
  <c r="U298" i="25"/>
  <c r="R299" i="25"/>
  <c r="S299" i="25"/>
  <c r="K299" i="25" s="1"/>
  <c r="Q299" i="25"/>
  <c r="AO299" i="25"/>
  <c r="BZ299" i="25"/>
  <c r="AG44" i="24"/>
  <c r="AF44" i="24"/>
  <c r="AD82" i="25"/>
  <c r="W82" i="25"/>
  <c r="Z82" i="25" s="1"/>
  <c r="AA82" i="25" s="1"/>
  <c r="AB82" i="25" s="1"/>
  <c r="AI82" i="25" s="1"/>
  <c r="V34" i="24"/>
  <c r="W34" i="24"/>
  <c r="AE12" i="24"/>
  <c r="AI12" i="24"/>
  <c r="X12" i="24"/>
  <c r="AA12" i="24" s="1"/>
  <c r="AB12" i="24" s="1"/>
  <c r="AC12" i="24" s="1"/>
  <c r="R51" i="25"/>
  <c r="S51" i="25"/>
  <c r="K51" i="25" s="1"/>
  <c r="Q51" i="25"/>
  <c r="AO51" i="25"/>
  <c r="BZ51" i="25"/>
  <c r="U18" i="25"/>
  <c r="S124" i="25"/>
  <c r="K124" i="25" s="1"/>
  <c r="R124" i="25"/>
  <c r="Q124" i="25"/>
  <c r="BZ124" i="25"/>
  <c r="AO124" i="25"/>
  <c r="U66" i="25"/>
  <c r="R142" i="25"/>
  <c r="S142" i="25"/>
  <c r="K142" i="25" s="1"/>
  <c r="Q142" i="25"/>
  <c r="AO142" i="25"/>
  <c r="BZ142" i="25"/>
  <c r="S236" i="25"/>
  <c r="K236" i="25" s="1"/>
  <c r="R236" i="25"/>
  <c r="Q236" i="25"/>
  <c r="AO236" i="25"/>
  <c r="BZ236" i="25"/>
  <c r="AE242" i="24"/>
  <c r="AI242" i="24"/>
  <c r="X242" i="24"/>
  <c r="AA242" i="24" s="1"/>
  <c r="AB242" i="24" s="1"/>
  <c r="AC242" i="24" s="1"/>
  <c r="P89" i="24"/>
  <c r="Q89" i="24"/>
  <c r="R89" i="24" s="1"/>
  <c r="AP89" i="24"/>
  <c r="W150" i="24"/>
  <c r="Y150" i="24" s="1"/>
  <c r="R150" i="25"/>
  <c r="S150" i="25"/>
  <c r="K150" i="25" s="1"/>
  <c r="Q150" i="25"/>
  <c r="AO150" i="25"/>
  <c r="BZ150" i="25"/>
  <c r="R304" i="25"/>
  <c r="S304" i="25"/>
  <c r="K304" i="25" s="1"/>
  <c r="Q304" i="25"/>
  <c r="AO304" i="25"/>
  <c r="BZ304" i="25"/>
  <c r="S162" i="25"/>
  <c r="K162" i="25" s="1"/>
  <c r="R162" i="25"/>
  <c r="Q162" i="25"/>
  <c r="AO162" i="25"/>
  <c r="BZ162" i="25"/>
  <c r="AD267" i="25"/>
  <c r="W267" i="25"/>
  <c r="Z267" i="25" s="1"/>
  <c r="AA267" i="25" s="1"/>
  <c r="AB267" i="25" s="1"/>
  <c r="AI267" i="25" s="1"/>
  <c r="AD246" i="25"/>
  <c r="W246" i="25"/>
  <c r="Z246" i="25" s="1"/>
  <c r="AA246" i="25" s="1"/>
  <c r="AB246" i="25" s="1"/>
  <c r="AI246" i="25" s="1"/>
  <c r="W102" i="24"/>
  <c r="V102" i="24"/>
  <c r="W117" i="24"/>
  <c r="V117" i="24"/>
  <c r="W293" i="24"/>
  <c r="V293" i="24"/>
  <c r="U56" i="25"/>
  <c r="V187" i="24"/>
  <c r="W187" i="24"/>
  <c r="V301" i="24"/>
  <c r="W301" i="24"/>
  <c r="U251" i="25"/>
  <c r="P194" i="24"/>
  <c r="Q194" i="24"/>
  <c r="AP194" i="24"/>
  <c r="S41" i="25"/>
  <c r="K41" i="25" s="1"/>
  <c r="V41" i="25" s="1"/>
  <c r="R41" i="25"/>
  <c r="Q41" i="25"/>
  <c r="AO41" i="25"/>
  <c r="BZ41" i="25"/>
  <c r="P203" i="24"/>
  <c r="Q203" i="24"/>
  <c r="AP203" i="24"/>
  <c r="U281" i="25"/>
  <c r="AE312" i="24"/>
  <c r="AI312" i="24"/>
  <c r="X312" i="24"/>
  <c r="AA312" i="24" s="1"/>
  <c r="AB312" i="24" s="1"/>
  <c r="AC312" i="24" s="1"/>
  <c r="U249" i="25"/>
  <c r="AE310" i="24"/>
  <c r="AI310" i="24"/>
  <c r="X310" i="24"/>
  <c r="AA310" i="24" s="1"/>
  <c r="AB310" i="24" s="1"/>
  <c r="AC310" i="24" s="1"/>
  <c r="S134" i="25"/>
  <c r="K134" i="25" s="1"/>
  <c r="R134" i="25"/>
  <c r="Q134" i="25"/>
  <c r="BZ134" i="25"/>
  <c r="AO134" i="25"/>
  <c r="AD147" i="25"/>
  <c r="W147" i="25"/>
  <c r="Z147" i="25" s="1"/>
  <c r="AA147" i="25" s="1"/>
  <c r="AB147" i="25" s="1"/>
  <c r="AI147" i="25" s="1"/>
  <c r="AE37" i="24"/>
  <c r="AI37" i="24"/>
  <c r="X37" i="24"/>
  <c r="AA37" i="24" s="1"/>
  <c r="AB37" i="24" s="1"/>
  <c r="AC37" i="24" s="1"/>
  <c r="V71" i="25"/>
  <c r="X71" i="25" s="1"/>
  <c r="V167" i="25"/>
  <c r="X167" i="25" s="1"/>
  <c r="V304" i="24"/>
  <c r="W304" i="24"/>
  <c r="AE272" i="24"/>
  <c r="AI272" i="24"/>
  <c r="X272" i="24"/>
  <c r="AA272" i="24" s="1"/>
  <c r="AB272" i="24" s="1"/>
  <c r="AC272" i="24" s="1"/>
  <c r="R39" i="25"/>
  <c r="S39" i="25"/>
  <c r="K39" i="25" s="1"/>
  <c r="Q39" i="25"/>
  <c r="AO39" i="25"/>
  <c r="BZ39" i="25"/>
  <c r="AG233" i="24"/>
  <c r="AF233" i="24"/>
  <c r="AJ132" i="24"/>
  <c r="S205" i="25"/>
  <c r="K205" i="25" s="1"/>
  <c r="V205" i="25" s="1"/>
  <c r="R205" i="25"/>
  <c r="Q205" i="25"/>
  <c r="AO205" i="25"/>
  <c r="BZ205" i="25"/>
  <c r="U25" i="25"/>
  <c r="AE95" i="24"/>
  <c r="AI95" i="24"/>
  <c r="X95" i="24"/>
  <c r="AA95" i="24" s="1"/>
  <c r="AB95" i="24" s="1"/>
  <c r="AC95" i="24" s="1"/>
  <c r="R102" i="25"/>
  <c r="S102" i="25"/>
  <c r="K102" i="25" s="1"/>
  <c r="Q102" i="25"/>
  <c r="AO102" i="25"/>
  <c r="BZ102" i="25"/>
  <c r="AE226" i="24"/>
  <c r="AI226" i="24"/>
  <c r="X226" i="24"/>
  <c r="AA226" i="24" s="1"/>
  <c r="AB226" i="24" s="1"/>
  <c r="AC226" i="24" s="1"/>
  <c r="S216" i="25"/>
  <c r="K216" i="25" s="1"/>
  <c r="R216" i="25"/>
  <c r="AO216" i="25"/>
  <c r="Q216" i="25"/>
  <c r="BZ216" i="25"/>
  <c r="S181" i="25"/>
  <c r="K181" i="25" s="1"/>
  <c r="R181" i="25"/>
  <c r="Q181" i="25"/>
  <c r="BZ181" i="25"/>
  <c r="AO181" i="25"/>
  <c r="W90" i="24"/>
  <c r="Y90" i="24" s="1"/>
  <c r="S81" i="25"/>
  <c r="K81" i="25" s="1"/>
  <c r="R81" i="25"/>
  <c r="Q81" i="25"/>
  <c r="AO81" i="25"/>
  <c r="BZ81" i="25"/>
  <c r="AE138" i="24"/>
  <c r="AI138" i="24"/>
  <c r="X138" i="24"/>
  <c r="AA138" i="24" s="1"/>
  <c r="AB138" i="24" s="1"/>
  <c r="AC138" i="24" s="1"/>
  <c r="AE201" i="24"/>
  <c r="AI201" i="24"/>
  <c r="X201" i="24"/>
  <c r="AA201" i="24" s="1"/>
  <c r="AB201" i="24" s="1"/>
  <c r="AC201" i="24" s="1"/>
  <c r="S157" i="25"/>
  <c r="K157" i="25" s="1"/>
  <c r="R157" i="25"/>
  <c r="Q157" i="25"/>
  <c r="BZ157" i="25"/>
  <c r="AO157" i="25"/>
  <c r="AE53" i="24"/>
  <c r="AI53" i="24"/>
  <c r="X53" i="24"/>
  <c r="AA53" i="24" s="1"/>
  <c r="AB53" i="24" s="1"/>
  <c r="AC53" i="24" s="1"/>
  <c r="AE176" i="24"/>
  <c r="AI176" i="24"/>
  <c r="X176" i="24"/>
  <c r="AA176" i="24" s="1"/>
  <c r="AB176" i="24" s="1"/>
  <c r="AC176" i="24" s="1"/>
  <c r="S145" i="25"/>
  <c r="K145" i="25" s="1"/>
  <c r="R145" i="25"/>
  <c r="Q145" i="25"/>
  <c r="AO145" i="25"/>
  <c r="BZ145" i="25"/>
  <c r="AE112" i="24"/>
  <c r="AI112" i="24"/>
  <c r="X112" i="24"/>
  <c r="AA112" i="24" s="1"/>
  <c r="AB112" i="24" s="1"/>
  <c r="AC112" i="24" s="1"/>
  <c r="AJ264" i="24"/>
  <c r="V146" i="24"/>
  <c r="W146" i="24"/>
  <c r="AE16" i="24"/>
  <c r="AI16" i="24"/>
  <c r="X16" i="24"/>
  <c r="AA16" i="24" s="1"/>
  <c r="AB16" i="24" s="1"/>
  <c r="AC16" i="24" s="1"/>
  <c r="W71" i="24"/>
  <c r="V71" i="24"/>
  <c r="V153" i="24"/>
  <c r="W153" i="24"/>
  <c r="V242" i="24"/>
  <c r="W242" i="24"/>
  <c r="Q122" i="24"/>
  <c r="P122" i="24"/>
  <c r="AP122" i="24"/>
  <c r="R269" i="25"/>
  <c r="S269" i="25"/>
  <c r="K269" i="25" s="1"/>
  <c r="Q269" i="25"/>
  <c r="AO269" i="25"/>
  <c r="BZ269" i="25"/>
  <c r="AE63" i="24"/>
  <c r="AI63" i="24"/>
  <c r="X63" i="24"/>
  <c r="AA63" i="24" s="1"/>
  <c r="AB63" i="24" s="1"/>
  <c r="AC63" i="24" s="1"/>
  <c r="U295" i="25"/>
  <c r="AD89" i="25"/>
  <c r="W89" i="25"/>
  <c r="Z89" i="25" s="1"/>
  <c r="AA89" i="25" s="1"/>
  <c r="AB89" i="25" s="1"/>
  <c r="AI89" i="25" s="1"/>
  <c r="S111" i="25"/>
  <c r="K111" i="25" s="1"/>
  <c r="R111" i="25"/>
  <c r="Q111" i="25"/>
  <c r="AO111" i="25"/>
  <c r="BZ111" i="25"/>
  <c r="U220" i="25"/>
  <c r="AE89" i="24"/>
  <c r="AI89" i="24"/>
  <c r="X89" i="24"/>
  <c r="AA89" i="24" s="1"/>
  <c r="AB89" i="24" s="1"/>
  <c r="AC89" i="24" s="1"/>
  <c r="AE198" i="24"/>
  <c r="AI198" i="24"/>
  <c r="X198" i="24"/>
  <c r="AA198" i="24" s="1"/>
  <c r="AB198" i="24" s="1"/>
  <c r="AC198" i="24" s="1"/>
  <c r="U260" i="25"/>
  <c r="AE223" i="24"/>
  <c r="AI223" i="24"/>
  <c r="X223" i="24"/>
  <c r="AA223" i="24" s="1"/>
  <c r="AB223" i="24" s="1"/>
  <c r="AC223" i="24" s="1"/>
  <c r="W127" i="24"/>
  <c r="Y127" i="24" s="1"/>
  <c r="AG45" i="24"/>
  <c r="AF45" i="24"/>
  <c r="P139" i="24"/>
  <c r="Q139" i="24"/>
  <c r="AP139" i="24"/>
  <c r="V63" i="24"/>
  <c r="W63" i="24"/>
  <c r="V240" i="24"/>
  <c r="W240" i="24"/>
  <c r="U78" i="25"/>
  <c r="W27" i="24"/>
  <c r="Y27" i="24" s="1"/>
  <c r="R121" i="25"/>
  <c r="S121" i="25"/>
  <c r="K121" i="25" s="1"/>
  <c r="Q121" i="25"/>
  <c r="BZ121" i="25"/>
  <c r="AO121" i="25"/>
  <c r="S168" i="25"/>
  <c r="K168" i="25" s="1"/>
  <c r="R168" i="25"/>
  <c r="Q168" i="25"/>
  <c r="AO168" i="25"/>
  <c r="BZ168" i="25"/>
  <c r="AE186" i="24"/>
  <c r="AI186" i="24"/>
  <c r="X186" i="24"/>
  <c r="AA186" i="24" s="1"/>
  <c r="AB186" i="24" s="1"/>
  <c r="AC186" i="24" s="1"/>
  <c r="U239" i="25"/>
  <c r="AE85" i="24"/>
  <c r="AI85" i="24"/>
  <c r="X85" i="24"/>
  <c r="AA85" i="24" s="1"/>
  <c r="AB85" i="24" s="1"/>
  <c r="AC85" i="24" s="1"/>
  <c r="W15" i="24"/>
  <c r="Y15" i="24" s="1"/>
  <c r="R222" i="25"/>
  <c r="S222" i="25"/>
  <c r="K222" i="25" s="1"/>
  <c r="Q222" i="25"/>
  <c r="AO222" i="25"/>
  <c r="BZ222" i="25"/>
  <c r="AE177" i="24"/>
  <c r="AI177" i="24"/>
  <c r="X177" i="24"/>
  <c r="AA177" i="24" s="1"/>
  <c r="AB177" i="24" s="1"/>
  <c r="AC177" i="24" s="1"/>
  <c r="P54" i="24"/>
  <c r="Q54" i="24"/>
  <c r="R54" i="24" s="1"/>
  <c r="AP54" i="24"/>
  <c r="AD262" i="25"/>
  <c r="W262" i="25"/>
  <c r="Z262" i="25" s="1"/>
  <c r="AA262" i="25" s="1"/>
  <c r="AB262" i="25" s="1"/>
  <c r="AI262" i="25" s="1"/>
  <c r="AE124" i="24"/>
  <c r="AI124" i="24"/>
  <c r="X124" i="24"/>
  <c r="AA124" i="24" s="1"/>
  <c r="AB124" i="24" s="1"/>
  <c r="AC124" i="24" s="1"/>
  <c r="S116" i="25"/>
  <c r="K116" i="25" s="1"/>
  <c r="V116" i="25" s="1"/>
  <c r="R116" i="25"/>
  <c r="Q116" i="25"/>
  <c r="AO116" i="25"/>
  <c r="BZ116" i="25"/>
  <c r="S253" i="25"/>
  <c r="K253" i="25" s="1"/>
  <c r="R253" i="25"/>
  <c r="Q253" i="25"/>
  <c r="BZ253" i="25"/>
  <c r="AO253" i="25"/>
  <c r="V246" i="25"/>
  <c r="X246" i="25" s="1"/>
  <c r="AE96" i="24"/>
  <c r="AI96" i="24"/>
  <c r="X96" i="24"/>
  <c r="AA96" i="24" s="1"/>
  <c r="AB96" i="24" s="1"/>
  <c r="AC96" i="24" s="1"/>
  <c r="R188" i="25"/>
  <c r="S188" i="25"/>
  <c r="K188" i="25" s="1"/>
  <c r="V188" i="25" s="1"/>
  <c r="Q188" i="25"/>
  <c r="AO188" i="25"/>
  <c r="BZ188" i="25"/>
  <c r="AE204" i="24"/>
  <c r="AI204" i="24"/>
  <c r="X204" i="24"/>
  <c r="AA204" i="24" s="1"/>
  <c r="AB204" i="24" s="1"/>
  <c r="AC204" i="24" s="1"/>
  <c r="Q220" i="24"/>
  <c r="P220" i="24"/>
  <c r="AP220" i="24"/>
  <c r="X187" i="25" l="1"/>
  <c r="X63" i="25"/>
  <c r="W280" i="25"/>
  <c r="Z280" i="25" s="1"/>
  <c r="AA280" i="25" s="1"/>
  <c r="AB280" i="25" s="1"/>
  <c r="AI280" i="25" s="1"/>
  <c r="X281" i="25"/>
  <c r="X251" i="25"/>
  <c r="Y124" i="24"/>
  <c r="Y221" i="24"/>
  <c r="Y243" i="24"/>
  <c r="Y141" i="24"/>
  <c r="Y291" i="24"/>
  <c r="Y177" i="24"/>
  <c r="X260" i="25"/>
  <c r="X105" i="25"/>
  <c r="W11" i="25"/>
  <c r="Z11" i="25" s="1"/>
  <c r="AA11" i="25" s="1"/>
  <c r="AB11" i="25" s="1"/>
  <c r="AI11" i="25" s="1"/>
  <c r="X78" i="25"/>
  <c r="X53" i="25"/>
  <c r="X18" i="25"/>
  <c r="X118" i="25"/>
  <c r="X249" i="25"/>
  <c r="X112" i="25"/>
  <c r="Y185" i="24"/>
  <c r="Y184" i="24"/>
  <c r="Y161" i="24"/>
  <c r="Y153" i="24"/>
  <c r="Y197" i="24"/>
  <c r="Y136" i="24"/>
  <c r="X234" i="25"/>
  <c r="Y280" i="24"/>
  <c r="Y156" i="24"/>
  <c r="Y297" i="24"/>
  <c r="X25" i="25"/>
  <c r="Y293" i="24"/>
  <c r="X183" i="25"/>
  <c r="Y174" i="24"/>
  <c r="Y282" i="24"/>
  <c r="Y179" i="24"/>
  <c r="Y288" i="24"/>
  <c r="Y145" i="24"/>
  <c r="Y154" i="24"/>
  <c r="Y245" i="24"/>
  <c r="Y256" i="24"/>
  <c r="X220" i="25"/>
  <c r="X169" i="25"/>
  <c r="X40" i="25"/>
  <c r="Y159" i="24"/>
  <c r="Y315" i="24"/>
  <c r="Y235" i="24"/>
  <c r="Y209" i="24"/>
  <c r="Y309" i="24"/>
  <c r="Y204" i="24"/>
  <c r="Y126" i="24"/>
  <c r="Y123" i="24"/>
  <c r="Y308" i="24"/>
  <c r="Y111" i="24"/>
  <c r="Y228" i="24"/>
  <c r="Y203" i="24"/>
  <c r="Y259" i="24"/>
  <c r="Y301" i="24"/>
  <c r="Y299" i="24"/>
  <c r="Y255" i="24"/>
  <c r="Y263" i="24"/>
  <c r="Y36" i="24"/>
  <c r="Y261" i="24"/>
  <c r="Y149" i="24"/>
  <c r="X239" i="25"/>
  <c r="X103" i="25"/>
  <c r="X44" i="25"/>
  <c r="X56" i="25"/>
  <c r="X298" i="25"/>
  <c r="X295" i="25"/>
  <c r="Y187" i="24"/>
  <c r="Y194" i="24"/>
  <c r="Y222" i="24"/>
  <c r="X55" i="25"/>
  <c r="Y151" i="24"/>
  <c r="Y144" i="24"/>
  <c r="Y295" i="24"/>
  <c r="Y158" i="24"/>
  <c r="Y143" i="24"/>
  <c r="Y183" i="24"/>
  <c r="Y266" i="24"/>
  <c r="Y135" i="24"/>
  <c r="X38" i="25"/>
  <c r="Y247" i="24"/>
  <c r="Y115" i="24"/>
  <c r="Y275" i="24"/>
  <c r="Y164" i="24"/>
  <c r="Y316" i="24"/>
  <c r="Y206" i="24"/>
  <c r="Y168" i="24"/>
  <c r="Y131" i="24"/>
  <c r="Y277" i="24"/>
  <c r="Y242" i="24"/>
  <c r="Y300" i="24"/>
  <c r="Y171" i="24"/>
  <c r="Y170" i="24"/>
  <c r="Y244" i="24"/>
  <c r="Y146" i="24"/>
  <c r="Y304" i="24"/>
  <c r="Y117" i="24"/>
  <c r="X66" i="25"/>
  <c r="X207" i="25"/>
  <c r="Y250" i="24"/>
  <c r="Y262" i="24"/>
  <c r="Y241" i="24"/>
  <c r="Y148" i="24"/>
  <c r="Y260" i="24"/>
  <c r="Y192" i="24"/>
  <c r="Y114" i="24"/>
  <c r="Y195" i="24"/>
  <c r="Y220" i="24"/>
  <c r="Y139" i="24"/>
  <c r="Y122" i="24"/>
  <c r="X47" i="25"/>
  <c r="Y229" i="24"/>
  <c r="Y283" i="24"/>
  <c r="Y138" i="24"/>
  <c r="Y113" i="24"/>
  <c r="Y140" i="24"/>
  <c r="Y298" i="24"/>
  <c r="Y240" i="24"/>
  <c r="Y196" i="24"/>
  <c r="Y112" i="24"/>
  <c r="Y186" i="24"/>
  <c r="Y239" i="24"/>
  <c r="Y210" i="24"/>
  <c r="Y232" i="24"/>
  <c r="Y176" i="24"/>
  <c r="Y249" i="24"/>
  <c r="X272" i="25"/>
  <c r="X140" i="25"/>
  <c r="X10" i="25"/>
  <c r="X266" i="25"/>
  <c r="X223" i="25"/>
  <c r="X138" i="25"/>
  <c r="X90" i="25"/>
  <c r="X307" i="25"/>
  <c r="X209" i="25"/>
  <c r="X101" i="25"/>
  <c r="X116" i="25"/>
  <c r="X74" i="25"/>
  <c r="X26" i="25"/>
  <c r="X225" i="25"/>
  <c r="X203" i="25"/>
  <c r="X123" i="25"/>
  <c r="X139" i="25"/>
  <c r="X99" i="25"/>
  <c r="X288" i="25"/>
  <c r="X196" i="25"/>
  <c r="X205" i="25"/>
  <c r="X217" i="25"/>
  <c r="X73" i="25"/>
  <c r="X165" i="25"/>
  <c r="X160" i="25"/>
  <c r="X175" i="25"/>
  <c r="X231" i="25"/>
  <c r="X122" i="25"/>
  <c r="X188" i="25"/>
  <c r="X84" i="25"/>
  <c r="X202" i="25"/>
  <c r="X171" i="25"/>
  <c r="X194" i="25"/>
  <c r="X197" i="25"/>
  <c r="X221" i="25"/>
  <c r="X27" i="25"/>
  <c r="X228" i="25"/>
  <c r="X41" i="25"/>
  <c r="X22" i="25"/>
  <c r="X242" i="25"/>
  <c r="X208" i="25"/>
  <c r="X218" i="25"/>
  <c r="X79" i="25"/>
  <c r="X302" i="25"/>
  <c r="X303" i="25"/>
  <c r="X159" i="25"/>
  <c r="X287" i="25"/>
  <c r="Y78" i="24"/>
  <c r="Y33" i="24"/>
  <c r="Y102" i="24"/>
  <c r="Y26" i="24"/>
  <c r="Y89" i="24"/>
  <c r="Y93" i="24"/>
  <c r="Y65" i="24"/>
  <c r="Y28" i="24"/>
  <c r="Y31" i="24"/>
  <c r="Y69" i="24"/>
  <c r="Y34" i="24"/>
  <c r="Y95" i="24"/>
  <c r="Y9" i="24"/>
  <c r="Y58" i="24"/>
  <c r="Y64" i="24"/>
  <c r="Y54" i="24"/>
  <c r="Y38" i="24"/>
  <c r="Y29" i="24"/>
  <c r="Y104" i="24"/>
  <c r="Y94" i="24"/>
  <c r="Y63" i="24"/>
  <c r="Y73" i="24"/>
  <c r="Y51" i="24"/>
  <c r="Y71" i="24"/>
  <c r="Y80" i="24"/>
  <c r="Y23" i="24"/>
  <c r="Y17" i="24"/>
  <c r="Y100" i="24"/>
  <c r="Y96" i="24"/>
  <c r="Y103" i="24"/>
  <c r="Y39" i="24"/>
  <c r="Y46" i="24"/>
  <c r="Y85" i="24"/>
  <c r="Y57" i="24"/>
  <c r="Y42" i="24"/>
  <c r="Y75" i="24"/>
  <c r="Y59" i="24"/>
  <c r="Y92" i="24"/>
  <c r="Y98" i="24"/>
  <c r="Y8" i="24"/>
  <c r="Y37" i="24"/>
  <c r="AD11" i="25"/>
  <c r="AE11" i="25" s="1"/>
  <c r="V155" i="25"/>
  <c r="X155" i="25" s="1"/>
  <c r="AJ194" i="24"/>
  <c r="AT194" i="24" s="1"/>
  <c r="AJ208" i="24"/>
  <c r="AT208" i="24" s="1"/>
  <c r="AJ205" i="24"/>
  <c r="AT205" i="24" s="1"/>
  <c r="AJ186" i="24"/>
  <c r="AT186" i="24" s="1"/>
  <c r="AJ192" i="24"/>
  <c r="AT192" i="24" s="1"/>
  <c r="AJ209" i="24"/>
  <c r="AT209" i="24" s="1"/>
  <c r="AJ201" i="24"/>
  <c r="AT201" i="24" s="1"/>
  <c r="AJ195" i="24"/>
  <c r="AT195" i="24" s="1"/>
  <c r="AJ189" i="24"/>
  <c r="AT189" i="24" s="1"/>
  <c r="AJ207" i="24"/>
  <c r="AT207" i="24" s="1"/>
  <c r="AJ202" i="24"/>
  <c r="AT202" i="24" s="1"/>
  <c r="AJ199" i="24"/>
  <c r="AD155" i="25"/>
  <c r="AF155" i="25" s="1"/>
  <c r="AV45" i="24"/>
  <c r="AV41" i="24"/>
  <c r="AT21" i="24"/>
  <c r="BA21" i="24" s="1"/>
  <c r="AV101" i="24"/>
  <c r="AV55" i="24"/>
  <c r="AT44" i="24"/>
  <c r="BA44" i="24" s="1"/>
  <c r="AV7" i="24"/>
  <c r="AJ204" i="24"/>
  <c r="AT204" i="24" s="1"/>
  <c r="AJ198" i="24"/>
  <c r="AT198" i="24" s="1"/>
  <c r="AJ203" i="24"/>
  <c r="AT203" i="24" s="1"/>
  <c r="AJ196" i="24"/>
  <c r="AT196" i="24" s="1"/>
  <c r="AJ206" i="24"/>
  <c r="AT206" i="24" s="1"/>
  <c r="AJ200" i="24"/>
  <c r="AT200" i="24" s="1"/>
  <c r="AJ185" i="24"/>
  <c r="AT185" i="24" s="1"/>
  <c r="AJ197" i="24"/>
  <c r="AT197" i="24" s="1"/>
  <c r="AJ188" i="24"/>
  <c r="AT188" i="24" s="1"/>
  <c r="AJ210" i="24"/>
  <c r="AT210" i="24" s="1"/>
  <c r="AJ187" i="24"/>
  <c r="AT187" i="24" s="1"/>
  <c r="AJ193" i="24"/>
  <c r="AT193" i="24" s="1"/>
  <c r="AJ184" i="24"/>
  <c r="AT184" i="24" s="1"/>
  <c r="V96" i="25"/>
  <c r="X96" i="25" s="1"/>
  <c r="W96" i="25"/>
  <c r="Z96" i="25" s="1"/>
  <c r="AA96" i="25" s="1"/>
  <c r="AB96" i="25" s="1"/>
  <c r="AI96" i="25" s="1"/>
  <c r="AS96" i="25" s="1"/>
  <c r="AJ178" i="24"/>
  <c r="AT178" i="24" s="1"/>
  <c r="AJ174" i="24"/>
  <c r="AT174" i="24" s="1"/>
  <c r="AJ173" i="24"/>
  <c r="AT173" i="24" s="1"/>
  <c r="AJ181" i="24"/>
  <c r="AT181" i="24" s="1"/>
  <c r="AJ171" i="24"/>
  <c r="AT171" i="24" s="1"/>
  <c r="AJ175" i="24"/>
  <c r="AT175" i="24" s="1"/>
  <c r="AJ180" i="24"/>
  <c r="AT180" i="24" s="1"/>
  <c r="AJ177" i="24"/>
  <c r="AT177" i="24" s="1"/>
  <c r="AJ103" i="24"/>
  <c r="AJ105" i="24"/>
  <c r="AJ96" i="24"/>
  <c r="AJ94" i="24"/>
  <c r="AJ99" i="24"/>
  <c r="W258" i="25"/>
  <c r="Z258" i="25" s="1"/>
  <c r="AA258" i="25" s="1"/>
  <c r="AB258" i="25" s="1"/>
  <c r="AI258" i="25" s="1"/>
  <c r="AS258" i="25" s="1"/>
  <c r="AD258" i="25"/>
  <c r="AE258" i="25" s="1"/>
  <c r="AV44" i="24"/>
  <c r="AF143" i="25"/>
  <c r="AM143" i="25" s="1"/>
  <c r="AJ170" i="24"/>
  <c r="AT170" i="24" s="1"/>
  <c r="AJ161" i="24"/>
  <c r="AT161" i="24" s="1"/>
  <c r="AJ85" i="24"/>
  <c r="AJ89" i="24"/>
  <c r="AJ165" i="24"/>
  <c r="AT165" i="24" s="1"/>
  <c r="W154" i="25"/>
  <c r="Z154" i="25" s="1"/>
  <c r="AA154" i="25" s="1"/>
  <c r="AB154" i="25" s="1"/>
  <c r="AI154" i="25" s="1"/>
  <c r="AS154" i="25" s="1"/>
  <c r="AD154" i="25"/>
  <c r="AJ176" i="24"/>
  <c r="AT176" i="24" s="1"/>
  <c r="AJ91" i="24"/>
  <c r="AJ158" i="24"/>
  <c r="AT158" i="24" s="1"/>
  <c r="AJ168" i="24"/>
  <c r="AT168" i="24" s="1"/>
  <c r="AT101" i="24"/>
  <c r="BA101" i="24" s="1"/>
  <c r="AJ163" i="24"/>
  <c r="AT163" i="24" s="1"/>
  <c r="AJ169" i="24"/>
  <c r="AT169" i="24" s="1"/>
  <c r="AJ167" i="24"/>
  <c r="AT167" i="24" s="1"/>
  <c r="AJ182" i="24"/>
  <c r="AT182" i="24" s="1"/>
  <c r="AJ183" i="24"/>
  <c r="AT183" i="24" s="1"/>
  <c r="AJ172" i="24"/>
  <c r="AT172" i="24" s="1"/>
  <c r="AJ164" i="24"/>
  <c r="AT164" i="24" s="1"/>
  <c r="AJ179" i="24"/>
  <c r="AT179" i="24" s="1"/>
  <c r="AD189" i="25"/>
  <c r="AF189" i="25" s="1"/>
  <c r="AT41" i="24"/>
  <c r="BA41" i="24" s="1"/>
  <c r="AJ69" i="24"/>
  <c r="AJ66" i="24"/>
  <c r="W97" i="25"/>
  <c r="Z97" i="25" s="1"/>
  <c r="AA97" i="25" s="1"/>
  <c r="AB97" i="25" s="1"/>
  <c r="AI97" i="25" s="1"/>
  <c r="AS97" i="25" s="1"/>
  <c r="AD97" i="25"/>
  <c r="AE97" i="25" s="1"/>
  <c r="AJ75" i="24"/>
  <c r="AJ93" i="24"/>
  <c r="AJ95" i="24"/>
  <c r="AJ84" i="24"/>
  <c r="AJ62" i="24"/>
  <c r="AJ157" i="24"/>
  <c r="AT157" i="24" s="1"/>
  <c r="AJ102" i="24"/>
  <c r="AJ90" i="24"/>
  <c r="AJ97" i="24"/>
  <c r="AJ74" i="24"/>
  <c r="AT7" i="24"/>
  <c r="BA7" i="24" s="1"/>
  <c r="AJ100" i="24"/>
  <c r="AJ98" i="24"/>
  <c r="AJ104" i="24"/>
  <c r="AJ81" i="24"/>
  <c r="AJ67" i="24"/>
  <c r="AT67" i="24" s="1"/>
  <c r="AJ79" i="24"/>
  <c r="AJ73" i="24"/>
  <c r="AJ92" i="24"/>
  <c r="AJ80" i="24"/>
  <c r="AJ86" i="24"/>
  <c r="AJ65" i="24"/>
  <c r="AJ70" i="24"/>
  <c r="AJ87" i="24"/>
  <c r="AJ88" i="24"/>
  <c r="AJ82" i="24"/>
  <c r="AJ68" i="24"/>
  <c r="AJ83" i="24"/>
  <c r="AJ72" i="24"/>
  <c r="AJ316" i="24"/>
  <c r="AT316" i="24" s="1"/>
  <c r="AT55" i="24"/>
  <c r="BA55" i="24" s="1"/>
  <c r="W179" i="25"/>
  <c r="Z179" i="25" s="1"/>
  <c r="AA179" i="25" s="1"/>
  <c r="AB179" i="25" s="1"/>
  <c r="AI179" i="25" s="1"/>
  <c r="AS179" i="25" s="1"/>
  <c r="AD179" i="25"/>
  <c r="AE179" i="25" s="1"/>
  <c r="V29" i="25"/>
  <c r="X29" i="25" s="1"/>
  <c r="W29" i="25"/>
  <c r="Z29" i="25" s="1"/>
  <c r="AA29" i="25" s="1"/>
  <c r="AB29" i="25" s="1"/>
  <c r="AI29" i="25" s="1"/>
  <c r="AS29" i="25" s="1"/>
  <c r="V28" i="25"/>
  <c r="X28" i="25" s="1"/>
  <c r="W291" i="25"/>
  <c r="Z291" i="25" s="1"/>
  <c r="AA291" i="25" s="1"/>
  <c r="AB291" i="25" s="1"/>
  <c r="AI291" i="25" s="1"/>
  <c r="AS291" i="25" s="1"/>
  <c r="W28" i="25"/>
  <c r="Z28" i="25" s="1"/>
  <c r="AA28" i="25" s="1"/>
  <c r="AB28" i="25" s="1"/>
  <c r="AI28" i="25" s="1"/>
  <c r="AS28" i="25" s="1"/>
  <c r="AD291" i="25"/>
  <c r="AE291" i="25" s="1"/>
  <c r="V265" i="25"/>
  <c r="X265" i="25" s="1"/>
  <c r="W265" i="25"/>
  <c r="Z265" i="25" s="1"/>
  <c r="AA265" i="25" s="1"/>
  <c r="AB265" i="25" s="1"/>
  <c r="AI265" i="25" s="1"/>
  <c r="AS265" i="25" s="1"/>
  <c r="AT45" i="24"/>
  <c r="BA45" i="24" s="1"/>
  <c r="AJ314" i="24"/>
  <c r="AT314" i="24" s="1"/>
  <c r="AV21" i="24"/>
  <c r="V189" i="25"/>
  <c r="X189" i="25" s="1"/>
  <c r="V104" i="25"/>
  <c r="X104" i="25" s="1"/>
  <c r="AD104" i="25"/>
  <c r="AF104" i="25" s="1"/>
  <c r="AJ311" i="24"/>
  <c r="AT311" i="24" s="1"/>
  <c r="AJ309" i="24"/>
  <c r="AT309" i="24" s="1"/>
  <c r="AJ307" i="24"/>
  <c r="AT307" i="24" s="1"/>
  <c r="AJ308" i="24"/>
  <c r="AT308" i="24" s="1"/>
  <c r="AJ156" i="24"/>
  <c r="AT156" i="24" s="1"/>
  <c r="AJ159" i="24"/>
  <c r="AT159" i="24" s="1"/>
  <c r="AJ76" i="24"/>
  <c r="AJ166" i="24"/>
  <c r="AT166" i="24" s="1"/>
  <c r="AJ312" i="24"/>
  <c r="AT312" i="24" s="1"/>
  <c r="AJ71" i="24"/>
  <c r="AJ315" i="24"/>
  <c r="AT315" i="24" s="1"/>
  <c r="AJ310" i="24"/>
  <c r="AT310" i="24" s="1"/>
  <c r="AJ78" i="24"/>
  <c r="AJ77" i="24"/>
  <c r="AJ64" i="24"/>
  <c r="AJ313" i="24"/>
  <c r="AT313" i="24" s="1"/>
  <c r="AD237" i="25"/>
  <c r="AE237" i="25" s="1"/>
  <c r="W237" i="25"/>
  <c r="Z237" i="25" s="1"/>
  <c r="AA237" i="25" s="1"/>
  <c r="AB237" i="25" s="1"/>
  <c r="AI237" i="25" s="1"/>
  <c r="AS237" i="25" s="1"/>
  <c r="AJ63" i="24"/>
  <c r="AJ61" i="24"/>
  <c r="AJ116" i="24"/>
  <c r="AT116" i="24" s="1"/>
  <c r="N212" i="25"/>
  <c r="BI212" i="25"/>
  <c r="AH212" i="25"/>
  <c r="BQ212" i="25"/>
  <c r="AJ252" i="24"/>
  <c r="AT252" i="24" s="1"/>
  <c r="AJ151" i="24"/>
  <c r="AT151" i="24" s="1"/>
  <c r="AJ115" i="24"/>
  <c r="AT115" i="24" s="1"/>
  <c r="AJ303" i="24"/>
  <c r="AT303" i="24" s="1"/>
  <c r="AJ275" i="24"/>
  <c r="AT275" i="24" s="1"/>
  <c r="AJ53" i="24"/>
  <c r="AJ47" i="24"/>
  <c r="AJ289" i="24"/>
  <c r="AT289" i="24" s="1"/>
  <c r="AJ254" i="24"/>
  <c r="AT254" i="24" s="1"/>
  <c r="AJ268" i="24"/>
  <c r="AT268" i="24" s="1"/>
  <c r="AJ141" i="24"/>
  <c r="AT141" i="24" s="1"/>
  <c r="AJ251" i="24"/>
  <c r="AT251" i="24" s="1"/>
  <c r="AJ60" i="24"/>
  <c r="V77" i="25"/>
  <c r="X77" i="25" s="1"/>
  <c r="AD77" i="25"/>
  <c r="W77" i="25"/>
  <c r="Z77" i="25" s="1"/>
  <c r="AA77" i="25" s="1"/>
  <c r="AB77" i="25" s="1"/>
  <c r="AI77" i="25" s="1"/>
  <c r="AS77" i="25" s="1"/>
  <c r="AW77" i="25" s="1"/>
  <c r="AJ272" i="24"/>
  <c r="AT272" i="24" s="1"/>
  <c r="AJ288" i="24"/>
  <c r="AT288" i="24" s="1"/>
  <c r="AJ40" i="24"/>
  <c r="AJ23" i="24"/>
  <c r="AJ276" i="24"/>
  <c r="AT276" i="24" s="1"/>
  <c r="AJ42" i="24"/>
  <c r="AJ286" i="24"/>
  <c r="AT286" i="24" s="1"/>
  <c r="AJ231" i="24"/>
  <c r="AT231" i="24" s="1"/>
  <c r="AJ143" i="24"/>
  <c r="AT143" i="24" s="1"/>
  <c r="AJ139" i="24"/>
  <c r="AT139" i="24" s="1"/>
  <c r="AJ11" i="24"/>
  <c r="AJ52" i="24"/>
  <c r="AJ144" i="24"/>
  <c r="AT144" i="24" s="1"/>
  <c r="AJ39" i="24"/>
  <c r="AJ127" i="24"/>
  <c r="AT127" i="24" s="1"/>
  <c r="AJ36" i="24"/>
  <c r="AJ137" i="24"/>
  <c r="AT137" i="24" s="1"/>
  <c r="AJ245" i="24"/>
  <c r="AT245" i="24" s="1"/>
  <c r="AJ149" i="24"/>
  <c r="AT149" i="24" s="1"/>
  <c r="AJ140" i="24"/>
  <c r="AT140" i="24" s="1"/>
  <c r="AJ285" i="24"/>
  <c r="AT285" i="24" s="1"/>
  <c r="AJ223" i="24"/>
  <c r="AT223" i="24" s="1"/>
  <c r="AJ13" i="24"/>
  <c r="AJ239" i="24"/>
  <c r="AT239" i="24" s="1"/>
  <c r="AJ262" i="24"/>
  <c r="AT262" i="24" s="1"/>
  <c r="AJ291" i="24"/>
  <c r="AT291" i="24" s="1"/>
  <c r="AJ277" i="24"/>
  <c r="AT277" i="24" s="1"/>
  <c r="AJ234" i="24"/>
  <c r="AT234" i="24" s="1"/>
  <c r="AJ217" i="24"/>
  <c r="AT217" i="24" s="1"/>
  <c r="AJ31" i="24"/>
  <c r="AJ293" i="24"/>
  <c r="AT293" i="24" s="1"/>
  <c r="AJ154" i="24"/>
  <c r="AT154" i="24" s="1"/>
  <c r="AJ50" i="24"/>
  <c r="AJ306" i="24"/>
  <c r="AT306" i="24" s="1"/>
  <c r="AJ49" i="24"/>
  <c r="AJ230" i="24"/>
  <c r="AT230" i="24" s="1"/>
  <c r="AJ241" i="24"/>
  <c r="AT241" i="24" s="1"/>
  <c r="AJ46" i="24"/>
  <c r="AJ150" i="24"/>
  <c r="AT150" i="24" s="1"/>
  <c r="AJ38" i="24"/>
  <c r="AJ226" i="24"/>
  <c r="AT226" i="24" s="1"/>
  <c r="AJ302" i="24"/>
  <c r="AT302" i="24" s="1"/>
  <c r="AJ122" i="24"/>
  <c r="AT122" i="24" s="1"/>
  <c r="AJ229" i="24"/>
  <c r="AT229" i="24" s="1"/>
  <c r="AJ244" i="24"/>
  <c r="AT244" i="24" s="1"/>
  <c r="AJ15" i="24"/>
  <c r="AJ256" i="24"/>
  <c r="AT256" i="24" s="1"/>
  <c r="AJ287" i="24"/>
  <c r="AT287" i="24" s="1"/>
  <c r="AJ270" i="24"/>
  <c r="AT270" i="24" s="1"/>
  <c r="AJ304" i="24"/>
  <c r="AT304" i="24" s="1"/>
  <c r="AJ146" i="24"/>
  <c r="AT146" i="24" s="1"/>
  <c r="AJ134" i="24"/>
  <c r="AT134" i="24" s="1"/>
  <c r="AJ138" i="24"/>
  <c r="AT138" i="24" s="1"/>
  <c r="AJ27" i="24"/>
  <c r="AJ136" i="24"/>
  <c r="AT136" i="24" s="1"/>
  <c r="AJ43" i="24"/>
  <c r="AJ10" i="24"/>
  <c r="AJ300" i="24"/>
  <c r="AT300" i="24" s="1"/>
  <c r="AJ29" i="24"/>
  <c r="AJ255" i="24"/>
  <c r="AT255" i="24" s="1"/>
  <c r="AJ278" i="24"/>
  <c r="AT278" i="24" s="1"/>
  <c r="AJ246" i="24"/>
  <c r="AT246" i="24" s="1"/>
  <c r="AJ250" i="24"/>
  <c r="AT250" i="24" s="1"/>
  <c r="AJ16" i="24"/>
  <c r="AJ227" i="24"/>
  <c r="AT227" i="24" s="1"/>
  <c r="AJ222" i="24"/>
  <c r="AT222" i="24" s="1"/>
  <c r="AJ124" i="24"/>
  <c r="AT124" i="24" s="1"/>
  <c r="AJ14" i="24"/>
  <c r="AJ118" i="24"/>
  <c r="AT118" i="24" s="1"/>
  <c r="AJ113" i="24"/>
  <c r="AT113" i="24" s="1"/>
  <c r="AJ220" i="24"/>
  <c r="AT220" i="24" s="1"/>
  <c r="AJ131" i="24"/>
  <c r="AT131" i="24" s="1"/>
  <c r="AJ25" i="24"/>
  <c r="AJ221" i="24"/>
  <c r="AT221" i="24" s="1"/>
  <c r="AD253" i="25"/>
  <c r="W253" i="25"/>
  <c r="Z253" i="25" s="1"/>
  <c r="AA253" i="25" s="1"/>
  <c r="AB253" i="25" s="1"/>
  <c r="AI253" i="25" s="1"/>
  <c r="V253" i="25"/>
  <c r="X253" i="25" s="1"/>
  <c r="AG223" i="24"/>
  <c r="AF223" i="24"/>
  <c r="AD102" i="25"/>
  <c r="W102" i="25"/>
  <c r="Z102" i="25" s="1"/>
  <c r="AA102" i="25" s="1"/>
  <c r="AB102" i="25" s="1"/>
  <c r="AI102" i="25" s="1"/>
  <c r="V102" i="25"/>
  <c r="X102" i="25" s="1"/>
  <c r="AF192" i="25"/>
  <c r="AE192" i="25"/>
  <c r="AG124" i="24"/>
  <c r="AF124" i="24"/>
  <c r="AD222" i="25"/>
  <c r="W222" i="25"/>
  <c r="Z222" i="25" s="1"/>
  <c r="AA222" i="25" s="1"/>
  <c r="AB222" i="25" s="1"/>
  <c r="AI222" i="25" s="1"/>
  <c r="AN45" i="24"/>
  <c r="CE45" i="24" s="1"/>
  <c r="AK45" i="24"/>
  <c r="AG89" i="24"/>
  <c r="AF89" i="24"/>
  <c r="AD111" i="25"/>
  <c r="W111" i="25"/>
  <c r="Z111" i="25" s="1"/>
  <c r="AA111" i="25" s="1"/>
  <c r="AB111" i="25" s="1"/>
  <c r="AI111" i="25" s="1"/>
  <c r="V111" i="25"/>
  <c r="X111" i="25" s="1"/>
  <c r="AD157" i="25"/>
  <c r="W157" i="25"/>
  <c r="Z157" i="25" s="1"/>
  <c r="AA157" i="25" s="1"/>
  <c r="AB157" i="25" s="1"/>
  <c r="AI157" i="25" s="1"/>
  <c r="AD181" i="25"/>
  <c r="W181" i="25"/>
  <c r="Z181" i="25" s="1"/>
  <c r="AA181" i="25" s="1"/>
  <c r="AB181" i="25" s="1"/>
  <c r="AI181" i="25" s="1"/>
  <c r="AG37" i="24"/>
  <c r="AF37" i="24"/>
  <c r="AD134" i="25"/>
  <c r="W134" i="25"/>
  <c r="Z134" i="25" s="1"/>
  <c r="AA134" i="25" s="1"/>
  <c r="AB134" i="25" s="1"/>
  <c r="AI134" i="25" s="1"/>
  <c r="V134" i="25"/>
  <c r="X134" i="25" s="1"/>
  <c r="AG312" i="24"/>
  <c r="AF312" i="24"/>
  <c r="AS267" i="25"/>
  <c r="AG242" i="24"/>
  <c r="AF242" i="24"/>
  <c r="AG12" i="24"/>
  <c r="AF12" i="24"/>
  <c r="AS82" i="25"/>
  <c r="AD299" i="25"/>
  <c r="W299" i="25"/>
  <c r="Z299" i="25" s="1"/>
  <c r="AA299" i="25" s="1"/>
  <c r="AB299" i="25" s="1"/>
  <c r="AI299" i="25" s="1"/>
  <c r="AF199" i="25"/>
  <c r="AE199" i="25"/>
  <c r="AJ228" i="24"/>
  <c r="AD76" i="25"/>
  <c r="W76" i="25"/>
  <c r="Z76" i="25" s="1"/>
  <c r="AA76" i="25" s="1"/>
  <c r="AB76" i="25" s="1"/>
  <c r="AI76" i="25" s="1"/>
  <c r="AF314" i="25"/>
  <c r="AE314" i="25"/>
  <c r="AJ135" i="24"/>
  <c r="AG78" i="24"/>
  <c r="AF78" i="24"/>
  <c r="AK142" i="24"/>
  <c r="AN142" i="24"/>
  <c r="AX142" i="24" s="1"/>
  <c r="AG295" i="24"/>
  <c r="AF295" i="24"/>
  <c r="AK119" i="24"/>
  <c r="AN119" i="24"/>
  <c r="AK257" i="24"/>
  <c r="AN257" i="24"/>
  <c r="AS161" i="25"/>
  <c r="AG253" i="24"/>
  <c r="AF253" i="24"/>
  <c r="AE28" i="25"/>
  <c r="AG152" i="24"/>
  <c r="AF152" i="24"/>
  <c r="AD125" i="25"/>
  <c r="W125" i="25"/>
  <c r="Z125" i="25" s="1"/>
  <c r="AA125" i="25" s="1"/>
  <c r="AB125" i="25" s="1"/>
  <c r="AI125" i="25" s="1"/>
  <c r="AJ26" i="24"/>
  <c r="AG100" i="24"/>
  <c r="AF100" i="24"/>
  <c r="AD295" i="25"/>
  <c r="W295" i="25"/>
  <c r="Z295" i="25" s="1"/>
  <c r="AA295" i="25" s="1"/>
  <c r="AB295" i="25" s="1"/>
  <c r="AI295" i="25" s="1"/>
  <c r="BA119" i="24"/>
  <c r="AJ35" i="24"/>
  <c r="AD298" i="25"/>
  <c r="W298" i="25"/>
  <c r="Z298" i="25" s="1"/>
  <c r="AA298" i="25" s="1"/>
  <c r="AB298" i="25" s="1"/>
  <c r="AI298" i="25" s="1"/>
  <c r="AJ153" i="24"/>
  <c r="AD277" i="25"/>
  <c r="W277" i="25"/>
  <c r="Z277" i="25" s="1"/>
  <c r="AA277" i="25" s="1"/>
  <c r="AB277" i="25" s="1"/>
  <c r="AI277" i="25" s="1"/>
  <c r="AD152" i="25"/>
  <c r="W152" i="25"/>
  <c r="Z152" i="25" s="1"/>
  <c r="AA152" i="25" s="1"/>
  <c r="AB152" i="25" s="1"/>
  <c r="AI152" i="25" s="1"/>
  <c r="V152" i="25"/>
  <c r="X152" i="25" s="1"/>
  <c r="AD250" i="25"/>
  <c r="W250" i="25"/>
  <c r="Z250" i="25" s="1"/>
  <c r="AA250" i="25" s="1"/>
  <c r="AB250" i="25" s="1"/>
  <c r="AI250" i="25" s="1"/>
  <c r="V250" i="25"/>
  <c r="X250" i="25" s="1"/>
  <c r="AD48" i="25"/>
  <c r="W48" i="25"/>
  <c r="Z48" i="25" s="1"/>
  <c r="AA48" i="25" s="1"/>
  <c r="AB48" i="25" s="1"/>
  <c r="AI48" i="25" s="1"/>
  <c r="V48" i="25"/>
  <c r="X48" i="25" s="1"/>
  <c r="AJ249" i="24"/>
  <c r="AF31" i="25"/>
  <c r="AE31" i="25"/>
  <c r="AG66" i="24"/>
  <c r="AF66" i="24"/>
  <c r="AS247" i="25"/>
  <c r="AF204" i="25"/>
  <c r="AE204" i="25"/>
  <c r="AJ111" i="24"/>
  <c r="AD187" i="25"/>
  <c r="W187" i="25"/>
  <c r="Z187" i="25" s="1"/>
  <c r="AA187" i="25" s="1"/>
  <c r="AB187" i="25" s="1"/>
  <c r="AI187" i="25" s="1"/>
  <c r="AJ51" i="24"/>
  <c r="AG306" i="24"/>
  <c r="AF306" i="24"/>
  <c r="AG80" i="24"/>
  <c r="AF80" i="24"/>
  <c r="AG244" i="24"/>
  <c r="AF244" i="24"/>
  <c r="AS62" i="25"/>
  <c r="AJ301" i="24"/>
  <c r="AD24" i="25"/>
  <c r="W24" i="25"/>
  <c r="Z24" i="25" s="1"/>
  <c r="AA24" i="25" s="1"/>
  <c r="AB24" i="25" s="1"/>
  <c r="AI24" i="25" s="1"/>
  <c r="V24" i="25"/>
  <c r="X24" i="25" s="1"/>
  <c r="AJ129" i="25"/>
  <c r="AM129" i="25"/>
  <c r="AG91" i="24"/>
  <c r="AF91" i="24"/>
  <c r="AG67" i="24"/>
  <c r="AF67" i="24"/>
  <c r="AD166" i="25"/>
  <c r="W166" i="25"/>
  <c r="Z166" i="25" s="1"/>
  <c r="AA166" i="25" s="1"/>
  <c r="AB166" i="25" s="1"/>
  <c r="AI166" i="25" s="1"/>
  <c r="V166" i="25"/>
  <c r="X166" i="25" s="1"/>
  <c r="AJ133" i="24"/>
  <c r="AN41" i="24"/>
  <c r="BU41" i="24" s="1"/>
  <c r="AK41" i="24"/>
  <c r="AF282" i="25"/>
  <c r="AE282" i="25"/>
  <c r="AD37" i="25"/>
  <c r="W37" i="25"/>
  <c r="Z37" i="25" s="1"/>
  <c r="AA37" i="25" s="1"/>
  <c r="AB37" i="25" s="1"/>
  <c r="AI37" i="25" s="1"/>
  <c r="V37" i="25"/>
  <c r="X37" i="25" s="1"/>
  <c r="AJ58" i="24"/>
  <c r="AJ269" i="24"/>
  <c r="AJ54" i="24"/>
  <c r="AD278" i="25"/>
  <c r="W278" i="25"/>
  <c r="Z278" i="25" s="1"/>
  <c r="AA278" i="25" s="1"/>
  <c r="AB278" i="25" s="1"/>
  <c r="AI278" i="25" s="1"/>
  <c r="AJ125" i="24"/>
  <c r="AD63" i="25"/>
  <c r="W63" i="25"/>
  <c r="Z63" i="25" s="1"/>
  <c r="AA63" i="25" s="1"/>
  <c r="AB63" i="25" s="1"/>
  <c r="AI63" i="25" s="1"/>
  <c r="AJ24" i="24"/>
  <c r="AF178" i="25"/>
  <c r="AE178" i="25"/>
  <c r="AG231" i="24"/>
  <c r="AF231" i="24"/>
  <c r="AG192" i="24"/>
  <c r="AF192" i="24"/>
  <c r="AS6" i="25"/>
  <c r="AS292" i="25"/>
  <c r="AJ148" i="24"/>
  <c r="AG130" i="24"/>
  <c r="AF130" i="24"/>
  <c r="AJ117" i="24"/>
  <c r="AG243" i="24"/>
  <c r="AF243" i="24"/>
  <c r="AG60" i="24"/>
  <c r="AF60" i="24"/>
  <c r="AD271" i="25"/>
  <c r="W271" i="25"/>
  <c r="Z271" i="25" s="1"/>
  <c r="AA271" i="25" s="1"/>
  <c r="AB271" i="25" s="1"/>
  <c r="AI271" i="25" s="1"/>
  <c r="V271" i="25"/>
  <c r="X271" i="25" s="1"/>
  <c r="AD44" i="25"/>
  <c r="W44" i="25"/>
  <c r="Z44" i="25" s="1"/>
  <c r="AA44" i="25" s="1"/>
  <c r="AB44" i="25" s="1"/>
  <c r="AI44" i="25" s="1"/>
  <c r="AG248" i="24"/>
  <c r="AF248" i="24"/>
  <c r="AD286" i="25"/>
  <c r="W286" i="25"/>
  <c r="Z286" i="25" s="1"/>
  <c r="AA286" i="25" s="1"/>
  <c r="AB286" i="25" s="1"/>
  <c r="AI286" i="25" s="1"/>
  <c r="AF170" i="25"/>
  <c r="AE170" i="25"/>
  <c r="AD70" i="25"/>
  <c r="W70" i="25"/>
  <c r="Z70" i="25" s="1"/>
  <c r="AA70" i="25" s="1"/>
  <c r="AB70" i="25" s="1"/>
  <c r="AI70" i="25" s="1"/>
  <c r="AM110" i="25"/>
  <c r="AJ110" i="25"/>
  <c r="AG139" i="24"/>
  <c r="AF139" i="24"/>
  <c r="AG23" i="24"/>
  <c r="AF23" i="24"/>
  <c r="AG147" i="24"/>
  <c r="AF147" i="24"/>
  <c r="AG103" i="24"/>
  <c r="AF103" i="24"/>
  <c r="AS94" i="25"/>
  <c r="AD235" i="25"/>
  <c r="W235" i="25"/>
  <c r="Z235" i="25" s="1"/>
  <c r="AA235" i="25" s="1"/>
  <c r="AB235" i="25" s="1"/>
  <c r="AI235" i="25" s="1"/>
  <c r="V235" i="25"/>
  <c r="X235" i="25" s="1"/>
  <c r="AG168" i="24"/>
  <c r="AF168" i="24"/>
  <c r="AD85" i="25"/>
  <c r="W85" i="25"/>
  <c r="Z85" i="25" s="1"/>
  <c r="AA85" i="25" s="1"/>
  <c r="AB85" i="25" s="1"/>
  <c r="AI85" i="25" s="1"/>
  <c r="V85" i="25"/>
  <c r="X85" i="25" s="1"/>
  <c r="AJ121" i="24"/>
  <c r="AG102" i="24"/>
  <c r="AF102" i="24"/>
  <c r="AG99" i="24"/>
  <c r="AF99" i="24"/>
  <c r="AJ281" i="24"/>
  <c r="AD230" i="25"/>
  <c r="W230" i="25"/>
  <c r="Z230" i="25" s="1"/>
  <c r="AA230" i="25" s="1"/>
  <c r="AB230" i="25" s="1"/>
  <c r="AI230" i="25" s="1"/>
  <c r="AD308" i="25"/>
  <c r="W308" i="25"/>
  <c r="Z308" i="25" s="1"/>
  <c r="AA308" i="25" s="1"/>
  <c r="AB308" i="25" s="1"/>
  <c r="AI308" i="25" s="1"/>
  <c r="V308" i="25"/>
  <c r="X308" i="25" s="1"/>
  <c r="AJ296" i="24"/>
  <c r="AG273" i="24"/>
  <c r="AF273" i="24"/>
  <c r="AG76" i="24"/>
  <c r="AF76" i="24"/>
  <c r="AK191" i="24"/>
  <c r="AN191" i="24"/>
  <c r="CE191" i="24" s="1"/>
  <c r="AJ218" i="24"/>
  <c r="AD191" i="25"/>
  <c r="W191" i="25"/>
  <c r="Z191" i="25" s="1"/>
  <c r="AA191" i="25" s="1"/>
  <c r="AB191" i="25" s="1"/>
  <c r="AI191" i="25" s="1"/>
  <c r="V191" i="25"/>
  <c r="X191" i="25" s="1"/>
  <c r="AJ28" i="24"/>
  <c r="AD141" i="25"/>
  <c r="W141" i="25"/>
  <c r="Z141" i="25" s="1"/>
  <c r="AA141" i="25" s="1"/>
  <c r="AB141" i="25" s="1"/>
  <c r="AI141" i="25" s="1"/>
  <c r="V141" i="25"/>
  <c r="X141" i="25" s="1"/>
  <c r="AS259" i="25"/>
  <c r="AJ298" i="24"/>
  <c r="AF232" i="25"/>
  <c r="AE232" i="25"/>
  <c r="AD66" i="25"/>
  <c r="W66" i="25"/>
  <c r="Z66" i="25" s="1"/>
  <c r="AA66" i="25" s="1"/>
  <c r="AB66" i="25" s="1"/>
  <c r="AI66" i="25" s="1"/>
  <c r="AG79" i="24"/>
  <c r="AF79" i="24"/>
  <c r="AG165" i="24"/>
  <c r="AF165" i="24"/>
  <c r="AJ280" i="24"/>
  <c r="AG73" i="24"/>
  <c r="AF73" i="24"/>
  <c r="AJ305" i="24"/>
  <c r="AG232" i="24"/>
  <c r="AF232" i="24"/>
  <c r="AD88" i="25"/>
  <c r="W88" i="25"/>
  <c r="Z88" i="25" s="1"/>
  <c r="AA88" i="25" s="1"/>
  <c r="AB88" i="25" s="1"/>
  <c r="AI88" i="25" s="1"/>
  <c r="V88" i="25"/>
  <c r="X88" i="25" s="1"/>
  <c r="AG16" i="24"/>
  <c r="AF16" i="24"/>
  <c r="AD81" i="25"/>
  <c r="W81" i="25"/>
  <c r="Z81" i="25" s="1"/>
  <c r="AA81" i="25" s="1"/>
  <c r="AB81" i="25" s="1"/>
  <c r="AI81" i="25" s="1"/>
  <c r="AN233" i="24"/>
  <c r="AK233" i="24"/>
  <c r="AS147" i="25"/>
  <c r="AF267" i="25"/>
  <c r="AE267" i="25"/>
  <c r="AF82" i="25"/>
  <c r="AE82" i="25"/>
  <c r="AD20" i="25"/>
  <c r="W20" i="25"/>
  <c r="Z20" i="25" s="1"/>
  <c r="AA20" i="25" s="1"/>
  <c r="AB20" i="25" s="1"/>
  <c r="AI20" i="25" s="1"/>
  <c r="V20" i="25"/>
  <c r="X20" i="25" s="1"/>
  <c r="AD115" i="25"/>
  <c r="W115" i="25"/>
  <c r="Z115" i="25" s="1"/>
  <c r="AA115" i="25" s="1"/>
  <c r="AB115" i="25" s="1"/>
  <c r="AI115" i="25" s="1"/>
  <c r="AG71" i="24"/>
  <c r="AF71" i="24"/>
  <c r="AG27" i="24"/>
  <c r="AF27" i="24"/>
  <c r="AG293" i="24"/>
  <c r="AF293" i="24"/>
  <c r="AS198" i="25"/>
  <c r="AG74" i="24"/>
  <c r="AF74" i="24"/>
  <c r="AG13" i="24"/>
  <c r="AF13" i="24"/>
  <c r="AS30" i="25"/>
  <c r="AG171" i="24"/>
  <c r="AF171" i="24"/>
  <c r="AF161" i="25"/>
  <c r="AE161" i="25"/>
  <c r="AD180" i="25"/>
  <c r="W180" i="25"/>
  <c r="Z180" i="25" s="1"/>
  <c r="AA180" i="25" s="1"/>
  <c r="AB180" i="25" s="1"/>
  <c r="AI180" i="25" s="1"/>
  <c r="V180" i="25"/>
  <c r="X180" i="25" s="1"/>
  <c r="AS305" i="25"/>
  <c r="V76" i="25"/>
  <c r="X76" i="25" s="1"/>
  <c r="AG75" i="24"/>
  <c r="AF75" i="24"/>
  <c r="AG87" i="24"/>
  <c r="AF87" i="24"/>
  <c r="AG93" i="24"/>
  <c r="AF93" i="24"/>
  <c r="AD226" i="25"/>
  <c r="W226" i="25"/>
  <c r="Z226" i="25" s="1"/>
  <c r="AA226" i="25" s="1"/>
  <c r="AB226" i="25" s="1"/>
  <c r="AI226" i="25" s="1"/>
  <c r="AG154" i="24"/>
  <c r="AF154" i="24"/>
  <c r="AG40" i="24"/>
  <c r="AF40" i="24"/>
  <c r="AG43" i="24"/>
  <c r="AF43" i="24"/>
  <c r="BA294" i="24"/>
  <c r="AD50" i="25"/>
  <c r="W50" i="25"/>
  <c r="Z50" i="25" s="1"/>
  <c r="AA50" i="25" s="1"/>
  <c r="AB50" i="25" s="1"/>
  <c r="AI50" i="25" s="1"/>
  <c r="V50" i="25"/>
  <c r="X50" i="25" s="1"/>
  <c r="AD118" i="25"/>
  <c r="W118" i="25"/>
  <c r="Z118" i="25" s="1"/>
  <c r="AA118" i="25" s="1"/>
  <c r="AB118" i="25" s="1"/>
  <c r="AI118" i="25" s="1"/>
  <c r="AG175" i="24"/>
  <c r="AF175" i="24"/>
  <c r="AG50" i="24"/>
  <c r="AF50" i="24"/>
  <c r="AD313" i="25"/>
  <c r="W313" i="25"/>
  <c r="Z313" i="25" s="1"/>
  <c r="AA313" i="25" s="1"/>
  <c r="AB313" i="25" s="1"/>
  <c r="AI313" i="25" s="1"/>
  <c r="V125" i="25"/>
  <c r="X125" i="25" s="1"/>
  <c r="AD263" i="25"/>
  <c r="W263" i="25"/>
  <c r="Z263" i="25" s="1"/>
  <c r="AA263" i="25" s="1"/>
  <c r="AB263" i="25" s="1"/>
  <c r="AI263" i="25" s="1"/>
  <c r="V263" i="25"/>
  <c r="X263" i="25" s="1"/>
  <c r="AK22" i="24"/>
  <c r="AN22" i="24"/>
  <c r="AX22" i="24" s="1"/>
  <c r="AF247" i="25"/>
  <c r="AE247" i="25"/>
  <c r="AF62" i="25"/>
  <c r="AE62" i="25"/>
  <c r="AD311" i="25"/>
  <c r="W311" i="25"/>
  <c r="Z311" i="25" s="1"/>
  <c r="AA311" i="25" s="1"/>
  <c r="AB311" i="25" s="1"/>
  <c r="AI311" i="25" s="1"/>
  <c r="V311" i="25"/>
  <c r="X311" i="25" s="1"/>
  <c r="AG220" i="24"/>
  <c r="AF220" i="24"/>
  <c r="BA190" i="24"/>
  <c r="AG134" i="24"/>
  <c r="AF134" i="24"/>
  <c r="AG185" i="24"/>
  <c r="AF185" i="24"/>
  <c r="AG234" i="24"/>
  <c r="AF234" i="24"/>
  <c r="AD268" i="25"/>
  <c r="W268" i="25"/>
  <c r="Z268" i="25" s="1"/>
  <c r="AA268" i="25" s="1"/>
  <c r="AB268" i="25" s="1"/>
  <c r="AI268" i="25" s="1"/>
  <c r="AD100" i="25"/>
  <c r="W100" i="25"/>
  <c r="Z100" i="25" s="1"/>
  <c r="AA100" i="25" s="1"/>
  <c r="AB100" i="25" s="1"/>
  <c r="AI100" i="25" s="1"/>
  <c r="AD165" i="25"/>
  <c r="W165" i="25"/>
  <c r="Z165" i="25" s="1"/>
  <c r="AA165" i="25" s="1"/>
  <c r="AB165" i="25" s="1"/>
  <c r="AI165" i="25" s="1"/>
  <c r="AG217" i="24"/>
  <c r="AF217" i="24"/>
  <c r="AD224" i="25"/>
  <c r="W224" i="25"/>
  <c r="Z224" i="25" s="1"/>
  <c r="AA224" i="25" s="1"/>
  <c r="AB224" i="25" s="1"/>
  <c r="AI224" i="25" s="1"/>
  <c r="AJ274" i="24"/>
  <c r="AF292" i="25"/>
  <c r="AE292" i="25"/>
  <c r="AJ258" i="24"/>
  <c r="AD256" i="25"/>
  <c r="W256" i="25"/>
  <c r="Z256" i="25" s="1"/>
  <c r="AA256" i="25" s="1"/>
  <c r="AB256" i="25" s="1"/>
  <c r="AI256" i="25" s="1"/>
  <c r="V256" i="25"/>
  <c r="X256" i="25" s="1"/>
  <c r="AG205" i="24"/>
  <c r="AF205" i="24"/>
  <c r="AD93" i="25"/>
  <c r="W93" i="25"/>
  <c r="Z93" i="25" s="1"/>
  <c r="AA93" i="25" s="1"/>
  <c r="AB93" i="25" s="1"/>
  <c r="AI93" i="25" s="1"/>
  <c r="V268" i="25"/>
  <c r="X268" i="25" s="1"/>
  <c r="AG184" i="24"/>
  <c r="AF184" i="24"/>
  <c r="AG47" i="24"/>
  <c r="AF47" i="24"/>
  <c r="AS280" i="25"/>
  <c r="AD281" i="25"/>
  <c r="W281" i="25"/>
  <c r="Z281" i="25" s="1"/>
  <c r="AA281" i="25" s="1"/>
  <c r="AB281" i="25" s="1"/>
  <c r="AI281" i="25" s="1"/>
  <c r="AG36" i="24"/>
  <c r="AF36" i="24"/>
  <c r="AG227" i="24"/>
  <c r="AF227" i="24"/>
  <c r="AG150" i="24"/>
  <c r="AF150" i="24"/>
  <c r="AG206" i="24"/>
  <c r="AF206" i="24"/>
  <c r="AF94" i="25"/>
  <c r="AE94" i="25"/>
  <c r="AD9" i="25"/>
  <c r="W9" i="25"/>
  <c r="Z9" i="25" s="1"/>
  <c r="AA9" i="25" s="1"/>
  <c r="AB9" i="25" s="1"/>
  <c r="AI9" i="25" s="1"/>
  <c r="V9" i="25"/>
  <c r="X9" i="25" s="1"/>
  <c r="AN264" i="24"/>
  <c r="AX264" i="24" s="1"/>
  <c r="AK264" i="24"/>
  <c r="AD197" i="25"/>
  <c r="W197" i="25"/>
  <c r="Z197" i="25" s="1"/>
  <c r="AA197" i="25" s="1"/>
  <c r="AB197" i="25" s="1"/>
  <c r="AI197" i="25" s="1"/>
  <c r="V70" i="25"/>
  <c r="X70" i="25" s="1"/>
  <c r="AG221" i="24"/>
  <c r="AF221" i="24"/>
  <c r="AG49" i="24"/>
  <c r="AF49" i="24"/>
  <c r="AD183" i="25"/>
  <c r="W183" i="25"/>
  <c r="Z183" i="25" s="1"/>
  <c r="AA183" i="25" s="1"/>
  <c r="AB183" i="25" s="1"/>
  <c r="AI183" i="25" s="1"/>
  <c r="AF259" i="25"/>
  <c r="AE259" i="25"/>
  <c r="AG141" i="24"/>
  <c r="AF141" i="24"/>
  <c r="AG251" i="24"/>
  <c r="AF251" i="24"/>
  <c r="AD239" i="25"/>
  <c r="W239" i="25"/>
  <c r="Z239" i="25" s="1"/>
  <c r="AA239" i="25" s="1"/>
  <c r="AB239" i="25" s="1"/>
  <c r="AI239" i="25" s="1"/>
  <c r="AD260" i="25"/>
  <c r="W260" i="25"/>
  <c r="Z260" i="25" s="1"/>
  <c r="AA260" i="25" s="1"/>
  <c r="AB260" i="25" s="1"/>
  <c r="AI260" i="25" s="1"/>
  <c r="AG38" i="24"/>
  <c r="AF38" i="24"/>
  <c r="AD49" i="25"/>
  <c r="W49" i="25"/>
  <c r="Z49" i="25" s="1"/>
  <c r="AA49" i="25" s="1"/>
  <c r="AB49" i="25" s="1"/>
  <c r="AI49" i="25" s="1"/>
  <c r="V49" i="25"/>
  <c r="X49" i="25" s="1"/>
  <c r="AK162" i="24"/>
  <c r="AN162" i="24"/>
  <c r="CE162" i="24" s="1"/>
  <c r="AG278" i="24"/>
  <c r="AF278" i="24"/>
  <c r="AS114" i="25"/>
  <c r="AS262" i="25"/>
  <c r="AG226" i="24"/>
  <c r="AF226" i="24"/>
  <c r="AT264" i="24"/>
  <c r="FI285" i="25"/>
  <c r="FI232" i="25"/>
  <c r="FI256" i="25"/>
  <c r="FI286" i="25"/>
  <c r="FI227" i="25"/>
  <c r="FI216" i="25"/>
  <c r="FI295" i="25"/>
  <c r="FI218" i="25"/>
  <c r="FI294" i="25"/>
  <c r="FI258" i="25"/>
  <c r="FI301" i="25"/>
  <c r="FI220" i="25"/>
  <c r="FI308" i="25"/>
  <c r="FI272" i="25"/>
  <c r="FI278" i="25"/>
  <c r="FI221" i="25"/>
  <c r="FI290" i="25"/>
  <c r="FI228" i="25"/>
  <c r="FI257" i="25"/>
  <c r="FI245" i="25"/>
  <c r="FI303" i="25"/>
  <c r="FI283" i="25"/>
  <c r="FI316" i="25"/>
  <c r="FI289" i="25"/>
  <c r="FI274" i="25"/>
  <c r="FI266" i="25"/>
  <c r="FI267" i="25"/>
  <c r="FI293" i="25"/>
  <c r="FI299" i="25"/>
  <c r="FI311" i="25"/>
  <c r="FI234" i="25"/>
  <c r="FI281" i="25"/>
  <c r="FI304" i="25"/>
  <c r="FI279" i="25"/>
  <c r="FI246" i="25"/>
  <c r="FI244" i="25"/>
  <c r="FI312" i="25"/>
  <c r="FI260" i="25"/>
  <c r="FI248" i="25"/>
  <c r="FI261" i="25"/>
  <c r="FI314" i="25"/>
  <c r="FI309" i="25"/>
  <c r="FI302" i="25"/>
  <c r="FI264" i="25"/>
  <c r="FI230" i="25"/>
  <c r="FI238" i="25"/>
  <c r="FI268" i="25"/>
  <c r="FI287" i="25"/>
  <c r="FI313" i="25"/>
  <c r="FI222" i="25"/>
  <c r="FI307" i="25"/>
  <c r="FI305" i="25"/>
  <c r="FI291" i="25"/>
  <c r="FI225" i="25"/>
  <c r="FI237" i="25"/>
  <c r="FI249" i="25"/>
  <c r="FI300" i="25"/>
  <c r="FI296" i="25"/>
  <c r="FI288" i="25"/>
  <c r="FI240" i="25"/>
  <c r="FI276" i="25"/>
  <c r="FI235" i="25"/>
  <c r="FI251" i="25"/>
  <c r="FI275" i="25"/>
  <c r="FI253" i="25"/>
  <c r="FI223" i="25"/>
  <c r="FI226" i="25"/>
  <c r="FI297" i="25"/>
  <c r="FI306" i="25"/>
  <c r="CE216" i="25"/>
  <c r="FI310" i="25"/>
  <c r="FI265" i="25"/>
  <c r="FI241" i="25"/>
  <c r="FI239" i="25"/>
  <c r="FI242" i="25"/>
  <c r="FI315" i="25"/>
  <c r="FI262" i="25"/>
  <c r="FI284" i="25"/>
  <c r="FI243" i="25"/>
  <c r="FI298" i="25"/>
  <c r="FI252" i="25"/>
  <c r="FI270" i="25"/>
  <c r="FI277" i="25"/>
  <c r="FI273" i="25"/>
  <c r="FI224" i="25"/>
  <c r="FI236" i="25"/>
  <c r="FI263" i="25"/>
  <c r="FI231" i="25"/>
  <c r="FI217" i="25"/>
  <c r="FI254" i="25"/>
  <c r="FI271" i="25"/>
  <c r="FI250" i="25"/>
  <c r="FI282" i="25"/>
  <c r="FI247" i="25"/>
  <c r="FI219" i="25"/>
  <c r="FI229" i="25"/>
  <c r="FI255" i="25"/>
  <c r="FI280" i="25"/>
  <c r="FI269" i="25"/>
  <c r="FI259" i="25"/>
  <c r="FI292" i="25"/>
  <c r="FI233" i="25"/>
  <c r="CE252" i="25"/>
  <c r="CE231" i="25"/>
  <c r="CE243" i="25"/>
  <c r="CE260" i="25"/>
  <c r="CE314" i="25"/>
  <c r="CE267" i="25"/>
  <c r="CE299" i="25"/>
  <c r="CE258" i="25"/>
  <c r="CE235" i="25"/>
  <c r="CE265" i="25"/>
  <c r="CE241" i="25"/>
  <c r="CE222" i="25"/>
  <c r="CE217" i="25"/>
  <c r="CE278" i="25"/>
  <c r="CE248" i="25"/>
  <c r="CE261" i="25"/>
  <c r="CE293" i="25"/>
  <c r="CE242" i="25"/>
  <c r="CE304" i="25"/>
  <c r="CE271" i="25"/>
  <c r="CE245" i="25"/>
  <c r="CE257" i="25"/>
  <c r="CE253" i="25"/>
  <c r="CE301" i="25"/>
  <c r="CE244" i="25"/>
  <c r="CE262" i="25"/>
  <c r="CE255" i="25"/>
  <c r="CE256" i="25"/>
  <c r="CE225" i="25"/>
  <c r="CE254" i="25"/>
  <c r="CE276" i="25"/>
  <c r="CE290" i="25"/>
  <c r="CE236" i="25"/>
  <c r="CE298" i="25"/>
  <c r="CE309" i="25"/>
  <c r="CE275" i="25"/>
  <c r="CE282" i="25"/>
  <c r="CE224" i="25"/>
  <c r="CE286" i="25"/>
  <c r="CE249" i="25"/>
  <c r="CE240" i="25"/>
  <c r="CE277" i="25"/>
  <c r="CE238" i="25"/>
  <c r="CE219" i="25"/>
  <c r="CE266" i="25"/>
  <c r="CE226" i="25"/>
  <c r="CE250" i="25"/>
  <c r="CE296" i="25"/>
  <c r="CE228" i="25"/>
  <c r="CE234" i="25"/>
  <c r="CE221" i="25"/>
  <c r="CE285" i="25"/>
  <c r="CE264" i="25"/>
  <c r="CE289" i="25"/>
  <c r="CE297" i="25"/>
  <c r="CE273" i="25"/>
  <c r="CE259" i="25"/>
  <c r="CE263" i="25"/>
  <c r="CE291" i="25"/>
  <c r="CE310" i="25"/>
  <c r="CE227" i="25"/>
  <c r="CE313" i="25"/>
  <c r="CE230" i="25"/>
  <c r="CE229" i="25"/>
  <c r="CE247" i="25"/>
  <c r="CE251" i="25"/>
  <c r="CE218" i="25"/>
  <c r="CE232" i="25"/>
  <c r="CE237" i="25"/>
  <c r="CE288" i="25"/>
  <c r="CE312" i="25"/>
  <c r="CE233" i="25"/>
  <c r="CE223" i="25"/>
  <c r="CE308" i="25"/>
  <c r="CE220" i="25"/>
  <c r="CE281" i="25"/>
  <c r="CE246" i="25"/>
  <c r="CE239" i="25"/>
  <c r="CE315" i="25"/>
  <c r="CE269" i="25"/>
  <c r="AD39" i="25"/>
  <c r="W39" i="25"/>
  <c r="Z39" i="25" s="1"/>
  <c r="AA39" i="25" s="1"/>
  <c r="AB39" i="25" s="1"/>
  <c r="AI39" i="25" s="1"/>
  <c r="AF147" i="25"/>
  <c r="AE147" i="25"/>
  <c r="AS13" i="25"/>
  <c r="AG228" i="24"/>
  <c r="AF228" i="24"/>
  <c r="AD42" i="25"/>
  <c r="W42" i="25"/>
  <c r="Z42" i="25" s="1"/>
  <c r="AA42" i="25" s="1"/>
  <c r="AB42" i="25" s="1"/>
  <c r="AI42" i="25" s="1"/>
  <c r="V42" i="25"/>
  <c r="X42" i="25" s="1"/>
  <c r="AD242" i="25"/>
  <c r="W242" i="25"/>
  <c r="Z242" i="25" s="1"/>
  <c r="AA242" i="25" s="1"/>
  <c r="AB242" i="25" s="1"/>
  <c r="AI242" i="25" s="1"/>
  <c r="AG97" i="24"/>
  <c r="AF97" i="24"/>
  <c r="AG135" i="24"/>
  <c r="AF135" i="24"/>
  <c r="AD289" i="25"/>
  <c r="W289" i="25"/>
  <c r="Z289" i="25" s="1"/>
  <c r="AA289" i="25" s="1"/>
  <c r="AB289" i="25" s="1"/>
  <c r="AI289" i="25" s="1"/>
  <c r="AF198" i="25"/>
  <c r="AE198" i="25"/>
  <c r="AS87" i="25"/>
  <c r="AS293" i="25"/>
  <c r="AG285" i="24"/>
  <c r="AF285" i="24"/>
  <c r="V39" i="25"/>
  <c r="X39" i="25" s="1"/>
  <c r="AD274" i="25"/>
  <c r="W274" i="25"/>
  <c r="Z274" i="25" s="1"/>
  <c r="AA274" i="25" s="1"/>
  <c r="AB274" i="25" s="1"/>
  <c r="AI274" i="25" s="1"/>
  <c r="AF30" i="25"/>
  <c r="AE30" i="25"/>
  <c r="AD193" i="25"/>
  <c r="W193" i="25"/>
  <c r="Z193" i="25" s="1"/>
  <c r="AA193" i="25" s="1"/>
  <c r="AB193" i="25" s="1"/>
  <c r="AI193" i="25" s="1"/>
  <c r="V193" i="25"/>
  <c r="X193" i="25" s="1"/>
  <c r="AS190" i="25"/>
  <c r="AS71" i="25"/>
  <c r="AD228" i="25"/>
  <c r="W228" i="25"/>
  <c r="Z228" i="25" s="1"/>
  <c r="AA228" i="25" s="1"/>
  <c r="AB228" i="25" s="1"/>
  <c r="AI228" i="25" s="1"/>
  <c r="AF305" i="25"/>
  <c r="AE305" i="25"/>
  <c r="AD75" i="25"/>
  <c r="W75" i="25"/>
  <c r="Z75" i="25" s="1"/>
  <c r="AA75" i="25" s="1"/>
  <c r="AB75" i="25" s="1"/>
  <c r="AI75" i="25" s="1"/>
  <c r="AE29" i="25"/>
  <c r="AG26" i="24"/>
  <c r="AF26" i="24"/>
  <c r="AG35" i="24"/>
  <c r="AF35" i="24"/>
  <c r="AG153" i="24"/>
  <c r="AF153" i="24"/>
  <c r="AS201" i="25"/>
  <c r="AG249" i="24"/>
  <c r="AF249" i="24"/>
  <c r="AD72" i="25"/>
  <c r="W72" i="25"/>
  <c r="Z72" i="25" s="1"/>
  <c r="AA72" i="25" s="1"/>
  <c r="AB72" i="25" s="1"/>
  <c r="AI72" i="25" s="1"/>
  <c r="AG111" i="24"/>
  <c r="AF111" i="24"/>
  <c r="AG51" i="24"/>
  <c r="AF51" i="24"/>
  <c r="AD137" i="25"/>
  <c r="W137" i="25"/>
  <c r="Z137" i="25" s="1"/>
  <c r="AA137" i="25" s="1"/>
  <c r="AB137" i="25" s="1"/>
  <c r="AI137" i="25" s="1"/>
  <c r="V137" i="25"/>
  <c r="X137" i="25" s="1"/>
  <c r="V226" i="25"/>
  <c r="X226" i="25" s="1"/>
  <c r="AK292" i="24"/>
  <c r="AN292" i="24"/>
  <c r="BU292" i="24" s="1"/>
  <c r="AG301" i="24"/>
  <c r="AF301" i="24"/>
  <c r="AD195" i="25"/>
  <c r="W195" i="25"/>
  <c r="Z195" i="25" s="1"/>
  <c r="AA195" i="25" s="1"/>
  <c r="AB195" i="25" s="1"/>
  <c r="AI195" i="25" s="1"/>
  <c r="V195" i="25"/>
  <c r="X195" i="25" s="1"/>
  <c r="AS113" i="25"/>
  <c r="V181" i="25"/>
  <c r="X181" i="25" s="1"/>
  <c r="AG133" i="24"/>
  <c r="AF133" i="24"/>
  <c r="AD301" i="25"/>
  <c r="W301" i="25"/>
  <c r="Z301" i="25" s="1"/>
  <c r="AA301" i="25" s="1"/>
  <c r="AB301" i="25" s="1"/>
  <c r="AI301" i="25" s="1"/>
  <c r="V313" i="25"/>
  <c r="X313" i="25" s="1"/>
  <c r="AG83" i="24"/>
  <c r="AF83" i="24"/>
  <c r="AD140" i="25"/>
  <c r="W140" i="25"/>
  <c r="Z140" i="25" s="1"/>
  <c r="AA140" i="25" s="1"/>
  <c r="AB140" i="25" s="1"/>
  <c r="AI140" i="25" s="1"/>
  <c r="AD128" i="25"/>
  <c r="W128" i="25"/>
  <c r="Z128" i="25" s="1"/>
  <c r="AA128" i="25" s="1"/>
  <c r="AB128" i="25" s="1"/>
  <c r="AI128" i="25" s="1"/>
  <c r="V128" i="25"/>
  <c r="X128" i="25" s="1"/>
  <c r="AG58" i="24"/>
  <c r="AF58" i="24"/>
  <c r="AG269" i="24"/>
  <c r="AF269" i="24"/>
  <c r="AG54" i="24"/>
  <c r="AF54" i="24"/>
  <c r="AG125" i="24"/>
  <c r="AF125" i="24"/>
  <c r="AG178" i="24"/>
  <c r="AF178" i="24"/>
  <c r="AD130" i="25"/>
  <c r="W130" i="25"/>
  <c r="Z130" i="25" s="1"/>
  <c r="AA130" i="25" s="1"/>
  <c r="AB130" i="25" s="1"/>
  <c r="AI130" i="25" s="1"/>
  <c r="V130" i="25"/>
  <c r="X130" i="25" s="1"/>
  <c r="AD136" i="25"/>
  <c r="W136" i="25"/>
  <c r="Z136" i="25" s="1"/>
  <c r="AA136" i="25" s="1"/>
  <c r="AB136" i="25" s="1"/>
  <c r="AI136" i="25" s="1"/>
  <c r="V136" i="25"/>
  <c r="X136" i="25" s="1"/>
  <c r="AG24" i="24"/>
  <c r="AF24" i="24"/>
  <c r="V289" i="25"/>
  <c r="X289" i="25" s="1"/>
  <c r="AF6" i="25"/>
  <c r="AE6" i="25"/>
  <c r="V301" i="25"/>
  <c r="X301" i="25" s="1"/>
  <c r="AG148" i="24"/>
  <c r="AF148" i="24"/>
  <c r="AG117" i="24"/>
  <c r="AF117" i="24"/>
  <c r="AG183" i="24"/>
  <c r="AF183" i="24"/>
  <c r="AG246" i="24"/>
  <c r="AF246" i="24"/>
  <c r="AS243" i="25"/>
  <c r="AF280" i="25"/>
  <c r="AE280" i="25"/>
  <c r="AD7" i="25"/>
  <c r="W7" i="25"/>
  <c r="Z7" i="25" s="1"/>
  <c r="AA7" i="25" s="1"/>
  <c r="AB7" i="25" s="1"/>
  <c r="AI7" i="25" s="1"/>
  <c r="V7" i="25"/>
  <c r="X7" i="25" s="1"/>
  <c r="AD79" i="25"/>
  <c r="W79" i="25"/>
  <c r="Z79" i="25" s="1"/>
  <c r="AA79" i="25" s="1"/>
  <c r="AB79" i="25" s="1"/>
  <c r="AI79" i="25" s="1"/>
  <c r="AG189" i="24"/>
  <c r="AF189" i="24"/>
  <c r="AD156" i="25"/>
  <c r="W156" i="25"/>
  <c r="Z156" i="25" s="1"/>
  <c r="AA156" i="25" s="1"/>
  <c r="AB156" i="25" s="1"/>
  <c r="AI156" i="25" s="1"/>
  <c r="AG200" i="24"/>
  <c r="AF200" i="24"/>
  <c r="AD316" i="25"/>
  <c r="W316" i="25"/>
  <c r="Z316" i="25" s="1"/>
  <c r="AA316" i="25" s="1"/>
  <c r="AB316" i="25" s="1"/>
  <c r="AI316" i="25" s="1"/>
  <c r="V316" i="25"/>
  <c r="X316" i="25" s="1"/>
  <c r="AD164" i="25"/>
  <c r="W164" i="25"/>
  <c r="Z164" i="25" s="1"/>
  <c r="AA164" i="25" s="1"/>
  <c r="AB164" i="25" s="1"/>
  <c r="AI164" i="25" s="1"/>
  <c r="V164" i="25"/>
  <c r="X164" i="25" s="1"/>
  <c r="AD315" i="25"/>
  <c r="W315" i="25"/>
  <c r="Z315" i="25" s="1"/>
  <c r="AA315" i="25" s="1"/>
  <c r="AB315" i="25" s="1"/>
  <c r="AI315" i="25" s="1"/>
  <c r="AD86" i="25"/>
  <c r="W86" i="25"/>
  <c r="Z86" i="25" s="1"/>
  <c r="AA86" i="25" s="1"/>
  <c r="AB86" i="25" s="1"/>
  <c r="AI86" i="25" s="1"/>
  <c r="AG121" i="24"/>
  <c r="AF121" i="24"/>
  <c r="AE96" i="25"/>
  <c r="AG281" i="24"/>
  <c r="AF281" i="24"/>
  <c r="AG296" i="24"/>
  <c r="AF296" i="24"/>
  <c r="AS189" i="25"/>
  <c r="AD119" i="25"/>
  <c r="W119" i="25"/>
  <c r="Z119" i="25" s="1"/>
  <c r="AA119" i="25" s="1"/>
  <c r="AB119" i="25" s="1"/>
  <c r="AI119" i="25" s="1"/>
  <c r="V119" i="25"/>
  <c r="X119" i="25" s="1"/>
  <c r="AG218" i="24"/>
  <c r="AF218" i="24"/>
  <c r="AG28" i="24"/>
  <c r="AF28" i="24"/>
  <c r="AS148" i="25"/>
  <c r="AG298" i="24"/>
  <c r="AF298" i="24"/>
  <c r="AD220" i="25"/>
  <c r="W220" i="25"/>
  <c r="Z220" i="25" s="1"/>
  <c r="AA220" i="25" s="1"/>
  <c r="AB220" i="25" s="1"/>
  <c r="AI220" i="25" s="1"/>
  <c r="AG280" i="24"/>
  <c r="AF280" i="24"/>
  <c r="AD25" i="25"/>
  <c r="W25" i="25"/>
  <c r="Z25" i="25" s="1"/>
  <c r="AA25" i="25" s="1"/>
  <c r="AB25" i="25" s="1"/>
  <c r="AI25" i="25" s="1"/>
  <c r="AN21" i="24"/>
  <c r="BU21" i="24" s="1"/>
  <c r="AK21" i="24"/>
  <c r="AG305" i="24"/>
  <c r="AF305" i="24"/>
  <c r="AF114" i="25"/>
  <c r="AE114" i="25"/>
  <c r="AG96" i="24"/>
  <c r="AF96" i="24"/>
  <c r="AG53" i="24"/>
  <c r="AF53" i="24"/>
  <c r="AS89" i="25"/>
  <c r="AG177" i="24"/>
  <c r="AF177" i="24"/>
  <c r="AF89" i="25"/>
  <c r="AE89" i="25"/>
  <c r="AJ112" i="24"/>
  <c r="AD145" i="25"/>
  <c r="W145" i="25"/>
  <c r="Z145" i="25" s="1"/>
  <c r="AA145" i="25" s="1"/>
  <c r="AB145" i="25" s="1"/>
  <c r="AI145" i="25" s="1"/>
  <c r="V145" i="25"/>
  <c r="X145" i="25" s="1"/>
  <c r="AG201" i="24"/>
  <c r="AF201" i="24"/>
  <c r="AG95" i="24"/>
  <c r="AF95" i="24"/>
  <c r="AG310" i="24"/>
  <c r="AF310" i="24"/>
  <c r="BA162" i="24"/>
  <c r="AD142" i="25"/>
  <c r="W142" i="25"/>
  <c r="Z142" i="25" s="1"/>
  <c r="AA142" i="25" s="1"/>
  <c r="AB142" i="25" s="1"/>
  <c r="AI142" i="25" s="1"/>
  <c r="AK44" i="24"/>
  <c r="AN44" i="24"/>
  <c r="BU44" i="24" s="1"/>
  <c r="AD45" i="25"/>
  <c r="W45" i="25"/>
  <c r="Z45" i="25" s="1"/>
  <c r="AA45" i="25" s="1"/>
  <c r="AB45" i="25" s="1"/>
  <c r="AI45" i="25" s="1"/>
  <c r="V45" i="25"/>
  <c r="X45" i="25" s="1"/>
  <c r="AD285" i="25"/>
  <c r="W285" i="25"/>
  <c r="Z285" i="25" s="1"/>
  <c r="AA285" i="25" s="1"/>
  <c r="AB285" i="25" s="1"/>
  <c r="AI285" i="25" s="1"/>
  <c r="V285" i="25"/>
  <c r="X285" i="25" s="1"/>
  <c r="AG303" i="24"/>
  <c r="AF303" i="24"/>
  <c r="AF87" i="25"/>
  <c r="AE87" i="25"/>
  <c r="AK236" i="24"/>
  <c r="AN236" i="24"/>
  <c r="BU236" i="24" s="1"/>
  <c r="BA160" i="24"/>
  <c r="AF293" i="25"/>
  <c r="AE293" i="25"/>
  <c r="AG302" i="24"/>
  <c r="AF302" i="24"/>
  <c r="AF190" i="25"/>
  <c r="AE190" i="25"/>
  <c r="AF71" i="25"/>
  <c r="AE71" i="25"/>
  <c r="V299" i="25"/>
  <c r="X299" i="25" s="1"/>
  <c r="AD300" i="25"/>
  <c r="W300" i="25"/>
  <c r="Z300" i="25" s="1"/>
  <c r="AA300" i="25" s="1"/>
  <c r="AB300" i="25" s="1"/>
  <c r="AI300" i="25" s="1"/>
  <c r="V300" i="25"/>
  <c r="X300" i="25" s="1"/>
  <c r="AG203" i="24"/>
  <c r="AF203" i="24"/>
  <c r="AD272" i="25"/>
  <c r="W272" i="25"/>
  <c r="Z272" i="25" s="1"/>
  <c r="AA272" i="25" s="1"/>
  <c r="AB272" i="25" s="1"/>
  <c r="AI272" i="25" s="1"/>
  <c r="AS158" i="25"/>
  <c r="AG10" i="24"/>
  <c r="AF10" i="24"/>
  <c r="AS21" i="25"/>
  <c r="AG149" i="24"/>
  <c r="AF149" i="24"/>
  <c r="AS255" i="25"/>
  <c r="AF201" i="25"/>
  <c r="AE201" i="25"/>
  <c r="AG163" i="24"/>
  <c r="AF163" i="24"/>
  <c r="AG182" i="24"/>
  <c r="AF182" i="24"/>
  <c r="AG230" i="24"/>
  <c r="AF230" i="24"/>
  <c r="AG241" i="24"/>
  <c r="AF241" i="24"/>
  <c r="AD65" i="25"/>
  <c r="W65" i="25"/>
  <c r="Z65" i="25" s="1"/>
  <c r="AA65" i="25" s="1"/>
  <c r="AB65" i="25" s="1"/>
  <c r="AI65" i="25" s="1"/>
  <c r="V65" i="25"/>
  <c r="X65" i="25" s="1"/>
  <c r="AS248" i="25"/>
  <c r="AE265" i="25"/>
  <c r="AD23" i="25"/>
  <c r="W23" i="25"/>
  <c r="Z23" i="25" s="1"/>
  <c r="AA23" i="25" s="1"/>
  <c r="AB23" i="25" s="1"/>
  <c r="AI23" i="25" s="1"/>
  <c r="AD47" i="25"/>
  <c r="W47" i="25"/>
  <c r="Z47" i="25" s="1"/>
  <c r="AA47" i="25" s="1"/>
  <c r="AB47" i="25" s="1"/>
  <c r="AI47" i="25" s="1"/>
  <c r="AG46" i="24"/>
  <c r="AF46" i="24"/>
  <c r="AG39" i="24"/>
  <c r="AF39" i="24"/>
  <c r="AT236" i="24"/>
  <c r="AG262" i="24"/>
  <c r="AF262" i="24"/>
  <c r="AS296" i="25"/>
  <c r="AG127" i="24"/>
  <c r="AF127" i="24"/>
  <c r="AS173" i="25"/>
  <c r="AD175" i="25"/>
  <c r="W175" i="25"/>
  <c r="Z175" i="25" s="1"/>
  <c r="AA175" i="25" s="1"/>
  <c r="AB175" i="25" s="1"/>
  <c r="AI175" i="25" s="1"/>
  <c r="AG197" i="24"/>
  <c r="AF197" i="24"/>
  <c r="AD219" i="25"/>
  <c r="W219" i="25"/>
  <c r="Z219" i="25" s="1"/>
  <c r="AA219" i="25" s="1"/>
  <c r="AB219" i="25" s="1"/>
  <c r="AI219" i="25" s="1"/>
  <c r="AG98" i="24"/>
  <c r="AF98" i="24"/>
  <c r="AF113" i="25"/>
  <c r="AE113" i="25"/>
  <c r="AD241" i="25"/>
  <c r="W241" i="25"/>
  <c r="Z241" i="25" s="1"/>
  <c r="AA241" i="25" s="1"/>
  <c r="AB241" i="25" s="1"/>
  <c r="AI241" i="25" s="1"/>
  <c r="V241" i="25"/>
  <c r="X241" i="25" s="1"/>
  <c r="AD309" i="25"/>
  <c r="W309" i="25"/>
  <c r="Z309" i="25" s="1"/>
  <c r="AA309" i="25" s="1"/>
  <c r="AB309" i="25" s="1"/>
  <c r="AI309" i="25" s="1"/>
  <c r="V309" i="25"/>
  <c r="X309" i="25" s="1"/>
  <c r="AG196" i="24"/>
  <c r="AF196" i="24"/>
  <c r="AS174" i="25"/>
  <c r="AG69" i="24"/>
  <c r="AF69" i="24"/>
  <c r="AG313" i="24"/>
  <c r="AF313" i="24"/>
  <c r="AG274" i="24"/>
  <c r="AF274" i="24"/>
  <c r="AD126" i="25"/>
  <c r="W126" i="25"/>
  <c r="Z126" i="25" s="1"/>
  <c r="AA126" i="25" s="1"/>
  <c r="AB126" i="25" s="1"/>
  <c r="AI126" i="25" s="1"/>
  <c r="V126" i="25"/>
  <c r="X126" i="25" s="1"/>
  <c r="AS177" i="25"/>
  <c r="AD19" i="25"/>
  <c r="W19" i="25"/>
  <c r="Z19" i="25" s="1"/>
  <c r="AA19" i="25" s="1"/>
  <c r="AB19" i="25" s="1"/>
  <c r="AI19" i="25" s="1"/>
  <c r="V19" i="25"/>
  <c r="X19" i="25" s="1"/>
  <c r="AD57" i="25"/>
  <c r="W57" i="25"/>
  <c r="Z57" i="25" s="1"/>
  <c r="AA57" i="25" s="1"/>
  <c r="AB57" i="25" s="1"/>
  <c r="AI57" i="25" s="1"/>
  <c r="V57" i="25"/>
  <c r="X57" i="25" s="1"/>
  <c r="AG258" i="24"/>
  <c r="AF258" i="24"/>
  <c r="AD52" i="25"/>
  <c r="W52" i="25"/>
  <c r="Z52" i="25" s="1"/>
  <c r="AA52" i="25" s="1"/>
  <c r="AB52" i="25" s="1"/>
  <c r="AI52" i="25" s="1"/>
  <c r="V52" i="25"/>
  <c r="X52" i="25" s="1"/>
  <c r="AF243" i="25"/>
  <c r="AE243" i="25"/>
  <c r="AK101" i="24"/>
  <c r="AN101" i="24"/>
  <c r="AD284" i="25"/>
  <c r="W284" i="25"/>
  <c r="Z284" i="25" s="1"/>
  <c r="AA284" i="25" s="1"/>
  <c r="AB284" i="25" s="1"/>
  <c r="AI284" i="25" s="1"/>
  <c r="V284" i="25"/>
  <c r="X284" i="25" s="1"/>
  <c r="AG29" i="24"/>
  <c r="AF29" i="24"/>
  <c r="AD8" i="25"/>
  <c r="W8" i="25"/>
  <c r="Z8" i="25" s="1"/>
  <c r="AA8" i="25" s="1"/>
  <c r="AB8" i="25" s="1"/>
  <c r="AI8" i="25" s="1"/>
  <c r="V8" i="25"/>
  <c r="X8" i="25" s="1"/>
  <c r="AD127" i="25"/>
  <c r="W127" i="25"/>
  <c r="Z127" i="25" s="1"/>
  <c r="AA127" i="25" s="1"/>
  <c r="AB127" i="25" s="1"/>
  <c r="AI127" i="25" s="1"/>
  <c r="V127" i="25"/>
  <c r="X127" i="25" s="1"/>
  <c r="AG52" i="24"/>
  <c r="AF52" i="24"/>
  <c r="AS275" i="25"/>
  <c r="AG311" i="24"/>
  <c r="AF311" i="24"/>
  <c r="AG104" i="24"/>
  <c r="AF104" i="24"/>
  <c r="AD105" i="25"/>
  <c r="W105" i="25"/>
  <c r="Z105" i="25" s="1"/>
  <c r="AA105" i="25" s="1"/>
  <c r="AB105" i="25" s="1"/>
  <c r="AI105" i="25" s="1"/>
  <c r="AT199" i="24"/>
  <c r="AG14" i="24"/>
  <c r="AF14" i="24"/>
  <c r="AF148" i="25"/>
  <c r="AE148" i="25"/>
  <c r="AG131" i="24"/>
  <c r="AF131" i="24"/>
  <c r="AG172" i="24"/>
  <c r="AF172" i="24"/>
  <c r="AG179" i="24"/>
  <c r="AF179" i="24"/>
  <c r="AG276" i="24"/>
  <c r="AF276" i="24"/>
  <c r="AS14" i="25"/>
  <c r="AD78" i="25"/>
  <c r="W78" i="25"/>
  <c r="Z78" i="25" s="1"/>
  <c r="AA78" i="25" s="1"/>
  <c r="AB78" i="25" s="1"/>
  <c r="AI78" i="25" s="1"/>
  <c r="AD15" i="25"/>
  <c r="W15" i="25"/>
  <c r="Z15" i="25" s="1"/>
  <c r="AA15" i="25" s="1"/>
  <c r="AB15" i="25" s="1"/>
  <c r="AI15" i="25" s="1"/>
  <c r="V15" i="25"/>
  <c r="X15" i="25" s="1"/>
  <c r="AG254" i="24"/>
  <c r="AF254" i="24"/>
  <c r="AG65" i="24"/>
  <c r="AF65" i="24"/>
  <c r="AS155" i="25"/>
  <c r="AG308" i="24"/>
  <c r="AF308" i="24"/>
  <c r="V230" i="25"/>
  <c r="X230" i="25" s="1"/>
  <c r="AD294" i="25"/>
  <c r="W294" i="25"/>
  <c r="Z294" i="25" s="1"/>
  <c r="AA294" i="25" s="1"/>
  <c r="AB294" i="25" s="1"/>
  <c r="AI294" i="25" s="1"/>
  <c r="V294" i="25"/>
  <c r="X294" i="25" s="1"/>
  <c r="AG81" i="24"/>
  <c r="AF81" i="24"/>
  <c r="AG250" i="24"/>
  <c r="AF250" i="24"/>
  <c r="AD121" i="25"/>
  <c r="W121" i="25"/>
  <c r="Z121" i="25" s="1"/>
  <c r="AA121" i="25" s="1"/>
  <c r="AB121" i="25" s="1"/>
  <c r="AI121" i="25" s="1"/>
  <c r="AG138" i="24"/>
  <c r="AF138" i="24"/>
  <c r="AD188" i="25"/>
  <c r="W188" i="25"/>
  <c r="Z188" i="25" s="1"/>
  <c r="AA188" i="25" s="1"/>
  <c r="AB188" i="25" s="1"/>
  <c r="AI188" i="25" s="1"/>
  <c r="AF262" i="25"/>
  <c r="AE262" i="25"/>
  <c r="AG63" i="24"/>
  <c r="AF63" i="24"/>
  <c r="AG204" i="24"/>
  <c r="AF204" i="24"/>
  <c r="AG186" i="24"/>
  <c r="AF186" i="24"/>
  <c r="AD168" i="25"/>
  <c r="W168" i="25"/>
  <c r="Z168" i="25" s="1"/>
  <c r="AA168" i="25" s="1"/>
  <c r="AB168" i="25" s="1"/>
  <c r="AI168" i="25" s="1"/>
  <c r="V168" i="25"/>
  <c r="X168" i="25" s="1"/>
  <c r="AD205" i="25"/>
  <c r="W205" i="25"/>
  <c r="Z205" i="25" s="1"/>
  <c r="AA205" i="25" s="1"/>
  <c r="AB205" i="25" s="1"/>
  <c r="AI205" i="25" s="1"/>
  <c r="AD41" i="25"/>
  <c r="W41" i="25"/>
  <c r="Z41" i="25" s="1"/>
  <c r="AA41" i="25" s="1"/>
  <c r="AB41" i="25" s="1"/>
  <c r="AI41" i="25" s="1"/>
  <c r="AD304" i="25"/>
  <c r="W304" i="25"/>
  <c r="Z304" i="25" s="1"/>
  <c r="AA304" i="25" s="1"/>
  <c r="AB304" i="25" s="1"/>
  <c r="AI304" i="25" s="1"/>
  <c r="AD150" i="25"/>
  <c r="W150" i="25"/>
  <c r="Z150" i="25" s="1"/>
  <c r="AA150" i="25" s="1"/>
  <c r="AB150" i="25" s="1"/>
  <c r="AI150" i="25" s="1"/>
  <c r="V150" i="25"/>
  <c r="X150" i="25" s="1"/>
  <c r="AD124" i="25"/>
  <c r="W124" i="25"/>
  <c r="Z124" i="25" s="1"/>
  <c r="AA124" i="25" s="1"/>
  <c r="AB124" i="25" s="1"/>
  <c r="AI124" i="25" s="1"/>
  <c r="V124" i="25"/>
  <c r="X124" i="25" s="1"/>
  <c r="AD51" i="25"/>
  <c r="W51" i="25"/>
  <c r="Z51" i="25" s="1"/>
  <c r="AA51" i="25" s="1"/>
  <c r="AB51" i="25" s="1"/>
  <c r="AI51" i="25" s="1"/>
  <c r="V51" i="25"/>
  <c r="X51" i="25" s="1"/>
  <c r="AG194" i="24"/>
  <c r="AF194" i="24"/>
  <c r="AG275" i="24"/>
  <c r="AF275" i="24"/>
  <c r="AF13" i="25"/>
  <c r="AE13" i="25"/>
  <c r="AJ59" i="24"/>
  <c r="AS240" i="25"/>
  <c r="AD200" i="25"/>
  <c r="W200" i="25"/>
  <c r="Z200" i="25" s="1"/>
  <c r="AA200" i="25" s="1"/>
  <c r="AB200" i="25" s="1"/>
  <c r="AI200" i="25" s="1"/>
  <c r="AN294" i="24"/>
  <c r="AK294" i="24"/>
  <c r="AD33" i="25"/>
  <c r="W33" i="25"/>
  <c r="Z33" i="25" s="1"/>
  <c r="AA33" i="25" s="1"/>
  <c r="AB33" i="25" s="1"/>
  <c r="AI33" i="25" s="1"/>
  <c r="V33" i="25"/>
  <c r="X33" i="25" s="1"/>
  <c r="AG245" i="24"/>
  <c r="AF245" i="24"/>
  <c r="AD74" i="25"/>
  <c r="W74" i="25"/>
  <c r="Z74" i="25" s="1"/>
  <c r="AA74" i="25" s="1"/>
  <c r="AB74" i="25" s="1"/>
  <c r="AI74" i="25" s="1"/>
  <c r="AD26" i="25"/>
  <c r="W26" i="25"/>
  <c r="Z26" i="25" s="1"/>
  <c r="AA26" i="25" s="1"/>
  <c r="AB26" i="25" s="1"/>
  <c r="AI26" i="25" s="1"/>
  <c r="V142" i="25"/>
  <c r="X142" i="25" s="1"/>
  <c r="V115" i="25"/>
  <c r="X115" i="25" s="1"/>
  <c r="AJ8" i="24"/>
  <c r="AG90" i="24"/>
  <c r="AF90" i="24"/>
  <c r="AG77" i="24"/>
  <c r="AF77" i="24"/>
  <c r="AJ260" i="24"/>
  <c r="AG286" i="24"/>
  <c r="AF286" i="24"/>
  <c r="AD244" i="25"/>
  <c r="W244" i="25"/>
  <c r="Z244" i="25" s="1"/>
  <c r="AA244" i="25" s="1"/>
  <c r="AB244" i="25" s="1"/>
  <c r="AI244" i="25" s="1"/>
  <c r="V244" i="25"/>
  <c r="X244" i="25" s="1"/>
  <c r="AF158" i="25"/>
  <c r="AE158" i="25"/>
  <c r="AG239" i="24"/>
  <c r="AF239" i="24"/>
  <c r="AF21" i="25"/>
  <c r="AE21" i="25"/>
  <c r="AG304" i="24"/>
  <c r="AF304" i="24"/>
  <c r="AJ271" i="24"/>
  <c r="AG70" i="24"/>
  <c r="AF70" i="24"/>
  <c r="AF255" i="25"/>
  <c r="AE255" i="25"/>
  <c r="BA257" i="24"/>
  <c r="AJ247" i="24"/>
  <c r="AJ279" i="24"/>
  <c r="AG170" i="24"/>
  <c r="AF170" i="24"/>
  <c r="AF248" i="25"/>
  <c r="AE248" i="25"/>
  <c r="AJ126" i="24"/>
  <c r="AJ259" i="24"/>
  <c r="AF296" i="25"/>
  <c r="AE296" i="25"/>
  <c r="AF173" i="25"/>
  <c r="AE173" i="25"/>
  <c r="AD123" i="25"/>
  <c r="W123" i="25"/>
  <c r="Z123" i="25" s="1"/>
  <c r="AA123" i="25" s="1"/>
  <c r="AB123" i="25" s="1"/>
  <c r="AI123" i="25" s="1"/>
  <c r="AD209" i="25"/>
  <c r="W209" i="25"/>
  <c r="Z209" i="25" s="1"/>
  <c r="AA209" i="25" s="1"/>
  <c r="AB209" i="25" s="1"/>
  <c r="AI209" i="25" s="1"/>
  <c r="AJ33" i="24"/>
  <c r="AS229" i="25"/>
  <c r="AJ224" i="24"/>
  <c r="AV22" i="24"/>
  <c r="AT22" i="24"/>
  <c r="AD16" i="25"/>
  <c r="W16" i="25"/>
  <c r="Z16" i="25" s="1"/>
  <c r="AA16" i="25" s="1"/>
  <c r="AB16" i="25" s="1"/>
  <c r="AI16" i="25" s="1"/>
  <c r="V16" i="25"/>
  <c r="X16" i="25" s="1"/>
  <c r="AJ290" i="24"/>
  <c r="AJ30" i="24"/>
  <c r="AJ237" i="24"/>
  <c r="AD98" i="25"/>
  <c r="W98" i="25"/>
  <c r="Z98" i="25" s="1"/>
  <c r="AA98" i="25" s="1"/>
  <c r="AB98" i="25" s="1"/>
  <c r="AI98" i="25" s="1"/>
  <c r="AF174" i="25"/>
  <c r="AE174" i="25"/>
  <c r="AD160" i="25"/>
  <c r="W160" i="25"/>
  <c r="Z160" i="25" s="1"/>
  <c r="AA160" i="25" s="1"/>
  <c r="AB160" i="25" s="1"/>
  <c r="AI160" i="25" s="1"/>
  <c r="AD266" i="25"/>
  <c r="W266" i="25"/>
  <c r="Z266" i="25" s="1"/>
  <c r="AA266" i="25" s="1"/>
  <c r="AB266" i="25" s="1"/>
  <c r="AI266" i="25" s="1"/>
  <c r="AJ145" i="24"/>
  <c r="AJ20" i="24"/>
  <c r="AG82" i="24"/>
  <c r="AF82" i="24"/>
  <c r="V219" i="25"/>
  <c r="X219" i="25" s="1"/>
  <c r="AD60" i="25"/>
  <c r="W60" i="25"/>
  <c r="Z60" i="25" s="1"/>
  <c r="AA60" i="25" s="1"/>
  <c r="AB60" i="25" s="1"/>
  <c r="AI60" i="25" s="1"/>
  <c r="V60" i="25"/>
  <c r="X60" i="25" s="1"/>
  <c r="AD172" i="25"/>
  <c r="W172" i="25"/>
  <c r="Z172" i="25" s="1"/>
  <c r="AA172" i="25" s="1"/>
  <c r="AB172" i="25" s="1"/>
  <c r="AI172" i="25" s="1"/>
  <c r="V172" i="25"/>
  <c r="X172" i="25" s="1"/>
  <c r="AF177" i="25"/>
  <c r="AE177" i="25"/>
  <c r="AJ225" i="24"/>
  <c r="AJ18" i="24"/>
  <c r="AS34" i="25"/>
  <c r="AG158" i="24"/>
  <c r="AF158" i="24"/>
  <c r="AJ238" i="24"/>
  <c r="AJ266" i="24"/>
  <c r="AG116" i="24"/>
  <c r="AF116" i="24"/>
  <c r="AG268" i="24"/>
  <c r="AF268" i="24"/>
  <c r="V278" i="25"/>
  <c r="X278" i="25" s="1"/>
  <c r="AJ6" i="24"/>
  <c r="AJ57" i="24"/>
  <c r="AG195" i="24"/>
  <c r="AF195" i="24"/>
  <c r="AJ235" i="24"/>
  <c r="AG309" i="24"/>
  <c r="AF309" i="24"/>
  <c r="AG255" i="24"/>
  <c r="AF255" i="24"/>
  <c r="AG307" i="24"/>
  <c r="AF307" i="24"/>
  <c r="AJ129" i="24"/>
  <c r="AD233" i="25"/>
  <c r="W233" i="25"/>
  <c r="Z233" i="25" s="1"/>
  <c r="AA233" i="25" s="1"/>
  <c r="AB233" i="25" s="1"/>
  <c r="AI233" i="25" s="1"/>
  <c r="V233" i="25"/>
  <c r="X233" i="25" s="1"/>
  <c r="AJ34" i="24"/>
  <c r="AS92" i="25"/>
  <c r="AD43" i="25"/>
  <c r="W43" i="25"/>
  <c r="Z43" i="25" s="1"/>
  <c r="AA43" i="25" s="1"/>
  <c r="AB43" i="25" s="1"/>
  <c r="AI43" i="25" s="1"/>
  <c r="V43" i="25"/>
  <c r="X43" i="25" s="1"/>
  <c r="AG187" i="24"/>
  <c r="AF187" i="24"/>
  <c r="AS95" i="25"/>
  <c r="AG140" i="24"/>
  <c r="AF140" i="24"/>
  <c r="AD231" i="25"/>
  <c r="W231" i="25"/>
  <c r="Z231" i="25" s="1"/>
  <c r="AA231" i="25" s="1"/>
  <c r="AB231" i="25" s="1"/>
  <c r="AI231" i="25" s="1"/>
  <c r="AG25" i="24"/>
  <c r="AF25" i="24"/>
  <c r="AJ19" i="24"/>
  <c r="AF275" i="25"/>
  <c r="AE275" i="25"/>
  <c r="AD64" i="25"/>
  <c r="W64" i="25"/>
  <c r="Z64" i="25" s="1"/>
  <c r="AA64" i="25" s="1"/>
  <c r="AB64" i="25" s="1"/>
  <c r="AI64" i="25" s="1"/>
  <c r="V64" i="25"/>
  <c r="X64" i="25" s="1"/>
  <c r="AG270" i="24"/>
  <c r="AF270" i="24"/>
  <c r="AW110" i="25"/>
  <c r="AX110" i="25"/>
  <c r="AG277" i="24"/>
  <c r="AF277" i="24"/>
  <c r="AG161" i="24"/>
  <c r="AF161" i="24"/>
  <c r="AS261" i="25"/>
  <c r="AJ240" i="24"/>
  <c r="AG118" i="24"/>
  <c r="AF118" i="24"/>
  <c r="AF14" i="25"/>
  <c r="AE14" i="25"/>
  <c r="AS306" i="25"/>
  <c r="AJ114" i="24"/>
  <c r="AS206" i="25"/>
  <c r="AG210" i="24"/>
  <c r="AF210" i="24"/>
  <c r="AD116" i="25"/>
  <c r="W116" i="25"/>
  <c r="Z116" i="25" s="1"/>
  <c r="AA116" i="25" s="1"/>
  <c r="AB116" i="25" s="1"/>
  <c r="AI116" i="25" s="1"/>
  <c r="AG85" i="24"/>
  <c r="AF85" i="24"/>
  <c r="AG198" i="24"/>
  <c r="AF198" i="24"/>
  <c r="AG112" i="24"/>
  <c r="AF112" i="24"/>
  <c r="AT132" i="24"/>
  <c r="AS246" i="25"/>
  <c r="BA191" i="24"/>
  <c r="AS192" i="25"/>
  <c r="AF240" i="25"/>
  <c r="AE240" i="25"/>
  <c r="AG208" i="24"/>
  <c r="AF208" i="24"/>
  <c r="AD68" i="25"/>
  <c r="W68" i="25"/>
  <c r="Z68" i="25" s="1"/>
  <c r="AA68" i="25" s="1"/>
  <c r="AB68" i="25" s="1"/>
  <c r="AI68" i="25" s="1"/>
  <c r="AD221" i="25"/>
  <c r="W221" i="25"/>
  <c r="Z221" i="25" s="1"/>
  <c r="AA221" i="25" s="1"/>
  <c r="AB221" i="25" s="1"/>
  <c r="AI221" i="25" s="1"/>
  <c r="AG136" i="24"/>
  <c r="AF136" i="24"/>
  <c r="AD245" i="25"/>
  <c r="W245" i="25"/>
  <c r="Z245" i="25" s="1"/>
  <c r="AA245" i="25" s="1"/>
  <c r="AB245" i="25" s="1"/>
  <c r="AI245" i="25" s="1"/>
  <c r="V245" i="25"/>
  <c r="X245" i="25" s="1"/>
  <c r="AJ263" i="24"/>
  <c r="AD27" i="25"/>
  <c r="W27" i="25"/>
  <c r="Z27" i="25" s="1"/>
  <c r="AA27" i="25" s="1"/>
  <c r="AB27" i="25" s="1"/>
  <c r="AI27" i="25" s="1"/>
  <c r="AJ48" i="24"/>
  <c r="AG62" i="24"/>
  <c r="AF62" i="24"/>
  <c r="AD210" i="25"/>
  <c r="W210" i="25"/>
  <c r="Z210" i="25" s="1"/>
  <c r="AA210" i="25" s="1"/>
  <c r="AB210" i="25" s="1"/>
  <c r="AI210" i="25" s="1"/>
  <c r="AG169" i="24"/>
  <c r="AF169" i="24"/>
  <c r="AJ297" i="24"/>
  <c r="AG143" i="24"/>
  <c r="AF143" i="24"/>
  <c r="AD225" i="25"/>
  <c r="W225" i="25"/>
  <c r="Z225" i="25" s="1"/>
  <c r="AA225" i="25" s="1"/>
  <c r="AB225" i="25" s="1"/>
  <c r="AI225" i="25" s="1"/>
  <c r="AJ123" i="24"/>
  <c r="AD133" i="25"/>
  <c r="W133" i="25"/>
  <c r="Z133" i="25" s="1"/>
  <c r="AA133" i="25" s="1"/>
  <c r="AB133" i="25" s="1"/>
  <c r="AI133" i="25" s="1"/>
  <c r="V133" i="25"/>
  <c r="X133" i="25" s="1"/>
  <c r="AN55" i="24"/>
  <c r="CE55" i="24" s="1"/>
  <c r="AK55" i="24"/>
  <c r="AD203" i="25"/>
  <c r="W203" i="25"/>
  <c r="Z203" i="25" s="1"/>
  <c r="AA203" i="25" s="1"/>
  <c r="AB203" i="25" s="1"/>
  <c r="AI203" i="25" s="1"/>
  <c r="AG122" i="24"/>
  <c r="AF122" i="24"/>
  <c r="AG146" i="24"/>
  <c r="AF146" i="24"/>
  <c r="AJ56" i="24"/>
  <c r="AD151" i="25"/>
  <c r="W151" i="25"/>
  <c r="Z151" i="25" s="1"/>
  <c r="AA151" i="25" s="1"/>
  <c r="AB151" i="25" s="1"/>
  <c r="AI151" i="25" s="1"/>
  <c r="V151" i="25"/>
  <c r="X151" i="25" s="1"/>
  <c r="AK190" i="24"/>
  <c r="AN190" i="24"/>
  <c r="AG88" i="24"/>
  <c r="AF88" i="24"/>
  <c r="AG229" i="24"/>
  <c r="AF229" i="24"/>
  <c r="AG92" i="24"/>
  <c r="AF92" i="24"/>
  <c r="AD36" i="25"/>
  <c r="W36" i="25"/>
  <c r="Z36" i="25" s="1"/>
  <c r="AA36" i="25" s="1"/>
  <c r="AB36" i="25" s="1"/>
  <c r="AI36" i="25" s="1"/>
  <c r="V36" i="25"/>
  <c r="X36" i="25" s="1"/>
  <c r="AJ17" i="24"/>
  <c r="AS238" i="25"/>
  <c r="AG316" i="24"/>
  <c r="AF316" i="24"/>
  <c r="AF229" i="25"/>
  <c r="AE229" i="25"/>
  <c r="AS186" i="25"/>
  <c r="AJ9" i="24"/>
  <c r="AD35" i="25"/>
  <c r="W35" i="25"/>
  <c r="Z35" i="25" s="1"/>
  <c r="AA35" i="25" s="1"/>
  <c r="AB35" i="25" s="1"/>
  <c r="AI35" i="25" s="1"/>
  <c r="V35" i="25"/>
  <c r="X35" i="25" s="1"/>
  <c r="AG42" i="24"/>
  <c r="AF42" i="24"/>
  <c r="AD227" i="25"/>
  <c r="W227" i="25"/>
  <c r="Z227" i="25" s="1"/>
  <c r="AA227" i="25" s="1"/>
  <c r="AB227" i="25" s="1"/>
  <c r="AI227" i="25" s="1"/>
  <c r="V227" i="25"/>
  <c r="X227" i="25" s="1"/>
  <c r="AD38" i="25"/>
  <c r="W38" i="25"/>
  <c r="Z38" i="25" s="1"/>
  <c r="AA38" i="25" s="1"/>
  <c r="AB38" i="25" s="1"/>
  <c r="AI38" i="25" s="1"/>
  <c r="AJ219" i="24"/>
  <c r="AG144" i="24"/>
  <c r="AF144" i="24"/>
  <c r="AJ261" i="24"/>
  <c r="AG300" i="24"/>
  <c r="AF300" i="24"/>
  <c r="AD194" i="25"/>
  <c r="W194" i="25"/>
  <c r="Z194" i="25" s="1"/>
  <c r="AA194" i="25" s="1"/>
  <c r="AB194" i="25" s="1"/>
  <c r="AI194" i="25" s="1"/>
  <c r="AD67" i="25"/>
  <c r="W67" i="25"/>
  <c r="Z67" i="25" s="1"/>
  <c r="AA67" i="25" s="1"/>
  <c r="AB67" i="25" s="1"/>
  <c r="AI67" i="25" s="1"/>
  <c r="AX129" i="25"/>
  <c r="AW129" i="25"/>
  <c r="AJ128" i="24"/>
  <c r="AS257" i="25"/>
  <c r="AJ283" i="24"/>
  <c r="AD103" i="25"/>
  <c r="W103" i="25"/>
  <c r="Z103" i="25" s="1"/>
  <c r="AA103" i="25" s="1"/>
  <c r="AB103" i="25" s="1"/>
  <c r="AI103" i="25" s="1"/>
  <c r="AD163" i="25"/>
  <c r="W163" i="25"/>
  <c r="Z163" i="25" s="1"/>
  <c r="AA163" i="25" s="1"/>
  <c r="AB163" i="25" s="1"/>
  <c r="AI163" i="25" s="1"/>
  <c r="V163" i="25"/>
  <c r="X163" i="25" s="1"/>
  <c r="AG15" i="24"/>
  <c r="AF15" i="24"/>
  <c r="AG159" i="24"/>
  <c r="AF159" i="24"/>
  <c r="AG256" i="24"/>
  <c r="AF256" i="24"/>
  <c r="AF34" i="25"/>
  <c r="AE34" i="25"/>
  <c r="AD254" i="25"/>
  <c r="W254" i="25"/>
  <c r="Z254" i="25" s="1"/>
  <c r="AA254" i="25" s="1"/>
  <c r="AB254" i="25" s="1"/>
  <c r="AI254" i="25" s="1"/>
  <c r="V254" i="25"/>
  <c r="X254" i="25" s="1"/>
  <c r="AD234" i="25"/>
  <c r="W234" i="25"/>
  <c r="Z234" i="25" s="1"/>
  <c r="AA234" i="25" s="1"/>
  <c r="AB234" i="25" s="1"/>
  <c r="AI234" i="25" s="1"/>
  <c r="AG180" i="24"/>
  <c r="AF180" i="24"/>
  <c r="AD252" i="25"/>
  <c r="W252" i="25"/>
  <c r="Z252" i="25" s="1"/>
  <c r="AA252" i="25" s="1"/>
  <c r="AB252" i="25" s="1"/>
  <c r="AI252" i="25" s="1"/>
  <c r="V252" i="25"/>
  <c r="X252" i="25" s="1"/>
  <c r="AG252" i="24"/>
  <c r="AF252" i="24"/>
  <c r="AJ299" i="24"/>
  <c r="AD223" i="25"/>
  <c r="W223" i="25"/>
  <c r="Z223" i="25" s="1"/>
  <c r="AA223" i="25" s="1"/>
  <c r="AB223" i="25" s="1"/>
  <c r="AI223" i="25" s="1"/>
  <c r="AD91" i="25"/>
  <c r="W91" i="25"/>
  <c r="Z91" i="25" s="1"/>
  <c r="AA91" i="25" s="1"/>
  <c r="AB91" i="25" s="1"/>
  <c r="AI91" i="25" s="1"/>
  <c r="V91" i="25"/>
  <c r="X91" i="25" s="1"/>
  <c r="AG287" i="24"/>
  <c r="AF287" i="24"/>
  <c r="AG173" i="24"/>
  <c r="AF173" i="24"/>
  <c r="AG11" i="24"/>
  <c r="AF11" i="24"/>
  <c r="AF92" i="25"/>
  <c r="AE92" i="25"/>
  <c r="AG291" i="24"/>
  <c r="AF291" i="24"/>
  <c r="AF95" i="25"/>
  <c r="AE95" i="25"/>
  <c r="AD287" i="25"/>
  <c r="W287" i="25"/>
  <c r="Z287" i="25" s="1"/>
  <c r="AA287" i="25" s="1"/>
  <c r="AB287" i="25" s="1"/>
  <c r="AI287" i="25" s="1"/>
  <c r="AG288" i="24"/>
  <c r="AF288" i="24"/>
  <c r="AJ267" i="24"/>
  <c r="AG222" i="24"/>
  <c r="AF222" i="24"/>
  <c r="AG202" i="24"/>
  <c r="AF202" i="24"/>
  <c r="AD17" i="25"/>
  <c r="W17" i="25"/>
  <c r="Z17" i="25" s="1"/>
  <c r="AA17" i="25" s="1"/>
  <c r="AB17" i="25" s="1"/>
  <c r="AI17" i="25" s="1"/>
  <c r="V17" i="25"/>
  <c r="X17" i="25" s="1"/>
  <c r="AF261" i="25"/>
  <c r="AE261" i="25"/>
  <c r="AD132" i="25"/>
  <c r="W132" i="25"/>
  <c r="Z132" i="25" s="1"/>
  <c r="AA132" i="25" s="1"/>
  <c r="AB132" i="25" s="1"/>
  <c r="AI132" i="25" s="1"/>
  <c r="V132" i="25"/>
  <c r="X132" i="25" s="1"/>
  <c r="AG199" i="24"/>
  <c r="AF199" i="24"/>
  <c r="AS59" i="25"/>
  <c r="AG31" i="24"/>
  <c r="AF31" i="24"/>
  <c r="AG289" i="24"/>
  <c r="AF289" i="24"/>
  <c r="AJ265" i="24"/>
  <c r="AD312" i="25"/>
  <c r="W312" i="25"/>
  <c r="Z312" i="25" s="1"/>
  <c r="AA312" i="25" s="1"/>
  <c r="AB312" i="25" s="1"/>
  <c r="AI312" i="25" s="1"/>
  <c r="V312" i="25"/>
  <c r="X312" i="25" s="1"/>
  <c r="AN7" i="24"/>
  <c r="BU7" i="24" s="1"/>
  <c r="AK7" i="24"/>
  <c r="AJ32" i="24"/>
  <c r="AG105" i="24"/>
  <c r="AF105" i="24"/>
  <c r="AG166" i="24"/>
  <c r="AF166" i="24"/>
  <c r="AF306" i="25"/>
  <c r="AE306" i="25"/>
  <c r="AG113" i="24"/>
  <c r="AF113" i="24"/>
  <c r="AG151" i="24"/>
  <c r="AF151" i="24"/>
  <c r="AG115" i="24"/>
  <c r="AF115" i="24"/>
  <c r="AF206" i="25"/>
  <c r="AE206" i="25"/>
  <c r="AJ282" i="24"/>
  <c r="AS167" i="25"/>
  <c r="AJ155" i="24"/>
  <c r="AJ120" i="24"/>
  <c r="AJ284" i="24"/>
  <c r="AG176" i="24"/>
  <c r="AF176" i="24"/>
  <c r="AD216" i="25"/>
  <c r="W216" i="25"/>
  <c r="Z216" i="25" s="1"/>
  <c r="AA216" i="25" s="1"/>
  <c r="AB216" i="25" s="1"/>
  <c r="AI216" i="25" s="1"/>
  <c r="AJ37" i="24"/>
  <c r="AF246" i="25"/>
  <c r="AE246" i="25"/>
  <c r="AJ242" i="24"/>
  <c r="AD236" i="25"/>
  <c r="W236" i="25"/>
  <c r="Z236" i="25" s="1"/>
  <c r="AA236" i="25" s="1"/>
  <c r="AB236" i="25" s="1"/>
  <c r="AI236" i="25" s="1"/>
  <c r="V236" i="25"/>
  <c r="X236" i="25" s="1"/>
  <c r="AJ12" i="24"/>
  <c r="AD196" i="25"/>
  <c r="W196" i="25"/>
  <c r="Z196" i="25" s="1"/>
  <c r="AA196" i="25" s="1"/>
  <c r="AB196" i="25" s="1"/>
  <c r="AI196" i="25" s="1"/>
  <c r="AG59" i="24"/>
  <c r="AF59" i="24"/>
  <c r="AD135" i="25"/>
  <c r="W135" i="25"/>
  <c r="Z135" i="25" s="1"/>
  <c r="AA135" i="25" s="1"/>
  <c r="AB135" i="25" s="1"/>
  <c r="AI135" i="25" s="1"/>
  <c r="AG157" i="24"/>
  <c r="AF157" i="24"/>
  <c r="AG94" i="24"/>
  <c r="AF94" i="24"/>
  <c r="AJ295" i="24"/>
  <c r="BA233" i="24"/>
  <c r="AG84" i="24"/>
  <c r="AF84" i="24"/>
  <c r="AD208" i="25"/>
  <c r="W208" i="25"/>
  <c r="Z208" i="25" s="1"/>
  <c r="AA208" i="25" s="1"/>
  <c r="AB208" i="25" s="1"/>
  <c r="AI208" i="25" s="1"/>
  <c r="AD99" i="25"/>
  <c r="W99" i="25"/>
  <c r="Z99" i="25" s="1"/>
  <c r="AA99" i="25" s="1"/>
  <c r="AB99" i="25" s="1"/>
  <c r="AI99" i="25" s="1"/>
  <c r="AG314" i="24"/>
  <c r="AF314" i="24"/>
  <c r="V304" i="25"/>
  <c r="X304" i="25" s="1"/>
  <c r="AD270" i="25"/>
  <c r="W270" i="25"/>
  <c r="Z270" i="25" s="1"/>
  <c r="AA270" i="25" s="1"/>
  <c r="AB270" i="25" s="1"/>
  <c r="AI270" i="25" s="1"/>
  <c r="V270" i="25"/>
  <c r="X270" i="25" s="1"/>
  <c r="AJ253" i="24"/>
  <c r="AJ152" i="24"/>
  <c r="AD297" i="25"/>
  <c r="W297" i="25"/>
  <c r="Z297" i="25" s="1"/>
  <c r="AA297" i="25" s="1"/>
  <c r="AB297" i="25" s="1"/>
  <c r="AI297" i="25" s="1"/>
  <c r="AG8" i="24"/>
  <c r="AF8" i="24"/>
  <c r="V157" i="25"/>
  <c r="X157" i="25" s="1"/>
  <c r="V200" i="25"/>
  <c r="X200" i="25" s="1"/>
  <c r="AG260" i="24"/>
  <c r="AF260" i="24"/>
  <c r="V68" i="25"/>
  <c r="X68" i="25" s="1"/>
  <c r="V274" i="25"/>
  <c r="X274" i="25" s="1"/>
  <c r="AG271" i="24"/>
  <c r="AF271" i="24"/>
  <c r="AD139" i="25"/>
  <c r="W139" i="25"/>
  <c r="Z139" i="25" s="1"/>
  <c r="AA139" i="25" s="1"/>
  <c r="AB139" i="25" s="1"/>
  <c r="AI139" i="25" s="1"/>
  <c r="AD144" i="25"/>
  <c r="W144" i="25"/>
  <c r="Z144" i="25" s="1"/>
  <c r="AA144" i="25" s="1"/>
  <c r="AB144" i="25" s="1"/>
  <c r="AI144" i="25" s="1"/>
  <c r="V144" i="25"/>
  <c r="X144" i="25" s="1"/>
  <c r="AD12" i="25"/>
  <c r="W12" i="25"/>
  <c r="Z12" i="25" s="1"/>
  <c r="AA12" i="25" s="1"/>
  <c r="AB12" i="25" s="1"/>
  <c r="AI12" i="25" s="1"/>
  <c r="AG247" i="24"/>
  <c r="AF247" i="24"/>
  <c r="AD101" i="25"/>
  <c r="W101" i="25"/>
  <c r="Z101" i="25" s="1"/>
  <c r="AA101" i="25" s="1"/>
  <c r="AB101" i="25" s="1"/>
  <c r="AI101" i="25" s="1"/>
  <c r="AG279" i="24"/>
  <c r="AF279" i="24"/>
  <c r="AD149" i="25"/>
  <c r="W149" i="25"/>
  <c r="Z149" i="25" s="1"/>
  <c r="AA149" i="25" s="1"/>
  <c r="AB149" i="25" s="1"/>
  <c r="AI149" i="25" s="1"/>
  <c r="V149" i="25"/>
  <c r="X149" i="25" s="1"/>
  <c r="AD80" i="25"/>
  <c r="W80" i="25"/>
  <c r="Z80" i="25" s="1"/>
  <c r="AA80" i="25" s="1"/>
  <c r="AB80" i="25" s="1"/>
  <c r="AI80" i="25" s="1"/>
  <c r="V80" i="25"/>
  <c r="X80" i="25" s="1"/>
  <c r="AG126" i="24"/>
  <c r="AF126" i="24"/>
  <c r="AG259" i="24"/>
  <c r="AF259" i="24"/>
  <c r="AT142" i="24"/>
  <c r="AD73" i="25"/>
  <c r="W73" i="25"/>
  <c r="Z73" i="25" s="1"/>
  <c r="AA73" i="25" s="1"/>
  <c r="AB73" i="25" s="1"/>
  <c r="AI73" i="25" s="1"/>
  <c r="AG193" i="24"/>
  <c r="AF193" i="24"/>
  <c r="AG315" i="24"/>
  <c r="AF315" i="24"/>
  <c r="AF238" i="25"/>
  <c r="AE238" i="25"/>
  <c r="AD307" i="25"/>
  <c r="W307" i="25"/>
  <c r="Z307" i="25" s="1"/>
  <c r="AA307" i="25" s="1"/>
  <c r="AB307" i="25" s="1"/>
  <c r="AI307" i="25" s="1"/>
  <c r="AG86" i="24"/>
  <c r="AF86" i="24"/>
  <c r="V277" i="25"/>
  <c r="X277" i="25" s="1"/>
  <c r="AG33" i="24"/>
  <c r="AF33" i="24"/>
  <c r="AD10" i="25"/>
  <c r="W10" i="25"/>
  <c r="Z10" i="25" s="1"/>
  <c r="AA10" i="25" s="1"/>
  <c r="AB10" i="25" s="1"/>
  <c r="AI10" i="25" s="1"/>
  <c r="AF186" i="25"/>
  <c r="AE186" i="25"/>
  <c r="AG181" i="24"/>
  <c r="AF181" i="24"/>
  <c r="V210" i="25"/>
  <c r="X210" i="25" s="1"/>
  <c r="V12" i="25"/>
  <c r="X12" i="25" s="1"/>
  <c r="AG224" i="24"/>
  <c r="AF224" i="24"/>
  <c r="AS283" i="25"/>
  <c r="AG64" i="24"/>
  <c r="AF64" i="24"/>
  <c r="AG290" i="24"/>
  <c r="AF290" i="24"/>
  <c r="AG30" i="24"/>
  <c r="AF30" i="24"/>
  <c r="AG237" i="24"/>
  <c r="AF237" i="24"/>
  <c r="V23" i="25"/>
  <c r="X23" i="25" s="1"/>
  <c r="AD264" i="25"/>
  <c r="W264" i="25"/>
  <c r="Z264" i="25" s="1"/>
  <c r="AA264" i="25" s="1"/>
  <c r="AB264" i="25" s="1"/>
  <c r="AI264" i="25" s="1"/>
  <c r="AD159" i="25"/>
  <c r="W159" i="25"/>
  <c r="Z159" i="25" s="1"/>
  <c r="AA159" i="25" s="1"/>
  <c r="AB159" i="25" s="1"/>
  <c r="AI159" i="25" s="1"/>
  <c r="AG174" i="24"/>
  <c r="AF174" i="24"/>
  <c r="AG145" i="24"/>
  <c r="AF145" i="24"/>
  <c r="AG20" i="24"/>
  <c r="AF20" i="24"/>
  <c r="AF257" i="25"/>
  <c r="AE257" i="25"/>
  <c r="AS276" i="25"/>
  <c r="AG18" i="24"/>
  <c r="AF18" i="24"/>
  <c r="AJ130" i="24"/>
  <c r="AJ243" i="24"/>
  <c r="AJ248" i="24"/>
  <c r="AG238" i="24"/>
  <c r="AF238" i="24"/>
  <c r="V98" i="25"/>
  <c r="X98" i="25" s="1"/>
  <c r="AG266" i="24"/>
  <c r="AF266" i="24"/>
  <c r="V264" i="25"/>
  <c r="X264" i="25" s="1"/>
  <c r="V100" i="25"/>
  <c r="X100" i="25" s="1"/>
  <c r="AD146" i="25"/>
  <c r="W146" i="25"/>
  <c r="Z146" i="25" s="1"/>
  <c r="AA146" i="25" s="1"/>
  <c r="AB146" i="25" s="1"/>
  <c r="AI146" i="25" s="1"/>
  <c r="V146" i="25"/>
  <c r="X146" i="25" s="1"/>
  <c r="AG6" i="24"/>
  <c r="AF6" i="24"/>
  <c r="AG57" i="24"/>
  <c r="AF57" i="24"/>
  <c r="AG235" i="24"/>
  <c r="AF235" i="24"/>
  <c r="V67" i="25"/>
  <c r="X67" i="25" s="1"/>
  <c r="AJ147" i="24"/>
  <c r="V224" i="25"/>
  <c r="X224" i="25" s="1"/>
  <c r="AG72" i="24"/>
  <c r="AF72" i="24"/>
  <c r="AG129" i="24"/>
  <c r="AF129" i="24"/>
  <c r="AG34" i="24"/>
  <c r="AF34" i="24"/>
  <c r="AS131" i="25"/>
  <c r="V121" i="25"/>
  <c r="X121" i="25" s="1"/>
  <c r="AD58" i="25"/>
  <c r="W58" i="25"/>
  <c r="Z58" i="25" s="1"/>
  <c r="AA58" i="25" s="1"/>
  <c r="AB58" i="25" s="1"/>
  <c r="AI58" i="25" s="1"/>
  <c r="V58" i="25"/>
  <c r="X58" i="25" s="1"/>
  <c r="AD117" i="25"/>
  <c r="W117" i="25"/>
  <c r="Z117" i="25" s="1"/>
  <c r="AA117" i="25" s="1"/>
  <c r="AB117" i="25" s="1"/>
  <c r="AI117" i="25" s="1"/>
  <c r="V117" i="25"/>
  <c r="X117" i="25" s="1"/>
  <c r="AG19" i="24"/>
  <c r="AF19" i="24"/>
  <c r="V286" i="25"/>
  <c r="X286" i="25" s="1"/>
  <c r="AS32" i="25"/>
  <c r="AD55" i="25"/>
  <c r="W55" i="25"/>
  <c r="Z55" i="25" s="1"/>
  <c r="AA55" i="25" s="1"/>
  <c r="AB55" i="25" s="1"/>
  <c r="AI55" i="25" s="1"/>
  <c r="AS273" i="25"/>
  <c r="AJ273" i="24"/>
  <c r="AG240" i="24"/>
  <c r="AF240" i="24"/>
  <c r="AF59" i="25"/>
  <c r="AE59" i="25"/>
  <c r="AD303" i="25"/>
  <c r="W303" i="25"/>
  <c r="Z303" i="25" s="1"/>
  <c r="AA303" i="25" s="1"/>
  <c r="AB303" i="25" s="1"/>
  <c r="AI303" i="25" s="1"/>
  <c r="AD288" i="25"/>
  <c r="W288" i="25"/>
  <c r="Z288" i="25" s="1"/>
  <c r="AA288" i="25" s="1"/>
  <c r="AB288" i="25" s="1"/>
  <c r="AI288" i="25" s="1"/>
  <c r="AD120" i="25"/>
  <c r="W120" i="25"/>
  <c r="Z120" i="25" s="1"/>
  <c r="AA120" i="25" s="1"/>
  <c r="AB120" i="25" s="1"/>
  <c r="AI120" i="25" s="1"/>
  <c r="V120" i="25"/>
  <c r="X120" i="25" s="1"/>
  <c r="V156" i="25"/>
  <c r="X156" i="25" s="1"/>
  <c r="AD279" i="25"/>
  <c r="W279" i="25"/>
  <c r="Z279" i="25" s="1"/>
  <c r="AA279" i="25" s="1"/>
  <c r="AB279" i="25" s="1"/>
  <c r="AI279" i="25" s="1"/>
  <c r="V279" i="25"/>
  <c r="X279" i="25" s="1"/>
  <c r="AS232" i="25"/>
  <c r="AD169" i="25"/>
  <c r="W169" i="25"/>
  <c r="Z169" i="25" s="1"/>
  <c r="AA169" i="25" s="1"/>
  <c r="AB169" i="25" s="1"/>
  <c r="AI169" i="25" s="1"/>
  <c r="V86" i="25"/>
  <c r="X86" i="25" s="1"/>
  <c r="AD207" i="25"/>
  <c r="W207" i="25"/>
  <c r="Z207" i="25" s="1"/>
  <c r="AA207" i="25" s="1"/>
  <c r="AB207" i="25" s="1"/>
  <c r="AI207" i="25" s="1"/>
  <c r="AK132" i="24"/>
  <c r="AN132" i="24"/>
  <c r="AG188" i="24"/>
  <c r="AF188" i="24"/>
  <c r="AG114" i="24"/>
  <c r="AF114" i="24"/>
  <c r="AD249" i="25"/>
  <c r="W249" i="25"/>
  <c r="Z249" i="25" s="1"/>
  <c r="AA249" i="25" s="1"/>
  <c r="AB249" i="25" s="1"/>
  <c r="AI249" i="25" s="1"/>
  <c r="AD251" i="25"/>
  <c r="W251" i="25"/>
  <c r="Z251" i="25" s="1"/>
  <c r="AA251" i="25" s="1"/>
  <c r="AB251" i="25" s="1"/>
  <c r="AI251" i="25" s="1"/>
  <c r="AJ232" i="24"/>
  <c r="AD56" i="25"/>
  <c r="W56" i="25"/>
  <c r="Z56" i="25" s="1"/>
  <c r="AA56" i="25" s="1"/>
  <c r="AB56" i="25" s="1"/>
  <c r="AI56" i="25" s="1"/>
  <c r="AF167" i="25"/>
  <c r="AE167" i="25"/>
  <c r="AD18" i="25"/>
  <c r="W18" i="25"/>
  <c r="Z18" i="25" s="1"/>
  <c r="AA18" i="25" s="1"/>
  <c r="AB18" i="25" s="1"/>
  <c r="AI18" i="25" s="1"/>
  <c r="AD269" i="25"/>
  <c r="W269" i="25"/>
  <c r="Z269" i="25" s="1"/>
  <c r="AA269" i="25" s="1"/>
  <c r="AB269" i="25" s="1"/>
  <c r="AI269" i="25" s="1"/>
  <c r="V269" i="25"/>
  <c r="X269" i="25" s="1"/>
  <c r="AG272" i="24"/>
  <c r="AF272" i="24"/>
  <c r="AD162" i="25"/>
  <c r="W162" i="25"/>
  <c r="Z162" i="25" s="1"/>
  <c r="AA162" i="25" s="1"/>
  <c r="AB162" i="25" s="1"/>
  <c r="AI162" i="25" s="1"/>
  <c r="V162" i="25"/>
  <c r="X162" i="25" s="1"/>
  <c r="AS199" i="25"/>
  <c r="AD22" i="25"/>
  <c r="W22" i="25"/>
  <c r="Z22" i="25" s="1"/>
  <c r="AA22" i="25" s="1"/>
  <c r="AB22" i="25" s="1"/>
  <c r="AI22" i="25" s="1"/>
  <c r="AG137" i="24"/>
  <c r="AF137" i="24"/>
  <c r="AS314" i="25"/>
  <c r="AD138" i="25"/>
  <c r="W138" i="25"/>
  <c r="Z138" i="25" s="1"/>
  <c r="AA138" i="25" s="1"/>
  <c r="AB138" i="25" s="1"/>
  <c r="AI138" i="25" s="1"/>
  <c r="V222" i="25"/>
  <c r="X222" i="25" s="1"/>
  <c r="AD184" i="25"/>
  <c r="W184" i="25"/>
  <c r="Z184" i="25" s="1"/>
  <c r="AA184" i="25" s="1"/>
  <c r="AB184" i="25" s="1"/>
  <c r="AI184" i="25" s="1"/>
  <c r="V184" i="25"/>
  <c r="X184" i="25" s="1"/>
  <c r="AG156" i="24"/>
  <c r="AF156" i="24"/>
  <c r="V81" i="25"/>
  <c r="X81" i="25" s="1"/>
  <c r="V216" i="25"/>
  <c r="X216" i="25" s="1"/>
  <c r="AG263" i="24"/>
  <c r="AF263" i="24"/>
  <c r="AG48" i="24"/>
  <c r="AF48" i="24"/>
  <c r="AD84" i="25"/>
  <c r="W84" i="25"/>
  <c r="Z84" i="25" s="1"/>
  <c r="AA84" i="25" s="1"/>
  <c r="AB84" i="25" s="1"/>
  <c r="AI84" i="25" s="1"/>
  <c r="AG297" i="24"/>
  <c r="AF297" i="24"/>
  <c r="AD90" i="25"/>
  <c r="W90" i="25"/>
  <c r="Z90" i="25" s="1"/>
  <c r="AA90" i="25" s="1"/>
  <c r="AB90" i="25" s="1"/>
  <c r="AI90" i="25" s="1"/>
  <c r="V135" i="25"/>
  <c r="X135" i="25" s="1"/>
  <c r="AG123" i="24"/>
  <c r="AF123" i="24"/>
  <c r="AD185" i="25"/>
  <c r="W185" i="25"/>
  <c r="Z185" i="25" s="1"/>
  <c r="AA185" i="25" s="1"/>
  <c r="AB185" i="25" s="1"/>
  <c r="AI185" i="25" s="1"/>
  <c r="V185" i="25"/>
  <c r="X185" i="25" s="1"/>
  <c r="AD69" i="25"/>
  <c r="W69" i="25"/>
  <c r="Z69" i="25" s="1"/>
  <c r="AA69" i="25" s="1"/>
  <c r="AB69" i="25" s="1"/>
  <c r="AI69" i="25" s="1"/>
  <c r="V69" i="25"/>
  <c r="X69" i="25" s="1"/>
  <c r="AD202" i="25"/>
  <c r="W202" i="25"/>
  <c r="Z202" i="25" s="1"/>
  <c r="AA202" i="25" s="1"/>
  <c r="AB202" i="25" s="1"/>
  <c r="AI202" i="25" s="1"/>
  <c r="AD171" i="25"/>
  <c r="W171" i="25"/>
  <c r="Z171" i="25" s="1"/>
  <c r="AA171" i="25" s="1"/>
  <c r="AB171" i="25" s="1"/>
  <c r="AI171" i="25" s="1"/>
  <c r="AG56" i="24"/>
  <c r="AF56" i="24"/>
  <c r="AD217" i="25"/>
  <c r="W217" i="25"/>
  <c r="Z217" i="25" s="1"/>
  <c r="AA217" i="25" s="1"/>
  <c r="AB217" i="25" s="1"/>
  <c r="AI217" i="25" s="1"/>
  <c r="V75" i="25"/>
  <c r="X75" i="25" s="1"/>
  <c r="AS31" i="25"/>
  <c r="V297" i="25"/>
  <c r="X297" i="25" s="1"/>
  <c r="AD54" i="25"/>
  <c r="W54" i="25"/>
  <c r="Z54" i="25" s="1"/>
  <c r="AA54" i="25" s="1"/>
  <c r="AB54" i="25" s="1"/>
  <c r="AI54" i="25" s="1"/>
  <c r="V54" i="25"/>
  <c r="X54" i="25" s="1"/>
  <c r="AD310" i="25"/>
  <c r="W310" i="25"/>
  <c r="Z310" i="25" s="1"/>
  <c r="AA310" i="25" s="1"/>
  <c r="AB310" i="25" s="1"/>
  <c r="AI310" i="25" s="1"/>
  <c r="V310" i="25"/>
  <c r="X310" i="25" s="1"/>
  <c r="AS204" i="25"/>
  <c r="AD176" i="25"/>
  <c r="W176" i="25"/>
  <c r="Z176" i="25" s="1"/>
  <c r="AA176" i="25" s="1"/>
  <c r="AB176" i="25" s="1"/>
  <c r="AI176" i="25" s="1"/>
  <c r="V176" i="25"/>
  <c r="X176" i="25" s="1"/>
  <c r="AG17" i="24"/>
  <c r="AF17" i="24"/>
  <c r="AG9" i="24"/>
  <c r="AF9" i="24"/>
  <c r="AS282" i="25"/>
  <c r="AF283" i="25"/>
  <c r="AE283" i="25"/>
  <c r="AG219" i="24"/>
  <c r="AF219" i="24"/>
  <c r="AG261" i="24"/>
  <c r="AF261" i="24"/>
  <c r="AD83" i="25"/>
  <c r="W83" i="25"/>
  <c r="Z83" i="25" s="1"/>
  <c r="AA83" i="25" s="1"/>
  <c r="AB83" i="25" s="1"/>
  <c r="AI83" i="25" s="1"/>
  <c r="V83" i="25"/>
  <c r="X83" i="25" s="1"/>
  <c r="V72" i="25"/>
  <c r="X72" i="25" s="1"/>
  <c r="AG167" i="24"/>
  <c r="AF167" i="24"/>
  <c r="AD153" i="25"/>
  <c r="W153" i="25"/>
  <c r="Z153" i="25" s="1"/>
  <c r="AA153" i="25" s="1"/>
  <c r="AB153" i="25" s="1"/>
  <c r="AI153" i="25" s="1"/>
  <c r="V153" i="25"/>
  <c r="X153" i="25" s="1"/>
  <c r="AD61" i="25"/>
  <c r="W61" i="25"/>
  <c r="Z61" i="25" s="1"/>
  <c r="AA61" i="25" s="1"/>
  <c r="AB61" i="25" s="1"/>
  <c r="AI61" i="25" s="1"/>
  <c r="V61" i="25"/>
  <c r="X61" i="25" s="1"/>
  <c r="AG164" i="24"/>
  <c r="AF164" i="24"/>
  <c r="AX143" i="25"/>
  <c r="AW143" i="25"/>
  <c r="AT292" i="24"/>
  <c r="AD290" i="25"/>
  <c r="W290" i="25"/>
  <c r="Z290" i="25" s="1"/>
  <c r="AA290" i="25" s="1"/>
  <c r="AB290" i="25" s="1"/>
  <c r="AI290" i="25" s="1"/>
  <c r="V290" i="25"/>
  <c r="X290" i="25" s="1"/>
  <c r="AG128" i="24"/>
  <c r="AF128" i="24"/>
  <c r="AS178" i="25"/>
  <c r="AG283" i="24"/>
  <c r="AF283" i="24"/>
  <c r="AG225" i="24"/>
  <c r="AF225" i="24"/>
  <c r="AF276" i="25"/>
  <c r="AE276" i="25"/>
  <c r="AD182" i="25"/>
  <c r="W182" i="25"/>
  <c r="Z182" i="25" s="1"/>
  <c r="AA182" i="25" s="1"/>
  <c r="AB182" i="25" s="1"/>
  <c r="AI182" i="25" s="1"/>
  <c r="V182" i="25"/>
  <c r="X182" i="25" s="1"/>
  <c r="AD218" i="25"/>
  <c r="W218" i="25"/>
  <c r="Z218" i="25" s="1"/>
  <c r="AA218" i="25" s="1"/>
  <c r="AB218" i="25" s="1"/>
  <c r="AI218" i="25" s="1"/>
  <c r="AG61" i="24"/>
  <c r="AF61" i="24"/>
  <c r="AS170" i="25"/>
  <c r="AG299" i="24"/>
  <c r="AF299" i="24"/>
  <c r="AG68" i="24"/>
  <c r="AF68" i="24"/>
  <c r="AG207" i="24"/>
  <c r="AF207" i="24"/>
  <c r="AF131" i="25"/>
  <c r="AE131" i="25"/>
  <c r="AD40" i="25"/>
  <c r="W40" i="25"/>
  <c r="Z40" i="25" s="1"/>
  <c r="AA40" i="25" s="1"/>
  <c r="AB40" i="25" s="1"/>
  <c r="AI40" i="25" s="1"/>
  <c r="AD302" i="25"/>
  <c r="W302" i="25"/>
  <c r="Z302" i="25" s="1"/>
  <c r="AA302" i="25" s="1"/>
  <c r="AB302" i="25" s="1"/>
  <c r="AI302" i="25" s="1"/>
  <c r="V93" i="25"/>
  <c r="X93" i="25" s="1"/>
  <c r="AD53" i="25"/>
  <c r="W53" i="25"/>
  <c r="Z53" i="25" s="1"/>
  <c r="AA53" i="25" s="1"/>
  <c r="AB53" i="25" s="1"/>
  <c r="AI53" i="25" s="1"/>
  <c r="AD122" i="25"/>
  <c r="W122" i="25"/>
  <c r="Z122" i="25" s="1"/>
  <c r="AA122" i="25" s="1"/>
  <c r="AB122" i="25" s="1"/>
  <c r="AI122" i="25" s="1"/>
  <c r="AG209" i="24"/>
  <c r="AF209" i="24"/>
  <c r="AF32" i="25"/>
  <c r="AE32" i="25"/>
  <c r="AG267" i="24"/>
  <c r="AF267" i="24"/>
  <c r="AF273" i="25"/>
  <c r="AE273" i="25"/>
  <c r="AD46" i="25"/>
  <c r="W46" i="25"/>
  <c r="Z46" i="25" s="1"/>
  <c r="AA46" i="25" s="1"/>
  <c r="AB46" i="25" s="1"/>
  <c r="AI46" i="25" s="1"/>
  <c r="V46" i="25"/>
  <c r="X46" i="25" s="1"/>
  <c r="AG265" i="24"/>
  <c r="AF265" i="24"/>
  <c r="AD112" i="25"/>
  <c r="W112" i="25"/>
  <c r="Z112" i="25" s="1"/>
  <c r="AA112" i="25" s="1"/>
  <c r="AB112" i="25" s="1"/>
  <c r="AI112" i="25" s="1"/>
  <c r="V315" i="25"/>
  <c r="X315" i="25" s="1"/>
  <c r="AG32" i="24"/>
  <c r="AF32" i="24"/>
  <c r="AS104" i="25"/>
  <c r="AK160" i="24"/>
  <c r="AN160" i="24"/>
  <c r="AG282" i="24"/>
  <c r="AF282" i="24"/>
  <c r="AS11" i="25"/>
  <c r="AG155" i="24"/>
  <c r="AF155" i="24"/>
  <c r="AG120" i="24"/>
  <c r="AF120" i="24"/>
  <c r="AG284" i="24"/>
  <c r="AF284" i="24"/>
  <c r="BU101" i="24" l="1"/>
  <c r="CE101" i="24"/>
  <c r="AF11" i="25"/>
  <c r="AE155" i="25"/>
  <c r="AJ155" i="25" s="1"/>
  <c r="BU55" i="24"/>
  <c r="BU22" i="24"/>
  <c r="BU45" i="24"/>
  <c r="AF96" i="25"/>
  <c r="AJ96" i="25" s="1"/>
  <c r="AV27" i="24"/>
  <c r="AT81" i="24"/>
  <c r="BA81" i="24" s="1"/>
  <c r="AT49" i="24"/>
  <c r="BA49" i="24" s="1"/>
  <c r="AT39" i="24"/>
  <c r="BA39" i="24" s="1"/>
  <c r="AV77" i="24"/>
  <c r="AV65" i="24"/>
  <c r="AV104" i="24"/>
  <c r="AV66" i="24"/>
  <c r="AV103" i="24"/>
  <c r="AV64" i="24"/>
  <c r="AV102" i="24"/>
  <c r="AV23" i="24"/>
  <c r="AV61" i="24"/>
  <c r="AV78" i="24"/>
  <c r="AT72" i="24"/>
  <c r="BA72" i="24" s="1"/>
  <c r="AV86" i="24"/>
  <c r="AV98" i="24"/>
  <c r="AT62" i="24"/>
  <c r="BA62" i="24" s="1"/>
  <c r="AV69" i="24"/>
  <c r="AV10" i="24"/>
  <c r="AV15" i="24"/>
  <c r="AV38" i="24"/>
  <c r="AV50" i="24"/>
  <c r="AV40" i="24"/>
  <c r="AV60" i="24"/>
  <c r="AV47" i="24"/>
  <c r="AV63" i="24"/>
  <c r="AV83" i="24"/>
  <c r="AV80" i="24"/>
  <c r="AV100" i="24"/>
  <c r="AV84" i="24"/>
  <c r="AV76" i="24"/>
  <c r="AV70" i="24"/>
  <c r="AV91" i="24"/>
  <c r="AV43" i="24"/>
  <c r="AV68" i="24"/>
  <c r="AT92" i="24"/>
  <c r="BA92" i="24" s="1"/>
  <c r="AT95" i="24"/>
  <c r="BA95" i="24" s="1"/>
  <c r="AV16" i="24"/>
  <c r="AV105" i="24"/>
  <c r="AV46" i="24"/>
  <c r="AV52" i="24"/>
  <c r="AV53" i="24"/>
  <c r="AV71" i="24"/>
  <c r="AV82" i="24"/>
  <c r="AV73" i="24"/>
  <c r="AT74" i="24"/>
  <c r="BA74" i="24" s="1"/>
  <c r="AT93" i="24"/>
  <c r="BA93" i="24" s="1"/>
  <c r="AV89" i="24"/>
  <c r="AV99" i="24"/>
  <c r="AT14" i="24"/>
  <c r="BA14" i="24" s="1"/>
  <c r="AV11" i="24"/>
  <c r="AV88" i="24"/>
  <c r="AV79" i="24"/>
  <c r="AT97" i="24"/>
  <c r="BA97" i="24" s="1"/>
  <c r="AV75" i="24"/>
  <c r="AV85" i="24"/>
  <c r="AV94" i="24"/>
  <c r="AT25" i="24"/>
  <c r="BA25" i="24" s="1"/>
  <c r="AV29" i="24"/>
  <c r="AV31" i="24"/>
  <c r="AV13" i="24"/>
  <c r="AV36" i="24"/>
  <c r="AV42" i="24"/>
  <c r="AV87" i="24"/>
  <c r="AV67" i="24"/>
  <c r="AV90" i="24"/>
  <c r="AV96" i="24"/>
  <c r="AT103" i="24"/>
  <c r="BA103" i="24" s="1"/>
  <c r="AJ143" i="25"/>
  <c r="AT105" i="24"/>
  <c r="BA105" i="24" s="1"/>
  <c r="AT99" i="24"/>
  <c r="BA99" i="24" s="1"/>
  <c r="AF258" i="25"/>
  <c r="AJ258" i="25" s="1"/>
  <c r="AE189" i="25"/>
  <c r="AJ189" i="25" s="1"/>
  <c r="AT90" i="24"/>
  <c r="BA90" i="24" s="1"/>
  <c r="AT96" i="24"/>
  <c r="BA96" i="24" s="1"/>
  <c r="AT42" i="24"/>
  <c r="BA42" i="24" s="1"/>
  <c r="AT94" i="24"/>
  <c r="BA94" i="24" s="1"/>
  <c r="AT85" i="24"/>
  <c r="BA85" i="24" s="1"/>
  <c r="AT89" i="24"/>
  <c r="BA89" i="24" s="1"/>
  <c r="AV72" i="24"/>
  <c r="AV62" i="24"/>
  <c r="AT69" i="24"/>
  <c r="BA69" i="24" s="1"/>
  <c r="AT80" i="24"/>
  <c r="BA80" i="24" s="1"/>
  <c r="AT100" i="24"/>
  <c r="BA100" i="24" s="1"/>
  <c r="AT84" i="24"/>
  <c r="BA84" i="24" s="1"/>
  <c r="AV81" i="24"/>
  <c r="AF154" i="25"/>
  <c r="BU142" i="24"/>
  <c r="AT66" i="24"/>
  <c r="BA66" i="24" s="1"/>
  <c r="AT91" i="24"/>
  <c r="BA91" i="24" s="1"/>
  <c r="AF97" i="25"/>
  <c r="AJ97" i="25" s="1"/>
  <c r="AT102" i="24"/>
  <c r="BA102" i="24" s="1"/>
  <c r="AT70" i="24"/>
  <c r="BA70" i="24" s="1"/>
  <c r="AT86" i="24"/>
  <c r="BA86" i="24" s="1"/>
  <c r="AE154" i="25"/>
  <c r="AT98" i="24"/>
  <c r="BA98" i="24" s="1"/>
  <c r="AT75" i="24"/>
  <c r="BA75" i="24" s="1"/>
  <c r="AV97" i="24"/>
  <c r="AT79" i="24"/>
  <c r="BA79" i="24" s="1"/>
  <c r="AT88" i="24"/>
  <c r="BA88" i="24" s="1"/>
  <c r="AV74" i="24"/>
  <c r="AV93" i="24"/>
  <c r="AV95" i="24"/>
  <c r="AT87" i="24"/>
  <c r="BA87" i="24" s="1"/>
  <c r="AE104" i="25"/>
  <c r="AJ104" i="25" s="1"/>
  <c r="AV92" i="24"/>
  <c r="AT68" i="24"/>
  <c r="BA68" i="24" s="1"/>
  <c r="AT43" i="24"/>
  <c r="BA43" i="24" s="1"/>
  <c r="AF179" i="25"/>
  <c r="AJ179" i="25" s="1"/>
  <c r="AT65" i="24"/>
  <c r="BA65" i="24" s="1"/>
  <c r="AT104" i="24"/>
  <c r="BA104" i="24" s="1"/>
  <c r="AF265" i="25"/>
  <c r="AJ265" i="25" s="1"/>
  <c r="AT53" i="24"/>
  <c r="BA53" i="24" s="1"/>
  <c r="AT82" i="24"/>
  <c r="BA82" i="24" s="1"/>
  <c r="AT73" i="24"/>
  <c r="BA73" i="24" s="1"/>
  <c r="AT83" i="24"/>
  <c r="BA83" i="24" s="1"/>
  <c r="AF29" i="25"/>
  <c r="AM29" i="25" s="1"/>
  <c r="AT78" i="24"/>
  <c r="BA78" i="24" s="1"/>
  <c r="AT23" i="24"/>
  <c r="BA23" i="24" s="1"/>
  <c r="AT61" i="24"/>
  <c r="BA61" i="24" s="1"/>
  <c r="AV39" i="24"/>
  <c r="AF291" i="25"/>
  <c r="AM291" i="25" s="1"/>
  <c r="AT77" i="24"/>
  <c r="BA77" i="24" s="1"/>
  <c r="AV49" i="24"/>
  <c r="BW142" i="24"/>
  <c r="AV14" i="24"/>
  <c r="BW22" i="24"/>
  <c r="AT64" i="24"/>
  <c r="BA64" i="24" s="1"/>
  <c r="BH142" i="24"/>
  <c r="AT76" i="24"/>
  <c r="BA76" i="24" s="1"/>
  <c r="AF28" i="25"/>
  <c r="AM28" i="25" s="1"/>
  <c r="AT46" i="24"/>
  <c r="BA46" i="24" s="1"/>
  <c r="AT50" i="24"/>
  <c r="BA50" i="24" s="1"/>
  <c r="AT47" i="24"/>
  <c r="BA47" i="24" s="1"/>
  <c r="AT60" i="24"/>
  <c r="BA60" i="24" s="1"/>
  <c r="AT40" i="24"/>
  <c r="BA40" i="24" s="1"/>
  <c r="AT38" i="24"/>
  <c r="BA38" i="24" s="1"/>
  <c r="AT15" i="24"/>
  <c r="BA15" i="24" s="1"/>
  <c r="BH292" i="24"/>
  <c r="AX292" i="24"/>
  <c r="BW292" i="24"/>
  <c r="BW264" i="24"/>
  <c r="AT10" i="24"/>
  <c r="BA10" i="24" s="1"/>
  <c r="AT71" i="24"/>
  <c r="BA71" i="24" s="1"/>
  <c r="AT63" i="24"/>
  <c r="BA63" i="24" s="1"/>
  <c r="AT52" i="24"/>
  <c r="BA52" i="24" s="1"/>
  <c r="AT11" i="24"/>
  <c r="BA11" i="24" s="1"/>
  <c r="AV25" i="24"/>
  <c r="AT13" i="24"/>
  <c r="BA13" i="24" s="1"/>
  <c r="AT16" i="24"/>
  <c r="BA16" i="24" s="1"/>
  <c r="AT29" i="24"/>
  <c r="BA29" i="24" s="1"/>
  <c r="AT36" i="24"/>
  <c r="BA36" i="24" s="1"/>
  <c r="AT27" i="24"/>
  <c r="BA27" i="24" s="1"/>
  <c r="AT31" i="24"/>
  <c r="BA31" i="24" s="1"/>
  <c r="AF237" i="25"/>
  <c r="O212" i="25"/>
  <c r="P212" i="25"/>
  <c r="T212" i="25"/>
  <c r="U212" i="25" s="1"/>
  <c r="BH22" i="24"/>
  <c r="AX77" i="25"/>
  <c r="AF77" i="25"/>
  <c r="AE77" i="25"/>
  <c r="BU264" i="24"/>
  <c r="BH236" i="24"/>
  <c r="BW236" i="24"/>
  <c r="BH264" i="24"/>
  <c r="AX236" i="24"/>
  <c r="AJ131" i="25"/>
  <c r="AM131" i="25"/>
  <c r="AN284" i="24"/>
  <c r="BU284" i="24" s="1"/>
  <c r="AK284" i="24"/>
  <c r="AS53" i="25"/>
  <c r="AF40" i="25"/>
  <c r="AE40" i="25"/>
  <c r="AK128" i="24"/>
  <c r="AN128" i="24"/>
  <c r="BW128" i="24" s="1"/>
  <c r="AN261" i="24"/>
  <c r="BW261" i="24" s="1"/>
  <c r="AK261" i="24"/>
  <c r="BA220" i="24"/>
  <c r="AX31" i="25"/>
  <c r="AW31" i="25"/>
  <c r="BA154" i="24"/>
  <c r="AS202" i="25"/>
  <c r="AS185" i="25"/>
  <c r="AN48" i="24"/>
  <c r="BU48" i="24" s="1"/>
  <c r="AK48" i="24"/>
  <c r="AS269" i="25"/>
  <c r="AT232" i="24"/>
  <c r="BA165" i="24"/>
  <c r="AS120" i="25"/>
  <c r="AJ59" i="25"/>
  <c r="AM59" i="25"/>
  <c r="AS58" i="25"/>
  <c r="AX131" i="25"/>
  <c r="AW131" i="25"/>
  <c r="AN235" i="24"/>
  <c r="AX235" i="24" s="1"/>
  <c r="AK235" i="24"/>
  <c r="AF146" i="25"/>
  <c r="AE146" i="25"/>
  <c r="AT248" i="24"/>
  <c r="AJ257" i="25"/>
  <c r="AM257" i="25"/>
  <c r="AS159" i="25"/>
  <c r="AN224" i="24"/>
  <c r="BU224" i="24" s="1"/>
  <c r="AK224" i="24"/>
  <c r="AF10" i="25"/>
  <c r="AE10" i="25"/>
  <c r="AN86" i="24"/>
  <c r="BU86" i="24" s="1"/>
  <c r="AK86" i="24"/>
  <c r="AN193" i="24"/>
  <c r="CE193" i="24" s="1"/>
  <c r="AK193" i="24"/>
  <c r="BA142" i="24"/>
  <c r="AS12" i="25"/>
  <c r="AK271" i="24"/>
  <c r="AN271" i="24"/>
  <c r="BW271" i="24" s="1"/>
  <c r="AT253" i="24"/>
  <c r="AS99" i="25"/>
  <c r="AS196" i="25"/>
  <c r="AF236" i="25"/>
  <c r="AE236" i="25"/>
  <c r="AK176" i="24"/>
  <c r="AN176" i="24"/>
  <c r="AT155" i="24"/>
  <c r="AT282" i="24"/>
  <c r="AS312" i="25"/>
  <c r="AK199" i="24"/>
  <c r="AN199" i="24"/>
  <c r="AF17" i="25"/>
  <c r="AE17" i="25"/>
  <c r="AT267" i="24"/>
  <c r="BA207" i="24"/>
  <c r="AM92" i="25"/>
  <c r="CE92" i="25" s="1"/>
  <c r="AJ92" i="25"/>
  <c r="AS254" i="25"/>
  <c r="AS67" i="25"/>
  <c r="BA164" i="24"/>
  <c r="AV9" i="24"/>
  <c r="AT9" i="24"/>
  <c r="AN316" i="24"/>
  <c r="AK316" i="24"/>
  <c r="AV17" i="24"/>
  <c r="AT17" i="24"/>
  <c r="AF225" i="25"/>
  <c r="AE225" i="25"/>
  <c r="AT263" i="24"/>
  <c r="AS221" i="25"/>
  <c r="BA272" i="24"/>
  <c r="BA132" i="24"/>
  <c r="BA223" i="24"/>
  <c r="AS116" i="25"/>
  <c r="AM155" i="25"/>
  <c r="AK25" i="24"/>
  <c r="AN25" i="24"/>
  <c r="BU25" i="24" s="1"/>
  <c r="AT145" i="24"/>
  <c r="AJ174" i="25"/>
  <c r="AM174" i="25"/>
  <c r="CE174" i="25" s="1"/>
  <c r="AT290" i="24"/>
  <c r="AF123" i="25"/>
  <c r="AE123" i="25"/>
  <c r="AT126" i="24"/>
  <c r="AT279" i="24"/>
  <c r="AJ255" i="25"/>
  <c r="AM255" i="25"/>
  <c r="AM21" i="25"/>
  <c r="AJ21" i="25"/>
  <c r="AS244" i="25"/>
  <c r="AS33" i="25"/>
  <c r="AF200" i="25"/>
  <c r="AE200" i="25"/>
  <c r="AK275" i="24"/>
  <c r="AN275" i="24"/>
  <c r="CE275" i="24" s="1"/>
  <c r="AS121" i="25"/>
  <c r="AX155" i="25"/>
  <c r="AW155" i="25"/>
  <c r="AK276" i="24"/>
  <c r="AN276" i="24"/>
  <c r="AK104" i="24"/>
  <c r="AN104" i="24"/>
  <c r="AS127" i="25"/>
  <c r="AK29" i="24"/>
  <c r="AN29" i="24"/>
  <c r="BU29" i="24" s="1"/>
  <c r="AS101" i="24"/>
  <c r="BI101" i="24"/>
  <c r="BL101" i="24" s="1"/>
  <c r="BJ101" i="24"/>
  <c r="AQ101" i="24"/>
  <c r="AX101" i="24"/>
  <c r="BH101" i="24"/>
  <c r="BW101" i="24"/>
  <c r="BA256" i="24"/>
  <c r="AF57" i="25"/>
  <c r="AE57" i="25"/>
  <c r="AN197" i="24"/>
  <c r="AK197" i="24"/>
  <c r="BA316" i="24"/>
  <c r="AK230" i="24"/>
  <c r="AN230" i="24"/>
  <c r="BA122" i="24"/>
  <c r="AS272" i="25"/>
  <c r="AS300" i="25"/>
  <c r="BA208" i="24"/>
  <c r="AS45" i="25"/>
  <c r="AJ89" i="25"/>
  <c r="AM89" i="25"/>
  <c r="CE89" i="25" s="1"/>
  <c r="BA204" i="24"/>
  <c r="AN96" i="24"/>
  <c r="BU96" i="24" s="1"/>
  <c r="AK96" i="24"/>
  <c r="AF220" i="25"/>
  <c r="AE220" i="25"/>
  <c r="BA187" i="24"/>
  <c r="AF79" i="25"/>
  <c r="AE79" i="25"/>
  <c r="BA268" i="24"/>
  <c r="BA116" i="24"/>
  <c r="AM6" i="25"/>
  <c r="AJ6" i="25"/>
  <c r="AS136" i="25"/>
  <c r="AK125" i="24"/>
  <c r="AN125" i="24"/>
  <c r="AX125" i="24" s="1"/>
  <c r="AN58" i="24"/>
  <c r="BW58" i="24" s="1"/>
  <c r="AK58" i="24"/>
  <c r="AN83" i="24"/>
  <c r="BU83" i="24" s="1"/>
  <c r="AK83" i="24"/>
  <c r="AF195" i="25"/>
  <c r="AE195" i="25"/>
  <c r="AF137" i="25"/>
  <c r="AE137" i="25"/>
  <c r="AK26" i="24"/>
  <c r="AN26" i="24"/>
  <c r="BW26" i="24" s="1"/>
  <c r="BA245" i="24"/>
  <c r="AS274" i="25"/>
  <c r="AS289" i="25"/>
  <c r="AW13" i="25"/>
  <c r="AX13" i="25"/>
  <c r="AF39" i="25"/>
  <c r="AE39" i="25"/>
  <c r="AF49" i="25"/>
  <c r="AE49" i="25"/>
  <c r="AS239" i="25"/>
  <c r="AM259" i="25"/>
  <c r="AJ259" i="25"/>
  <c r="BA311" i="24"/>
  <c r="AS9" i="25"/>
  <c r="AS281" i="25"/>
  <c r="AS93" i="25"/>
  <c r="AK234" i="24"/>
  <c r="AN234" i="24"/>
  <c r="AN220" i="24"/>
  <c r="AK220" i="24"/>
  <c r="BA241" i="24"/>
  <c r="AK175" i="24"/>
  <c r="AN175" i="24"/>
  <c r="AX29" i="25"/>
  <c r="AW29" i="25"/>
  <c r="AN171" i="24"/>
  <c r="AK171" i="24"/>
  <c r="AW198" i="25"/>
  <c r="AX198" i="25"/>
  <c r="AS20" i="25"/>
  <c r="BI233" i="24"/>
  <c r="BL233" i="24" s="1"/>
  <c r="AS233" i="24"/>
  <c r="AQ233" i="24"/>
  <c r="BJ233" i="24"/>
  <c r="BU233" i="24"/>
  <c r="AX233" i="24"/>
  <c r="BH233" i="24"/>
  <c r="BW233" i="24"/>
  <c r="AK79" i="24"/>
  <c r="AN79" i="24"/>
  <c r="CE79" i="24" s="1"/>
  <c r="AF191" i="25"/>
  <c r="AE191" i="25"/>
  <c r="AF230" i="25"/>
  <c r="AE230" i="25"/>
  <c r="AT121" i="24"/>
  <c r="AS70" i="25"/>
  <c r="AN248" i="24"/>
  <c r="BH248" i="24" s="1"/>
  <c r="AK248" i="24"/>
  <c r="AS41" i="24"/>
  <c r="BI41" i="24"/>
  <c r="BL41" i="24" s="1"/>
  <c r="AQ41" i="24"/>
  <c r="BJ41" i="24"/>
  <c r="AX41" i="24"/>
  <c r="BH41" i="24"/>
  <c r="BW41" i="24"/>
  <c r="AT301" i="24"/>
  <c r="AF187" i="25"/>
  <c r="AE187" i="25"/>
  <c r="AS277" i="25"/>
  <c r="AF125" i="25"/>
  <c r="AE125" i="25"/>
  <c r="AT135" i="24"/>
  <c r="AK37" i="24"/>
  <c r="AN37" i="24"/>
  <c r="BW37" i="24" s="1"/>
  <c r="AF111" i="25"/>
  <c r="AE111" i="25"/>
  <c r="AS102" i="25"/>
  <c r="AK209" i="24"/>
  <c r="AN209" i="24"/>
  <c r="CE209" i="24" s="1"/>
  <c r="AN155" i="24"/>
  <c r="AX155" i="24" s="1"/>
  <c r="AK155" i="24"/>
  <c r="AX104" i="25"/>
  <c r="AW104" i="25"/>
  <c r="AS46" i="25"/>
  <c r="AJ32" i="25"/>
  <c r="AM32" i="25"/>
  <c r="AF53" i="25"/>
  <c r="AE53" i="25"/>
  <c r="AN299" i="24"/>
  <c r="AK299" i="24"/>
  <c r="BA184" i="24"/>
  <c r="AN61" i="24"/>
  <c r="BU61" i="24" s="1"/>
  <c r="AK61" i="24"/>
  <c r="AN164" i="24"/>
  <c r="AK164" i="24"/>
  <c r="AN167" i="24"/>
  <c r="AK167" i="24"/>
  <c r="AK17" i="24"/>
  <c r="AN17" i="24"/>
  <c r="AX17" i="24" s="1"/>
  <c r="AX204" i="25"/>
  <c r="AW204" i="25"/>
  <c r="AS54" i="25"/>
  <c r="AK56" i="24"/>
  <c r="AN56" i="24"/>
  <c r="AF202" i="25"/>
  <c r="AE202" i="25"/>
  <c r="AF185" i="25"/>
  <c r="AE185" i="25"/>
  <c r="AX28" i="25"/>
  <c r="AW28" i="25"/>
  <c r="AS162" i="25"/>
  <c r="BA226" i="24"/>
  <c r="AF269" i="25"/>
  <c r="AE269" i="25"/>
  <c r="AS251" i="25"/>
  <c r="AK188" i="24"/>
  <c r="AN188" i="24"/>
  <c r="AF120" i="25"/>
  <c r="AE120" i="25"/>
  <c r="AF58" i="25"/>
  <c r="AE58" i="25"/>
  <c r="BA139" i="24"/>
  <c r="AF159" i="25"/>
  <c r="AE159" i="25"/>
  <c r="AN30" i="24"/>
  <c r="BW30" i="24" s="1"/>
  <c r="AK30" i="24"/>
  <c r="BA134" i="24"/>
  <c r="AS307" i="25"/>
  <c r="AN126" i="24"/>
  <c r="AX126" i="24" s="1"/>
  <c r="AK126" i="24"/>
  <c r="AF12" i="25"/>
  <c r="AE12" i="25"/>
  <c r="AF99" i="25"/>
  <c r="AE99" i="25"/>
  <c r="AT295" i="24"/>
  <c r="AF196" i="25"/>
  <c r="AE196" i="25"/>
  <c r="AT242" i="24"/>
  <c r="BA124" i="24"/>
  <c r="AN105" i="24"/>
  <c r="AK105" i="24"/>
  <c r="AF312" i="25"/>
  <c r="AE312" i="25"/>
  <c r="AS287" i="25"/>
  <c r="AS91" i="25"/>
  <c r="AK252" i="24"/>
  <c r="AN252" i="24"/>
  <c r="AF254" i="25"/>
  <c r="AE254" i="25"/>
  <c r="AK15" i="24"/>
  <c r="AN15" i="24"/>
  <c r="BU15" i="24" s="1"/>
  <c r="AF67" i="25"/>
  <c r="AE67" i="25"/>
  <c r="AK300" i="24"/>
  <c r="AN300" i="24"/>
  <c r="AS227" i="25"/>
  <c r="BA156" i="24"/>
  <c r="AF221" i="25"/>
  <c r="AE221" i="25"/>
  <c r="AK112" i="24"/>
  <c r="AN112" i="24"/>
  <c r="BU112" i="24" s="1"/>
  <c r="AF116" i="25"/>
  <c r="AE116" i="25"/>
  <c r="AX206" i="25"/>
  <c r="AW206" i="25"/>
  <c r="AJ14" i="25"/>
  <c r="AM14" i="25"/>
  <c r="AS43" i="25"/>
  <c r="AN307" i="24"/>
  <c r="CE307" i="24" s="1"/>
  <c r="AK307" i="24"/>
  <c r="AN195" i="24"/>
  <c r="AK195" i="24"/>
  <c r="AN116" i="24"/>
  <c r="AK116" i="24"/>
  <c r="AT225" i="24"/>
  <c r="AS60" i="25"/>
  <c r="AS266" i="25"/>
  <c r="AT247" i="24"/>
  <c r="AF244" i="25"/>
  <c r="AE244" i="25"/>
  <c r="AK90" i="24"/>
  <c r="AN90" i="24"/>
  <c r="BU90" i="24" s="1"/>
  <c r="AS26" i="25"/>
  <c r="AF33" i="25"/>
  <c r="AE33" i="25"/>
  <c r="AW179" i="25"/>
  <c r="AX179" i="25"/>
  <c r="BA157" i="24"/>
  <c r="AS124" i="25"/>
  <c r="AS41" i="25"/>
  <c r="AK63" i="24"/>
  <c r="AN63" i="24"/>
  <c r="BU63" i="24" s="1"/>
  <c r="AF121" i="25"/>
  <c r="AE121" i="25"/>
  <c r="AS294" i="25"/>
  <c r="BA151" i="24"/>
  <c r="AK254" i="24"/>
  <c r="AN254" i="24"/>
  <c r="AF127" i="25"/>
  <c r="AE127" i="25"/>
  <c r="BA291" i="24"/>
  <c r="BA252" i="24"/>
  <c r="AX177" i="25"/>
  <c r="AW177" i="25"/>
  <c r="AK274" i="24"/>
  <c r="AN274" i="24"/>
  <c r="BU274" i="24" s="1"/>
  <c r="AN39" i="24"/>
  <c r="BU39" i="24" s="1"/>
  <c r="AK39" i="24"/>
  <c r="AF272" i="25"/>
  <c r="AE272" i="25"/>
  <c r="AF300" i="25"/>
  <c r="AE300" i="25"/>
  <c r="AJ190" i="25"/>
  <c r="AM190" i="25"/>
  <c r="CE190" i="25" s="1"/>
  <c r="AJ293" i="25"/>
  <c r="AM293" i="25"/>
  <c r="AK303" i="24"/>
  <c r="AN303" i="24"/>
  <c r="AF45" i="25"/>
  <c r="AE45" i="25"/>
  <c r="AN201" i="24"/>
  <c r="CE201" i="24" s="1"/>
  <c r="AK201" i="24"/>
  <c r="AW89" i="25"/>
  <c r="AX89" i="25"/>
  <c r="AK218" i="24"/>
  <c r="AN218" i="24"/>
  <c r="BW218" i="24" s="1"/>
  <c r="BA161" i="24"/>
  <c r="AX189" i="25"/>
  <c r="AW189" i="25"/>
  <c r="AS86" i="25"/>
  <c r="AK200" i="24"/>
  <c r="AN200" i="24"/>
  <c r="CE200" i="24" s="1"/>
  <c r="AN183" i="24"/>
  <c r="AK183" i="24"/>
  <c r="AF136" i="25"/>
  <c r="AE136" i="25"/>
  <c r="BA239" i="24"/>
  <c r="BA286" i="24"/>
  <c r="AJ305" i="25"/>
  <c r="AM305" i="25"/>
  <c r="CE305" i="25" s="1"/>
  <c r="AF274" i="25"/>
  <c r="AE274" i="25"/>
  <c r="AX87" i="25"/>
  <c r="AW87" i="25"/>
  <c r="AF289" i="25"/>
  <c r="AE289" i="25"/>
  <c r="AS42" i="25"/>
  <c r="BA264" i="24"/>
  <c r="AK226" i="24"/>
  <c r="AN226" i="24"/>
  <c r="AF239" i="25"/>
  <c r="AE239" i="25"/>
  <c r="AS183" i="25"/>
  <c r="AF9" i="25"/>
  <c r="AE9" i="25"/>
  <c r="AN150" i="24"/>
  <c r="AK150" i="24"/>
  <c r="AF281" i="25"/>
  <c r="AE281" i="25"/>
  <c r="AF93" i="25"/>
  <c r="AE93" i="25"/>
  <c r="AM292" i="25"/>
  <c r="CE292" i="25" s="1"/>
  <c r="AJ292" i="25"/>
  <c r="AN217" i="24"/>
  <c r="AK217" i="24"/>
  <c r="AS100" i="25"/>
  <c r="BA197" i="24"/>
  <c r="AJ62" i="25"/>
  <c r="AM62" i="25"/>
  <c r="CE62" i="25" s="1"/>
  <c r="AS118" i="25"/>
  <c r="AS226" i="25"/>
  <c r="AS180" i="25"/>
  <c r="AF20" i="25"/>
  <c r="AE20" i="25"/>
  <c r="AT305" i="24"/>
  <c r="AS66" i="25"/>
  <c r="AT218" i="24"/>
  <c r="AS235" i="25"/>
  <c r="BA200" i="24"/>
  <c r="BA189" i="24"/>
  <c r="AF70" i="25"/>
  <c r="AE70" i="25"/>
  <c r="AS44" i="25"/>
  <c r="AN243" i="24"/>
  <c r="AX243" i="24" s="1"/>
  <c r="AK243" i="24"/>
  <c r="AX6" i="25"/>
  <c r="AW6" i="25"/>
  <c r="AN231" i="24"/>
  <c r="AK231" i="24"/>
  <c r="AS63" i="25"/>
  <c r="AS37" i="25"/>
  <c r="AN91" i="24"/>
  <c r="BU91" i="24" s="1"/>
  <c r="AK91" i="24"/>
  <c r="AK244" i="24"/>
  <c r="AN244" i="24"/>
  <c r="AT111" i="24"/>
  <c r="AJ31" i="25"/>
  <c r="AM31" i="25"/>
  <c r="AF277" i="25"/>
  <c r="AE277" i="25"/>
  <c r="AS295" i="25"/>
  <c r="AN253" i="24"/>
  <c r="AX253" i="24" s="1"/>
  <c r="AK253" i="24"/>
  <c r="AJ199" i="25"/>
  <c r="AM199" i="25"/>
  <c r="AS181" i="25"/>
  <c r="AK124" i="24"/>
  <c r="AN124" i="24"/>
  <c r="AF102" i="25"/>
  <c r="AE102" i="25"/>
  <c r="AK282" i="24"/>
  <c r="AN282" i="24"/>
  <c r="AX282" i="24" s="1"/>
  <c r="AS112" i="25"/>
  <c r="AF46" i="25"/>
  <c r="AE46" i="25"/>
  <c r="BA206" i="24"/>
  <c r="BA227" i="24"/>
  <c r="AW170" i="25"/>
  <c r="AX170" i="25"/>
  <c r="AS218" i="25"/>
  <c r="AS290" i="25"/>
  <c r="BA185" i="24"/>
  <c r="AN219" i="24"/>
  <c r="AX219" i="24" s="1"/>
  <c r="AK219" i="24"/>
  <c r="AF54" i="25"/>
  <c r="AE54" i="25"/>
  <c r="AS90" i="25"/>
  <c r="BA171" i="24"/>
  <c r="BA285" i="24"/>
  <c r="AN156" i="24"/>
  <c r="AK156" i="24"/>
  <c r="BA293" i="24"/>
  <c r="AS138" i="25"/>
  <c r="AF162" i="25"/>
  <c r="AE162" i="25"/>
  <c r="AS18" i="25"/>
  <c r="AF251" i="25"/>
  <c r="AE251" i="25"/>
  <c r="BI132" i="24"/>
  <c r="BL132" i="24" s="1"/>
  <c r="AS132" i="24"/>
  <c r="AU132" i="24" s="1"/>
  <c r="BB132" i="24" s="1"/>
  <c r="BJ132" i="24"/>
  <c r="AQ132" i="24"/>
  <c r="AS169" i="25"/>
  <c r="AK57" i="24"/>
  <c r="AN57" i="24"/>
  <c r="BW57" i="24" s="1"/>
  <c r="BA192" i="24"/>
  <c r="BA231" i="24"/>
  <c r="AK20" i="24"/>
  <c r="AN20" i="24"/>
  <c r="BH20" i="24" s="1"/>
  <c r="AN33" i="24"/>
  <c r="BU33" i="24" s="1"/>
  <c r="AK33" i="24"/>
  <c r="AF307" i="25"/>
  <c r="AE307" i="25"/>
  <c r="AS270" i="25"/>
  <c r="AS208" i="25"/>
  <c r="AS135" i="25"/>
  <c r="AK113" i="24"/>
  <c r="AN113" i="24"/>
  <c r="AV32" i="24"/>
  <c r="AT32" i="24"/>
  <c r="AT265" i="24"/>
  <c r="AS132" i="25"/>
  <c r="AK288" i="24"/>
  <c r="AN288" i="24"/>
  <c r="AF287" i="25"/>
  <c r="AE287" i="25"/>
  <c r="AN11" i="24"/>
  <c r="BU11" i="24" s="1"/>
  <c r="AK11" i="24"/>
  <c r="AF91" i="25"/>
  <c r="AE91" i="25"/>
  <c r="AS234" i="25"/>
  <c r="AT261" i="24"/>
  <c r="AF227" i="25"/>
  <c r="AE227" i="25"/>
  <c r="AS36" i="25"/>
  <c r="AK229" i="24"/>
  <c r="AN229" i="24"/>
  <c r="AN146" i="24"/>
  <c r="AK146" i="24"/>
  <c r="BI55" i="24"/>
  <c r="BL55" i="24" s="1"/>
  <c r="AS55" i="24"/>
  <c r="AQ55" i="24"/>
  <c r="BJ55" i="24"/>
  <c r="AX55" i="24"/>
  <c r="BW55" i="24"/>
  <c r="BH55" i="24"/>
  <c r="AN169" i="24"/>
  <c r="AK169" i="24"/>
  <c r="AN62" i="24"/>
  <c r="BU62" i="24" s="1"/>
  <c r="AK62" i="24"/>
  <c r="AS245" i="25"/>
  <c r="AS68" i="25"/>
  <c r="AM240" i="25"/>
  <c r="AJ240" i="25"/>
  <c r="BA188" i="24"/>
  <c r="AT240" i="24"/>
  <c r="AJ275" i="25"/>
  <c r="AM275" i="25"/>
  <c r="AS231" i="25"/>
  <c r="AX95" i="25"/>
  <c r="AW95" i="25"/>
  <c r="AF43" i="25"/>
  <c r="AE43" i="25"/>
  <c r="AV57" i="24"/>
  <c r="AT57" i="24"/>
  <c r="AT266" i="24"/>
  <c r="AX34" i="25"/>
  <c r="AW34" i="25"/>
  <c r="AF60" i="25"/>
  <c r="AE60" i="25"/>
  <c r="AF266" i="25"/>
  <c r="AE266" i="25"/>
  <c r="BA22" i="24"/>
  <c r="AT224" i="24"/>
  <c r="AJ173" i="25"/>
  <c r="AM173" i="25"/>
  <c r="CE173" i="25" s="1"/>
  <c r="AM248" i="25"/>
  <c r="AJ248" i="25"/>
  <c r="AK70" i="24"/>
  <c r="AN70" i="24"/>
  <c r="BU70" i="24" s="1"/>
  <c r="AV8" i="24"/>
  <c r="AT8" i="24"/>
  <c r="AF26" i="25"/>
  <c r="AE26" i="25"/>
  <c r="BA314" i="24"/>
  <c r="AV59" i="24"/>
  <c r="AT59" i="24"/>
  <c r="AF124" i="25"/>
  <c r="AE124" i="25"/>
  <c r="AF41" i="25"/>
  <c r="AE41" i="25"/>
  <c r="AS168" i="25"/>
  <c r="AF294" i="25"/>
  <c r="AE294" i="25"/>
  <c r="BA113" i="24"/>
  <c r="AN179" i="24"/>
  <c r="CE179" i="24" s="1"/>
  <c r="AK179" i="24"/>
  <c r="AS284" i="25"/>
  <c r="AS19" i="25"/>
  <c r="AK196" i="24"/>
  <c r="AN196" i="24"/>
  <c r="AJ113" i="25"/>
  <c r="AM113" i="25"/>
  <c r="AS175" i="25"/>
  <c r="BA236" i="24"/>
  <c r="AK182" i="24"/>
  <c r="AN182" i="24"/>
  <c r="CE182" i="24" s="1"/>
  <c r="BA177" i="24"/>
  <c r="AM114" i="25"/>
  <c r="AJ114" i="25"/>
  <c r="BI21" i="24"/>
  <c r="BL21" i="24" s="1"/>
  <c r="AS21" i="24"/>
  <c r="BJ21" i="24"/>
  <c r="AQ21" i="24"/>
  <c r="AX21" i="24"/>
  <c r="BW21" i="24"/>
  <c r="BH21" i="24"/>
  <c r="AK281" i="24"/>
  <c r="AN281" i="24"/>
  <c r="AX281" i="24" s="1"/>
  <c r="AF86" i="25"/>
  <c r="AE86" i="25"/>
  <c r="AS164" i="25"/>
  <c r="BA140" i="24"/>
  <c r="AS156" i="25"/>
  <c r="AS7" i="25"/>
  <c r="BA195" i="24"/>
  <c r="AW154" i="25"/>
  <c r="AX154" i="25"/>
  <c r="AN54" i="24"/>
  <c r="BW54" i="24" s="1"/>
  <c r="AK54" i="24"/>
  <c r="AS301" i="25"/>
  <c r="AW113" i="25"/>
  <c r="AX113" i="25"/>
  <c r="AN301" i="24"/>
  <c r="BU301" i="24" s="1"/>
  <c r="AK301" i="24"/>
  <c r="AW201" i="25"/>
  <c r="AX201" i="25"/>
  <c r="AN153" i="24"/>
  <c r="BU153" i="24" s="1"/>
  <c r="AK153" i="24"/>
  <c r="AS228" i="25"/>
  <c r="AF42" i="25"/>
  <c r="AE42" i="25"/>
  <c r="AK38" i="24"/>
  <c r="AN38" i="24"/>
  <c r="BU38" i="24" s="1"/>
  <c r="BA131" i="24"/>
  <c r="AF183" i="25"/>
  <c r="AE183" i="25"/>
  <c r="AF100" i="25"/>
  <c r="AE100" i="25"/>
  <c r="BA196" i="24"/>
  <c r="AK185" i="24"/>
  <c r="AN185" i="24"/>
  <c r="CE185" i="24" s="1"/>
  <c r="AS311" i="25"/>
  <c r="AM247" i="25"/>
  <c r="AJ247" i="25"/>
  <c r="AS313" i="25"/>
  <c r="AF118" i="25"/>
  <c r="AE118" i="25"/>
  <c r="BA149" i="24"/>
  <c r="AF226" i="25"/>
  <c r="AE226" i="25"/>
  <c r="BA203" i="24"/>
  <c r="AF180" i="25"/>
  <c r="AE180" i="25"/>
  <c r="AN13" i="24"/>
  <c r="BU13" i="24" s="1"/>
  <c r="AK13" i="24"/>
  <c r="AK27" i="24"/>
  <c r="AN27" i="24"/>
  <c r="BU27" i="24" s="1"/>
  <c r="AW147" i="25"/>
  <c r="AX147" i="25"/>
  <c r="AS88" i="25"/>
  <c r="AF66" i="25"/>
  <c r="AE66" i="25"/>
  <c r="BI191" i="24"/>
  <c r="BL191" i="24" s="1"/>
  <c r="AS191" i="24"/>
  <c r="BJ191" i="24"/>
  <c r="AQ191" i="24"/>
  <c r="AX191" i="24"/>
  <c r="BH191" i="24"/>
  <c r="BW191" i="24"/>
  <c r="BU191" i="24"/>
  <c r="AT281" i="24"/>
  <c r="AF235" i="25"/>
  <c r="AE235" i="25"/>
  <c r="BA183" i="24"/>
  <c r="AF44" i="25"/>
  <c r="AE44" i="25"/>
  <c r="AT117" i="24"/>
  <c r="AF63" i="25"/>
  <c r="AE63" i="25"/>
  <c r="AF37" i="25"/>
  <c r="AE37" i="25"/>
  <c r="AT133" i="24"/>
  <c r="AS250" i="25"/>
  <c r="AT153" i="24"/>
  <c r="AF295" i="25"/>
  <c r="AE295" i="25"/>
  <c r="BI257" i="24"/>
  <c r="BL257" i="24" s="1"/>
  <c r="AS257" i="24"/>
  <c r="BJ257" i="24"/>
  <c r="AQ257" i="24"/>
  <c r="BW257" i="24"/>
  <c r="BU257" i="24"/>
  <c r="AX257" i="24"/>
  <c r="BH257" i="24"/>
  <c r="AN295" i="24"/>
  <c r="BH295" i="24" s="1"/>
  <c r="AK295" i="24"/>
  <c r="AS299" i="25"/>
  <c r="AF181" i="25"/>
  <c r="AE181" i="25"/>
  <c r="AN89" i="24"/>
  <c r="BU89" i="24" s="1"/>
  <c r="AK89" i="24"/>
  <c r="AJ276" i="25"/>
  <c r="AM276" i="25"/>
  <c r="AF290" i="25"/>
  <c r="AE290" i="25"/>
  <c r="AS176" i="25"/>
  <c r="BA175" i="24"/>
  <c r="AF90" i="25"/>
  <c r="AE90" i="25"/>
  <c r="AN263" i="24"/>
  <c r="AX263" i="24" s="1"/>
  <c r="AK263" i="24"/>
  <c r="AF138" i="25"/>
  <c r="AE138" i="25"/>
  <c r="AX199" i="25"/>
  <c r="AW199" i="25"/>
  <c r="AF18" i="25"/>
  <c r="AE18" i="25"/>
  <c r="AS249" i="25"/>
  <c r="AF169" i="25"/>
  <c r="AE169" i="25"/>
  <c r="AS288" i="25"/>
  <c r="AK240" i="24"/>
  <c r="AN240" i="24"/>
  <c r="BW240" i="24" s="1"/>
  <c r="AX32" i="25"/>
  <c r="AW32" i="25"/>
  <c r="AK19" i="24"/>
  <c r="AN19" i="24"/>
  <c r="AX19" i="24" s="1"/>
  <c r="AK72" i="24"/>
  <c r="AN72" i="24"/>
  <c r="BU72" i="24" s="1"/>
  <c r="AX97" i="25"/>
  <c r="AW97" i="25"/>
  <c r="AT243" i="24"/>
  <c r="AS264" i="25"/>
  <c r="AN290" i="24"/>
  <c r="AK290" i="24"/>
  <c r="AS73" i="25"/>
  <c r="AS80" i="25"/>
  <c r="AN279" i="24"/>
  <c r="BH279" i="24" s="1"/>
  <c r="AK279" i="24"/>
  <c r="AS144" i="25"/>
  <c r="AF270" i="25"/>
  <c r="AE270" i="25"/>
  <c r="AF208" i="25"/>
  <c r="AE208" i="25"/>
  <c r="AF135" i="25"/>
  <c r="AE135" i="25"/>
  <c r="AJ246" i="25"/>
  <c r="AM246" i="25"/>
  <c r="AM206" i="25"/>
  <c r="AP206" i="25" s="1"/>
  <c r="AJ206" i="25"/>
  <c r="AX59" i="25"/>
  <c r="AW59" i="25"/>
  <c r="AF132" i="25"/>
  <c r="AE132" i="25"/>
  <c r="AK202" i="24"/>
  <c r="AN202" i="24"/>
  <c r="CE202" i="24" s="1"/>
  <c r="AS252" i="25"/>
  <c r="AF234" i="25"/>
  <c r="AE234" i="25"/>
  <c r="AM34" i="25"/>
  <c r="AJ34" i="25"/>
  <c r="AS163" i="25"/>
  <c r="AM229" i="25"/>
  <c r="AJ229" i="25"/>
  <c r="AF36" i="25"/>
  <c r="AE36" i="25"/>
  <c r="AS210" i="25"/>
  <c r="AF245" i="25"/>
  <c r="AE245" i="25"/>
  <c r="AF68" i="25"/>
  <c r="AE68" i="25"/>
  <c r="BW132" i="24"/>
  <c r="AF231" i="25"/>
  <c r="AE231" i="25"/>
  <c r="AV34" i="24"/>
  <c r="AT34" i="24"/>
  <c r="AV6" i="24"/>
  <c r="AT6" i="24"/>
  <c r="AT238" i="24"/>
  <c r="AM177" i="25"/>
  <c r="CE177" i="25" s="1"/>
  <c r="AJ177" i="25"/>
  <c r="AV33" i="24"/>
  <c r="AT33" i="24"/>
  <c r="AT271" i="24"/>
  <c r="AK239" i="24"/>
  <c r="AN239" i="24"/>
  <c r="AK286" i="24"/>
  <c r="AN286" i="24"/>
  <c r="AS74" i="25"/>
  <c r="AK194" i="24"/>
  <c r="AN194" i="24"/>
  <c r="BA176" i="24"/>
  <c r="AF168" i="25"/>
  <c r="AE168" i="25"/>
  <c r="AM262" i="25"/>
  <c r="AJ262" i="25"/>
  <c r="AS15" i="25"/>
  <c r="AX14" i="25"/>
  <c r="AW14" i="25"/>
  <c r="BA289" i="24"/>
  <c r="B142" i="2"/>
  <c r="AS105" i="25"/>
  <c r="AK311" i="24"/>
  <c r="AN311" i="24"/>
  <c r="AF284" i="25"/>
  <c r="AE284" i="25"/>
  <c r="BA180" i="24"/>
  <c r="AM243" i="25"/>
  <c r="AJ243" i="25"/>
  <c r="AF19" i="25"/>
  <c r="AE19" i="25"/>
  <c r="AX174" i="25"/>
  <c r="AW174" i="25"/>
  <c r="AS241" i="25"/>
  <c r="AF175" i="25"/>
  <c r="AE175" i="25"/>
  <c r="AK46" i="24"/>
  <c r="AN46" i="24"/>
  <c r="BU46" i="24" s="1"/>
  <c r="AS65" i="25"/>
  <c r="AK149" i="24"/>
  <c r="AN149" i="24"/>
  <c r="AX158" i="25"/>
  <c r="AW158" i="25"/>
  <c r="BA136" i="24"/>
  <c r="AS285" i="25"/>
  <c r="AS44" i="24"/>
  <c r="BI44" i="24"/>
  <c r="BL44" i="24" s="1"/>
  <c r="BJ44" i="24"/>
  <c r="AQ44" i="24"/>
  <c r="AX44" i="24"/>
  <c r="BH44" i="24"/>
  <c r="BW44" i="24"/>
  <c r="AK310" i="24"/>
  <c r="AN310" i="24"/>
  <c r="AS145" i="25"/>
  <c r="AS25" i="25"/>
  <c r="AN298" i="24"/>
  <c r="AX298" i="24" s="1"/>
  <c r="AK298" i="24"/>
  <c r="AW148" i="25"/>
  <c r="AX148" i="25"/>
  <c r="AF164" i="25"/>
  <c r="AE164" i="25"/>
  <c r="AF156" i="25"/>
  <c r="AE156" i="25"/>
  <c r="AF7" i="25"/>
  <c r="AE7" i="25"/>
  <c r="AK117" i="24"/>
  <c r="AN117" i="24"/>
  <c r="AX117" i="24" s="1"/>
  <c r="AS130" i="25"/>
  <c r="AS128" i="25"/>
  <c r="AF301" i="25"/>
  <c r="AE301" i="25"/>
  <c r="BI292" i="24"/>
  <c r="BL292" i="24" s="1"/>
  <c r="AS292" i="24"/>
  <c r="AU292" i="24" s="1"/>
  <c r="BB292" i="24" s="1"/>
  <c r="AQ292" i="24"/>
  <c r="BJ292" i="24"/>
  <c r="AK51" i="24"/>
  <c r="AN51" i="24"/>
  <c r="BH51" i="24" s="1"/>
  <c r="AF228" i="25"/>
  <c r="AE228" i="25"/>
  <c r="AS193" i="25"/>
  <c r="AN135" i="24"/>
  <c r="CE135" i="24" s="1"/>
  <c r="AK135" i="24"/>
  <c r="BA186" i="24"/>
  <c r="AK278" i="24"/>
  <c r="AN278" i="24"/>
  <c r="AK251" i="24"/>
  <c r="AN251" i="24"/>
  <c r="AS197" i="25"/>
  <c r="AW96" i="25"/>
  <c r="AX96" i="25"/>
  <c r="AJ94" i="25"/>
  <c r="AM94" i="25"/>
  <c r="AK47" i="24"/>
  <c r="AN47" i="24"/>
  <c r="BU47" i="24" s="1"/>
  <c r="AN205" i="24"/>
  <c r="CE205" i="24" s="1"/>
  <c r="AK205" i="24"/>
  <c r="BA313" i="24"/>
  <c r="AS165" i="25"/>
  <c r="AF311" i="25"/>
  <c r="AE311" i="25"/>
  <c r="BA127" i="24"/>
  <c r="BI22" i="24"/>
  <c r="BL22" i="24" s="1"/>
  <c r="AS22" i="24"/>
  <c r="AU22" i="24" s="1"/>
  <c r="BB22" i="24" s="1"/>
  <c r="BJ22" i="24"/>
  <c r="AQ22" i="24"/>
  <c r="BA230" i="24"/>
  <c r="AF313" i="25"/>
  <c r="AE313" i="25"/>
  <c r="AN43" i="24"/>
  <c r="BU43" i="24" s="1"/>
  <c r="AK43" i="24"/>
  <c r="BA302" i="24"/>
  <c r="AJ82" i="25"/>
  <c r="AM82" i="25"/>
  <c r="CE82" i="25" s="1"/>
  <c r="BA310" i="24"/>
  <c r="AS81" i="25"/>
  <c r="AF88" i="25"/>
  <c r="AE88" i="25"/>
  <c r="AK165" i="24"/>
  <c r="AN165" i="24"/>
  <c r="AS141" i="25"/>
  <c r="AT296" i="24"/>
  <c r="AS85" i="25"/>
  <c r="AN23" i="24"/>
  <c r="BU23" i="24" s="1"/>
  <c r="AK23" i="24"/>
  <c r="AM170" i="25"/>
  <c r="CE170" i="25" s="1"/>
  <c r="AJ170" i="25"/>
  <c r="AT125" i="24"/>
  <c r="AT269" i="24"/>
  <c r="AR129" i="25"/>
  <c r="BG129" i="25"/>
  <c r="BJ129" i="25" s="1"/>
  <c r="AP129" i="25"/>
  <c r="BH129" i="25"/>
  <c r="BW129" i="25"/>
  <c r="BU129" i="25"/>
  <c r="BF129" i="25"/>
  <c r="AK80" i="24"/>
  <c r="AN80" i="24"/>
  <c r="AF250" i="25"/>
  <c r="AE250" i="25"/>
  <c r="AS298" i="25"/>
  <c r="AK152" i="24"/>
  <c r="AN152" i="24"/>
  <c r="AX152" i="24" s="1"/>
  <c r="AS142" i="24"/>
  <c r="AU142" i="24" s="1"/>
  <c r="BB142" i="24" s="1"/>
  <c r="BI142" i="24"/>
  <c r="BL142" i="24" s="1"/>
  <c r="BJ142" i="24"/>
  <c r="AQ142" i="24"/>
  <c r="AJ314" i="25"/>
  <c r="AM314" i="25"/>
  <c r="AF299" i="25"/>
  <c r="AE299" i="25"/>
  <c r="AN312" i="24"/>
  <c r="AK312" i="24"/>
  <c r="AS157" i="25"/>
  <c r="AK223" i="24"/>
  <c r="AN223" i="24"/>
  <c r="AF218" i="25"/>
  <c r="AE218" i="25"/>
  <c r="AS61" i="25"/>
  <c r="BA278" i="24"/>
  <c r="AM273" i="25"/>
  <c r="AJ273" i="25"/>
  <c r="AS302" i="25"/>
  <c r="BA246" i="24"/>
  <c r="AX178" i="25"/>
  <c r="AW178" i="25"/>
  <c r="AF61" i="25"/>
  <c r="AE61" i="25"/>
  <c r="AM283" i="25"/>
  <c r="CE283" i="25" s="1"/>
  <c r="AJ283" i="25"/>
  <c r="AF176" i="25"/>
  <c r="AE176" i="25"/>
  <c r="AK123" i="24"/>
  <c r="AN123" i="24"/>
  <c r="BU123" i="24" s="1"/>
  <c r="AK137" i="24"/>
  <c r="AN137" i="24"/>
  <c r="AN272" i="24"/>
  <c r="AK272" i="24"/>
  <c r="AF249" i="25"/>
  <c r="AE249" i="25"/>
  <c r="AS279" i="25"/>
  <c r="AF288" i="25"/>
  <c r="AE288" i="25"/>
  <c r="AT273" i="24"/>
  <c r="AN6" i="24"/>
  <c r="AX6" i="24" s="1"/>
  <c r="AK6" i="24"/>
  <c r="AK266" i="24"/>
  <c r="AN266" i="24"/>
  <c r="BU266" i="24" s="1"/>
  <c r="AN145" i="24"/>
  <c r="AX145" i="24" s="1"/>
  <c r="AK145" i="24"/>
  <c r="AF264" i="25"/>
  <c r="AE264" i="25"/>
  <c r="AK181" i="24"/>
  <c r="AN181" i="24"/>
  <c r="AJ238" i="25"/>
  <c r="AM238" i="25"/>
  <c r="BA244" i="24"/>
  <c r="AF73" i="25"/>
  <c r="AE73" i="25"/>
  <c r="AF80" i="25"/>
  <c r="AE80" i="25"/>
  <c r="AS101" i="25"/>
  <c r="AF144" i="25"/>
  <c r="AE144" i="25"/>
  <c r="AN8" i="24"/>
  <c r="BW8" i="24" s="1"/>
  <c r="AK8" i="24"/>
  <c r="AN94" i="24"/>
  <c r="BU94" i="24" s="1"/>
  <c r="AK94" i="24"/>
  <c r="AV12" i="24"/>
  <c r="AT12" i="24"/>
  <c r="AV37" i="24"/>
  <c r="AT37" i="24"/>
  <c r="AW167" i="25"/>
  <c r="AX167" i="25"/>
  <c r="AJ306" i="25"/>
  <c r="AM306" i="25"/>
  <c r="CE306" i="25" s="1"/>
  <c r="AK289" i="24"/>
  <c r="AN289" i="24"/>
  <c r="AJ95" i="25"/>
  <c r="AM95" i="25"/>
  <c r="AS223" i="25"/>
  <c r="AF252" i="25"/>
  <c r="AE252" i="25"/>
  <c r="AF163" i="25"/>
  <c r="AE163" i="25"/>
  <c r="AK144" i="24"/>
  <c r="AN144" i="24"/>
  <c r="AK42" i="24"/>
  <c r="AN42" i="24"/>
  <c r="BU42" i="24" s="1"/>
  <c r="AN122" i="24"/>
  <c r="AK122" i="24"/>
  <c r="AS133" i="25"/>
  <c r="AF210" i="25"/>
  <c r="AE210" i="25"/>
  <c r="BU132" i="24"/>
  <c r="AK198" i="24"/>
  <c r="AN198" i="24"/>
  <c r="AK210" i="24"/>
  <c r="AN210" i="24"/>
  <c r="CE210" i="24" s="1"/>
  <c r="AK161" i="24"/>
  <c r="AN161" i="24"/>
  <c r="CE161" i="24" s="1"/>
  <c r="AN270" i="24"/>
  <c r="AK270" i="24"/>
  <c r="AN255" i="24"/>
  <c r="AK255" i="24"/>
  <c r="AS98" i="25"/>
  <c r="AS209" i="25"/>
  <c r="AT260" i="24"/>
  <c r="AF74" i="25"/>
  <c r="AE74" i="25"/>
  <c r="AS150" i="25"/>
  <c r="AS188" i="25"/>
  <c r="AF15" i="25"/>
  <c r="AE15" i="25"/>
  <c r="AK172" i="24"/>
  <c r="AN172" i="24"/>
  <c r="AJ148" i="25"/>
  <c r="AM148" i="25"/>
  <c r="AF105" i="25"/>
  <c r="AE105" i="25"/>
  <c r="AN52" i="24"/>
  <c r="BU52" i="24" s="1"/>
  <c r="AK52" i="24"/>
  <c r="BA173" i="24"/>
  <c r="BA287" i="24"/>
  <c r="AK258" i="24"/>
  <c r="AN258" i="24"/>
  <c r="AX258" i="24" s="1"/>
  <c r="BA159" i="24"/>
  <c r="AF241" i="25"/>
  <c r="AE241" i="25"/>
  <c r="AK98" i="24"/>
  <c r="AN98" i="24"/>
  <c r="AN127" i="24"/>
  <c r="AK127" i="24"/>
  <c r="AS47" i="25"/>
  <c r="AF65" i="25"/>
  <c r="AE65" i="25"/>
  <c r="AK10" i="24"/>
  <c r="AN10" i="24"/>
  <c r="BU10" i="24" s="1"/>
  <c r="BI236" i="24"/>
  <c r="BL236" i="24" s="1"/>
  <c r="AS236" i="24"/>
  <c r="AU236" i="24" s="1"/>
  <c r="BB236" i="24" s="1"/>
  <c r="BJ236" i="24"/>
  <c r="AQ236" i="24"/>
  <c r="AF285" i="25"/>
  <c r="AE285" i="25"/>
  <c r="AF145" i="25"/>
  <c r="AE145" i="25"/>
  <c r="AN177" i="24"/>
  <c r="AK177" i="24"/>
  <c r="BA210" i="24"/>
  <c r="AF25" i="25"/>
  <c r="AE25" i="25"/>
  <c r="AS119" i="25"/>
  <c r="AS315" i="25"/>
  <c r="AF130" i="25"/>
  <c r="AE130" i="25"/>
  <c r="AF128" i="25"/>
  <c r="AE128" i="25"/>
  <c r="AN35" i="24"/>
  <c r="AX35" i="24" s="1"/>
  <c r="AK35" i="24"/>
  <c r="AF193" i="25"/>
  <c r="AE193" i="25"/>
  <c r="AK285" i="24"/>
  <c r="AN285" i="24"/>
  <c r="AN228" i="24"/>
  <c r="BW228" i="24" s="1"/>
  <c r="AK228" i="24"/>
  <c r="BA250" i="24"/>
  <c r="AS162" i="24"/>
  <c r="BI162" i="24"/>
  <c r="BL162" i="24" s="1"/>
  <c r="BJ162" i="24"/>
  <c r="AQ162" i="24"/>
  <c r="BW162" i="24"/>
  <c r="AX162" i="24"/>
  <c r="BH162" i="24"/>
  <c r="BU162" i="24"/>
  <c r="AS260" i="25"/>
  <c r="AF197" i="25"/>
  <c r="AE197" i="25"/>
  <c r="AN227" i="24"/>
  <c r="AK227" i="24"/>
  <c r="AT274" i="24"/>
  <c r="AF165" i="25"/>
  <c r="AE165" i="25"/>
  <c r="AS268" i="25"/>
  <c r="AK134" i="24"/>
  <c r="AN134" i="24"/>
  <c r="BA182" i="24"/>
  <c r="AN93" i="24"/>
  <c r="BU93" i="24" s="1"/>
  <c r="AK93" i="24"/>
  <c r="AJ161" i="25"/>
  <c r="AM161" i="25"/>
  <c r="CE161" i="25" s="1"/>
  <c r="AX30" i="25"/>
  <c r="AW30" i="25"/>
  <c r="AN74" i="24"/>
  <c r="CE74" i="24" s="1"/>
  <c r="AK74" i="24"/>
  <c r="AK71" i="24"/>
  <c r="AN71" i="24"/>
  <c r="BU71" i="24" s="1"/>
  <c r="AF81" i="25"/>
  <c r="AE81" i="25"/>
  <c r="AF141" i="25"/>
  <c r="AE141" i="25"/>
  <c r="AK99" i="24"/>
  <c r="AN99" i="24"/>
  <c r="BU99" i="24" s="1"/>
  <c r="AF85" i="25"/>
  <c r="AE85" i="25"/>
  <c r="AN103" i="24"/>
  <c r="AK103" i="24"/>
  <c r="AS286" i="25"/>
  <c r="AS271" i="25"/>
  <c r="AN130" i="24"/>
  <c r="BW130" i="24" s="1"/>
  <c r="AK130" i="24"/>
  <c r="AM178" i="25"/>
  <c r="AJ178" i="25"/>
  <c r="BA178" i="24"/>
  <c r="AS278" i="25"/>
  <c r="AV58" i="24"/>
  <c r="AT58" i="24"/>
  <c r="AS166" i="25"/>
  <c r="AX62" i="25"/>
  <c r="AW62" i="25"/>
  <c r="AM204" i="25"/>
  <c r="AJ204" i="25"/>
  <c r="AT249" i="24"/>
  <c r="AF298" i="25"/>
  <c r="AE298" i="25"/>
  <c r="AK100" i="24"/>
  <c r="AN100" i="24"/>
  <c r="BU100" i="24" s="1"/>
  <c r="AS76" i="25"/>
  <c r="AK12" i="24"/>
  <c r="AN12" i="24"/>
  <c r="AX12" i="24" s="1"/>
  <c r="AF157" i="25"/>
  <c r="AE157" i="25"/>
  <c r="BI45" i="24"/>
  <c r="BL45" i="24" s="1"/>
  <c r="AS45" i="24"/>
  <c r="AQ45" i="24"/>
  <c r="BJ45" i="24"/>
  <c r="BH45" i="24"/>
  <c r="BW45" i="24"/>
  <c r="AX45" i="24"/>
  <c r="AJ192" i="25"/>
  <c r="AM192" i="25"/>
  <c r="CE192" i="25" s="1"/>
  <c r="AF112" i="25"/>
  <c r="AE112" i="25"/>
  <c r="BA251" i="24"/>
  <c r="AK68" i="24"/>
  <c r="AN68" i="24"/>
  <c r="BU68" i="24" s="1"/>
  <c r="AK225" i="24"/>
  <c r="AN225" i="24"/>
  <c r="AX225" i="24" s="1"/>
  <c r="AS83" i="25"/>
  <c r="AN9" i="24"/>
  <c r="BW9" i="24" s="1"/>
  <c r="AK9" i="24"/>
  <c r="AS69" i="25"/>
  <c r="AK297" i="24"/>
  <c r="AN297" i="24"/>
  <c r="BW297" i="24" s="1"/>
  <c r="AS84" i="25"/>
  <c r="AS184" i="25"/>
  <c r="AM167" i="25"/>
  <c r="AJ167" i="25"/>
  <c r="AF279" i="25"/>
  <c r="AE279" i="25"/>
  <c r="AS303" i="25"/>
  <c r="BA168" i="24"/>
  <c r="AS117" i="25"/>
  <c r="AN34" i="24"/>
  <c r="BH34" i="24" s="1"/>
  <c r="AK34" i="24"/>
  <c r="AT147" i="24"/>
  <c r="AT130" i="24"/>
  <c r="AK64" i="24"/>
  <c r="AN64" i="24"/>
  <c r="BU64" i="24" s="1"/>
  <c r="BA67" i="24"/>
  <c r="AF101" i="25"/>
  <c r="AE101" i="25"/>
  <c r="AS139" i="25"/>
  <c r="AS297" i="25"/>
  <c r="AS216" i="25"/>
  <c r="AN115" i="24"/>
  <c r="AK115" i="24"/>
  <c r="AJ261" i="25"/>
  <c r="AM261" i="25"/>
  <c r="AK222" i="24"/>
  <c r="AN222" i="24"/>
  <c r="AK173" i="24"/>
  <c r="AN173" i="24"/>
  <c r="CE173" i="24" s="1"/>
  <c r="AF223" i="25"/>
  <c r="AE223" i="25"/>
  <c r="AK256" i="24"/>
  <c r="AN256" i="24"/>
  <c r="AS103" i="25"/>
  <c r="AS194" i="25"/>
  <c r="AT219" i="24"/>
  <c r="AR143" i="25"/>
  <c r="BG143" i="25"/>
  <c r="BJ143" i="25" s="1"/>
  <c r="AP143" i="25"/>
  <c r="BH143" i="25"/>
  <c r="BF143" i="25"/>
  <c r="BU143" i="25"/>
  <c r="BW143" i="25"/>
  <c r="AS151" i="25"/>
  <c r="AS203" i="25"/>
  <c r="AF133" i="25"/>
  <c r="AE133" i="25"/>
  <c r="AN143" i="24"/>
  <c r="AK143" i="24"/>
  <c r="AV48" i="24"/>
  <c r="AT48" i="24"/>
  <c r="AK136" i="24"/>
  <c r="AN136" i="24"/>
  <c r="BH132" i="24"/>
  <c r="AT114" i="24"/>
  <c r="AN118" i="24"/>
  <c r="AK118" i="24"/>
  <c r="AN140" i="24"/>
  <c r="AK140" i="24"/>
  <c r="AS233" i="25"/>
  <c r="AN158" i="24"/>
  <c r="AK158" i="24"/>
  <c r="AS160" i="25"/>
  <c r="BA167" i="24"/>
  <c r="AF98" i="25"/>
  <c r="AE98" i="25"/>
  <c r="AS16" i="25"/>
  <c r="AF209" i="25"/>
  <c r="AE209" i="25"/>
  <c r="BA193" i="24"/>
  <c r="AJ296" i="25"/>
  <c r="AM296" i="25"/>
  <c r="AN170" i="24"/>
  <c r="CE170" i="24" s="1"/>
  <c r="AK170" i="24"/>
  <c r="AK304" i="24"/>
  <c r="AN304" i="24"/>
  <c r="AS294" i="24"/>
  <c r="BI294" i="24"/>
  <c r="BL294" i="24" s="1"/>
  <c r="BJ294" i="24"/>
  <c r="AQ294" i="24"/>
  <c r="AX294" i="24"/>
  <c r="BH294" i="24"/>
  <c r="BW294" i="24"/>
  <c r="BU294" i="24"/>
  <c r="AF150" i="25"/>
  <c r="AE150" i="25"/>
  <c r="AS205" i="25"/>
  <c r="AN186" i="24"/>
  <c r="CE186" i="24" s="1"/>
  <c r="AK186" i="24"/>
  <c r="AF188" i="25"/>
  <c r="AE188" i="25"/>
  <c r="AK250" i="24"/>
  <c r="AN250" i="24"/>
  <c r="AN308" i="24"/>
  <c r="AK308" i="24"/>
  <c r="BA166" i="24"/>
  <c r="BA199" i="24"/>
  <c r="BA202" i="24"/>
  <c r="BA222" i="24"/>
  <c r="AS8" i="25"/>
  <c r="AN313" i="24"/>
  <c r="AK313" i="24"/>
  <c r="AS219" i="25"/>
  <c r="BA229" i="24"/>
  <c r="AF47" i="25"/>
  <c r="AE47" i="25"/>
  <c r="AN163" i="24"/>
  <c r="AK163" i="24"/>
  <c r="BA146" i="24"/>
  <c r="AS142" i="25"/>
  <c r="AT112" i="24"/>
  <c r="BA198" i="24"/>
  <c r="BA118" i="24"/>
  <c r="AF119" i="25"/>
  <c r="AE119" i="25"/>
  <c r="AF315" i="25"/>
  <c r="AE315" i="25"/>
  <c r="BA158" i="24"/>
  <c r="AK148" i="24"/>
  <c r="AN148" i="24"/>
  <c r="BH148" i="24" s="1"/>
  <c r="AK24" i="24"/>
  <c r="AN24" i="24"/>
  <c r="BU24" i="24" s="1"/>
  <c r="AS140" i="25"/>
  <c r="AK133" i="24"/>
  <c r="AN133" i="24"/>
  <c r="BU133" i="24" s="1"/>
  <c r="BA170" i="24"/>
  <c r="AN97" i="24"/>
  <c r="BU97" i="24" s="1"/>
  <c r="AK97" i="24"/>
  <c r="BA201" i="24"/>
  <c r="AX114" i="25"/>
  <c r="AW114" i="25"/>
  <c r="AF260" i="25"/>
  <c r="AE260" i="25"/>
  <c r="BA276" i="24"/>
  <c r="BA179" i="24"/>
  <c r="AN141" i="24"/>
  <c r="AK141" i="24"/>
  <c r="AK49" i="24"/>
  <c r="AN49" i="24"/>
  <c r="BU49" i="24" s="1"/>
  <c r="AK184" i="24"/>
  <c r="AN184" i="24"/>
  <c r="AS256" i="25"/>
  <c r="AF268" i="25"/>
  <c r="AE268" i="25"/>
  <c r="AK50" i="24"/>
  <c r="AN50" i="24"/>
  <c r="BU50" i="24" s="1"/>
  <c r="AS50" i="25"/>
  <c r="AK40" i="24"/>
  <c r="AN40" i="24"/>
  <c r="BU40" i="24" s="1"/>
  <c r="AN87" i="24"/>
  <c r="BU87" i="24" s="1"/>
  <c r="AK87" i="24"/>
  <c r="AK293" i="24"/>
  <c r="AN293" i="24"/>
  <c r="AS115" i="25"/>
  <c r="AJ11" i="25"/>
  <c r="AM11" i="25"/>
  <c r="AN73" i="24"/>
  <c r="AK73" i="24"/>
  <c r="AM232" i="25"/>
  <c r="AJ232" i="25"/>
  <c r="AV28" i="24"/>
  <c r="AT28" i="24"/>
  <c r="AN76" i="24"/>
  <c r="BU76" i="24" s="1"/>
  <c r="AK76" i="24"/>
  <c r="AS308" i="25"/>
  <c r="AK139" i="24"/>
  <c r="AN139" i="24"/>
  <c r="CE139" i="24" s="1"/>
  <c r="AF286" i="25"/>
  <c r="AE286" i="25"/>
  <c r="AF271" i="25"/>
  <c r="AE271" i="25"/>
  <c r="AT148" i="24"/>
  <c r="AF278" i="25"/>
  <c r="AE278" i="25"/>
  <c r="AF166" i="25"/>
  <c r="AE166" i="25"/>
  <c r="AN306" i="24"/>
  <c r="CE306" i="24" s="1"/>
  <c r="AK306" i="24"/>
  <c r="AV35" i="24"/>
  <c r="AT35" i="24"/>
  <c r="AV26" i="24"/>
  <c r="AT26" i="24"/>
  <c r="BI119" i="24"/>
  <c r="BL119" i="24" s="1"/>
  <c r="AS119" i="24"/>
  <c r="AQ119" i="24"/>
  <c r="BJ119" i="24"/>
  <c r="AX119" i="24"/>
  <c r="BH119" i="24"/>
  <c r="BW119" i="24"/>
  <c r="BU119" i="24"/>
  <c r="AF76" i="25"/>
  <c r="AE76" i="25"/>
  <c r="AS134" i="25"/>
  <c r="BA138" i="24"/>
  <c r="AW11" i="25"/>
  <c r="AX11" i="25"/>
  <c r="BI160" i="24"/>
  <c r="BL160" i="24" s="1"/>
  <c r="AS160" i="24"/>
  <c r="BJ160" i="24"/>
  <c r="AQ160" i="24"/>
  <c r="BW160" i="24"/>
  <c r="BU160" i="24"/>
  <c r="AX160" i="24"/>
  <c r="BH160" i="24"/>
  <c r="AF302" i="25"/>
  <c r="AE302" i="25"/>
  <c r="AN207" i="24"/>
  <c r="AK207" i="24"/>
  <c r="BA205" i="24"/>
  <c r="AS122" i="25"/>
  <c r="AS153" i="25"/>
  <c r="AF83" i="25"/>
  <c r="AE83" i="25"/>
  <c r="AS310" i="25"/>
  <c r="AS217" i="25"/>
  <c r="AS171" i="25"/>
  <c r="AF69" i="25"/>
  <c r="AE69" i="25"/>
  <c r="AF84" i="25"/>
  <c r="AE84" i="25"/>
  <c r="AF184" i="25"/>
  <c r="AE184" i="25"/>
  <c r="AS22" i="25"/>
  <c r="AS56" i="25"/>
  <c r="AK114" i="24"/>
  <c r="AN114" i="24"/>
  <c r="BU114" i="24" s="1"/>
  <c r="AS207" i="25"/>
  <c r="AF303" i="25"/>
  <c r="AE303" i="25"/>
  <c r="AS55" i="25"/>
  <c r="AF117" i="25"/>
  <c r="AE117" i="25"/>
  <c r="AJ186" i="25"/>
  <c r="AM186" i="25"/>
  <c r="CE186" i="25" s="1"/>
  <c r="AN315" i="24"/>
  <c r="AK315" i="24"/>
  <c r="BA306" i="24"/>
  <c r="AK259" i="24"/>
  <c r="AN259" i="24"/>
  <c r="BH259" i="24" s="1"/>
  <c r="AS149" i="25"/>
  <c r="AF139" i="25"/>
  <c r="AE139" i="25"/>
  <c r="AK260" i="24"/>
  <c r="AN260" i="24"/>
  <c r="AF297" i="25"/>
  <c r="AE297" i="25"/>
  <c r="AN84" i="24"/>
  <c r="BU84" i="24" s="1"/>
  <c r="AK84" i="24"/>
  <c r="AK157" i="24"/>
  <c r="AN157" i="24"/>
  <c r="CE157" i="24" s="1"/>
  <c r="AF216" i="25"/>
  <c r="AE216" i="25"/>
  <c r="AT284" i="24"/>
  <c r="AN166" i="24"/>
  <c r="CE166" i="24" s="1"/>
  <c r="AK166" i="24"/>
  <c r="AS7" i="24"/>
  <c r="BI7" i="24"/>
  <c r="BL7" i="24" s="1"/>
  <c r="BJ7" i="24"/>
  <c r="AQ7" i="24"/>
  <c r="BW7" i="24"/>
  <c r="AX7" i="24"/>
  <c r="BH7" i="24"/>
  <c r="AK31" i="24"/>
  <c r="AN31" i="24"/>
  <c r="BU31" i="24" s="1"/>
  <c r="BA209" i="24"/>
  <c r="AK291" i="24"/>
  <c r="AN291" i="24"/>
  <c r="AT299" i="24"/>
  <c r="AN180" i="24"/>
  <c r="CE180" i="24" s="1"/>
  <c r="AK180" i="24"/>
  <c r="AF103" i="25"/>
  <c r="AE103" i="25"/>
  <c r="AF194" i="25"/>
  <c r="AE194" i="25"/>
  <c r="AS38" i="25"/>
  <c r="AS35" i="25"/>
  <c r="AX186" i="25"/>
  <c r="AW186" i="25"/>
  <c r="AK88" i="24"/>
  <c r="AN88" i="24"/>
  <c r="AF151" i="25"/>
  <c r="AE151" i="25"/>
  <c r="AF203" i="25"/>
  <c r="AE203" i="25"/>
  <c r="AT123" i="24"/>
  <c r="AT297" i="24"/>
  <c r="AS27" i="25"/>
  <c r="AN208" i="24"/>
  <c r="CE208" i="24" s="1"/>
  <c r="AK208" i="24"/>
  <c r="BA137" i="24"/>
  <c r="AW192" i="25"/>
  <c r="AX192" i="25"/>
  <c r="AX132" i="24"/>
  <c r="AK85" i="24"/>
  <c r="AN85" i="24"/>
  <c r="BU85" i="24" s="1"/>
  <c r="AS64" i="25"/>
  <c r="AV19" i="24"/>
  <c r="AT19" i="24"/>
  <c r="AF233" i="25"/>
  <c r="AE233" i="25"/>
  <c r="AN309" i="24"/>
  <c r="AK309" i="24"/>
  <c r="AS172" i="25"/>
  <c r="AN82" i="24"/>
  <c r="BU82" i="24" s="1"/>
  <c r="AK82" i="24"/>
  <c r="BA174" i="24"/>
  <c r="AF160" i="25"/>
  <c r="AE160" i="25"/>
  <c r="AT237" i="24"/>
  <c r="AF16" i="25"/>
  <c r="AE16" i="25"/>
  <c r="AM158" i="25"/>
  <c r="AJ158" i="25"/>
  <c r="AK77" i="24"/>
  <c r="AN77" i="24"/>
  <c r="BU77" i="24" s="1"/>
  <c r="AK245" i="24"/>
  <c r="AN245" i="24"/>
  <c r="AM13" i="25"/>
  <c r="AJ13" i="25"/>
  <c r="AS51" i="25"/>
  <c r="AS304" i="25"/>
  <c r="AF205" i="25"/>
  <c r="AE205" i="25"/>
  <c r="AN65" i="24"/>
  <c r="BU65" i="24" s="1"/>
  <c r="AK65" i="24"/>
  <c r="AS78" i="25"/>
  <c r="AK14" i="24"/>
  <c r="AN14" i="24"/>
  <c r="BU14" i="24" s="1"/>
  <c r="AM189" i="25"/>
  <c r="CE189" i="25" s="1"/>
  <c r="AF8" i="25"/>
  <c r="AE8" i="25"/>
  <c r="AS52" i="25"/>
  <c r="AS126" i="25"/>
  <c r="BA300" i="24"/>
  <c r="BA144" i="24"/>
  <c r="AS309" i="25"/>
  <c r="AF219" i="25"/>
  <c r="AE219" i="25"/>
  <c r="AK262" i="24"/>
  <c r="AN262" i="24"/>
  <c r="AS23" i="25"/>
  <c r="AN241" i="24"/>
  <c r="AK241" i="24"/>
  <c r="AN203" i="24"/>
  <c r="CE203" i="24" s="1"/>
  <c r="AK203" i="24"/>
  <c r="AK302" i="24"/>
  <c r="AN302" i="24"/>
  <c r="CE302" i="24" s="1"/>
  <c r="AF142" i="25"/>
  <c r="AE142" i="25"/>
  <c r="AK95" i="24"/>
  <c r="AN95" i="24"/>
  <c r="BU95" i="24" s="1"/>
  <c r="AK53" i="24"/>
  <c r="AN53" i="24"/>
  <c r="BU53" i="24" s="1"/>
  <c r="AK280" i="24"/>
  <c r="AN280" i="24"/>
  <c r="AX280" i="24" s="1"/>
  <c r="AN28" i="24"/>
  <c r="BU28" i="24" s="1"/>
  <c r="AK28" i="24"/>
  <c r="AN296" i="24"/>
  <c r="AK296" i="24"/>
  <c r="BA277" i="24"/>
  <c r="BA270" i="24"/>
  <c r="AK121" i="24"/>
  <c r="AN121" i="24"/>
  <c r="BW121" i="24" s="1"/>
  <c r="AS316" i="25"/>
  <c r="AN189" i="24"/>
  <c r="CE189" i="24" s="1"/>
  <c r="AK189" i="24"/>
  <c r="AJ280" i="25"/>
  <c r="AM280" i="25"/>
  <c r="CE280" i="25" s="1"/>
  <c r="AN178" i="24"/>
  <c r="CE178" i="24" s="1"/>
  <c r="AK178" i="24"/>
  <c r="AK269" i="24"/>
  <c r="AN269" i="24"/>
  <c r="AX269" i="24" s="1"/>
  <c r="AF140" i="25"/>
  <c r="AE140" i="25"/>
  <c r="AN111" i="24"/>
  <c r="AK111" i="24"/>
  <c r="AS72" i="25"/>
  <c r="AN249" i="24"/>
  <c r="AX249" i="24" s="1"/>
  <c r="AK249" i="24"/>
  <c r="BA304" i="24"/>
  <c r="AS75" i="25"/>
  <c r="AW190" i="25"/>
  <c r="AX190" i="25"/>
  <c r="AJ198" i="25"/>
  <c r="AM198" i="25"/>
  <c r="AS242" i="25"/>
  <c r="AJ147" i="25"/>
  <c r="AM147" i="25"/>
  <c r="CE147" i="25" s="1"/>
  <c r="BA308" i="24"/>
  <c r="AK206" i="24"/>
  <c r="AN206" i="24"/>
  <c r="AN36" i="24"/>
  <c r="BU36" i="24" s="1"/>
  <c r="AK36" i="24"/>
  <c r="AF256" i="25"/>
  <c r="AE256" i="25"/>
  <c r="AS224" i="25"/>
  <c r="AS263" i="25"/>
  <c r="AF50" i="25"/>
  <c r="AE50" i="25"/>
  <c r="AF115" i="25"/>
  <c r="AE115" i="25"/>
  <c r="AK16" i="24"/>
  <c r="AN16" i="24"/>
  <c r="BU16" i="24" s="1"/>
  <c r="AT298" i="24"/>
  <c r="AF308" i="25"/>
  <c r="AE308" i="25"/>
  <c r="AN102" i="24"/>
  <c r="CE102" i="24" s="1"/>
  <c r="AK102" i="24"/>
  <c r="AX94" i="25"/>
  <c r="AW94" i="25"/>
  <c r="AJ282" i="25"/>
  <c r="AM282" i="25"/>
  <c r="AS24" i="25"/>
  <c r="AV51" i="24"/>
  <c r="AT51" i="24"/>
  <c r="AN66" i="24"/>
  <c r="BU66" i="24" s="1"/>
  <c r="AK66" i="24"/>
  <c r="AS48" i="25"/>
  <c r="AS152" i="25"/>
  <c r="AX161" i="25"/>
  <c r="AW161" i="25"/>
  <c r="AT228" i="24"/>
  <c r="AF134" i="25"/>
  <c r="AE134" i="25"/>
  <c r="AS222" i="25"/>
  <c r="AS253" i="25"/>
  <c r="BA221" i="24"/>
  <c r="AK265" i="24"/>
  <c r="AN265" i="24"/>
  <c r="AK32" i="24"/>
  <c r="AN32" i="24"/>
  <c r="BH32" i="24" s="1"/>
  <c r="AK267" i="24"/>
  <c r="AN267" i="24"/>
  <c r="AX267" i="24" s="1"/>
  <c r="AS182" i="25"/>
  <c r="AK120" i="24"/>
  <c r="AN120" i="24"/>
  <c r="BU120" i="24" s="1"/>
  <c r="BA141" i="24"/>
  <c r="AF122" i="25"/>
  <c r="AE122" i="25"/>
  <c r="AS40" i="25"/>
  <c r="BA150" i="24"/>
  <c r="AF182" i="25"/>
  <c r="AE182" i="25"/>
  <c r="AN283" i="24"/>
  <c r="BU283" i="24" s="1"/>
  <c r="AK283" i="24"/>
  <c r="BA217" i="24"/>
  <c r="BA292" i="24"/>
  <c r="AF153" i="25"/>
  <c r="AE153" i="25"/>
  <c r="BA234" i="24"/>
  <c r="AF310" i="25"/>
  <c r="AE310" i="25"/>
  <c r="AF217" i="25"/>
  <c r="AE217" i="25"/>
  <c r="AF171" i="25"/>
  <c r="AE171" i="25"/>
  <c r="AF22" i="25"/>
  <c r="AE22" i="25"/>
  <c r="AF56" i="25"/>
  <c r="AE56" i="25"/>
  <c r="AF207" i="25"/>
  <c r="AE207" i="25"/>
  <c r="AF55" i="25"/>
  <c r="AE55" i="25"/>
  <c r="AK129" i="24"/>
  <c r="AN129" i="24"/>
  <c r="AX129" i="24" s="1"/>
  <c r="AS146" i="25"/>
  <c r="AN238" i="24"/>
  <c r="BH238" i="24" s="1"/>
  <c r="AK238" i="24"/>
  <c r="AK18" i="24"/>
  <c r="AN18" i="24"/>
  <c r="BU18" i="24" s="1"/>
  <c r="AN174" i="24"/>
  <c r="AK174" i="24"/>
  <c r="AN237" i="24"/>
  <c r="BH237" i="24" s="1"/>
  <c r="AK237" i="24"/>
  <c r="AS10" i="25"/>
  <c r="AF149" i="25"/>
  <c r="AE149" i="25"/>
  <c r="AK247" i="24"/>
  <c r="AN247" i="24"/>
  <c r="AX247" i="24" s="1"/>
  <c r="AT152" i="24"/>
  <c r="AK314" i="24"/>
  <c r="AN314" i="24"/>
  <c r="AN59" i="24"/>
  <c r="BU59" i="24" s="1"/>
  <c r="AK59" i="24"/>
  <c r="AS236" i="25"/>
  <c r="BA312" i="24"/>
  <c r="AT120" i="24"/>
  <c r="AK151" i="24"/>
  <c r="AN151" i="24"/>
  <c r="CE151" i="24" s="1"/>
  <c r="AS17" i="25"/>
  <c r="AK287" i="24"/>
  <c r="AN287" i="24"/>
  <c r="AK159" i="24"/>
  <c r="AN159" i="24"/>
  <c r="AT283" i="24"/>
  <c r="AT128" i="24"/>
  <c r="AF38" i="25"/>
  <c r="AE38" i="25"/>
  <c r="AF35" i="25"/>
  <c r="AE35" i="25"/>
  <c r="AK92" i="24"/>
  <c r="AN92" i="24"/>
  <c r="CE92" i="24" s="1"/>
  <c r="AS190" i="24"/>
  <c r="BI190" i="24"/>
  <c r="BL190" i="24" s="1"/>
  <c r="AQ190" i="24"/>
  <c r="BJ190" i="24"/>
  <c r="BH190" i="24"/>
  <c r="BU190" i="24"/>
  <c r="BW190" i="24"/>
  <c r="AX190" i="24"/>
  <c r="AV56" i="24"/>
  <c r="AT56" i="24"/>
  <c r="AS225" i="25"/>
  <c r="AF27" i="25"/>
  <c r="AE27" i="25"/>
  <c r="AK277" i="24"/>
  <c r="AN277" i="24"/>
  <c r="CE277" i="24" s="1"/>
  <c r="AF64" i="25"/>
  <c r="AE64" i="25"/>
  <c r="AN187" i="24"/>
  <c r="AK187" i="24"/>
  <c r="AX92" i="25"/>
  <c r="AW92" i="25"/>
  <c r="AT129" i="24"/>
  <c r="AT235" i="24"/>
  <c r="AK268" i="24"/>
  <c r="AN268" i="24"/>
  <c r="AV18" i="24"/>
  <c r="AT18" i="24"/>
  <c r="AF172" i="25"/>
  <c r="AE172" i="25"/>
  <c r="AV20" i="24"/>
  <c r="AT20" i="24"/>
  <c r="AV30" i="24"/>
  <c r="AT30" i="24"/>
  <c r="BA181" i="24"/>
  <c r="AS123" i="25"/>
  <c r="BA315" i="24"/>
  <c r="AT259" i="24"/>
  <c r="AS200" i="25"/>
  <c r="AF51" i="25"/>
  <c r="AE51" i="25"/>
  <c r="AF304" i="25"/>
  <c r="AE304" i="25"/>
  <c r="AK204" i="24"/>
  <c r="AN204" i="24"/>
  <c r="CE204" i="24" s="1"/>
  <c r="AK138" i="24"/>
  <c r="AN138" i="24"/>
  <c r="AN81" i="24"/>
  <c r="AK81" i="24"/>
  <c r="BA115" i="24"/>
  <c r="AF78" i="25"/>
  <c r="AE78" i="25"/>
  <c r="AN131" i="24"/>
  <c r="AK131" i="24"/>
  <c r="BA288" i="24"/>
  <c r="AF52" i="25"/>
  <c r="AE52" i="25"/>
  <c r="AS57" i="25"/>
  <c r="AF126" i="25"/>
  <c r="AE126" i="25"/>
  <c r="AN69" i="24"/>
  <c r="BU69" i="24" s="1"/>
  <c r="AK69" i="24"/>
  <c r="AF309" i="25"/>
  <c r="AE309" i="25"/>
  <c r="AW173" i="25"/>
  <c r="AX173" i="25"/>
  <c r="AF23" i="25"/>
  <c r="AE23" i="25"/>
  <c r="AM201" i="25"/>
  <c r="AJ201" i="25"/>
  <c r="AX21" i="25"/>
  <c r="AW21" i="25"/>
  <c r="BA143" i="24"/>
  <c r="BA169" i="24"/>
  <c r="AJ71" i="25"/>
  <c r="AM71" i="25"/>
  <c r="CE71" i="25" s="1"/>
  <c r="AJ87" i="25"/>
  <c r="AM87" i="25"/>
  <c r="AK305" i="24"/>
  <c r="AN305" i="24"/>
  <c r="AX305" i="24" s="1"/>
  <c r="AS220" i="25"/>
  <c r="AF316" i="25"/>
  <c r="AE316" i="25"/>
  <c r="AS79" i="25"/>
  <c r="BA307" i="24"/>
  <c r="BA255" i="24"/>
  <c r="BA309" i="24"/>
  <c r="AN246" i="24"/>
  <c r="AK246" i="24"/>
  <c r="AS195" i="25"/>
  <c r="AS137" i="25"/>
  <c r="AF72" i="25"/>
  <c r="AE72" i="25"/>
  <c r="AF75" i="25"/>
  <c r="AE75" i="25"/>
  <c r="AX71" i="25"/>
  <c r="AW71" i="25"/>
  <c r="AJ30" i="25"/>
  <c r="AM30" i="25"/>
  <c r="AF242" i="25"/>
  <c r="AE242" i="25"/>
  <c r="BA275" i="24"/>
  <c r="BA194" i="24"/>
  <c r="AS39" i="25"/>
  <c r="AS49" i="25"/>
  <c r="BA254" i="24"/>
  <c r="BA172" i="24"/>
  <c r="AK221" i="24"/>
  <c r="AN221" i="24"/>
  <c r="BI264" i="24"/>
  <c r="BL264" i="24" s="1"/>
  <c r="AS264" i="24"/>
  <c r="AU264" i="24" s="1"/>
  <c r="BB264" i="24" s="1"/>
  <c r="AQ264" i="24"/>
  <c r="BJ264" i="24"/>
  <c r="AT258" i="24"/>
  <c r="AF224" i="25"/>
  <c r="AE224" i="25"/>
  <c r="BA262" i="24"/>
  <c r="AF263" i="25"/>
  <c r="AE263" i="25"/>
  <c r="BA163" i="24"/>
  <c r="AN154" i="24"/>
  <c r="AK154" i="24"/>
  <c r="AN75" i="24"/>
  <c r="BU75" i="24" s="1"/>
  <c r="AK75" i="24"/>
  <c r="BA303" i="24"/>
  <c r="AM267" i="25"/>
  <c r="AJ267" i="25"/>
  <c r="AK232" i="24"/>
  <c r="AN232" i="24"/>
  <c r="BU232" i="24" s="1"/>
  <c r="AT280" i="24"/>
  <c r="AS191" i="25"/>
  <c r="AN273" i="24"/>
  <c r="AX273" i="24" s="1"/>
  <c r="AK273" i="24"/>
  <c r="AS230" i="25"/>
  <c r="AN168" i="24"/>
  <c r="CE168" i="24" s="1"/>
  <c r="AK168" i="24"/>
  <c r="AK147" i="24"/>
  <c r="AN147" i="24"/>
  <c r="AR110" i="25"/>
  <c r="BG110" i="25"/>
  <c r="BJ110" i="25" s="1"/>
  <c r="BH110" i="25"/>
  <c r="AP110" i="25"/>
  <c r="BU110" i="25"/>
  <c r="BW110" i="25"/>
  <c r="BF110" i="25"/>
  <c r="AK60" i="24"/>
  <c r="AN60" i="24"/>
  <c r="BU60" i="24" s="1"/>
  <c r="AN192" i="24"/>
  <c r="AK192" i="24"/>
  <c r="AV24" i="24"/>
  <c r="AT24" i="24"/>
  <c r="AV54" i="24"/>
  <c r="AT54" i="24"/>
  <c r="AK67" i="24"/>
  <c r="AN67" i="24"/>
  <c r="BU67" i="24" s="1"/>
  <c r="AF24" i="25"/>
  <c r="AE24" i="25"/>
  <c r="AS187" i="25"/>
  <c r="AF48" i="25"/>
  <c r="AE48" i="25"/>
  <c r="AF152" i="25"/>
  <c r="AE152" i="25"/>
  <c r="AS125" i="25"/>
  <c r="AK78" i="24"/>
  <c r="AN78" i="24"/>
  <c r="BU78" i="24" s="1"/>
  <c r="AX82" i="25"/>
  <c r="AW82" i="25"/>
  <c r="AN242" i="24"/>
  <c r="AK242" i="24"/>
  <c r="AS111" i="25"/>
  <c r="AF222" i="25"/>
  <c r="AE222" i="25"/>
  <c r="AF253" i="25"/>
  <c r="AE253" i="25"/>
  <c r="BU73" i="24" l="1"/>
  <c r="CE73" i="24"/>
  <c r="AX56" i="24"/>
  <c r="CE56" i="24"/>
  <c r="AP198" i="25"/>
  <c r="CE198" i="25"/>
  <c r="BW299" i="24"/>
  <c r="CE299" i="24"/>
  <c r="BU80" i="24"/>
  <c r="CE80" i="24"/>
  <c r="BU88" i="24"/>
  <c r="CE88" i="24"/>
  <c r="BU104" i="24"/>
  <c r="CE104" i="24"/>
  <c r="AP204" i="25"/>
  <c r="CE204" i="25"/>
  <c r="BU81" i="24"/>
  <c r="CE81" i="24"/>
  <c r="BU98" i="24"/>
  <c r="CE98" i="24"/>
  <c r="AM96" i="25"/>
  <c r="BW96" i="25" s="1"/>
  <c r="BU103" i="24"/>
  <c r="CE103" i="24"/>
  <c r="B43" i="2"/>
  <c r="D43" i="2" s="1"/>
  <c r="AP199" i="25"/>
  <c r="CE199" i="25"/>
  <c r="AP201" i="25"/>
  <c r="CE201" i="25"/>
  <c r="AM104" i="25"/>
  <c r="BG104" i="25" s="1"/>
  <c r="BJ104" i="25" s="1"/>
  <c r="BU105" i="24"/>
  <c r="CE105" i="24"/>
  <c r="BH290" i="24"/>
  <c r="CE290" i="24"/>
  <c r="BU20" i="24"/>
  <c r="BU32" i="24"/>
  <c r="BU54" i="24"/>
  <c r="BU26" i="24"/>
  <c r="BU6" i="24"/>
  <c r="BU56" i="24"/>
  <c r="BU30" i="24"/>
  <c r="BU17" i="24"/>
  <c r="BU34" i="24"/>
  <c r="BU92" i="24"/>
  <c r="BU9" i="24"/>
  <c r="BU19" i="24"/>
  <c r="BU102" i="24"/>
  <c r="BU37" i="24"/>
  <c r="BU8" i="24"/>
  <c r="BU58" i="24"/>
  <c r="BU12" i="24"/>
  <c r="BU57" i="24"/>
  <c r="BU79" i="24"/>
  <c r="BU74" i="24"/>
  <c r="BU51" i="24"/>
  <c r="BU35" i="24"/>
  <c r="AM258" i="25"/>
  <c r="BF258" i="25" s="1"/>
  <c r="BW281" i="24"/>
  <c r="AM154" i="25"/>
  <c r="AM97" i="25"/>
  <c r="AP97" i="25" s="1"/>
  <c r="BU125" i="24"/>
  <c r="BW125" i="24"/>
  <c r="BH125" i="24"/>
  <c r="AJ154" i="25"/>
  <c r="BH224" i="24"/>
  <c r="AJ29" i="25"/>
  <c r="AM179" i="25"/>
  <c r="AX224" i="24"/>
  <c r="BW224" i="24"/>
  <c r="AM265" i="25"/>
  <c r="BH265" i="25" s="1"/>
  <c r="AX20" i="24"/>
  <c r="BH123" i="24"/>
  <c r="AX123" i="24"/>
  <c r="BW123" i="24"/>
  <c r="BH112" i="24"/>
  <c r="AX112" i="24"/>
  <c r="BW112" i="24"/>
  <c r="AJ291" i="25"/>
  <c r="BU219" i="24"/>
  <c r="AX51" i="24"/>
  <c r="BW280" i="24"/>
  <c r="AX33" i="24"/>
  <c r="AX58" i="24"/>
  <c r="BH228" i="24"/>
  <c r="BW284" i="24"/>
  <c r="BW235" i="24"/>
  <c r="AX218" i="24"/>
  <c r="BU259" i="24"/>
  <c r="AX259" i="24"/>
  <c r="BW152" i="24"/>
  <c r="BU152" i="24"/>
  <c r="BW20" i="24"/>
  <c r="AJ28" i="25"/>
  <c r="BW51" i="24"/>
  <c r="BH152" i="24"/>
  <c r="BW24" i="24"/>
  <c r="BH24" i="24"/>
  <c r="BH128" i="24"/>
  <c r="AX24" i="24"/>
  <c r="BW56" i="24"/>
  <c r="BH56" i="24"/>
  <c r="BH274" i="24"/>
  <c r="AX274" i="24"/>
  <c r="BW274" i="24"/>
  <c r="BH261" i="24"/>
  <c r="BH284" i="24"/>
  <c r="AX284" i="24"/>
  <c r="BU243" i="24"/>
  <c r="BW219" i="24"/>
  <c r="BH58" i="24"/>
  <c r="BW243" i="24"/>
  <c r="AX261" i="24"/>
  <c r="BU261" i="24"/>
  <c r="BH219" i="24"/>
  <c r="BH243" i="24"/>
  <c r="BW259" i="24"/>
  <c r="AW292" i="24"/>
  <c r="BD292" i="24" s="1"/>
  <c r="BW19" i="24"/>
  <c r="BW48" i="24"/>
  <c r="AX128" i="24"/>
  <c r="AX228" i="24"/>
  <c r="BH26" i="24"/>
  <c r="AX26" i="24"/>
  <c r="BU148" i="24"/>
  <c r="BU128" i="24"/>
  <c r="BU228" i="24"/>
  <c r="BH19" i="24"/>
  <c r="AJ237" i="25"/>
  <c r="AM237" i="25"/>
  <c r="BH297" i="24"/>
  <c r="BH33" i="24"/>
  <c r="AX297" i="24"/>
  <c r="BW283" i="24"/>
  <c r="BU297" i="24"/>
  <c r="BW33" i="24"/>
  <c r="BU280" i="24"/>
  <c r="BH30" i="24"/>
  <c r="BW18" i="24"/>
  <c r="BH271" i="24"/>
  <c r="AX30" i="24"/>
  <c r="BH48" i="24"/>
  <c r="AX271" i="24"/>
  <c r="AX48" i="24"/>
  <c r="BH37" i="24"/>
  <c r="BU271" i="24"/>
  <c r="BW153" i="24"/>
  <c r="BH280" i="24"/>
  <c r="BW35" i="24"/>
  <c r="S212" i="25"/>
  <c r="K212" i="25" s="1"/>
  <c r="R212" i="25"/>
  <c r="Q212" i="25"/>
  <c r="BZ212" i="25"/>
  <c r="AO212" i="25"/>
  <c r="BH153" i="24"/>
  <c r="AX153" i="24"/>
  <c r="BU298" i="24"/>
  <c r="BU258" i="24"/>
  <c r="BW298" i="24"/>
  <c r="BU130" i="24"/>
  <c r="BW148" i="24"/>
  <c r="BW129" i="24"/>
  <c r="BH298" i="24"/>
  <c r="BH18" i="24"/>
  <c r="BH218" i="24"/>
  <c r="BU218" i="24"/>
  <c r="AJ77" i="25"/>
  <c r="AM77" i="25"/>
  <c r="BU129" i="24"/>
  <c r="AX283" i="24"/>
  <c r="AX18" i="24"/>
  <c r="BH129" i="24"/>
  <c r="BH35" i="24"/>
  <c r="BH54" i="24"/>
  <c r="BW258" i="24"/>
  <c r="BU235" i="24"/>
  <c r="BH299" i="24"/>
  <c r="BU281" i="24"/>
  <c r="AX37" i="24"/>
  <c r="BH120" i="24"/>
  <c r="BU299" i="24"/>
  <c r="AX54" i="24"/>
  <c r="AX299" i="24"/>
  <c r="BH258" i="24"/>
  <c r="BH235" i="24"/>
  <c r="BW120" i="24"/>
  <c r="BH130" i="24"/>
  <c r="BH281" i="24"/>
  <c r="AX148" i="24"/>
  <c r="BH57" i="24"/>
  <c r="AX57" i="24"/>
  <c r="BI242" i="24"/>
  <c r="BL242" i="24" s="1"/>
  <c r="AS242" i="24"/>
  <c r="AU242" i="24" s="1"/>
  <c r="BB242" i="24" s="1"/>
  <c r="BJ242" i="24"/>
  <c r="AQ242" i="24"/>
  <c r="BI192" i="24"/>
  <c r="BL192" i="24" s="1"/>
  <c r="AS192" i="24"/>
  <c r="AQ192" i="24"/>
  <c r="BJ192" i="24"/>
  <c r="BH192" i="24"/>
  <c r="BU192" i="24"/>
  <c r="BW192" i="24"/>
  <c r="AX192" i="24"/>
  <c r="AJ48" i="25"/>
  <c r="AM48" i="25"/>
  <c r="AS60" i="24"/>
  <c r="BI60" i="24"/>
  <c r="BL60" i="24" s="1"/>
  <c r="BJ60" i="24"/>
  <c r="AQ60" i="24"/>
  <c r="BW60" i="24"/>
  <c r="AX60" i="24"/>
  <c r="BH60" i="24"/>
  <c r="AT110" i="25"/>
  <c r="AY110" i="25" s="1"/>
  <c r="AU110" i="25"/>
  <c r="AR267" i="25"/>
  <c r="BG267" i="25"/>
  <c r="BJ267" i="25" s="1"/>
  <c r="AP267" i="25"/>
  <c r="BH267" i="25"/>
  <c r="BU267" i="25"/>
  <c r="BW267" i="25"/>
  <c r="BF267" i="25"/>
  <c r="AM52" i="25"/>
  <c r="CE52" i="25" s="1"/>
  <c r="AJ52" i="25"/>
  <c r="AW111" i="25"/>
  <c r="AX111" i="25"/>
  <c r="AX125" i="25"/>
  <c r="AW125" i="25"/>
  <c r="AJ24" i="25"/>
  <c r="AM24" i="25"/>
  <c r="BI147" i="24"/>
  <c r="BL147" i="24" s="1"/>
  <c r="AS147" i="24"/>
  <c r="AU147" i="24" s="1"/>
  <c r="BB147" i="24" s="1"/>
  <c r="BJ147" i="24"/>
  <c r="AQ147" i="24"/>
  <c r="AX191" i="25"/>
  <c r="AW191" i="25"/>
  <c r="BI221" i="24"/>
  <c r="BL221" i="24" s="1"/>
  <c r="AS221" i="24"/>
  <c r="BJ221" i="24"/>
  <c r="AQ221" i="24"/>
  <c r="BU221" i="24"/>
  <c r="BW221" i="24"/>
  <c r="AX221" i="24"/>
  <c r="BH221" i="24"/>
  <c r="AR201" i="25"/>
  <c r="BG201" i="25"/>
  <c r="BJ201" i="25" s="1"/>
  <c r="BH201" i="25"/>
  <c r="BF201" i="25"/>
  <c r="BW201" i="25"/>
  <c r="BU201" i="25"/>
  <c r="AM309" i="25"/>
  <c r="AJ309" i="25"/>
  <c r="AM304" i="25"/>
  <c r="AJ304" i="25"/>
  <c r="BA56" i="24"/>
  <c r="BI287" i="24"/>
  <c r="BL287" i="24" s="1"/>
  <c r="AS287" i="24"/>
  <c r="AQ287" i="24"/>
  <c r="BJ287" i="24"/>
  <c r="BU287" i="24"/>
  <c r="AX287" i="24"/>
  <c r="BH287" i="24"/>
  <c r="BW287" i="24"/>
  <c r="BI174" i="24"/>
  <c r="BL174" i="24" s="1"/>
  <c r="AS174" i="24"/>
  <c r="BJ174" i="24"/>
  <c r="AQ174" i="24"/>
  <c r="AX174" i="24"/>
  <c r="BH174" i="24"/>
  <c r="BW174" i="24"/>
  <c r="BU174" i="24"/>
  <c r="AX146" i="25"/>
  <c r="AW146" i="25"/>
  <c r="AM122" i="25"/>
  <c r="AJ122" i="25"/>
  <c r="AW182" i="25"/>
  <c r="AX182" i="25"/>
  <c r="AS265" i="24"/>
  <c r="AU265" i="24" s="1"/>
  <c r="BB265" i="24" s="1"/>
  <c r="BI265" i="24"/>
  <c r="BL265" i="24" s="1"/>
  <c r="AQ265" i="24"/>
  <c r="BJ265" i="24"/>
  <c r="AJ50" i="25"/>
  <c r="AM50" i="25"/>
  <c r="AJ256" i="25"/>
  <c r="AM256" i="25"/>
  <c r="AS111" i="24"/>
  <c r="AU111" i="24" s="1"/>
  <c r="BB111" i="24" s="1"/>
  <c r="BI111" i="24"/>
  <c r="BL111" i="24" s="1"/>
  <c r="AQ111" i="24"/>
  <c r="BJ111" i="24"/>
  <c r="BI95" i="24"/>
  <c r="BL95" i="24" s="1"/>
  <c r="AS95" i="24"/>
  <c r="BJ95" i="24"/>
  <c r="AQ95" i="24"/>
  <c r="BW95" i="24"/>
  <c r="AX95" i="24"/>
  <c r="BH95" i="24"/>
  <c r="AJ205" i="25"/>
  <c r="AM205" i="25"/>
  <c r="AR13" i="25"/>
  <c r="BG13" i="25"/>
  <c r="BJ13" i="25" s="1"/>
  <c r="AP13" i="25"/>
  <c r="BH13" i="25"/>
  <c r="BF13" i="25"/>
  <c r="BU13" i="25"/>
  <c r="BW13" i="25"/>
  <c r="BA237" i="24"/>
  <c r="AM203" i="25"/>
  <c r="AJ203" i="25"/>
  <c r="BI260" i="24"/>
  <c r="BL260" i="24" s="1"/>
  <c r="AS260" i="24"/>
  <c r="AU260" i="24" s="1"/>
  <c r="BB260" i="24" s="1"/>
  <c r="BJ260" i="24"/>
  <c r="AQ260" i="24"/>
  <c r="BA35" i="24"/>
  <c r="BI139" i="24"/>
  <c r="BL139" i="24" s="1"/>
  <c r="AS139" i="24"/>
  <c r="BJ139" i="24"/>
  <c r="AQ139" i="24"/>
  <c r="BH139" i="24"/>
  <c r="BW139" i="24"/>
  <c r="BU139" i="24"/>
  <c r="AX139" i="24"/>
  <c r="AS50" i="24"/>
  <c r="BI50" i="24"/>
  <c r="BL50" i="24" s="1"/>
  <c r="BJ50" i="24"/>
  <c r="AQ50" i="24"/>
  <c r="AX50" i="24"/>
  <c r="BH50" i="24"/>
  <c r="BW50" i="24"/>
  <c r="AS141" i="24"/>
  <c r="BI141" i="24"/>
  <c r="BL141" i="24" s="1"/>
  <c r="BJ141" i="24"/>
  <c r="AQ141" i="24"/>
  <c r="AX141" i="24"/>
  <c r="BH141" i="24"/>
  <c r="BU141" i="24"/>
  <c r="BW141" i="24"/>
  <c r="AS97" i="24"/>
  <c r="BI97" i="24"/>
  <c r="BL97" i="24" s="1"/>
  <c r="BJ97" i="24"/>
  <c r="AQ97" i="24"/>
  <c r="AX97" i="24"/>
  <c r="BH97" i="24"/>
  <c r="BW97" i="24"/>
  <c r="AX140" i="25"/>
  <c r="AW140" i="25"/>
  <c r="AW205" i="25"/>
  <c r="AX205" i="25"/>
  <c r="AM98" i="25"/>
  <c r="AJ98" i="25"/>
  <c r="AS118" i="24"/>
  <c r="BI118" i="24"/>
  <c r="BL118" i="24" s="1"/>
  <c r="AQ118" i="24"/>
  <c r="BJ118" i="24"/>
  <c r="BU118" i="24"/>
  <c r="BW118" i="24"/>
  <c r="AX118" i="24"/>
  <c r="BH118" i="24"/>
  <c r="AX203" i="25"/>
  <c r="AW203" i="25"/>
  <c r="BI256" i="24"/>
  <c r="BL256" i="24" s="1"/>
  <c r="AS256" i="24"/>
  <c r="BJ256" i="24"/>
  <c r="AQ256" i="24"/>
  <c r="BH256" i="24"/>
  <c r="BU256" i="24"/>
  <c r="BW256" i="24"/>
  <c r="AX256" i="24"/>
  <c r="AR261" i="25"/>
  <c r="BG261" i="25"/>
  <c r="BJ261" i="25" s="1"/>
  <c r="BH261" i="25"/>
  <c r="AP261" i="25"/>
  <c r="BF261" i="25"/>
  <c r="BW261" i="25"/>
  <c r="BU261" i="25"/>
  <c r="AS64" i="24"/>
  <c r="BI64" i="24"/>
  <c r="BL64" i="24" s="1"/>
  <c r="BJ64" i="24"/>
  <c r="AQ64" i="24"/>
  <c r="BW64" i="24"/>
  <c r="AX64" i="24"/>
  <c r="BH64" i="24"/>
  <c r="AX76" i="25"/>
  <c r="AW76" i="25"/>
  <c r="BU249" i="24"/>
  <c r="AM165" i="25"/>
  <c r="CE165" i="25" s="1"/>
  <c r="AJ165" i="25"/>
  <c r="AS98" i="24"/>
  <c r="BI98" i="24"/>
  <c r="BL98" i="24" s="1"/>
  <c r="AQ98" i="24"/>
  <c r="BJ98" i="24"/>
  <c r="AX98" i="24"/>
  <c r="BH98" i="24"/>
  <c r="BW98" i="24"/>
  <c r="AR148" i="25"/>
  <c r="BG148" i="25"/>
  <c r="BJ148" i="25" s="1"/>
  <c r="AP148" i="25"/>
  <c r="BH148" i="25"/>
  <c r="BF148" i="25"/>
  <c r="BW148" i="25"/>
  <c r="BU148" i="25"/>
  <c r="BH260" i="24"/>
  <c r="BI289" i="24"/>
  <c r="BL289" i="24" s="1"/>
  <c r="AS289" i="24"/>
  <c r="AQ289" i="24"/>
  <c r="BJ289" i="24"/>
  <c r="BU289" i="24"/>
  <c r="BW289" i="24"/>
  <c r="AX289" i="24"/>
  <c r="BH289" i="24"/>
  <c r="BH12" i="24"/>
  <c r="BH273" i="24"/>
  <c r="BI272" i="24"/>
  <c r="BL272" i="24" s="1"/>
  <c r="AS272" i="24"/>
  <c r="AQ272" i="24"/>
  <c r="BJ272" i="24"/>
  <c r="AX272" i="24"/>
  <c r="BH272" i="24"/>
  <c r="BU272" i="24"/>
  <c r="BW272" i="24"/>
  <c r="BG283" i="25"/>
  <c r="BJ283" i="25" s="1"/>
  <c r="AR283" i="25"/>
  <c r="BH283" i="25"/>
  <c r="AP283" i="25"/>
  <c r="BF283" i="25"/>
  <c r="BW283" i="25"/>
  <c r="BU283" i="25"/>
  <c r="BA125" i="24"/>
  <c r="BG170" i="25"/>
  <c r="BJ170" i="25" s="1"/>
  <c r="AR170" i="25"/>
  <c r="AP170" i="25"/>
  <c r="BH170" i="25"/>
  <c r="BF170" i="25"/>
  <c r="BU170" i="25"/>
  <c r="BW170" i="25"/>
  <c r="AX141" i="25"/>
  <c r="AW141" i="25"/>
  <c r="AS135" i="24"/>
  <c r="AU135" i="24" s="1"/>
  <c r="BB135" i="24" s="1"/>
  <c r="BI135" i="24"/>
  <c r="BL135" i="24" s="1"/>
  <c r="BJ135" i="24"/>
  <c r="AQ135" i="24"/>
  <c r="AW130" i="25"/>
  <c r="AX130" i="25"/>
  <c r="BI46" i="24"/>
  <c r="BL46" i="24" s="1"/>
  <c r="AS46" i="24"/>
  <c r="BJ46" i="24"/>
  <c r="AQ46" i="24"/>
  <c r="AX46" i="24"/>
  <c r="BH46" i="24"/>
  <c r="BW46" i="24"/>
  <c r="AX15" i="25"/>
  <c r="AW15" i="25"/>
  <c r="AX74" i="25"/>
  <c r="AW74" i="25"/>
  <c r="BW238" i="24"/>
  <c r="AS89" i="24"/>
  <c r="BI89" i="24"/>
  <c r="BL89" i="24" s="1"/>
  <c r="BJ89" i="24"/>
  <c r="AQ89" i="24"/>
  <c r="AX89" i="24"/>
  <c r="BH89" i="24"/>
  <c r="BW89" i="24"/>
  <c r="BW133" i="24"/>
  <c r="AJ63" i="25"/>
  <c r="AM63" i="25"/>
  <c r="BW117" i="24"/>
  <c r="AJ66" i="25"/>
  <c r="AM66" i="25"/>
  <c r="AJ180" i="25"/>
  <c r="AM180" i="25"/>
  <c r="CE180" i="25" s="1"/>
  <c r="AM118" i="25"/>
  <c r="AJ118" i="25"/>
  <c r="AJ42" i="25"/>
  <c r="AM42" i="25"/>
  <c r="BI182" i="24"/>
  <c r="BL182" i="24" s="1"/>
  <c r="AS182" i="24"/>
  <c r="BJ182" i="24"/>
  <c r="AQ182" i="24"/>
  <c r="BU182" i="24"/>
  <c r="BW182" i="24"/>
  <c r="AX182" i="24"/>
  <c r="BH182" i="24"/>
  <c r="AS179" i="24"/>
  <c r="BI179" i="24"/>
  <c r="BL179" i="24" s="1"/>
  <c r="AQ179" i="24"/>
  <c r="BJ179" i="24"/>
  <c r="BW179" i="24"/>
  <c r="BU179" i="24"/>
  <c r="AX179" i="24"/>
  <c r="BH179" i="24"/>
  <c r="AX168" i="25"/>
  <c r="AW168" i="25"/>
  <c r="BH59" i="24"/>
  <c r="BA8" i="24"/>
  <c r="BA266" i="24"/>
  <c r="BA57" i="24"/>
  <c r="AU55" i="24"/>
  <c r="BB55" i="24" s="1"/>
  <c r="AW55" i="24"/>
  <c r="BA32" i="24"/>
  <c r="AM307" i="25"/>
  <c r="CE307" i="25" s="1"/>
  <c r="AJ307" i="25"/>
  <c r="AX169" i="25"/>
  <c r="AW169" i="25"/>
  <c r="AX138" i="25"/>
  <c r="AW138" i="25"/>
  <c r="AS219" i="24"/>
  <c r="AU219" i="24" s="1"/>
  <c r="BB219" i="24" s="1"/>
  <c r="BI219" i="24"/>
  <c r="BL219" i="24" s="1"/>
  <c r="AQ219" i="24"/>
  <c r="BJ219" i="24"/>
  <c r="AS124" i="24"/>
  <c r="BI124" i="24"/>
  <c r="BL124" i="24" s="1"/>
  <c r="BJ124" i="24"/>
  <c r="AQ124" i="24"/>
  <c r="BH124" i="24"/>
  <c r="BU124" i="24"/>
  <c r="BW124" i="24"/>
  <c r="AX124" i="24"/>
  <c r="AW37" i="25"/>
  <c r="AX37" i="25"/>
  <c r="AJ20" i="25"/>
  <c r="AM20" i="25"/>
  <c r="AJ281" i="25"/>
  <c r="AM281" i="25"/>
  <c r="BI226" i="24"/>
  <c r="BL226" i="24" s="1"/>
  <c r="AS226" i="24"/>
  <c r="BJ226" i="24"/>
  <c r="AQ226" i="24"/>
  <c r="BH226" i="24"/>
  <c r="BU226" i="24"/>
  <c r="BW226" i="24"/>
  <c r="AX226" i="24"/>
  <c r="AS200" i="24"/>
  <c r="BI200" i="24"/>
  <c r="BL200" i="24" s="1"/>
  <c r="AQ200" i="24"/>
  <c r="BJ200" i="24"/>
  <c r="BH200" i="24"/>
  <c r="BU200" i="24"/>
  <c r="BW200" i="24"/>
  <c r="AX200" i="24"/>
  <c r="AJ272" i="25"/>
  <c r="AM272" i="25"/>
  <c r="CE272" i="25" s="1"/>
  <c r="AX26" i="25"/>
  <c r="AW26" i="25"/>
  <c r="BH247" i="24"/>
  <c r="BW225" i="24"/>
  <c r="AM221" i="25"/>
  <c r="AJ221" i="25"/>
  <c r="BH242" i="24"/>
  <c r="BU295" i="24"/>
  <c r="AM58" i="25"/>
  <c r="AJ58" i="25"/>
  <c r="AM185" i="25"/>
  <c r="CE185" i="25" s="1"/>
  <c r="AJ185" i="25"/>
  <c r="AM187" i="25"/>
  <c r="AJ187" i="25"/>
  <c r="AU41" i="24"/>
  <c r="BB41" i="24" s="1"/>
  <c r="AW41" i="24"/>
  <c r="AS26" i="24"/>
  <c r="AU26" i="24" s="1"/>
  <c r="BB26" i="24" s="1"/>
  <c r="BI26" i="24"/>
  <c r="BL26" i="24" s="1"/>
  <c r="BJ26" i="24"/>
  <c r="AQ26" i="24"/>
  <c r="BI96" i="24"/>
  <c r="BL96" i="24" s="1"/>
  <c r="AS96" i="24"/>
  <c r="AQ96" i="24"/>
  <c r="BJ96" i="24"/>
  <c r="AX96" i="24"/>
  <c r="BH96" i="24"/>
  <c r="BW96" i="24"/>
  <c r="AX45" i="25"/>
  <c r="AW45" i="25"/>
  <c r="AX121" i="25"/>
  <c r="AW121" i="25"/>
  <c r="AR21" i="25"/>
  <c r="BG21" i="25"/>
  <c r="BJ21" i="25" s="1"/>
  <c r="AP21" i="25"/>
  <c r="BH21" i="25"/>
  <c r="BF21" i="25"/>
  <c r="BW21" i="25"/>
  <c r="BU21" i="25"/>
  <c r="BA290" i="24"/>
  <c r="BH263" i="24"/>
  <c r="BA9" i="24"/>
  <c r="BH282" i="24"/>
  <c r="BH155" i="24"/>
  <c r="AS176" i="24"/>
  <c r="BI176" i="24"/>
  <c r="BL176" i="24" s="1"/>
  <c r="AQ176" i="24"/>
  <c r="BJ176" i="24"/>
  <c r="BW176" i="24"/>
  <c r="BU176" i="24"/>
  <c r="AX176" i="24"/>
  <c r="BH176" i="24"/>
  <c r="BI86" i="24"/>
  <c r="BL86" i="24" s="1"/>
  <c r="AS86" i="24"/>
  <c r="AQ86" i="24"/>
  <c r="BJ86" i="24"/>
  <c r="BH86" i="24"/>
  <c r="BW86" i="24"/>
  <c r="AX86" i="24"/>
  <c r="BU248" i="24"/>
  <c r="AX185" i="25"/>
  <c r="AW185" i="25"/>
  <c r="AX53" i="25"/>
  <c r="AW53" i="25"/>
  <c r="AM263" i="25"/>
  <c r="AJ263" i="25"/>
  <c r="AX39" i="25"/>
  <c r="AW39" i="25"/>
  <c r="AJ75" i="25"/>
  <c r="AM75" i="25"/>
  <c r="BA235" i="24"/>
  <c r="BA129" i="24"/>
  <c r="AM35" i="25"/>
  <c r="AJ35" i="25"/>
  <c r="BI151" i="24"/>
  <c r="BL151" i="24" s="1"/>
  <c r="AS151" i="24"/>
  <c r="BJ151" i="24"/>
  <c r="AQ151" i="24"/>
  <c r="BH151" i="24"/>
  <c r="BU151" i="24"/>
  <c r="BW151" i="24"/>
  <c r="AX151" i="24"/>
  <c r="AX10" i="25"/>
  <c r="AW10" i="25"/>
  <c r="AS18" i="24"/>
  <c r="AU18" i="24" s="1"/>
  <c r="BB18" i="24" s="1"/>
  <c r="BI18" i="24"/>
  <c r="BL18" i="24" s="1"/>
  <c r="BJ18" i="24"/>
  <c r="AQ18" i="24"/>
  <c r="AM310" i="25"/>
  <c r="AJ310" i="25"/>
  <c r="AX40" i="25"/>
  <c r="AW40" i="25"/>
  <c r="AX48" i="25"/>
  <c r="AW48" i="25"/>
  <c r="AM308" i="25"/>
  <c r="AJ308" i="25"/>
  <c r="AS296" i="24"/>
  <c r="AU296" i="24" s="1"/>
  <c r="BB296" i="24" s="1"/>
  <c r="BI296" i="24"/>
  <c r="BL296" i="24" s="1"/>
  <c r="AQ296" i="24"/>
  <c r="BJ296" i="24"/>
  <c r="BI241" i="24"/>
  <c r="BL241" i="24" s="1"/>
  <c r="AS241" i="24"/>
  <c r="BJ241" i="24"/>
  <c r="AQ241" i="24"/>
  <c r="AX241" i="24"/>
  <c r="BH241" i="24"/>
  <c r="BW241" i="24"/>
  <c r="BU241" i="24"/>
  <c r="AS262" i="24"/>
  <c r="BI262" i="24"/>
  <c r="BL262" i="24" s="1"/>
  <c r="BJ262" i="24"/>
  <c r="AQ262" i="24"/>
  <c r="AX262" i="24"/>
  <c r="BH262" i="24"/>
  <c r="BW262" i="24"/>
  <c r="BU262" i="24"/>
  <c r="AX78" i="25"/>
  <c r="AW78" i="25"/>
  <c r="AR158" i="25"/>
  <c r="BG158" i="25"/>
  <c r="BJ158" i="25" s="1"/>
  <c r="BH158" i="25"/>
  <c r="AP158" i="25"/>
  <c r="BW158" i="25"/>
  <c r="BU158" i="25"/>
  <c r="BF158" i="25"/>
  <c r="BU237" i="24"/>
  <c r="BA123" i="24"/>
  <c r="AJ103" i="25"/>
  <c r="AM103" i="25"/>
  <c r="AP103" i="25" s="1"/>
  <c r="BA284" i="24"/>
  <c r="AJ216" i="25"/>
  <c r="AM216" i="25"/>
  <c r="AS315" i="24"/>
  <c r="BI315" i="24"/>
  <c r="BL315" i="24" s="1"/>
  <c r="BJ315" i="24"/>
  <c r="AQ315" i="24"/>
  <c r="AX315" i="24"/>
  <c r="BH315" i="24"/>
  <c r="BW315" i="24"/>
  <c r="BU315" i="24"/>
  <c r="AX55" i="25"/>
  <c r="AW55" i="25"/>
  <c r="AX171" i="25"/>
  <c r="AW171" i="25"/>
  <c r="AX122" i="25"/>
  <c r="AW122" i="25"/>
  <c r="AM166" i="25"/>
  <c r="CE166" i="25" s="1"/>
  <c r="AJ166" i="25"/>
  <c r="AS73" i="24"/>
  <c r="BI73" i="24"/>
  <c r="BL73" i="24" s="1"/>
  <c r="BJ73" i="24"/>
  <c r="AQ73" i="24"/>
  <c r="BH73" i="24"/>
  <c r="BW73" i="24"/>
  <c r="AX73" i="24"/>
  <c r="AX115" i="25"/>
  <c r="AW115" i="25"/>
  <c r="AJ47" i="25"/>
  <c r="AM47" i="25"/>
  <c r="AX8" i="25"/>
  <c r="AW8" i="25"/>
  <c r="AS170" i="24"/>
  <c r="BI170" i="24"/>
  <c r="BL170" i="24" s="1"/>
  <c r="BJ170" i="24"/>
  <c r="AQ170" i="24"/>
  <c r="BW170" i="24"/>
  <c r="AX170" i="24"/>
  <c r="BH170" i="24"/>
  <c r="BU170" i="24"/>
  <c r="BH114" i="24"/>
  <c r="AT143" i="25"/>
  <c r="AY143" i="25" s="1"/>
  <c r="AU143" i="25"/>
  <c r="AJ279" i="25"/>
  <c r="AM279" i="25"/>
  <c r="CE279" i="25" s="1"/>
  <c r="AS68" i="24"/>
  <c r="BI68" i="24"/>
  <c r="BL68" i="24" s="1"/>
  <c r="AQ68" i="24"/>
  <c r="BJ68" i="24"/>
  <c r="AX68" i="24"/>
  <c r="BH68" i="24"/>
  <c r="BW68" i="24"/>
  <c r="AJ298" i="25"/>
  <c r="AM298" i="25"/>
  <c r="BA58" i="24"/>
  <c r="AR178" i="25"/>
  <c r="BG178" i="25"/>
  <c r="BJ178" i="25" s="1"/>
  <c r="AP178" i="25"/>
  <c r="BH178" i="25"/>
  <c r="BW178" i="25"/>
  <c r="BU178" i="25"/>
  <c r="BF178" i="25"/>
  <c r="AJ141" i="25"/>
  <c r="AM141" i="25"/>
  <c r="AS74" i="24"/>
  <c r="BI74" i="24"/>
  <c r="BL74" i="24" s="1"/>
  <c r="BJ74" i="24"/>
  <c r="AQ74" i="24"/>
  <c r="AX74" i="24"/>
  <c r="BH74" i="24"/>
  <c r="BW74" i="24"/>
  <c r="AS93" i="24"/>
  <c r="BI93" i="24"/>
  <c r="BL93" i="24" s="1"/>
  <c r="BJ93" i="24"/>
  <c r="AQ93" i="24"/>
  <c r="BW93" i="24"/>
  <c r="AX93" i="24"/>
  <c r="BH93" i="24"/>
  <c r="AM130" i="25"/>
  <c r="AJ130" i="25"/>
  <c r="AJ145" i="25"/>
  <c r="AM145" i="25"/>
  <c r="AX150" i="25"/>
  <c r="AW150" i="25"/>
  <c r="AX260" i="24"/>
  <c r="AS255" i="24"/>
  <c r="BI255" i="24"/>
  <c r="BL255" i="24" s="1"/>
  <c r="BJ255" i="24"/>
  <c r="AQ255" i="24"/>
  <c r="AX255" i="24"/>
  <c r="BH255" i="24"/>
  <c r="BW255" i="24"/>
  <c r="BU255" i="24"/>
  <c r="BI198" i="24"/>
  <c r="BL198" i="24" s="1"/>
  <c r="AS198" i="24"/>
  <c r="BJ198" i="24"/>
  <c r="AQ198" i="24"/>
  <c r="BU198" i="24"/>
  <c r="AX198" i="24"/>
  <c r="BH198" i="24"/>
  <c r="BW198" i="24"/>
  <c r="AX133" i="25"/>
  <c r="AW133" i="25"/>
  <c r="AS144" i="24"/>
  <c r="BI144" i="24"/>
  <c r="BL144" i="24" s="1"/>
  <c r="AQ144" i="24"/>
  <c r="BJ144" i="24"/>
  <c r="AX144" i="24"/>
  <c r="BH144" i="24"/>
  <c r="BU144" i="24"/>
  <c r="BW144" i="24"/>
  <c r="AJ73" i="25"/>
  <c r="AM73" i="25"/>
  <c r="AJ264" i="25"/>
  <c r="AM264" i="25"/>
  <c r="AS137" i="24"/>
  <c r="BI137" i="24"/>
  <c r="BL137" i="24" s="1"/>
  <c r="BJ137" i="24"/>
  <c r="AQ137" i="24"/>
  <c r="AX137" i="24"/>
  <c r="BH137" i="24"/>
  <c r="BW137" i="24"/>
  <c r="BU137" i="24"/>
  <c r="CE97" i="25"/>
  <c r="AW61" i="25"/>
  <c r="AX61" i="25"/>
  <c r="AS312" i="24"/>
  <c r="BI312" i="24"/>
  <c r="BL312" i="24" s="1"/>
  <c r="AQ312" i="24"/>
  <c r="BJ312" i="24"/>
  <c r="AX312" i="24"/>
  <c r="BH312" i="24"/>
  <c r="BU312" i="24"/>
  <c r="BW312" i="24"/>
  <c r="BA269" i="24"/>
  <c r="BW296" i="24"/>
  <c r="BI165" i="24"/>
  <c r="BL165" i="24" s="1"/>
  <c r="AS165" i="24"/>
  <c r="AQ165" i="24"/>
  <c r="BJ165" i="24"/>
  <c r="AX165" i="24"/>
  <c r="BH165" i="24"/>
  <c r="BU165" i="24"/>
  <c r="BW165" i="24"/>
  <c r="BI251" i="24"/>
  <c r="BL251" i="24" s="1"/>
  <c r="AS251" i="24"/>
  <c r="BJ251" i="24"/>
  <c r="AQ251" i="24"/>
  <c r="BW251" i="24"/>
  <c r="AX251" i="24"/>
  <c r="BH251" i="24"/>
  <c r="BU251" i="24"/>
  <c r="AM228" i="25"/>
  <c r="AJ228" i="25"/>
  <c r="AX128" i="25"/>
  <c r="AW128" i="25"/>
  <c r="AJ156" i="25"/>
  <c r="AM156" i="25"/>
  <c r="CE156" i="25" s="1"/>
  <c r="BI310" i="24"/>
  <c r="BL310" i="24" s="1"/>
  <c r="AS310" i="24"/>
  <c r="AQ310" i="24"/>
  <c r="BJ310" i="24"/>
  <c r="BW310" i="24"/>
  <c r="BU310" i="24"/>
  <c r="AX310" i="24"/>
  <c r="BH310" i="24"/>
  <c r="AR243" i="25"/>
  <c r="BG243" i="25"/>
  <c r="BJ243" i="25" s="1"/>
  <c r="AP243" i="25"/>
  <c r="BH243" i="25"/>
  <c r="BF243" i="25"/>
  <c r="BU243" i="25"/>
  <c r="BW243" i="25"/>
  <c r="BU238" i="24"/>
  <c r="BW34" i="24"/>
  <c r="AM68" i="25"/>
  <c r="AJ68" i="25"/>
  <c r="BG34" i="25"/>
  <c r="BJ34" i="25" s="1"/>
  <c r="AR34" i="25"/>
  <c r="BH34" i="25"/>
  <c r="AP34" i="25"/>
  <c r="BF34" i="25"/>
  <c r="BU34" i="25"/>
  <c r="BW34" i="25"/>
  <c r="AJ208" i="25"/>
  <c r="AM208" i="25"/>
  <c r="AX80" i="25"/>
  <c r="AW80" i="25"/>
  <c r="AW73" i="25"/>
  <c r="AX73" i="25"/>
  <c r="BA243" i="24"/>
  <c r="BA153" i="24"/>
  <c r="BH117" i="24"/>
  <c r="AR247" i="25"/>
  <c r="BG247" i="25"/>
  <c r="BJ247" i="25" s="1"/>
  <c r="AP247" i="25"/>
  <c r="BH247" i="25"/>
  <c r="BF247" i="25"/>
  <c r="BU247" i="25"/>
  <c r="BW247" i="25"/>
  <c r="AS185" i="24"/>
  <c r="BI185" i="24"/>
  <c r="BL185" i="24" s="1"/>
  <c r="BJ185" i="24"/>
  <c r="AQ185" i="24"/>
  <c r="BH185" i="24"/>
  <c r="BW185" i="24"/>
  <c r="BU185" i="24"/>
  <c r="AX185" i="24"/>
  <c r="AS153" i="24"/>
  <c r="AU153" i="24" s="1"/>
  <c r="BB153" i="24" s="1"/>
  <c r="BI153" i="24"/>
  <c r="BL153" i="24" s="1"/>
  <c r="BJ153" i="24"/>
  <c r="AQ153" i="24"/>
  <c r="AM86" i="25"/>
  <c r="AJ86" i="25"/>
  <c r="AW175" i="25"/>
  <c r="AX175" i="25"/>
  <c r="AR248" i="25"/>
  <c r="BG248" i="25"/>
  <c r="BJ248" i="25" s="1"/>
  <c r="BH248" i="25"/>
  <c r="AP248" i="25"/>
  <c r="BU248" i="25"/>
  <c r="BF248" i="25"/>
  <c r="BW248" i="25"/>
  <c r="AM60" i="25"/>
  <c r="AJ60" i="25"/>
  <c r="BW266" i="24"/>
  <c r="BU240" i="24"/>
  <c r="AS169" i="24"/>
  <c r="BI169" i="24"/>
  <c r="BL169" i="24" s="1"/>
  <c r="AQ169" i="24"/>
  <c r="BJ169" i="24"/>
  <c r="AX169" i="24"/>
  <c r="BH169" i="24"/>
  <c r="BW169" i="24"/>
  <c r="BU169" i="24"/>
  <c r="AX36" i="25"/>
  <c r="AW36" i="25"/>
  <c r="BI11" i="24"/>
  <c r="BL11" i="24" s="1"/>
  <c r="AS11" i="24"/>
  <c r="AQ11" i="24"/>
  <c r="BJ11" i="24"/>
  <c r="AX11" i="24"/>
  <c r="BW11" i="24"/>
  <c r="BH11" i="24"/>
  <c r="AW132" i="25"/>
  <c r="AX132" i="25"/>
  <c r="BI57" i="24"/>
  <c r="BL57" i="24" s="1"/>
  <c r="AS57" i="24"/>
  <c r="AU57" i="24" s="1"/>
  <c r="BB57" i="24" s="1"/>
  <c r="BJ57" i="24"/>
  <c r="AQ57" i="24"/>
  <c r="AR199" i="25"/>
  <c r="BG199" i="25"/>
  <c r="BJ199" i="25" s="1"/>
  <c r="BH199" i="25"/>
  <c r="BU199" i="25"/>
  <c r="BW199" i="25"/>
  <c r="BF199" i="25"/>
  <c r="BH111" i="24"/>
  <c r="BI244" i="24"/>
  <c r="BL244" i="24" s="1"/>
  <c r="AS244" i="24"/>
  <c r="AQ244" i="24"/>
  <c r="BJ244" i="24"/>
  <c r="BW244" i="24"/>
  <c r="BU244" i="24"/>
  <c r="AX244" i="24"/>
  <c r="BH244" i="24"/>
  <c r="BI243" i="24"/>
  <c r="BL243" i="24" s="1"/>
  <c r="AS243" i="24"/>
  <c r="AU243" i="24" s="1"/>
  <c r="BB243" i="24" s="1"/>
  <c r="AQ243" i="24"/>
  <c r="BJ243" i="24"/>
  <c r="BA218" i="24"/>
  <c r="AX66" i="25"/>
  <c r="AW66" i="25"/>
  <c r="AW183" i="25"/>
  <c r="AX183" i="25"/>
  <c r="BG293" i="25"/>
  <c r="BJ293" i="25" s="1"/>
  <c r="AR293" i="25"/>
  <c r="BH293" i="25"/>
  <c r="AP293" i="25"/>
  <c r="BF293" i="25"/>
  <c r="BW293" i="25"/>
  <c r="BU293" i="25"/>
  <c r="AM127" i="25"/>
  <c r="AJ127" i="25"/>
  <c r="AS254" i="24"/>
  <c r="BI254" i="24"/>
  <c r="BL254" i="24" s="1"/>
  <c r="AQ254" i="24"/>
  <c r="BJ254" i="24"/>
  <c r="AX254" i="24"/>
  <c r="BH254" i="24"/>
  <c r="BW254" i="24"/>
  <c r="BU254" i="24"/>
  <c r="BH225" i="24"/>
  <c r="AM254" i="25"/>
  <c r="AJ254" i="25"/>
  <c r="AJ196" i="25"/>
  <c r="AM196" i="25"/>
  <c r="AJ111" i="25"/>
  <c r="AM111" i="25"/>
  <c r="BA135" i="24"/>
  <c r="BH301" i="24"/>
  <c r="BG259" i="25"/>
  <c r="BJ259" i="25" s="1"/>
  <c r="AR259" i="25"/>
  <c r="AP259" i="25"/>
  <c r="BH259" i="25"/>
  <c r="BF259" i="25"/>
  <c r="BW259" i="25"/>
  <c r="BU259" i="25"/>
  <c r="BI58" i="24"/>
  <c r="BL58" i="24" s="1"/>
  <c r="AS58" i="24"/>
  <c r="AU58" i="24" s="1"/>
  <c r="BB58" i="24" s="1"/>
  <c r="BJ58" i="24"/>
  <c r="AQ58" i="24"/>
  <c r="AU101" i="24"/>
  <c r="BB101" i="24" s="1"/>
  <c r="AW101" i="24"/>
  <c r="AR255" i="25"/>
  <c r="BG255" i="25"/>
  <c r="BJ255" i="25" s="1"/>
  <c r="BH255" i="25"/>
  <c r="AP255" i="25"/>
  <c r="BW255" i="25"/>
  <c r="BU255" i="25"/>
  <c r="BF255" i="25"/>
  <c r="BW279" i="24"/>
  <c r="BW126" i="24"/>
  <c r="AJ225" i="25"/>
  <c r="AM225" i="25"/>
  <c r="AR59" i="25"/>
  <c r="BG59" i="25"/>
  <c r="BJ59" i="25" s="1"/>
  <c r="BH59" i="25"/>
  <c r="AP59" i="25"/>
  <c r="BW59" i="25"/>
  <c r="BU59" i="25"/>
  <c r="BF59" i="25"/>
  <c r="BW232" i="24"/>
  <c r="BI67" i="24"/>
  <c r="BL67" i="24" s="1"/>
  <c r="AS67" i="24"/>
  <c r="AQ67" i="24"/>
  <c r="BJ67" i="24"/>
  <c r="AX67" i="24"/>
  <c r="BH67" i="24"/>
  <c r="BW67" i="24"/>
  <c r="AJ253" i="25"/>
  <c r="AM253" i="25"/>
  <c r="AJ316" i="25"/>
  <c r="AM316" i="25"/>
  <c r="CE316" i="25" s="1"/>
  <c r="BI305" i="24"/>
  <c r="BL305" i="24" s="1"/>
  <c r="AS305" i="24"/>
  <c r="AU305" i="24" s="1"/>
  <c r="BB305" i="24" s="1"/>
  <c r="AQ305" i="24"/>
  <c r="BJ305" i="24"/>
  <c r="AJ23" i="25"/>
  <c r="AM23" i="25"/>
  <c r="AX57" i="25"/>
  <c r="AW57" i="25"/>
  <c r="AS81" i="24"/>
  <c r="BI81" i="24"/>
  <c r="BL81" i="24" s="1"/>
  <c r="AQ81" i="24"/>
  <c r="BJ81" i="24"/>
  <c r="AX81" i="24"/>
  <c r="BW81" i="24"/>
  <c r="BH81" i="24"/>
  <c r="AJ51" i="25"/>
  <c r="AM51" i="25"/>
  <c r="BA30" i="24"/>
  <c r="AJ172" i="25"/>
  <c r="AM172" i="25"/>
  <c r="CE172" i="25" s="1"/>
  <c r="BI187" i="24"/>
  <c r="BL187" i="24" s="1"/>
  <c r="AS187" i="24"/>
  <c r="BJ187" i="24"/>
  <c r="AQ187" i="24"/>
  <c r="AX187" i="24"/>
  <c r="BH187" i="24"/>
  <c r="BW187" i="24"/>
  <c r="BU187" i="24"/>
  <c r="AS247" i="24"/>
  <c r="AU247" i="24" s="1"/>
  <c r="BB247" i="24" s="1"/>
  <c r="BI247" i="24"/>
  <c r="BL247" i="24" s="1"/>
  <c r="BJ247" i="24"/>
  <c r="AQ247" i="24"/>
  <c r="AM207" i="25"/>
  <c r="AJ207" i="25"/>
  <c r="AX152" i="25"/>
  <c r="AW152" i="25"/>
  <c r="BA51" i="24"/>
  <c r="AJ140" i="25"/>
  <c r="AM140" i="25"/>
  <c r="BI189" i="24"/>
  <c r="BL189" i="24" s="1"/>
  <c r="AS189" i="24"/>
  <c r="AQ189" i="24"/>
  <c r="BJ189" i="24"/>
  <c r="BH189" i="24"/>
  <c r="BU189" i="24"/>
  <c r="BW189" i="24"/>
  <c r="AX189" i="24"/>
  <c r="AS121" i="24"/>
  <c r="AU121" i="24" s="1"/>
  <c r="BB121" i="24" s="1"/>
  <c r="BI121" i="24"/>
  <c r="BL121" i="24" s="1"/>
  <c r="AQ121" i="24"/>
  <c r="BJ121" i="24"/>
  <c r="AX52" i="25"/>
  <c r="AW52" i="25"/>
  <c r="AR189" i="25"/>
  <c r="BG189" i="25"/>
  <c r="BJ189" i="25" s="1"/>
  <c r="BH189" i="25"/>
  <c r="AP189" i="25"/>
  <c r="BF189" i="25"/>
  <c r="BW189" i="25"/>
  <c r="BU189" i="25"/>
  <c r="BW237" i="24"/>
  <c r="BI82" i="24"/>
  <c r="BL82" i="24" s="1"/>
  <c r="AS82" i="24"/>
  <c r="BJ82" i="24"/>
  <c r="AQ82" i="24"/>
  <c r="AX82" i="24"/>
  <c r="BH82" i="24"/>
  <c r="BW82" i="24"/>
  <c r="AW64" i="25"/>
  <c r="AX64" i="25"/>
  <c r="BA297" i="24"/>
  <c r="AJ151" i="25"/>
  <c r="AM151" i="25"/>
  <c r="CE151" i="25" s="1"/>
  <c r="AX38" i="25"/>
  <c r="AW38" i="25"/>
  <c r="BI31" i="24"/>
  <c r="BL31" i="24" s="1"/>
  <c r="AS31" i="24"/>
  <c r="BJ31" i="24"/>
  <c r="AQ31" i="24"/>
  <c r="AX31" i="24"/>
  <c r="BH31" i="24"/>
  <c r="BW31" i="24"/>
  <c r="BI157" i="24"/>
  <c r="BL157" i="24" s="1"/>
  <c r="AS157" i="24"/>
  <c r="BJ157" i="24"/>
  <c r="AQ157" i="24"/>
  <c r="AX157" i="24"/>
  <c r="BH157" i="24"/>
  <c r="BU157" i="24"/>
  <c r="BW157" i="24"/>
  <c r="AR186" i="25"/>
  <c r="BG186" i="25"/>
  <c r="BJ186" i="25" s="1"/>
  <c r="BH186" i="25"/>
  <c r="AP186" i="25"/>
  <c r="BF186" i="25"/>
  <c r="BU186" i="25"/>
  <c r="BW186" i="25"/>
  <c r="AW207" i="25"/>
  <c r="AX207" i="25"/>
  <c r="AX22" i="25"/>
  <c r="AW22" i="25"/>
  <c r="AX153" i="25"/>
  <c r="AW153" i="25"/>
  <c r="AS207" i="24"/>
  <c r="BI207" i="24"/>
  <c r="BL207" i="24" s="1"/>
  <c r="BJ207" i="24"/>
  <c r="AQ207" i="24"/>
  <c r="AX207" i="24"/>
  <c r="BH207" i="24"/>
  <c r="BU207" i="24"/>
  <c r="BW207" i="24"/>
  <c r="AU119" i="24"/>
  <c r="BB119" i="24" s="1"/>
  <c r="AW119" i="24"/>
  <c r="BI76" i="24"/>
  <c r="BL76" i="24" s="1"/>
  <c r="AS76" i="24"/>
  <c r="BJ76" i="24"/>
  <c r="AQ76" i="24"/>
  <c r="BW76" i="24"/>
  <c r="AX76" i="24"/>
  <c r="BH76" i="24"/>
  <c r="AR11" i="25"/>
  <c r="BG11" i="25"/>
  <c r="BJ11" i="25" s="1"/>
  <c r="AP11" i="25"/>
  <c r="BH11" i="25"/>
  <c r="BU11" i="25"/>
  <c r="BF11" i="25"/>
  <c r="BW11" i="25"/>
  <c r="AJ188" i="25"/>
  <c r="AM188" i="25"/>
  <c r="CE188" i="25" s="1"/>
  <c r="AR296" i="25"/>
  <c r="BG296" i="25"/>
  <c r="BJ296" i="25" s="1"/>
  <c r="AP296" i="25"/>
  <c r="BH296" i="25"/>
  <c r="BF296" i="25"/>
  <c r="BW296" i="25"/>
  <c r="BU296" i="25"/>
  <c r="AX114" i="24"/>
  <c r="BI143" i="24"/>
  <c r="BL143" i="24" s="1"/>
  <c r="AS143" i="24"/>
  <c r="AQ143" i="24"/>
  <c r="BJ143" i="24"/>
  <c r="AX143" i="24"/>
  <c r="BH143" i="24"/>
  <c r="BW143" i="24"/>
  <c r="BU143" i="24"/>
  <c r="AM101" i="25"/>
  <c r="AJ101" i="25"/>
  <c r="BU147" i="24"/>
  <c r="BI297" i="24"/>
  <c r="BL297" i="24" s="1"/>
  <c r="AS297" i="24"/>
  <c r="AU297" i="24" s="1"/>
  <c r="BB297" i="24" s="1"/>
  <c r="AQ297" i="24"/>
  <c r="BJ297" i="24"/>
  <c r="AX83" i="25"/>
  <c r="AW83" i="25"/>
  <c r="AM157" i="25"/>
  <c r="AJ157" i="25"/>
  <c r="BH249" i="24"/>
  <c r="AX166" i="25"/>
  <c r="AW166" i="25"/>
  <c r="AS227" i="24"/>
  <c r="BI227" i="24"/>
  <c r="BL227" i="24" s="1"/>
  <c r="AQ227" i="24"/>
  <c r="BJ227" i="24"/>
  <c r="BH227" i="24"/>
  <c r="BW227" i="24"/>
  <c r="AX227" i="24"/>
  <c r="BU227" i="24"/>
  <c r="BI10" i="24"/>
  <c r="BL10" i="24" s="1"/>
  <c r="AS10" i="24"/>
  <c r="BJ10" i="24"/>
  <c r="AQ10" i="24"/>
  <c r="AX10" i="24"/>
  <c r="BW10" i="24"/>
  <c r="BH10" i="24"/>
  <c r="AX47" i="25"/>
  <c r="AW47" i="25"/>
  <c r="BG306" i="25"/>
  <c r="BJ306" i="25" s="1"/>
  <c r="AR306" i="25"/>
  <c r="BH306" i="25"/>
  <c r="AP306" i="25"/>
  <c r="BU306" i="25"/>
  <c r="BW306" i="25"/>
  <c r="BF306" i="25"/>
  <c r="BA37" i="24"/>
  <c r="BI94" i="24"/>
  <c r="BL94" i="24" s="1"/>
  <c r="AS94" i="24"/>
  <c r="BJ94" i="24"/>
  <c r="AQ94" i="24"/>
  <c r="AX94" i="24"/>
  <c r="BH94" i="24"/>
  <c r="BW94" i="24"/>
  <c r="AX101" i="25"/>
  <c r="AW101" i="25"/>
  <c r="AM61" i="25"/>
  <c r="AJ61" i="25"/>
  <c r="BI152" i="24"/>
  <c r="BL152" i="24" s="1"/>
  <c r="AS152" i="24"/>
  <c r="AU152" i="24" s="1"/>
  <c r="BB152" i="24" s="1"/>
  <c r="BJ152" i="24"/>
  <c r="AQ152" i="24"/>
  <c r="AS23" i="24"/>
  <c r="BI23" i="24"/>
  <c r="BL23" i="24" s="1"/>
  <c r="BJ23" i="24"/>
  <c r="AQ23" i="24"/>
  <c r="AX23" i="24"/>
  <c r="BH23" i="24"/>
  <c r="BW23" i="24"/>
  <c r="BH296" i="24"/>
  <c r="AS205" i="24"/>
  <c r="BI205" i="24"/>
  <c r="BL205" i="24" s="1"/>
  <c r="AQ205" i="24"/>
  <c r="BJ205" i="24"/>
  <c r="BW205" i="24"/>
  <c r="AX205" i="24"/>
  <c r="BH205" i="24"/>
  <c r="BU205" i="24"/>
  <c r="AS298" i="24"/>
  <c r="AU298" i="24" s="1"/>
  <c r="BB298" i="24" s="1"/>
  <c r="BI298" i="24"/>
  <c r="BL298" i="24" s="1"/>
  <c r="BJ298" i="24"/>
  <c r="AQ298" i="24"/>
  <c r="AU44" i="24"/>
  <c r="BB44" i="24" s="1"/>
  <c r="AW44" i="24"/>
  <c r="AR177" i="25"/>
  <c r="BG177" i="25"/>
  <c r="BJ177" i="25" s="1"/>
  <c r="BH177" i="25"/>
  <c r="AP177" i="25"/>
  <c r="BF177" i="25"/>
  <c r="BW177" i="25"/>
  <c r="BU177" i="25"/>
  <c r="AS72" i="24"/>
  <c r="BI72" i="24"/>
  <c r="BL72" i="24" s="1"/>
  <c r="AQ72" i="24"/>
  <c r="BJ72" i="24"/>
  <c r="AX72" i="24"/>
  <c r="BH72" i="24"/>
  <c r="BW72" i="24"/>
  <c r="AM181" i="25"/>
  <c r="CE181" i="25" s="1"/>
  <c r="AJ181" i="25"/>
  <c r="AU257" i="24"/>
  <c r="BB257" i="24" s="1"/>
  <c r="AW257" i="24"/>
  <c r="BA133" i="24"/>
  <c r="AM44" i="25"/>
  <c r="AJ44" i="25"/>
  <c r="BA281" i="24"/>
  <c r="AM183" i="25"/>
  <c r="CE183" i="25" s="1"/>
  <c r="AJ183" i="25"/>
  <c r="BI281" i="24"/>
  <c r="BL281" i="24" s="1"/>
  <c r="AS281" i="24"/>
  <c r="AU281" i="24" s="1"/>
  <c r="BB281" i="24" s="1"/>
  <c r="AQ281" i="24"/>
  <c r="BJ281" i="24"/>
  <c r="AU21" i="24"/>
  <c r="BB21" i="24" s="1"/>
  <c r="AW21" i="24"/>
  <c r="AX59" i="24"/>
  <c r="AR173" i="25"/>
  <c r="BG173" i="25"/>
  <c r="BJ173" i="25" s="1"/>
  <c r="BH173" i="25"/>
  <c r="AP173" i="25"/>
  <c r="BF173" i="25"/>
  <c r="BW173" i="25"/>
  <c r="BU173" i="25"/>
  <c r="BG275" i="25"/>
  <c r="BJ275" i="25" s="1"/>
  <c r="AR275" i="25"/>
  <c r="AP275" i="25"/>
  <c r="BH275" i="25"/>
  <c r="BF275" i="25"/>
  <c r="BU275" i="25"/>
  <c r="BW275" i="25"/>
  <c r="BA261" i="24"/>
  <c r="BW265" i="24"/>
  <c r="BI33" i="24"/>
  <c r="BL33" i="24" s="1"/>
  <c r="AS33" i="24"/>
  <c r="AU33" i="24" s="1"/>
  <c r="BB33" i="24" s="1"/>
  <c r="BJ33" i="24"/>
  <c r="AQ33" i="24"/>
  <c r="AJ70" i="25"/>
  <c r="AM70" i="25"/>
  <c r="BA305" i="24"/>
  <c r="AX118" i="25"/>
  <c r="AW118" i="25"/>
  <c r="BI217" i="24"/>
  <c r="BL217" i="24" s="1"/>
  <c r="AS217" i="24"/>
  <c r="BJ217" i="24"/>
  <c r="AQ217" i="24"/>
  <c r="AX217" i="24"/>
  <c r="BH217" i="24"/>
  <c r="BW217" i="24"/>
  <c r="BU217" i="24"/>
  <c r="AM274" i="25"/>
  <c r="CE274" i="25" s="1"/>
  <c r="AJ274" i="25"/>
  <c r="AJ136" i="25"/>
  <c r="AM136" i="25"/>
  <c r="AW124" i="25"/>
  <c r="AX124" i="25"/>
  <c r="AS116" i="24"/>
  <c r="BI116" i="24"/>
  <c r="BL116" i="24" s="1"/>
  <c r="AQ116" i="24"/>
  <c r="BJ116" i="24"/>
  <c r="AX116" i="24"/>
  <c r="BH116" i="24"/>
  <c r="BU116" i="24"/>
  <c r="BW116" i="24"/>
  <c r="AX43" i="25"/>
  <c r="AW43" i="25"/>
  <c r="BI300" i="24"/>
  <c r="BL300" i="24" s="1"/>
  <c r="AS300" i="24"/>
  <c r="BJ300" i="24"/>
  <c r="AQ300" i="24"/>
  <c r="AX300" i="24"/>
  <c r="BH300" i="24"/>
  <c r="BW300" i="24"/>
  <c r="BU300" i="24"/>
  <c r="BI252" i="24"/>
  <c r="BL252" i="24" s="1"/>
  <c r="AS252" i="24"/>
  <c r="AQ252" i="24"/>
  <c r="BJ252" i="24"/>
  <c r="BH252" i="24"/>
  <c r="BW252" i="24"/>
  <c r="BU252" i="24"/>
  <c r="AX252" i="24"/>
  <c r="BA242" i="24"/>
  <c r="BI30" i="24"/>
  <c r="BL30" i="24" s="1"/>
  <c r="AS30" i="24"/>
  <c r="AU30" i="24" s="1"/>
  <c r="BB30" i="24" s="1"/>
  <c r="BJ30" i="24"/>
  <c r="AQ30" i="24"/>
  <c r="AJ202" i="25"/>
  <c r="AM202" i="25"/>
  <c r="BI167" i="24"/>
  <c r="BL167" i="24" s="1"/>
  <c r="AS167" i="24"/>
  <c r="AQ167" i="24"/>
  <c r="BJ167" i="24"/>
  <c r="BW167" i="24"/>
  <c r="AX167" i="24"/>
  <c r="BH167" i="24"/>
  <c r="BU167" i="24"/>
  <c r="BI299" i="24"/>
  <c r="BL299" i="24" s="1"/>
  <c r="AS299" i="24"/>
  <c r="AU299" i="24" s="1"/>
  <c r="BB299" i="24" s="1"/>
  <c r="AQ299" i="24"/>
  <c r="BJ299" i="24"/>
  <c r="AX46" i="25"/>
  <c r="AW46" i="25"/>
  <c r="AX102" i="25"/>
  <c r="AW102" i="25"/>
  <c r="BW135" i="24"/>
  <c r="AS248" i="24"/>
  <c r="AU248" i="24" s="1"/>
  <c r="BB248" i="24" s="1"/>
  <c r="BI248" i="24"/>
  <c r="BL248" i="24" s="1"/>
  <c r="BJ248" i="24"/>
  <c r="AQ248" i="24"/>
  <c r="BH121" i="24"/>
  <c r="AW9" i="25"/>
  <c r="AX9" i="25"/>
  <c r="AM49" i="25"/>
  <c r="AJ49" i="25"/>
  <c r="AS125" i="24"/>
  <c r="AU125" i="24" s="1"/>
  <c r="BB125" i="24" s="1"/>
  <c r="BI125" i="24"/>
  <c r="BL125" i="24" s="1"/>
  <c r="AQ125" i="24"/>
  <c r="BJ125" i="24"/>
  <c r="AM79" i="25"/>
  <c r="CE79" i="25" s="1"/>
  <c r="AJ79" i="25"/>
  <c r="BI29" i="24"/>
  <c r="BL29" i="24" s="1"/>
  <c r="AS29" i="24"/>
  <c r="BJ29" i="24"/>
  <c r="AQ29" i="24"/>
  <c r="BH29" i="24"/>
  <c r="BW29" i="24"/>
  <c r="AX29" i="24"/>
  <c r="BW290" i="24"/>
  <c r="BA145" i="24"/>
  <c r="AR155" i="25"/>
  <c r="BG155" i="25"/>
  <c r="BJ155" i="25" s="1"/>
  <c r="AP155" i="25"/>
  <c r="BH155" i="25"/>
  <c r="BF155" i="25"/>
  <c r="BU155" i="25"/>
  <c r="BW155" i="25"/>
  <c r="BH17" i="24"/>
  <c r="BW17" i="24"/>
  <c r="BH267" i="24"/>
  <c r="BH253" i="24"/>
  <c r="BI271" i="24"/>
  <c r="BL271" i="24" s="1"/>
  <c r="AS271" i="24"/>
  <c r="AU271" i="24" s="1"/>
  <c r="BB271" i="24" s="1"/>
  <c r="AQ271" i="24"/>
  <c r="BJ271" i="24"/>
  <c r="AJ146" i="25"/>
  <c r="AM146" i="25"/>
  <c r="BI78" i="24"/>
  <c r="BL78" i="24" s="1"/>
  <c r="AS78" i="24"/>
  <c r="BJ78" i="24"/>
  <c r="AQ78" i="24"/>
  <c r="BH78" i="24"/>
  <c r="BW78" i="24"/>
  <c r="AX78" i="24"/>
  <c r="AJ224" i="25"/>
  <c r="AM224" i="25"/>
  <c r="AW49" i="25"/>
  <c r="AX49" i="25"/>
  <c r="AJ242" i="25"/>
  <c r="AM242" i="25"/>
  <c r="BI75" i="24"/>
  <c r="BL75" i="24" s="1"/>
  <c r="AS75" i="24"/>
  <c r="BJ75" i="24"/>
  <c r="AQ75" i="24"/>
  <c r="AX75" i="24"/>
  <c r="BW75" i="24"/>
  <c r="BH75" i="24"/>
  <c r="AR30" i="25"/>
  <c r="BG30" i="25"/>
  <c r="BJ30" i="25" s="1"/>
  <c r="AP30" i="25"/>
  <c r="BH30" i="25"/>
  <c r="BU30" i="25"/>
  <c r="BW30" i="25"/>
  <c r="BF30" i="25"/>
  <c r="BI246" i="24"/>
  <c r="BL246" i="24" s="1"/>
  <c r="AS246" i="24"/>
  <c r="BJ246" i="24"/>
  <c r="AQ246" i="24"/>
  <c r="BH246" i="24"/>
  <c r="BU246" i="24"/>
  <c r="BW246" i="24"/>
  <c r="AX246" i="24"/>
  <c r="BI138" i="24"/>
  <c r="BL138" i="24" s="1"/>
  <c r="AS138" i="24"/>
  <c r="BJ138" i="24"/>
  <c r="AQ138" i="24"/>
  <c r="BU138" i="24"/>
  <c r="AX138" i="24"/>
  <c r="BH138" i="24"/>
  <c r="BW138" i="24"/>
  <c r="BA20" i="24"/>
  <c r="AM38" i="25"/>
  <c r="AJ38" i="25"/>
  <c r="BA152" i="24"/>
  <c r="AJ171" i="25"/>
  <c r="AM171" i="25"/>
  <c r="CE171" i="25" s="1"/>
  <c r="BI283" i="24"/>
  <c r="BL283" i="24" s="1"/>
  <c r="AS283" i="24"/>
  <c r="AU283" i="24" s="1"/>
  <c r="BB283" i="24" s="1"/>
  <c r="AQ283" i="24"/>
  <c r="BJ283" i="24"/>
  <c r="BI120" i="24"/>
  <c r="BL120" i="24" s="1"/>
  <c r="AS120" i="24"/>
  <c r="AU120" i="24" s="1"/>
  <c r="BB120" i="24" s="1"/>
  <c r="AQ120" i="24"/>
  <c r="BJ120" i="24"/>
  <c r="AJ134" i="25"/>
  <c r="AM134" i="25"/>
  <c r="AX24" i="25"/>
  <c r="AW24" i="25"/>
  <c r="AS16" i="24"/>
  <c r="BI16" i="24"/>
  <c r="BL16" i="24" s="1"/>
  <c r="BJ16" i="24"/>
  <c r="AQ16" i="24"/>
  <c r="AX16" i="24"/>
  <c r="BH16" i="24"/>
  <c r="BW16" i="24"/>
  <c r="AS36" i="24"/>
  <c r="BI36" i="24"/>
  <c r="BL36" i="24" s="1"/>
  <c r="BJ36" i="24"/>
  <c r="AQ36" i="24"/>
  <c r="BH36" i="24"/>
  <c r="BW36" i="24"/>
  <c r="AX36" i="24"/>
  <c r="AX72" i="25"/>
  <c r="AW72" i="25"/>
  <c r="AS269" i="24"/>
  <c r="AU269" i="24" s="1"/>
  <c r="BB269" i="24" s="1"/>
  <c r="BI269" i="24"/>
  <c r="BL269" i="24" s="1"/>
  <c r="AQ269" i="24"/>
  <c r="BJ269" i="24"/>
  <c r="AS28" i="24"/>
  <c r="AU28" i="24" s="1"/>
  <c r="BB28" i="24" s="1"/>
  <c r="BI28" i="24"/>
  <c r="BL28" i="24" s="1"/>
  <c r="BJ28" i="24"/>
  <c r="AQ28" i="24"/>
  <c r="AJ142" i="25"/>
  <c r="AM142" i="25"/>
  <c r="AX126" i="25"/>
  <c r="AW126" i="25"/>
  <c r="AX51" i="25"/>
  <c r="AW51" i="25"/>
  <c r="BI309" i="24"/>
  <c r="BL309" i="24" s="1"/>
  <c r="AS309" i="24"/>
  <c r="BJ309" i="24"/>
  <c r="AQ309" i="24"/>
  <c r="AX309" i="24"/>
  <c r="BH309" i="24"/>
  <c r="BU309" i="24"/>
  <c r="BW309" i="24"/>
  <c r="AX27" i="25"/>
  <c r="AW27" i="25"/>
  <c r="BI88" i="24"/>
  <c r="BL88" i="24" s="1"/>
  <c r="AS88" i="24"/>
  <c r="AQ88" i="24"/>
  <c r="BJ88" i="24"/>
  <c r="BW88" i="24"/>
  <c r="AX88" i="24"/>
  <c r="BH88" i="24"/>
  <c r="AX35" i="25"/>
  <c r="AW35" i="25"/>
  <c r="BI180" i="24"/>
  <c r="BL180" i="24" s="1"/>
  <c r="AS180" i="24"/>
  <c r="BJ180" i="24"/>
  <c r="AQ180" i="24"/>
  <c r="BW180" i="24"/>
  <c r="BU180" i="24"/>
  <c r="AX180" i="24"/>
  <c r="BH180" i="24"/>
  <c r="AU7" i="24"/>
  <c r="BB7" i="24" s="1"/>
  <c r="AW7" i="24"/>
  <c r="AM139" i="25"/>
  <c r="AJ139" i="25"/>
  <c r="BI259" i="24"/>
  <c r="BL259" i="24" s="1"/>
  <c r="AS259" i="24"/>
  <c r="AU259" i="24" s="1"/>
  <c r="BB259" i="24" s="1"/>
  <c r="BJ259" i="24"/>
  <c r="AQ259" i="24"/>
  <c r="AX56" i="25"/>
  <c r="AW56" i="25"/>
  <c r="AJ84" i="25"/>
  <c r="AM84" i="25"/>
  <c r="AU160" i="24"/>
  <c r="BB160" i="24" s="1"/>
  <c r="AW160" i="24"/>
  <c r="AJ76" i="25"/>
  <c r="AM76" i="25"/>
  <c r="AJ278" i="25"/>
  <c r="AM278" i="25"/>
  <c r="BH28" i="24"/>
  <c r="AS293" i="24"/>
  <c r="BI293" i="24"/>
  <c r="BL293" i="24" s="1"/>
  <c r="BJ293" i="24"/>
  <c r="AQ293" i="24"/>
  <c r="BH293" i="24"/>
  <c r="BU293" i="24"/>
  <c r="BW293" i="24"/>
  <c r="AX293" i="24"/>
  <c r="AJ268" i="25"/>
  <c r="AM268" i="25"/>
  <c r="CE268" i="25" s="1"/>
  <c r="AS184" i="24"/>
  <c r="BI184" i="24"/>
  <c r="BL184" i="24" s="1"/>
  <c r="BJ184" i="24"/>
  <c r="AQ184" i="24"/>
  <c r="AX184" i="24"/>
  <c r="BH184" i="24"/>
  <c r="BU184" i="24"/>
  <c r="BW184" i="24"/>
  <c r="BI133" i="24"/>
  <c r="BL133" i="24" s="1"/>
  <c r="AS133" i="24"/>
  <c r="AU133" i="24" s="1"/>
  <c r="BB133" i="24" s="1"/>
  <c r="AQ133" i="24"/>
  <c r="BJ133" i="24"/>
  <c r="AM315" i="25"/>
  <c r="AJ315" i="25"/>
  <c r="AS313" i="24"/>
  <c r="BI313" i="24"/>
  <c r="BL313" i="24" s="1"/>
  <c r="BJ313" i="24"/>
  <c r="AQ313" i="24"/>
  <c r="BU313" i="24"/>
  <c r="BW313" i="24"/>
  <c r="AX313" i="24"/>
  <c r="BH313" i="24"/>
  <c r="AW16" i="25"/>
  <c r="AX16" i="25"/>
  <c r="BI158" i="24"/>
  <c r="BL158" i="24" s="1"/>
  <c r="AS158" i="24"/>
  <c r="BJ158" i="24"/>
  <c r="AQ158" i="24"/>
  <c r="AX158" i="24"/>
  <c r="BH158" i="24"/>
  <c r="BU158" i="24"/>
  <c r="BW158" i="24"/>
  <c r="BA48" i="24"/>
  <c r="AM223" i="25"/>
  <c r="AJ223" i="25"/>
  <c r="AS115" i="24"/>
  <c r="BI115" i="24"/>
  <c r="BL115" i="24" s="1"/>
  <c r="AQ115" i="24"/>
  <c r="BJ115" i="24"/>
  <c r="AX115" i="24"/>
  <c r="BH115" i="24"/>
  <c r="BU115" i="24"/>
  <c r="BW115" i="24"/>
  <c r="BW147" i="24"/>
  <c r="AX117" i="25"/>
  <c r="AW117" i="25"/>
  <c r="BG167" i="25"/>
  <c r="BJ167" i="25" s="1"/>
  <c r="AR167" i="25"/>
  <c r="AP167" i="25"/>
  <c r="BH167" i="25"/>
  <c r="BW167" i="25"/>
  <c r="BU167" i="25"/>
  <c r="BF167" i="25"/>
  <c r="BI12" i="24"/>
  <c r="BL12" i="24" s="1"/>
  <c r="AS12" i="24"/>
  <c r="AU12" i="24" s="1"/>
  <c r="BB12" i="24" s="1"/>
  <c r="AQ12" i="24"/>
  <c r="BJ12" i="24"/>
  <c r="AR204" i="25"/>
  <c r="BG204" i="25"/>
  <c r="BJ204" i="25" s="1"/>
  <c r="BH204" i="25"/>
  <c r="BF204" i="25"/>
  <c r="BW204" i="25"/>
  <c r="BU204" i="25"/>
  <c r="AS130" i="24"/>
  <c r="AU130" i="24" s="1"/>
  <c r="BB130" i="24" s="1"/>
  <c r="BI130" i="24"/>
  <c r="BL130" i="24" s="1"/>
  <c r="AQ130" i="24"/>
  <c r="BJ130" i="24"/>
  <c r="AS103" i="24"/>
  <c r="BI103" i="24"/>
  <c r="BL103" i="24" s="1"/>
  <c r="BJ103" i="24"/>
  <c r="AQ103" i="24"/>
  <c r="AX103" i="24"/>
  <c r="BH103" i="24"/>
  <c r="BW103" i="24"/>
  <c r="AJ81" i="25"/>
  <c r="AM81" i="25"/>
  <c r="CE81" i="25" s="1"/>
  <c r="BI228" i="24"/>
  <c r="BL228" i="24" s="1"/>
  <c r="AS228" i="24"/>
  <c r="AU228" i="24" s="1"/>
  <c r="BB228" i="24" s="1"/>
  <c r="BJ228" i="24"/>
  <c r="AQ228" i="24"/>
  <c r="BI35" i="24"/>
  <c r="BL35" i="24" s="1"/>
  <c r="AS35" i="24"/>
  <c r="AU35" i="24" s="1"/>
  <c r="BB35" i="24" s="1"/>
  <c r="BJ35" i="24"/>
  <c r="AQ35" i="24"/>
  <c r="AM25" i="25"/>
  <c r="AJ25" i="25"/>
  <c r="AJ285" i="25"/>
  <c r="AM285" i="25"/>
  <c r="AM241" i="25"/>
  <c r="AJ241" i="25"/>
  <c r="AW188" i="25"/>
  <c r="AX188" i="25"/>
  <c r="BA260" i="24"/>
  <c r="AW209" i="25"/>
  <c r="AX209" i="25"/>
  <c r="AS270" i="24"/>
  <c r="BI270" i="24"/>
  <c r="BL270" i="24" s="1"/>
  <c r="AQ270" i="24"/>
  <c r="BJ270" i="24"/>
  <c r="AX270" i="24"/>
  <c r="BH270" i="24"/>
  <c r="BW270" i="24"/>
  <c r="BU270" i="24"/>
  <c r="BA12" i="24"/>
  <c r="AS145" i="24"/>
  <c r="AU145" i="24" s="1"/>
  <c r="BB145" i="24" s="1"/>
  <c r="BI145" i="24"/>
  <c r="BL145" i="24" s="1"/>
  <c r="BJ145" i="24"/>
  <c r="AQ145" i="24"/>
  <c r="BA273" i="24"/>
  <c r="AM288" i="25"/>
  <c r="AJ288" i="25"/>
  <c r="BI123" i="24"/>
  <c r="BL123" i="24" s="1"/>
  <c r="AS123" i="24"/>
  <c r="AU123" i="24" s="1"/>
  <c r="BB123" i="24" s="1"/>
  <c r="BJ123" i="24"/>
  <c r="AQ123" i="24"/>
  <c r="AR273" i="25"/>
  <c r="BG273" i="25"/>
  <c r="BJ273" i="25" s="1"/>
  <c r="AP273" i="25"/>
  <c r="BH273" i="25"/>
  <c r="BF273" i="25"/>
  <c r="BU273" i="25"/>
  <c r="BW273" i="25"/>
  <c r="AJ299" i="25"/>
  <c r="AM299" i="25"/>
  <c r="BU269" i="24"/>
  <c r="BI43" i="24"/>
  <c r="BL43" i="24" s="1"/>
  <c r="AS43" i="24"/>
  <c r="BJ43" i="24"/>
  <c r="AQ43" i="24"/>
  <c r="AX43" i="24"/>
  <c r="BH43" i="24"/>
  <c r="BW43" i="24"/>
  <c r="AW165" i="25"/>
  <c r="AX165" i="25"/>
  <c r="BI47" i="24"/>
  <c r="BL47" i="24" s="1"/>
  <c r="AS47" i="24"/>
  <c r="BJ47" i="24"/>
  <c r="AQ47" i="24"/>
  <c r="AX47" i="24"/>
  <c r="BH47" i="24"/>
  <c r="BW47" i="24"/>
  <c r="AS278" i="24"/>
  <c r="BI278" i="24"/>
  <c r="BL278" i="24" s="1"/>
  <c r="BJ278" i="24"/>
  <c r="AQ278" i="24"/>
  <c r="BW278" i="24"/>
  <c r="BU278" i="24"/>
  <c r="AX278" i="24"/>
  <c r="BH278" i="24"/>
  <c r="AR29" i="25"/>
  <c r="BG29" i="25"/>
  <c r="BJ29" i="25" s="1"/>
  <c r="BH29" i="25"/>
  <c r="AP29" i="25"/>
  <c r="BF29" i="25"/>
  <c r="BW29" i="25"/>
  <c r="BU29" i="25"/>
  <c r="AM164" i="25"/>
  <c r="CE164" i="25" s="1"/>
  <c r="AJ164" i="25"/>
  <c r="AM175" i="25"/>
  <c r="CE175" i="25" s="1"/>
  <c r="AJ175" i="25"/>
  <c r="AW105" i="25"/>
  <c r="B110" i="2" s="1"/>
  <c r="E33" i="1" s="1"/>
  <c r="AX105" i="25"/>
  <c r="B120" i="2" s="1"/>
  <c r="L33" i="1" s="1"/>
  <c r="BI194" i="24"/>
  <c r="BL194" i="24" s="1"/>
  <c r="AS194" i="24"/>
  <c r="BJ194" i="24"/>
  <c r="AQ194" i="24"/>
  <c r="AX194" i="24"/>
  <c r="BH194" i="24"/>
  <c r="BW194" i="24"/>
  <c r="BU194" i="24"/>
  <c r="BA271" i="24"/>
  <c r="BA33" i="24"/>
  <c r="BH6" i="24"/>
  <c r="BW6" i="24"/>
  <c r="AJ245" i="25"/>
  <c r="AM245" i="25"/>
  <c r="AJ234" i="25"/>
  <c r="AM234" i="25"/>
  <c r="BI202" i="24"/>
  <c r="BL202" i="24" s="1"/>
  <c r="AS202" i="24"/>
  <c r="AQ202" i="24"/>
  <c r="BJ202" i="24"/>
  <c r="BU202" i="24"/>
  <c r="AX202" i="24"/>
  <c r="BH202" i="24"/>
  <c r="BW202" i="24"/>
  <c r="AR206" i="25"/>
  <c r="BG206" i="25"/>
  <c r="BJ206" i="25" s="1"/>
  <c r="BH206" i="25"/>
  <c r="BF206" i="25"/>
  <c r="BW206" i="25"/>
  <c r="BU206" i="25"/>
  <c r="AM270" i="25"/>
  <c r="CE270" i="25" s="1"/>
  <c r="AJ270" i="25"/>
  <c r="AS240" i="24"/>
  <c r="AU240" i="24" s="1"/>
  <c r="BB240" i="24" s="1"/>
  <c r="BI240" i="24"/>
  <c r="BL240" i="24" s="1"/>
  <c r="BJ240" i="24"/>
  <c r="AQ240" i="24"/>
  <c r="AM138" i="25"/>
  <c r="CE138" i="25" s="1"/>
  <c r="AJ138" i="25"/>
  <c r="BI295" i="24"/>
  <c r="BL295" i="24" s="1"/>
  <c r="AS295" i="24"/>
  <c r="AU295" i="24" s="1"/>
  <c r="BB295" i="24" s="1"/>
  <c r="BJ295" i="24"/>
  <c r="AQ295" i="24"/>
  <c r="BI27" i="24"/>
  <c r="BL27" i="24" s="1"/>
  <c r="AS27" i="24"/>
  <c r="BJ27" i="24"/>
  <c r="AQ27" i="24"/>
  <c r="BH27" i="24"/>
  <c r="BW27" i="24"/>
  <c r="AX27" i="24"/>
  <c r="BI54" i="24"/>
  <c r="BL54" i="24" s="1"/>
  <c r="AS54" i="24"/>
  <c r="AU54" i="24" s="1"/>
  <c r="BB54" i="24" s="1"/>
  <c r="BJ54" i="24"/>
  <c r="AQ54" i="24"/>
  <c r="AX7" i="25"/>
  <c r="AW7" i="25"/>
  <c r="AX156" i="25"/>
  <c r="AW156" i="25"/>
  <c r="BA59" i="24"/>
  <c r="AX68" i="25"/>
  <c r="AW68" i="25"/>
  <c r="BI146" i="24"/>
  <c r="BL146" i="24" s="1"/>
  <c r="AS146" i="24"/>
  <c r="BJ146" i="24"/>
  <c r="AQ146" i="24"/>
  <c r="BW146" i="24"/>
  <c r="AX146" i="24"/>
  <c r="BH146" i="24"/>
  <c r="BU146" i="24"/>
  <c r="AJ287" i="25"/>
  <c r="AM287" i="25"/>
  <c r="CE287" i="25" s="1"/>
  <c r="BU265" i="24"/>
  <c r="AX135" i="25"/>
  <c r="AW135" i="25"/>
  <c r="AS20" i="24"/>
  <c r="AU20" i="24" s="1"/>
  <c r="BB20" i="24" s="1"/>
  <c r="BI20" i="24"/>
  <c r="BL20" i="24" s="1"/>
  <c r="BJ20" i="24"/>
  <c r="AQ20" i="24"/>
  <c r="AM251" i="25"/>
  <c r="AJ251" i="25"/>
  <c r="AM46" i="25"/>
  <c r="AJ46" i="25"/>
  <c r="AX111" i="24"/>
  <c r="AW264" i="24"/>
  <c r="AR305" i="25"/>
  <c r="BG305" i="25"/>
  <c r="BJ305" i="25" s="1"/>
  <c r="AP305" i="25"/>
  <c r="BH305" i="25"/>
  <c r="BU305" i="25"/>
  <c r="BW305" i="25"/>
  <c r="BF305" i="25"/>
  <c r="BG190" i="25"/>
  <c r="BJ190" i="25" s="1"/>
  <c r="AR190" i="25"/>
  <c r="BH190" i="25"/>
  <c r="AP190" i="25"/>
  <c r="BW190" i="25"/>
  <c r="BF190" i="25"/>
  <c r="BU190" i="25"/>
  <c r="AX41" i="25"/>
  <c r="AW41" i="25"/>
  <c r="BA247" i="24"/>
  <c r="AJ312" i="25"/>
  <c r="AM312" i="25"/>
  <c r="AX242" i="24"/>
  <c r="AJ99" i="25"/>
  <c r="AM99" i="25"/>
  <c r="AP99" i="25" s="1"/>
  <c r="AJ120" i="25"/>
  <c r="AM120" i="25"/>
  <c r="AS56" i="24"/>
  <c r="AU56" i="24" s="1"/>
  <c r="BB56" i="24" s="1"/>
  <c r="BI56" i="24"/>
  <c r="BL56" i="24" s="1"/>
  <c r="BJ56" i="24"/>
  <c r="AQ56" i="24"/>
  <c r="BU135" i="24"/>
  <c r="AX301" i="24"/>
  <c r="AM230" i="25"/>
  <c r="AJ230" i="25"/>
  <c r="AX20" i="25"/>
  <c r="AW20" i="25"/>
  <c r="AS171" i="24"/>
  <c r="BI171" i="24"/>
  <c r="BL171" i="24" s="1"/>
  <c r="AQ171" i="24"/>
  <c r="BJ171" i="24"/>
  <c r="BH171" i="24"/>
  <c r="BW171" i="24"/>
  <c r="BU171" i="24"/>
  <c r="AX171" i="24"/>
  <c r="AJ137" i="25"/>
  <c r="AM137" i="25"/>
  <c r="AR89" i="25"/>
  <c r="BG89" i="25"/>
  <c r="BJ89" i="25" s="1"/>
  <c r="AP89" i="25"/>
  <c r="BH89" i="25"/>
  <c r="BF89" i="25"/>
  <c r="BU89" i="25"/>
  <c r="BW89" i="25"/>
  <c r="BI197" i="24"/>
  <c r="BL197" i="24" s="1"/>
  <c r="AS197" i="24"/>
  <c r="BJ197" i="24"/>
  <c r="AQ197" i="24"/>
  <c r="BH197" i="24"/>
  <c r="BU197" i="24"/>
  <c r="BW197" i="24"/>
  <c r="AX197" i="24"/>
  <c r="BI104" i="24"/>
  <c r="BL104" i="24" s="1"/>
  <c r="AS104" i="24"/>
  <c r="BJ104" i="24"/>
  <c r="AQ104" i="24"/>
  <c r="AX104" i="24"/>
  <c r="BW104" i="24"/>
  <c r="BH104" i="24"/>
  <c r="AS275" i="24"/>
  <c r="BI275" i="24"/>
  <c r="BL275" i="24" s="1"/>
  <c r="AQ275" i="24"/>
  <c r="BJ275" i="24"/>
  <c r="AX275" i="24"/>
  <c r="BH275" i="24"/>
  <c r="BW275" i="24"/>
  <c r="BU275" i="24"/>
  <c r="BH126" i="24"/>
  <c r="BU290" i="24"/>
  <c r="BW145" i="24"/>
  <c r="BA263" i="24"/>
  <c r="AX67" i="25"/>
  <c r="AW67" i="25"/>
  <c r="AM17" i="25"/>
  <c r="AJ17" i="25"/>
  <c r="BA282" i="24"/>
  <c r="BA155" i="24"/>
  <c r="AJ236" i="25"/>
  <c r="AM236" i="25"/>
  <c r="AX248" i="24"/>
  <c r="AW187" i="25"/>
  <c r="AX187" i="25"/>
  <c r="BI168" i="24"/>
  <c r="BL168" i="24" s="1"/>
  <c r="AS168" i="24"/>
  <c r="AQ168" i="24"/>
  <c r="BJ168" i="24"/>
  <c r="BU168" i="24"/>
  <c r="AX168" i="24"/>
  <c r="BH168" i="24"/>
  <c r="BW168" i="24"/>
  <c r="AM72" i="25"/>
  <c r="CE72" i="25" s="1"/>
  <c r="AJ72" i="25"/>
  <c r="AJ222" i="25"/>
  <c r="AM222" i="25"/>
  <c r="BG28" i="25"/>
  <c r="BJ28" i="25" s="1"/>
  <c r="AR28" i="25"/>
  <c r="BH28" i="25"/>
  <c r="AP28" i="25"/>
  <c r="BF28" i="25"/>
  <c r="BW28" i="25"/>
  <c r="BU28" i="25"/>
  <c r="AS273" i="24"/>
  <c r="AU273" i="24" s="1"/>
  <c r="BB273" i="24" s="1"/>
  <c r="BI273" i="24"/>
  <c r="BL273" i="24" s="1"/>
  <c r="AQ273" i="24"/>
  <c r="BJ273" i="24"/>
  <c r="BI232" i="24"/>
  <c r="BL232" i="24" s="1"/>
  <c r="AS232" i="24"/>
  <c r="AU232" i="24" s="1"/>
  <c r="BB232" i="24" s="1"/>
  <c r="BJ232" i="24"/>
  <c r="AQ232" i="24"/>
  <c r="AR87" i="25"/>
  <c r="BG87" i="25"/>
  <c r="BJ87" i="25" s="1"/>
  <c r="BH87" i="25"/>
  <c r="AP87" i="25"/>
  <c r="BF87" i="25"/>
  <c r="BW87" i="25"/>
  <c r="BU87" i="25"/>
  <c r="AS69" i="24"/>
  <c r="BI69" i="24"/>
  <c r="BL69" i="24" s="1"/>
  <c r="BJ69" i="24"/>
  <c r="AQ69" i="24"/>
  <c r="BH69" i="24"/>
  <c r="BW69" i="24"/>
  <c r="AX69" i="24"/>
  <c r="BI131" i="24"/>
  <c r="BL131" i="24" s="1"/>
  <c r="AS131" i="24"/>
  <c r="BJ131" i="24"/>
  <c r="AQ131" i="24"/>
  <c r="BH131" i="24"/>
  <c r="BW131" i="24"/>
  <c r="BU131" i="24"/>
  <c r="AX131" i="24"/>
  <c r="BI268" i="24"/>
  <c r="BL268" i="24" s="1"/>
  <c r="AS268" i="24"/>
  <c r="AQ268" i="24"/>
  <c r="BJ268" i="24"/>
  <c r="AX268" i="24"/>
  <c r="BH268" i="24"/>
  <c r="BW268" i="24"/>
  <c r="BU268" i="24"/>
  <c r="AJ64" i="25"/>
  <c r="AM64" i="25"/>
  <c r="CE64" i="25" s="1"/>
  <c r="BH283" i="24"/>
  <c r="BI159" i="24"/>
  <c r="BL159" i="24" s="1"/>
  <c r="AS159" i="24"/>
  <c r="AQ159" i="24"/>
  <c r="BJ159" i="24"/>
  <c r="BW159" i="24"/>
  <c r="AX159" i="24"/>
  <c r="BH159" i="24"/>
  <c r="BU159" i="24"/>
  <c r="AX120" i="24"/>
  <c r="BI238" i="24"/>
  <c r="BL238" i="24" s="1"/>
  <c r="AS238" i="24"/>
  <c r="AU238" i="24" s="1"/>
  <c r="BB238" i="24" s="1"/>
  <c r="AQ238" i="24"/>
  <c r="BJ238" i="24"/>
  <c r="BI129" i="24"/>
  <c r="BL129" i="24" s="1"/>
  <c r="AS129" i="24"/>
  <c r="AU129" i="24" s="1"/>
  <c r="BB129" i="24" s="1"/>
  <c r="AQ129" i="24"/>
  <c r="BJ129" i="24"/>
  <c r="AM56" i="25"/>
  <c r="CE56" i="25" s="1"/>
  <c r="AJ56" i="25"/>
  <c r="BI267" i="24"/>
  <c r="BL267" i="24" s="1"/>
  <c r="AS267" i="24"/>
  <c r="AU267" i="24" s="1"/>
  <c r="BB267" i="24" s="1"/>
  <c r="AQ267" i="24"/>
  <c r="BJ267" i="24"/>
  <c r="AS206" i="24"/>
  <c r="BI206" i="24"/>
  <c r="BL206" i="24" s="1"/>
  <c r="BJ206" i="24"/>
  <c r="AQ206" i="24"/>
  <c r="BH206" i="24"/>
  <c r="BW206" i="24"/>
  <c r="BU206" i="24"/>
  <c r="AX206" i="24"/>
  <c r="AS280" i="24"/>
  <c r="AU280" i="24" s="1"/>
  <c r="BB280" i="24" s="1"/>
  <c r="BI280" i="24"/>
  <c r="BL280" i="24" s="1"/>
  <c r="BJ280" i="24"/>
  <c r="AQ280" i="24"/>
  <c r="BI302" i="24"/>
  <c r="BL302" i="24" s="1"/>
  <c r="AS302" i="24"/>
  <c r="BJ302" i="24"/>
  <c r="AQ302" i="24"/>
  <c r="BW302" i="24"/>
  <c r="BU302" i="24"/>
  <c r="AX302" i="24"/>
  <c r="BH302" i="24"/>
  <c r="AJ219" i="25"/>
  <c r="AM219" i="25"/>
  <c r="BI14" i="24"/>
  <c r="BL14" i="24" s="1"/>
  <c r="AS14" i="24"/>
  <c r="BJ14" i="24"/>
  <c r="AQ14" i="24"/>
  <c r="AX14" i="24"/>
  <c r="BH14" i="24"/>
  <c r="BW14" i="24"/>
  <c r="BI245" i="24"/>
  <c r="BL245" i="24" s="1"/>
  <c r="AS245" i="24"/>
  <c r="AQ245" i="24"/>
  <c r="BJ245" i="24"/>
  <c r="AX245" i="24"/>
  <c r="BH245" i="24"/>
  <c r="BW245" i="24"/>
  <c r="BU245" i="24"/>
  <c r="AJ16" i="25"/>
  <c r="AM16" i="25"/>
  <c r="AM302" i="25"/>
  <c r="CE302" i="25" s="1"/>
  <c r="AJ302" i="25"/>
  <c r="AX28" i="24"/>
  <c r="AX50" i="25"/>
  <c r="AW50" i="25"/>
  <c r="BI24" i="24"/>
  <c r="BL24" i="24" s="1"/>
  <c r="AS24" i="24"/>
  <c r="AU24" i="24" s="1"/>
  <c r="BB24" i="24" s="1"/>
  <c r="BJ24" i="24"/>
  <c r="AQ24" i="24"/>
  <c r="AS186" i="24"/>
  <c r="BI186" i="24"/>
  <c r="BL186" i="24" s="1"/>
  <c r="AQ186" i="24"/>
  <c r="BJ186" i="24"/>
  <c r="BW186" i="24"/>
  <c r="BU186" i="24"/>
  <c r="AX186" i="24"/>
  <c r="BH186" i="24"/>
  <c r="BA114" i="24"/>
  <c r="AM133" i="25"/>
  <c r="AJ133" i="25"/>
  <c r="BI173" i="24"/>
  <c r="BL173" i="24" s="1"/>
  <c r="AS173" i="24"/>
  <c r="BJ173" i="24"/>
  <c r="AQ173" i="24"/>
  <c r="BU173" i="24"/>
  <c r="BW173" i="24"/>
  <c r="AX173" i="24"/>
  <c r="BH173" i="24"/>
  <c r="AX130" i="24"/>
  <c r="BH147" i="24"/>
  <c r="BA274" i="24"/>
  <c r="AJ197" i="25"/>
  <c r="AM197" i="25"/>
  <c r="AP197" i="25" s="1"/>
  <c r="AS285" i="24"/>
  <c r="BI285" i="24"/>
  <c r="BL285" i="24" s="1"/>
  <c r="AQ285" i="24"/>
  <c r="BJ285" i="24"/>
  <c r="BH285" i="24"/>
  <c r="BU285" i="24"/>
  <c r="BW285" i="24"/>
  <c r="AX285" i="24"/>
  <c r="AS172" i="24"/>
  <c r="BI172" i="24"/>
  <c r="BL172" i="24" s="1"/>
  <c r="AQ172" i="24"/>
  <c r="BJ172" i="24"/>
  <c r="AX172" i="24"/>
  <c r="BH172" i="24"/>
  <c r="BW172" i="24"/>
  <c r="BU172" i="24"/>
  <c r="BW260" i="24"/>
  <c r="AX98" i="25"/>
  <c r="AW98" i="25"/>
  <c r="BI161" i="24"/>
  <c r="BL161" i="24" s="1"/>
  <c r="AS161" i="24"/>
  <c r="BJ161" i="24"/>
  <c r="AQ161" i="24"/>
  <c r="BH161" i="24"/>
  <c r="BW161" i="24"/>
  <c r="BU161" i="24"/>
  <c r="AX161" i="24"/>
  <c r="AM163" i="25"/>
  <c r="CE163" i="25" s="1"/>
  <c r="AJ163" i="25"/>
  <c r="AS8" i="24"/>
  <c r="AU8" i="24" s="1"/>
  <c r="BB8" i="24" s="1"/>
  <c r="BI8" i="24"/>
  <c r="BL8" i="24" s="1"/>
  <c r="BJ8" i="24"/>
  <c r="AQ8" i="24"/>
  <c r="AR238" i="25"/>
  <c r="BG238" i="25"/>
  <c r="BJ238" i="25" s="1"/>
  <c r="AP238" i="25"/>
  <c r="BH238" i="25"/>
  <c r="BU238" i="25"/>
  <c r="BW238" i="25"/>
  <c r="BF238" i="25"/>
  <c r="BI266" i="24"/>
  <c r="BL266" i="24" s="1"/>
  <c r="AS266" i="24"/>
  <c r="AU266" i="24" s="1"/>
  <c r="BB266" i="24" s="1"/>
  <c r="BJ266" i="24"/>
  <c r="AQ266" i="24"/>
  <c r="BW273" i="24"/>
  <c r="AW157" i="25"/>
  <c r="AX157" i="25"/>
  <c r="AR314" i="25"/>
  <c r="BG314" i="25"/>
  <c r="BJ314" i="25" s="1"/>
  <c r="AP314" i="25"/>
  <c r="BH314" i="25"/>
  <c r="BF314" i="25"/>
  <c r="BU314" i="25"/>
  <c r="BW314" i="25"/>
  <c r="AJ250" i="25"/>
  <c r="AM250" i="25"/>
  <c r="BW269" i="24"/>
  <c r="AX296" i="24"/>
  <c r="AJ88" i="25"/>
  <c r="AM88" i="25"/>
  <c r="AX193" i="25"/>
  <c r="AW193" i="25"/>
  <c r="BI117" i="24"/>
  <c r="BL117" i="24" s="1"/>
  <c r="AS117" i="24"/>
  <c r="AU117" i="24" s="1"/>
  <c r="BB117" i="24" s="1"/>
  <c r="BJ117" i="24"/>
  <c r="AQ117" i="24"/>
  <c r="AX65" i="25"/>
  <c r="AW65" i="25"/>
  <c r="BI286" i="24"/>
  <c r="BL286" i="24" s="1"/>
  <c r="AS286" i="24"/>
  <c r="AQ286" i="24"/>
  <c r="BJ286" i="24"/>
  <c r="AX286" i="24"/>
  <c r="BH286" i="24"/>
  <c r="BU286" i="24"/>
  <c r="BW286" i="24"/>
  <c r="AJ36" i="25"/>
  <c r="AM36" i="25"/>
  <c r="AX163" i="25"/>
  <c r="AW163" i="25"/>
  <c r="AR246" i="25"/>
  <c r="BG246" i="25"/>
  <c r="BJ246" i="25" s="1"/>
  <c r="AP246" i="25"/>
  <c r="BH246" i="25"/>
  <c r="BF246" i="25"/>
  <c r="BW246" i="25"/>
  <c r="BU246" i="25"/>
  <c r="AS279" i="24"/>
  <c r="AU279" i="24" s="1"/>
  <c r="BB279" i="24" s="1"/>
  <c r="BI279" i="24"/>
  <c r="BL279" i="24" s="1"/>
  <c r="BJ279" i="24"/>
  <c r="AQ279" i="24"/>
  <c r="AS19" i="24"/>
  <c r="AU19" i="24" s="1"/>
  <c r="BB19" i="24" s="1"/>
  <c r="BI19" i="24"/>
  <c r="BL19" i="24" s="1"/>
  <c r="BJ19" i="24"/>
  <c r="AQ19" i="24"/>
  <c r="AJ290" i="25"/>
  <c r="AM290" i="25"/>
  <c r="BA117" i="24"/>
  <c r="AW88" i="25"/>
  <c r="AX88" i="25"/>
  <c r="AM226" i="25"/>
  <c r="AJ226" i="25"/>
  <c r="AX164" i="25"/>
  <c r="AW164" i="25"/>
  <c r="AX19" i="25"/>
  <c r="AW19" i="25"/>
  <c r="AJ294" i="25"/>
  <c r="AM294" i="25"/>
  <c r="CE294" i="25" s="1"/>
  <c r="AJ26" i="25"/>
  <c r="AM26" i="25"/>
  <c r="AX8" i="24"/>
  <c r="BH240" i="24"/>
  <c r="AS229" i="24"/>
  <c r="BI229" i="24"/>
  <c r="BL229" i="24" s="1"/>
  <c r="BJ229" i="24"/>
  <c r="AQ229" i="24"/>
  <c r="BW229" i="24"/>
  <c r="BU229" i="24"/>
  <c r="AX229" i="24"/>
  <c r="BH229" i="24"/>
  <c r="AS288" i="24"/>
  <c r="BI288" i="24"/>
  <c r="BL288" i="24" s="1"/>
  <c r="BJ288" i="24"/>
  <c r="AQ288" i="24"/>
  <c r="AX288" i="24"/>
  <c r="BH288" i="24"/>
  <c r="BU288" i="24"/>
  <c r="BW288" i="24"/>
  <c r="BW32" i="24"/>
  <c r="AW208" i="25"/>
  <c r="AX208" i="25"/>
  <c r="AJ162" i="25"/>
  <c r="AM162" i="25"/>
  <c r="BI282" i="24"/>
  <c r="BL282" i="24" s="1"/>
  <c r="AS282" i="24"/>
  <c r="AU282" i="24" s="1"/>
  <c r="BB282" i="24" s="1"/>
  <c r="BJ282" i="24"/>
  <c r="AQ282" i="24"/>
  <c r="BI253" i="24"/>
  <c r="BL253" i="24" s="1"/>
  <c r="AS253" i="24"/>
  <c r="AU253" i="24" s="1"/>
  <c r="BB253" i="24" s="1"/>
  <c r="AQ253" i="24"/>
  <c r="BJ253" i="24"/>
  <c r="BA111" i="24"/>
  <c r="AS91" i="24"/>
  <c r="BI91" i="24"/>
  <c r="BL91" i="24" s="1"/>
  <c r="AQ91" i="24"/>
  <c r="BJ91" i="24"/>
  <c r="AX91" i="24"/>
  <c r="BH91" i="24"/>
  <c r="BW91" i="24"/>
  <c r="AS231" i="24"/>
  <c r="BI231" i="24"/>
  <c r="BL231" i="24" s="1"/>
  <c r="AQ231" i="24"/>
  <c r="BJ231" i="24"/>
  <c r="BH231" i="24"/>
  <c r="BU231" i="24"/>
  <c r="BW231" i="24"/>
  <c r="AX231" i="24"/>
  <c r="BW305" i="24"/>
  <c r="AX180" i="25"/>
  <c r="AW180" i="25"/>
  <c r="AX100" i="25"/>
  <c r="AW100" i="25"/>
  <c r="AR292" i="25"/>
  <c r="BG292" i="25"/>
  <c r="BJ292" i="25" s="1"/>
  <c r="BH292" i="25"/>
  <c r="AP292" i="25"/>
  <c r="BU292" i="25"/>
  <c r="BW292" i="25"/>
  <c r="BF292" i="25"/>
  <c r="AS150" i="24"/>
  <c r="BI150" i="24"/>
  <c r="BL150" i="24" s="1"/>
  <c r="AQ150" i="24"/>
  <c r="BJ150" i="24"/>
  <c r="AX150" i="24"/>
  <c r="BH150" i="24"/>
  <c r="BW150" i="24"/>
  <c r="BU150" i="24"/>
  <c r="AJ289" i="25"/>
  <c r="AM289" i="25"/>
  <c r="AS201" i="24"/>
  <c r="BI201" i="24"/>
  <c r="BL201" i="24" s="1"/>
  <c r="BJ201" i="24"/>
  <c r="AQ201" i="24"/>
  <c r="BW201" i="24"/>
  <c r="AX201" i="24"/>
  <c r="BH201" i="24"/>
  <c r="BU201" i="24"/>
  <c r="BI39" i="24"/>
  <c r="BL39" i="24" s="1"/>
  <c r="AS39" i="24"/>
  <c r="BJ39" i="24"/>
  <c r="AQ39" i="24"/>
  <c r="AX39" i="24"/>
  <c r="BH39" i="24"/>
  <c r="BW39" i="24"/>
  <c r="AJ33" i="25"/>
  <c r="AM33" i="25"/>
  <c r="AS90" i="24"/>
  <c r="BI90" i="24"/>
  <c r="BL90" i="24" s="1"/>
  <c r="BJ90" i="24"/>
  <c r="AQ90" i="24"/>
  <c r="AX90" i="24"/>
  <c r="BH90" i="24"/>
  <c r="BW90" i="24"/>
  <c r="BA225" i="24"/>
  <c r="AS195" i="24"/>
  <c r="BI195" i="24"/>
  <c r="BL195" i="24" s="1"/>
  <c r="BJ195" i="24"/>
  <c r="AQ195" i="24"/>
  <c r="BH195" i="24"/>
  <c r="BU195" i="24"/>
  <c r="BW195" i="24"/>
  <c r="AX195" i="24"/>
  <c r="AJ116" i="25"/>
  <c r="AM116" i="25"/>
  <c r="AX295" i="24"/>
  <c r="AJ159" i="25"/>
  <c r="AM159" i="25"/>
  <c r="CE159" i="25" s="1"/>
  <c r="AS188" i="24"/>
  <c r="BI188" i="24"/>
  <c r="BL188" i="24" s="1"/>
  <c r="BJ188" i="24"/>
  <c r="AQ188" i="24"/>
  <c r="BH188" i="24"/>
  <c r="BU188" i="24"/>
  <c r="BW188" i="24"/>
  <c r="AX188" i="24"/>
  <c r="BI164" i="24"/>
  <c r="BL164" i="24" s="1"/>
  <c r="AS164" i="24"/>
  <c r="BJ164" i="24"/>
  <c r="AQ164" i="24"/>
  <c r="AX164" i="24"/>
  <c r="BH164" i="24"/>
  <c r="BW164" i="24"/>
  <c r="BU164" i="24"/>
  <c r="AJ53" i="25"/>
  <c r="AM53" i="25"/>
  <c r="BI155" i="24"/>
  <c r="BL155" i="24" s="1"/>
  <c r="AS155" i="24"/>
  <c r="AU155" i="24" s="1"/>
  <c r="BB155" i="24" s="1"/>
  <c r="BJ155" i="24"/>
  <c r="AQ155" i="24"/>
  <c r="BI37" i="24"/>
  <c r="BL37" i="24" s="1"/>
  <c r="AS37" i="24"/>
  <c r="AU37" i="24" s="1"/>
  <c r="BB37" i="24" s="1"/>
  <c r="BJ37" i="24"/>
  <c r="AQ37" i="24"/>
  <c r="BA301" i="24"/>
  <c r="AX121" i="24"/>
  <c r="AX93" i="25"/>
  <c r="AW93" i="25"/>
  <c r="AJ39" i="25"/>
  <c r="AM39" i="25"/>
  <c r="AR6" i="25"/>
  <c r="BG6" i="25"/>
  <c r="BJ6" i="25" s="1"/>
  <c r="BH6" i="25"/>
  <c r="AP6" i="25"/>
  <c r="BF6" i="25"/>
  <c r="BW6" i="25"/>
  <c r="BU6" i="25"/>
  <c r="AX33" i="25"/>
  <c r="AW33" i="25"/>
  <c r="AX279" i="24"/>
  <c r="AM123" i="25"/>
  <c r="AJ123" i="25"/>
  <c r="BA17" i="24"/>
  <c r="AS316" i="24"/>
  <c r="BI316" i="24"/>
  <c r="BL316" i="24" s="1"/>
  <c r="BJ316" i="24"/>
  <c r="AQ316" i="24"/>
  <c r="AX316" i="24"/>
  <c r="BH316" i="24"/>
  <c r="BW316" i="24"/>
  <c r="BU316" i="24"/>
  <c r="BI199" i="24"/>
  <c r="BL199" i="24" s="1"/>
  <c r="AS199" i="24"/>
  <c r="AQ199" i="24"/>
  <c r="BJ199" i="24"/>
  <c r="AX199" i="24"/>
  <c r="BH199" i="24"/>
  <c r="BW199" i="24"/>
  <c r="BU199" i="24"/>
  <c r="BU282" i="24"/>
  <c r="AW142" i="24"/>
  <c r="AJ10" i="25"/>
  <c r="AM10" i="25"/>
  <c r="BA248" i="24"/>
  <c r="BH232" i="24"/>
  <c r="BI48" i="24"/>
  <c r="BL48" i="24" s="1"/>
  <c r="AS48" i="24"/>
  <c r="AU48" i="24" s="1"/>
  <c r="BB48" i="24" s="1"/>
  <c r="BJ48" i="24"/>
  <c r="AQ48" i="24"/>
  <c r="AJ40" i="25"/>
  <c r="AM40" i="25"/>
  <c r="AS154" i="24"/>
  <c r="BI154" i="24"/>
  <c r="BL154" i="24" s="1"/>
  <c r="BJ154" i="24"/>
  <c r="AQ154" i="24"/>
  <c r="AX154" i="24"/>
  <c r="BH154" i="24"/>
  <c r="BW154" i="24"/>
  <c r="BU154" i="24"/>
  <c r="AX79" i="25"/>
  <c r="AW79" i="25"/>
  <c r="AS204" i="24"/>
  <c r="BI204" i="24"/>
  <c r="BL204" i="24" s="1"/>
  <c r="BJ204" i="24"/>
  <c r="AQ204" i="24"/>
  <c r="AX204" i="24"/>
  <c r="BH204" i="24"/>
  <c r="BU204" i="24"/>
  <c r="BW204" i="24"/>
  <c r="BA259" i="24"/>
  <c r="BI277" i="24"/>
  <c r="BL277" i="24" s="1"/>
  <c r="AS277" i="24"/>
  <c r="BJ277" i="24"/>
  <c r="AQ277" i="24"/>
  <c r="AX277" i="24"/>
  <c r="BH277" i="24"/>
  <c r="BU277" i="24"/>
  <c r="BW277" i="24"/>
  <c r="AM27" i="25"/>
  <c r="AJ27" i="25"/>
  <c r="AU190" i="24"/>
  <c r="BB190" i="24" s="1"/>
  <c r="AW190" i="24"/>
  <c r="AW17" i="25"/>
  <c r="AX17" i="25"/>
  <c r="BI59" i="24"/>
  <c r="BL59" i="24" s="1"/>
  <c r="AS59" i="24"/>
  <c r="AU59" i="24" s="1"/>
  <c r="BB59" i="24" s="1"/>
  <c r="BJ59" i="24"/>
  <c r="AQ59" i="24"/>
  <c r="AJ149" i="25"/>
  <c r="AM149" i="25"/>
  <c r="AM153" i="25"/>
  <c r="CE153" i="25" s="1"/>
  <c r="AJ153" i="25"/>
  <c r="AJ182" i="25"/>
  <c r="AM182" i="25"/>
  <c r="CE182" i="25" s="1"/>
  <c r="BG147" i="25"/>
  <c r="BJ147" i="25" s="1"/>
  <c r="AR147" i="25"/>
  <c r="AP147" i="25"/>
  <c r="BH147" i="25"/>
  <c r="BW147" i="25"/>
  <c r="BU147" i="25"/>
  <c r="BF147" i="25"/>
  <c r="AW23" i="25"/>
  <c r="AX23" i="25"/>
  <c r="AM233" i="25"/>
  <c r="AJ233" i="25"/>
  <c r="BI166" i="24"/>
  <c r="BL166" i="24" s="1"/>
  <c r="AS166" i="24"/>
  <c r="AQ166" i="24"/>
  <c r="BJ166" i="24"/>
  <c r="BW166" i="24"/>
  <c r="BU166" i="24"/>
  <c r="AX166" i="24"/>
  <c r="BH166" i="24"/>
  <c r="BI84" i="24"/>
  <c r="BL84" i="24" s="1"/>
  <c r="AS84" i="24"/>
  <c r="AQ84" i="24"/>
  <c r="BJ84" i="24"/>
  <c r="BW84" i="24"/>
  <c r="AX84" i="24"/>
  <c r="BH84" i="24"/>
  <c r="AM117" i="25"/>
  <c r="AJ117" i="25"/>
  <c r="AM69" i="25"/>
  <c r="AJ69" i="25"/>
  <c r="AW134" i="25"/>
  <c r="AX134" i="25"/>
  <c r="AJ271" i="25"/>
  <c r="AM271" i="25"/>
  <c r="BG232" i="25"/>
  <c r="BJ232" i="25" s="1"/>
  <c r="AR232" i="25"/>
  <c r="AP232" i="25"/>
  <c r="BH232" i="25"/>
  <c r="BF232" i="25"/>
  <c r="BW232" i="25"/>
  <c r="BU232" i="25"/>
  <c r="AS49" i="24"/>
  <c r="BI49" i="24"/>
  <c r="BL49" i="24" s="1"/>
  <c r="BJ49" i="24"/>
  <c r="AQ49" i="24"/>
  <c r="AX49" i="24"/>
  <c r="BH49" i="24"/>
  <c r="BW49" i="24"/>
  <c r="AM119" i="25"/>
  <c r="AJ119" i="25"/>
  <c r="AJ150" i="25"/>
  <c r="AM150" i="25"/>
  <c r="AU294" i="24"/>
  <c r="BB294" i="24" s="1"/>
  <c r="AW294" i="24"/>
  <c r="BA219" i="24"/>
  <c r="AX194" i="25"/>
  <c r="AW194" i="25"/>
  <c r="AX103" i="25"/>
  <c r="AW103" i="25"/>
  <c r="AX139" i="25"/>
  <c r="AW139" i="25"/>
  <c r="BA130" i="24"/>
  <c r="AX147" i="24"/>
  <c r="AS34" i="24"/>
  <c r="AU34" i="24" s="1"/>
  <c r="BB34" i="24" s="1"/>
  <c r="BI34" i="24"/>
  <c r="BL34" i="24" s="1"/>
  <c r="BJ34" i="24"/>
  <c r="AQ34" i="24"/>
  <c r="BA249" i="24"/>
  <c r="AM85" i="25"/>
  <c r="AJ85" i="25"/>
  <c r="AR161" i="25"/>
  <c r="BG161" i="25"/>
  <c r="BJ161" i="25" s="1"/>
  <c r="BH161" i="25"/>
  <c r="AP161" i="25"/>
  <c r="BF161" i="25"/>
  <c r="BW161" i="25"/>
  <c r="BU161" i="25"/>
  <c r="AU162" i="24"/>
  <c r="BB162" i="24" s="1"/>
  <c r="AW162" i="24"/>
  <c r="AS52" i="24"/>
  <c r="BI52" i="24"/>
  <c r="BL52" i="24" s="1"/>
  <c r="AQ52" i="24"/>
  <c r="BJ52" i="24"/>
  <c r="AX52" i="24"/>
  <c r="BH52" i="24"/>
  <c r="BW52" i="24"/>
  <c r="BU260" i="24"/>
  <c r="AM210" i="25"/>
  <c r="AJ210" i="25"/>
  <c r="AS80" i="24"/>
  <c r="BI80" i="24"/>
  <c r="BL80" i="24" s="1"/>
  <c r="BJ80" i="24"/>
  <c r="AQ80" i="24"/>
  <c r="BW80" i="24"/>
  <c r="AX80" i="24"/>
  <c r="BH80" i="24"/>
  <c r="AT129" i="25"/>
  <c r="AY129" i="25" s="1"/>
  <c r="AU129" i="25"/>
  <c r="BA296" i="24"/>
  <c r="AM313" i="25"/>
  <c r="AJ313" i="25"/>
  <c r="AR94" i="25"/>
  <c r="BG94" i="25"/>
  <c r="BJ94" i="25" s="1"/>
  <c r="BH94" i="25"/>
  <c r="AP94" i="25"/>
  <c r="BU94" i="25"/>
  <c r="BF94" i="25"/>
  <c r="BW94" i="25"/>
  <c r="AX197" i="25"/>
  <c r="AW197" i="25"/>
  <c r="AJ301" i="25"/>
  <c r="AM301" i="25"/>
  <c r="AW145" i="25"/>
  <c r="AX145" i="25"/>
  <c r="AJ284" i="25"/>
  <c r="AM284" i="25"/>
  <c r="CE284" i="25" s="1"/>
  <c r="BG262" i="25"/>
  <c r="BJ262" i="25" s="1"/>
  <c r="AR262" i="25"/>
  <c r="BH262" i="25"/>
  <c r="AP262" i="25"/>
  <c r="BW262" i="25"/>
  <c r="BU262" i="25"/>
  <c r="BF262" i="25"/>
  <c r="AX238" i="24"/>
  <c r="AJ169" i="25"/>
  <c r="AM169" i="25"/>
  <c r="CE169" i="25" s="1"/>
  <c r="BI263" i="24"/>
  <c r="BL263" i="24" s="1"/>
  <c r="AS263" i="24"/>
  <c r="AU263" i="24" s="1"/>
  <c r="BB263" i="24" s="1"/>
  <c r="BJ263" i="24"/>
  <c r="AQ263" i="24"/>
  <c r="BG276" i="25"/>
  <c r="BJ276" i="25" s="1"/>
  <c r="AR276" i="25"/>
  <c r="BH276" i="25"/>
  <c r="AP276" i="25"/>
  <c r="BW276" i="25"/>
  <c r="BU276" i="25"/>
  <c r="BF276" i="25"/>
  <c r="AJ295" i="25"/>
  <c r="AM295" i="25"/>
  <c r="CE295" i="25" s="1"/>
  <c r="BH133" i="24"/>
  <c r="AU191" i="24"/>
  <c r="BB191" i="24" s="1"/>
  <c r="AW191" i="24"/>
  <c r="BI38" i="24"/>
  <c r="BL38" i="24" s="1"/>
  <c r="AS38" i="24"/>
  <c r="BJ38" i="24"/>
  <c r="AQ38" i="24"/>
  <c r="AX38" i="24"/>
  <c r="BW38" i="24"/>
  <c r="BH38" i="24"/>
  <c r="AR114" i="25"/>
  <c r="BG114" i="25"/>
  <c r="BJ114" i="25" s="1"/>
  <c r="BH114" i="25"/>
  <c r="AP114" i="25"/>
  <c r="BW114" i="25"/>
  <c r="BU114" i="25"/>
  <c r="BF114" i="25"/>
  <c r="AW236" i="24"/>
  <c r="AR113" i="25"/>
  <c r="BG113" i="25"/>
  <c r="BJ113" i="25" s="1"/>
  <c r="AP113" i="25"/>
  <c r="BH113" i="25"/>
  <c r="BF113" i="25"/>
  <c r="BW113" i="25"/>
  <c r="BU113" i="25"/>
  <c r="AM41" i="25"/>
  <c r="AJ41" i="25"/>
  <c r="BH8" i="24"/>
  <c r="AW22" i="24"/>
  <c r="BH266" i="24"/>
  <c r="BH265" i="24"/>
  <c r="AX181" i="25"/>
  <c r="AW181" i="25"/>
  <c r="AJ277" i="25"/>
  <c r="AM277" i="25"/>
  <c r="AX44" i="25"/>
  <c r="AW44" i="25"/>
  <c r="BU305" i="24"/>
  <c r="AW86" i="25"/>
  <c r="AX86" i="25"/>
  <c r="AJ121" i="25"/>
  <c r="AM121" i="25"/>
  <c r="BU247" i="24"/>
  <c r="AW60" i="25"/>
  <c r="AX60" i="25"/>
  <c r="AS112" i="24"/>
  <c r="AU112" i="24" s="1"/>
  <c r="BB112" i="24" s="1"/>
  <c r="BI112" i="24"/>
  <c r="BL112" i="24" s="1"/>
  <c r="AQ112" i="24"/>
  <c r="BJ112" i="24"/>
  <c r="AM67" i="25"/>
  <c r="AJ67" i="25"/>
  <c r="AX91" i="25"/>
  <c r="AW91" i="25"/>
  <c r="AS105" i="24"/>
  <c r="BI105" i="24"/>
  <c r="BL105" i="24" s="1"/>
  <c r="BJ105" i="24"/>
  <c r="AQ105" i="24"/>
  <c r="AX105" i="24"/>
  <c r="BH105" i="24"/>
  <c r="BW105" i="24"/>
  <c r="BW242" i="24"/>
  <c r="BA295" i="24"/>
  <c r="AJ12" i="25"/>
  <c r="AM12" i="25"/>
  <c r="AR32" i="25"/>
  <c r="BG32" i="25"/>
  <c r="BJ32" i="25" s="1"/>
  <c r="AP32" i="25"/>
  <c r="BH32" i="25"/>
  <c r="BW32" i="25"/>
  <c r="BU32" i="25"/>
  <c r="BF32" i="25"/>
  <c r="AS209" i="24"/>
  <c r="BI209" i="24"/>
  <c r="BL209" i="24" s="1"/>
  <c r="BJ209" i="24"/>
  <c r="AQ209" i="24"/>
  <c r="AX209" i="24"/>
  <c r="BH209" i="24"/>
  <c r="BU209" i="24"/>
  <c r="BW209" i="24"/>
  <c r="BW301" i="24"/>
  <c r="BA121" i="24"/>
  <c r="AM191" i="25"/>
  <c r="CE191" i="25" s="1"/>
  <c r="AJ191" i="25"/>
  <c r="AJ195" i="25"/>
  <c r="AM195" i="25"/>
  <c r="AP195" i="25" s="1"/>
  <c r="BI276" i="24"/>
  <c r="BL276" i="24" s="1"/>
  <c r="AS276" i="24"/>
  <c r="AQ276" i="24"/>
  <c r="BJ276" i="24"/>
  <c r="BU276" i="24"/>
  <c r="BW276" i="24"/>
  <c r="AX276" i="24"/>
  <c r="BH276" i="24"/>
  <c r="AR174" i="25"/>
  <c r="BG174" i="25"/>
  <c r="BJ174" i="25" s="1"/>
  <c r="AP174" i="25"/>
  <c r="BH174" i="25"/>
  <c r="BW174" i="25"/>
  <c r="BU174" i="25"/>
  <c r="BF174" i="25"/>
  <c r="BU145" i="24"/>
  <c r="AW132" i="24"/>
  <c r="BW263" i="24"/>
  <c r="BH9" i="24"/>
  <c r="BA267" i="24"/>
  <c r="BA253" i="24"/>
  <c r="AX58" i="25"/>
  <c r="AW58" i="25"/>
  <c r="AX232" i="24"/>
  <c r="AS284" i="24"/>
  <c r="AU284" i="24" s="1"/>
  <c r="BB284" i="24" s="1"/>
  <c r="BI284" i="24"/>
  <c r="BL284" i="24" s="1"/>
  <c r="AQ284" i="24"/>
  <c r="BJ284" i="24"/>
  <c r="AJ152" i="25"/>
  <c r="AM152" i="25"/>
  <c r="AX195" i="25"/>
  <c r="AW195" i="25"/>
  <c r="AR71" i="25"/>
  <c r="BG71" i="25"/>
  <c r="BJ71" i="25" s="1"/>
  <c r="BH71" i="25"/>
  <c r="AP71" i="25"/>
  <c r="BF71" i="25"/>
  <c r="BW71" i="25"/>
  <c r="BU71" i="25"/>
  <c r="AJ126" i="25"/>
  <c r="AM126" i="25"/>
  <c r="AM78" i="25"/>
  <c r="AJ78" i="25"/>
  <c r="AW200" i="25"/>
  <c r="AX200" i="25"/>
  <c r="AX123" i="25"/>
  <c r="AW123" i="25"/>
  <c r="BA18" i="24"/>
  <c r="AS92" i="24"/>
  <c r="BI92" i="24"/>
  <c r="BL92" i="24" s="1"/>
  <c r="BJ92" i="24"/>
  <c r="AQ92" i="24"/>
  <c r="BH92" i="24"/>
  <c r="BW92" i="24"/>
  <c r="AX92" i="24"/>
  <c r="BA120" i="24"/>
  <c r="BI314" i="24"/>
  <c r="BL314" i="24" s="1"/>
  <c r="AS314" i="24"/>
  <c r="AQ314" i="24"/>
  <c r="BJ314" i="24"/>
  <c r="BH314" i="24"/>
  <c r="BW314" i="24"/>
  <c r="BU314" i="24"/>
  <c r="AX314" i="24"/>
  <c r="BI237" i="24"/>
  <c r="BL237" i="24" s="1"/>
  <c r="AS237" i="24"/>
  <c r="AU237" i="24" s="1"/>
  <c r="BB237" i="24" s="1"/>
  <c r="BJ237" i="24"/>
  <c r="AQ237" i="24"/>
  <c r="AM22" i="25"/>
  <c r="AJ22" i="25"/>
  <c r="BI32" i="24"/>
  <c r="BL32" i="24" s="1"/>
  <c r="AS32" i="24"/>
  <c r="AU32" i="24" s="1"/>
  <c r="BB32" i="24" s="1"/>
  <c r="AQ32" i="24"/>
  <c r="BJ32" i="24"/>
  <c r="AS66" i="24"/>
  <c r="BI66" i="24"/>
  <c r="BL66" i="24" s="1"/>
  <c r="AQ66" i="24"/>
  <c r="BJ66" i="24"/>
  <c r="BW66" i="24"/>
  <c r="AX66" i="24"/>
  <c r="BH66" i="24"/>
  <c r="BA298" i="24"/>
  <c r="AJ115" i="25"/>
  <c r="AM115" i="25"/>
  <c r="AR198" i="25"/>
  <c r="BG198" i="25"/>
  <c r="BJ198" i="25" s="1"/>
  <c r="BH198" i="25"/>
  <c r="BF198" i="25"/>
  <c r="BW198" i="25"/>
  <c r="BU198" i="25"/>
  <c r="AW75" i="25"/>
  <c r="AX75" i="25"/>
  <c r="AS178" i="24"/>
  <c r="BI178" i="24"/>
  <c r="BL178" i="24" s="1"/>
  <c r="AQ178" i="24"/>
  <c r="BJ178" i="24"/>
  <c r="BW178" i="24"/>
  <c r="BU178" i="24"/>
  <c r="AX178" i="24"/>
  <c r="BH178" i="24"/>
  <c r="BI53" i="24"/>
  <c r="BL53" i="24" s="1"/>
  <c r="AS53" i="24"/>
  <c r="AQ53" i="24"/>
  <c r="BJ53" i="24"/>
  <c r="AX53" i="24"/>
  <c r="BH53" i="24"/>
  <c r="BW53" i="24"/>
  <c r="AS65" i="24"/>
  <c r="BI65" i="24"/>
  <c r="BL65" i="24" s="1"/>
  <c r="AQ65" i="24"/>
  <c r="BJ65" i="24"/>
  <c r="BW65" i="24"/>
  <c r="AX65" i="24"/>
  <c r="BH65" i="24"/>
  <c r="BI77" i="24"/>
  <c r="BL77" i="24" s="1"/>
  <c r="AS77" i="24"/>
  <c r="BJ77" i="24"/>
  <c r="AQ77" i="24"/>
  <c r="AX77" i="24"/>
  <c r="BW77" i="24"/>
  <c r="BH77" i="24"/>
  <c r="AX237" i="24"/>
  <c r="AJ160" i="25"/>
  <c r="AM160" i="25"/>
  <c r="CE160" i="25" s="1"/>
  <c r="AX172" i="25"/>
  <c r="AW172" i="25"/>
  <c r="AS85" i="24"/>
  <c r="BI85" i="24"/>
  <c r="BL85" i="24" s="1"/>
  <c r="BJ85" i="24"/>
  <c r="AQ85" i="24"/>
  <c r="AX85" i="24"/>
  <c r="BW85" i="24"/>
  <c r="BH85" i="24"/>
  <c r="AS291" i="24"/>
  <c r="BI291" i="24"/>
  <c r="BL291" i="24" s="1"/>
  <c r="BJ291" i="24"/>
  <c r="AQ291" i="24"/>
  <c r="BU291" i="24"/>
  <c r="BW291" i="24"/>
  <c r="AX291" i="24"/>
  <c r="BH291" i="24"/>
  <c r="AJ303" i="25"/>
  <c r="AM303" i="25"/>
  <c r="CE303" i="25" s="1"/>
  <c r="BI114" i="24"/>
  <c r="BL114" i="24" s="1"/>
  <c r="AS114" i="24"/>
  <c r="AU114" i="24" s="1"/>
  <c r="BB114" i="24" s="1"/>
  <c r="BJ114" i="24"/>
  <c r="AQ114" i="24"/>
  <c r="AJ83" i="25"/>
  <c r="AM83" i="25"/>
  <c r="BA28" i="24"/>
  <c r="BI87" i="24"/>
  <c r="BL87" i="24" s="1"/>
  <c r="AS87" i="24"/>
  <c r="AQ87" i="24"/>
  <c r="BJ87" i="24"/>
  <c r="BH87" i="24"/>
  <c r="BW87" i="24"/>
  <c r="AX87" i="24"/>
  <c r="AM260" i="25"/>
  <c r="AJ260" i="25"/>
  <c r="AS148" i="24"/>
  <c r="AU148" i="24" s="1"/>
  <c r="BB148" i="24" s="1"/>
  <c r="BI148" i="24"/>
  <c r="BL148" i="24" s="1"/>
  <c r="BJ148" i="24"/>
  <c r="AQ148" i="24"/>
  <c r="AS163" i="24"/>
  <c r="BI163" i="24"/>
  <c r="BL163" i="24" s="1"/>
  <c r="AQ163" i="24"/>
  <c r="BJ163" i="24"/>
  <c r="AX163" i="24"/>
  <c r="BH163" i="24"/>
  <c r="BU163" i="24"/>
  <c r="BW163" i="24"/>
  <c r="AS308" i="24"/>
  <c r="BI308" i="24"/>
  <c r="BL308" i="24" s="1"/>
  <c r="BJ308" i="24"/>
  <c r="AQ308" i="24"/>
  <c r="BU308" i="24"/>
  <c r="AX308" i="24"/>
  <c r="BH308" i="24"/>
  <c r="BW308" i="24"/>
  <c r="AS304" i="24"/>
  <c r="BI304" i="24"/>
  <c r="BL304" i="24" s="1"/>
  <c r="BJ304" i="24"/>
  <c r="AQ304" i="24"/>
  <c r="AX304" i="24"/>
  <c r="BH304" i="24"/>
  <c r="BU304" i="24"/>
  <c r="BW304" i="24"/>
  <c r="AX160" i="25"/>
  <c r="AW160" i="25"/>
  <c r="BI140" i="24"/>
  <c r="BL140" i="24" s="1"/>
  <c r="AS140" i="24"/>
  <c r="BJ140" i="24"/>
  <c r="AQ140" i="24"/>
  <c r="BU140" i="24"/>
  <c r="BW140" i="24"/>
  <c r="AX140" i="24"/>
  <c r="BH140" i="24"/>
  <c r="BW114" i="24"/>
  <c r="BI136" i="24"/>
  <c r="BL136" i="24" s="1"/>
  <c r="AS136" i="24"/>
  <c r="BJ136" i="24"/>
  <c r="AQ136" i="24"/>
  <c r="BW136" i="24"/>
  <c r="BU136" i="24"/>
  <c r="AX136" i="24"/>
  <c r="BH136" i="24"/>
  <c r="AS222" i="24"/>
  <c r="BI222" i="24"/>
  <c r="BL222" i="24" s="1"/>
  <c r="AQ222" i="24"/>
  <c r="BJ222" i="24"/>
  <c r="BW222" i="24"/>
  <c r="BU222" i="24"/>
  <c r="AX222" i="24"/>
  <c r="BH222" i="24"/>
  <c r="AX84" i="25"/>
  <c r="AW84" i="25"/>
  <c r="BI9" i="24"/>
  <c r="BL9" i="24" s="1"/>
  <c r="AS9" i="24"/>
  <c r="AU9" i="24" s="1"/>
  <c r="BB9" i="24" s="1"/>
  <c r="BJ9" i="24"/>
  <c r="AQ9" i="24"/>
  <c r="AJ112" i="25"/>
  <c r="AM112" i="25"/>
  <c r="AS100" i="24"/>
  <c r="BI100" i="24"/>
  <c r="BL100" i="24" s="1"/>
  <c r="BJ100" i="24"/>
  <c r="AQ100" i="24"/>
  <c r="AX100" i="24"/>
  <c r="BW100" i="24"/>
  <c r="BH100" i="24"/>
  <c r="AS99" i="24"/>
  <c r="BI99" i="24"/>
  <c r="BL99" i="24" s="1"/>
  <c r="AQ99" i="24"/>
  <c r="BJ99" i="24"/>
  <c r="BH99" i="24"/>
  <c r="BW99" i="24"/>
  <c r="AX99" i="24"/>
  <c r="BI71" i="24"/>
  <c r="BL71" i="24" s="1"/>
  <c r="AS71" i="24"/>
  <c r="BJ71" i="24"/>
  <c r="AQ71" i="24"/>
  <c r="AX71" i="24"/>
  <c r="BH71" i="24"/>
  <c r="BW71" i="24"/>
  <c r="BI134" i="24"/>
  <c r="BL134" i="24" s="1"/>
  <c r="AS134" i="24"/>
  <c r="BJ134" i="24"/>
  <c r="AQ134" i="24"/>
  <c r="AX134" i="24"/>
  <c r="BH134" i="24"/>
  <c r="BW134" i="24"/>
  <c r="BU134" i="24"/>
  <c r="AX119" i="25"/>
  <c r="AW119" i="25"/>
  <c r="AJ65" i="25"/>
  <c r="AM65" i="25"/>
  <c r="BI258" i="24"/>
  <c r="BL258" i="24" s="1"/>
  <c r="AS258" i="24"/>
  <c r="AU258" i="24" s="1"/>
  <c r="BB258" i="24" s="1"/>
  <c r="AQ258" i="24"/>
  <c r="BJ258" i="24"/>
  <c r="BI122" i="24"/>
  <c r="BL122" i="24" s="1"/>
  <c r="AS122" i="24"/>
  <c r="BJ122" i="24"/>
  <c r="AQ122" i="24"/>
  <c r="AX122" i="24"/>
  <c r="BH122" i="24"/>
  <c r="BW122" i="24"/>
  <c r="BU122" i="24"/>
  <c r="AJ252" i="25"/>
  <c r="AM252" i="25"/>
  <c r="BG95" i="25"/>
  <c r="BJ95" i="25" s="1"/>
  <c r="AR95" i="25"/>
  <c r="BH95" i="25"/>
  <c r="AP95" i="25"/>
  <c r="BF95" i="25"/>
  <c r="BU95" i="25"/>
  <c r="BW95" i="25"/>
  <c r="AM144" i="25"/>
  <c r="AJ144" i="25"/>
  <c r="BI181" i="24"/>
  <c r="BL181" i="24" s="1"/>
  <c r="AS181" i="24"/>
  <c r="AQ181" i="24"/>
  <c r="BJ181" i="24"/>
  <c r="AX181" i="24"/>
  <c r="BH181" i="24"/>
  <c r="BW181" i="24"/>
  <c r="BU181" i="24"/>
  <c r="BU273" i="24"/>
  <c r="AJ249" i="25"/>
  <c r="AM249" i="25"/>
  <c r="AM176" i="25"/>
  <c r="CE176" i="25" s="1"/>
  <c r="AJ176" i="25"/>
  <c r="AJ218" i="25"/>
  <c r="AM218" i="25"/>
  <c r="BH269" i="24"/>
  <c r="AX85" i="25"/>
  <c r="AW85" i="25"/>
  <c r="AR82" i="25"/>
  <c r="BG82" i="25"/>
  <c r="BJ82" i="25" s="1"/>
  <c r="AP82" i="25"/>
  <c r="BH82" i="25"/>
  <c r="BF82" i="25"/>
  <c r="BU82" i="25"/>
  <c r="BW82" i="25"/>
  <c r="BI51" i="24"/>
  <c r="BL51" i="24" s="1"/>
  <c r="AS51" i="24"/>
  <c r="AU51" i="24" s="1"/>
  <c r="BB51" i="24" s="1"/>
  <c r="BJ51" i="24"/>
  <c r="AQ51" i="24"/>
  <c r="AX25" i="25"/>
  <c r="AW25" i="25"/>
  <c r="AS311" i="24"/>
  <c r="BI311" i="24"/>
  <c r="BL311" i="24" s="1"/>
  <c r="BJ311" i="24"/>
  <c r="AQ311" i="24"/>
  <c r="AX311" i="24"/>
  <c r="BH311" i="24"/>
  <c r="BU311" i="24"/>
  <c r="BW311" i="24"/>
  <c r="AS239" i="24"/>
  <c r="BI239" i="24"/>
  <c r="BL239" i="24" s="1"/>
  <c r="BJ239" i="24"/>
  <c r="AQ239" i="24"/>
  <c r="AX239" i="24"/>
  <c r="BH239" i="24"/>
  <c r="BW239" i="24"/>
  <c r="BU239" i="24"/>
  <c r="BA238" i="24"/>
  <c r="BA6" i="24"/>
  <c r="AX34" i="24"/>
  <c r="AM231" i="25"/>
  <c r="AJ231" i="25"/>
  <c r="AJ132" i="25"/>
  <c r="AM132" i="25"/>
  <c r="CE132" i="25" s="1"/>
  <c r="BI290" i="24"/>
  <c r="BL290" i="24" s="1"/>
  <c r="AS290" i="24"/>
  <c r="AU290" i="24" s="1"/>
  <c r="BB290" i="24" s="1"/>
  <c r="BJ290" i="24"/>
  <c r="AQ290" i="24"/>
  <c r="AM18" i="25"/>
  <c r="AJ18" i="25"/>
  <c r="AM37" i="25"/>
  <c r="AJ37" i="25"/>
  <c r="AM235" i="25"/>
  <c r="AJ235" i="25"/>
  <c r="BI13" i="24"/>
  <c r="BL13" i="24" s="1"/>
  <c r="AS13" i="24"/>
  <c r="BJ13" i="24"/>
  <c r="AQ13" i="24"/>
  <c r="AX13" i="24"/>
  <c r="BH13" i="24"/>
  <c r="BW13" i="24"/>
  <c r="AJ100" i="25"/>
  <c r="AM100" i="25"/>
  <c r="AP100" i="25" s="1"/>
  <c r="BW59" i="24"/>
  <c r="AS70" i="24"/>
  <c r="BI70" i="24"/>
  <c r="BL70" i="24" s="1"/>
  <c r="BJ70" i="24"/>
  <c r="AQ70" i="24"/>
  <c r="BW70" i="24"/>
  <c r="AX70" i="24"/>
  <c r="BH70" i="24"/>
  <c r="AX240" i="24"/>
  <c r="AM227" i="25"/>
  <c r="AJ227" i="25"/>
  <c r="AX265" i="24"/>
  <c r="AX32" i="24"/>
  <c r="BI113" i="24"/>
  <c r="BL113" i="24" s="1"/>
  <c r="AS113" i="24"/>
  <c r="BJ113" i="24"/>
  <c r="AQ113" i="24"/>
  <c r="BH113" i="24"/>
  <c r="BW113" i="24"/>
  <c r="BU113" i="24"/>
  <c r="AX113" i="24"/>
  <c r="AM54" i="25"/>
  <c r="AJ54" i="25"/>
  <c r="AR31" i="25"/>
  <c r="BG31" i="25"/>
  <c r="BJ31" i="25" s="1"/>
  <c r="AP31" i="25"/>
  <c r="BH31" i="25"/>
  <c r="BF31" i="25"/>
  <c r="BW31" i="25"/>
  <c r="BU31" i="25"/>
  <c r="BU111" i="24"/>
  <c r="AR291" i="25"/>
  <c r="BG291" i="25"/>
  <c r="BJ291" i="25" s="1"/>
  <c r="BH291" i="25"/>
  <c r="AP291" i="25"/>
  <c r="BF291" i="25"/>
  <c r="BU291" i="25"/>
  <c r="BW291" i="25"/>
  <c r="AR62" i="25"/>
  <c r="BG62" i="25"/>
  <c r="BJ62" i="25" s="1"/>
  <c r="AP62" i="25"/>
  <c r="BH62" i="25"/>
  <c r="BW62" i="25"/>
  <c r="BU62" i="25"/>
  <c r="BF62" i="25"/>
  <c r="AJ93" i="25"/>
  <c r="AM93" i="25"/>
  <c r="AM9" i="25"/>
  <c r="AJ9" i="25"/>
  <c r="BI183" i="24"/>
  <c r="BL183" i="24" s="1"/>
  <c r="AS183" i="24"/>
  <c r="BJ183" i="24"/>
  <c r="AQ183" i="24"/>
  <c r="BH183" i="24"/>
  <c r="BU183" i="24"/>
  <c r="BW183" i="24"/>
  <c r="AX183" i="24"/>
  <c r="BI218" i="24"/>
  <c r="BL218" i="24" s="1"/>
  <c r="AS218" i="24"/>
  <c r="AU218" i="24" s="1"/>
  <c r="BB218" i="24" s="1"/>
  <c r="BJ218" i="24"/>
  <c r="AQ218" i="24"/>
  <c r="AM45" i="25"/>
  <c r="CE45" i="25" s="1"/>
  <c r="AJ45" i="25"/>
  <c r="AM300" i="25"/>
  <c r="CE300" i="25" s="1"/>
  <c r="AJ300" i="25"/>
  <c r="AS63" i="24"/>
  <c r="BI63" i="24"/>
  <c r="BL63" i="24" s="1"/>
  <c r="BJ63" i="24"/>
  <c r="AQ63" i="24"/>
  <c r="AX63" i="24"/>
  <c r="BH63" i="24"/>
  <c r="BW63" i="24"/>
  <c r="BW247" i="24"/>
  <c r="BI307" i="24"/>
  <c r="BL307" i="24" s="1"/>
  <c r="AS307" i="24"/>
  <c r="AQ307" i="24"/>
  <c r="BJ307" i="24"/>
  <c r="AX307" i="24"/>
  <c r="BH307" i="24"/>
  <c r="BU307" i="24"/>
  <c r="BW307" i="24"/>
  <c r="BG14" i="25"/>
  <c r="BJ14" i="25" s="1"/>
  <c r="AR14" i="25"/>
  <c r="BH14" i="25"/>
  <c r="AP14" i="25"/>
  <c r="BW14" i="25"/>
  <c r="BU14" i="25"/>
  <c r="BF14" i="25"/>
  <c r="BI15" i="24"/>
  <c r="BL15" i="24" s="1"/>
  <c r="AS15" i="24"/>
  <c r="BJ15" i="24"/>
  <c r="AQ15" i="24"/>
  <c r="AX15" i="24"/>
  <c r="BH15" i="24"/>
  <c r="BW15" i="24"/>
  <c r="BU242" i="24"/>
  <c r="AJ269" i="25"/>
  <c r="AM269" i="25"/>
  <c r="AX162" i="25"/>
  <c r="AW162" i="25"/>
  <c r="AS61" i="24"/>
  <c r="BI61" i="24"/>
  <c r="BL61" i="24" s="1"/>
  <c r="AQ61" i="24"/>
  <c r="BJ61" i="24"/>
  <c r="AX61" i="24"/>
  <c r="BW61" i="24"/>
  <c r="BH61" i="24"/>
  <c r="BH135" i="24"/>
  <c r="AX70" i="25"/>
  <c r="AW70" i="25"/>
  <c r="BI79" i="24"/>
  <c r="BL79" i="24" s="1"/>
  <c r="AS79" i="24"/>
  <c r="AQ79" i="24"/>
  <c r="BJ79" i="24"/>
  <c r="BW79" i="24"/>
  <c r="AX79" i="24"/>
  <c r="BH79" i="24"/>
  <c r="AU233" i="24"/>
  <c r="BB233" i="24" s="1"/>
  <c r="AW233" i="24"/>
  <c r="AS220" i="24"/>
  <c r="BI220" i="24"/>
  <c r="BL220" i="24" s="1"/>
  <c r="BJ220" i="24"/>
  <c r="AQ220" i="24"/>
  <c r="AX220" i="24"/>
  <c r="BH220" i="24"/>
  <c r="BW220" i="24"/>
  <c r="BU220" i="24"/>
  <c r="AJ220" i="25"/>
  <c r="AM220" i="25"/>
  <c r="BI230" i="24"/>
  <c r="BL230" i="24" s="1"/>
  <c r="AS230" i="24"/>
  <c r="BJ230" i="24"/>
  <c r="AQ230" i="24"/>
  <c r="BW230" i="24"/>
  <c r="BU230" i="24"/>
  <c r="AX230" i="24"/>
  <c r="BH230" i="24"/>
  <c r="AJ200" i="25"/>
  <c r="AM200" i="25"/>
  <c r="BA279" i="24"/>
  <c r="BA126" i="24"/>
  <c r="AX290" i="24"/>
  <c r="AW116" i="25"/>
  <c r="AX116" i="25"/>
  <c r="BU263" i="24"/>
  <c r="BU267" i="24"/>
  <c r="BU155" i="24"/>
  <c r="AX99" i="25"/>
  <c r="AW99" i="25"/>
  <c r="BW253" i="24"/>
  <c r="AS193" i="24"/>
  <c r="BI193" i="24"/>
  <c r="BL193" i="24" s="1"/>
  <c r="AQ193" i="24"/>
  <c r="BJ193" i="24"/>
  <c r="AX193" i="24"/>
  <c r="BH193" i="24"/>
  <c r="BW193" i="24"/>
  <c r="BU193" i="24"/>
  <c r="BI224" i="24"/>
  <c r="BL224" i="24" s="1"/>
  <c r="AS224" i="24"/>
  <c r="AU224" i="24" s="1"/>
  <c r="BB224" i="24" s="1"/>
  <c r="AQ224" i="24"/>
  <c r="BJ224" i="24"/>
  <c r="AX159" i="25"/>
  <c r="AW159" i="25"/>
  <c r="BW248" i="24"/>
  <c r="AS235" i="24"/>
  <c r="AU235" i="24" s="1"/>
  <c r="BB235" i="24" s="1"/>
  <c r="BI235" i="24"/>
  <c r="BL235" i="24" s="1"/>
  <c r="AQ235" i="24"/>
  <c r="BJ235" i="24"/>
  <c r="AW120" i="25"/>
  <c r="AX120" i="25"/>
  <c r="BI261" i="24"/>
  <c r="BL261" i="24" s="1"/>
  <c r="AS261" i="24"/>
  <c r="AU261" i="24" s="1"/>
  <c r="BB261" i="24" s="1"/>
  <c r="AQ261" i="24"/>
  <c r="BJ261" i="24"/>
  <c r="BG131" i="25"/>
  <c r="BJ131" i="25" s="1"/>
  <c r="AR131" i="25"/>
  <c r="BH131" i="25"/>
  <c r="AP131" i="25"/>
  <c r="BF131" i="25"/>
  <c r="BW131" i="25"/>
  <c r="BU131" i="25"/>
  <c r="BA258" i="24"/>
  <c r="BA54" i="24"/>
  <c r="BA24" i="24"/>
  <c r="BA280" i="24"/>
  <c r="AW137" i="25"/>
  <c r="AX137" i="25"/>
  <c r="BA128" i="24"/>
  <c r="BA283" i="24"/>
  <c r="AJ55" i="25"/>
  <c r="AM55" i="25"/>
  <c r="CE55" i="25" s="1"/>
  <c r="AJ217" i="25"/>
  <c r="AM217" i="25"/>
  <c r="BA228" i="24"/>
  <c r="AR282" i="25"/>
  <c r="BG282" i="25"/>
  <c r="BJ282" i="25" s="1"/>
  <c r="AP282" i="25"/>
  <c r="BH282" i="25"/>
  <c r="BF282" i="25"/>
  <c r="BW282" i="25"/>
  <c r="BU282" i="25"/>
  <c r="AS102" i="24"/>
  <c r="BI102" i="24"/>
  <c r="BL102" i="24" s="1"/>
  <c r="BJ102" i="24"/>
  <c r="AQ102" i="24"/>
  <c r="AX102" i="24"/>
  <c r="BW102" i="24"/>
  <c r="BH102" i="24"/>
  <c r="BI249" i="24"/>
  <c r="BL249" i="24" s="1"/>
  <c r="AS249" i="24"/>
  <c r="AU249" i="24" s="1"/>
  <c r="BB249" i="24" s="1"/>
  <c r="BJ249" i="24"/>
  <c r="AQ249" i="24"/>
  <c r="AR280" i="25"/>
  <c r="BG280" i="25"/>
  <c r="BJ280" i="25" s="1"/>
  <c r="BH280" i="25"/>
  <c r="AP280" i="25"/>
  <c r="BF280" i="25"/>
  <c r="BU280" i="25"/>
  <c r="BW280" i="25"/>
  <c r="BI203" i="24"/>
  <c r="BL203" i="24" s="1"/>
  <c r="AS203" i="24"/>
  <c r="BJ203" i="24"/>
  <c r="AQ203" i="24"/>
  <c r="BU203" i="24"/>
  <c r="BW203" i="24"/>
  <c r="AX203" i="24"/>
  <c r="BH203" i="24"/>
  <c r="AJ8" i="25"/>
  <c r="AM8" i="25"/>
  <c r="BA19" i="24"/>
  <c r="BI208" i="24"/>
  <c r="BL208" i="24" s="1"/>
  <c r="AS208" i="24"/>
  <c r="AQ208" i="24"/>
  <c r="BJ208" i="24"/>
  <c r="AX208" i="24"/>
  <c r="BH208" i="24"/>
  <c r="BW208" i="24"/>
  <c r="BU208" i="24"/>
  <c r="AM194" i="25"/>
  <c r="AP194" i="25" s="1"/>
  <c r="AJ194" i="25"/>
  <c r="BA299" i="24"/>
  <c r="AJ297" i="25"/>
  <c r="AM297" i="25"/>
  <c r="AX149" i="25"/>
  <c r="AW149" i="25"/>
  <c r="AM184" i="25"/>
  <c r="CE184" i="25" s="1"/>
  <c r="AJ184" i="25"/>
  <c r="BA26" i="24"/>
  <c r="AS306" i="24"/>
  <c r="BI306" i="24"/>
  <c r="BL306" i="24" s="1"/>
  <c r="BJ306" i="24"/>
  <c r="AQ306" i="24"/>
  <c r="AX306" i="24"/>
  <c r="BH306" i="24"/>
  <c r="BU306" i="24"/>
  <c r="BW306" i="24"/>
  <c r="BA148" i="24"/>
  <c r="AJ286" i="25"/>
  <c r="AM286" i="25"/>
  <c r="BW28" i="24"/>
  <c r="BI40" i="24"/>
  <c r="BL40" i="24" s="1"/>
  <c r="AS40" i="24"/>
  <c r="BJ40" i="24"/>
  <c r="AQ40" i="24"/>
  <c r="AX40" i="24"/>
  <c r="BH40" i="24"/>
  <c r="BW40" i="24"/>
  <c r="BA112" i="24"/>
  <c r="AX142" i="25"/>
  <c r="AW142" i="25"/>
  <c r="BI250" i="24"/>
  <c r="BL250" i="24" s="1"/>
  <c r="AS250" i="24"/>
  <c r="AQ250" i="24"/>
  <c r="BJ250" i="24"/>
  <c r="BW250" i="24"/>
  <c r="AX250" i="24"/>
  <c r="BH250" i="24"/>
  <c r="BU250" i="24"/>
  <c r="AM209" i="25"/>
  <c r="AJ209" i="25"/>
  <c r="AX151" i="25"/>
  <c r="AW151" i="25"/>
  <c r="BA147" i="24"/>
  <c r="AX184" i="25"/>
  <c r="AW184" i="25"/>
  <c r="AX69" i="25"/>
  <c r="AW69" i="25"/>
  <c r="BI225" i="24"/>
  <c r="BL225" i="24" s="1"/>
  <c r="AS225" i="24"/>
  <c r="AU225" i="24" s="1"/>
  <c r="BB225" i="24" s="1"/>
  <c r="AQ225" i="24"/>
  <c r="BJ225" i="24"/>
  <c r="AR192" i="25"/>
  <c r="BG192" i="25"/>
  <c r="BJ192" i="25" s="1"/>
  <c r="AP192" i="25"/>
  <c r="BH192" i="25"/>
  <c r="BF192" i="25"/>
  <c r="BW192" i="25"/>
  <c r="BU192" i="25"/>
  <c r="AU45" i="24"/>
  <c r="BB45" i="24" s="1"/>
  <c r="AW45" i="24"/>
  <c r="BW249" i="24"/>
  <c r="AJ193" i="25"/>
  <c r="AM193" i="25"/>
  <c r="AJ128" i="25"/>
  <c r="AM128" i="25"/>
  <c r="BI177" i="24"/>
  <c r="BL177" i="24" s="1"/>
  <c r="AS177" i="24"/>
  <c r="BJ177" i="24"/>
  <c r="AQ177" i="24"/>
  <c r="BH177" i="24"/>
  <c r="BU177" i="24"/>
  <c r="BW177" i="24"/>
  <c r="AX177" i="24"/>
  <c r="AS127" i="24"/>
  <c r="BI127" i="24"/>
  <c r="BL127" i="24" s="1"/>
  <c r="BJ127" i="24"/>
  <c r="AQ127" i="24"/>
  <c r="BW127" i="24"/>
  <c r="BU127" i="24"/>
  <c r="AX127" i="24"/>
  <c r="BH127" i="24"/>
  <c r="AM105" i="25"/>
  <c r="AJ105" i="25"/>
  <c r="AJ15" i="25"/>
  <c r="AM15" i="25"/>
  <c r="AJ74" i="25"/>
  <c r="AM74" i="25"/>
  <c r="CE74" i="25" s="1"/>
  <c r="AS210" i="24"/>
  <c r="BI210" i="24"/>
  <c r="BL210" i="24" s="1"/>
  <c r="BJ210" i="24"/>
  <c r="AQ210" i="24"/>
  <c r="BU210" i="24"/>
  <c r="AX210" i="24"/>
  <c r="BH210" i="24"/>
  <c r="BW210" i="24"/>
  <c r="BI42" i="24"/>
  <c r="BL42" i="24" s="1"/>
  <c r="AS42" i="24"/>
  <c r="BJ42" i="24"/>
  <c r="AQ42" i="24"/>
  <c r="AX42" i="24"/>
  <c r="BH42" i="24"/>
  <c r="BW42" i="24"/>
  <c r="BW12" i="24"/>
  <c r="AM80" i="25"/>
  <c r="CE80" i="25" s="1"/>
  <c r="AJ80" i="25"/>
  <c r="AS6" i="24"/>
  <c r="AU6" i="24" s="1"/>
  <c r="BB6" i="24" s="1"/>
  <c r="BI6" i="24"/>
  <c r="BL6" i="24" s="1"/>
  <c r="BJ6" i="24"/>
  <c r="AQ6" i="24"/>
  <c r="AS223" i="24"/>
  <c r="BI223" i="24"/>
  <c r="BL223" i="24" s="1"/>
  <c r="BJ223" i="24"/>
  <c r="AQ223" i="24"/>
  <c r="AX223" i="24"/>
  <c r="BH223" i="24"/>
  <c r="BW223" i="24"/>
  <c r="BU223" i="24"/>
  <c r="BU296" i="24"/>
  <c r="AX81" i="25"/>
  <c r="AW81" i="25"/>
  <c r="AM311" i="25"/>
  <c r="CE311" i="25" s="1"/>
  <c r="AJ311" i="25"/>
  <c r="AJ7" i="25"/>
  <c r="AM7" i="25"/>
  <c r="BI149" i="24"/>
  <c r="BL149" i="24" s="1"/>
  <c r="AS149" i="24"/>
  <c r="BJ149" i="24"/>
  <c r="AQ149" i="24"/>
  <c r="BH149" i="24"/>
  <c r="BU149" i="24"/>
  <c r="BW149" i="24"/>
  <c r="AX149" i="24"/>
  <c r="AM19" i="25"/>
  <c r="AJ19" i="25"/>
  <c r="AM168" i="25"/>
  <c r="CE168" i="25" s="1"/>
  <c r="AJ168" i="25"/>
  <c r="BA34" i="24"/>
  <c r="AX210" i="25"/>
  <c r="AW210" i="25"/>
  <c r="AR229" i="25"/>
  <c r="BG229" i="25"/>
  <c r="BJ229" i="25" s="1"/>
  <c r="BH229" i="25"/>
  <c r="AP229" i="25"/>
  <c r="BF229" i="25"/>
  <c r="BU229" i="25"/>
  <c r="BW229" i="25"/>
  <c r="AJ135" i="25"/>
  <c r="AM135" i="25"/>
  <c r="CE135" i="25" s="1"/>
  <c r="AX144" i="25"/>
  <c r="AW144" i="25"/>
  <c r="AM90" i="25"/>
  <c r="CE90" i="25" s="1"/>
  <c r="AJ90" i="25"/>
  <c r="AX176" i="25"/>
  <c r="AW176" i="25"/>
  <c r="AX133" i="24"/>
  <c r="BU117" i="24"/>
  <c r="BI301" i="24"/>
  <c r="BL301" i="24" s="1"/>
  <c r="AS301" i="24"/>
  <c r="AU301" i="24" s="1"/>
  <c r="BB301" i="24" s="1"/>
  <c r="AQ301" i="24"/>
  <c r="BJ301" i="24"/>
  <c r="AS196" i="24"/>
  <c r="BI196" i="24"/>
  <c r="BL196" i="24" s="1"/>
  <c r="BJ196" i="24"/>
  <c r="AQ196" i="24"/>
  <c r="BH196" i="24"/>
  <c r="BU196" i="24"/>
  <c r="BW196" i="24"/>
  <c r="AX196" i="24"/>
  <c r="AJ124" i="25"/>
  <c r="AM124" i="25"/>
  <c r="BA224" i="24"/>
  <c r="AJ266" i="25"/>
  <c r="AM266" i="25"/>
  <c r="AX266" i="24"/>
  <c r="AJ43" i="25"/>
  <c r="AM43" i="25"/>
  <c r="BA240" i="24"/>
  <c r="AR240" i="25"/>
  <c r="BG240" i="25"/>
  <c r="BJ240" i="25" s="1"/>
  <c r="BH240" i="25"/>
  <c r="AP240" i="25"/>
  <c r="BF240" i="25"/>
  <c r="BW240" i="25"/>
  <c r="BU240" i="25"/>
  <c r="BI62" i="24"/>
  <c r="BL62" i="24" s="1"/>
  <c r="AS62" i="24"/>
  <c r="AQ62" i="24"/>
  <c r="BJ62" i="24"/>
  <c r="AX62" i="24"/>
  <c r="BW62" i="24"/>
  <c r="BH62" i="24"/>
  <c r="AJ91" i="25"/>
  <c r="AM91" i="25"/>
  <c r="BA265" i="24"/>
  <c r="AX18" i="25"/>
  <c r="AW18" i="25"/>
  <c r="AS156" i="24"/>
  <c r="BI156" i="24"/>
  <c r="BL156" i="24" s="1"/>
  <c r="BJ156" i="24"/>
  <c r="AQ156" i="24"/>
  <c r="BH156" i="24"/>
  <c r="BU156" i="24"/>
  <c r="BW156" i="24"/>
  <c r="AX156" i="24"/>
  <c r="AW90" i="25"/>
  <c r="AX90" i="25"/>
  <c r="AW112" i="25"/>
  <c r="AX112" i="25"/>
  <c r="AJ102" i="25"/>
  <c r="AM102" i="25"/>
  <c r="BW111" i="24"/>
  <c r="AW63" i="25"/>
  <c r="AX63" i="25"/>
  <c r="BH305" i="24"/>
  <c r="AJ239" i="25"/>
  <c r="AM239" i="25"/>
  <c r="AW42" i="25"/>
  <c r="AX42" i="25"/>
  <c r="BI303" i="24"/>
  <c r="BL303" i="24" s="1"/>
  <c r="AS303" i="24"/>
  <c r="BJ303" i="24"/>
  <c r="AQ303" i="24"/>
  <c r="AX303" i="24"/>
  <c r="BH303" i="24"/>
  <c r="BW303" i="24"/>
  <c r="BU303" i="24"/>
  <c r="BI274" i="24"/>
  <c r="BL274" i="24" s="1"/>
  <c r="AS274" i="24"/>
  <c r="AU274" i="24" s="1"/>
  <c r="BB274" i="24" s="1"/>
  <c r="AQ274" i="24"/>
  <c r="BJ274" i="24"/>
  <c r="AJ244" i="25"/>
  <c r="AM244" i="25"/>
  <c r="BU225" i="24"/>
  <c r="BW295" i="24"/>
  <c r="AS126" i="24"/>
  <c r="AU126" i="24" s="1"/>
  <c r="BB126" i="24" s="1"/>
  <c r="BI126" i="24"/>
  <c r="BL126" i="24" s="1"/>
  <c r="BJ126" i="24"/>
  <c r="AQ126" i="24"/>
  <c r="AX54" i="25"/>
  <c r="AW54" i="25"/>
  <c r="AS17" i="24"/>
  <c r="AU17" i="24" s="1"/>
  <c r="BB17" i="24" s="1"/>
  <c r="BI17" i="24"/>
  <c r="BL17" i="24" s="1"/>
  <c r="BJ17" i="24"/>
  <c r="AQ17" i="24"/>
  <c r="AX135" i="24"/>
  <c r="AJ125" i="25"/>
  <c r="AM125" i="25"/>
  <c r="BU121" i="24"/>
  <c r="AS175" i="24"/>
  <c r="BI175" i="24"/>
  <c r="BL175" i="24" s="1"/>
  <c r="AQ175" i="24"/>
  <c r="BJ175" i="24"/>
  <c r="BW175" i="24"/>
  <c r="BU175" i="24"/>
  <c r="AX175" i="24"/>
  <c r="BH175" i="24"/>
  <c r="BI234" i="24"/>
  <c r="BL234" i="24" s="1"/>
  <c r="AS234" i="24"/>
  <c r="AQ234" i="24"/>
  <c r="BJ234" i="24"/>
  <c r="AX234" i="24"/>
  <c r="BH234" i="24"/>
  <c r="BU234" i="24"/>
  <c r="BW234" i="24"/>
  <c r="AS83" i="24"/>
  <c r="BI83" i="24"/>
  <c r="BL83" i="24" s="1"/>
  <c r="BJ83" i="24"/>
  <c r="AQ83" i="24"/>
  <c r="AX83" i="24"/>
  <c r="BW83" i="24"/>
  <c r="BH83" i="24"/>
  <c r="AX136" i="25"/>
  <c r="AW136" i="25"/>
  <c r="AM57" i="25"/>
  <c r="AJ57" i="25"/>
  <c r="AX127" i="25"/>
  <c r="AW127" i="25"/>
  <c r="BU279" i="24"/>
  <c r="BU126" i="24"/>
  <c r="BH145" i="24"/>
  <c r="AS25" i="24"/>
  <c r="BI25" i="24"/>
  <c r="BL25" i="24" s="1"/>
  <c r="AQ25" i="24"/>
  <c r="BJ25" i="24"/>
  <c r="BW25" i="24"/>
  <c r="AX25" i="24"/>
  <c r="BH25" i="24"/>
  <c r="AX9" i="24"/>
  <c r="BG92" i="25"/>
  <c r="BJ92" i="25" s="1"/>
  <c r="AR92" i="25"/>
  <c r="AP92" i="25"/>
  <c r="BH92" i="25"/>
  <c r="BF92" i="25"/>
  <c r="BU92" i="25"/>
  <c r="BW92" i="25"/>
  <c r="BW267" i="24"/>
  <c r="BW282" i="24"/>
  <c r="BW155" i="24"/>
  <c r="AX196" i="25"/>
  <c r="AW196" i="25"/>
  <c r="BU253" i="24"/>
  <c r="AW12" i="25"/>
  <c r="AX12" i="25"/>
  <c r="AR257" i="25"/>
  <c r="BG257" i="25"/>
  <c r="BJ257" i="25" s="1"/>
  <c r="BH257" i="25"/>
  <c r="AP257" i="25"/>
  <c r="BW257" i="25"/>
  <c r="BU257" i="25"/>
  <c r="BF257" i="25"/>
  <c r="BA232" i="24"/>
  <c r="AX202" i="25"/>
  <c r="AW202" i="25"/>
  <c r="BI128" i="24"/>
  <c r="BL128" i="24" s="1"/>
  <c r="AS128" i="24"/>
  <c r="AU128" i="24" s="1"/>
  <c r="BB128" i="24" s="1"/>
  <c r="AQ128" i="24"/>
  <c r="BJ128" i="24"/>
  <c r="AP205" i="25" l="1"/>
  <c r="CE205" i="25"/>
  <c r="AP200" i="25"/>
  <c r="CE200" i="25"/>
  <c r="AP193" i="25"/>
  <c r="CE193" i="25"/>
  <c r="BU96" i="25"/>
  <c r="AP96" i="25"/>
  <c r="BH96" i="25"/>
  <c r="BG96" i="25"/>
  <c r="BJ96" i="25" s="1"/>
  <c r="AR96" i="25"/>
  <c r="AU96" i="25" s="1"/>
  <c r="BF96" i="25"/>
  <c r="AP101" i="25"/>
  <c r="CE101" i="25"/>
  <c r="AP98" i="25"/>
  <c r="CE98" i="25"/>
  <c r="AP179" i="25"/>
  <c r="CE179" i="25"/>
  <c r="AP203" i="25"/>
  <c r="CE203" i="25"/>
  <c r="AP104" i="25"/>
  <c r="CE104" i="25"/>
  <c r="AP202" i="25"/>
  <c r="CE202" i="25"/>
  <c r="BF104" i="25"/>
  <c r="BH104" i="25"/>
  <c r="AR104" i="25"/>
  <c r="AU104" i="25" s="1"/>
  <c r="BW104" i="25"/>
  <c r="BU104" i="25"/>
  <c r="BW154" i="25"/>
  <c r="CE154" i="25"/>
  <c r="BU258" i="25"/>
  <c r="AP258" i="25"/>
  <c r="AP196" i="25"/>
  <c r="CE196" i="25"/>
  <c r="BU97" i="25"/>
  <c r="BW97" i="25"/>
  <c r="BH97" i="25"/>
  <c r="BG97" i="25"/>
  <c r="BJ97" i="25" s="1"/>
  <c r="AP105" i="25"/>
  <c r="B19" i="29" s="1"/>
  <c r="CE105" i="25"/>
  <c r="AR97" i="25"/>
  <c r="AT97" i="25" s="1"/>
  <c r="AY97" i="25" s="1"/>
  <c r="BF97" i="25"/>
  <c r="BW258" i="25"/>
  <c r="BH258" i="25"/>
  <c r="BG258" i="25"/>
  <c r="BJ258" i="25" s="1"/>
  <c r="AR258" i="25"/>
  <c r="AU258" i="25" s="1"/>
  <c r="AP207" i="25"/>
  <c r="CE207" i="25"/>
  <c r="AP209" i="25"/>
  <c r="CE209" i="25"/>
  <c r="BF154" i="25"/>
  <c r="BH179" i="25"/>
  <c r="BH154" i="25"/>
  <c r="BG179" i="25"/>
  <c r="BJ179" i="25" s="1"/>
  <c r="AP154" i="25"/>
  <c r="AR179" i="25"/>
  <c r="AU179" i="25" s="1"/>
  <c r="BG154" i="25"/>
  <c r="BJ154" i="25" s="1"/>
  <c r="AR154" i="25"/>
  <c r="AT154" i="25" s="1"/>
  <c r="AY154" i="25" s="1"/>
  <c r="BU179" i="25"/>
  <c r="BW179" i="25"/>
  <c r="BU154" i="25"/>
  <c r="BF179" i="25"/>
  <c r="BE292" i="24"/>
  <c r="BT292" i="24" s="1"/>
  <c r="AW147" i="24"/>
  <c r="BE147" i="24" s="1"/>
  <c r="BT147" i="24" s="1"/>
  <c r="AW219" i="24"/>
  <c r="AY219" i="24" s="1"/>
  <c r="AZ219" i="24" s="1"/>
  <c r="AP208" i="25"/>
  <c r="CE208" i="25"/>
  <c r="BW265" i="25"/>
  <c r="AW283" i="24"/>
  <c r="AY283" i="24" s="1"/>
  <c r="AZ283" i="24" s="1"/>
  <c r="BG265" i="25"/>
  <c r="BJ265" i="25" s="1"/>
  <c r="AW260" i="24"/>
  <c r="BD260" i="24" s="1"/>
  <c r="AW240" i="24"/>
  <c r="BD240" i="24" s="1"/>
  <c r="AR265" i="25"/>
  <c r="AT265" i="25" s="1"/>
  <c r="AW18" i="24"/>
  <c r="BE18" i="24" s="1"/>
  <c r="BT18" i="24" s="1"/>
  <c r="BU265" i="25"/>
  <c r="AW242" i="24"/>
  <c r="AY242" i="24" s="1"/>
  <c r="AZ242" i="24" s="1"/>
  <c r="BF265" i="25"/>
  <c r="AP265" i="25"/>
  <c r="AW19" i="24"/>
  <c r="BD19" i="24" s="1"/>
  <c r="AW135" i="24"/>
  <c r="BD135" i="24" s="1"/>
  <c r="AW120" i="24"/>
  <c r="AY120" i="24" s="1"/>
  <c r="AZ120" i="24" s="1"/>
  <c r="AW259" i="24"/>
  <c r="BD259" i="24" s="1"/>
  <c r="AY292" i="24"/>
  <c r="AZ292" i="24" s="1"/>
  <c r="AP102" i="25"/>
  <c r="CE102" i="25"/>
  <c r="AW121" i="24"/>
  <c r="AY121" i="24" s="1"/>
  <c r="AZ121" i="24" s="1"/>
  <c r="AW265" i="24"/>
  <c r="AY265" i="24" s="1"/>
  <c r="AZ265" i="24" s="1"/>
  <c r="AW279" i="24"/>
  <c r="BE279" i="24" s="1"/>
  <c r="BT279" i="24" s="1"/>
  <c r="AW111" i="24"/>
  <c r="BD111" i="24" s="1"/>
  <c r="AW296" i="24"/>
  <c r="AY296" i="24" s="1"/>
  <c r="AZ296" i="24" s="1"/>
  <c r="AW26" i="24"/>
  <c r="AY26" i="24" s="1"/>
  <c r="AZ26" i="24" s="1"/>
  <c r="BF237" i="25"/>
  <c r="AR237" i="25"/>
  <c r="BG237" i="25"/>
  <c r="BJ237" i="25" s="1"/>
  <c r="AP237" i="25"/>
  <c r="BH237" i="25"/>
  <c r="BU237" i="25"/>
  <c r="BW237" i="25"/>
  <c r="V212" i="25"/>
  <c r="X212" i="25" s="1"/>
  <c r="AD212" i="25"/>
  <c r="W212" i="25"/>
  <c r="Z212" i="25" s="1"/>
  <c r="AA212" i="25" s="1"/>
  <c r="AB212" i="25" s="1"/>
  <c r="AI212" i="25" s="1"/>
  <c r="AW34" i="24"/>
  <c r="AY34" i="24" s="1"/>
  <c r="AZ34" i="24" s="1"/>
  <c r="AW152" i="24"/>
  <c r="AY152" i="24" s="1"/>
  <c r="AZ152" i="24" s="1"/>
  <c r="AP210" i="25"/>
  <c r="CE210" i="25"/>
  <c r="BH77" i="25"/>
  <c r="AP77" i="25"/>
  <c r="BF77" i="25"/>
  <c r="BW77" i="25"/>
  <c r="BU77" i="25"/>
  <c r="AR77" i="25"/>
  <c r="BG77" i="25"/>
  <c r="BJ77" i="25" s="1"/>
  <c r="AW112" i="24"/>
  <c r="AY112" i="24" s="1"/>
  <c r="AZ112" i="24" s="1"/>
  <c r="AW253" i="24"/>
  <c r="BE253" i="24" s="1"/>
  <c r="BT253" i="24" s="1"/>
  <c r="AW224" i="24"/>
  <c r="BE224" i="24" s="1"/>
  <c r="BT224" i="24" s="1"/>
  <c r="AW247" i="24"/>
  <c r="AY247" i="24" s="1"/>
  <c r="AZ247" i="24" s="1"/>
  <c r="AW28" i="24"/>
  <c r="BE28" i="24" s="1"/>
  <c r="BT28" i="24" s="1"/>
  <c r="AW33" i="24"/>
  <c r="BD33" i="24" s="1"/>
  <c r="L15" i="1"/>
  <c r="AW117" i="24"/>
  <c r="AY117" i="24" s="1"/>
  <c r="AZ117" i="24" s="1"/>
  <c r="AW248" i="24"/>
  <c r="BD248" i="24" s="1"/>
  <c r="AW299" i="24"/>
  <c r="AY299" i="24" s="1"/>
  <c r="AZ299" i="24" s="1"/>
  <c r="AW298" i="24"/>
  <c r="BE298" i="24" s="1"/>
  <c r="BT298" i="24" s="1"/>
  <c r="AW232" i="24"/>
  <c r="BE232" i="24" s="1"/>
  <c r="BT232" i="24" s="1"/>
  <c r="AW228" i="24"/>
  <c r="BE228" i="24" s="1"/>
  <c r="BT228" i="24" s="1"/>
  <c r="AW280" i="24"/>
  <c r="BE280" i="24" s="1"/>
  <c r="BT280" i="24" s="1"/>
  <c r="AW54" i="24"/>
  <c r="BE54" i="24" s="1"/>
  <c r="BT54" i="24" s="1"/>
  <c r="AW6" i="24"/>
  <c r="BD6" i="24" s="1"/>
  <c r="AW12" i="24"/>
  <c r="BE12" i="24" s="1"/>
  <c r="BT12" i="24" s="1"/>
  <c r="AW148" i="24"/>
  <c r="BE148" i="24" s="1"/>
  <c r="BT148" i="24" s="1"/>
  <c r="AW295" i="24"/>
  <c r="AY295" i="24" s="1"/>
  <c r="AZ295" i="24" s="1"/>
  <c r="AW20" i="24"/>
  <c r="BE20" i="24" s="1"/>
  <c r="BT20" i="24" s="1"/>
  <c r="AW238" i="24"/>
  <c r="AY238" i="24" s="1"/>
  <c r="AZ238" i="24" s="1"/>
  <c r="AW130" i="24"/>
  <c r="AY130" i="24" s="1"/>
  <c r="AZ130" i="24" s="1"/>
  <c r="AW24" i="24"/>
  <c r="BE24" i="24" s="1"/>
  <c r="BT24" i="24" s="1"/>
  <c r="AW282" i="24"/>
  <c r="BE282" i="24" s="1"/>
  <c r="BT282" i="24" s="1"/>
  <c r="AW305" i="24"/>
  <c r="BE305" i="24" s="1"/>
  <c r="BT305" i="24" s="1"/>
  <c r="AW58" i="24"/>
  <c r="BD58" i="24" s="1"/>
  <c r="AR193" i="25"/>
  <c r="BG193" i="25"/>
  <c r="BJ193" i="25" s="1"/>
  <c r="BH193" i="25"/>
  <c r="BW193" i="25"/>
  <c r="BU193" i="25"/>
  <c r="BF193" i="25"/>
  <c r="AU25" i="24"/>
  <c r="BB25" i="24" s="1"/>
  <c r="AW25" i="24"/>
  <c r="BG239" i="25"/>
  <c r="BJ239" i="25" s="1"/>
  <c r="AR239" i="25"/>
  <c r="BH239" i="25"/>
  <c r="AP239" i="25"/>
  <c r="BW239" i="25"/>
  <c r="BU239" i="25"/>
  <c r="BF239" i="25"/>
  <c r="AR102" i="25"/>
  <c r="BG102" i="25"/>
  <c r="BJ102" i="25" s="1"/>
  <c r="BH102" i="25"/>
  <c r="BF102" i="25"/>
  <c r="BW102" i="25"/>
  <c r="BU102" i="25"/>
  <c r="BG90" i="25"/>
  <c r="BJ90" i="25" s="1"/>
  <c r="AR90" i="25"/>
  <c r="BH90" i="25"/>
  <c r="AP90" i="25"/>
  <c r="BF90" i="25"/>
  <c r="BW90" i="25"/>
  <c r="BU90" i="25"/>
  <c r="AR19" i="25"/>
  <c r="BG19" i="25"/>
  <c r="BJ19" i="25" s="1"/>
  <c r="BH19" i="25"/>
  <c r="AP19" i="25"/>
  <c r="BW19" i="25"/>
  <c r="BU19" i="25"/>
  <c r="BF19" i="25"/>
  <c r="AR15" i="25"/>
  <c r="BG15" i="25"/>
  <c r="BJ15" i="25" s="1"/>
  <c r="BH15" i="25"/>
  <c r="AP15" i="25"/>
  <c r="BF15" i="25"/>
  <c r="BU15" i="25"/>
  <c r="BW15" i="25"/>
  <c r="AU63" i="24"/>
  <c r="BB63" i="24" s="1"/>
  <c r="AW63" i="24"/>
  <c r="AR18" i="25"/>
  <c r="BG18" i="25"/>
  <c r="BJ18" i="25" s="1"/>
  <c r="BH18" i="25"/>
  <c r="AP18" i="25"/>
  <c r="BF18" i="25"/>
  <c r="BW18" i="25"/>
  <c r="BU18" i="25"/>
  <c r="AR231" i="25"/>
  <c r="BG231" i="25"/>
  <c r="BJ231" i="25" s="1"/>
  <c r="BH231" i="25"/>
  <c r="AP231" i="25"/>
  <c r="BF231" i="25"/>
  <c r="BU231" i="25"/>
  <c r="BW231" i="25"/>
  <c r="AR249" i="25"/>
  <c r="BG249" i="25"/>
  <c r="BJ249" i="25" s="1"/>
  <c r="BH249" i="25"/>
  <c r="AP249" i="25"/>
  <c r="BF249" i="25"/>
  <c r="BU249" i="25"/>
  <c r="BW249" i="25"/>
  <c r="BG43" i="25"/>
  <c r="BJ43" i="25" s="1"/>
  <c r="AR43" i="25"/>
  <c r="BH43" i="25"/>
  <c r="AP43" i="25"/>
  <c r="BF43" i="25"/>
  <c r="BW43" i="25"/>
  <c r="BU43" i="25"/>
  <c r="AR124" i="25"/>
  <c r="BG124" i="25"/>
  <c r="BJ124" i="25" s="1"/>
  <c r="BH124" i="25"/>
  <c r="AP124" i="25"/>
  <c r="BF124" i="25"/>
  <c r="BW124" i="25"/>
  <c r="BU124" i="25"/>
  <c r="AT104" i="25"/>
  <c r="AY104" i="25" s="1"/>
  <c r="AR8" i="25"/>
  <c r="BG8" i="25"/>
  <c r="BJ8" i="25" s="1"/>
  <c r="BH8" i="25"/>
  <c r="AP8" i="25"/>
  <c r="BF8" i="25"/>
  <c r="BW8" i="25"/>
  <c r="BU8" i="25"/>
  <c r="AU203" i="24"/>
  <c r="BB203" i="24" s="1"/>
  <c r="AW203" i="24"/>
  <c r="AT280" i="25"/>
  <c r="AU280" i="25"/>
  <c r="AW258" i="24"/>
  <c r="AT131" i="25"/>
  <c r="AY131" i="25" s="1"/>
  <c r="AU131" i="25"/>
  <c r="AU220" i="24"/>
  <c r="BB220" i="24" s="1"/>
  <c r="AW220" i="24"/>
  <c r="AU181" i="24"/>
  <c r="BB181" i="24" s="1"/>
  <c r="AW181" i="24"/>
  <c r="AU100" i="24"/>
  <c r="BB100" i="24" s="1"/>
  <c r="AW100" i="24"/>
  <c r="AR22" i="25"/>
  <c r="BG22" i="25"/>
  <c r="BJ22" i="25" s="1"/>
  <c r="BH22" i="25"/>
  <c r="AP22" i="25"/>
  <c r="BF22" i="25"/>
  <c r="BW22" i="25"/>
  <c r="BU22" i="25"/>
  <c r="AU92" i="24"/>
  <c r="BB92" i="24" s="1"/>
  <c r="AW92" i="24"/>
  <c r="AU209" i="24"/>
  <c r="BB209" i="24" s="1"/>
  <c r="AW209" i="24"/>
  <c r="AR12" i="25"/>
  <c r="BG12" i="25"/>
  <c r="BJ12" i="25" s="1"/>
  <c r="BH12" i="25"/>
  <c r="AP12" i="25"/>
  <c r="BF12" i="25"/>
  <c r="BW12" i="25"/>
  <c r="BU12" i="25"/>
  <c r="AT113" i="25"/>
  <c r="AY113" i="25" s="1"/>
  <c r="AU113" i="25"/>
  <c r="AT114" i="25"/>
  <c r="AY114" i="25" s="1"/>
  <c r="AU114" i="25"/>
  <c r="AU38" i="24"/>
  <c r="BB38" i="24" s="1"/>
  <c r="AW38" i="24"/>
  <c r="AU52" i="24"/>
  <c r="BB52" i="24" s="1"/>
  <c r="AW52" i="24"/>
  <c r="AR119" i="25"/>
  <c r="BG119" i="25"/>
  <c r="BJ119" i="25" s="1"/>
  <c r="BH119" i="25"/>
  <c r="AP119" i="25"/>
  <c r="BU119" i="25"/>
  <c r="BF119" i="25"/>
  <c r="BW119" i="25"/>
  <c r="AT232" i="25"/>
  <c r="AU232" i="25"/>
  <c r="BG27" i="25"/>
  <c r="BJ27" i="25" s="1"/>
  <c r="AR27" i="25"/>
  <c r="BH27" i="25"/>
  <c r="AP27" i="25"/>
  <c r="BW27" i="25"/>
  <c r="BU27" i="25"/>
  <c r="BF27" i="25"/>
  <c r="AR53" i="25"/>
  <c r="BG53" i="25"/>
  <c r="BJ53" i="25" s="1"/>
  <c r="BH53" i="25"/>
  <c r="AP53" i="25"/>
  <c r="BF53" i="25"/>
  <c r="BU53" i="25"/>
  <c r="BW53" i="25"/>
  <c r="AU164" i="24"/>
  <c r="BB164" i="24" s="1"/>
  <c r="AW164" i="24"/>
  <c r="AW225" i="24"/>
  <c r="AU90" i="24"/>
  <c r="BB90" i="24" s="1"/>
  <c r="AW90" i="24"/>
  <c r="AR36" i="25"/>
  <c r="BG36" i="25"/>
  <c r="BJ36" i="25" s="1"/>
  <c r="BH36" i="25"/>
  <c r="AP36" i="25"/>
  <c r="BF36" i="25"/>
  <c r="BW36" i="25"/>
  <c r="BU36" i="25"/>
  <c r="AU286" i="24"/>
  <c r="BB286" i="24" s="1"/>
  <c r="AW286" i="24"/>
  <c r="AT238" i="25"/>
  <c r="AU238" i="25"/>
  <c r="AR16" i="25"/>
  <c r="BG16" i="25"/>
  <c r="BJ16" i="25" s="1"/>
  <c r="BH16" i="25"/>
  <c r="AP16" i="25"/>
  <c r="BW16" i="25"/>
  <c r="BU16" i="25"/>
  <c r="BF16" i="25"/>
  <c r="AU245" i="24"/>
  <c r="BB245" i="24" s="1"/>
  <c r="AW245" i="24"/>
  <c r="BG222" i="25"/>
  <c r="BJ222" i="25" s="1"/>
  <c r="AR222" i="25"/>
  <c r="BH222" i="25"/>
  <c r="AP222" i="25"/>
  <c r="BU222" i="25"/>
  <c r="BF222" i="25"/>
  <c r="BW222" i="25"/>
  <c r="AR241" i="25"/>
  <c r="BG241" i="25"/>
  <c r="BJ241" i="25" s="1"/>
  <c r="BH241" i="25"/>
  <c r="AP241" i="25"/>
  <c r="BF241" i="25"/>
  <c r="BU241" i="25"/>
  <c r="BW241" i="25"/>
  <c r="AU103" i="24"/>
  <c r="BB103" i="24" s="1"/>
  <c r="AW103" i="24"/>
  <c r="AU36" i="24"/>
  <c r="BB36" i="24" s="1"/>
  <c r="AW36" i="24"/>
  <c r="AU138" i="24"/>
  <c r="BB138" i="24" s="1"/>
  <c r="AW138" i="24"/>
  <c r="AU246" i="24"/>
  <c r="BB246" i="24" s="1"/>
  <c r="AW246" i="24"/>
  <c r="AT30" i="25"/>
  <c r="AY30" i="25" s="1"/>
  <c r="AU30" i="25"/>
  <c r="AU78" i="24"/>
  <c r="BB78" i="24" s="1"/>
  <c r="AW78" i="24"/>
  <c r="AU116" i="24"/>
  <c r="BB116" i="24" s="1"/>
  <c r="AW116" i="24"/>
  <c r="AR274" i="25"/>
  <c r="BG274" i="25"/>
  <c r="BJ274" i="25" s="1"/>
  <c r="BH274" i="25"/>
  <c r="AP274" i="25"/>
  <c r="BF274" i="25"/>
  <c r="BU274" i="25"/>
  <c r="BW274" i="25"/>
  <c r="AW261" i="24"/>
  <c r="AT275" i="25"/>
  <c r="AU275" i="25"/>
  <c r="AT173" i="25"/>
  <c r="AY173" i="25" s="1"/>
  <c r="AU173" i="25"/>
  <c r="AW133" i="24"/>
  <c r="AW37" i="24"/>
  <c r="AR188" i="25"/>
  <c r="BG188" i="25"/>
  <c r="BJ188" i="25" s="1"/>
  <c r="BH188" i="25"/>
  <c r="AP188" i="25"/>
  <c r="BU188" i="25"/>
  <c r="BW188" i="25"/>
  <c r="BF188" i="25"/>
  <c r="AT11" i="25"/>
  <c r="AY11" i="25" s="1"/>
  <c r="AU11" i="25"/>
  <c r="AR207" i="25"/>
  <c r="BG207" i="25"/>
  <c r="BJ207" i="25" s="1"/>
  <c r="BH207" i="25"/>
  <c r="BF207" i="25"/>
  <c r="BW207" i="25"/>
  <c r="BU207" i="25"/>
  <c r="AR23" i="25"/>
  <c r="BG23" i="25"/>
  <c r="BJ23" i="25" s="1"/>
  <c r="BH23" i="25"/>
  <c r="AP23" i="25"/>
  <c r="BW23" i="25"/>
  <c r="BU23" i="25"/>
  <c r="BF23" i="25"/>
  <c r="AU254" i="24"/>
  <c r="BB254" i="24" s="1"/>
  <c r="AW254" i="24"/>
  <c r="AW218" i="24"/>
  <c r="AR86" i="25"/>
  <c r="BG86" i="25"/>
  <c r="BJ86" i="25" s="1"/>
  <c r="BH86" i="25"/>
  <c r="AP86" i="25"/>
  <c r="BU86" i="25"/>
  <c r="BF86" i="25"/>
  <c r="BW86" i="25"/>
  <c r="AW153" i="24"/>
  <c r="AU255" i="24"/>
  <c r="BB255" i="24" s="1"/>
  <c r="AW255" i="24"/>
  <c r="AU93" i="24"/>
  <c r="BB93" i="24" s="1"/>
  <c r="AW93" i="24"/>
  <c r="AU74" i="24"/>
  <c r="BB74" i="24" s="1"/>
  <c r="AW74" i="24"/>
  <c r="AU73" i="24"/>
  <c r="BB73" i="24" s="1"/>
  <c r="AW73" i="24"/>
  <c r="AU241" i="24"/>
  <c r="BB241" i="24" s="1"/>
  <c r="AW241" i="24"/>
  <c r="AR310" i="25"/>
  <c r="BG310" i="25"/>
  <c r="BJ310" i="25" s="1"/>
  <c r="BH310" i="25"/>
  <c r="AP310" i="25"/>
  <c r="BF310" i="25"/>
  <c r="BW310" i="25"/>
  <c r="BU310" i="25"/>
  <c r="AW235" i="24"/>
  <c r="AR263" i="25"/>
  <c r="BG263" i="25"/>
  <c r="BJ263" i="25" s="1"/>
  <c r="BH263" i="25"/>
  <c r="AP263" i="25"/>
  <c r="BW263" i="25"/>
  <c r="BU263" i="25"/>
  <c r="BF263" i="25"/>
  <c r="AR20" i="25"/>
  <c r="BG20" i="25"/>
  <c r="BJ20" i="25" s="1"/>
  <c r="BH20" i="25"/>
  <c r="AP20" i="25"/>
  <c r="BU20" i="25"/>
  <c r="BW20" i="25"/>
  <c r="BF20" i="25"/>
  <c r="AW57" i="24"/>
  <c r="AU179" i="24"/>
  <c r="BB179" i="24" s="1"/>
  <c r="AW179" i="24"/>
  <c r="AT13" i="25"/>
  <c r="AY13" i="25" s="1"/>
  <c r="AU13" i="25"/>
  <c r="AR256" i="25"/>
  <c r="BG256" i="25"/>
  <c r="BJ256" i="25" s="1"/>
  <c r="BH256" i="25"/>
  <c r="AP256" i="25"/>
  <c r="BF256" i="25"/>
  <c r="BW256" i="25"/>
  <c r="BU256" i="25"/>
  <c r="AR24" i="25"/>
  <c r="BG24" i="25"/>
  <c r="BJ24" i="25" s="1"/>
  <c r="BH24" i="25"/>
  <c r="AP24" i="25"/>
  <c r="BW24" i="25"/>
  <c r="BU24" i="25"/>
  <c r="BF24" i="25"/>
  <c r="AU234" i="24"/>
  <c r="BB234" i="24" s="1"/>
  <c r="AW234" i="24"/>
  <c r="AR7" i="25"/>
  <c r="BG7" i="25"/>
  <c r="BJ7" i="25" s="1"/>
  <c r="BH7" i="25"/>
  <c r="AP7" i="25"/>
  <c r="BW7" i="25"/>
  <c r="BU7" i="25"/>
  <c r="BF7" i="25"/>
  <c r="AU177" i="24"/>
  <c r="BB177" i="24" s="1"/>
  <c r="AW177" i="24"/>
  <c r="AU40" i="24"/>
  <c r="BB40" i="24" s="1"/>
  <c r="AW40" i="24"/>
  <c r="BG292" i="24"/>
  <c r="BS292" i="24"/>
  <c r="BE233" i="24"/>
  <c r="BT233" i="24" s="1"/>
  <c r="BD233" i="24"/>
  <c r="AY233" i="24"/>
  <c r="AZ233" i="24" s="1"/>
  <c r="AU79" i="24"/>
  <c r="BB79" i="24" s="1"/>
  <c r="AW79" i="24"/>
  <c r="AR300" i="25"/>
  <c r="BG300" i="25"/>
  <c r="BJ300" i="25" s="1"/>
  <c r="BH300" i="25"/>
  <c r="AP300" i="25"/>
  <c r="BF300" i="25"/>
  <c r="BW300" i="25"/>
  <c r="BU300" i="25"/>
  <c r="AR9" i="25"/>
  <c r="BG9" i="25"/>
  <c r="BJ9" i="25" s="1"/>
  <c r="BH9" i="25"/>
  <c r="AP9" i="25"/>
  <c r="BF9" i="25"/>
  <c r="BU9" i="25"/>
  <c r="BW9" i="25"/>
  <c r="AT291" i="25"/>
  <c r="AU291" i="25"/>
  <c r="AR227" i="25"/>
  <c r="BG227" i="25"/>
  <c r="BJ227" i="25" s="1"/>
  <c r="BH227" i="25"/>
  <c r="AP227" i="25"/>
  <c r="BW227" i="25"/>
  <c r="BF227" i="25"/>
  <c r="BU227" i="25"/>
  <c r="BG235" i="25"/>
  <c r="BJ235" i="25" s="1"/>
  <c r="AR235" i="25"/>
  <c r="BH235" i="25"/>
  <c r="AP235" i="25"/>
  <c r="BF235" i="25"/>
  <c r="BW235" i="25"/>
  <c r="BU235" i="25"/>
  <c r="AT95" i="25"/>
  <c r="AY95" i="25" s="1"/>
  <c r="AU95" i="25"/>
  <c r="AR65" i="25"/>
  <c r="BG65" i="25"/>
  <c r="BJ65" i="25" s="1"/>
  <c r="BH65" i="25"/>
  <c r="AP65" i="25"/>
  <c r="BW65" i="25"/>
  <c r="BU65" i="25"/>
  <c r="BF65" i="25"/>
  <c r="AR112" i="25"/>
  <c r="BG112" i="25"/>
  <c r="BJ112" i="25" s="1"/>
  <c r="BH112" i="25"/>
  <c r="AP112" i="25"/>
  <c r="BF112" i="25"/>
  <c r="BW112" i="25"/>
  <c r="BU112" i="25"/>
  <c r="AU136" i="24"/>
  <c r="BB136" i="24" s="1"/>
  <c r="AW136" i="24"/>
  <c r="AR303" i="25"/>
  <c r="BG303" i="25"/>
  <c r="BJ303" i="25" s="1"/>
  <c r="BH303" i="25"/>
  <c r="AP303" i="25"/>
  <c r="BW303" i="25"/>
  <c r="BU303" i="25"/>
  <c r="BF303" i="25"/>
  <c r="AR160" i="25"/>
  <c r="BG160" i="25"/>
  <c r="BJ160" i="25" s="1"/>
  <c r="BH160" i="25"/>
  <c r="AP160" i="25"/>
  <c r="BF160" i="25"/>
  <c r="BU160" i="25"/>
  <c r="BW160" i="25"/>
  <c r="AU66" i="24"/>
  <c r="BB66" i="24" s="1"/>
  <c r="AW66" i="24"/>
  <c r="AR195" i="25"/>
  <c r="BG195" i="25"/>
  <c r="BJ195" i="25" s="1"/>
  <c r="BH195" i="25"/>
  <c r="BF195" i="25"/>
  <c r="BW195" i="25"/>
  <c r="BU195" i="25"/>
  <c r="Y12" i="2"/>
  <c r="Y15" i="2" s="1"/>
  <c r="Y16" i="2" s="1"/>
  <c r="Y17" i="2" s="1"/>
  <c r="B4" i="29" s="1"/>
  <c r="AR67" i="25"/>
  <c r="BG67" i="25"/>
  <c r="BJ67" i="25" s="1"/>
  <c r="BH67" i="25"/>
  <c r="AP67" i="25"/>
  <c r="BW67" i="25"/>
  <c r="BU67" i="25"/>
  <c r="BF67" i="25"/>
  <c r="AR41" i="25"/>
  <c r="BG41" i="25"/>
  <c r="BJ41" i="25" s="1"/>
  <c r="BH41" i="25"/>
  <c r="AP41" i="25"/>
  <c r="BU41" i="25"/>
  <c r="BW41" i="25"/>
  <c r="BF41" i="25"/>
  <c r="BD236" i="24"/>
  <c r="AY236" i="24"/>
  <c r="AZ236" i="24" s="1"/>
  <c r="BE236" i="24"/>
  <c r="BT236" i="24" s="1"/>
  <c r="AR313" i="25"/>
  <c r="BG313" i="25"/>
  <c r="BJ313" i="25" s="1"/>
  <c r="BH313" i="25"/>
  <c r="AP313" i="25"/>
  <c r="BU313" i="25"/>
  <c r="BW313" i="25"/>
  <c r="BF313" i="25"/>
  <c r="AR40" i="25"/>
  <c r="BG40" i="25"/>
  <c r="BJ40" i="25" s="1"/>
  <c r="BH40" i="25"/>
  <c r="AP40" i="25"/>
  <c r="BU40" i="25"/>
  <c r="BW40" i="25"/>
  <c r="BF40" i="25"/>
  <c r="AU188" i="24"/>
  <c r="BB188" i="24" s="1"/>
  <c r="AW188" i="24"/>
  <c r="AR33" i="25"/>
  <c r="BG33" i="25"/>
  <c r="BJ33" i="25" s="1"/>
  <c r="BH33" i="25"/>
  <c r="AP33" i="25"/>
  <c r="BU33" i="25"/>
  <c r="BW33" i="25"/>
  <c r="BF33" i="25"/>
  <c r="BG294" i="25"/>
  <c r="BJ294" i="25" s="1"/>
  <c r="AR294" i="25"/>
  <c r="BH294" i="25"/>
  <c r="AP294" i="25"/>
  <c r="BF294" i="25"/>
  <c r="BW294" i="25"/>
  <c r="BU294" i="25"/>
  <c r="BG250" i="25"/>
  <c r="BJ250" i="25" s="1"/>
  <c r="AR250" i="25"/>
  <c r="BH250" i="25"/>
  <c r="AP250" i="25"/>
  <c r="BF250" i="25"/>
  <c r="BU250" i="25"/>
  <c r="BW250" i="25"/>
  <c r="AT314" i="25"/>
  <c r="AU314" i="25"/>
  <c r="AW114" i="24"/>
  <c r="AU186" i="24"/>
  <c r="BB186" i="24" s="1"/>
  <c r="AW186" i="24"/>
  <c r="AU14" i="24"/>
  <c r="BB14" i="24" s="1"/>
  <c r="AW14" i="24"/>
  <c r="AU206" i="24"/>
  <c r="BB206" i="24" s="1"/>
  <c r="AW206" i="24"/>
  <c r="AR56" i="25"/>
  <c r="BG56" i="25"/>
  <c r="BJ56" i="25" s="1"/>
  <c r="BH56" i="25"/>
  <c r="AP56" i="25"/>
  <c r="BW56" i="25"/>
  <c r="BU56" i="25"/>
  <c r="BF56" i="25"/>
  <c r="AU159" i="24"/>
  <c r="BB159" i="24" s="1"/>
  <c r="AW159" i="24"/>
  <c r="AR17" i="25"/>
  <c r="BG17" i="25"/>
  <c r="BJ17" i="25" s="1"/>
  <c r="BH17" i="25"/>
  <c r="AP17" i="25"/>
  <c r="BU17" i="25"/>
  <c r="BF17" i="25"/>
  <c r="BW17" i="25"/>
  <c r="AU104" i="24"/>
  <c r="BB104" i="24" s="1"/>
  <c r="AW104" i="24"/>
  <c r="AU197" i="24"/>
  <c r="BB197" i="24" s="1"/>
  <c r="AW197" i="24"/>
  <c r="AT89" i="25"/>
  <c r="AY89" i="25" s="1"/>
  <c r="AU89" i="25"/>
  <c r="AR312" i="25"/>
  <c r="BG312" i="25"/>
  <c r="BJ312" i="25" s="1"/>
  <c r="BH312" i="25"/>
  <c r="AP312" i="25"/>
  <c r="BF312" i="25"/>
  <c r="BW312" i="25"/>
  <c r="BU312" i="25"/>
  <c r="AU202" i="24"/>
  <c r="BB202" i="24" s="1"/>
  <c r="AW202" i="24"/>
  <c r="AR175" i="25"/>
  <c r="BG175" i="25"/>
  <c r="BJ175" i="25" s="1"/>
  <c r="BH175" i="25"/>
  <c r="AP175" i="25"/>
  <c r="BF175" i="25"/>
  <c r="BU175" i="25"/>
  <c r="BW175" i="25"/>
  <c r="AU47" i="24"/>
  <c r="BB47" i="24" s="1"/>
  <c r="AW47" i="24"/>
  <c r="AR285" i="25"/>
  <c r="BG285" i="25"/>
  <c r="BJ285" i="25" s="1"/>
  <c r="BH285" i="25"/>
  <c r="AP285" i="25"/>
  <c r="BF285" i="25"/>
  <c r="BW285" i="25"/>
  <c r="BU285" i="25"/>
  <c r="AU184" i="24"/>
  <c r="BB184" i="24" s="1"/>
  <c r="AW184" i="24"/>
  <c r="AY160" i="24"/>
  <c r="AZ160" i="24" s="1"/>
  <c r="BD160" i="24"/>
  <c r="BE160" i="24"/>
  <c r="BT160" i="24" s="1"/>
  <c r="AU88" i="24"/>
  <c r="BB88" i="24" s="1"/>
  <c r="AW88" i="24"/>
  <c r="AU16" i="24"/>
  <c r="BB16" i="24" s="1"/>
  <c r="AW16" i="24"/>
  <c r="AR171" i="25"/>
  <c r="BG171" i="25"/>
  <c r="BJ171" i="25" s="1"/>
  <c r="BH171" i="25"/>
  <c r="AP171" i="25"/>
  <c r="BF171" i="25"/>
  <c r="BW171" i="25"/>
  <c r="BU171" i="25"/>
  <c r="AR49" i="25"/>
  <c r="BG49" i="25"/>
  <c r="BJ49" i="25" s="1"/>
  <c r="BH49" i="25"/>
  <c r="AP49" i="25"/>
  <c r="BF49" i="25"/>
  <c r="BW49" i="25"/>
  <c r="BU49" i="25"/>
  <c r="BG183" i="25"/>
  <c r="BJ183" i="25" s="1"/>
  <c r="AR183" i="25"/>
  <c r="BH183" i="25"/>
  <c r="AP183" i="25"/>
  <c r="BF183" i="25"/>
  <c r="BW183" i="25"/>
  <c r="BU183" i="25"/>
  <c r="AY257" i="24"/>
  <c r="AZ257" i="24" s="1"/>
  <c r="BD257" i="24"/>
  <c r="BE257" i="24"/>
  <c r="BT257" i="24" s="1"/>
  <c r="BE119" i="24"/>
  <c r="BT119" i="24" s="1"/>
  <c r="AY119" i="24"/>
  <c r="AZ119" i="24" s="1"/>
  <c r="BD119" i="24"/>
  <c r="AW30" i="24"/>
  <c r="AR253" i="25"/>
  <c r="BG253" i="25"/>
  <c r="BJ253" i="25" s="1"/>
  <c r="BH253" i="25"/>
  <c r="AP253" i="25"/>
  <c r="BF253" i="25"/>
  <c r="BW253" i="25"/>
  <c r="BU253" i="25"/>
  <c r="AU67" i="24"/>
  <c r="BB67" i="24" s="1"/>
  <c r="AW67" i="24"/>
  <c r="AT34" i="25"/>
  <c r="AY34" i="25" s="1"/>
  <c r="AU34" i="25"/>
  <c r="AU137" i="24"/>
  <c r="BB137" i="24" s="1"/>
  <c r="AW137" i="24"/>
  <c r="AR141" i="25"/>
  <c r="BG141" i="25"/>
  <c r="BJ141" i="25" s="1"/>
  <c r="BH141" i="25"/>
  <c r="AP141" i="25"/>
  <c r="BW141" i="25"/>
  <c r="BU141" i="25"/>
  <c r="BF141" i="25"/>
  <c r="AT178" i="25"/>
  <c r="AY178" i="25" s="1"/>
  <c r="AU178" i="25"/>
  <c r="BB143" i="25"/>
  <c r="BS143" i="25" s="1"/>
  <c r="BC143" i="25"/>
  <c r="BT143" i="25" s="1"/>
  <c r="BA143" i="25"/>
  <c r="AW284" i="24"/>
  <c r="AU262" i="24"/>
  <c r="BB262" i="24" s="1"/>
  <c r="AW262" i="24"/>
  <c r="BE41" i="24"/>
  <c r="BT41" i="24" s="1"/>
  <c r="AY41" i="24"/>
  <c r="AZ41" i="24" s="1"/>
  <c r="BD41" i="24"/>
  <c r="BG58" i="25"/>
  <c r="BJ58" i="25" s="1"/>
  <c r="AR58" i="25"/>
  <c r="BH58" i="25"/>
  <c r="AP58" i="25"/>
  <c r="BW58" i="25"/>
  <c r="BF58" i="25"/>
  <c r="BU58" i="25"/>
  <c r="AR307" i="25"/>
  <c r="BG307" i="25"/>
  <c r="BJ307" i="25" s="1"/>
  <c r="BH307" i="25"/>
  <c r="AP307" i="25"/>
  <c r="BU307" i="25"/>
  <c r="BW307" i="25"/>
  <c r="BF307" i="25"/>
  <c r="AR42" i="25"/>
  <c r="BG42" i="25"/>
  <c r="BJ42" i="25" s="1"/>
  <c r="BH42" i="25"/>
  <c r="AP42" i="25"/>
  <c r="BF42" i="25"/>
  <c r="BW42" i="25"/>
  <c r="BU42" i="25"/>
  <c r="AU46" i="24"/>
  <c r="BB46" i="24" s="1"/>
  <c r="AW46" i="24"/>
  <c r="AW237" i="24"/>
  <c r="AR205" i="25"/>
  <c r="BG205" i="25"/>
  <c r="BJ205" i="25" s="1"/>
  <c r="BH205" i="25"/>
  <c r="BF205" i="25"/>
  <c r="BW205" i="25"/>
  <c r="BU205" i="25"/>
  <c r="AR309" i="25"/>
  <c r="BG309" i="25"/>
  <c r="BJ309" i="25" s="1"/>
  <c r="BH309" i="25"/>
  <c r="AP309" i="25"/>
  <c r="BF309" i="25"/>
  <c r="BU309" i="25"/>
  <c r="BW309" i="25"/>
  <c r="AU196" i="24"/>
  <c r="BB196" i="24" s="1"/>
  <c r="AW196" i="24"/>
  <c r="AU83" i="24"/>
  <c r="BB83" i="24" s="1"/>
  <c r="AW83" i="24"/>
  <c r="AU175" i="24"/>
  <c r="BB175" i="24" s="1"/>
  <c r="AW175" i="24"/>
  <c r="AR80" i="25"/>
  <c r="BG80" i="25"/>
  <c r="BJ80" i="25" s="1"/>
  <c r="BH80" i="25"/>
  <c r="AP80" i="25"/>
  <c r="BF80" i="25"/>
  <c r="BU80" i="25"/>
  <c r="BW80" i="25"/>
  <c r="AR105" i="25"/>
  <c r="BG105" i="25"/>
  <c r="BJ105" i="25" s="1"/>
  <c r="E84" i="1" s="1"/>
  <c r="E85" i="1" s="1"/>
  <c r="BH105" i="25"/>
  <c r="BW105" i="25"/>
  <c r="BU105" i="25"/>
  <c r="BF105" i="25"/>
  <c r="BE45" i="24"/>
  <c r="BT45" i="24" s="1"/>
  <c r="BD45" i="24"/>
  <c r="AY45" i="24"/>
  <c r="AZ45" i="24" s="1"/>
  <c r="AR184" i="25"/>
  <c r="BG184" i="25"/>
  <c r="BJ184" i="25" s="1"/>
  <c r="BH184" i="25"/>
  <c r="AP184" i="25"/>
  <c r="BF184" i="25"/>
  <c r="BU184" i="25"/>
  <c r="BW184" i="25"/>
  <c r="AW126" i="24"/>
  <c r="BG269" i="25"/>
  <c r="BJ269" i="25" s="1"/>
  <c r="AR269" i="25"/>
  <c r="BH269" i="25"/>
  <c r="AP269" i="25"/>
  <c r="BF269" i="25"/>
  <c r="BW269" i="25"/>
  <c r="BU269" i="25"/>
  <c r="AR93" i="25"/>
  <c r="BG93" i="25"/>
  <c r="BJ93" i="25" s="1"/>
  <c r="BH93" i="25"/>
  <c r="AP93" i="25"/>
  <c r="BU93" i="25"/>
  <c r="BW93" i="25"/>
  <c r="BF93" i="25"/>
  <c r="AT62" i="25"/>
  <c r="AY62" i="25" s="1"/>
  <c r="AU62" i="25"/>
  <c r="AT31" i="25"/>
  <c r="AY31" i="25" s="1"/>
  <c r="AU31" i="25"/>
  <c r="AR218" i="25"/>
  <c r="BG218" i="25"/>
  <c r="BJ218" i="25" s="1"/>
  <c r="BH218" i="25"/>
  <c r="AP218" i="25"/>
  <c r="BW218" i="25"/>
  <c r="BF218" i="25"/>
  <c r="BU218" i="25"/>
  <c r="AU222" i="24"/>
  <c r="BB222" i="24" s="1"/>
  <c r="AW222" i="24"/>
  <c r="AU140" i="24"/>
  <c r="BB140" i="24" s="1"/>
  <c r="AW140" i="24"/>
  <c r="AU77" i="24"/>
  <c r="BB77" i="24" s="1"/>
  <c r="AW77" i="24"/>
  <c r="AU53" i="24"/>
  <c r="BB53" i="24" s="1"/>
  <c r="AW53" i="24"/>
  <c r="AR121" i="25"/>
  <c r="BG121" i="25"/>
  <c r="BJ121" i="25" s="1"/>
  <c r="BH121" i="25"/>
  <c r="AP121" i="25"/>
  <c r="BF121" i="25"/>
  <c r="BU121" i="25"/>
  <c r="BW121" i="25"/>
  <c r="AY162" i="24"/>
  <c r="AZ162" i="24" s="1"/>
  <c r="BD162" i="24"/>
  <c r="BE162" i="24"/>
  <c r="BT162" i="24" s="1"/>
  <c r="AT161" i="25"/>
  <c r="AY161" i="25" s="1"/>
  <c r="AU161" i="25"/>
  <c r="AU49" i="24"/>
  <c r="BB49" i="24" s="1"/>
  <c r="AW49" i="24"/>
  <c r="AR233" i="25"/>
  <c r="BG233" i="25"/>
  <c r="BJ233" i="25" s="1"/>
  <c r="BH233" i="25"/>
  <c r="AP233" i="25"/>
  <c r="BF233" i="25"/>
  <c r="BU233" i="25"/>
  <c r="BW233" i="25"/>
  <c r="BG153" i="25"/>
  <c r="BJ153" i="25" s="1"/>
  <c r="AR153" i="25"/>
  <c r="BH153" i="25"/>
  <c r="AP153" i="25"/>
  <c r="BF153" i="25"/>
  <c r="BW153" i="25"/>
  <c r="BU153" i="25"/>
  <c r="AR10" i="25"/>
  <c r="BG10" i="25"/>
  <c r="BJ10" i="25" s="1"/>
  <c r="BH10" i="25"/>
  <c r="AP10" i="25"/>
  <c r="BF10" i="25"/>
  <c r="BU10" i="25"/>
  <c r="BW10" i="25"/>
  <c r="AR123" i="25"/>
  <c r="BG123" i="25"/>
  <c r="BJ123" i="25" s="1"/>
  <c r="BH123" i="25"/>
  <c r="AP123" i="25"/>
  <c r="BF123" i="25"/>
  <c r="BU123" i="25"/>
  <c r="BW123" i="25"/>
  <c r="AR159" i="25"/>
  <c r="BG159" i="25"/>
  <c r="BJ159" i="25" s="1"/>
  <c r="BH159" i="25"/>
  <c r="AP159" i="25"/>
  <c r="BU159" i="25"/>
  <c r="BW159" i="25"/>
  <c r="BF159" i="25"/>
  <c r="AU39" i="24"/>
  <c r="BB39" i="24" s="1"/>
  <c r="AW39" i="24"/>
  <c r="AU173" i="24"/>
  <c r="BB173" i="24" s="1"/>
  <c r="AW173" i="24"/>
  <c r="AR236" i="25"/>
  <c r="BG236" i="25"/>
  <c r="BJ236" i="25" s="1"/>
  <c r="BH236" i="25"/>
  <c r="AP236" i="25"/>
  <c r="BF236" i="25"/>
  <c r="BU236" i="25"/>
  <c r="BW236" i="25"/>
  <c r="AU275" i="24"/>
  <c r="BB275" i="24" s="1"/>
  <c r="AW275" i="24"/>
  <c r="AR137" i="25"/>
  <c r="BG137" i="25"/>
  <c r="BJ137" i="25" s="1"/>
  <c r="BH137" i="25"/>
  <c r="AP137" i="25"/>
  <c r="BF137" i="25"/>
  <c r="BW137" i="25"/>
  <c r="BU137" i="25"/>
  <c r="AR230" i="25"/>
  <c r="BG230" i="25"/>
  <c r="BJ230" i="25" s="1"/>
  <c r="BH230" i="25"/>
  <c r="AP230" i="25"/>
  <c r="BF230" i="25"/>
  <c r="BW230" i="25"/>
  <c r="BU230" i="25"/>
  <c r="AR46" i="25"/>
  <c r="BG46" i="25"/>
  <c r="BJ46" i="25" s="1"/>
  <c r="BH46" i="25"/>
  <c r="AP46" i="25"/>
  <c r="BF46" i="25"/>
  <c r="BW46" i="25"/>
  <c r="BU46" i="25"/>
  <c r="AT206" i="25"/>
  <c r="AY206" i="25" s="1"/>
  <c r="AU206" i="25"/>
  <c r="AT29" i="25"/>
  <c r="AY29" i="25" s="1"/>
  <c r="AU29" i="25"/>
  <c r="AU278" i="24"/>
  <c r="BB278" i="24" s="1"/>
  <c r="AW278" i="24"/>
  <c r="AU313" i="24"/>
  <c r="BB313" i="24" s="1"/>
  <c r="AW313" i="24"/>
  <c r="BG268" i="25"/>
  <c r="BJ268" i="25" s="1"/>
  <c r="AR268" i="25"/>
  <c r="BH268" i="25"/>
  <c r="AP268" i="25"/>
  <c r="BW268" i="25"/>
  <c r="BU268" i="25"/>
  <c r="BF268" i="25"/>
  <c r="BG242" i="25"/>
  <c r="BJ242" i="25" s="1"/>
  <c r="AR242" i="25"/>
  <c r="BH242" i="25"/>
  <c r="AP242" i="25"/>
  <c r="BF242" i="25"/>
  <c r="BU242" i="25"/>
  <c r="BW242" i="25"/>
  <c r="AR146" i="25"/>
  <c r="BG146" i="25"/>
  <c r="BJ146" i="25" s="1"/>
  <c r="BH146" i="25"/>
  <c r="AP146" i="25"/>
  <c r="BF146" i="25"/>
  <c r="BU146" i="25"/>
  <c r="BW146" i="25"/>
  <c r="AR79" i="25"/>
  <c r="BG79" i="25"/>
  <c r="BJ79" i="25" s="1"/>
  <c r="BH79" i="25"/>
  <c r="AP79" i="25"/>
  <c r="BW79" i="25"/>
  <c r="BU79" i="25"/>
  <c r="BF79" i="25"/>
  <c r="BE21" i="24"/>
  <c r="BT21" i="24" s="1"/>
  <c r="AY21" i="24"/>
  <c r="AZ21" i="24" s="1"/>
  <c r="BD21" i="24"/>
  <c r="AU10" i="24"/>
  <c r="BB10" i="24" s="1"/>
  <c r="AW10" i="24"/>
  <c r="AU207" i="24"/>
  <c r="BB207" i="24" s="1"/>
  <c r="AW207" i="24"/>
  <c r="AU157" i="24"/>
  <c r="BB157" i="24" s="1"/>
  <c r="AW157" i="24"/>
  <c r="AU31" i="24"/>
  <c r="BB31" i="24" s="1"/>
  <c r="AW31" i="24"/>
  <c r="AT59" i="25"/>
  <c r="AY59" i="25" s="1"/>
  <c r="AU59" i="25"/>
  <c r="AR111" i="25"/>
  <c r="BG111" i="25"/>
  <c r="BJ111" i="25" s="1"/>
  <c r="BH111" i="25"/>
  <c r="AP111" i="25"/>
  <c r="BF111" i="25"/>
  <c r="BU111" i="25"/>
  <c r="BW111" i="25"/>
  <c r="AR127" i="25"/>
  <c r="BG127" i="25"/>
  <c r="BJ127" i="25" s="1"/>
  <c r="BH127" i="25"/>
  <c r="AP127" i="25"/>
  <c r="BF127" i="25"/>
  <c r="BW127" i="25"/>
  <c r="BU127" i="25"/>
  <c r="AU11" i="24"/>
  <c r="BB11" i="24" s="1"/>
  <c r="AW11" i="24"/>
  <c r="AT248" i="25"/>
  <c r="AU248" i="25"/>
  <c r="AR208" i="25"/>
  <c r="BG208" i="25"/>
  <c r="BJ208" i="25" s="1"/>
  <c r="BH208" i="25"/>
  <c r="BU208" i="25"/>
  <c r="BW208" i="25"/>
  <c r="BF208" i="25"/>
  <c r="AR264" i="25"/>
  <c r="BG264" i="25"/>
  <c r="BJ264" i="25" s="1"/>
  <c r="BH264" i="25"/>
  <c r="AP264" i="25"/>
  <c r="BF264" i="25"/>
  <c r="BU264" i="25"/>
  <c r="BW264" i="25"/>
  <c r="BG166" i="25"/>
  <c r="BJ166" i="25" s="1"/>
  <c r="AR166" i="25"/>
  <c r="BH166" i="25"/>
  <c r="AP166" i="25"/>
  <c r="BF166" i="25"/>
  <c r="BW166" i="25"/>
  <c r="BU166" i="25"/>
  <c r="AR103" i="25"/>
  <c r="BG103" i="25"/>
  <c r="BJ103" i="25" s="1"/>
  <c r="BH103" i="25"/>
  <c r="BW103" i="25"/>
  <c r="BU103" i="25"/>
  <c r="BF103" i="25"/>
  <c r="AR35" i="25"/>
  <c r="BG35" i="25"/>
  <c r="BJ35" i="25" s="1"/>
  <c r="BH35" i="25"/>
  <c r="AP35" i="25"/>
  <c r="BW35" i="25"/>
  <c r="BU35" i="25"/>
  <c r="BF35" i="25"/>
  <c r="AR75" i="25"/>
  <c r="BG75" i="25"/>
  <c r="BJ75" i="25" s="1"/>
  <c r="BH75" i="25"/>
  <c r="AP75" i="25"/>
  <c r="BU75" i="25"/>
  <c r="BF75" i="25"/>
  <c r="BW75" i="25"/>
  <c r="AW266" i="24"/>
  <c r="AR63" i="25"/>
  <c r="BG63" i="25"/>
  <c r="BJ63" i="25" s="1"/>
  <c r="BH63" i="25"/>
  <c r="AP63" i="25"/>
  <c r="BF63" i="25"/>
  <c r="BW63" i="25"/>
  <c r="BU63" i="25"/>
  <c r="AT170" i="25"/>
  <c r="AY170" i="25" s="1"/>
  <c r="AU170" i="25"/>
  <c r="AR165" i="25"/>
  <c r="BG165" i="25"/>
  <c r="BJ165" i="25" s="1"/>
  <c r="BH165" i="25"/>
  <c r="AP165" i="25"/>
  <c r="BU165" i="25"/>
  <c r="BW165" i="25"/>
  <c r="BF165" i="25"/>
  <c r="AU118" i="24"/>
  <c r="BB118" i="24" s="1"/>
  <c r="AW118" i="24"/>
  <c r="AU139" i="24"/>
  <c r="BB139" i="24" s="1"/>
  <c r="AW139" i="24"/>
  <c r="AU95" i="24"/>
  <c r="BB95" i="24" s="1"/>
  <c r="AW95" i="24"/>
  <c r="AR50" i="25"/>
  <c r="BG50" i="25"/>
  <c r="BJ50" i="25" s="1"/>
  <c r="BH50" i="25"/>
  <c r="AP50" i="25"/>
  <c r="BW50" i="25"/>
  <c r="BU50" i="25"/>
  <c r="BF50" i="25"/>
  <c r="AW56" i="24"/>
  <c r="AT267" i="25"/>
  <c r="AU267" i="25"/>
  <c r="AU303" i="24"/>
  <c r="BB303" i="24" s="1"/>
  <c r="AW303" i="24"/>
  <c r="AU127" i="24"/>
  <c r="BB127" i="24" s="1"/>
  <c r="AW127" i="24"/>
  <c r="AU250" i="24"/>
  <c r="BB250" i="24" s="1"/>
  <c r="AW250" i="24"/>
  <c r="BG286" i="25"/>
  <c r="BJ286" i="25" s="1"/>
  <c r="AR286" i="25"/>
  <c r="BH286" i="25"/>
  <c r="AP286" i="25"/>
  <c r="BU286" i="25"/>
  <c r="BF286" i="25"/>
  <c r="BW286" i="25"/>
  <c r="AT257" i="25"/>
  <c r="AU257" i="25"/>
  <c r="AU42" i="24"/>
  <c r="BB42" i="24" s="1"/>
  <c r="AW42" i="24"/>
  <c r="BG128" i="25"/>
  <c r="BJ128" i="25" s="1"/>
  <c r="AR128" i="25"/>
  <c r="BH128" i="25"/>
  <c r="AP128" i="25"/>
  <c r="BF128" i="25"/>
  <c r="BU128" i="25"/>
  <c r="BW128" i="25"/>
  <c r="AR209" i="25"/>
  <c r="BG209" i="25"/>
  <c r="BJ209" i="25" s="1"/>
  <c r="BH209" i="25"/>
  <c r="BU209" i="25"/>
  <c r="BW209" i="25"/>
  <c r="BF209" i="25"/>
  <c r="AR217" i="25"/>
  <c r="BG217" i="25"/>
  <c r="BJ217" i="25" s="1"/>
  <c r="BH217" i="25"/>
  <c r="AP217" i="25"/>
  <c r="BF217" i="25"/>
  <c r="BW217" i="25"/>
  <c r="BU217" i="25"/>
  <c r="AU70" i="24"/>
  <c r="BB70" i="24" s="1"/>
  <c r="AW70" i="24"/>
  <c r="AR252" i="25"/>
  <c r="BG252" i="25"/>
  <c r="BJ252" i="25" s="1"/>
  <c r="BH252" i="25"/>
  <c r="AP252" i="25"/>
  <c r="BF252" i="25"/>
  <c r="BU252" i="25"/>
  <c r="BW252" i="25"/>
  <c r="AU122" i="24"/>
  <c r="BB122" i="24" s="1"/>
  <c r="AW122" i="24"/>
  <c r="AU87" i="24"/>
  <c r="BB87" i="24" s="1"/>
  <c r="AW87" i="24"/>
  <c r="AR83" i="25"/>
  <c r="BG83" i="25"/>
  <c r="BJ83" i="25" s="1"/>
  <c r="BH83" i="25"/>
  <c r="AP83" i="25"/>
  <c r="BF83" i="25"/>
  <c r="BW83" i="25"/>
  <c r="BU83" i="25"/>
  <c r="AU314" i="24"/>
  <c r="BB314" i="24" s="1"/>
  <c r="AW314" i="24"/>
  <c r="AR152" i="25"/>
  <c r="BG152" i="25"/>
  <c r="BJ152" i="25" s="1"/>
  <c r="BH152" i="25"/>
  <c r="AP152" i="25"/>
  <c r="BF152" i="25"/>
  <c r="BU152" i="25"/>
  <c r="BW152" i="25"/>
  <c r="AR277" i="25"/>
  <c r="BG277" i="25"/>
  <c r="BJ277" i="25" s="1"/>
  <c r="BH277" i="25"/>
  <c r="AP277" i="25"/>
  <c r="BW277" i="25"/>
  <c r="BU277" i="25"/>
  <c r="BF277" i="25"/>
  <c r="AY191" i="24"/>
  <c r="AZ191" i="24" s="1"/>
  <c r="BE191" i="24"/>
  <c r="BT191" i="24" s="1"/>
  <c r="BD191" i="24"/>
  <c r="BD294" i="24"/>
  <c r="AY294" i="24"/>
  <c r="AZ294" i="24" s="1"/>
  <c r="BE294" i="24"/>
  <c r="BT294" i="24" s="1"/>
  <c r="BG271" i="25"/>
  <c r="BJ271" i="25" s="1"/>
  <c r="AR271" i="25"/>
  <c r="BH271" i="25"/>
  <c r="AP271" i="25"/>
  <c r="BF271" i="25"/>
  <c r="BU271" i="25"/>
  <c r="BW271" i="25"/>
  <c r="AT147" i="25"/>
  <c r="AY147" i="25" s="1"/>
  <c r="AU147" i="25"/>
  <c r="AR149" i="25"/>
  <c r="BG149" i="25"/>
  <c r="BJ149" i="25" s="1"/>
  <c r="BH149" i="25"/>
  <c r="AP149" i="25"/>
  <c r="BF149" i="25"/>
  <c r="BW149" i="25"/>
  <c r="BU149" i="25"/>
  <c r="AU201" i="24"/>
  <c r="BB201" i="24" s="1"/>
  <c r="AW201" i="24"/>
  <c r="AU231" i="24"/>
  <c r="BB231" i="24" s="1"/>
  <c r="AW231" i="24"/>
  <c r="AU91" i="24"/>
  <c r="BB91" i="24" s="1"/>
  <c r="AW91" i="24"/>
  <c r="AU288" i="24"/>
  <c r="BB288" i="24" s="1"/>
  <c r="AW288" i="24"/>
  <c r="AU229" i="24"/>
  <c r="BB229" i="24" s="1"/>
  <c r="AW229" i="24"/>
  <c r="AU172" i="24"/>
  <c r="BB172" i="24" s="1"/>
  <c r="AW172" i="24"/>
  <c r="AU285" i="24"/>
  <c r="BB285" i="24" s="1"/>
  <c r="AW285" i="24"/>
  <c r="AR219" i="25"/>
  <c r="BG219" i="25"/>
  <c r="BJ219" i="25" s="1"/>
  <c r="BH219" i="25"/>
  <c r="AP219" i="25"/>
  <c r="BF219" i="25"/>
  <c r="BW219" i="25"/>
  <c r="BU219" i="25"/>
  <c r="AU302" i="24"/>
  <c r="BB302" i="24" s="1"/>
  <c r="AW302" i="24"/>
  <c r="AR120" i="25"/>
  <c r="BG120" i="25"/>
  <c r="BJ120" i="25" s="1"/>
  <c r="BH120" i="25"/>
  <c r="AP120" i="25"/>
  <c r="BW120" i="25"/>
  <c r="BF120" i="25"/>
  <c r="BU120" i="25"/>
  <c r="AR234" i="25"/>
  <c r="BG234" i="25"/>
  <c r="BJ234" i="25" s="1"/>
  <c r="BH234" i="25"/>
  <c r="AP234" i="25"/>
  <c r="BF234" i="25"/>
  <c r="BW234" i="25"/>
  <c r="BU234" i="25"/>
  <c r="AU194" i="24"/>
  <c r="BB194" i="24" s="1"/>
  <c r="AW194" i="24"/>
  <c r="BG164" i="25"/>
  <c r="BJ164" i="25" s="1"/>
  <c r="AR164" i="25"/>
  <c r="BH164" i="25"/>
  <c r="AP164" i="25"/>
  <c r="BW164" i="25"/>
  <c r="BU164" i="25"/>
  <c r="BF164" i="25"/>
  <c r="AT204" i="25"/>
  <c r="AY204" i="25" s="1"/>
  <c r="AU204" i="25"/>
  <c r="AU115" i="24"/>
  <c r="BB115" i="24" s="1"/>
  <c r="AW115" i="24"/>
  <c r="AU293" i="24"/>
  <c r="BB293" i="24" s="1"/>
  <c r="AW293" i="24"/>
  <c r="BG84" i="25"/>
  <c r="BJ84" i="25" s="1"/>
  <c r="AR84" i="25"/>
  <c r="BH84" i="25"/>
  <c r="AP84" i="25"/>
  <c r="BU84" i="25"/>
  <c r="BF84" i="25"/>
  <c r="BW84" i="25"/>
  <c r="AR61" i="25"/>
  <c r="BG61" i="25"/>
  <c r="BJ61" i="25" s="1"/>
  <c r="BH61" i="25"/>
  <c r="AP61" i="25"/>
  <c r="BF61" i="25"/>
  <c r="BU61" i="25"/>
  <c r="BW61" i="25"/>
  <c r="AR157" i="25"/>
  <c r="BG157" i="25"/>
  <c r="BJ157" i="25" s="1"/>
  <c r="BH157" i="25"/>
  <c r="AP157" i="25"/>
  <c r="BU157" i="25"/>
  <c r="BW157" i="25"/>
  <c r="BF157" i="25"/>
  <c r="AT186" i="25"/>
  <c r="AY186" i="25" s="1"/>
  <c r="AU186" i="25"/>
  <c r="AW297" i="24"/>
  <c r="AW51" i="24"/>
  <c r="AR51" i="25"/>
  <c r="BG51" i="25"/>
  <c r="BJ51" i="25" s="1"/>
  <c r="BH51" i="25"/>
  <c r="AP51" i="25"/>
  <c r="BU51" i="25"/>
  <c r="BW51" i="25"/>
  <c r="BF51" i="25"/>
  <c r="AT259" i="25"/>
  <c r="AU259" i="25"/>
  <c r="AU244" i="24"/>
  <c r="BB244" i="24" s="1"/>
  <c r="AW244" i="24"/>
  <c r="AT199" i="25"/>
  <c r="AY199" i="25" s="1"/>
  <c r="AU199" i="25"/>
  <c r="AR60" i="25"/>
  <c r="BG60" i="25"/>
  <c r="BJ60" i="25" s="1"/>
  <c r="BH60" i="25"/>
  <c r="AP60" i="25"/>
  <c r="BU60" i="25"/>
  <c r="BF60" i="25"/>
  <c r="BW60" i="25"/>
  <c r="AT247" i="25"/>
  <c r="AU247" i="25"/>
  <c r="AW243" i="24"/>
  <c r="AU251" i="24"/>
  <c r="BB251" i="24" s="1"/>
  <c r="AW251" i="24"/>
  <c r="AU165" i="24"/>
  <c r="BB165" i="24" s="1"/>
  <c r="AW165" i="24"/>
  <c r="AW9" i="24"/>
  <c r="AU96" i="24"/>
  <c r="BB96" i="24" s="1"/>
  <c r="AW96" i="24"/>
  <c r="AW32" i="24"/>
  <c r="AT283" i="25"/>
  <c r="AU283" i="25"/>
  <c r="AU272" i="24"/>
  <c r="BB272" i="24" s="1"/>
  <c r="AW272" i="24"/>
  <c r="AU97" i="24"/>
  <c r="BB97" i="24" s="1"/>
  <c r="AW97" i="24"/>
  <c r="AU141" i="24"/>
  <c r="BB141" i="24" s="1"/>
  <c r="AW141" i="24"/>
  <c r="AU50" i="24"/>
  <c r="BB50" i="24" s="1"/>
  <c r="AW50" i="24"/>
  <c r="BG52" i="25"/>
  <c r="BJ52" i="25" s="1"/>
  <c r="AR52" i="25"/>
  <c r="BH52" i="25"/>
  <c r="AP52" i="25"/>
  <c r="BF52" i="25"/>
  <c r="BW52" i="25"/>
  <c r="BU52" i="25"/>
  <c r="BA110" i="25"/>
  <c r="BC110" i="25"/>
  <c r="BT110" i="25" s="1"/>
  <c r="BB110" i="25"/>
  <c r="BS110" i="25" s="1"/>
  <c r="AT192" i="25"/>
  <c r="AY192" i="25" s="1"/>
  <c r="AU192" i="25"/>
  <c r="AU223" i="24"/>
  <c r="BB223" i="24" s="1"/>
  <c r="AW223" i="24"/>
  <c r="AR194" i="25"/>
  <c r="BG194" i="25"/>
  <c r="BJ194" i="25" s="1"/>
  <c r="BH194" i="25"/>
  <c r="CE194" i="25"/>
  <c r="BW194" i="25"/>
  <c r="BU194" i="25"/>
  <c r="BF194" i="25"/>
  <c r="AT282" i="25"/>
  <c r="AU282" i="25"/>
  <c r="AW128" i="24"/>
  <c r="BG45" i="25"/>
  <c r="BJ45" i="25" s="1"/>
  <c r="AR45" i="25"/>
  <c r="BH45" i="25"/>
  <c r="AP45" i="25"/>
  <c r="BF45" i="25"/>
  <c r="BW45" i="25"/>
  <c r="BU45" i="25"/>
  <c r="AR37" i="25"/>
  <c r="BG37" i="25"/>
  <c r="BJ37" i="25" s="1"/>
  <c r="BH37" i="25"/>
  <c r="AP37" i="25"/>
  <c r="BF37" i="25"/>
  <c r="BU37" i="25"/>
  <c r="BW37" i="25"/>
  <c r="AR144" i="25"/>
  <c r="BG144" i="25"/>
  <c r="BJ144" i="25" s="1"/>
  <c r="BH144" i="25"/>
  <c r="AP144" i="25"/>
  <c r="BF144" i="25"/>
  <c r="BW144" i="25"/>
  <c r="BU144" i="25"/>
  <c r="AU65" i="24"/>
  <c r="BB65" i="24" s="1"/>
  <c r="AW65" i="24"/>
  <c r="AT92" i="25"/>
  <c r="AY92" i="25" s="1"/>
  <c r="AU92" i="25"/>
  <c r="BG125" i="25"/>
  <c r="BJ125" i="25" s="1"/>
  <c r="AR125" i="25"/>
  <c r="BH125" i="25"/>
  <c r="AP125" i="25"/>
  <c r="BF125" i="25"/>
  <c r="BU125" i="25"/>
  <c r="BW125" i="25"/>
  <c r="AR244" i="25"/>
  <c r="BG244" i="25"/>
  <c r="BJ244" i="25" s="1"/>
  <c r="BH244" i="25"/>
  <c r="AP244" i="25"/>
  <c r="BU244" i="25"/>
  <c r="BW244" i="25"/>
  <c r="BF244" i="25"/>
  <c r="AR91" i="25"/>
  <c r="BG91" i="25"/>
  <c r="BJ91" i="25" s="1"/>
  <c r="BH91" i="25"/>
  <c r="AP91" i="25"/>
  <c r="BF91" i="25"/>
  <c r="BW91" i="25"/>
  <c r="BU91" i="25"/>
  <c r="BG266" i="25"/>
  <c r="BJ266" i="25" s="1"/>
  <c r="AR266" i="25"/>
  <c r="BH266" i="25"/>
  <c r="AP266" i="25"/>
  <c r="BU266" i="25"/>
  <c r="BF266" i="25"/>
  <c r="BW266" i="25"/>
  <c r="AR135" i="25"/>
  <c r="BG135" i="25"/>
  <c r="BJ135" i="25" s="1"/>
  <c r="BH135" i="25"/>
  <c r="AP135" i="25"/>
  <c r="BU135" i="25"/>
  <c r="BW135" i="25"/>
  <c r="BF135" i="25"/>
  <c r="AR311" i="25"/>
  <c r="BG311" i="25"/>
  <c r="BJ311" i="25" s="1"/>
  <c r="BH311" i="25"/>
  <c r="AP311" i="25"/>
  <c r="BW311" i="25"/>
  <c r="BU311" i="25"/>
  <c r="BF311" i="25"/>
  <c r="AU210" i="24"/>
  <c r="BB210" i="24" s="1"/>
  <c r="AW210" i="24"/>
  <c r="AU208" i="24"/>
  <c r="BB208" i="24" s="1"/>
  <c r="AW208" i="24"/>
  <c r="AU102" i="24"/>
  <c r="BB102" i="24" s="1"/>
  <c r="AW102" i="24"/>
  <c r="AU193" i="24"/>
  <c r="BB193" i="24" s="1"/>
  <c r="AW193" i="24"/>
  <c r="AU15" i="24"/>
  <c r="BB15" i="24" s="1"/>
  <c r="AW15" i="24"/>
  <c r="AT14" i="25"/>
  <c r="AY14" i="25" s="1"/>
  <c r="AU14" i="25"/>
  <c r="AU307" i="24"/>
  <c r="BB307" i="24" s="1"/>
  <c r="AW307" i="24"/>
  <c r="AU113" i="24"/>
  <c r="BB113" i="24" s="1"/>
  <c r="AW113" i="24"/>
  <c r="AR132" i="25"/>
  <c r="BG132" i="25"/>
  <c r="BJ132" i="25" s="1"/>
  <c r="BH132" i="25"/>
  <c r="AP132" i="25"/>
  <c r="BF132" i="25"/>
  <c r="BW132" i="25"/>
  <c r="BU132" i="25"/>
  <c r="AU239" i="24"/>
  <c r="BB239" i="24" s="1"/>
  <c r="AW239" i="24"/>
  <c r="AU311" i="24"/>
  <c r="BB311" i="24" s="1"/>
  <c r="AW311" i="24"/>
  <c r="AT82" i="25"/>
  <c r="AY82" i="25" s="1"/>
  <c r="AU82" i="25"/>
  <c r="AU134" i="24"/>
  <c r="BB134" i="24" s="1"/>
  <c r="AW134" i="24"/>
  <c r="AU71" i="24"/>
  <c r="BB71" i="24" s="1"/>
  <c r="AW71" i="24"/>
  <c r="AR260" i="25"/>
  <c r="BG260" i="25"/>
  <c r="BJ260" i="25" s="1"/>
  <c r="BH260" i="25"/>
  <c r="AP260" i="25"/>
  <c r="BF260" i="25"/>
  <c r="BU260" i="25"/>
  <c r="BW260" i="25"/>
  <c r="AU291" i="24"/>
  <c r="BB291" i="24" s="1"/>
  <c r="AW291" i="24"/>
  <c r="AU85" i="24"/>
  <c r="BB85" i="24" s="1"/>
  <c r="AW85" i="24"/>
  <c r="AU178" i="24"/>
  <c r="BB178" i="24" s="1"/>
  <c r="AW178" i="24"/>
  <c r="AW267" i="24"/>
  <c r="AU105" i="24"/>
  <c r="BB105" i="24" s="1"/>
  <c r="B134" i="2" s="1"/>
  <c r="B135" i="2" s="1"/>
  <c r="E29" i="1" s="1"/>
  <c r="AW105" i="24"/>
  <c r="AR169" i="25"/>
  <c r="BG169" i="25"/>
  <c r="BJ169" i="25" s="1"/>
  <c r="BH169" i="25"/>
  <c r="AP169" i="25"/>
  <c r="BF169" i="25"/>
  <c r="BW169" i="25"/>
  <c r="BU169" i="25"/>
  <c r="AT262" i="25"/>
  <c r="AU262" i="25"/>
  <c r="AR301" i="25"/>
  <c r="BG301" i="25"/>
  <c r="BJ301" i="25" s="1"/>
  <c r="BH301" i="25"/>
  <c r="AP301" i="25"/>
  <c r="BF301" i="25"/>
  <c r="BW301" i="25"/>
  <c r="BU301" i="25"/>
  <c r="BC129" i="25"/>
  <c r="BT129" i="25" s="1"/>
  <c r="BB129" i="25"/>
  <c r="BS129" i="25" s="1"/>
  <c r="BA129" i="25"/>
  <c r="AR85" i="25"/>
  <c r="BG85" i="25"/>
  <c r="BJ85" i="25" s="1"/>
  <c r="BH85" i="25"/>
  <c r="AP85" i="25"/>
  <c r="BU85" i="25"/>
  <c r="BF85" i="25"/>
  <c r="BW85" i="25"/>
  <c r="AR69" i="25"/>
  <c r="BG69" i="25"/>
  <c r="BJ69" i="25" s="1"/>
  <c r="BH69" i="25"/>
  <c r="AP69" i="25"/>
  <c r="BF69" i="25"/>
  <c r="BW69" i="25"/>
  <c r="BU69" i="25"/>
  <c r="BE190" i="24"/>
  <c r="BT190" i="24" s="1"/>
  <c r="BD190" i="24"/>
  <c r="AY190" i="24"/>
  <c r="AZ190" i="24" s="1"/>
  <c r="AU204" i="24"/>
  <c r="BB204" i="24" s="1"/>
  <c r="AW204" i="24"/>
  <c r="BE142" i="24"/>
  <c r="BT142" i="24" s="1"/>
  <c r="BD142" i="24"/>
  <c r="AY142" i="24"/>
  <c r="AZ142" i="24" s="1"/>
  <c r="AU199" i="24"/>
  <c r="BB199" i="24" s="1"/>
  <c r="AW199" i="24"/>
  <c r="AR289" i="25"/>
  <c r="BG289" i="25"/>
  <c r="BJ289" i="25" s="1"/>
  <c r="BH289" i="25"/>
  <c r="AP289" i="25"/>
  <c r="BW289" i="25"/>
  <c r="BU289" i="25"/>
  <c r="BF289" i="25"/>
  <c r="AT292" i="25"/>
  <c r="AU292" i="25"/>
  <c r="AR290" i="25"/>
  <c r="BG290" i="25"/>
  <c r="BJ290" i="25" s="1"/>
  <c r="BH290" i="25"/>
  <c r="AP290" i="25"/>
  <c r="BU290" i="25"/>
  <c r="BF290" i="25"/>
  <c r="BW290" i="25"/>
  <c r="AT246" i="25"/>
  <c r="AU246" i="25"/>
  <c r="AR197" i="25"/>
  <c r="BG197" i="25"/>
  <c r="BJ197" i="25" s="1"/>
  <c r="BH197" i="25"/>
  <c r="BW197" i="25"/>
  <c r="BU197" i="25"/>
  <c r="BF197" i="25"/>
  <c r="BG72" i="25"/>
  <c r="BJ72" i="25" s="1"/>
  <c r="AR72" i="25"/>
  <c r="BH72" i="25"/>
  <c r="AP72" i="25"/>
  <c r="BW72" i="25"/>
  <c r="BU72" i="25"/>
  <c r="BF72" i="25"/>
  <c r="AU168" i="24"/>
  <c r="BB168" i="24" s="1"/>
  <c r="AW168" i="24"/>
  <c r="AR251" i="25"/>
  <c r="BG251" i="25"/>
  <c r="BJ251" i="25" s="1"/>
  <c r="BH251" i="25"/>
  <c r="AP251" i="25"/>
  <c r="BF251" i="25"/>
  <c r="BW251" i="25"/>
  <c r="BU251" i="25"/>
  <c r="AR270" i="25"/>
  <c r="BG270" i="25"/>
  <c r="BJ270" i="25" s="1"/>
  <c r="BH270" i="25"/>
  <c r="AP270" i="25"/>
  <c r="BU270" i="25"/>
  <c r="BW270" i="25"/>
  <c r="BF270" i="25"/>
  <c r="AW271" i="24"/>
  <c r="AU43" i="24"/>
  <c r="BB43" i="24" s="1"/>
  <c r="AW43" i="24"/>
  <c r="AR25" i="25"/>
  <c r="BG25" i="25"/>
  <c r="BJ25" i="25" s="1"/>
  <c r="BH25" i="25"/>
  <c r="AP25" i="25"/>
  <c r="BW25" i="25"/>
  <c r="BF25" i="25"/>
  <c r="BU25" i="25"/>
  <c r="AU309" i="24"/>
  <c r="BB309" i="24" s="1"/>
  <c r="AW309" i="24"/>
  <c r="AR142" i="25"/>
  <c r="BG142" i="25"/>
  <c r="BJ142" i="25" s="1"/>
  <c r="BH142" i="25"/>
  <c r="AP142" i="25"/>
  <c r="BF142" i="25"/>
  <c r="BU142" i="25"/>
  <c r="BW142" i="25"/>
  <c r="AT155" i="25"/>
  <c r="AY155" i="25" s="1"/>
  <c r="AU155" i="25"/>
  <c r="AU167" i="24"/>
  <c r="BB167" i="24" s="1"/>
  <c r="AW167" i="24"/>
  <c r="AU252" i="24"/>
  <c r="BB252" i="24" s="1"/>
  <c r="AW252" i="24"/>
  <c r="AU300" i="24"/>
  <c r="BB300" i="24" s="1"/>
  <c r="AW300" i="24"/>
  <c r="AW281" i="24"/>
  <c r="AR181" i="25"/>
  <c r="BG181" i="25"/>
  <c r="BJ181" i="25" s="1"/>
  <c r="BH181" i="25"/>
  <c r="AP181" i="25"/>
  <c r="BU181" i="25"/>
  <c r="BW181" i="25"/>
  <c r="BF181" i="25"/>
  <c r="AU72" i="24"/>
  <c r="BB72" i="24" s="1"/>
  <c r="AW72" i="24"/>
  <c r="AT177" i="25"/>
  <c r="AY177" i="25" s="1"/>
  <c r="AU177" i="25"/>
  <c r="AU205" i="24"/>
  <c r="BB205" i="24" s="1"/>
  <c r="AW205" i="24"/>
  <c r="AU227" i="24"/>
  <c r="BB227" i="24" s="1"/>
  <c r="AW227" i="24"/>
  <c r="AU187" i="24"/>
  <c r="BB187" i="24" s="1"/>
  <c r="AW187" i="24"/>
  <c r="AU81" i="24"/>
  <c r="BB81" i="24" s="1"/>
  <c r="AW81" i="24"/>
  <c r="BG225" i="25"/>
  <c r="BJ225" i="25" s="1"/>
  <c r="AR225" i="25"/>
  <c r="BH225" i="25"/>
  <c r="AP225" i="25"/>
  <c r="BF225" i="25"/>
  <c r="BW225" i="25"/>
  <c r="BU225" i="25"/>
  <c r="AR196" i="25"/>
  <c r="BG196" i="25"/>
  <c r="BJ196" i="25" s="1"/>
  <c r="BH196" i="25"/>
  <c r="BF196" i="25"/>
  <c r="BW196" i="25"/>
  <c r="BU196" i="25"/>
  <c r="AU185" i="24"/>
  <c r="BB185" i="24" s="1"/>
  <c r="AW185" i="24"/>
  <c r="AR68" i="25"/>
  <c r="BG68" i="25"/>
  <c r="BJ68" i="25" s="1"/>
  <c r="BH68" i="25"/>
  <c r="AP68" i="25"/>
  <c r="BW68" i="25"/>
  <c r="BU68" i="25"/>
  <c r="BF68" i="25"/>
  <c r="AU310" i="24"/>
  <c r="BB310" i="24" s="1"/>
  <c r="AW310" i="24"/>
  <c r="AR228" i="25"/>
  <c r="BG228" i="25"/>
  <c r="BJ228" i="25" s="1"/>
  <c r="BH228" i="25"/>
  <c r="AP228" i="25"/>
  <c r="BU228" i="25"/>
  <c r="BW228" i="25"/>
  <c r="BF228" i="25"/>
  <c r="AR73" i="25"/>
  <c r="BG73" i="25"/>
  <c r="BJ73" i="25" s="1"/>
  <c r="BH73" i="25"/>
  <c r="AP73" i="25"/>
  <c r="BF73" i="25"/>
  <c r="BW73" i="25"/>
  <c r="BU73" i="25"/>
  <c r="AR298" i="25"/>
  <c r="BG298" i="25"/>
  <c r="BJ298" i="25" s="1"/>
  <c r="BH298" i="25"/>
  <c r="AP298" i="25"/>
  <c r="BF298" i="25"/>
  <c r="BU298" i="25"/>
  <c r="BW298" i="25"/>
  <c r="AR47" i="25"/>
  <c r="BG47" i="25"/>
  <c r="BJ47" i="25" s="1"/>
  <c r="BH47" i="25"/>
  <c r="AP47" i="25"/>
  <c r="BF47" i="25"/>
  <c r="BU47" i="25"/>
  <c r="BW47" i="25"/>
  <c r="AR187" i="25"/>
  <c r="BG187" i="25"/>
  <c r="BJ187" i="25" s="1"/>
  <c r="BH187" i="25"/>
  <c r="AP187" i="25"/>
  <c r="BW187" i="25"/>
  <c r="BF187" i="25"/>
  <c r="BU187" i="25"/>
  <c r="AR272" i="25"/>
  <c r="BG272" i="25"/>
  <c r="BJ272" i="25" s="1"/>
  <c r="BH272" i="25"/>
  <c r="AP272" i="25"/>
  <c r="BF272" i="25"/>
  <c r="BW272" i="25"/>
  <c r="BU272" i="25"/>
  <c r="AU226" i="24"/>
  <c r="BB226" i="24" s="1"/>
  <c r="AW226" i="24"/>
  <c r="AW8" i="24"/>
  <c r="AR118" i="25"/>
  <c r="BG118" i="25"/>
  <c r="BJ118" i="25" s="1"/>
  <c r="BH118" i="25"/>
  <c r="AP118" i="25"/>
  <c r="BF118" i="25"/>
  <c r="BW118" i="25"/>
  <c r="BU118" i="25"/>
  <c r="AR98" i="25"/>
  <c r="BG98" i="25"/>
  <c r="BJ98" i="25" s="1"/>
  <c r="BH98" i="25"/>
  <c r="BW98" i="25"/>
  <c r="BU98" i="25"/>
  <c r="BF98" i="25"/>
  <c r="AR122" i="25"/>
  <c r="BG122" i="25"/>
  <c r="BJ122" i="25" s="1"/>
  <c r="BH122" i="25"/>
  <c r="AP122" i="25"/>
  <c r="BF122" i="25"/>
  <c r="BU122" i="25"/>
  <c r="BW122" i="25"/>
  <c r="AU60" i="24"/>
  <c r="BB60" i="24" s="1"/>
  <c r="AW60" i="24"/>
  <c r="AT240" i="25"/>
  <c r="AU240" i="25"/>
  <c r="BG74" i="25"/>
  <c r="BJ74" i="25" s="1"/>
  <c r="AR74" i="25"/>
  <c r="BH74" i="25"/>
  <c r="AP74" i="25"/>
  <c r="BF74" i="25"/>
  <c r="BU74" i="25"/>
  <c r="BW74" i="25"/>
  <c r="AU306" i="24"/>
  <c r="BB306" i="24" s="1"/>
  <c r="AW306" i="24"/>
  <c r="AR55" i="25"/>
  <c r="BG55" i="25"/>
  <c r="BJ55" i="25" s="1"/>
  <c r="BH55" i="25"/>
  <c r="AP55" i="25"/>
  <c r="BF55" i="25"/>
  <c r="BW55" i="25"/>
  <c r="BU55" i="25"/>
  <c r="AR200" i="25"/>
  <c r="BG200" i="25"/>
  <c r="BJ200" i="25" s="1"/>
  <c r="BH200" i="25"/>
  <c r="BF200" i="25"/>
  <c r="BU200" i="25"/>
  <c r="BW200" i="25"/>
  <c r="AU230" i="24"/>
  <c r="BB230" i="24" s="1"/>
  <c r="AW230" i="24"/>
  <c r="AR54" i="25"/>
  <c r="BG54" i="25"/>
  <c r="BJ54" i="25" s="1"/>
  <c r="BH54" i="25"/>
  <c r="AP54" i="25"/>
  <c r="BF54" i="25"/>
  <c r="BW54" i="25"/>
  <c r="BU54" i="25"/>
  <c r="AU99" i="24"/>
  <c r="BB99" i="24" s="1"/>
  <c r="AW99" i="24"/>
  <c r="AT198" i="25"/>
  <c r="AY198" i="25" s="1"/>
  <c r="AU198" i="25"/>
  <c r="AR78" i="25"/>
  <c r="BG78" i="25"/>
  <c r="BJ78" i="25" s="1"/>
  <c r="BH78" i="25"/>
  <c r="AP78" i="25"/>
  <c r="BF78" i="25"/>
  <c r="BW78" i="25"/>
  <c r="BU78" i="25"/>
  <c r="AR191" i="25"/>
  <c r="BG191" i="25"/>
  <c r="BJ191" i="25" s="1"/>
  <c r="BH191" i="25"/>
  <c r="AP191" i="25"/>
  <c r="BF191" i="25"/>
  <c r="BU191" i="25"/>
  <c r="BW191" i="25"/>
  <c r="BD22" i="24"/>
  <c r="AY22" i="24"/>
  <c r="AZ22" i="24" s="1"/>
  <c r="BE22" i="24"/>
  <c r="BT22" i="24" s="1"/>
  <c r="AU80" i="24"/>
  <c r="BB80" i="24" s="1"/>
  <c r="AW80" i="24"/>
  <c r="BG150" i="25"/>
  <c r="BJ150" i="25" s="1"/>
  <c r="AR150" i="25"/>
  <c r="BH150" i="25"/>
  <c r="AP150" i="25"/>
  <c r="BF150" i="25"/>
  <c r="BU150" i="25"/>
  <c r="BW150" i="25"/>
  <c r="AU84" i="24"/>
  <c r="BB84" i="24" s="1"/>
  <c r="AW84" i="24"/>
  <c r="AU166" i="24"/>
  <c r="BB166" i="24" s="1"/>
  <c r="AW166" i="24"/>
  <c r="AU316" i="24"/>
  <c r="BB316" i="24" s="1"/>
  <c r="AW316" i="24"/>
  <c r="AR116" i="25"/>
  <c r="BG116" i="25"/>
  <c r="BJ116" i="25" s="1"/>
  <c r="BH116" i="25"/>
  <c r="AP116" i="25"/>
  <c r="BW116" i="25"/>
  <c r="BF116" i="25"/>
  <c r="BU116" i="25"/>
  <c r="AU150" i="24"/>
  <c r="BB150" i="24" s="1"/>
  <c r="AW150" i="24"/>
  <c r="AR226" i="25"/>
  <c r="BG226" i="25"/>
  <c r="BJ226" i="25" s="1"/>
  <c r="BH226" i="25"/>
  <c r="AP226" i="25"/>
  <c r="BU226" i="25"/>
  <c r="BW226" i="25"/>
  <c r="BF226" i="25"/>
  <c r="AR88" i="25"/>
  <c r="BG88" i="25"/>
  <c r="BJ88" i="25" s="1"/>
  <c r="BH88" i="25"/>
  <c r="AP88" i="25"/>
  <c r="BW88" i="25"/>
  <c r="BU88" i="25"/>
  <c r="BF88" i="25"/>
  <c r="AR302" i="25"/>
  <c r="BG302" i="25"/>
  <c r="BJ302" i="25" s="1"/>
  <c r="BH302" i="25"/>
  <c r="AP302" i="25"/>
  <c r="BW302" i="25"/>
  <c r="BF302" i="25"/>
  <c r="BU302" i="25"/>
  <c r="AR64" i="25"/>
  <c r="BG64" i="25"/>
  <c r="BJ64" i="25" s="1"/>
  <c r="BH64" i="25"/>
  <c r="AP64" i="25"/>
  <c r="BF64" i="25"/>
  <c r="BW64" i="25"/>
  <c r="BU64" i="25"/>
  <c r="AU268" i="24"/>
  <c r="BB268" i="24" s="1"/>
  <c r="AW268" i="24"/>
  <c r="AW155" i="24"/>
  <c r="AU171" i="24"/>
  <c r="BB171" i="24" s="1"/>
  <c r="AW171" i="24"/>
  <c r="AT190" i="25"/>
  <c r="AY190" i="25" s="1"/>
  <c r="AU190" i="25"/>
  <c r="AT305" i="25"/>
  <c r="AU305" i="25"/>
  <c r="AW59" i="24"/>
  <c r="AR245" i="25"/>
  <c r="BG245" i="25"/>
  <c r="BJ245" i="25" s="1"/>
  <c r="BH245" i="25"/>
  <c r="AP245" i="25"/>
  <c r="BF245" i="25"/>
  <c r="BW245" i="25"/>
  <c r="BU245" i="25"/>
  <c r="AR288" i="25"/>
  <c r="BG288" i="25"/>
  <c r="BJ288" i="25" s="1"/>
  <c r="BH288" i="25"/>
  <c r="AP288" i="25"/>
  <c r="BF288" i="25"/>
  <c r="BW288" i="25"/>
  <c r="BU288" i="25"/>
  <c r="BG223" i="25"/>
  <c r="BJ223" i="25" s="1"/>
  <c r="AR223" i="25"/>
  <c r="BH223" i="25"/>
  <c r="AP223" i="25"/>
  <c r="BF223" i="25"/>
  <c r="BW223" i="25"/>
  <c r="BU223" i="25"/>
  <c r="AR315" i="25"/>
  <c r="BG315" i="25"/>
  <c r="BJ315" i="25" s="1"/>
  <c r="BH315" i="25"/>
  <c r="AP315" i="25"/>
  <c r="BU315" i="25"/>
  <c r="BW315" i="25"/>
  <c r="BF315" i="25"/>
  <c r="AR278" i="25"/>
  <c r="BG278" i="25"/>
  <c r="BJ278" i="25" s="1"/>
  <c r="BH278" i="25"/>
  <c r="AP278" i="25"/>
  <c r="BF278" i="25"/>
  <c r="BW278" i="25"/>
  <c r="BU278" i="25"/>
  <c r="BG139" i="25"/>
  <c r="BJ139" i="25" s="1"/>
  <c r="AR139" i="25"/>
  <c r="BH139" i="25"/>
  <c r="AP139" i="25"/>
  <c r="BU139" i="25"/>
  <c r="BW139" i="25"/>
  <c r="BF139" i="25"/>
  <c r="AR136" i="25"/>
  <c r="BG136" i="25"/>
  <c r="BJ136" i="25" s="1"/>
  <c r="BH136" i="25"/>
  <c r="AP136" i="25"/>
  <c r="BF136" i="25"/>
  <c r="BW136" i="25"/>
  <c r="BU136" i="25"/>
  <c r="AU23" i="24"/>
  <c r="BB23" i="24" s="1"/>
  <c r="AW23" i="24"/>
  <c r="AU94" i="24"/>
  <c r="BB94" i="24" s="1"/>
  <c r="AW94" i="24"/>
  <c r="AU189" i="24"/>
  <c r="BB189" i="24" s="1"/>
  <c r="AW189" i="24"/>
  <c r="AT243" i="25"/>
  <c r="AU243" i="25"/>
  <c r="AU144" i="24"/>
  <c r="BB144" i="24" s="1"/>
  <c r="AW144" i="24"/>
  <c r="AR145" i="25"/>
  <c r="BG145" i="25"/>
  <c r="BJ145" i="25" s="1"/>
  <c r="BH145" i="25"/>
  <c r="AP145" i="25"/>
  <c r="BW145" i="25"/>
  <c r="BU145" i="25"/>
  <c r="BF145" i="25"/>
  <c r="AU170" i="24"/>
  <c r="BB170" i="24" s="1"/>
  <c r="AW170" i="24"/>
  <c r="AU315" i="24"/>
  <c r="BB315" i="24" s="1"/>
  <c r="AW315" i="24"/>
  <c r="AW123" i="24"/>
  <c r="AT21" i="25"/>
  <c r="AY21" i="25" s="1"/>
  <c r="AU21" i="25"/>
  <c r="AR221" i="25"/>
  <c r="BG221" i="25"/>
  <c r="BJ221" i="25" s="1"/>
  <c r="BH221" i="25"/>
  <c r="AP221" i="25"/>
  <c r="BU221" i="25"/>
  <c r="BW221" i="25"/>
  <c r="BF221" i="25"/>
  <c r="AU200" i="24"/>
  <c r="BB200" i="24" s="1"/>
  <c r="AW200" i="24"/>
  <c r="AU124" i="24"/>
  <c r="BB124" i="24" s="1"/>
  <c r="AW124" i="24"/>
  <c r="BE55" i="24"/>
  <c r="BT55" i="24" s="1"/>
  <c r="BD55" i="24"/>
  <c r="AY55" i="24"/>
  <c r="AZ55" i="24" s="1"/>
  <c r="AR180" i="25"/>
  <c r="BG180" i="25"/>
  <c r="BJ180" i="25" s="1"/>
  <c r="BH180" i="25"/>
  <c r="AP180" i="25"/>
  <c r="BU180" i="25"/>
  <c r="BW180" i="25"/>
  <c r="BF180" i="25"/>
  <c r="AU89" i="24"/>
  <c r="BB89" i="24" s="1"/>
  <c r="AW89" i="24"/>
  <c r="AW125" i="24"/>
  <c r="AU256" i="24"/>
  <c r="BB256" i="24" s="1"/>
  <c r="AW256" i="24"/>
  <c r="AW35" i="24"/>
  <c r="AR203" i="25"/>
  <c r="BG203" i="25"/>
  <c r="BJ203" i="25" s="1"/>
  <c r="BH203" i="25"/>
  <c r="BF203" i="25"/>
  <c r="BW203" i="25"/>
  <c r="BU203" i="25"/>
  <c r="AU62" i="24"/>
  <c r="BB62" i="24" s="1"/>
  <c r="AW62" i="24"/>
  <c r="AR168" i="25"/>
  <c r="BG168" i="25"/>
  <c r="BJ168" i="25" s="1"/>
  <c r="BH168" i="25"/>
  <c r="AP168" i="25"/>
  <c r="BF168" i="25"/>
  <c r="BW168" i="25"/>
  <c r="BU168" i="25"/>
  <c r="AR297" i="25"/>
  <c r="BG297" i="25"/>
  <c r="BJ297" i="25" s="1"/>
  <c r="BH297" i="25"/>
  <c r="AP297" i="25"/>
  <c r="BW297" i="25"/>
  <c r="BF297" i="25"/>
  <c r="BU297" i="25"/>
  <c r="AU61" i="24"/>
  <c r="BB61" i="24" s="1"/>
  <c r="AW61" i="24"/>
  <c r="AU183" i="24"/>
  <c r="BB183" i="24" s="1"/>
  <c r="AW183" i="24"/>
  <c r="AR100" i="25"/>
  <c r="BG100" i="25"/>
  <c r="BJ100" i="25" s="1"/>
  <c r="BH100" i="25"/>
  <c r="BW100" i="25"/>
  <c r="BF100" i="25"/>
  <c r="BU100" i="25"/>
  <c r="AU13" i="24"/>
  <c r="BB13" i="24" s="1"/>
  <c r="AW13" i="24"/>
  <c r="AR176" i="25"/>
  <c r="BG176" i="25"/>
  <c r="BJ176" i="25" s="1"/>
  <c r="BH176" i="25"/>
  <c r="AP176" i="25"/>
  <c r="BF176" i="25"/>
  <c r="BU176" i="25"/>
  <c r="BW176" i="25"/>
  <c r="AU304" i="24"/>
  <c r="BB304" i="24" s="1"/>
  <c r="AW304" i="24"/>
  <c r="AU308" i="24"/>
  <c r="BB308" i="24" s="1"/>
  <c r="AW308" i="24"/>
  <c r="AU163" i="24"/>
  <c r="BB163" i="24" s="1"/>
  <c r="AW163" i="24"/>
  <c r="AR115" i="25"/>
  <c r="BG115" i="25"/>
  <c r="BJ115" i="25" s="1"/>
  <c r="BH115" i="25"/>
  <c r="AP115" i="25"/>
  <c r="BW115" i="25"/>
  <c r="BF115" i="25"/>
  <c r="BU115" i="25"/>
  <c r="AR126" i="25"/>
  <c r="BG126" i="25"/>
  <c r="BJ126" i="25" s="1"/>
  <c r="BH126" i="25"/>
  <c r="AP126" i="25"/>
  <c r="BU126" i="25"/>
  <c r="BW126" i="25"/>
  <c r="BF126" i="25"/>
  <c r="AT71" i="25"/>
  <c r="AY71" i="25" s="1"/>
  <c r="AU71" i="25"/>
  <c r="AU276" i="24"/>
  <c r="BB276" i="24" s="1"/>
  <c r="AW276" i="24"/>
  <c r="AR295" i="25"/>
  <c r="BG295" i="25"/>
  <c r="BJ295" i="25" s="1"/>
  <c r="BH295" i="25"/>
  <c r="AP295" i="25"/>
  <c r="BF295" i="25"/>
  <c r="BW295" i="25"/>
  <c r="BU295" i="25"/>
  <c r="AT276" i="25"/>
  <c r="AU276" i="25"/>
  <c r="AR284" i="25"/>
  <c r="BG284" i="25"/>
  <c r="BJ284" i="25" s="1"/>
  <c r="BH284" i="25"/>
  <c r="AP284" i="25"/>
  <c r="BW284" i="25"/>
  <c r="BU284" i="25"/>
  <c r="BF284" i="25"/>
  <c r="AW249" i="24"/>
  <c r="AR117" i="25"/>
  <c r="BG117" i="25"/>
  <c r="BJ117" i="25" s="1"/>
  <c r="BH117" i="25"/>
  <c r="AP117" i="25"/>
  <c r="BW117" i="25"/>
  <c r="BU117" i="25"/>
  <c r="BF117" i="25"/>
  <c r="AT6" i="25"/>
  <c r="AY6" i="25" s="1"/>
  <c r="AU6" i="25"/>
  <c r="AU195" i="24"/>
  <c r="BB195" i="24" s="1"/>
  <c r="AW195" i="24"/>
  <c r="AR162" i="25"/>
  <c r="BG162" i="25"/>
  <c r="BJ162" i="25" s="1"/>
  <c r="BH162" i="25"/>
  <c r="AP162" i="25"/>
  <c r="BU162" i="25"/>
  <c r="BF162" i="25"/>
  <c r="BW162" i="25"/>
  <c r="AU161" i="24"/>
  <c r="BB161" i="24" s="1"/>
  <c r="AW161" i="24"/>
  <c r="AR133" i="25"/>
  <c r="BG133" i="25"/>
  <c r="BJ133" i="25" s="1"/>
  <c r="BH133" i="25"/>
  <c r="AP133" i="25"/>
  <c r="BF133" i="25"/>
  <c r="BU133" i="25"/>
  <c r="BW133" i="25"/>
  <c r="AU131" i="24"/>
  <c r="BB131" i="24" s="1"/>
  <c r="AW131" i="24"/>
  <c r="AT87" i="25"/>
  <c r="AY87" i="25" s="1"/>
  <c r="AU87" i="25"/>
  <c r="AT28" i="25"/>
  <c r="AY28" i="25" s="1"/>
  <c r="AU28" i="25"/>
  <c r="AW263" i="24"/>
  <c r="AR99" i="25"/>
  <c r="BG99" i="25"/>
  <c r="BJ99" i="25" s="1"/>
  <c r="BH99" i="25"/>
  <c r="BU99" i="25"/>
  <c r="BF99" i="25"/>
  <c r="BW99" i="25"/>
  <c r="AY264" i="24"/>
  <c r="AZ264" i="24" s="1"/>
  <c r="BD264" i="24"/>
  <c r="BE264" i="24"/>
  <c r="BT264" i="24" s="1"/>
  <c r="BG287" i="25"/>
  <c r="BJ287" i="25" s="1"/>
  <c r="AR287" i="25"/>
  <c r="BH287" i="25"/>
  <c r="AP287" i="25"/>
  <c r="BU287" i="25"/>
  <c r="BF287" i="25"/>
  <c r="BW287" i="25"/>
  <c r="AU146" i="24"/>
  <c r="BB146" i="24" s="1"/>
  <c r="AW146" i="24"/>
  <c r="AR138" i="25"/>
  <c r="BG138" i="25"/>
  <c r="BJ138" i="25" s="1"/>
  <c r="BH138" i="25"/>
  <c r="AP138" i="25"/>
  <c r="BF138" i="25"/>
  <c r="BW138" i="25"/>
  <c r="BU138" i="25"/>
  <c r="AU270" i="24"/>
  <c r="BB270" i="24" s="1"/>
  <c r="AW270" i="24"/>
  <c r="AT167" i="25"/>
  <c r="AY167" i="25" s="1"/>
  <c r="AU167" i="25"/>
  <c r="AU158" i="24"/>
  <c r="BB158" i="24" s="1"/>
  <c r="AW158" i="24"/>
  <c r="AY7" i="24"/>
  <c r="AZ7" i="24" s="1"/>
  <c r="BE7" i="24"/>
  <c r="BT7" i="24" s="1"/>
  <c r="BD7" i="24"/>
  <c r="AU180" i="24"/>
  <c r="BB180" i="24" s="1"/>
  <c r="AW180" i="24"/>
  <c r="AW145" i="24"/>
  <c r="AU29" i="24"/>
  <c r="BB29" i="24" s="1"/>
  <c r="AW29" i="24"/>
  <c r="AR202" i="25"/>
  <c r="BG202" i="25"/>
  <c r="BJ202" i="25" s="1"/>
  <c r="BH202" i="25"/>
  <c r="BF202" i="25"/>
  <c r="BW202" i="25"/>
  <c r="BU202" i="25"/>
  <c r="AR44" i="25"/>
  <c r="BG44" i="25"/>
  <c r="BJ44" i="25" s="1"/>
  <c r="BH44" i="25"/>
  <c r="AP44" i="25"/>
  <c r="BW44" i="25"/>
  <c r="BU44" i="25"/>
  <c r="BF44" i="25"/>
  <c r="AT306" i="25"/>
  <c r="AU306" i="25"/>
  <c r="BG101" i="25"/>
  <c r="BJ101" i="25" s="1"/>
  <c r="AR101" i="25"/>
  <c r="BH101" i="25"/>
  <c r="BF101" i="25"/>
  <c r="BW101" i="25"/>
  <c r="BU101" i="25"/>
  <c r="AU143" i="24"/>
  <c r="BB143" i="24" s="1"/>
  <c r="AW143" i="24"/>
  <c r="AU82" i="24"/>
  <c r="BB82" i="24" s="1"/>
  <c r="AW82" i="24"/>
  <c r="AR172" i="25"/>
  <c r="BG172" i="25"/>
  <c r="BJ172" i="25" s="1"/>
  <c r="BH172" i="25"/>
  <c r="AP172" i="25"/>
  <c r="BF172" i="25"/>
  <c r="BW172" i="25"/>
  <c r="BU172" i="25"/>
  <c r="BG316" i="25"/>
  <c r="BJ316" i="25" s="1"/>
  <c r="AR316" i="25"/>
  <c r="BH316" i="25"/>
  <c r="AP316" i="25"/>
  <c r="BF316" i="25"/>
  <c r="BU316" i="25"/>
  <c r="BW316" i="25"/>
  <c r="AT255" i="25"/>
  <c r="AU255" i="25"/>
  <c r="AU169" i="24"/>
  <c r="BB169" i="24" s="1"/>
  <c r="AW169" i="24"/>
  <c r="AR156" i="25"/>
  <c r="BG156" i="25"/>
  <c r="BJ156" i="25" s="1"/>
  <c r="BH156" i="25"/>
  <c r="AP156" i="25"/>
  <c r="BU156" i="25"/>
  <c r="BW156" i="25"/>
  <c r="BF156" i="25"/>
  <c r="AU68" i="24"/>
  <c r="BB68" i="24" s="1"/>
  <c r="AW68" i="24"/>
  <c r="AR216" i="25"/>
  <c r="BG216" i="25"/>
  <c r="BJ216" i="25" s="1"/>
  <c r="BH216" i="25"/>
  <c r="AP216" i="25"/>
  <c r="BF216" i="25"/>
  <c r="BW216" i="25"/>
  <c r="BU216" i="25"/>
  <c r="AT158" i="25"/>
  <c r="AY158" i="25" s="1"/>
  <c r="AU158" i="25"/>
  <c r="AW129" i="24"/>
  <c r="AU86" i="24"/>
  <c r="BB86" i="24" s="1"/>
  <c r="AW86" i="24"/>
  <c r="AW290" i="24"/>
  <c r="BG185" i="25"/>
  <c r="BJ185" i="25" s="1"/>
  <c r="AR185" i="25"/>
  <c r="BH185" i="25"/>
  <c r="AP185" i="25"/>
  <c r="BF185" i="25"/>
  <c r="BW185" i="25"/>
  <c r="BU185" i="25"/>
  <c r="AR281" i="25"/>
  <c r="BG281" i="25"/>
  <c r="BJ281" i="25" s="1"/>
  <c r="BH281" i="25"/>
  <c r="AP281" i="25"/>
  <c r="BU281" i="25"/>
  <c r="BW281" i="25"/>
  <c r="BF281" i="25"/>
  <c r="AU289" i="24"/>
  <c r="BB289" i="24" s="1"/>
  <c r="AW289" i="24"/>
  <c r="AU64" i="24"/>
  <c r="BB64" i="24" s="1"/>
  <c r="AW64" i="24"/>
  <c r="AT261" i="25"/>
  <c r="AU261" i="25"/>
  <c r="AU174" i="24"/>
  <c r="BB174" i="24" s="1"/>
  <c r="AW174" i="24"/>
  <c r="AU221" i="24"/>
  <c r="BB221" i="24" s="1"/>
  <c r="AW221" i="24"/>
  <c r="AR48" i="25"/>
  <c r="BG48" i="25"/>
  <c r="BJ48" i="25" s="1"/>
  <c r="BH48" i="25"/>
  <c r="AP48" i="25"/>
  <c r="BF48" i="25"/>
  <c r="BU48" i="25"/>
  <c r="BW48" i="25"/>
  <c r="AU192" i="24"/>
  <c r="BB192" i="24" s="1"/>
  <c r="AW192" i="24"/>
  <c r="AT229" i="25"/>
  <c r="AU229" i="25"/>
  <c r="AU156" i="24"/>
  <c r="BB156" i="24" s="1"/>
  <c r="AW156" i="24"/>
  <c r="AR57" i="25"/>
  <c r="BG57" i="25"/>
  <c r="BJ57" i="25" s="1"/>
  <c r="BH57" i="25"/>
  <c r="AP57" i="25"/>
  <c r="BF57" i="25"/>
  <c r="BU57" i="25"/>
  <c r="BW57" i="25"/>
  <c r="AU149" i="24"/>
  <c r="BB149" i="24" s="1"/>
  <c r="AW149" i="24"/>
  <c r="AR220" i="25"/>
  <c r="BG220" i="25"/>
  <c r="BJ220" i="25" s="1"/>
  <c r="BH220" i="25"/>
  <c r="AP220" i="25"/>
  <c r="BF220" i="25"/>
  <c r="BW220" i="25"/>
  <c r="BU220" i="25"/>
  <c r="BE132" i="24"/>
  <c r="BT132" i="24" s="1"/>
  <c r="BD132" i="24"/>
  <c r="AY132" i="24"/>
  <c r="AZ132" i="24" s="1"/>
  <c r="AT174" i="25"/>
  <c r="AY174" i="25" s="1"/>
  <c r="AU174" i="25"/>
  <c r="AT32" i="25"/>
  <c r="AY32" i="25" s="1"/>
  <c r="AU32" i="25"/>
  <c r="AT94" i="25"/>
  <c r="AY94" i="25" s="1"/>
  <c r="AU94" i="25"/>
  <c r="AR210" i="25"/>
  <c r="BG210" i="25"/>
  <c r="BJ210" i="25" s="1"/>
  <c r="BH210" i="25"/>
  <c r="BF210" i="25"/>
  <c r="BU210" i="25"/>
  <c r="BW210" i="25"/>
  <c r="AR182" i="25"/>
  <c r="BG182" i="25"/>
  <c r="BJ182" i="25" s="1"/>
  <c r="BH182" i="25"/>
  <c r="AP182" i="25"/>
  <c r="BF182" i="25"/>
  <c r="BW182" i="25"/>
  <c r="BU182" i="25"/>
  <c r="AU277" i="24"/>
  <c r="BB277" i="24" s="1"/>
  <c r="AW277" i="24"/>
  <c r="AU154" i="24"/>
  <c r="BB154" i="24" s="1"/>
  <c r="AW154" i="24"/>
  <c r="AW17" i="24"/>
  <c r="BG39" i="25"/>
  <c r="BJ39" i="25" s="1"/>
  <c r="AR39" i="25"/>
  <c r="BH39" i="25"/>
  <c r="AP39" i="25"/>
  <c r="BF39" i="25"/>
  <c r="BU39" i="25"/>
  <c r="BW39" i="25"/>
  <c r="AW301" i="24"/>
  <c r="AR26" i="25"/>
  <c r="BG26" i="25"/>
  <c r="BJ26" i="25" s="1"/>
  <c r="BH26" i="25"/>
  <c r="AP26" i="25"/>
  <c r="BF26" i="25"/>
  <c r="BW26" i="25"/>
  <c r="BU26" i="25"/>
  <c r="BG163" i="25"/>
  <c r="BJ163" i="25" s="1"/>
  <c r="AR163" i="25"/>
  <c r="BH163" i="25"/>
  <c r="AP163" i="25"/>
  <c r="BU163" i="25"/>
  <c r="BW163" i="25"/>
  <c r="BF163" i="25"/>
  <c r="AW274" i="24"/>
  <c r="AU69" i="24"/>
  <c r="BB69" i="24" s="1"/>
  <c r="AW69" i="24"/>
  <c r="AU27" i="24"/>
  <c r="BB27" i="24" s="1"/>
  <c r="AW27" i="24"/>
  <c r="AR299" i="25"/>
  <c r="BG299" i="25"/>
  <c r="BJ299" i="25" s="1"/>
  <c r="BH299" i="25"/>
  <c r="AP299" i="25"/>
  <c r="BU299" i="25"/>
  <c r="BF299" i="25"/>
  <c r="BW299" i="25"/>
  <c r="AT273" i="25"/>
  <c r="AU273" i="25"/>
  <c r="AW273" i="24"/>
  <c r="AR81" i="25"/>
  <c r="BG81" i="25"/>
  <c r="BJ81" i="25" s="1"/>
  <c r="BH81" i="25"/>
  <c r="AP81" i="25"/>
  <c r="BF81" i="25"/>
  <c r="BW81" i="25"/>
  <c r="BU81" i="25"/>
  <c r="AW48" i="24"/>
  <c r="BG76" i="25"/>
  <c r="BJ76" i="25" s="1"/>
  <c r="AR76" i="25"/>
  <c r="BH76" i="25"/>
  <c r="AP76" i="25"/>
  <c r="BF76" i="25"/>
  <c r="BU76" i="25"/>
  <c r="BW76" i="25"/>
  <c r="AR134" i="25"/>
  <c r="BG134" i="25"/>
  <c r="BJ134" i="25" s="1"/>
  <c r="BH134" i="25"/>
  <c r="AP134" i="25"/>
  <c r="BW134" i="25"/>
  <c r="BU134" i="25"/>
  <c r="BF134" i="25"/>
  <c r="AR38" i="25"/>
  <c r="BG38" i="25"/>
  <c r="BJ38" i="25" s="1"/>
  <c r="BH38" i="25"/>
  <c r="AP38" i="25"/>
  <c r="BF38" i="25"/>
  <c r="BW38" i="25"/>
  <c r="BU38" i="25"/>
  <c r="AU75" i="24"/>
  <c r="BB75" i="24" s="1"/>
  <c r="AW75" i="24"/>
  <c r="AR224" i="25"/>
  <c r="BG224" i="25"/>
  <c r="BJ224" i="25" s="1"/>
  <c r="BH224" i="25"/>
  <c r="AP224" i="25"/>
  <c r="BU224" i="25"/>
  <c r="BW224" i="25"/>
  <c r="BF224" i="25"/>
  <c r="AU217" i="24"/>
  <c r="BB217" i="24" s="1"/>
  <c r="AW217" i="24"/>
  <c r="AR70" i="25"/>
  <c r="BG70" i="25"/>
  <c r="BJ70" i="25" s="1"/>
  <c r="BH70" i="25"/>
  <c r="AP70" i="25"/>
  <c r="BF70" i="25"/>
  <c r="BW70" i="25"/>
  <c r="BU70" i="25"/>
  <c r="BD44" i="24"/>
  <c r="BE44" i="24"/>
  <c r="BT44" i="24" s="1"/>
  <c r="AY44" i="24"/>
  <c r="AZ44" i="24" s="1"/>
  <c r="AT296" i="25"/>
  <c r="AU296" i="25"/>
  <c r="AU76" i="24"/>
  <c r="BB76" i="24" s="1"/>
  <c r="AW76" i="24"/>
  <c r="AR151" i="25"/>
  <c r="BG151" i="25"/>
  <c r="BJ151" i="25" s="1"/>
  <c r="BH151" i="25"/>
  <c r="AP151" i="25"/>
  <c r="BF151" i="25"/>
  <c r="BU151" i="25"/>
  <c r="BW151" i="25"/>
  <c r="AT189" i="25"/>
  <c r="AY189" i="25" s="1"/>
  <c r="AU189" i="25"/>
  <c r="AR140" i="25"/>
  <c r="BG140" i="25"/>
  <c r="BJ140" i="25" s="1"/>
  <c r="BH140" i="25"/>
  <c r="AP140" i="25"/>
  <c r="BF140" i="25"/>
  <c r="BU140" i="25"/>
  <c r="BW140" i="25"/>
  <c r="BE101" i="24"/>
  <c r="BT101" i="24" s="1"/>
  <c r="BD101" i="24"/>
  <c r="AY101" i="24"/>
  <c r="AZ101" i="24" s="1"/>
  <c r="AR254" i="25"/>
  <c r="BG254" i="25"/>
  <c r="BJ254" i="25" s="1"/>
  <c r="BH254" i="25"/>
  <c r="AP254" i="25"/>
  <c r="BF254" i="25"/>
  <c r="BW254" i="25"/>
  <c r="BU254" i="25"/>
  <c r="AT293" i="25"/>
  <c r="AU293" i="25"/>
  <c r="AW269" i="24"/>
  <c r="AU312" i="24"/>
  <c r="BB312" i="24" s="1"/>
  <c r="AW312" i="24"/>
  <c r="AU198" i="24"/>
  <c r="BB198" i="24" s="1"/>
  <c r="AW198" i="24"/>
  <c r="AR130" i="25"/>
  <c r="BG130" i="25"/>
  <c r="BJ130" i="25" s="1"/>
  <c r="BH130" i="25"/>
  <c r="AP130" i="25"/>
  <c r="BF130" i="25"/>
  <c r="BU130" i="25"/>
  <c r="BW130" i="25"/>
  <c r="AR279" i="25"/>
  <c r="BG279" i="25"/>
  <c r="BJ279" i="25" s="1"/>
  <c r="BH279" i="25"/>
  <c r="AP279" i="25"/>
  <c r="BF279" i="25"/>
  <c r="BU279" i="25"/>
  <c r="BW279" i="25"/>
  <c r="AR308" i="25"/>
  <c r="BG308" i="25"/>
  <c r="BJ308" i="25" s="1"/>
  <c r="BH308" i="25"/>
  <c r="AP308" i="25"/>
  <c r="BW308" i="25"/>
  <c r="BU308" i="25"/>
  <c r="BF308" i="25"/>
  <c r="AU151" i="24"/>
  <c r="BB151" i="24" s="1"/>
  <c r="AW151" i="24"/>
  <c r="AU176" i="24"/>
  <c r="BB176" i="24" s="1"/>
  <c r="AW176" i="24"/>
  <c r="AU182" i="24"/>
  <c r="BB182" i="24" s="1"/>
  <c r="AW182" i="24"/>
  <c r="BG66" i="25"/>
  <c r="BJ66" i="25" s="1"/>
  <c r="AR66" i="25"/>
  <c r="BH66" i="25"/>
  <c r="AP66" i="25"/>
  <c r="BF66" i="25"/>
  <c r="BU66" i="25"/>
  <c r="BW66" i="25"/>
  <c r="AT148" i="25"/>
  <c r="AY148" i="25" s="1"/>
  <c r="AU148" i="25"/>
  <c r="AU98" i="24"/>
  <c r="BB98" i="24" s="1"/>
  <c r="AW98" i="24"/>
  <c r="AU287" i="24"/>
  <c r="BB287" i="24" s="1"/>
  <c r="AW287" i="24"/>
  <c r="AR304" i="25"/>
  <c r="BG304" i="25"/>
  <c r="BJ304" i="25" s="1"/>
  <c r="BH304" i="25"/>
  <c r="AP304" i="25"/>
  <c r="BW304" i="25"/>
  <c r="BU304" i="25"/>
  <c r="BF304" i="25"/>
  <c r="AT201" i="25"/>
  <c r="AY201" i="25" s="1"/>
  <c r="AU201" i="25"/>
  <c r="AT96" i="25" l="1"/>
  <c r="AY96" i="25" s="1"/>
  <c r="AT258" i="25"/>
  <c r="BD12" i="24"/>
  <c r="BG12" i="24" s="1"/>
  <c r="BM12" i="24" s="1"/>
  <c r="AU97" i="25"/>
  <c r="BE240" i="24"/>
  <c r="BT240" i="24" s="1"/>
  <c r="BD283" i="24"/>
  <c r="BS283" i="24" s="1"/>
  <c r="BD147" i="24"/>
  <c r="BG147" i="24" s="1"/>
  <c r="AY147" i="24"/>
  <c r="AZ147" i="24" s="1"/>
  <c r="BX292" i="24"/>
  <c r="AT179" i="25"/>
  <c r="AY179" i="25" s="1"/>
  <c r="AU265" i="25"/>
  <c r="BD18" i="24"/>
  <c r="BS18" i="24" s="1"/>
  <c r="BV18" i="24" s="1"/>
  <c r="BX18" i="24" s="1"/>
  <c r="AU154" i="25"/>
  <c r="BB154" i="25" s="1"/>
  <c r="BS154" i="25" s="1"/>
  <c r="BE259" i="24"/>
  <c r="BT259" i="24" s="1"/>
  <c r="BE283" i="24"/>
  <c r="BT283" i="24" s="1"/>
  <c r="BD219" i="24"/>
  <c r="BG219" i="24" s="1"/>
  <c r="BE219" i="24"/>
  <c r="BT219" i="24" s="1"/>
  <c r="BE260" i="24"/>
  <c r="BT260" i="24" s="1"/>
  <c r="BE265" i="24"/>
  <c r="BT265" i="24" s="1"/>
  <c r="AY260" i="24"/>
  <c r="AZ260" i="24" s="1"/>
  <c r="BD265" i="24"/>
  <c r="BG265" i="24" s="1"/>
  <c r="AY12" i="24"/>
  <c r="AZ12" i="24" s="1"/>
  <c r="BE111" i="24"/>
  <c r="BT111" i="24" s="1"/>
  <c r="AY111" i="24"/>
  <c r="AZ111" i="24" s="1"/>
  <c r="BE120" i="24"/>
  <c r="BT120" i="24" s="1"/>
  <c r="AY305" i="24"/>
  <c r="AZ305" i="24" s="1"/>
  <c r="BD120" i="24"/>
  <c r="BS120" i="24" s="1"/>
  <c r="AY18" i="24"/>
  <c r="AZ18" i="24" s="1"/>
  <c r="AY259" i="24"/>
  <c r="AZ259" i="24" s="1"/>
  <c r="AY240" i="24"/>
  <c r="AZ240" i="24" s="1"/>
  <c r="BE242" i="24"/>
  <c r="BT242" i="24" s="1"/>
  <c r="BD242" i="24"/>
  <c r="BG242" i="24" s="1"/>
  <c r="BE135" i="24"/>
  <c r="BT135" i="24" s="1"/>
  <c r="AY135" i="24"/>
  <c r="AZ135" i="24" s="1"/>
  <c r="BD295" i="24"/>
  <c r="BG295" i="24" s="1"/>
  <c r="BE295" i="24"/>
  <c r="BT295" i="24" s="1"/>
  <c r="BD298" i="24"/>
  <c r="BG298" i="24" s="1"/>
  <c r="AY298" i="24"/>
  <c r="AZ298" i="24" s="1"/>
  <c r="BE26" i="24"/>
  <c r="BT26" i="24" s="1"/>
  <c r="BD112" i="24"/>
  <c r="BG112" i="24" s="1"/>
  <c r="AY248" i="24"/>
  <c r="AZ248" i="24" s="1"/>
  <c r="BD121" i="24"/>
  <c r="BS121" i="24" s="1"/>
  <c r="BE121" i="24"/>
  <c r="BT121" i="24" s="1"/>
  <c r="BD34" i="24"/>
  <c r="BG34" i="24" s="1"/>
  <c r="BM34" i="24" s="1"/>
  <c r="AY19" i="24"/>
  <c r="AZ19" i="24" s="1"/>
  <c r="BE247" i="24"/>
  <c r="BT247" i="24" s="1"/>
  <c r="BE19" i="24"/>
  <c r="BT19" i="24" s="1"/>
  <c r="AY279" i="24"/>
  <c r="AZ279" i="24" s="1"/>
  <c r="BD279" i="24"/>
  <c r="BG279" i="24" s="1"/>
  <c r="BE117" i="24"/>
  <c r="BT117" i="24" s="1"/>
  <c r="BD253" i="24"/>
  <c r="BG253" i="24" s="1"/>
  <c r="AY253" i="24"/>
  <c r="AZ253" i="24" s="1"/>
  <c r="BE296" i="24"/>
  <c r="BT296" i="24" s="1"/>
  <c r="BD296" i="24"/>
  <c r="BG296" i="24" s="1"/>
  <c r="BD26" i="24"/>
  <c r="BS26" i="24" s="1"/>
  <c r="AY228" i="24"/>
  <c r="AZ228" i="24" s="1"/>
  <c r="BD20" i="24"/>
  <c r="BG20" i="24" s="1"/>
  <c r="BM20" i="24" s="1"/>
  <c r="BD247" i="24"/>
  <c r="BG247" i="24" s="1"/>
  <c r="BD232" i="24"/>
  <c r="BG232" i="24" s="1"/>
  <c r="AY232" i="24"/>
  <c r="AZ232" i="24" s="1"/>
  <c r="AY20" i="24"/>
  <c r="AZ20" i="24" s="1"/>
  <c r="BE34" i="24"/>
  <c r="BT34" i="24" s="1"/>
  <c r="BD228" i="24"/>
  <c r="BS228" i="24" s="1"/>
  <c r="BX228" i="24" s="1"/>
  <c r="BE130" i="24"/>
  <c r="BT130" i="24" s="1"/>
  <c r="BD130" i="24"/>
  <c r="BG130" i="24" s="1"/>
  <c r="BD28" i="24"/>
  <c r="BS28" i="24" s="1"/>
  <c r="BV28" i="24" s="1"/>
  <c r="BX28" i="24" s="1"/>
  <c r="BD238" i="24"/>
  <c r="BG238" i="24" s="1"/>
  <c r="AY280" i="24"/>
  <c r="AZ280" i="24" s="1"/>
  <c r="AY28" i="24"/>
  <c r="AZ28" i="24" s="1"/>
  <c r="BE238" i="24"/>
  <c r="BT238" i="24" s="1"/>
  <c r="AY33" i="24"/>
  <c r="AZ33" i="24" s="1"/>
  <c r="BD280" i="24"/>
  <c r="BG280" i="24" s="1"/>
  <c r="AY6" i="24"/>
  <c r="AZ6" i="24" s="1"/>
  <c r="BE152" i="24"/>
  <c r="BT152" i="24" s="1"/>
  <c r="BD152" i="24"/>
  <c r="BS152" i="24" s="1"/>
  <c r="AY282" i="24"/>
  <c r="AZ282" i="24" s="1"/>
  <c r="AT237" i="25"/>
  <c r="AU237" i="25"/>
  <c r="AS212" i="25"/>
  <c r="AF212" i="25"/>
  <c r="AE212" i="25"/>
  <c r="BD282" i="24"/>
  <c r="BG282" i="24" s="1"/>
  <c r="BE6" i="24"/>
  <c r="BT6" i="24" s="1"/>
  <c r="BE112" i="24"/>
  <c r="BT112" i="24" s="1"/>
  <c r="AY224" i="24"/>
  <c r="AZ224" i="24" s="1"/>
  <c r="BD117" i="24"/>
  <c r="BG117" i="24" s="1"/>
  <c r="BD224" i="24"/>
  <c r="BS224" i="24" s="1"/>
  <c r="BX224" i="24" s="1"/>
  <c r="BE58" i="24"/>
  <c r="BT58" i="24" s="1"/>
  <c r="BD299" i="24"/>
  <c r="BG299" i="24" s="1"/>
  <c r="BD148" i="24"/>
  <c r="BG148" i="24" s="1"/>
  <c r="AY58" i="24"/>
  <c r="AZ58" i="24" s="1"/>
  <c r="AY148" i="24"/>
  <c r="AZ148" i="24" s="1"/>
  <c r="BE33" i="24"/>
  <c r="BT33" i="24" s="1"/>
  <c r="BE248" i="24"/>
  <c r="BT248" i="24" s="1"/>
  <c r="AT77" i="25"/>
  <c r="AY77" i="25" s="1"/>
  <c r="AU77" i="25"/>
  <c r="BE299" i="24"/>
  <c r="BT299" i="24" s="1"/>
  <c r="BD54" i="24"/>
  <c r="BG54" i="24" s="1"/>
  <c r="BM54" i="24" s="1"/>
  <c r="AY24" i="24"/>
  <c r="AZ24" i="24" s="1"/>
  <c r="AY54" i="24"/>
  <c r="AZ54" i="24" s="1"/>
  <c r="BD24" i="24"/>
  <c r="BG24" i="24" s="1"/>
  <c r="BM24" i="24" s="1"/>
  <c r="BD305" i="24"/>
  <c r="BG305" i="24" s="1"/>
  <c r="BE269" i="24"/>
  <c r="BT269" i="24" s="1"/>
  <c r="AY269" i="24"/>
  <c r="AZ269" i="24" s="1"/>
  <c r="BD269" i="24"/>
  <c r="AT163" i="25"/>
  <c r="AY163" i="25" s="1"/>
  <c r="AU163" i="25"/>
  <c r="AT66" i="25"/>
  <c r="AY66" i="25" s="1"/>
  <c r="AU66" i="25"/>
  <c r="AT130" i="25"/>
  <c r="AY130" i="25" s="1"/>
  <c r="AU130" i="25"/>
  <c r="AT140" i="25"/>
  <c r="AY140" i="25" s="1"/>
  <c r="AU140" i="25"/>
  <c r="BB296" i="25"/>
  <c r="BS296" i="25" s="1"/>
  <c r="BA296" i="25"/>
  <c r="BC296" i="25"/>
  <c r="BT296" i="25" s="1"/>
  <c r="AT224" i="25"/>
  <c r="AU224" i="25"/>
  <c r="AT134" i="25"/>
  <c r="AY134" i="25" s="1"/>
  <c r="AU134" i="25"/>
  <c r="AT26" i="25"/>
  <c r="AY26" i="25" s="1"/>
  <c r="AU26" i="25"/>
  <c r="BE154" i="24"/>
  <c r="BT154" i="24" s="1"/>
  <c r="AY154" i="24"/>
  <c r="AZ154" i="24" s="1"/>
  <c r="BD154" i="24"/>
  <c r="AT220" i="25"/>
  <c r="AU220" i="25"/>
  <c r="L16" i="1"/>
  <c r="BE169" i="24"/>
  <c r="BT169" i="24" s="1"/>
  <c r="BD169" i="24"/>
  <c r="AY169" i="24"/>
  <c r="AZ169" i="24" s="1"/>
  <c r="AT101" i="25"/>
  <c r="AY101" i="25" s="1"/>
  <c r="AU101" i="25"/>
  <c r="AY29" i="24"/>
  <c r="AZ29" i="24" s="1"/>
  <c r="BD29" i="24"/>
  <c r="BE29" i="24"/>
  <c r="BT29" i="24" s="1"/>
  <c r="AT133" i="25"/>
  <c r="AY133" i="25" s="1"/>
  <c r="AU133" i="25"/>
  <c r="BG120" i="24"/>
  <c r="AT297" i="25"/>
  <c r="AU297" i="25"/>
  <c r="BD144" i="24"/>
  <c r="BE144" i="24"/>
  <c r="BT144" i="24" s="1"/>
  <c r="AY144" i="24"/>
  <c r="AZ144" i="24" s="1"/>
  <c r="AT139" i="25"/>
  <c r="AY139" i="25" s="1"/>
  <c r="AU139" i="25"/>
  <c r="AT278" i="25"/>
  <c r="AU278" i="25"/>
  <c r="AT315" i="25"/>
  <c r="AU315" i="25"/>
  <c r="BD171" i="24"/>
  <c r="AY171" i="24"/>
  <c r="AZ171" i="24" s="1"/>
  <c r="BE171" i="24"/>
  <c r="BT171" i="24" s="1"/>
  <c r="BD316" i="24"/>
  <c r="BE316" i="24"/>
  <c r="BT316" i="24" s="1"/>
  <c r="AY316" i="24"/>
  <c r="AZ316" i="24" s="1"/>
  <c r="BB198" i="25"/>
  <c r="BS198" i="25" s="1"/>
  <c r="BC198" i="25"/>
  <c r="BT198" i="25" s="1"/>
  <c r="BA198" i="25"/>
  <c r="BD99" i="24"/>
  <c r="AY99" i="24"/>
  <c r="AZ99" i="24" s="1"/>
  <c r="BE99" i="24"/>
  <c r="BT99" i="24" s="1"/>
  <c r="BD306" i="24"/>
  <c r="BE306" i="24"/>
  <c r="BT306" i="24" s="1"/>
  <c r="AY306" i="24"/>
  <c r="AZ306" i="24" s="1"/>
  <c r="AT118" i="25"/>
  <c r="AY118" i="25" s="1"/>
  <c r="AU118" i="25"/>
  <c r="BD310" i="24"/>
  <c r="AY310" i="24"/>
  <c r="AZ310" i="24" s="1"/>
  <c r="BE310" i="24"/>
  <c r="BT310" i="24" s="1"/>
  <c r="AT68" i="25"/>
  <c r="AY68" i="25" s="1"/>
  <c r="AU68" i="25"/>
  <c r="BC177" i="25"/>
  <c r="BT177" i="25" s="1"/>
  <c r="BA177" i="25"/>
  <c r="BB177" i="25"/>
  <c r="BS177" i="25" s="1"/>
  <c r="BA292" i="25"/>
  <c r="BC292" i="25"/>
  <c r="BT292" i="25" s="1"/>
  <c r="BB292" i="25"/>
  <c r="BS292" i="25" s="1"/>
  <c r="AT289" i="25"/>
  <c r="AU289" i="25"/>
  <c r="BG142" i="24"/>
  <c r="BS142" i="24"/>
  <c r="BX142" i="24" s="1"/>
  <c r="AT85" i="25"/>
  <c r="AY85" i="25" s="1"/>
  <c r="AU85" i="25"/>
  <c r="BE105" i="24"/>
  <c r="BT105" i="24" s="1"/>
  <c r="AY105" i="24"/>
  <c r="AZ105" i="24" s="1"/>
  <c r="BD105" i="24"/>
  <c r="BE311" i="24"/>
  <c r="BT311" i="24" s="1"/>
  <c r="AY311" i="24"/>
  <c r="AZ311" i="24" s="1"/>
  <c r="BD311" i="24"/>
  <c r="AT244" i="25"/>
  <c r="AU244" i="25"/>
  <c r="AT60" i="25"/>
  <c r="AY60" i="25" s="1"/>
  <c r="AU60" i="25"/>
  <c r="BD51" i="24"/>
  <c r="AY51" i="24"/>
  <c r="AZ51" i="24" s="1"/>
  <c r="BE51" i="24"/>
  <c r="BT51" i="24" s="1"/>
  <c r="AT157" i="25"/>
  <c r="AY157" i="25" s="1"/>
  <c r="AU157" i="25"/>
  <c r="BD285" i="24"/>
  <c r="AY285" i="24"/>
  <c r="AZ285" i="24" s="1"/>
  <c r="BE285" i="24"/>
  <c r="BT285" i="24" s="1"/>
  <c r="BA257" i="25"/>
  <c r="BC257" i="25"/>
  <c r="BT257" i="25" s="1"/>
  <c r="BB257" i="25"/>
  <c r="BS257" i="25" s="1"/>
  <c r="AT286" i="25"/>
  <c r="AU286" i="25"/>
  <c r="AT264" i="25"/>
  <c r="AU264" i="25"/>
  <c r="BA248" i="25"/>
  <c r="BC248" i="25"/>
  <c r="BT248" i="25" s="1"/>
  <c r="BB248" i="25"/>
  <c r="BS248" i="25" s="1"/>
  <c r="AY31" i="24"/>
  <c r="AZ31" i="24" s="1"/>
  <c r="BE31" i="24"/>
  <c r="BT31" i="24" s="1"/>
  <c r="BD31" i="24"/>
  <c r="AY10" i="24"/>
  <c r="AZ10" i="24" s="1"/>
  <c r="BD10" i="24"/>
  <c r="BE10" i="24"/>
  <c r="BT10" i="24" s="1"/>
  <c r="AY313" i="24"/>
  <c r="AZ313" i="24" s="1"/>
  <c r="BD313" i="24"/>
  <c r="BE313" i="24"/>
  <c r="BT313" i="24" s="1"/>
  <c r="BD140" i="24"/>
  <c r="AY140" i="24"/>
  <c r="AZ140" i="24" s="1"/>
  <c r="BE140" i="24"/>
  <c r="BT140" i="24" s="1"/>
  <c r="BS45" i="24"/>
  <c r="BV45" i="24" s="1"/>
  <c r="BX45" i="24" s="1"/>
  <c r="BG45" i="24"/>
  <c r="BM45" i="24" s="1"/>
  <c r="AT307" i="25"/>
  <c r="AU307" i="25"/>
  <c r="BE143" i="25"/>
  <c r="BR143" i="25"/>
  <c r="BX143" i="25" s="1"/>
  <c r="BG119" i="24"/>
  <c r="BS119" i="24"/>
  <c r="BX119" i="24" s="1"/>
  <c r="AT183" i="25"/>
  <c r="AY183" i="25" s="1"/>
  <c r="AU183" i="25"/>
  <c r="BE16" i="24"/>
  <c r="BT16" i="24" s="1"/>
  <c r="BD16" i="24"/>
  <c r="AY16" i="24"/>
  <c r="AZ16" i="24" s="1"/>
  <c r="BG160" i="24"/>
  <c r="BS160" i="24"/>
  <c r="BX160" i="24" s="1"/>
  <c r="AY104" i="24"/>
  <c r="AZ104" i="24" s="1"/>
  <c r="BD104" i="24"/>
  <c r="BE104" i="24"/>
  <c r="BT104" i="24" s="1"/>
  <c r="AT65" i="25"/>
  <c r="AY65" i="25" s="1"/>
  <c r="AU65" i="25"/>
  <c r="BE40" i="24"/>
  <c r="BT40" i="24" s="1"/>
  <c r="AY40" i="24"/>
  <c r="AZ40" i="24" s="1"/>
  <c r="BD40" i="24"/>
  <c r="BE234" i="24"/>
  <c r="BT234" i="24" s="1"/>
  <c r="BD234" i="24"/>
  <c r="AY234" i="24"/>
  <c r="AZ234" i="24" s="1"/>
  <c r="AT20" i="25"/>
  <c r="AY20" i="25" s="1"/>
  <c r="AU20" i="25"/>
  <c r="BD73" i="24"/>
  <c r="AY73" i="24"/>
  <c r="AZ73" i="24" s="1"/>
  <c r="BE73" i="24"/>
  <c r="BT73" i="24" s="1"/>
  <c r="BC173" i="25"/>
  <c r="BT173" i="25" s="1"/>
  <c r="BB173" i="25"/>
  <c r="BS173" i="25" s="1"/>
  <c r="BA173" i="25"/>
  <c r="BE103" i="24"/>
  <c r="BT103" i="24" s="1"/>
  <c r="BD103" i="24"/>
  <c r="AY103" i="24"/>
  <c r="AZ103" i="24" s="1"/>
  <c r="AT241" i="25"/>
  <c r="AU241" i="25"/>
  <c r="BE100" i="24"/>
  <c r="BT100" i="24" s="1"/>
  <c r="BD100" i="24"/>
  <c r="AY100" i="24"/>
  <c r="AZ100" i="24" s="1"/>
  <c r="BC104" i="25"/>
  <c r="BT104" i="25" s="1"/>
  <c r="BA104" i="25"/>
  <c r="BB104" i="25"/>
  <c r="BS104" i="25" s="1"/>
  <c r="BE151" i="24"/>
  <c r="BT151" i="24" s="1"/>
  <c r="BD151" i="24"/>
  <c r="AY151" i="24"/>
  <c r="AZ151" i="24" s="1"/>
  <c r="AT308" i="25"/>
  <c r="AU308" i="25"/>
  <c r="AT279" i="25"/>
  <c r="AU279" i="25"/>
  <c r="BD75" i="24"/>
  <c r="AY75" i="24"/>
  <c r="AZ75" i="24" s="1"/>
  <c r="BE75" i="24"/>
  <c r="BT75" i="24" s="1"/>
  <c r="AT38" i="25"/>
  <c r="AY38" i="25" s="1"/>
  <c r="AU38" i="25"/>
  <c r="AY48" i="24"/>
  <c r="AZ48" i="24" s="1"/>
  <c r="BE48" i="24"/>
  <c r="BT48" i="24" s="1"/>
  <c r="BD48" i="24"/>
  <c r="AT81" i="25"/>
  <c r="AY81" i="25" s="1"/>
  <c r="AU81" i="25"/>
  <c r="BE129" i="24"/>
  <c r="BT129" i="24" s="1"/>
  <c r="BD129" i="24"/>
  <c r="AY129" i="24"/>
  <c r="AZ129" i="24" s="1"/>
  <c r="BD263" i="24"/>
  <c r="AY263" i="24"/>
  <c r="AZ263" i="24" s="1"/>
  <c r="BE263" i="24"/>
  <c r="BT263" i="24" s="1"/>
  <c r="BD195" i="24"/>
  <c r="AY195" i="24"/>
  <c r="AZ195" i="24" s="1"/>
  <c r="BE195" i="24"/>
  <c r="BT195" i="24" s="1"/>
  <c r="BA276" i="25"/>
  <c r="BB276" i="25"/>
  <c r="BS276" i="25" s="1"/>
  <c r="BC276" i="25"/>
  <c r="BT276" i="25" s="1"/>
  <c r="AT295" i="25"/>
  <c r="AU295" i="25"/>
  <c r="AT115" i="25"/>
  <c r="AY115" i="25" s="1"/>
  <c r="AU115" i="25"/>
  <c r="BE61" i="24"/>
  <c r="BT61" i="24" s="1"/>
  <c r="BD61" i="24"/>
  <c r="AY61" i="24"/>
  <c r="AZ61" i="24" s="1"/>
  <c r="AY62" i="24"/>
  <c r="AZ62" i="24" s="1"/>
  <c r="BE62" i="24"/>
  <c r="BT62" i="24" s="1"/>
  <c r="BD62" i="24"/>
  <c r="BE256" i="24"/>
  <c r="BT256" i="24" s="1"/>
  <c r="AY256" i="24"/>
  <c r="AZ256" i="24" s="1"/>
  <c r="BD256" i="24"/>
  <c r="BS55" i="24"/>
  <c r="BV55" i="24" s="1"/>
  <c r="BX55" i="24" s="1"/>
  <c r="BG55" i="24"/>
  <c r="BM55" i="24" s="1"/>
  <c r="AT288" i="25"/>
  <c r="AU288" i="25"/>
  <c r="AT245" i="25"/>
  <c r="AU245" i="25"/>
  <c r="BG111" i="24"/>
  <c r="BS111" i="24"/>
  <c r="BD8" i="24"/>
  <c r="BE8" i="24"/>
  <c r="BT8" i="24" s="1"/>
  <c r="AY8" i="24"/>
  <c r="AZ8" i="24" s="1"/>
  <c r="AT187" i="25"/>
  <c r="AY187" i="25" s="1"/>
  <c r="AU187" i="25"/>
  <c r="BD185" i="24"/>
  <c r="AY185" i="24"/>
  <c r="AZ185" i="24" s="1"/>
  <c r="BE185" i="24"/>
  <c r="BT185" i="24" s="1"/>
  <c r="AT225" i="25"/>
  <c r="AU225" i="25"/>
  <c r="BE252" i="24"/>
  <c r="BT252" i="24" s="1"/>
  <c r="AY252" i="24"/>
  <c r="AZ252" i="24" s="1"/>
  <c r="BD252" i="24"/>
  <c r="AY271" i="24"/>
  <c r="AZ271" i="24" s="1"/>
  <c r="BD271" i="24"/>
  <c r="BE271" i="24"/>
  <c r="BT271" i="24" s="1"/>
  <c r="AT270" i="25"/>
  <c r="AU270" i="25"/>
  <c r="AT251" i="25"/>
  <c r="AU251" i="25"/>
  <c r="AT197" i="25"/>
  <c r="AY197" i="25" s="1"/>
  <c r="AU197" i="25"/>
  <c r="BG190" i="24"/>
  <c r="BS190" i="24"/>
  <c r="BX190" i="24" s="1"/>
  <c r="AT69" i="25"/>
  <c r="AY69" i="25" s="1"/>
  <c r="AU69" i="25"/>
  <c r="BE71" i="24"/>
  <c r="BT71" i="24" s="1"/>
  <c r="AY71" i="24"/>
  <c r="AZ71" i="24" s="1"/>
  <c r="BD71" i="24"/>
  <c r="AT266" i="25"/>
  <c r="AU266" i="25"/>
  <c r="AT91" i="25"/>
  <c r="AY91" i="25" s="1"/>
  <c r="AU91" i="25"/>
  <c r="BC92" i="25"/>
  <c r="BT92" i="25" s="1"/>
  <c r="BB92" i="25"/>
  <c r="BS92" i="25" s="1"/>
  <c r="BA92" i="25"/>
  <c r="BE128" i="24"/>
  <c r="BT128" i="24" s="1"/>
  <c r="BD128" i="24"/>
  <c r="AY128" i="24"/>
  <c r="AZ128" i="24" s="1"/>
  <c r="BE32" i="24"/>
  <c r="BT32" i="24" s="1"/>
  <c r="BD32" i="24"/>
  <c r="AY32" i="24"/>
  <c r="AZ32" i="24" s="1"/>
  <c r="BA199" i="25"/>
  <c r="BB199" i="25"/>
  <c r="BS199" i="25" s="1"/>
  <c r="BC199" i="25"/>
  <c r="BT199" i="25" s="1"/>
  <c r="BE91" i="24"/>
  <c r="BT91" i="24" s="1"/>
  <c r="BD91" i="24"/>
  <c r="AY91" i="24"/>
  <c r="AZ91" i="24" s="1"/>
  <c r="AT149" i="25"/>
  <c r="AY149" i="25" s="1"/>
  <c r="AU149" i="25"/>
  <c r="AT271" i="25"/>
  <c r="AU271" i="25"/>
  <c r="AT152" i="25"/>
  <c r="AY152" i="25" s="1"/>
  <c r="AU152" i="25"/>
  <c r="BE122" i="24"/>
  <c r="BT122" i="24" s="1"/>
  <c r="BD122" i="24"/>
  <c r="AY122" i="24"/>
  <c r="AZ122" i="24" s="1"/>
  <c r="AT252" i="25"/>
  <c r="AU252" i="25"/>
  <c r="BE56" i="24"/>
  <c r="BT56" i="24" s="1"/>
  <c r="AY56" i="24"/>
  <c r="AZ56" i="24" s="1"/>
  <c r="BD56" i="24"/>
  <c r="AT166" i="25"/>
  <c r="AY166" i="25" s="1"/>
  <c r="AU166" i="25"/>
  <c r="BG162" i="24"/>
  <c r="BS162" i="24"/>
  <c r="BX162" i="24" s="1"/>
  <c r="BC31" i="25"/>
  <c r="BT31" i="25" s="1"/>
  <c r="BB31" i="25"/>
  <c r="BS31" i="25" s="1"/>
  <c r="BA31" i="25"/>
  <c r="BE83" i="24"/>
  <c r="BT83" i="24" s="1"/>
  <c r="BD83" i="24"/>
  <c r="AY83" i="24"/>
  <c r="AZ83" i="24" s="1"/>
  <c r="AT309" i="25"/>
  <c r="AU309" i="25"/>
  <c r="AT205" i="25"/>
  <c r="AY205" i="25" s="1"/>
  <c r="AU205" i="25"/>
  <c r="AT58" i="25"/>
  <c r="AY58" i="25" s="1"/>
  <c r="AU58" i="25"/>
  <c r="BD137" i="24"/>
  <c r="BE137" i="24"/>
  <c r="BT137" i="24" s="1"/>
  <c r="AY137" i="24"/>
  <c r="AZ137" i="24" s="1"/>
  <c r="BG257" i="24"/>
  <c r="BS257" i="24"/>
  <c r="BX257" i="24" s="1"/>
  <c r="AT17" i="25"/>
  <c r="AY17" i="25" s="1"/>
  <c r="AU17" i="25"/>
  <c r="BD14" i="24"/>
  <c r="BE14" i="24"/>
  <c r="BT14" i="24" s="1"/>
  <c r="AY14" i="24"/>
  <c r="AZ14" i="24" s="1"/>
  <c r="AT41" i="25"/>
  <c r="AY41" i="25" s="1"/>
  <c r="AU41" i="25"/>
  <c r="AT67" i="25"/>
  <c r="AY67" i="25" s="1"/>
  <c r="AU67" i="25"/>
  <c r="AT303" i="25"/>
  <c r="AU303" i="25"/>
  <c r="BA95" i="25"/>
  <c r="BC95" i="25"/>
  <c r="BT95" i="25" s="1"/>
  <c r="BB95" i="25"/>
  <c r="BS95" i="25" s="1"/>
  <c r="AT235" i="25"/>
  <c r="AU235" i="25"/>
  <c r="BG233" i="24"/>
  <c r="BS233" i="24"/>
  <c r="BX233" i="24" s="1"/>
  <c r="BE57" i="24"/>
  <c r="BT57" i="24" s="1"/>
  <c r="BD57" i="24"/>
  <c r="AY57" i="24"/>
  <c r="AZ57" i="24" s="1"/>
  <c r="BE255" i="24"/>
  <c r="BT255" i="24" s="1"/>
  <c r="BD255" i="24"/>
  <c r="AY255" i="24"/>
  <c r="AZ255" i="24" s="1"/>
  <c r="AY218" i="24"/>
  <c r="AZ218" i="24" s="1"/>
  <c r="BD218" i="24"/>
  <c r="BE218" i="24"/>
  <c r="BT218" i="24" s="1"/>
  <c r="AY138" i="24"/>
  <c r="AZ138" i="24" s="1"/>
  <c r="BE138" i="24"/>
  <c r="BT138" i="24" s="1"/>
  <c r="BD138" i="24"/>
  <c r="BE90" i="24"/>
  <c r="BT90" i="24" s="1"/>
  <c r="AY90" i="24"/>
  <c r="AZ90" i="24" s="1"/>
  <c r="BD90" i="24"/>
  <c r="BD38" i="24"/>
  <c r="BE38" i="24"/>
  <c r="BT38" i="24" s="1"/>
  <c r="AY38" i="24"/>
  <c r="AZ38" i="24" s="1"/>
  <c r="BE258" i="24"/>
  <c r="BT258" i="24" s="1"/>
  <c r="BD258" i="24"/>
  <c r="AY258" i="24"/>
  <c r="AZ258" i="24" s="1"/>
  <c r="AT124" i="25"/>
  <c r="AY124" i="25" s="1"/>
  <c r="AU124" i="25"/>
  <c r="AT193" i="25"/>
  <c r="AY193" i="25" s="1"/>
  <c r="AU193" i="25"/>
  <c r="BA201" i="25"/>
  <c r="BB201" i="25"/>
  <c r="BS201" i="25" s="1"/>
  <c r="BC201" i="25"/>
  <c r="BT201" i="25" s="1"/>
  <c r="AY182" i="24"/>
  <c r="AZ182" i="24" s="1"/>
  <c r="BE182" i="24"/>
  <c r="BT182" i="24" s="1"/>
  <c r="BD182" i="24"/>
  <c r="BD198" i="24"/>
  <c r="BE198" i="24"/>
  <c r="BT198" i="24" s="1"/>
  <c r="AY198" i="24"/>
  <c r="AZ198" i="24" s="1"/>
  <c r="BC189" i="25"/>
  <c r="BT189" i="25" s="1"/>
  <c r="BA189" i="25"/>
  <c r="BB189" i="25"/>
  <c r="BS189" i="25" s="1"/>
  <c r="AT151" i="25"/>
  <c r="AY151" i="25" s="1"/>
  <c r="AU151" i="25"/>
  <c r="BD273" i="24"/>
  <c r="AY273" i="24"/>
  <c r="AZ273" i="24" s="1"/>
  <c r="BE273" i="24"/>
  <c r="BT273" i="24" s="1"/>
  <c r="BA32" i="25"/>
  <c r="BB32" i="25"/>
  <c r="BS32" i="25" s="1"/>
  <c r="BC32" i="25"/>
  <c r="BT32" i="25" s="1"/>
  <c r="BG132" i="24"/>
  <c r="BS132" i="24"/>
  <c r="BX132" i="24" s="1"/>
  <c r="AT57" i="25"/>
  <c r="AY57" i="25" s="1"/>
  <c r="AU57" i="25"/>
  <c r="AY192" i="24"/>
  <c r="AZ192" i="24" s="1"/>
  <c r="BD192" i="24"/>
  <c r="BE192" i="24"/>
  <c r="BT192" i="24" s="1"/>
  <c r="AT48" i="25"/>
  <c r="AY48" i="25" s="1"/>
  <c r="AU48" i="25"/>
  <c r="BA158" i="25"/>
  <c r="BB158" i="25"/>
  <c r="BS158" i="25" s="1"/>
  <c r="BC158" i="25"/>
  <c r="BT158" i="25" s="1"/>
  <c r="AT216" i="25"/>
  <c r="AU216" i="25"/>
  <c r="BE143" i="24"/>
  <c r="BT143" i="24" s="1"/>
  <c r="BD143" i="24"/>
  <c r="AY143" i="24"/>
  <c r="AZ143" i="24" s="1"/>
  <c r="BD145" i="24"/>
  <c r="AY145" i="24"/>
  <c r="AZ145" i="24" s="1"/>
  <c r="BE145" i="24"/>
  <c r="BT145" i="24" s="1"/>
  <c r="AY158" i="24"/>
  <c r="AZ158" i="24" s="1"/>
  <c r="BD158" i="24"/>
  <c r="BE158" i="24"/>
  <c r="BT158" i="24" s="1"/>
  <c r="AT138" i="25"/>
  <c r="AY138" i="25" s="1"/>
  <c r="AU138" i="25"/>
  <c r="AT287" i="25"/>
  <c r="AU287" i="25"/>
  <c r="BC28" i="25"/>
  <c r="BT28" i="25" s="1"/>
  <c r="BA28" i="25"/>
  <c r="BB28" i="25"/>
  <c r="BS28" i="25" s="1"/>
  <c r="BE161" i="24"/>
  <c r="BT161" i="24" s="1"/>
  <c r="BD161" i="24"/>
  <c r="AY161" i="24"/>
  <c r="AZ161" i="24" s="1"/>
  <c r="BE276" i="24"/>
  <c r="BT276" i="24" s="1"/>
  <c r="BD276" i="24"/>
  <c r="AY276" i="24"/>
  <c r="AZ276" i="24" s="1"/>
  <c r="AT176" i="25"/>
  <c r="AY176" i="25" s="1"/>
  <c r="AU176" i="25"/>
  <c r="AT100" i="25"/>
  <c r="AY100" i="25" s="1"/>
  <c r="AU100" i="25"/>
  <c r="BD123" i="24"/>
  <c r="AY123" i="24"/>
  <c r="AZ123" i="24" s="1"/>
  <c r="BE123" i="24"/>
  <c r="BT123" i="24" s="1"/>
  <c r="AT136" i="25"/>
  <c r="AY136" i="25" s="1"/>
  <c r="AU136" i="25"/>
  <c r="AT302" i="25"/>
  <c r="AU302" i="25"/>
  <c r="BE166" i="24"/>
  <c r="BT166" i="24" s="1"/>
  <c r="BD166" i="24"/>
  <c r="AY166" i="24"/>
  <c r="AZ166" i="24" s="1"/>
  <c r="BG22" i="24"/>
  <c r="BM22" i="24" s="1"/>
  <c r="BS22" i="24"/>
  <c r="BV22" i="24" s="1"/>
  <c r="BX22" i="24" s="1"/>
  <c r="AT191" i="25"/>
  <c r="AY191" i="25" s="1"/>
  <c r="AU191" i="25"/>
  <c r="AT78" i="25"/>
  <c r="AY78" i="25" s="1"/>
  <c r="AU78" i="25"/>
  <c r="BE226" i="24"/>
  <c r="BT226" i="24" s="1"/>
  <c r="BD226" i="24"/>
  <c r="AY226" i="24"/>
  <c r="AZ226" i="24" s="1"/>
  <c r="AT272" i="25"/>
  <c r="AU272" i="25"/>
  <c r="BD72" i="24"/>
  <c r="BE72" i="24"/>
  <c r="BT72" i="24" s="1"/>
  <c r="AY72" i="24"/>
  <c r="AZ72" i="24" s="1"/>
  <c r="AT181" i="25"/>
  <c r="AY181" i="25" s="1"/>
  <c r="AU181" i="25"/>
  <c r="BE204" i="24"/>
  <c r="BT204" i="24" s="1"/>
  <c r="AY204" i="24"/>
  <c r="AZ204" i="24" s="1"/>
  <c r="BD204" i="24"/>
  <c r="BE129" i="25"/>
  <c r="BR129" i="25"/>
  <c r="BX129" i="25" s="1"/>
  <c r="BD85" i="24"/>
  <c r="BE85" i="24"/>
  <c r="BT85" i="24" s="1"/>
  <c r="AY85" i="24"/>
  <c r="AZ85" i="24" s="1"/>
  <c r="AY239" i="24"/>
  <c r="AZ239" i="24" s="1"/>
  <c r="BD239" i="24"/>
  <c r="BE239" i="24"/>
  <c r="BT239" i="24" s="1"/>
  <c r="BB282" i="25"/>
  <c r="BS282" i="25" s="1"/>
  <c r="BC282" i="25"/>
  <c r="BT282" i="25" s="1"/>
  <c r="BA282" i="25"/>
  <c r="AT194" i="25"/>
  <c r="AY194" i="25" s="1"/>
  <c r="AU194" i="25"/>
  <c r="BE50" i="24"/>
  <c r="BT50" i="24" s="1"/>
  <c r="BD50" i="24"/>
  <c r="AY50" i="24"/>
  <c r="AZ50" i="24" s="1"/>
  <c r="BG58" i="24"/>
  <c r="BM58" i="24" s="1"/>
  <c r="BS58" i="24"/>
  <c r="BE165" i="24"/>
  <c r="BT165" i="24" s="1"/>
  <c r="BD165" i="24"/>
  <c r="AY165" i="24"/>
  <c r="AZ165" i="24" s="1"/>
  <c r="BG260" i="24"/>
  <c r="BS260" i="24"/>
  <c r="BE172" i="24"/>
  <c r="BT172" i="24" s="1"/>
  <c r="BD172" i="24"/>
  <c r="AY172" i="24"/>
  <c r="AZ172" i="24" s="1"/>
  <c r="BA147" i="25"/>
  <c r="BC147" i="25"/>
  <c r="BT147" i="25" s="1"/>
  <c r="BB147" i="25"/>
  <c r="BS147" i="25" s="1"/>
  <c r="AY70" i="24"/>
  <c r="AZ70" i="24" s="1"/>
  <c r="BE70" i="24"/>
  <c r="BT70" i="24" s="1"/>
  <c r="BD70" i="24"/>
  <c r="AT128" i="25"/>
  <c r="AY128" i="25" s="1"/>
  <c r="AU128" i="25"/>
  <c r="AY250" i="24"/>
  <c r="AZ250" i="24" s="1"/>
  <c r="BD250" i="24"/>
  <c r="BE250" i="24"/>
  <c r="BT250" i="24" s="1"/>
  <c r="AT50" i="25"/>
  <c r="AY50" i="25" s="1"/>
  <c r="AU50" i="25"/>
  <c r="AT165" i="25"/>
  <c r="AY165" i="25" s="1"/>
  <c r="AU165" i="25"/>
  <c r="AT111" i="25"/>
  <c r="AY111" i="25" s="1"/>
  <c r="AU111" i="25"/>
  <c r="BD157" i="24"/>
  <c r="AY157" i="24"/>
  <c r="AZ157" i="24" s="1"/>
  <c r="BE157" i="24"/>
  <c r="BT157" i="24" s="1"/>
  <c r="BS33" i="24"/>
  <c r="BG33" i="24"/>
  <c r="BM33" i="24" s="1"/>
  <c r="AY53" i="24"/>
  <c r="AZ53" i="24" s="1"/>
  <c r="BD53" i="24"/>
  <c r="BE53" i="24"/>
  <c r="BT53" i="24" s="1"/>
  <c r="BE222" i="24"/>
  <c r="BT222" i="24" s="1"/>
  <c r="BD222" i="24"/>
  <c r="AY222" i="24"/>
  <c r="AZ222" i="24" s="1"/>
  <c r="AT269" i="25"/>
  <c r="AU269" i="25"/>
  <c r="BA258" i="25"/>
  <c r="BC258" i="25"/>
  <c r="BT258" i="25" s="1"/>
  <c r="BB258" i="25"/>
  <c r="BS258" i="25" s="1"/>
  <c r="BE237" i="24"/>
  <c r="BT237" i="24" s="1"/>
  <c r="BD237" i="24"/>
  <c r="AY237" i="24"/>
  <c r="AZ237" i="24" s="1"/>
  <c r="BD184" i="24"/>
  <c r="AY184" i="24"/>
  <c r="AZ184" i="24" s="1"/>
  <c r="BE184" i="24"/>
  <c r="BT184" i="24" s="1"/>
  <c r="AT312" i="25"/>
  <c r="AU312" i="25"/>
  <c r="BG236" i="24"/>
  <c r="BS236" i="24"/>
  <c r="BX236" i="24" s="1"/>
  <c r="AN110" i="29"/>
  <c r="AN84" i="29"/>
  <c r="AN340" i="29"/>
  <c r="AN42" i="29"/>
  <c r="AN412" i="29"/>
  <c r="AN567" i="29"/>
  <c r="AN341" i="29"/>
  <c r="AN140" i="29"/>
  <c r="AN80" i="29"/>
  <c r="AN105" i="29"/>
  <c r="AN22" i="29"/>
  <c r="AN211" i="29"/>
  <c r="AN370" i="29"/>
  <c r="AN69" i="29"/>
  <c r="AN429" i="29"/>
  <c r="AN147" i="29"/>
  <c r="AN363" i="29"/>
  <c r="AN210" i="29"/>
  <c r="AN400" i="29"/>
  <c r="AN307" i="29"/>
  <c r="AN338" i="29"/>
  <c r="AN372" i="29"/>
  <c r="AN364" i="29"/>
  <c r="AN230" i="29"/>
  <c r="AN458" i="29"/>
  <c r="AN117" i="29"/>
  <c r="AN127" i="29"/>
  <c r="AN179" i="29"/>
  <c r="AN104" i="29"/>
  <c r="AN474" i="29"/>
  <c r="AN506" i="29"/>
  <c r="AN337" i="29"/>
  <c r="AN570" i="29"/>
  <c r="AN376" i="29"/>
  <c r="AN598" i="29"/>
  <c r="AN142" i="29"/>
  <c r="AN390" i="29"/>
  <c r="AN182" i="29"/>
  <c r="AN449" i="29"/>
  <c r="AN468" i="29"/>
  <c r="AN382" i="29"/>
  <c r="AN378" i="29"/>
  <c r="AN298" i="29"/>
  <c r="AN260" i="29"/>
  <c r="AN208" i="29"/>
  <c r="AN18" i="29"/>
  <c r="AN490" i="29"/>
  <c r="AN202" i="29"/>
  <c r="AN295" i="29"/>
  <c r="AN52" i="29"/>
  <c r="AN242" i="29"/>
  <c r="AN134" i="29"/>
  <c r="AN359" i="29"/>
  <c r="AN160" i="29"/>
  <c r="AN143" i="29"/>
  <c r="AN346" i="29"/>
  <c r="AN539" i="29"/>
  <c r="AN92" i="29"/>
  <c r="AN233" i="29"/>
  <c r="AN173" i="29"/>
  <c r="AN309" i="29"/>
  <c r="AN314" i="29"/>
  <c r="AN188" i="29"/>
  <c r="AN377" i="29"/>
  <c r="AN484" i="29"/>
  <c r="AN83" i="29"/>
  <c r="AN284" i="29"/>
  <c r="AN47" i="29"/>
  <c r="AN120" i="29"/>
  <c r="AN281" i="29"/>
  <c r="AN574" i="29"/>
  <c r="AN78" i="29"/>
  <c r="AN247" i="29"/>
  <c r="AN183" i="29"/>
  <c r="AN322" i="29"/>
  <c r="AN456" i="29"/>
  <c r="AN555" i="29"/>
  <c r="AN129" i="29"/>
  <c r="AN518" i="29"/>
  <c r="AN315" i="29"/>
  <c r="AN251" i="29"/>
  <c r="AN166" i="29"/>
  <c r="AN493" i="29"/>
  <c r="AN496" i="29"/>
  <c r="AN556" i="29"/>
  <c r="AN375" i="29"/>
  <c r="AN583" i="29"/>
  <c r="AN389" i="29"/>
  <c r="AN392" i="29"/>
  <c r="AN273" i="29"/>
  <c r="AN24" i="29"/>
  <c r="AN286" i="29"/>
  <c r="AN514" i="29"/>
  <c r="AN157" i="29"/>
  <c r="AN20" i="29"/>
  <c r="AN422" i="29"/>
  <c r="AN145" i="29"/>
  <c r="AN297" i="29"/>
  <c r="AN584" i="29"/>
  <c r="AN523" i="29"/>
  <c r="AN151" i="29"/>
  <c r="AN99" i="29"/>
  <c r="AN536" i="29"/>
  <c r="AN332" i="29"/>
  <c r="AN531" i="29"/>
  <c r="AN321" i="29"/>
  <c r="AN229" i="29"/>
  <c r="AN215" i="29"/>
  <c r="AN339" i="29"/>
  <c r="AN218" i="29"/>
  <c r="AN398" i="29"/>
  <c r="AN141" i="29"/>
  <c r="AN528" i="29"/>
  <c r="AN582" i="29"/>
  <c r="AN111" i="29"/>
  <c r="AN473" i="29"/>
  <c r="AN571" i="29"/>
  <c r="AN303" i="29"/>
  <c r="AN479" i="29"/>
  <c r="AN256" i="29"/>
  <c r="AN14" i="29"/>
  <c r="AN154" i="29"/>
  <c r="AN373" i="29"/>
  <c r="AN228" i="29"/>
  <c r="AN35" i="29"/>
  <c r="AN121" i="29"/>
  <c r="AN472" i="29"/>
  <c r="AN445" i="29"/>
  <c r="AN77" i="29"/>
  <c r="AN452" i="29"/>
  <c r="AN194" i="29"/>
  <c r="AN601" i="29"/>
  <c r="AN447" i="29"/>
  <c r="D53" i="29"/>
  <c r="AN552" i="29"/>
  <c r="AN465" i="29"/>
  <c r="AN500" i="29"/>
  <c r="AN395" i="29"/>
  <c r="AN53" i="29"/>
  <c r="AN437" i="29"/>
  <c r="AN236" i="29"/>
  <c r="AN90" i="29"/>
  <c r="AN521" i="29"/>
  <c r="AN100" i="29"/>
  <c r="AN426" i="29"/>
  <c r="AN214" i="29"/>
  <c r="AN257" i="29"/>
  <c r="AN595" i="29"/>
  <c r="AN207" i="29"/>
  <c r="AN65" i="29"/>
  <c r="AN439" i="29"/>
  <c r="AN393" i="29"/>
  <c r="AN149" i="29"/>
  <c r="AN51" i="29"/>
  <c r="AN608" i="29"/>
  <c r="AN109" i="29"/>
  <c r="AN540" i="29"/>
  <c r="AN312" i="29"/>
  <c r="AN119" i="29"/>
  <c r="AN324" i="29"/>
  <c r="AN171" i="29"/>
  <c r="AN313" i="29"/>
  <c r="AN510" i="29"/>
  <c r="AN88" i="29"/>
  <c r="AN448" i="29"/>
  <c r="AN199" i="29"/>
  <c r="AN204" i="29"/>
  <c r="AN195" i="29"/>
  <c r="AN290" i="29"/>
  <c r="AN58" i="29"/>
  <c r="AN471" i="29"/>
  <c r="AN124" i="29"/>
  <c r="AN71" i="29"/>
  <c r="AN593" i="29"/>
  <c r="AN212" i="29"/>
  <c r="AN351" i="29"/>
  <c r="AN287" i="29"/>
  <c r="AN130" i="29"/>
  <c r="AN326" i="29"/>
  <c r="AN282" i="29"/>
  <c r="AN40" i="29"/>
  <c r="AN79" i="29"/>
  <c r="AN75" i="29"/>
  <c r="AN562" i="29"/>
  <c r="AN483" i="29"/>
  <c r="AN244" i="29"/>
  <c r="AN74" i="29"/>
  <c r="AN348" i="29"/>
  <c r="AN402" i="29"/>
  <c r="AN453" i="29"/>
  <c r="AN544" i="29"/>
  <c r="AN423" i="29"/>
  <c r="AN133" i="29"/>
  <c r="AN275" i="29"/>
  <c r="AN161" i="29"/>
  <c r="AN522" i="29"/>
  <c r="AN362" i="29"/>
  <c r="AN153" i="29"/>
  <c r="AN385" i="29"/>
  <c r="AN569" i="29"/>
  <c r="AN425" i="29"/>
  <c r="AN308" i="29"/>
  <c r="AN168" i="29"/>
  <c r="AN401" i="29"/>
  <c r="AN512" i="29"/>
  <c r="AN611" i="29"/>
  <c r="AN489" i="29"/>
  <c r="AN146" i="29"/>
  <c r="AN155" i="29"/>
  <c r="AN97" i="29"/>
  <c r="AN397" i="29"/>
  <c r="AN366" i="29"/>
  <c r="AN499" i="29"/>
  <c r="AN566" i="29"/>
  <c r="AN356" i="29"/>
  <c r="AN114" i="29"/>
  <c r="AN561" i="29"/>
  <c r="AN37" i="29"/>
  <c r="AN361" i="29"/>
  <c r="AN158" i="29"/>
  <c r="AN461" i="29"/>
  <c r="AN463" i="29"/>
  <c r="AN277" i="29"/>
  <c r="AN421" i="29"/>
  <c r="AN477" i="29"/>
  <c r="AN217" i="29"/>
  <c r="AN379" i="29"/>
  <c r="AN311" i="29"/>
  <c r="AN543" i="29"/>
  <c r="AN403" i="29"/>
  <c r="AN513" i="29"/>
  <c r="AN600" i="29"/>
  <c r="AN538" i="29"/>
  <c r="AN252" i="29"/>
  <c r="AN466" i="29"/>
  <c r="AN305" i="29"/>
  <c r="AN118" i="29"/>
  <c r="AN219" i="29"/>
  <c r="AN156" i="29"/>
  <c r="AN504" i="29"/>
  <c r="AN176" i="29"/>
  <c r="AN554" i="29"/>
  <c r="AN443" i="29"/>
  <c r="AN93" i="29"/>
  <c r="AN516" i="29"/>
  <c r="AN594" i="29"/>
  <c r="AN102" i="29"/>
  <c r="AN301" i="29"/>
  <c r="AN581" i="29"/>
  <c r="AN193" i="29"/>
  <c r="AN138" i="29"/>
  <c r="AN509" i="29"/>
  <c r="AN368" i="29"/>
  <c r="AN492" i="29"/>
  <c r="AN591" i="29"/>
  <c r="AN547" i="29"/>
  <c r="AN497" i="29"/>
  <c r="AN272" i="29"/>
  <c r="AN98" i="29"/>
  <c r="AN405" i="29"/>
  <c r="AN316" i="29"/>
  <c r="AN450" i="29"/>
  <c r="AN533" i="29"/>
  <c r="AN592" i="29"/>
  <c r="AN196" i="29"/>
  <c r="AN502" i="29"/>
  <c r="AN613" i="29"/>
  <c r="AN565" i="29"/>
  <c r="AN165" i="29"/>
  <c r="AN68" i="29"/>
  <c r="AN442" i="29"/>
  <c r="AN299" i="29"/>
  <c r="AN276" i="29"/>
  <c r="AN407" i="29"/>
  <c r="AN384" i="29"/>
  <c r="AN498" i="29"/>
  <c r="AN529" i="29"/>
  <c r="AN525" i="29"/>
  <c r="AN292" i="29"/>
  <c r="AN328" i="29"/>
  <c r="AN419" i="29"/>
  <c r="AN285" i="29"/>
  <c r="AN144" i="29"/>
  <c r="AN269" i="29"/>
  <c r="AN136" i="29"/>
  <c r="AN60" i="29"/>
  <c r="AN191" i="29"/>
  <c r="AN122" i="29"/>
  <c r="AN441" i="29"/>
  <c r="AN446" i="29"/>
  <c r="AN475" i="29"/>
  <c r="AN187" i="29"/>
  <c r="AN225" i="29"/>
  <c r="AN383" i="29"/>
  <c r="AN94" i="29"/>
  <c r="AN221" i="29"/>
  <c r="AN245" i="29"/>
  <c r="AN125" i="29"/>
  <c r="AN414" i="29"/>
  <c r="AN262" i="29"/>
  <c r="AN507" i="29"/>
  <c r="AN15" i="29"/>
  <c r="AN576" i="29"/>
  <c r="AN95" i="29"/>
  <c r="AN310" i="29"/>
  <c r="AN81" i="29"/>
  <c r="AN289" i="29"/>
  <c r="AN551" i="29"/>
  <c r="AN39" i="29"/>
  <c r="AN455" i="29"/>
  <c r="AN335" i="29"/>
  <c r="AN517" i="29"/>
  <c r="AN226" i="29"/>
  <c r="AN478" i="29"/>
  <c r="AN91" i="29"/>
  <c r="AN573" i="29"/>
  <c r="AN17" i="29"/>
  <c r="AN135" i="29"/>
  <c r="AN530" i="29"/>
  <c r="AN381" i="29"/>
  <c r="AN255" i="29"/>
  <c r="AN550" i="29"/>
  <c r="AN541" i="29"/>
  <c r="AN469" i="29"/>
  <c r="AN388" i="29"/>
  <c r="AN190" i="29"/>
  <c r="AN482" i="29"/>
  <c r="AN588" i="29"/>
  <c r="AN411" i="29"/>
  <c r="AN67" i="29"/>
  <c r="AN563" i="29"/>
  <c r="AN444" i="29"/>
  <c r="AN612" i="29"/>
  <c r="AN462" i="29"/>
  <c r="AN416" i="29"/>
  <c r="AN163" i="29"/>
  <c r="AN329" i="29"/>
  <c r="AN511" i="29"/>
  <c r="AN49" i="29"/>
  <c r="AN181" i="29"/>
  <c r="AN334" i="29"/>
  <c r="AN336" i="29"/>
  <c r="AN535" i="29"/>
  <c r="AN410" i="29"/>
  <c r="AN568" i="29"/>
  <c r="AN440" i="29"/>
  <c r="AN123" i="29"/>
  <c r="AN607" i="29"/>
  <c r="AN220" i="29"/>
  <c r="AN86" i="29"/>
  <c r="AN380" i="29"/>
  <c r="AN265" i="29"/>
  <c r="AN150" i="29"/>
  <c r="AN70" i="29"/>
  <c r="AN586" i="29"/>
  <c r="AN31" i="29"/>
  <c r="AN50" i="29"/>
  <c r="AN451" i="29"/>
  <c r="AN13" i="29"/>
  <c r="AN243" i="29"/>
  <c r="AN231" i="29"/>
  <c r="AN198" i="29"/>
  <c r="AN596" i="29"/>
  <c r="AN355" i="29"/>
  <c r="AN250" i="29"/>
  <c r="AN476" i="29"/>
  <c r="AN209" i="29"/>
  <c r="AN253" i="29"/>
  <c r="AN302" i="29"/>
  <c r="AN103" i="29"/>
  <c r="AN327" i="29"/>
  <c r="AN280" i="29"/>
  <c r="AN494" i="29"/>
  <c r="AN542" i="29"/>
  <c r="AN527" i="29"/>
  <c r="AN44" i="29"/>
  <c r="AN491" i="29"/>
  <c r="AN294" i="29"/>
  <c r="AN557" i="29"/>
  <c r="AN213" i="29"/>
  <c r="AN330" i="29"/>
  <c r="AN467" i="29"/>
  <c r="AN16" i="29"/>
  <c r="AN116" i="29"/>
  <c r="AN128" i="29"/>
  <c r="AN259" i="29"/>
  <c r="AN152" i="29"/>
  <c r="AN386" i="29"/>
  <c r="AN246" i="29"/>
  <c r="AN267" i="29"/>
  <c r="AN200" i="29"/>
  <c r="AN434" i="29"/>
  <c r="AN464" i="29"/>
  <c r="AN216" i="29"/>
  <c r="AN61" i="29"/>
  <c r="AN201" i="29"/>
  <c r="AN89" i="29"/>
  <c r="AN409" i="29"/>
  <c r="AN63" i="29"/>
  <c r="AN283" i="29"/>
  <c r="AN33" i="29"/>
  <c r="AN353" i="29"/>
  <c r="AN43" i="29"/>
  <c r="AN258" i="29"/>
  <c r="AN488" i="29"/>
  <c r="AN180" i="29"/>
  <c r="AN534" i="29"/>
  <c r="AN345" i="29"/>
  <c r="AN432" i="29"/>
  <c r="AN358" i="29"/>
  <c r="AN577" i="29"/>
  <c r="AN532" i="29"/>
  <c r="AN609" i="29"/>
  <c r="AN278" i="29"/>
  <c r="AN46" i="29"/>
  <c r="AN501" i="29"/>
  <c r="AN170" i="29"/>
  <c r="AN599" i="29"/>
  <c r="AN205" i="29"/>
  <c r="AN288" i="29"/>
  <c r="AN323" i="29"/>
  <c r="AN519" i="29"/>
  <c r="AN408" i="29"/>
  <c r="AN343" i="29"/>
  <c r="AN487" i="29"/>
  <c r="AN264" i="29"/>
  <c r="AN604" i="29"/>
  <c r="AN537" i="29"/>
  <c r="AN418" i="29"/>
  <c r="AN238" i="29"/>
  <c r="AN430" i="29"/>
  <c r="AN106" i="29"/>
  <c r="AN406" i="29"/>
  <c r="AN549" i="29"/>
  <c r="AN606" i="29"/>
  <c r="AN605" i="29"/>
  <c r="AN428" i="29"/>
  <c r="AN223" i="29"/>
  <c r="AN300" i="29"/>
  <c r="AN174" i="29"/>
  <c r="AN126" i="29"/>
  <c r="AN271" i="29"/>
  <c r="AN508" i="29"/>
  <c r="AN460" i="29"/>
  <c r="AN32" i="29"/>
  <c r="AN178" i="29"/>
  <c r="AN177" i="29"/>
  <c r="AN270" i="29"/>
  <c r="AN113" i="29"/>
  <c r="AN480" i="29"/>
  <c r="AN222" i="29"/>
  <c r="AN64" i="29"/>
  <c r="AN505" i="29"/>
  <c r="AN189" i="29"/>
  <c r="AN26" i="29"/>
  <c r="AN331" i="29"/>
  <c r="AN572" i="29"/>
  <c r="AN268" i="29"/>
  <c r="AN107" i="29"/>
  <c r="AN55" i="29"/>
  <c r="AN587" i="29"/>
  <c r="AN62" i="29"/>
  <c r="AN21" i="29"/>
  <c r="AN325" i="29"/>
  <c r="AN431" i="29"/>
  <c r="AN354" i="29"/>
  <c r="AN585" i="29"/>
  <c r="AN28" i="29"/>
  <c r="AN48" i="29"/>
  <c r="AN357" i="29"/>
  <c r="AN317" i="29"/>
  <c r="AN559" i="29"/>
  <c r="AN224" i="29"/>
  <c r="AN342" i="29"/>
  <c r="AN578" i="29"/>
  <c r="AN296" i="29"/>
  <c r="AN319" i="29"/>
  <c r="AN396" i="29"/>
  <c r="AN76" i="29"/>
  <c r="AN548" i="29"/>
  <c r="AN234" i="29"/>
  <c r="AN304" i="29"/>
  <c r="AN391" i="29"/>
  <c r="AN115" i="29"/>
  <c r="AN371" i="29"/>
  <c r="AN318" i="29"/>
  <c r="AN87" i="29"/>
  <c r="AN427" i="29"/>
  <c r="AN436" i="29"/>
  <c r="AN503" i="29"/>
  <c r="AN352" i="29"/>
  <c r="AN85" i="29"/>
  <c r="AN349" i="29"/>
  <c r="AN185" i="29"/>
  <c r="AN415" i="29"/>
  <c r="AN424" i="29"/>
  <c r="AN545" i="29"/>
  <c r="AN404" i="29"/>
  <c r="AN203" i="29"/>
  <c r="AN263" i="29"/>
  <c r="AN186" i="29"/>
  <c r="AN344" i="29"/>
  <c r="AN481" i="29"/>
  <c r="AN306" i="29"/>
  <c r="AN589" i="29"/>
  <c r="AN112" i="29"/>
  <c r="AN293" i="29"/>
  <c r="AN36" i="29"/>
  <c r="AN365" i="29"/>
  <c r="AN131" i="29"/>
  <c r="AN45" i="29"/>
  <c r="AN164" i="29"/>
  <c r="AN29" i="29"/>
  <c r="AN526" i="29"/>
  <c r="AN417" i="29"/>
  <c r="AN30" i="29"/>
  <c r="AN239" i="29"/>
  <c r="AN546" i="29"/>
  <c r="AN240" i="29"/>
  <c r="AN132" i="29"/>
  <c r="AN162" i="29"/>
  <c r="AN347" i="29"/>
  <c r="AN248" i="29"/>
  <c r="AN394" i="29"/>
  <c r="AN387" i="29"/>
  <c r="AN575" i="29"/>
  <c r="AN82" i="29"/>
  <c r="AN27" i="29"/>
  <c r="AN369" i="29"/>
  <c r="AN435" i="29"/>
  <c r="AN515" i="29"/>
  <c r="AN520" i="29"/>
  <c r="AN597" i="29"/>
  <c r="AN232" i="29"/>
  <c r="AM601" i="29"/>
  <c r="AN274" i="29"/>
  <c r="AN41" i="29"/>
  <c r="AN254" i="29"/>
  <c r="AN603" i="29"/>
  <c r="AN192" i="29"/>
  <c r="AN580" i="29"/>
  <c r="AN56" i="29"/>
  <c r="AN227" i="29"/>
  <c r="AN108" i="29"/>
  <c r="AN249" i="29"/>
  <c r="AN25" i="29"/>
  <c r="AN470" i="29"/>
  <c r="AN175" i="29"/>
  <c r="AN438" i="29"/>
  <c r="AN374" i="29"/>
  <c r="AN139" i="29"/>
  <c r="AN167" i="29"/>
  <c r="AN495" i="29"/>
  <c r="AN485" i="29"/>
  <c r="AN558" i="29"/>
  <c r="AN241" i="29"/>
  <c r="AN413" i="29"/>
  <c r="AN360" i="29"/>
  <c r="AN524" i="29"/>
  <c r="AN59" i="29"/>
  <c r="AN197" i="29"/>
  <c r="AN159" i="29"/>
  <c r="AN454" i="29"/>
  <c r="AN610" i="29"/>
  <c r="AN486" i="29"/>
  <c r="AN459" i="29"/>
  <c r="AN457" i="29"/>
  <c r="AN261" i="29"/>
  <c r="AN399" i="29"/>
  <c r="AN433" i="29"/>
  <c r="AN73" i="29"/>
  <c r="AN66" i="29"/>
  <c r="AN169" i="29"/>
  <c r="AN564" i="29"/>
  <c r="AN23" i="29"/>
  <c r="AN206" i="29"/>
  <c r="AN279" i="29"/>
  <c r="AN320" i="29"/>
  <c r="AN367" i="29"/>
  <c r="AN560" i="29"/>
  <c r="AN57" i="29"/>
  <c r="AN137" i="29"/>
  <c r="AN172" i="29"/>
  <c r="AN291" i="29"/>
  <c r="AN72" i="29"/>
  <c r="AN350" i="29"/>
  <c r="AM24" i="29"/>
  <c r="AN420" i="29"/>
  <c r="AN553" i="29"/>
  <c r="AM456" i="29"/>
  <c r="AN96" i="29"/>
  <c r="AN38" i="29"/>
  <c r="AN602" i="29"/>
  <c r="AN34" i="29"/>
  <c r="AN590" i="29"/>
  <c r="AN101" i="29"/>
  <c r="AM138" i="29"/>
  <c r="AM87" i="29"/>
  <c r="AM79" i="29"/>
  <c r="AM594" i="29"/>
  <c r="AN184" i="29"/>
  <c r="AN266" i="29"/>
  <c r="AN54" i="29"/>
  <c r="AM169" i="29"/>
  <c r="AM38" i="29"/>
  <c r="AN333" i="29"/>
  <c r="AN148" i="29"/>
  <c r="AN235" i="29"/>
  <c r="AN579" i="29"/>
  <c r="AN237" i="29"/>
  <c r="AN19" i="29"/>
  <c r="AM257" i="29"/>
  <c r="AM183" i="29"/>
  <c r="AM414" i="29"/>
  <c r="AM245" i="29"/>
  <c r="AM253" i="29"/>
  <c r="AM262" i="29"/>
  <c r="AM348" i="29"/>
  <c r="AM325" i="29"/>
  <c r="AM80" i="29"/>
  <c r="AM260" i="29"/>
  <c r="AM600" i="29"/>
  <c r="AM402" i="29"/>
  <c r="AM337" i="29"/>
  <c r="AM37" i="29"/>
  <c r="AM585" i="29"/>
  <c r="AM455" i="29"/>
  <c r="AM91" i="29"/>
  <c r="AM565" i="29"/>
  <c r="AM341" i="29"/>
  <c r="AM267" i="29"/>
  <c r="AM206" i="29"/>
  <c r="AM373" i="29"/>
  <c r="AM336" i="29"/>
  <c r="AM514" i="29"/>
  <c r="AM167" i="29"/>
  <c r="AM581" i="29"/>
  <c r="AM294" i="29"/>
  <c r="AM593" i="29"/>
  <c r="AM582" i="29"/>
  <c r="AM207" i="29"/>
  <c r="AM295" i="29"/>
  <c r="AM88" i="29"/>
  <c r="AM118" i="29"/>
  <c r="AM200" i="29"/>
  <c r="AM518" i="29"/>
  <c r="AM381" i="29"/>
  <c r="AM292" i="29"/>
  <c r="AM17" i="29"/>
  <c r="AM307" i="29"/>
  <c r="AM469" i="29"/>
  <c r="AM85" i="29"/>
  <c r="AO85" i="29" s="1"/>
  <c r="AM235" i="29"/>
  <c r="AM353" i="29"/>
  <c r="AM544" i="29"/>
  <c r="AO544" i="29" s="1"/>
  <c r="AM357" i="29"/>
  <c r="AM483" i="29"/>
  <c r="AO483" i="29" s="1"/>
  <c r="AM149" i="29"/>
  <c r="AM606" i="29"/>
  <c r="AO606" i="29" s="1"/>
  <c r="AM501" i="29"/>
  <c r="AM371" i="29"/>
  <c r="AM50" i="29"/>
  <c r="AM250" i="29"/>
  <c r="AM51" i="29"/>
  <c r="AM26" i="29"/>
  <c r="AM145" i="29"/>
  <c r="AM258" i="29"/>
  <c r="AM537" i="29"/>
  <c r="AO537" i="29" s="1"/>
  <c r="AM435" i="29"/>
  <c r="AM33" i="29"/>
  <c r="AM443" i="29"/>
  <c r="AM82" i="29"/>
  <c r="AM338" i="29"/>
  <c r="AM468" i="29"/>
  <c r="AM81" i="29"/>
  <c r="AM135" i="29"/>
  <c r="AM173" i="29"/>
  <c r="AM179" i="29"/>
  <c r="AM302" i="29"/>
  <c r="AM403" i="29"/>
  <c r="AM549" i="29"/>
  <c r="AM573" i="29"/>
  <c r="AM444" i="29"/>
  <c r="AM157" i="29"/>
  <c r="AM531" i="29"/>
  <c r="AM566" i="29"/>
  <c r="AO566" i="29" s="1"/>
  <c r="AM313" i="29"/>
  <c r="AM163" i="29"/>
  <c r="AO163" i="29" s="1"/>
  <c r="AM155" i="29"/>
  <c r="AO155" i="29" s="1"/>
  <c r="AM119" i="29"/>
  <c r="AM584" i="29"/>
  <c r="AO584" i="29" s="1"/>
  <c r="AM524" i="29"/>
  <c r="AM147" i="29"/>
  <c r="AM252" i="29"/>
  <c r="AM528" i="29"/>
  <c r="AM533" i="29"/>
  <c r="AM596" i="29"/>
  <c r="AM416" i="29"/>
  <c r="AM309" i="29"/>
  <c r="AM297" i="29"/>
  <c r="AM199" i="29"/>
  <c r="AM407" i="29"/>
  <c r="AM28" i="29"/>
  <c r="AM370" i="29"/>
  <c r="AM327" i="29"/>
  <c r="AM507" i="29"/>
  <c r="AM568" i="29"/>
  <c r="AM406" i="29"/>
  <c r="AM420" i="29"/>
  <c r="AM264" i="29"/>
  <c r="AM521" i="29"/>
  <c r="AO521" i="29" s="1"/>
  <c r="AM117" i="29"/>
  <c r="AM233" i="29"/>
  <c r="AM525" i="29"/>
  <c r="AM542" i="29"/>
  <c r="AM426" i="29"/>
  <c r="AM410" i="29"/>
  <c r="AM612" i="29"/>
  <c r="AM89" i="29"/>
  <c r="AM43" i="29"/>
  <c r="AM256" i="29"/>
  <c r="AM58" i="29"/>
  <c r="AO58" i="29" s="1"/>
  <c r="AM355" i="29"/>
  <c r="AM432" i="29"/>
  <c r="AM449" i="29"/>
  <c r="AM436" i="29"/>
  <c r="AM369" i="29"/>
  <c r="AM174" i="29"/>
  <c r="AO174" i="29" s="1"/>
  <c r="AM324" i="29"/>
  <c r="AM471" i="29"/>
  <c r="AM62" i="29"/>
  <c r="AM75" i="29"/>
  <c r="AM527" i="29"/>
  <c r="AM137" i="29"/>
  <c r="AO137" i="29" s="1"/>
  <c r="AM496" i="29"/>
  <c r="AM570" i="29"/>
  <c r="AM221" i="29"/>
  <c r="AM447" i="29"/>
  <c r="AM474" i="29"/>
  <c r="AM195" i="29"/>
  <c r="AM121" i="29"/>
  <c r="AM18" i="29"/>
  <c r="AO18" i="29" s="1"/>
  <c r="AM576" i="29"/>
  <c r="AO576" i="29" s="1"/>
  <c r="AM396" i="29"/>
  <c r="AM178" i="29"/>
  <c r="AM319" i="29"/>
  <c r="AM554" i="29"/>
  <c r="AM434" i="29"/>
  <c r="AM289" i="29"/>
  <c r="AM220" i="29"/>
  <c r="AM442" i="29"/>
  <c r="AO442" i="29" s="1"/>
  <c r="AM288" i="29"/>
  <c r="AM486" i="29"/>
  <c r="AM42" i="29"/>
  <c r="AM405" i="29"/>
  <c r="AM298" i="29"/>
  <c r="AM67" i="29"/>
  <c r="AM40" i="29"/>
  <c r="AM413" i="29"/>
  <c r="AM128" i="29"/>
  <c r="AM315" i="29"/>
  <c r="AM346" i="29"/>
  <c r="AM422" i="29"/>
  <c r="AM504" i="29"/>
  <c r="AM70" i="29"/>
  <c r="AM588" i="29"/>
  <c r="AM401" i="29"/>
  <c r="AM239" i="29"/>
  <c r="AM113" i="29"/>
  <c r="AO113" i="29" s="1"/>
  <c r="AM209" i="29"/>
  <c r="AM532" i="29"/>
  <c r="AM124" i="29"/>
  <c r="AO124" i="29" s="1"/>
  <c r="AM605" i="29"/>
  <c r="AM237" i="29"/>
  <c r="AM388" i="29"/>
  <c r="AM564" i="29"/>
  <c r="AM386" i="29"/>
  <c r="AM229" i="29"/>
  <c r="AM34" i="29"/>
  <c r="AM509" i="29"/>
  <c r="AO509" i="29" s="1"/>
  <c r="AM127" i="29"/>
  <c r="AM299" i="29"/>
  <c r="AM598" i="29"/>
  <c r="AM59" i="29"/>
  <c r="AO59" i="29" s="1"/>
  <c r="AM515" i="29"/>
  <c r="AM31" i="29"/>
  <c r="AM270" i="29"/>
  <c r="AM526" i="29"/>
  <c r="AM142" i="29"/>
  <c r="AM177" i="29"/>
  <c r="AM150" i="29"/>
  <c r="AM383" i="29"/>
  <c r="AM130" i="29"/>
  <c r="AM55" i="29"/>
  <c r="AM74" i="29"/>
  <c r="AO74" i="29" s="1"/>
  <c r="AM552" i="29"/>
  <c r="AM83" i="29"/>
  <c r="AM326" i="29"/>
  <c r="AM441" i="29"/>
  <c r="AM78" i="29"/>
  <c r="AO78" i="29" s="1"/>
  <c r="AM517" i="29"/>
  <c r="AM30" i="29"/>
  <c r="AM428" i="29"/>
  <c r="AM66" i="29"/>
  <c r="AO66" i="29" s="1"/>
  <c r="AM273" i="29"/>
  <c r="AM387" i="29"/>
  <c r="AM345" i="29"/>
  <c r="AM433" i="29"/>
  <c r="AM361" i="29"/>
  <c r="AM478" i="29"/>
  <c r="AO478" i="29" s="1"/>
  <c r="AM571" i="29"/>
  <c r="AM84" i="29"/>
  <c r="AM546" i="29"/>
  <c r="AM359" i="29"/>
  <c r="AM409" i="29"/>
  <c r="AM144" i="29"/>
  <c r="AM92" i="29"/>
  <c r="AM574" i="29"/>
  <c r="AM248" i="29"/>
  <c r="AO248" i="29" s="1"/>
  <c r="AM379" i="29"/>
  <c r="AM21" i="29"/>
  <c r="AM57" i="29"/>
  <c r="AM440" i="29"/>
  <c r="AM586" i="29"/>
  <c r="AM363" i="29"/>
  <c r="AO363" i="29" s="1"/>
  <c r="AM201" i="29"/>
  <c r="AM166" i="29"/>
  <c r="AM153" i="29"/>
  <c r="AM109" i="29"/>
  <c r="AM247" i="29"/>
  <c r="AM214" i="29"/>
  <c r="AM103" i="29"/>
  <c r="AM421" i="29"/>
  <c r="AM193" i="29"/>
  <c r="AO193" i="29" s="1"/>
  <c r="AM96" i="29"/>
  <c r="AM535" i="29"/>
  <c r="AM107" i="29"/>
  <c r="AM204" i="29"/>
  <c r="AM219" i="29"/>
  <c r="AM610" i="29"/>
  <c r="AM602" i="29"/>
  <c r="AO602" i="29" s="1"/>
  <c r="AM251" i="29"/>
  <c r="AM491" i="29"/>
  <c r="AM222" i="29"/>
  <c r="AM98" i="29"/>
  <c r="AM226" i="29"/>
  <c r="AM587" i="29"/>
  <c r="AM259" i="29"/>
  <c r="AM331" i="29"/>
  <c r="AM304" i="29"/>
  <c r="AO304" i="29" s="1"/>
  <c r="AM133" i="29"/>
  <c r="AM424" i="29"/>
  <c r="AM249" i="29"/>
  <c r="AM378" i="29"/>
  <c r="AM301" i="29"/>
  <c r="AM29" i="29"/>
  <c r="AM213" i="29"/>
  <c r="AM599" i="29"/>
  <c r="AO599" i="29" s="1"/>
  <c r="AM477" i="29"/>
  <c r="AM172" i="29"/>
  <c r="AM340" i="29"/>
  <c r="AM461" i="29"/>
  <c r="AM241" i="29"/>
  <c r="AM347" i="29"/>
  <c r="AM557" i="29"/>
  <c r="AM140" i="29"/>
  <c r="AM108" i="29"/>
  <c r="AM583" i="29"/>
  <c r="AM384" i="29"/>
  <c r="AM165" i="29"/>
  <c r="AM100" i="29"/>
  <c r="AM349" i="29"/>
  <c r="AM16" i="29"/>
  <c r="AM69" i="29"/>
  <c r="AM61" i="29"/>
  <c r="AO61" i="29" s="1"/>
  <c r="AM52" i="29"/>
  <c r="AM454" i="29"/>
  <c r="AM282" i="29"/>
  <c r="AM577" i="29"/>
  <c r="AM342" i="29"/>
  <c r="AM321" i="29"/>
  <c r="AM255" i="29"/>
  <c r="AM408" i="29"/>
  <c r="AM437" i="29"/>
  <c r="AO437" i="29" s="1"/>
  <c r="AM306" i="29"/>
  <c r="AM272" i="29"/>
  <c r="AM39" i="29"/>
  <c r="AM448" i="29"/>
  <c r="AM364" i="29"/>
  <c r="AM65" i="29"/>
  <c r="AM508" i="29"/>
  <c r="AO508" i="29" s="1"/>
  <c r="AM71" i="29"/>
  <c r="AM122" i="29"/>
  <c r="AM366" i="29"/>
  <c r="AM446" i="29"/>
  <c r="AM139" i="29"/>
  <c r="AM350" i="29"/>
  <c r="AM333" i="29"/>
  <c r="AM329" i="29"/>
  <c r="AM277" i="29"/>
  <c r="AM607" i="29"/>
  <c r="AM330" i="29"/>
  <c r="AM368" i="29"/>
  <c r="AM305" i="29"/>
  <c r="AM529" i="29"/>
  <c r="AM48" i="29"/>
  <c r="AM317" i="29"/>
  <c r="AM360" i="29"/>
  <c r="AM498" i="29"/>
  <c r="AM102" i="29"/>
  <c r="AM591" i="29"/>
  <c r="AO591" i="29" s="1"/>
  <c r="AM466" i="29"/>
  <c r="AM300" i="29"/>
  <c r="AM271" i="29"/>
  <c r="AO271" i="29" s="1"/>
  <c r="AM392" i="29"/>
  <c r="AM161" i="29"/>
  <c r="AM284" i="29"/>
  <c r="AM398" i="29"/>
  <c r="AM320" i="29"/>
  <c r="AM19" i="29"/>
  <c r="AM372" i="29"/>
  <c r="AM460" i="29"/>
  <c r="AM41" i="29"/>
  <c r="AM534" i="29"/>
  <c r="AM194" i="29"/>
  <c r="AM223" i="29"/>
  <c r="AO223" i="29" s="1"/>
  <c r="AM563" i="29"/>
  <c r="AM513" i="29"/>
  <c r="AM427" i="29"/>
  <c r="AM285" i="29"/>
  <c r="AO285" i="29" s="1"/>
  <c r="AM356" i="29"/>
  <c r="AM208" i="29"/>
  <c r="AM323" i="29"/>
  <c r="AO323" i="29" s="1"/>
  <c r="AM597" i="29"/>
  <c r="AM389" i="29"/>
  <c r="AM411" i="29"/>
  <c r="AM519" i="29"/>
  <c r="AM603" i="29"/>
  <c r="AM211" i="29"/>
  <c r="AM90" i="29"/>
  <c r="AM510" i="29"/>
  <c r="AM203" i="29"/>
  <c r="AM185" i="29"/>
  <c r="AM192" i="29"/>
  <c r="AM198" i="29"/>
  <c r="AM592" i="29"/>
  <c r="AM290" i="29"/>
  <c r="AM125" i="29"/>
  <c r="AM225" i="29"/>
  <c r="AO225" i="29" s="1"/>
  <c r="AM114" i="29"/>
  <c r="AM431" i="29"/>
  <c r="AM328" i="29"/>
  <c r="AO328" i="29" s="1"/>
  <c r="AM246" i="29"/>
  <c r="AM425" i="29"/>
  <c r="AM286" i="29"/>
  <c r="AM429" i="29"/>
  <c r="AM358" i="29"/>
  <c r="AM291" i="29"/>
  <c r="AM473" i="29"/>
  <c r="AM261" i="29"/>
  <c r="AO261" i="29" s="1"/>
  <c r="AM27" i="29"/>
  <c r="AM562" i="29"/>
  <c r="AM126" i="29"/>
  <c r="AM457" i="29"/>
  <c r="AM269" i="29"/>
  <c r="AM93" i="29"/>
  <c r="AM63" i="29"/>
  <c r="AO63" i="29" s="1"/>
  <c r="AM106" i="29"/>
  <c r="AM391" i="29"/>
  <c r="AM287" i="29"/>
  <c r="AM548" i="29"/>
  <c r="AM216" i="29"/>
  <c r="AM20" i="29"/>
  <c r="AM604" i="29"/>
  <c r="AM268" i="29"/>
  <c r="AM472" i="29"/>
  <c r="AM45" i="29"/>
  <c r="AM215" i="29"/>
  <c r="AM116" i="29"/>
  <c r="AM160" i="29"/>
  <c r="AM72" i="29"/>
  <c r="AM112" i="29"/>
  <c r="AM380" i="29"/>
  <c r="AO380" i="29" s="1"/>
  <c r="AM276" i="29"/>
  <c r="AM111" i="29"/>
  <c r="AM575" i="29"/>
  <c r="AM495" i="29"/>
  <c r="AM240" i="29"/>
  <c r="AM23" i="29"/>
  <c r="AM311" i="29"/>
  <c r="AM234" i="29"/>
  <c r="AM205" i="29"/>
  <c r="AM217" i="29"/>
  <c r="AM202" i="29"/>
  <c r="AM430" i="29"/>
  <c r="AM499" i="29"/>
  <c r="AM68" i="29"/>
  <c r="AM191" i="29"/>
  <c r="AM190" i="29"/>
  <c r="AM503" i="29"/>
  <c r="AM56" i="29"/>
  <c r="AM485" i="29"/>
  <c r="AO485" i="29" s="1"/>
  <c r="AM385" i="29"/>
  <c r="AM458" i="29"/>
  <c r="AM451" i="29"/>
  <c r="AM488" i="29"/>
  <c r="AM608" i="29"/>
  <c r="AM556" i="29"/>
  <c r="AM154" i="29"/>
  <c r="AM32" i="29"/>
  <c r="AM210" i="29"/>
  <c r="AM555" i="29"/>
  <c r="AM15" i="29"/>
  <c r="AM578" i="29"/>
  <c r="AM572" i="29"/>
  <c r="AM450" i="29"/>
  <c r="AM558" i="29"/>
  <c r="AM171" i="29"/>
  <c r="AM335" i="29"/>
  <c r="AM376" i="29"/>
  <c r="AM312" i="29"/>
  <c r="AM162" i="29"/>
  <c r="AM580" i="29"/>
  <c r="AM77" i="29"/>
  <c r="AM522" i="29"/>
  <c r="AM569" i="29"/>
  <c r="AM115" i="29"/>
  <c r="AM278" i="29"/>
  <c r="AM439" i="29"/>
  <c r="AM101" i="29"/>
  <c r="AM540" i="29"/>
  <c r="AM232" i="29"/>
  <c r="AM344" i="29"/>
  <c r="AM417" i="29"/>
  <c r="AM352" i="29"/>
  <c r="AO352" i="29" s="1"/>
  <c r="AM470" i="29"/>
  <c r="AM561" i="29"/>
  <c r="AM547" i="29"/>
  <c r="AM86" i="29"/>
  <c r="AM242" i="29"/>
  <c r="AM502" i="29"/>
  <c r="AM375" i="29"/>
  <c r="AM143" i="29"/>
  <c r="AM551" i="29"/>
  <c r="AO551" i="29" s="1"/>
  <c r="AM156" i="29"/>
  <c r="AM334" i="29"/>
  <c r="AM197" i="29"/>
  <c r="AM281" i="29"/>
  <c r="AM279" i="29"/>
  <c r="AO279" i="29" s="1"/>
  <c r="AM438" i="29"/>
  <c r="AM560" i="29"/>
  <c r="AM354" i="29"/>
  <c r="AM467" i="29"/>
  <c r="AM164" i="29"/>
  <c r="AM332" i="29"/>
  <c r="AM459" i="29"/>
  <c r="AM318" i="29"/>
  <c r="AM182" i="29"/>
  <c r="AM158" i="29"/>
  <c r="AM482" i="29"/>
  <c r="AM545" i="29"/>
  <c r="AM516" i="29"/>
  <c r="AM280" i="29"/>
  <c r="AM339" i="29"/>
  <c r="AM76" i="29"/>
  <c r="AM14" i="29"/>
  <c r="AM224" i="29"/>
  <c r="AM196" i="29"/>
  <c r="AM94" i="29"/>
  <c r="AM399" i="29"/>
  <c r="AM543" i="29"/>
  <c r="AM129" i="29"/>
  <c r="AM283" i="29"/>
  <c r="AM539" i="29"/>
  <c r="AM404" i="29"/>
  <c r="AM343" i="29"/>
  <c r="AM296" i="29"/>
  <c r="AM490" i="29"/>
  <c r="AM308" i="29"/>
  <c r="AM322" i="29"/>
  <c r="AM275" i="29"/>
  <c r="AM99" i="29"/>
  <c r="AM25" i="29"/>
  <c r="AM132" i="29"/>
  <c r="AM188" i="29"/>
  <c r="AM238" i="29"/>
  <c r="AO238" i="29" s="1"/>
  <c r="AM134" i="29"/>
  <c r="AM494" i="29"/>
  <c r="AM227" i="29"/>
  <c r="AM419" i="29"/>
  <c r="AM266" i="29"/>
  <c r="AM487" i="29"/>
  <c r="AM303" i="29"/>
  <c r="AM189" i="29"/>
  <c r="AO189" i="29" s="1"/>
  <c r="AM595" i="29"/>
  <c r="AM512" i="29"/>
  <c r="AM505" i="29"/>
  <c r="AM362" i="29"/>
  <c r="AM541" i="29"/>
  <c r="AO541" i="29" s="1"/>
  <c r="AM351" i="29"/>
  <c r="AM462" i="29"/>
  <c r="AM520" i="29"/>
  <c r="AM148" i="29"/>
  <c r="AO148" i="29" s="1"/>
  <c r="AM445" i="29"/>
  <c r="AO445" i="29" s="1"/>
  <c r="AM131" i="29"/>
  <c r="AM13" i="29"/>
  <c r="AM35" i="29"/>
  <c r="AM184" i="29"/>
  <c r="AM274" i="29"/>
  <c r="AM365" i="29"/>
  <c r="AM44" i="29"/>
  <c r="AM53" i="29"/>
  <c r="AM236" i="29"/>
  <c r="AM530" i="29"/>
  <c r="AM479" i="29"/>
  <c r="AM64" i="29"/>
  <c r="AO64" i="29" s="1"/>
  <c r="AM314" i="29"/>
  <c r="AM400" i="29"/>
  <c r="AM484" i="29"/>
  <c r="AM151" i="29"/>
  <c r="AM590" i="29"/>
  <c r="AM228" i="29"/>
  <c r="AM104" i="29"/>
  <c r="AM123" i="29"/>
  <c r="AM170" i="29"/>
  <c r="AM60" i="29"/>
  <c r="AO60" i="29" s="1"/>
  <c r="AM212" i="29"/>
  <c r="AO212" i="29" s="1"/>
  <c r="AM475" i="29"/>
  <c r="AM175" i="29"/>
  <c r="AM481" i="29"/>
  <c r="AM254" i="29"/>
  <c r="AM367" i="29"/>
  <c r="AM382" i="29"/>
  <c r="AM243" i="29"/>
  <c r="AM230" i="29"/>
  <c r="AM493" i="29"/>
  <c r="AM464" i="29"/>
  <c r="AO464" i="29" s="1"/>
  <c r="AM310" i="29"/>
  <c r="AM423" i="29"/>
  <c r="AM589" i="29"/>
  <c r="AM397" i="29"/>
  <c r="AM293" i="29"/>
  <c r="AM538" i="29"/>
  <c r="AM47" i="29"/>
  <c r="AM231" i="29"/>
  <c r="AO231" i="29" s="1"/>
  <c r="AM176" i="29"/>
  <c r="AM550" i="29"/>
  <c r="AM22" i="29"/>
  <c r="AM567" i="29"/>
  <c r="AM480" i="29"/>
  <c r="AM46" i="29"/>
  <c r="AO46" i="29" s="1"/>
  <c r="AM613" i="29"/>
  <c r="AM95" i="29"/>
  <c r="AM159" i="29"/>
  <c r="AO159" i="29" s="1"/>
  <c r="AM316" i="29"/>
  <c r="AM412" i="29"/>
  <c r="AM465" i="29"/>
  <c r="AM374" i="29"/>
  <c r="AO374" i="29" s="1"/>
  <c r="AM168" i="29"/>
  <c r="AM390" i="29"/>
  <c r="AM553" i="29"/>
  <c r="AM263" i="29"/>
  <c r="AM186" i="29"/>
  <c r="AM146" i="29"/>
  <c r="AM506" i="29"/>
  <c r="AM136" i="29"/>
  <c r="AM609" i="29"/>
  <c r="AM500" i="29"/>
  <c r="AM110" i="29"/>
  <c r="AO110" i="29" s="1"/>
  <c r="AM97" i="29"/>
  <c r="AO97" i="29" s="1"/>
  <c r="AM395" i="29"/>
  <c r="AM180" i="29"/>
  <c r="AM453" i="29"/>
  <c r="AM187" i="29"/>
  <c r="AM418" i="29"/>
  <c r="AM393" i="29"/>
  <c r="AO393" i="29" s="1"/>
  <c r="AM120" i="29"/>
  <c r="AM476" i="29"/>
  <c r="AM559" i="29"/>
  <c r="AM73" i="29"/>
  <c r="AM492" i="29"/>
  <c r="AM489" i="29"/>
  <c r="AM579" i="29"/>
  <c r="AM218" i="29"/>
  <c r="AM152" i="29"/>
  <c r="AM265" i="29"/>
  <c r="AM244" i="29"/>
  <c r="AM415" i="29"/>
  <c r="AM49" i="29"/>
  <c r="AM497" i="29"/>
  <c r="AM141" i="29"/>
  <c r="AM54" i="29"/>
  <c r="AM463" i="29"/>
  <c r="AM394" i="29"/>
  <c r="AM105" i="29"/>
  <c r="AM377" i="29"/>
  <c r="AP114" i="29"/>
  <c r="AQ114" i="29" s="1"/>
  <c r="AR114" i="29" s="1"/>
  <c r="AP204" i="29"/>
  <c r="AQ204" i="29" s="1"/>
  <c r="AR204" i="29" s="1"/>
  <c r="AP132" i="29"/>
  <c r="AQ132" i="29" s="1"/>
  <c r="AR132" i="29" s="1"/>
  <c r="AP255" i="29"/>
  <c r="AQ255" i="29" s="1"/>
  <c r="AR255" i="29" s="1"/>
  <c r="AP290" i="29"/>
  <c r="AQ290" i="29" s="1"/>
  <c r="AR290" i="29" s="1"/>
  <c r="AP330" i="29"/>
  <c r="AQ330" i="29" s="1"/>
  <c r="AR330" i="29" s="1"/>
  <c r="AP306" i="29"/>
  <c r="AQ306" i="29" s="1"/>
  <c r="AR306" i="29" s="1"/>
  <c r="AP84" i="29"/>
  <c r="AQ84" i="29" s="1"/>
  <c r="AR84" i="29" s="1"/>
  <c r="AP167" i="29"/>
  <c r="AQ167" i="29" s="1"/>
  <c r="AR167" i="29" s="1"/>
  <c r="AP459" i="29"/>
  <c r="AQ459" i="29" s="1"/>
  <c r="AR459" i="29" s="1"/>
  <c r="AP599" i="29"/>
  <c r="AQ599" i="29" s="1"/>
  <c r="AR599" i="29" s="1"/>
  <c r="AP520" i="29"/>
  <c r="AQ520" i="29" s="1"/>
  <c r="AR520" i="29" s="1"/>
  <c r="AP237" i="29"/>
  <c r="AQ237" i="29" s="1"/>
  <c r="AR237" i="29" s="1"/>
  <c r="AP175" i="29"/>
  <c r="AQ175" i="29" s="1"/>
  <c r="AR175" i="29" s="1"/>
  <c r="AP311" i="29"/>
  <c r="AQ311" i="29" s="1"/>
  <c r="AR311" i="29" s="1"/>
  <c r="AP557" i="29"/>
  <c r="AQ557" i="29" s="1"/>
  <c r="AR557" i="29" s="1"/>
  <c r="AP293" i="29"/>
  <c r="AQ293" i="29" s="1"/>
  <c r="AR293" i="29" s="1"/>
  <c r="AP450" i="29"/>
  <c r="AQ450" i="29" s="1"/>
  <c r="AR450" i="29" s="1"/>
  <c r="AP308" i="29"/>
  <c r="AQ308" i="29" s="1"/>
  <c r="AR308" i="29" s="1"/>
  <c r="AP417" i="29"/>
  <c r="AQ417" i="29" s="1"/>
  <c r="AR417" i="29" s="1"/>
  <c r="AP586" i="29"/>
  <c r="AQ586" i="29" s="1"/>
  <c r="AR586" i="29" s="1"/>
  <c r="AP488" i="29"/>
  <c r="AQ488" i="29" s="1"/>
  <c r="AR488" i="29" s="1"/>
  <c r="AM611" i="29"/>
  <c r="AP86" i="29"/>
  <c r="AQ86" i="29" s="1"/>
  <c r="AR86" i="29" s="1"/>
  <c r="AP213" i="29"/>
  <c r="AQ213" i="29" s="1"/>
  <c r="AR213" i="29" s="1"/>
  <c r="AP54" i="29"/>
  <c r="AQ54" i="29" s="1"/>
  <c r="AR54" i="29" s="1"/>
  <c r="AP233" i="29"/>
  <c r="AQ233" i="29" s="1"/>
  <c r="AR233" i="29" s="1"/>
  <c r="AP593" i="29"/>
  <c r="AQ593" i="29" s="1"/>
  <c r="AR593" i="29" s="1"/>
  <c r="AP502" i="29"/>
  <c r="AQ502" i="29" s="1"/>
  <c r="AR502" i="29" s="1"/>
  <c r="AP195" i="29"/>
  <c r="AQ195" i="29" s="1"/>
  <c r="AR195" i="29" s="1"/>
  <c r="AP168" i="29"/>
  <c r="AQ168" i="29" s="1"/>
  <c r="AR168" i="29" s="1"/>
  <c r="AP82" i="29"/>
  <c r="AQ82" i="29" s="1"/>
  <c r="AR82" i="29" s="1"/>
  <c r="AP321" i="29"/>
  <c r="AQ321" i="29" s="1"/>
  <c r="AR321" i="29" s="1"/>
  <c r="AP382" i="29"/>
  <c r="AQ382" i="29" s="1"/>
  <c r="AR382" i="29" s="1"/>
  <c r="AP253" i="29"/>
  <c r="AQ253" i="29" s="1"/>
  <c r="AR253" i="29" s="1"/>
  <c r="AP294" i="29"/>
  <c r="AQ294" i="29" s="1"/>
  <c r="AR294" i="29" s="1"/>
  <c r="AP567" i="29"/>
  <c r="AQ567" i="29" s="1"/>
  <c r="AR567" i="29" s="1"/>
  <c r="AP236" i="29"/>
  <c r="AQ236" i="29" s="1"/>
  <c r="AR236" i="29" s="1"/>
  <c r="AP507" i="29"/>
  <c r="AQ507" i="29" s="1"/>
  <c r="AR507" i="29" s="1"/>
  <c r="AP198" i="29"/>
  <c r="AQ198" i="29" s="1"/>
  <c r="AR198" i="29" s="1"/>
  <c r="AP367" i="29"/>
  <c r="AQ367" i="29" s="1"/>
  <c r="AR367" i="29" s="1"/>
  <c r="AP98" i="29"/>
  <c r="AQ98" i="29" s="1"/>
  <c r="AR98" i="29" s="1"/>
  <c r="AP383" i="29"/>
  <c r="AQ383" i="29" s="1"/>
  <c r="AR383" i="29" s="1"/>
  <c r="AP454" i="29"/>
  <c r="AQ454" i="29" s="1"/>
  <c r="AR454" i="29" s="1"/>
  <c r="AP379" i="29"/>
  <c r="AQ379" i="29" s="1"/>
  <c r="AR379" i="29" s="1"/>
  <c r="AM452" i="29"/>
  <c r="AO452" i="29" s="1"/>
  <c r="AP349" i="29"/>
  <c r="AQ349" i="29" s="1"/>
  <c r="AR349" i="29" s="1"/>
  <c r="AP248" i="29"/>
  <c r="AQ248" i="29" s="1"/>
  <c r="AR248" i="29" s="1"/>
  <c r="AP577" i="29"/>
  <c r="AQ577" i="29" s="1"/>
  <c r="AR577" i="29" s="1"/>
  <c r="AP281" i="29"/>
  <c r="AQ281" i="29" s="1"/>
  <c r="AR281" i="29" s="1"/>
  <c r="AP485" i="29"/>
  <c r="AQ485" i="29" s="1"/>
  <c r="AR485" i="29" s="1"/>
  <c r="AP572" i="29"/>
  <c r="AQ572" i="29" s="1"/>
  <c r="AR572" i="29" s="1"/>
  <c r="AP201" i="29"/>
  <c r="AQ201" i="29" s="1"/>
  <c r="AR201" i="29" s="1"/>
  <c r="AM36" i="29"/>
  <c r="AP282" i="29"/>
  <c r="AQ282" i="29" s="1"/>
  <c r="AR282" i="29" s="1"/>
  <c r="AP468" i="29"/>
  <c r="AQ468" i="29" s="1"/>
  <c r="AR468" i="29" s="1"/>
  <c r="AP476" i="29"/>
  <c r="AQ476" i="29" s="1"/>
  <c r="AR476" i="29" s="1"/>
  <c r="AP340" i="29"/>
  <c r="AQ340" i="29" s="1"/>
  <c r="AR340" i="29" s="1"/>
  <c r="AP522" i="29"/>
  <c r="AQ522" i="29" s="1"/>
  <c r="AR522" i="29" s="1"/>
  <c r="AP243" i="29"/>
  <c r="AQ243" i="29" s="1"/>
  <c r="AR243" i="29" s="1"/>
  <c r="AP221" i="29"/>
  <c r="AQ221" i="29" s="1"/>
  <c r="AR221" i="29" s="1"/>
  <c r="AP176" i="29"/>
  <c r="AQ176" i="29" s="1"/>
  <c r="AR176" i="29" s="1"/>
  <c r="AP75" i="29"/>
  <c r="AQ75" i="29" s="1"/>
  <c r="AR75" i="29" s="1"/>
  <c r="AP527" i="29"/>
  <c r="AQ527" i="29" s="1"/>
  <c r="AR527" i="29" s="1"/>
  <c r="AP52" i="29"/>
  <c r="AQ52" i="29" s="1"/>
  <c r="AR52" i="29" s="1"/>
  <c r="AP24" i="29"/>
  <c r="AQ24" i="29" s="1"/>
  <c r="AR24" i="29" s="1"/>
  <c r="AP418" i="29"/>
  <c r="AQ418" i="29" s="1"/>
  <c r="AR418" i="29" s="1"/>
  <c r="AP179" i="29"/>
  <c r="AQ179" i="29" s="1"/>
  <c r="AR179" i="29" s="1"/>
  <c r="AP324" i="29"/>
  <c r="AQ324" i="29" s="1"/>
  <c r="AR324" i="29" s="1"/>
  <c r="AP590" i="29"/>
  <c r="AQ590" i="29" s="1"/>
  <c r="AR590" i="29" s="1"/>
  <c r="AP85" i="29"/>
  <c r="AQ85" i="29" s="1"/>
  <c r="AR85" i="29" s="1"/>
  <c r="AP223" i="29"/>
  <c r="AQ223" i="29" s="1"/>
  <c r="AR223" i="29" s="1"/>
  <c r="AP436" i="29"/>
  <c r="AQ436" i="29" s="1"/>
  <c r="AR436" i="29" s="1"/>
  <c r="AP441" i="29"/>
  <c r="AQ441" i="29" s="1"/>
  <c r="AR441" i="29" s="1"/>
  <c r="AP414" i="29"/>
  <c r="AQ414" i="29" s="1"/>
  <c r="AR414" i="29" s="1"/>
  <c r="AP26" i="29"/>
  <c r="AQ26" i="29" s="1"/>
  <c r="AR26" i="29" s="1"/>
  <c r="AP581" i="29"/>
  <c r="AQ581" i="29" s="1"/>
  <c r="AR581" i="29" s="1"/>
  <c r="AP105" i="29"/>
  <c r="AQ105" i="29" s="1"/>
  <c r="AR105" i="29" s="1"/>
  <c r="AP53" i="29"/>
  <c r="AQ53" i="29" s="1"/>
  <c r="AR53" i="29" s="1"/>
  <c r="AP451" i="29"/>
  <c r="AQ451" i="29" s="1"/>
  <c r="AR451" i="29" s="1"/>
  <c r="AP541" i="29"/>
  <c r="AQ541" i="29" s="1"/>
  <c r="AR541" i="29" s="1"/>
  <c r="AP58" i="29"/>
  <c r="AQ58" i="29" s="1"/>
  <c r="AR58" i="29" s="1"/>
  <c r="AP474" i="29"/>
  <c r="AQ474" i="29" s="1"/>
  <c r="AR474" i="29" s="1"/>
  <c r="AP192" i="29"/>
  <c r="AQ192" i="29" s="1"/>
  <c r="AR192" i="29" s="1"/>
  <c r="AP299" i="29"/>
  <c r="AQ299" i="29" s="1"/>
  <c r="AR299" i="29" s="1"/>
  <c r="AP466" i="29"/>
  <c r="AQ466" i="29" s="1"/>
  <c r="AR466" i="29" s="1"/>
  <c r="AP111" i="29"/>
  <c r="AQ111" i="29" s="1"/>
  <c r="AR111" i="29" s="1"/>
  <c r="AP524" i="29"/>
  <c r="AQ524" i="29" s="1"/>
  <c r="AR524" i="29" s="1"/>
  <c r="AP160" i="29"/>
  <c r="AQ160" i="29" s="1"/>
  <c r="AR160" i="29" s="1"/>
  <c r="AP226" i="29"/>
  <c r="AQ226" i="29" s="1"/>
  <c r="AR226" i="29" s="1"/>
  <c r="AM511" i="29"/>
  <c r="AP554" i="29"/>
  <c r="AQ554" i="29" s="1"/>
  <c r="AR554" i="29" s="1"/>
  <c r="AP212" i="29"/>
  <c r="AQ212" i="29" s="1"/>
  <c r="AR212" i="29" s="1"/>
  <c r="AP467" i="29"/>
  <c r="AQ467" i="29" s="1"/>
  <c r="AR467" i="29" s="1"/>
  <c r="AP180" i="29"/>
  <c r="AQ180" i="29" s="1"/>
  <c r="AR180" i="29" s="1"/>
  <c r="AP309" i="29"/>
  <c r="AQ309" i="29" s="1"/>
  <c r="AR309" i="29" s="1"/>
  <c r="AP410" i="29"/>
  <c r="AQ410" i="29" s="1"/>
  <c r="AR410" i="29" s="1"/>
  <c r="AP288" i="29"/>
  <c r="AQ288" i="29" s="1"/>
  <c r="AR288" i="29" s="1"/>
  <c r="AP380" i="29"/>
  <c r="AQ380" i="29" s="1"/>
  <c r="AR380" i="29" s="1"/>
  <c r="AP603" i="29"/>
  <c r="AQ603" i="29" s="1"/>
  <c r="AR603" i="29" s="1"/>
  <c r="AP206" i="29"/>
  <c r="AQ206" i="29" s="1"/>
  <c r="AR206" i="29" s="1"/>
  <c r="AP392" i="29"/>
  <c r="AQ392" i="29" s="1"/>
  <c r="AR392" i="29" s="1"/>
  <c r="AP481" i="29"/>
  <c r="AQ481" i="29" s="1"/>
  <c r="AR481" i="29" s="1"/>
  <c r="AP109" i="29"/>
  <c r="AQ109" i="29" s="1"/>
  <c r="AR109" i="29" s="1"/>
  <c r="AP208" i="29"/>
  <c r="AQ208" i="29" s="1"/>
  <c r="AR208" i="29" s="1"/>
  <c r="AP218" i="29"/>
  <c r="AQ218" i="29" s="1"/>
  <c r="AR218" i="29" s="1"/>
  <c r="AP222" i="29"/>
  <c r="AQ222" i="29" s="1"/>
  <c r="AR222" i="29" s="1"/>
  <c r="AP352" i="29"/>
  <c r="AQ352" i="29" s="1"/>
  <c r="AR352" i="29" s="1"/>
  <c r="AP302" i="29"/>
  <c r="AQ302" i="29" s="1"/>
  <c r="AR302" i="29" s="1"/>
  <c r="AP122" i="29"/>
  <c r="AQ122" i="29" s="1"/>
  <c r="AR122" i="29" s="1"/>
  <c r="AP35" i="29"/>
  <c r="AQ35" i="29" s="1"/>
  <c r="AR35" i="29" s="1"/>
  <c r="AP545" i="29"/>
  <c r="AQ545" i="29" s="1"/>
  <c r="AR545" i="29" s="1"/>
  <c r="AP36" i="29"/>
  <c r="AQ36" i="29" s="1"/>
  <c r="AR36" i="29" s="1"/>
  <c r="D52" i="29"/>
  <c r="D54" i="29" s="1"/>
  <c r="AM536" i="29"/>
  <c r="AO536" i="29" s="1"/>
  <c r="AP153" i="29"/>
  <c r="AQ153" i="29" s="1"/>
  <c r="AR153" i="29" s="1"/>
  <c r="AP187" i="29"/>
  <c r="AQ187" i="29" s="1"/>
  <c r="AR187" i="29" s="1"/>
  <c r="AP144" i="29"/>
  <c r="AQ144" i="29" s="1"/>
  <c r="AR144" i="29" s="1"/>
  <c r="AP210" i="29"/>
  <c r="AQ210" i="29" s="1"/>
  <c r="AR210" i="29" s="1"/>
  <c r="AP214" i="29"/>
  <c r="AQ214" i="29" s="1"/>
  <c r="AR214" i="29" s="1"/>
  <c r="AP518" i="29"/>
  <c r="AQ518" i="29" s="1"/>
  <c r="AR518" i="29" s="1"/>
  <c r="AP351" i="29"/>
  <c r="AQ351" i="29" s="1"/>
  <c r="AR351" i="29" s="1"/>
  <c r="AP194" i="29"/>
  <c r="AQ194" i="29" s="1"/>
  <c r="AR194" i="29" s="1"/>
  <c r="AP163" i="29"/>
  <c r="AQ163" i="29" s="1"/>
  <c r="AR163" i="29" s="1"/>
  <c r="AP61" i="29"/>
  <c r="AQ61" i="29" s="1"/>
  <c r="AR61" i="29" s="1"/>
  <c r="AP430" i="29"/>
  <c r="AQ430" i="29" s="1"/>
  <c r="AR430" i="29" s="1"/>
  <c r="AP139" i="29"/>
  <c r="AQ139" i="29" s="1"/>
  <c r="AR139" i="29" s="1"/>
  <c r="AP182" i="29"/>
  <c r="AQ182" i="29" s="1"/>
  <c r="AR182" i="29" s="1"/>
  <c r="AP534" i="29"/>
  <c r="AQ534" i="29" s="1"/>
  <c r="AR534" i="29" s="1"/>
  <c r="AP137" i="29"/>
  <c r="AQ137" i="29" s="1"/>
  <c r="AR137" i="29" s="1"/>
  <c r="AP536" i="29"/>
  <c r="AQ536" i="29" s="1"/>
  <c r="AR536" i="29" s="1"/>
  <c r="AP186" i="29"/>
  <c r="AQ186" i="29" s="1"/>
  <c r="AR186" i="29" s="1"/>
  <c r="AP568" i="29"/>
  <c r="AQ568" i="29" s="1"/>
  <c r="AR568" i="29" s="1"/>
  <c r="AP583" i="29"/>
  <c r="AQ583" i="29" s="1"/>
  <c r="AR583" i="29" s="1"/>
  <c r="AP66" i="29"/>
  <c r="AQ66" i="29" s="1"/>
  <c r="AR66" i="29" s="1"/>
  <c r="AP125" i="29"/>
  <c r="AQ125" i="29" s="1"/>
  <c r="AR125" i="29" s="1"/>
  <c r="AP147" i="29"/>
  <c r="AQ147" i="29" s="1"/>
  <c r="AR147" i="29" s="1"/>
  <c r="AP197" i="29"/>
  <c r="AQ197" i="29" s="1"/>
  <c r="AR197" i="29" s="1"/>
  <c r="AP291" i="29"/>
  <c r="AQ291" i="29" s="1"/>
  <c r="AR291" i="29" s="1"/>
  <c r="AP491" i="29"/>
  <c r="AQ491" i="29" s="1"/>
  <c r="AR491" i="29" s="1"/>
  <c r="AP217" i="29"/>
  <c r="AQ217" i="29" s="1"/>
  <c r="AR217" i="29" s="1"/>
  <c r="AP32" i="29"/>
  <c r="AQ32" i="29" s="1"/>
  <c r="AR32" i="29" s="1"/>
  <c r="AP56" i="29"/>
  <c r="AQ56" i="29" s="1"/>
  <c r="AR56" i="29" s="1"/>
  <c r="AP134" i="29"/>
  <c r="AQ134" i="29" s="1"/>
  <c r="AR134" i="29" s="1"/>
  <c r="AP13" i="29"/>
  <c r="AQ13" i="29" s="1"/>
  <c r="AR13" i="29" s="1"/>
  <c r="AP356" i="29"/>
  <c r="AQ356" i="29" s="1"/>
  <c r="AR356" i="29" s="1"/>
  <c r="AP34" i="29"/>
  <c r="AQ34" i="29" s="1"/>
  <c r="AR34" i="29" s="1"/>
  <c r="AP475" i="29"/>
  <c r="AQ475" i="29" s="1"/>
  <c r="AR475" i="29" s="1"/>
  <c r="AP270" i="29"/>
  <c r="AQ270" i="29" s="1"/>
  <c r="AR270" i="29" s="1"/>
  <c r="AP357" i="29"/>
  <c r="AQ357" i="29" s="1"/>
  <c r="AR357" i="29" s="1"/>
  <c r="AP50" i="29"/>
  <c r="AQ50" i="29" s="1"/>
  <c r="AR50" i="29" s="1"/>
  <c r="AP447" i="29"/>
  <c r="AQ447" i="29" s="1"/>
  <c r="AR447" i="29" s="1"/>
  <c r="AP483" i="29"/>
  <c r="AQ483" i="29" s="1"/>
  <c r="AR483" i="29" s="1"/>
  <c r="AP533" i="29"/>
  <c r="AQ533" i="29" s="1"/>
  <c r="AR533" i="29" s="1"/>
  <c r="AP136" i="29"/>
  <c r="AQ136" i="29" s="1"/>
  <c r="AR136" i="29" s="1"/>
  <c r="AP15" i="29"/>
  <c r="AQ15" i="29" s="1"/>
  <c r="AR15" i="29" s="1"/>
  <c r="AP543" i="29"/>
  <c r="AQ543" i="29" s="1"/>
  <c r="AR543" i="29" s="1"/>
  <c r="AP78" i="29"/>
  <c r="AQ78" i="29" s="1"/>
  <c r="AR78" i="29" s="1"/>
  <c r="AP336" i="29"/>
  <c r="AQ336" i="29" s="1"/>
  <c r="AR336" i="29" s="1"/>
  <c r="AM181" i="29"/>
  <c r="AO181" i="29" s="1"/>
  <c r="AM523" i="29"/>
  <c r="AP347" i="29"/>
  <c r="AQ347" i="29" s="1"/>
  <c r="AR347" i="29" s="1"/>
  <c r="AP610" i="29"/>
  <c r="AQ610" i="29" s="1"/>
  <c r="AR610" i="29" s="1"/>
  <c r="AP241" i="29"/>
  <c r="AQ241" i="29" s="1"/>
  <c r="AR241" i="29" s="1"/>
  <c r="AP96" i="29"/>
  <c r="AQ96" i="29" s="1"/>
  <c r="AR96" i="29" s="1"/>
  <c r="AP280" i="29"/>
  <c r="AQ280" i="29" s="1"/>
  <c r="AR280" i="29" s="1"/>
  <c r="AP440" i="29"/>
  <c r="AQ440" i="29" s="1"/>
  <c r="AR440" i="29" s="1"/>
  <c r="AP33" i="29"/>
  <c r="AQ33" i="29" s="1"/>
  <c r="AR33" i="29" s="1"/>
  <c r="AP434" i="29"/>
  <c r="AQ434" i="29" s="1"/>
  <c r="AR434" i="29" s="1"/>
  <c r="AP276" i="29"/>
  <c r="AQ276" i="29" s="1"/>
  <c r="AR276" i="29" s="1"/>
  <c r="AP322" i="29"/>
  <c r="AQ322" i="29" s="1"/>
  <c r="AR322" i="29" s="1"/>
  <c r="AP133" i="29"/>
  <c r="AQ133" i="29" s="1"/>
  <c r="AR133" i="29" s="1"/>
  <c r="AP227" i="29"/>
  <c r="AQ227" i="29" s="1"/>
  <c r="AR227" i="29" s="1"/>
  <c r="AP516" i="29"/>
  <c r="AQ516" i="29" s="1"/>
  <c r="AR516" i="29" s="1"/>
  <c r="AP360" i="29"/>
  <c r="AQ360" i="29" s="1"/>
  <c r="AR360" i="29" s="1"/>
  <c r="AP131" i="29"/>
  <c r="AQ131" i="29" s="1"/>
  <c r="AR131" i="29" s="1"/>
  <c r="AP44" i="29"/>
  <c r="AQ44" i="29" s="1"/>
  <c r="AR44" i="29" s="1"/>
  <c r="AP224" i="29"/>
  <c r="AQ224" i="29" s="1"/>
  <c r="AR224" i="29" s="1"/>
  <c r="AP539" i="29"/>
  <c r="AQ539" i="29" s="1"/>
  <c r="AR539" i="29" s="1"/>
  <c r="AP207" i="29"/>
  <c r="AQ207" i="29" s="1"/>
  <c r="AR207" i="29" s="1"/>
  <c r="AP424" i="29"/>
  <c r="AQ424" i="29" s="1"/>
  <c r="AR424" i="29" s="1"/>
  <c r="AP529" i="29"/>
  <c r="AQ529" i="29" s="1"/>
  <c r="AR529" i="29" s="1"/>
  <c r="AP129" i="29"/>
  <c r="AQ129" i="29" s="1"/>
  <c r="AR129" i="29" s="1"/>
  <c r="AP613" i="29"/>
  <c r="AQ613" i="29" s="1"/>
  <c r="AR613" i="29" s="1"/>
  <c r="AP265" i="29"/>
  <c r="AQ265" i="29" s="1"/>
  <c r="AR265" i="29" s="1"/>
  <c r="AP433" i="29"/>
  <c r="AQ433" i="29" s="1"/>
  <c r="AR433" i="29" s="1"/>
  <c r="AP505" i="29"/>
  <c r="AQ505" i="29" s="1"/>
  <c r="AR505" i="29" s="1"/>
  <c r="AP57" i="29"/>
  <c r="AQ57" i="29" s="1"/>
  <c r="AR57" i="29" s="1"/>
  <c r="AP178" i="29"/>
  <c r="AQ178" i="29" s="1"/>
  <c r="AR178" i="29" s="1"/>
  <c r="AP277" i="29"/>
  <c r="AQ277" i="29" s="1"/>
  <c r="AR277" i="29" s="1"/>
  <c r="AP200" i="29"/>
  <c r="AQ200" i="29" s="1"/>
  <c r="AR200" i="29" s="1"/>
  <c r="AP449" i="29"/>
  <c r="AQ449" i="29" s="1"/>
  <c r="AR449" i="29" s="1"/>
  <c r="AP113" i="29"/>
  <c r="AQ113" i="29" s="1"/>
  <c r="AR113" i="29" s="1"/>
  <c r="AP73" i="29"/>
  <c r="AQ73" i="29" s="1"/>
  <c r="AR73" i="29" s="1"/>
  <c r="AP59" i="29"/>
  <c r="AQ59" i="29" s="1"/>
  <c r="AR59" i="29" s="1"/>
  <c r="AP540" i="29"/>
  <c r="AQ540" i="29" s="1"/>
  <c r="AR540" i="29" s="1"/>
  <c r="AP92" i="29"/>
  <c r="AQ92" i="29" s="1"/>
  <c r="AR92" i="29" s="1"/>
  <c r="AP335" i="29"/>
  <c r="AQ335" i="29" s="1"/>
  <c r="AR335" i="29" s="1"/>
  <c r="AP251" i="29"/>
  <c r="AQ251" i="29" s="1"/>
  <c r="AR251" i="29" s="1"/>
  <c r="AP438" i="29"/>
  <c r="AQ438" i="29" s="1"/>
  <c r="AR438" i="29" s="1"/>
  <c r="AP108" i="29"/>
  <c r="AQ108" i="29" s="1"/>
  <c r="AR108" i="29" s="1"/>
  <c r="AP183" i="29"/>
  <c r="AQ183" i="29" s="1"/>
  <c r="AR183" i="29" s="1"/>
  <c r="AP283" i="29"/>
  <c r="AQ283" i="29" s="1"/>
  <c r="AR283" i="29" s="1"/>
  <c r="AP170" i="29"/>
  <c r="AQ170" i="29" s="1"/>
  <c r="AR170" i="29" s="1"/>
  <c r="AP530" i="29"/>
  <c r="AQ530" i="29" s="1"/>
  <c r="AR530" i="29" s="1"/>
  <c r="AP388" i="29"/>
  <c r="AQ388" i="29" s="1"/>
  <c r="AR388" i="29" s="1"/>
  <c r="AP18" i="29"/>
  <c r="AQ18" i="29" s="1"/>
  <c r="AR18" i="29" s="1"/>
  <c r="AP284" i="29"/>
  <c r="AQ284" i="29" s="1"/>
  <c r="AR284" i="29" s="1"/>
  <c r="AP307" i="29"/>
  <c r="AQ307" i="29" s="1"/>
  <c r="AR307" i="29" s="1"/>
  <c r="AP310" i="29"/>
  <c r="AQ310" i="29" s="1"/>
  <c r="AR310" i="29" s="1"/>
  <c r="AP273" i="29"/>
  <c r="AQ273" i="29" s="1"/>
  <c r="AR273" i="29" s="1"/>
  <c r="AP215" i="29"/>
  <c r="AQ215" i="29" s="1"/>
  <c r="AR215" i="29" s="1"/>
  <c r="AP582" i="29"/>
  <c r="AQ582" i="29" s="1"/>
  <c r="AR582" i="29" s="1"/>
  <c r="AP478" i="29"/>
  <c r="AQ478" i="29" s="1"/>
  <c r="AR478" i="29" s="1"/>
  <c r="AP67" i="29"/>
  <c r="AQ67" i="29" s="1"/>
  <c r="AR67" i="29" s="1"/>
  <c r="AP546" i="29"/>
  <c r="AQ546" i="29" s="1"/>
  <c r="AR546" i="29" s="1"/>
  <c r="AP551" i="29"/>
  <c r="AQ551" i="29" s="1"/>
  <c r="AR551" i="29" s="1"/>
  <c r="AP46" i="29"/>
  <c r="AQ46" i="29" s="1"/>
  <c r="AR46" i="29" s="1"/>
  <c r="AP161" i="29"/>
  <c r="AQ161" i="29" s="1"/>
  <c r="AR161" i="29" s="1"/>
  <c r="AP393" i="29"/>
  <c r="AQ393" i="29" s="1"/>
  <c r="AR393" i="29" s="1"/>
  <c r="AP193" i="29"/>
  <c r="AQ193" i="29" s="1"/>
  <c r="AR193" i="29" s="1"/>
  <c r="AP526" i="29"/>
  <c r="AQ526" i="29" s="1"/>
  <c r="AR526" i="29" s="1"/>
  <c r="AP239" i="29"/>
  <c r="AQ239" i="29" s="1"/>
  <c r="AR239" i="29" s="1"/>
  <c r="AP37" i="29"/>
  <c r="AQ37" i="29" s="1"/>
  <c r="AR37" i="29" s="1"/>
  <c r="AP523" i="29"/>
  <c r="AQ523" i="29" s="1"/>
  <c r="AR523" i="29" s="1"/>
  <c r="AP40" i="29"/>
  <c r="AQ40" i="29" s="1"/>
  <c r="AR40" i="29" s="1"/>
  <c r="AP370" i="29"/>
  <c r="AQ370" i="29" s="1"/>
  <c r="AR370" i="29" s="1"/>
  <c r="AP188" i="29"/>
  <c r="AQ188" i="29" s="1"/>
  <c r="AR188" i="29" s="1"/>
  <c r="AP72" i="29"/>
  <c r="AQ72" i="29" s="1"/>
  <c r="AR72" i="29" s="1"/>
  <c r="AP547" i="29"/>
  <c r="AQ547" i="29" s="1"/>
  <c r="AR547" i="29" s="1"/>
  <c r="AP445" i="29"/>
  <c r="AQ445" i="29" s="1"/>
  <c r="AR445" i="29" s="1"/>
  <c r="AP573" i="29"/>
  <c r="AQ573" i="29" s="1"/>
  <c r="AR573" i="29" s="1"/>
  <c r="AP456" i="29"/>
  <c r="AQ456" i="29" s="1"/>
  <c r="AR456" i="29" s="1"/>
  <c r="AP318" i="29"/>
  <c r="AQ318" i="29" s="1"/>
  <c r="AR318" i="29" s="1"/>
  <c r="AP298" i="29"/>
  <c r="AQ298" i="29" s="1"/>
  <c r="AR298" i="29" s="1"/>
  <c r="AP49" i="29"/>
  <c r="AQ49" i="29" s="1"/>
  <c r="AR49" i="29" s="1"/>
  <c r="AP446" i="29"/>
  <c r="AQ446" i="29" s="1"/>
  <c r="AR446" i="29" s="1"/>
  <c r="AP189" i="29"/>
  <c r="AQ189" i="29" s="1"/>
  <c r="AR189" i="29" s="1"/>
  <c r="AP70" i="29"/>
  <c r="AQ70" i="29" s="1"/>
  <c r="AR70" i="29" s="1"/>
  <c r="AP531" i="29"/>
  <c r="AQ531" i="29" s="1"/>
  <c r="AR531" i="29" s="1"/>
  <c r="AP329" i="29"/>
  <c r="AQ329" i="29" s="1"/>
  <c r="AR329" i="29" s="1"/>
  <c r="AP240" i="29"/>
  <c r="AQ240" i="29" s="1"/>
  <c r="AR240" i="29" s="1"/>
  <c r="AP146" i="29"/>
  <c r="AQ146" i="29" s="1"/>
  <c r="AR146" i="29" s="1"/>
  <c r="AP320" i="29"/>
  <c r="AQ320" i="29" s="1"/>
  <c r="AR320" i="29" s="1"/>
  <c r="AP448" i="29"/>
  <c r="AQ448" i="29" s="1"/>
  <c r="AR448" i="29" s="1"/>
  <c r="AP39" i="29"/>
  <c r="AQ39" i="29" s="1"/>
  <c r="AR39" i="29" s="1"/>
  <c r="AP381" i="29"/>
  <c r="AQ381" i="29" s="1"/>
  <c r="AR381" i="29" s="1"/>
  <c r="AP138" i="29"/>
  <c r="AQ138" i="29" s="1"/>
  <c r="AR138" i="29" s="1"/>
  <c r="AP313" i="29"/>
  <c r="AQ313" i="29" s="1"/>
  <c r="AR313" i="29" s="1"/>
  <c r="AP558" i="29"/>
  <c r="AQ558" i="29" s="1"/>
  <c r="AR558" i="29" s="1"/>
  <c r="AP415" i="29"/>
  <c r="AQ415" i="29" s="1"/>
  <c r="AR415" i="29" s="1"/>
  <c r="AP519" i="29"/>
  <c r="AQ519" i="29" s="1"/>
  <c r="AR519" i="29" s="1"/>
  <c r="AP257" i="29"/>
  <c r="AQ257" i="29" s="1"/>
  <c r="AR257" i="29" s="1"/>
  <c r="AP225" i="29"/>
  <c r="AQ225" i="29" s="1"/>
  <c r="AR225" i="29" s="1"/>
  <c r="AP235" i="29"/>
  <c r="AQ235" i="29" s="1"/>
  <c r="AR235" i="29" s="1"/>
  <c r="AP559" i="29"/>
  <c r="AQ559" i="29" s="1"/>
  <c r="AR559" i="29" s="1"/>
  <c r="AP597" i="29"/>
  <c r="AQ597" i="29" s="1"/>
  <c r="AR597" i="29" s="1"/>
  <c r="AP171" i="29"/>
  <c r="AQ171" i="29" s="1"/>
  <c r="AR171" i="29" s="1"/>
  <c r="AP65" i="29"/>
  <c r="AQ65" i="29" s="1"/>
  <c r="AR65" i="29" s="1"/>
  <c r="AP141" i="29"/>
  <c r="AQ141" i="29" s="1"/>
  <c r="AR141" i="29" s="1"/>
  <c r="AP107" i="29"/>
  <c r="AQ107" i="29" s="1"/>
  <c r="AR107" i="29" s="1"/>
  <c r="AP348" i="29"/>
  <c r="AQ348" i="29" s="1"/>
  <c r="AR348" i="29" s="1"/>
  <c r="AP71" i="29"/>
  <c r="AQ71" i="29" s="1"/>
  <c r="AR71" i="29" s="1"/>
  <c r="AP428" i="29"/>
  <c r="AQ428" i="29" s="1"/>
  <c r="AR428" i="29" s="1"/>
  <c r="AP337" i="29"/>
  <c r="AQ337" i="29" s="1"/>
  <c r="AR337" i="29" s="1"/>
  <c r="AP538" i="29"/>
  <c r="AQ538" i="29" s="1"/>
  <c r="AR538" i="29" s="1"/>
  <c r="AP552" i="29"/>
  <c r="AQ552" i="29" s="1"/>
  <c r="AR552" i="29" s="1"/>
  <c r="AP115" i="29"/>
  <c r="AQ115" i="29" s="1"/>
  <c r="AR115" i="29" s="1"/>
  <c r="AP396" i="29"/>
  <c r="AQ396" i="29" s="1"/>
  <c r="AR396" i="29" s="1"/>
  <c r="AP574" i="29"/>
  <c r="AQ574" i="29" s="1"/>
  <c r="AR574" i="29" s="1"/>
  <c r="AP423" i="29"/>
  <c r="AQ423" i="29" s="1"/>
  <c r="AR423" i="29" s="1"/>
  <c r="AP354" i="29"/>
  <c r="AQ354" i="29" s="1"/>
  <c r="AR354" i="29" s="1"/>
  <c r="AP358" i="29"/>
  <c r="AQ358" i="29" s="1"/>
  <c r="AR358" i="29" s="1"/>
  <c r="AP612" i="29"/>
  <c r="AQ612" i="29" s="1"/>
  <c r="AR612" i="29" s="1"/>
  <c r="AP94" i="29"/>
  <c r="AQ94" i="29" s="1"/>
  <c r="AR94" i="29" s="1"/>
  <c r="AP196" i="29"/>
  <c r="AQ196" i="29" s="1"/>
  <c r="AR196" i="29" s="1"/>
  <c r="AP611" i="29"/>
  <c r="AQ611" i="29" s="1"/>
  <c r="AR611" i="29" s="1"/>
  <c r="AP262" i="29"/>
  <c r="AQ262" i="29" s="1"/>
  <c r="AR262" i="29" s="1"/>
  <c r="AP267" i="29"/>
  <c r="AQ267" i="29" s="1"/>
  <c r="AR267" i="29" s="1"/>
  <c r="AP595" i="29"/>
  <c r="AQ595" i="29" s="1"/>
  <c r="AR595" i="29" s="1"/>
  <c r="AP405" i="29"/>
  <c r="AQ405" i="29" s="1"/>
  <c r="AR405" i="29" s="1"/>
  <c r="AP231" i="29"/>
  <c r="AQ231" i="29" s="1"/>
  <c r="AR231" i="29" s="1"/>
  <c r="AP490" i="29"/>
  <c r="AQ490" i="29" s="1"/>
  <c r="AR490" i="29" s="1"/>
  <c r="AP461" i="29"/>
  <c r="AQ461" i="29" s="1"/>
  <c r="AR461" i="29" s="1"/>
  <c r="AP355" i="29"/>
  <c r="AQ355" i="29" s="1"/>
  <c r="AR355" i="29" s="1"/>
  <c r="AP435" i="29"/>
  <c r="AQ435" i="29" s="1"/>
  <c r="AR435" i="29" s="1"/>
  <c r="AP442" i="29"/>
  <c r="AQ442" i="29" s="1"/>
  <c r="AR442" i="29" s="1"/>
  <c r="AP106" i="29"/>
  <c r="AQ106" i="29" s="1"/>
  <c r="AR106" i="29" s="1"/>
  <c r="AP157" i="29"/>
  <c r="AQ157" i="29" s="1"/>
  <c r="AR157" i="29" s="1"/>
  <c r="AP101" i="29"/>
  <c r="AQ101" i="29" s="1"/>
  <c r="AR101" i="29" s="1"/>
  <c r="AP350" i="29"/>
  <c r="AQ350" i="29" s="1"/>
  <c r="AR350" i="29" s="1"/>
  <c r="AP130" i="29"/>
  <c r="AQ130" i="29" s="1"/>
  <c r="AR130" i="29" s="1"/>
  <c r="AP47" i="29"/>
  <c r="AQ47" i="29" s="1"/>
  <c r="AR47" i="29" s="1"/>
  <c r="AP173" i="29"/>
  <c r="AQ173" i="29" s="1"/>
  <c r="AR173" i="29" s="1"/>
  <c r="AP589" i="29"/>
  <c r="AQ589" i="29" s="1"/>
  <c r="AR589" i="29" s="1"/>
  <c r="AP17" i="29"/>
  <c r="AQ17" i="29" s="1"/>
  <c r="AR17" i="29" s="1"/>
  <c r="AP604" i="29"/>
  <c r="AQ604" i="29" s="1"/>
  <c r="AR604" i="29" s="1"/>
  <c r="AP104" i="29"/>
  <c r="AQ104" i="29" s="1"/>
  <c r="AR104" i="29" s="1"/>
  <c r="AP376" i="29"/>
  <c r="AQ376" i="29" s="1"/>
  <c r="AR376" i="29" s="1"/>
  <c r="AP498" i="29"/>
  <c r="AQ498" i="29" s="1"/>
  <c r="AR498" i="29" s="1"/>
  <c r="AP608" i="29"/>
  <c r="AQ608" i="29" s="1"/>
  <c r="AR608" i="29" s="1"/>
  <c r="AP334" i="29"/>
  <c r="AQ334" i="29" s="1"/>
  <c r="AR334" i="29" s="1"/>
  <c r="AP135" i="29"/>
  <c r="AQ135" i="29" s="1"/>
  <c r="AR135" i="29" s="1"/>
  <c r="AP166" i="29"/>
  <c r="AQ166" i="29" s="1"/>
  <c r="AR166" i="29" s="1"/>
  <c r="AP81" i="29"/>
  <c r="AQ81" i="29" s="1"/>
  <c r="AR81" i="29" s="1"/>
  <c r="AP169" i="29"/>
  <c r="AQ169" i="29" s="1"/>
  <c r="AR169" i="29" s="1"/>
  <c r="AP570" i="29"/>
  <c r="AQ570" i="29" s="1"/>
  <c r="AR570" i="29" s="1"/>
  <c r="AP158" i="29"/>
  <c r="AQ158" i="29" s="1"/>
  <c r="AR158" i="29" s="1"/>
  <c r="AP261" i="29"/>
  <c r="AQ261" i="29" s="1"/>
  <c r="AR261" i="29" s="1"/>
  <c r="AP317" i="29"/>
  <c r="AQ317" i="29" s="1"/>
  <c r="AR317" i="29" s="1"/>
  <c r="AP344" i="29"/>
  <c r="AQ344" i="29" s="1"/>
  <c r="AR344" i="29" s="1"/>
  <c r="AP301" i="29"/>
  <c r="AQ301" i="29" s="1"/>
  <c r="AR301" i="29" s="1"/>
  <c r="AP342" i="29"/>
  <c r="AQ342" i="29" s="1"/>
  <c r="AR342" i="29" s="1"/>
  <c r="AP278" i="29"/>
  <c r="AQ278" i="29" s="1"/>
  <c r="AR278" i="29" s="1"/>
  <c r="AP292" i="29"/>
  <c r="AQ292" i="29" s="1"/>
  <c r="AR292" i="29" s="1"/>
  <c r="AP398" i="29"/>
  <c r="AQ398" i="29" s="1"/>
  <c r="AR398" i="29" s="1"/>
  <c r="AP31" i="29"/>
  <c r="AQ31" i="29" s="1"/>
  <c r="AR31" i="29" s="1"/>
  <c r="AP90" i="29"/>
  <c r="AQ90" i="29" s="1"/>
  <c r="AR90" i="29" s="1"/>
  <c r="AP28" i="29"/>
  <c r="AQ28" i="29" s="1"/>
  <c r="AR28" i="29" s="1"/>
  <c r="AP544" i="29"/>
  <c r="AQ544" i="29" s="1"/>
  <c r="AR544" i="29" s="1"/>
  <c r="AP245" i="29"/>
  <c r="AQ245" i="29" s="1"/>
  <c r="AR245" i="29" s="1"/>
  <c r="AP19" i="29"/>
  <c r="AQ19" i="29" s="1"/>
  <c r="AR19" i="29" s="1"/>
  <c r="AP25" i="29"/>
  <c r="AQ25" i="29" s="1"/>
  <c r="AR25" i="29" s="1"/>
  <c r="AP124" i="29"/>
  <c r="AQ124" i="29" s="1"/>
  <c r="AR124" i="29" s="1"/>
  <c r="AP68" i="29"/>
  <c r="AQ68" i="29" s="1"/>
  <c r="AR68" i="29" s="1"/>
  <c r="AP140" i="29"/>
  <c r="AQ140" i="29" s="1"/>
  <c r="AR140" i="29" s="1"/>
  <c r="AP332" i="29"/>
  <c r="AQ332" i="29" s="1"/>
  <c r="AR332" i="29" s="1"/>
  <c r="AP203" i="29"/>
  <c r="AQ203" i="29" s="1"/>
  <c r="AR203" i="29" s="1"/>
  <c r="AP88" i="29"/>
  <c r="AQ88" i="29" s="1"/>
  <c r="AR88" i="29" s="1"/>
  <c r="AP494" i="29"/>
  <c r="AQ494" i="29" s="1"/>
  <c r="AR494" i="29" s="1"/>
  <c r="AP63" i="29"/>
  <c r="AQ63" i="29" s="1"/>
  <c r="AR63" i="29" s="1"/>
  <c r="AP87" i="29"/>
  <c r="AQ87" i="29" s="1"/>
  <c r="AR87" i="29" s="1"/>
  <c r="AP29" i="29"/>
  <c r="AQ29" i="29" s="1"/>
  <c r="AR29" i="29" s="1"/>
  <c r="AP605" i="29"/>
  <c r="AQ605" i="29" s="1"/>
  <c r="AR605" i="29" s="1"/>
  <c r="AP585" i="29"/>
  <c r="AQ585" i="29" s="1"/>
  <c r="AR585" i="29" s="1"/>
  <c r="AP346" i="29"/>
  <c r="AQ346" i="29" s="1"/>
  <c r="AR346" i="29" s="1"/>
  <c r="AP601" i="29"/>
  <c r="AQ601" i="29" s="1"/>
  <c r="AR601" i="29" s="1"/>
  <c r="AP202" i="29"/>
  <c r="AQ202" i="29" s="1"/>
  <c r="AR202" i="29" s="1"/>
  <c r="AP432" i="29"/>
  <c r="AQ432" i="29" s="1"/>
  <c r="AR432" i="29" s="1"/>
  <c r="AP496" i="29"/>
  <c r="AQ496" i="29" s="1"/>
  <c r="AR496" i="29" s="1"/>
  <c r="AP229" i="29"/>
  <c r="AQ229" i="29" s="1"/>
  <c r="AR229" i="29" s="1"/>
  <c r="AP561" i="29"/>
  <c r="AQ561" i="29" s="1"/>
  <c r="AR561" i="29" s="1"/>
  <c r="AP521" i="29"/>
  <c r="AQ521" i="29" s="1"/>
  <c r="AR521" i="29" s="1"/>
  <c r="AP254" i="29"/>
  <c r="AQ254" i="29" s="1"/>
  <c r="AR254" i="29" s="1"/>
  <c r="AP487" i="29"/>
  <c r="AQ487" i="29" s="1"/>
  <c r="AR487" i="29" s="1"/>
  <c r="AP560" i="29"/>
  <c r="AQ560" i="29" s="1"/>
  <c r="AR560" i="29" s="1"/>
  <c r="AP575" i="29"/>
  <c r="AQ575" i="29" s="1"/>
  <c r="AR575" i="29" s="1"/>
  <c r="AP462" i="29"/>
  <c r="AQ462" i="29" s="1"/>
  <c r="AR462" i="29" s="1"/>
  <c r="AP305" i="29"/>
  <c r="AQ305" i="29" s="1"/>
  <c r="AR305" i="29" s="1"/>
  <c r="AP151" i="29"/>
  <c r="AQ151" i="29" s="1"/>
  <c r="AR151" i="29" s="1"/>
  <c r="AP287" i="29"/>
  <c r="AQ287" i="29" s="1"/>
  <c r="AR287" i="29" s="1"/>
  <c r="AP588" i="29"/>
  <c r="AQ588" i="29" s="1"/>
  <c r="AR588" i="29" s="1"/>
  <c r="AP319" i="29"/>
  <c r="AQ319" i="29" s="1"/>
  <c r="AR319" i="29" s="1"/>
  <c r="AP279" i="29"/>
  <c r="AQ279" i="29" s="1"/>
  <c r="AR279" i="29" s="1"/>
  <c r="AP437" i="29"/>
  <c r="AQ437" i="29" s="1"/>
  <c r="AR437" i="29" s="1"/>
  <c r="AP100" i="29"/>
  <c r="AQ100" i="29" s="1"/>
  <c r="AR100" i="29" s="1"/>
  <c r="AP500" i="29"/>
  <c r="AQ500" i="29" s="1"/>
  <c r="AR500" i="29" s="1"/>
  <c r="AP400" i="29"/>
  <c r="AQ400" i="29" s="1"/>
  <c r="AR400" i="29" s="1"/>
  <c r="AP495" i="29"/>
  <c r="AQ495" i="29" s="1"/>
  <c r="AR495" i="29" s="1"/>
  <c r="AP569" i="29"/>
  <c r="AQ569" i="29" s="1"/>
  <c r="AR569" i="29" s="1"/>
  <c r="AP411" i="29"/>
  <c r="AQ411" i="29" s="1"/>
  <c r="AR411" i="29" s="1"/>
  <c r="AP439" i="29"/>
  <c r="AQ439" i="29" s="1"/>
  <c r="AR439" i="29" s="1"/>
  <c r="AP409" i="29"/>
  <c r="AQ409" i="29" s="1"/>
  <c r="AR409" i="29" s="1"/>
  <c r="AP41" i="29"/>
  <c r="AQ41" i="29" s="1"/>
  <c r="AR41" i="29" s="1"/>
  <c r="AP247" i="29"/>
  <c r="AQ247" i="29" s="1"/>
  <c r="AR247" i="29" s="1"/>
  <c r="AP562" i="29"/>
  <c r="AQ562" i="29" s="1"/>
  <c r="AR562" i="29" s="1"/>
  <c r="AP42" i="29"/>
  <c r="AQ42" i="29" s="1"/>
  <c r="AR42" i="29" s="1"/>
  <c r="AP60" i="29"/>
  <c r="AQ60" i="29" s="1"/>
  <c r="AR60" i="29" s="1"/>
  <c r="AP579" i="29"/>
  <c r="AQ579" i="29" s="1"/>
  <c r="AR579" i="29" s="1"/>
  <c r="AP359" i="29"/>
  <c r="AQ359" i="29" s="1"/>
  <c r="AR359" i="29" s="1"/>
  <c r="AP578" i="29"/>
  <c r="AQ578" i="29" s="1"/>
  <c r="AR578" i="29" s="1"/>
  <c r="AP260" i="29"/>
  <c r="AQ260" i="29" s="1"/>
  <c r="AR260" i="29" s="1"/>
  <c r="AP20" i="29"/>
  <c r="AQ20" i="29" s="1"/>
  <c r="AR20" i="29" s="1"/>
  <c r="AP43" i="29"/>
  <c r="AQ43" i="29" s="1"/>
  <c r="AR43" i="29" s="1"/>
  <c r="AP484" i="29"/>
  <c r="AQ484" i="29" s="1"/>
  <c r="AR484" i="29" s="1"/>
  <c r="AP457" i="29"/>
  <c r="AQ457" i="29" s="1"/>
  <c r="AR457" i="29" s="1"/>
  <c r="AP413" i="29"/>
  <c r="AQ413" i="29" s="1"/>
  <c r="AR413" i="29" s="1"/>
  <c r="AP91" i="29"/>
  <c r="AQ91" i="29" s="1"/>
  <c r="AR91" i="29" s="1"/>
  <c r="AP150" i="29"/>
  <c r="AQ150" i="29" s="1"/>
  <c r="AR150" i="29" s="1"/>
  <c r="AP238" i="29"/>
  <c r="AQ238" i="29" s="1"/>
  <c r="AR238" i="29" s="1"/>
  <c r="AP374" i="29"/>
  <c r="AQ374" i="29" s="1"/>
  <c r="AR374" i="29" s="1"/>
  <c r="AP564" i="29"/>
  <c r="AQ564" i="29" s="1"/>
  <c r="AR564" i="29" s="1"/>
  <c r="AP327" i="29"/>
  <c r="AQ327" i="29" s="1"/>
  <c r="AR327" i="29" s="1"/>
  <c r="AP263" i="29"/>
  <c r="AQ263" i="29" s="1"/>
  <c r="AR263" i="29" s="1"/>
  <c r="AP315" i="29"/>
  <c r="AQ315" i="29" s="1"/>
  <c r="AR315" i="29" s="1"/>
  <c r="AP492" i="29"/>
  <c r="AQ492" i="29" s="1"/>
  <c r="AR492" i="29" s="1"/>
  <c r="AP325" i="29"/>
  <c r="AQ325" i="29" s="1"/>
  <c r="AR325" i="29" s="1"/>
  <c r="AP339" i="29"/>
  <c r="AQ339" i="29" s="1"/>
  <c r="AR339" i="29" s="1"/>
  <c r="AP256" i="29"/>
  <c r="AQ256" i="29" s="1"/>
  <c r="AR256" i="29" s="1"/>
  <c r="AP542" i="29"/>
  <c r="AQ542" i="29" s="1"/>
  <c r="AR542" i="29" s="1"/>
  <c r="AP164" i="29"/>
  <c r="AQ164" i="29" s="1"/>
  <c r="AR164" i="29" s="1"/>
  <c r="AP386" i="29"/>
  <c r="AQ386" i="29" s="1"/>
  <c r="AR386" i="29" s="1"/>
  <c r="AP470" i="29"/>
  <c r="AQ470" i="29" s="1"/>
  <c r="AR470" i="29" s="1"/>
  <c r="AP312" i="29"/>
  <c r="AQ312" i="29" s="1"/>
  <c r="AR312" i="29" s="1"/>
  <c r="AP295" i="29"/>
  <c r="AQ295" i="29" s="1"/>
  <c r="AR295" i="29" s="1"/>
  <c r="AP116" i="29"/>
  <c r="AQ116" i="29" s="1"/>
  <c r="AR116" i="29" s="1"/>
  <c r="AP482" i="29"/>
  <c r="AQ482" i="29" s="1"/>
  <c r="AR482" i="29" s="1"/>
  <c r="AP83" i="29"/>
  <c r="AQ83" i="29" s="1"/>
  <c r="AR83" i="29" s="1"/>
  <c r="AP285" i="29"/>
  <c r="AQ285" i="29" s="1"/>
  <c r="AR285" i="29" s="1"/>
  <c r="AP128" i="29"/>
  <c r="AQ128" i="29" s="1"/>
  <c r="AR128" i="29" s="1"/>
  <c r="AP272" i="29"/>
  <c r="AQ272" i="29" s="1"/>
  <c r="AR272" i="29" s="1"/>
  <c r="AP97" i="29"/>
  <c r="AQ97" i="29" s="1"/>
  <c r="AR97" i="29" s="1"/>
  <c r="AP422" i="29"/>
  <c r="AQ422" i="29" s="1"/>
  <c r="AR422" i="29" s="1"/>
  <c r="AP556" i="29"/>
  <c r="AQ556" i="29" s="1"/>
  <c r="AR556" i="29" s="1"/>
  <c r="AP252" i="29"/>
  <c r="AQ252" i="29" s="1"/>
  <c r="AR252" i="29" s="1"/>
  <c r="AP244" i="29"/>
  <c r="AQ244" i="29" s="1"/>
  <c r="AR244" i="29" s="1"/>
  <c r="AP452" i="29"/>
  <c r="AQ452" i="29" s="1"/>
  <c r="AR452" i="29" s="1"/>
  <c r="AP21" i="29"/>
  <c r="AQ21" i="29" s="1"/>
  <c r="AR21" i="29" s="1"/>
  <c r="AP30" i="29"/>
  <c r="AQ30" i="29" s="1"/>
  <c r="AR30" i="29" s="1"/>
  <c r="AP102" i="29"/>
  <c r="AQ102" i="29" s="1"/>
  <c r="AR102" i="29" s="1"/>
  <c r="AP580" i="29"/>
  <c r="AQ580" i="29" s="1"/>
  <c r="AR580" i="29" s="1"/>
  <c r="AP268" i="29"/>
  <c r="AQ268" i="29" s="1"/>
  <c r="AR268" i="29" s="1"/>
  <c r="AP460" i="29"/>
  <c r="AQ460" i="29" s="1"/>
  <c r="AR460" i="29" s="1"/>
  <c r="AP497" i="29"/>
  <c r="AQ497" i="29" s="1"/>
  <c r="AR497" i="29" s="1"/>
  <c r="AP345" i="29"/>
  <c r="AQ345" i="29" s="1"/>
  <c r="AR345" i="29" s="1"/>
  <c r="AP220" i="29"/>
  <c r="AQ220" i="29" s="1"/>
  <c r="AR220" i="29" s="1"/>
  <c r="AP609" i="29"/>
  <c r="AQ609" i="29" s="1"/>
  <c r="AR609" i="29" s="1"/>
  <c r="AP504" i="29"/>
  <c r="AQ504" i="29" s="1"/>
  <c r="AR504" i="29" s="1"/>
  <c r="AP512" i="29"/>
  <c r="AQ512" i="29" s="1"/>
  <c r="AR512" i="29" s="1"/>
  <c r="AP587" i="29"/>
  <c r="AQ587" i="29" s="1"/>
  <c r="AR587" i="29" s="1"/>
  <c r="AP443" i="29"/>
  <c r="AQ443" i="29" s="1"/>
  <c r="AR443" i="29" s="1"/>
  <c r="AP506" i="29"/>
  <c r="AQ506" i="29" s="1"/>
  <c r="AR506" i="29" s="1"/>
  <c r="AP16" i="29"/>
  <c r="AQ16" i="29" s="1"/>
  <c r="AR16" i="29" s="1"/>
  <c r="AP112" i="29"/>
  <c r="AQ112" i="29" s="1"/>
  <c r="AR112" i="29" s="1"/>
  <c r="AP387" i="29"/>
  <c r="AQ387" i="29" s="1"/>
  <c r="AR387" i="29" s="1"/>
  <c r="AP148" i="29"/>
  <c r="AQ148" i="29" s="1"/>
  <c r="AR148" i="29" s="1"/>
  <c r="AP373" i="29"/>
  <c r="AQ373" i="29" s="1"/>
  <c r="AR373" i="29" s="1"/>
  <c r="AP420" i="29"/>
  <c r="AQ420" i="29" s="1"/>
  <c r="AR420" i="29" s="1"/>
  <c r="AP145" i="29"/>
  <c r="AQ145" i="29" s="1"/>
  <c r="AR145" i="29" s="1"/>
  <c r="AP246" i="29"/>
  <c r="AQ246" i="29" s="1"/>
  <c r="AR246" i="29" s="1"/>
  <c r="AP174" i="29"/>
  <c r="AQ174" i="29" s="1"/>
  <c r="AR174" i="29" s="1"/>
  <c r="AP421" i="29"/>
  <c r="AQ421" i="29" s="1"/>
  <c r="AR421" i="29" s="1"/>
  <c r="AP80" i="29"/>
  <c r="AQ80" i="29" s="1"/>
  <c r="AR80" i="29" s="1"/>
  <c r="AP403" i="29"/>
  <c r="AQ403" i="29" s="1"/>
  <c r="AR403" i="29" s="1"/>
  <c r="AP509" i="29"/>
  <c r="AQ509" i="29" s="1"/>
  <c r="AR509" i="29" s="1"/>
  <c r="AP477" i="29"/>
  <c r="AQ477" i="29" s="1"/>
  <c r="AR477" i="29" s="1"/>
  <c r="AP479" i="29"/>
  <c r="AQ479" i="29" s="1"/>
  <c r="AR479" i="29" s="1"/>
  <c r="AP566" i="29"/>
  <c r="AQ566" i="29" s="1"/>
  <c r="AR566" i="29" s="1"/>
  <c r="AP172" i="29"/>
  <c r="AQ172" i="29" s="1"/>
  <c r="AR172" i="29" s="1"/>
  <c r="AP471" i="29"/>
  <c r="AQ471" i="29" s="1"/>
  <c r="AR471" i="29" s="1"/>
  <c r="AP553" i="29"/>
  <c r="AQ553" i="29" s="1"/>
  <c r="AR553" i="29" s="1"/>
  <c r="AP121" i="29"/>
  <c r="AQ121" i="29" s="1"/>
  <c r="AR121" i="29" s="1"/>
  <c r="AP363" i="29"/>
  <c r="AQ363" i="29" s="1"/>
  <c r="AR363" i="29" s="1"/>
  <c r="AP549" i="29"/>
  <c r="AQ549" i="29" s="1"/>
  <c r="AR549" i="29" s="1"/>
  <c r="AP274" i="29"/>
  <c r="AQ274" i="29" s="1"/>
  <c r="AR274" i="29" s="1"/>
  <c r="AP425" i="29"/>
  <c r="AQ425" i="29" s="1"/>
  <c r="AR425" i="29" s="1"/>
  <c r="AP316" i="29"/>
  <c r="AQ316" i="29" s="1"/>
  <c r="AR316" i="29" s="1"/>
  <c r="AP343" i="29"/>
  <c r="AQ343" i="29" s="1"/>
  <c r="AR343" i="29" s="1"/>
  <c r="AP508" i="29"/>
  <c r="AQ508" i="29" s="1"/>
  <c r="AR508" i="29" s="1"/>
  <c r="AP366" i="29"/>
  <c r="AQ366" i="29" s="1"/>
  <c r="AR366" i="29" s="1"/>
  <c r="AP297" i="29"/>
  <c r="AQ297" i="29" s="1"/>
  <c r="AR297" i="29" s="1"/>
  <c r="AP48" i="29"/>
  <c r="AQ48" i="29" s="1"/>
  <c r="AR48" i="29" s="1"/>
  <c r="AP142" i="29"/>
  <c r="AQ142" i="29" s="1"/>
  <c r="AR142" i="29" s="1"/>
  <c r="AP127" i="29"/>
  <c r="AQ127" i="29" s="1"/>
  <c r="AR127" i="29" s="1"/>
  <c r="AP408" i="29"/>
  <c r="AQ408" i="29" s="1"/>
  <c r="AR408" i="29" s="1"/>
  <c r="AP511" i="29"/>
  <c r="AQ511" i="29" s="1"/>
  <c r="AR511" i="29" s="1"/>
  <c r="AP69" i="29"/>
  <c r="AQ69" i="29" s="1"/>
  <c r="AR69" i="29" s="1"/>
  <c r="AP205" i="29"/>
  <c r="AQ205" i="29" s="1"/>
  <c r="AR205" i="29" s="1"/>
  <c r="AP377" i="29"/>
  <c r="AQ377" i="29" s="1"/>
  <c r="AR377" i="29" s="1"/>
  <c r="AP93" i="29"/>
  <c r="AQ93" i="29" s="1"/>
  <c r="AR93" i="29" s="1"/>
  <c r="AP331" i="29"/>
  <c r="AQ331" i="29" s="1"/>
  <c r="AR331" i="29" s="1"/>
  <c r="AP76" i="29"/>
  <c r="AQ76" i="29" s="1"/>
  <c r="AR76" i="29" s="1"/>
  <c r="AP395" i="29"/>
  <c r="AQ395" i="29" s="1"/>
  <c r="AR395" i="29" s="1"/>
  <c r="AP14" i="29"/>
  <c r="AQ14" i="29" s="1"/>
  <c r="AR14" i="29" s="1"/>
  <c r="AP602" i="29"/>
  <c r="AQ602" i="29" s="1"/>
  <c r="AR602" i="29" s="1"/>
  <c r="AP242" i="29"/>
  <c r="AQ242" i="29" s="1"/>
  <c r="AR242" i="29" s="1"/>
  <c r="AP230" i="29"/>
  <c r="AQ230" i="29" s="1"/>
  <c r="AR230" i="29" s="1"/>
  <c r="AP486" i="29"/>
  <c r="AQ486" i="29" s="1"/>
  <c r="AR486" i="29" s="1"/>
  <c r="AP23" i="29"/>
  <c r="AQ23" i="29" s="1"/>
  <c r="AR23" i="29" s="1"/>
  <c r="AP211" i="29"/>
  <c r="AQ211" i="29" s="1"/>
  <c r="AR211" i="29" s="1"/>
  <c r="AP453" i="29"/>
  <c r="AQ453" i="29" s="1"/>
  <c r="AR453" i="29" s="1"/>
  <c r="AP528" i="29"/>
  <c r="AQ528" i="29" s="1"/>
  <c r="AR528" i="29" s="1"/>
  <c r="AP77" i="29"/>
  <c r="AQ77" i="29" s="1"/>
  <c r="AR77" i="29" s="1"/>
  <c r="AP271" i="29"/>
  <c r="AQ271" i="29" s="1"/>
  <c r="AR271" i="29" s="1"/>
  <c r="AP385" i="29"/>
  <c r="AQ385" i="29" s="1"/>
  <c r="AR385" i="29" s="1"/>
  <c r="AP232" i="29"/>
  <c r="AQ232" i="29" s="1"/>
  <c r="AR232" i="29" s="1"/>
  <c r="AP74" i="29"/>
  <c r="AQ74" i="29" s="1"/>
  <c r="AR74" i="29" s="1"/>
  <c r="AP384" i="29"/>
  <c r="AQ384" i="29" s="1"/>
  <c r="AR384" i="29" s="1"/>
  <c r="AP514" i="29"/>
  <c r="AQ514" i="29" s="1"/>
  <c r="AR514" i="29" s="1"/>
  <c r="AP427" i="29"/>
  <c r="AQ427" i="29" s="1"/>
  <c r="AR427" i="29" s="1"/>
  <c r="AP328" i="29"/>
  <c r="AQ328" i="29" s="1"/>
  <c r="AR328" i="29" s="1"/>
  <c r="AP517" i="29"/>
  <c r="AQ517" i="29" s="1"/>
  <c r="AR517" i="29" s="1"/>
  <c r="AP404" i="29"/>
  <c r="AQ404" i="29" s="1"/>
  <c r="AR404" i="29" s="1"/>
  <c r="AP389" i="29"/>
  <c r="AQ389" i="29" s="1"/>
  <c r="AR389" i="29" s="1"/>
  <c r="AP372" i="29"/>
  <c r="AQ372" i="29" s="1"/>
  <c r="AR372" i="29" s="1"/>
  <c r="AP300" i="29"/>
  <c r="AQ300" i="29" s="1"/>
  <c r="AR300" i="29" s="1"/>
  <c r="AP493" i="29"/>
  <c r="AQ493" i="29" s="1"/>
  <c r="AR493" i="29" s="1"/>
  <c r="AP219" i="29"/>
  <c r="AQ219" i="29" s="1"/>
  <c r="AR219" i="29" s="1"/>
  <c r="AP123" i="29"/>
  <c r="AQ123" i="29" s="1"/>
  <c r="AR123" i="29" s="1"/>
  <c r="AP22" i="29"/>
  <c r="AQ22" i="29" s="1"/>
  <c r="AR22" i="29" s="1"/>
  <c r="AP431" i="29"/>
  <c r="AQ431" i="29" s="1"/>
  <c r="AR431" i="29" s="1"/>
  <c r="AP156" i="29"/>
  <c r="AQ156" i="29" s="1"/>
  <c r="AR156" i="29" s="1"/>
  <c r="AP472" i="29"/>
  <c r="AQ472" i="29" s="1"/>
  <c r="AR472" i="29" s="1"/>
  <c r="AP364" i="29"/>
  <c r="AQ364" i="29" s="1"/>
  <c r="AR364" i="29" s="1"/>
  <c r="AP489" i="29"/>
  <c r="AQ489" i="29" s="1"/>
  <c r="AR489" i="29" s="1"/>
  <c r="AP444" i="29"/>
  <c r="AQ444" i="29" s="1"/>
  <c r="AR444" i="29" s="1"/>
  <c r="AP209" i="29"/>
  <c r="AQ209" i="29" s="1"/>
  <c r="AR209" i="29" s="1"/>
  <c r="AP304" i="29"/>
  <c r="AQ304" i="29" s="1"/>
  <c r="AR304" i="29" s="1"/>
  <c r="AP537" i="29"/>
  <c r="AQ537" i="29" s="1"/>
  <c r="AR537" i="29" s="1"/>
  <c r="AP264" i="29"/>
  <c r="AQ264" i="29" s="1"/>
  <c r="AR264" i="29" s="1"/>
  <c r="AP79" i="29"/>
  <c r="AQ79" i="29" s="1"/>
  <c r="AR79" i="29" s="1"/>
  <c r="AP473" i="29"/>
  <c r="AQ473" i="29" s="1"/>
  <c r="AR473" i="29" s="1"/>
  <c r="AP532" i="29"/>
  <c r="AQ532" i="29" s="1"/>
  <c r="AR532" i="29" s="1"/>
  <c r="AP592" i="29"/>
  <c r="AQ592" i="29" s="1"/>
  <c r="AR592" i="29" s="1"/>
  <c r="AP399" i="29"/>
  <c r="AQ399" i="29" s="1"/>
  <c r="AR399" i="29" s="1"/>
  <c r="AP362" i="29"/>
  <c r="AQ362" i="29" s="1"/>
  <c r="AR362" i="29" s="1"/>
  <c r="AP390" i="29"/>
  <c r="AQ390" i="29" s="1"/>
  <c r="AR390" i="29" s="1"/>
  <c r="AP64" i="29"/>
  <c r="AQ64" i="29" s="1"/>
  <c r="AR64" i="29" s="1"/>
  <c r="AP314" i="29"/>
  <c r="AQ314" i="29" s="1"/>
  <c r="AR314" i="29" s="1"/>
  <c r="AP576" i="29"/>
  <c r="AQ576" i="29" s="1"/>
  <c r="AR576" i="29" s="1"/>
  <c r="AP45" i="29"/>
  <c r="AQ45" i="29" s="1"/>
  <c r="AR45" i="29" s="1"/>
  <c r="AP391" i="29"/>
  <c r="AQ391" i="29" s="1"/>
  <c r="AR391" i="29" s="1"/>
  <c r="AP368" i="29"/>
  <c r="AQ368" i="29" s="1"/>
  <c r="AR368" i="29" s="1"/>
  <c r="AP118" i="29"/>
  <c r="AQ118" i="29" s="1"/>
  <c r="AR118" i="29" s="1"/>
  <c r="AP296" i="29"/>
  <c r="AQ296" i="29" s="1"/>
  <c r="AR296" i="29" s="1"/>
  <c r="AP177" i="29"/>
  <c r="AQ177" i="29" s="1"/>
  <c r="AR177" i="29" s="1"/>
  <c r="AP375" i="29"/>
  <c r="AQ375" i="29" s="1"/>
  <c r="AR375" i="29" s="1"/>
  <c r="AP563" i="29"/>
  <c r="AQ563" i="29" s="1"/>
  <c r="AR563" i="29" s="1"/>
  <c r="AP89" i="29"/>
  <c r="AQ89" i="29" s="1"/>
  <c r="AR89" i="29" s="1"/>
  <c r="AP465" i="29"/>
  <c r="AQ465" i="29" s="1"/>
  <c r="AR465" i="29" s="1"/>
  <c r="AP234" i="29"/>
  <c r="AQ234" i="29" s="1"/>
  <c r="AR234" i="29" s="1"/>
  <c r="AP397" i="29"/>
  <c r="AQ397" i="29" s="1"/>
  <c r="AR397" i="29" s="1"/>
  <c r="AP591" i="29"/>
  <c r="AQ591" i="29" s="1"/>
  <c r="AR591" i="29" s="1"/>
  <c r="AP338" i="29"/>
  <c r="AQ338" i="29" s="1"/>
  <c r="AR338" i="29" s="1"/>
  <c r="AP190" i="29"/>
  <c r="AQ190" i="29" s="1"/>
  <c r="AR190" i="29" s="1"/>
  <c r="AP269" i="29"/>
  <c r="AQ269" i="29" s="1"/>
  <c r="AR269" i="29" s="1"/>
  <c r="AP600" i="29"/>
  <c r="AQ600" i="29" s="1"/>
  <c r="AR600" i="29" s="1"/>
  <c r="AP250" i="29"/>
  <c r="AQ250" i="29" s="1"/>
  <c r="AR250" i="29" s="1"/>
  <c r="AP378" i="29"/>
  <c r="AQ378" i="29" s="1"/>
  <c r="AR378" i="29" s="1"/>
  <c r="AP361" i="29"/>
  <c r="AQ361" i="29" s="1"/>
  <c r="AR361" i="29" s="1"/>
  <c r="AP249" i="29"/>
  <c r="AQ249" i="29" s="1"/>
  <c r="AR249" i="29" s="1"/>
  <c r="AP407" i="29"/>
  <c r="AQ407" i="29" s="1"/>
  <c r="AR407" i="29" s="1"/>
  <c r="AP323" i="29"/>
  <c r="AQ323" i="29" s="1"/>
  <c r="AR323" i="29" s="1"/>
  <c r="AP184" i="29"/>
  <c r="AQ184" i="29" s="1"/>
  <c r="AR184" i="29" s="1"/>
  <c r="AP458" i="29"/>
  <c r="AQ458" i="29" s="1"/>
  <c r="AR458" i="29" s="1"/>
  <c r="AP120" i="29"/>
  <c r="AQ120" i="29" s="1"/>
  <c r="AR120" i="29" s="1"/>
  <c r="AP38" i="29"/>
  <c r="AQ38" i="29" s="1"/>
  <c r="AR38" i="29" s="1"/>
  <c r="AP119" i="29"/>
  <c r="AQ119" i="29" s="1"/>
  <c r="AR119" i="29" s="1"/>
  <c r="AP303" i="29"/>
  <c r="AQ303" i="29" s="1"/>
  <c r="AR303" i="29" s="1"/>
  <c r="AP266" i="29"/>
  <c r="AQ266" i="29" s="1"/>
  <c r="AR266" i="29" s="1"/>
  <c r="AP27" i="29"/>
  <c r="AQ27" i="29" s="1"/>
  <c r="AR27" i="29" s="1"/>
  <c r="AP416" i="29"/>
  <c r="AQ416" i="29" s="1"/>
  <c r="AR416" i="29" s="1"/>
  <c r="AP463" i="29"/>
  <c r="AQ463" i="29" s="1"/>
  <c r="AR463" i="29" s="1"/>
  <c r="AP584" i="29"/>
  <c r="AQ584" i="29" s="1"/>
  <c r="AR584" i="29" s="1"/>
  <c r="AP149" i="29"/>
  <c r="AQ149" i="29" s="1"/>
  <c r="AR149" i="29" s="1"/>
  <c r="AP503" i="29"/>
  <c r="AQ503" i="29" s="1"/>
  <c r="AR503" i="29" s="1"/>
  <c r="AP464" i="29"/>
  <c r="AQ464" i="29" s="1"/>
  <c r="AR464" i="29" s="1"/>
  <c r="AP199" i="29"/>
  <c r="AQ199" i="29" s="1"/>
  <c r="AR199" i="29" s="1"/>
  <c r="AP341" i="29"/>
  <c r="AQ341" i="29" s="1"/>
  <c r="AR341" i="29" s="1"/>
  <c r="AP165" i="29"/>
  <c r="AQ165" i="29" s="1"/>
  <c r="AR165" i="29" s="1"/>
  <c r="AP426" i="29"/>
  <c r="AQ426" i="29" s="1"/>
  <c r="AR426" i="29" s="1"/>
  <c r="AP103" i="29"/>
  <c r="AQ103" i="29" s="1"/>
  <c r="AR103" i="29" s="1"/>
  <c r="AP110" i="29"/>
  <c r="AQ110" i="29" s="1"/>
  <c r="AR110" i="29" s="1"/>
  <c r="AP159" i="29"/>
  <c r="AQ159" i="29" s="1"/>
  <c r="AR159" i="29" s="1"/>
  <c r="AP469" i="29"/>
  <c r="AQ469" i="29" s="1"/>
  <c r="AR469" i="29" s="1"/>
  <c r="AP152" i="29"/>
  <c r="AQ152" i="29" s="1"/>
  <c r="AR152" i="29" s="1"/>
  <c r="AP185" i="29"/>
  <c r="AQ185" i="29" s="1"/>
  <c r="AR185" i="29" s="1"/>
  <c r="AP594" i="29"/>
  <c r="AQ594" i="29" s="1"/>
  <c r="AR594" i="29" s="1"/>
  <c r="AP181" i="29"/>
  <c r="AQ181" i="29" s="1"/>
  <c r="AR181" i="29" s="1"/>
  <c r="AP155" i="29"/>
  <c r="AQ155" i="29" s="1"/>
  <c r="AR155" i="29" s="1"/>
  <c r="AP369" i="29"/>
  <c r="AQ369" i="29" s="1"/>
  <c r="AR369" i="29" s="1"/>
  <c r="AP394" i="29"/>
  <c r="AQ394" i="29" s="1"/>
  <c r="AR394" i="29" s="1"/>
  <c r="AP607" i="29"/>
  <c r="AQ607" i="29" s="1"/>
  <c r="AR607" i="29" s="1"/>
  <c r="AP333" i="29"/>
  <c r="AQ333" i="29" s="1"/>
  <c r="AR333" i="29" s="1"/>
  <c r="AP401" i="29"/>
  <c r="AQ401" i="29" s="1"/>
  <c r="AR401" i="29" s="1"/>
  <c r="AP429" i="29"/>
  <c r="AQ429" i="29" s="1"/>
  <c r="AR429" i="29" s="1"/>
  <c r="AP258" i="29"/>
  <c r="AQ258" i="29" s="1"/>
  <c r="AR258" i="29" s="1"/>
  <c r="AP606" i="29"/>
  <c r="AQ606" i="29" s="1"/>
  <c r="AR606" i="29" s="1"/>
  <c r="AP62" i="29"/>
  <c r="AQ62" i="29" s="1"/>
  <c r="AR62" i="29" s="1"/>
  <c r="AP548" i="29"/>
  <c r="AQ548" i="29" s="1"/>
  <c r="AR548" i="29" s="1"/>
  <c r="AP154" i="29"/>
  <c r="AQ154" i="29" s="1"/>
  <c r="AR154" i="29" s="1"/>
  <c r="AP275" i="29"/>
  <c r="AQ275" i="29" s="1"/>
  <c r="AR275" i="29" s="1"/>
  <c r="AP216" i="29"/>
  <c r="AQ216" i="29" s="1"/>
  <c r="AR216" i="29" s="1"/>
  <c r="AP326" i="29"/>
  <c r="AQ326" i="29" s="1"/>
  <c r="AR326" i="29" s="1"/>
  <c r="AP513" i="29"/>
  <c r="AQ513" i="29" s="1"/>
  <c r="AR513" i="29" s="1"/>
  <c r="AP419" i="29"/>
  <c r="AQ419" i="29" s="1"/>
  <c r="AR419" i="29" s="1"/>
  <c r="AP499" i="29"/>
  <c r="AQ499" i="29" s="1"/>
  <c r="AR499" i="29" s="1"/>
  <c r="AP353" i="29"/>
  <c r="AQ353" i="29" s="1"/>
  <c r="AR353" i="29" s="1"/>
  <c r="AP55" i="29"/>
  <c r="AQ55" i="29" s="1"/>
  <c r="AR55" i="29" s="1"/>
  <c r="AP455" i="29"/>
  <c r="AQ455" i="29" s="1"/>
  <c r="AR455" i="29" s="1"/>
  <c r="AP555" i="29"/>
  <c r="AQ555" i="29" s="1"/>
  <c r="AR555" i="29" s="1"/>
  <c r="AP565" i="29"/>
  <c r="AQ565" i="29" s="1"/>
  <c r="AR565" i="29" s="1"/>
  <c r="AP550" i="29"/>
  <c r="AQ550" i="29" s="1"/>
  <c r="AR550" i="29" s="1"/>
  <c r="AP535" i="29"/>
  <c r="AQ535" i="29" s="1"/>
  <c r="AR535" i="29" s="1"/>
  <c r="AP406" i="29"/>
  <c r="AQ406" i="29" s="1"/>
  <c r="AR406" i="29" s="1"/>
  <c r="AP596" i="29"/>
  <c r="AQ596" i="29" s="1"/>
  <c r="AR596" i="29" s="1"/>
  <c r="AP162" i="29"/>
  <c r="AQ162" i="29" s="1"/>
  <c r="AR162" i="29" s="1"/>
  <c r="AP571" i="29"/>
  <c r="AQ571" i="29" s="1"/>
  <c r="AR571" i="29" s="1"/>
  <c r="AP515" i="29"/>
  <c r="AQ515" i="29" s="1"/>
  <c r="AR515" i="29" s="1"/>
  <c r="AP480" i="29"/>
  <c r="AQ480" i="29" s="1"/>
  <c r="AR480" i="29" s="1"/>
  <c r="AP126" i="29"/>
  <c r="AQ126" i="29" s="1"/>
  <c r="AR126" i="29" s="1"/>
  <c r="AP501" i="29"/>
  <c r="AQ501" i="29" s="1"/>
  <c r="AR501" i="29" s="1"/>
  <c r="AP289" i="29"/>
  <c r="AQ289" i="29" s="1"/>
  <c r="AR289" i="29" s="1"/>
  <c r="AP402" i="29"/>
  <c r="AQ402" i="29" s="1"/>
  <c r="AR402" i="29" s="1"/>
  <c r="AP228" i="29"/>
  <c r="AQ228" i="29" s="1"/>
  <c r="AR228" i="29" s="1"/>
  <c r="AP259" i="29"/>
  <c r="AQ259" i="29" s="1"/>
  <c r="AR259" i="29" s="1"/>
  <c r="AP598" i="29"/>
  <c r="AQ598" i="29" s="1"/>
  <c r="AR598" i="29" s="1"/>
  <c r="AP371" i="29"/>
  <c r="AQ371" i="29" s="1"/>
  <c r="AR371" i="29" s="1"/>
  <c r="AP510" i="29"/>
  <c r="AQ510" i="29" s="1"/>
  <c r="AR510" i="29" s="1"/>
  <c r="AP51" i="29"/>
  <c r="AQ51" i="29" s="1"/>
  <c r="AR51" i="29" s="1"/>
  <c r="AP95" i="29"/>
  <c r="AQ95" i="29" s="1"/>
  <c r="AR95" i="29" s="1"/>
  <c r="AP365" i="29"/>
  <c r="AQ365" i="29" s="1"/>
  <c r="AR365" i="29" s="1"/>
  <c r="AP286" i="29"/>
  <c r="AQ286" i="29" s="1"/>
  <c r="AR286" i="29" s="1"/>
  <c r="AP117" i="29"/>
  <c r="AQ117" i="29" s="1"/>
  <c r="AR117" i="29" s="1"/>
  <c r="AP99" i="29"/>
  <c r="AQ99" i="29" s="1"/>
  <c r="AR99" i="29" s="1"/>
  <c r="D55" i="29"/>
  <c r="D56" i="29" s="1"/>
  <c r="D57" i="29" s="1"/>
  <c r="AP191" i="29"/>
  <c r="AQ191" i="29" s="1"/>
  <c r="AR191" i="29" s="1"/>
  <c r="AP412" i="29"/>
  <c r="AQ412" i="29" s="1"/>
  <c r="AR412" i="29" s="1"/>
  <c r="AP525" i="29"/>
  <c r="AQ525" i="29" s="1"/>
  <c r="AR525" i="29" s="1"/>
  <c r="AP143" i="29"/>
  <c r="AQ143" i="29" s="1"/>
  <c r="AR143" i="29" s="1"/>
  <c r="AT195" i="25"/>
  <c r="AY195" i="25" s="1"/>
  <c r="AU195" i="25"/>
  <c r="AT160" i="25"/>
  <c r="AY160" i="25" s="1"/>
  <c r="AU160" i="25"/>
  <c r="AT227" i="25"/>
  <c r="AU227" i="25"/>
  <c r="BY292" i="24"/>
  <c r="CA292" i="24" s="1"/>
  <c r="BM292" i="24"/>
  <c r="BN292" i="24" s="1"/>
  <c r="BE254" i="24"/>
  <c r="BT254" i="24" s="1"/>
  <c r="BD254" i="24"/>
  <c r="AY254" i="24"/>
  <c r="AZ254" i="24" s="1"/>
  <c r="BD37" i="24"/>
  <c r="AY37" i="24"/>
  <c r="AZ37" i="24" s="1"/>
  <c r="BE37" i="24"/>
  <c r="BT37" i="24" s="1"/>
  <c r="BB275" i="25"/>
  <c r="BS275" i="25" s="1"/>
  <c r="BC275" i="25"/>
  <c r="BT275" i="25" s="1"/>
  <c r="BA275" i="25"/>
  <c r="BE245" i="24"/>
  <c r="BT245" i="24" s="1"/>
  <c r="AY245" i="24"/>
  <c r="AZ245" i="24" s="1"/>
  <c r="BD245" i="24"/>
  <c r="AT16" i="25"/>
  <c r="AY16" i="25" s="1"/>
  <c r="AU16" i="25"/>
  <c r="BB232" i="25"/>
  <c r="BS232" i="25" s="1"/>
  <c r="BC232" i="25"/>
  <c r="BT232" i="25" s="1"/>
  <c r="BA232" i="25"/>
  <c r="AT119" i="25"/>
  <c r="AY119" i="25" s="1"/>
  <c r="AU119" i="25"/>
  <c r="BE220" i="24"/>
  <c r="BT220" i="24" s="1"/>
  <c r="AY220" i="24"/>
  <c r="AZ220" i="24" s="1"/>
  <c r="BD220" i="24"/>
  <c r="BS19" i="24"/>
  <c r="BG19" i="24"/>
  <c r="BM19" i="24" s="1"/>
  <c r="AT304" i="25"/>
  <c r="AU304" i="25"/>
  <c r="AT299" i="25"/>
  <c r="AU299" i="25"/>
  <c r="AT182" i="25"/>
  <c r="AY182" i="25" s="1"/>
  <c r="AU182" i="25"/>
  <c r="BC261" i="25"/>
  <c r="BT261" i="25" s="1"/>
  <c r="BB261" i="25"/>
  <c r="BS261" i="25" s="1"/>
  <c r="BA261" i="25"/>
  <c r="AT281" i="25"/>
  <c r="AU281" i="25"/>
  <c r="AT185" i="25"/>
  <c r="AY185" i="25" s="1"/>
  <c r="AU185" i="25"/>
  <c r="BC179" i="25"/>
  <c r="BT179" i="25" s="1"/>
  <c r="BA179" i="25"/>
  <c r="BB179" i="25"/>
  <c r="BS179" i="25" s="1"/>
  <c r="AY146" i="24"/>
  <c r="AZ146" i="24" s="1"/>
  <c r="BE146" i="24"/>
  <c r="BT146" i="24" s="1"/>
  <c r="BD146" i="24"/>
  <c r="BB6" i="25"/>
  <c r="BS6" i="25" s="1"/>
  <c r="BA6" i="25"/>
  <c r="BC6" i="25"/>
  <c r="BT6" i="25" s="1"/>
  <c r="BE163" i="24"/>
  <c r="BT163" i="24" s="1"/>
  <c r="BD163" i="24"/>
  <c r="AY163" i="24"/>
  <c r="AZ163" i="24" s="1"/>
  <c r="BD13" i="24"/>
  <c r="AY13" i="24"/>
  <c r="AZ13" i="24" s="1"/>
  <c r="BE13" i="24"/>
  <c r="BT13" i="24" s="1"/>
  <c r="BE124" i="24"/>
  <c r="BT124" i="24" s="1"/>
  <c r="BD124" i="24"/>
  <c r="AY124" i="24"/>
  <c r="AZ124" i="24" s="1"/>
  <c r="BE315" i="24"/>
  <c r="BT315" i="24" s="1"/>
  <c r="BD315" i="24"/>
  <c r="AY315" i="24"/>
  <c r="AZ315" i="24" s="1"/>
  <c r="BB243" i="25"/>
  <c r="BS243" i="25" s="1"/>
  <c r="BA243" i="25"/>
  <c r="BC243" i="25"/>
  <c r="BT243" i="25" s="1"/>
  <c r="BE94" i="24"/>
  <c r="BT94" i="24" s="1"/>
  <c r="AY94" i="24"/>
  <c r="AZ94" i="24" s="1"/>
  <c r="BD94" i="24"/>
  <c r="BD59" i="24"/>
  <c r="BE59" i="24"/>
  <c r="BT59" i="24" s="1"/>
  <c r="AY59" i="24"/>
  <c r="AZ59" i="24" s="1"/>
  <c r="BE150" i="24"/>
  <c r="BT150" i="24" s="1"/>
  <c r="BD150" i="24"/>
  <c r="AY150" i="24"/>
  <c r="AZ150" i="24" s="1"/>
  <c r="AT54" i="25"/>
  <c r="AY54" i="25" s="1"/>
  <c r="AU54" i="25"/>
  <c r="BE60" i="24"/>
  <c r="BT60" i="24" s="1"/>
  <c r="BD60" i="24"/>
  <c r="AY60" i="24"/>
  <c r="AZ60" i="24" s="1"/>
  <c r="AT196" i="25"/>
  <c r="AY196" i="25" s="1"/>
  <c r="AU196" i="25"/>
  <c r="BD227" i="24"/>
  <c r="AY227" i="24"/>
  <c r="AZ227" i="24" s="1"/>
  <c r="BE227" i="24"/>
  <c r="BT227" i="24" s="1"/>
  <c r="BD281" i="24"/>
  <c r="AY281" i="24"/>
  <c r="AZ281" i="24" s="1"/>
  <c r="BE281" i="24"/>
  <c r="BT281" i="24" s="1"/>
  <c r="BD167" i="24"/>
  <c r="BE167" i="24"/>
  <c r="BT167" i="24" s="1"/>
  <c r="AY167" i="24"/>
  <c r="AZ167" i="24" s="1"/>
  <c r="BG152" i="24"/>
  <c r="AT301" i="25"/>
  <c r="AU301" i="25"/>
  <c r="BE267" i="24"/>
  <c r="BT267" i="24" s="1"/>
  <c r="BD267" i="24"/>
  <c r="AY267" i="24"/>
  <c r="AZ267" i="24" s="1"/>
  <c r="BD134" i="24"/>
  <c r="AY134" i="24"/>
  <c r="AZ134" i="24" s="1"/>
  <c r="BE134" i="24"/>
  <c r="BT134" i="24" s="1"/>
  <c r="BE307" i="24"/>
  <c r="BT307" i="24" s="1"/>
  <c r="BD307" i="24"/>
  <c r="AY307" i="24"/>
  <c r="AZ307" i="24" s="1"/>
  <c r="AY210" i="24"/>
  <c r="AZ210" i="24" s="1"/>
  <c r="BD210" i="24"/>
  <c r="BE210" i="24"/>
  <c r="BT210" i="24" s="1"/>
  <c r="AT311" i="25"/>
  <c r="AU311" i="25"/>
  <c r="AT135" i="25"/>
  <c r="AY135" i="25" s="1"/>
  <c r="AU135" i="25"/>
  <c r="BE272" i="24"/>
  <c r="BT272" i="24" s="1"/>
  <c r="BD272" i="24"/>
  <c r="AY272" i="24"/>
  <c r="AZ272" i="24" s="1"/>
  <c r="BD96" i="24"/>
  <c r="BE96" i="24"/>
  <c r="BT96" i="24" s="1"/>
  <c r="AY96" i="24"/>
  <c r="AZ96" i="24" s="1"/>
  <c r="AY244" i="24"/>
  <c r="AZ244" i="24" s="1"/>
  <c r="BE244" i="24"/>
  <c r="BT244" i="24" s="1"/>
  <c r="BD244" i="24"/>
  <c r="BD297" i="24"/>
  <c r="AY297" i="24"/>
  <c r="AZ297" i="24" s="1"/>
  <c r="BE297" i="24"/>
  <c r="BT297" i="24" s="1"/>
  <c r="BE115" i="24"/>
  <c r="BT115" i="24" s="1"/>
  <c r="BD115" i="24"/>
  <c r="AY115" i="24"/>
  <c r="AZ115" i="24" s="1"/>
  <c r="AT164" i="25"/>
  <c r="AY164" i="25" s="1"/>
  <c r="AU164" i="25"/>
  <c r="AY231" i="24"/>
  <c r="AZ231" i="24" s="1"/>
  <c r="BD231" i="24"/>
  <c r="BE231" i="24"/>
  <c r="BT231" i="24" s="1"/>
  <c r="AY314" i="24"/>
  <c r="AZ314" i="24" s="1"/>
  <c r="BD314" i="24"/>
  <c r="BE314" i="24"/>
  <c r="BT314" i="24" s="1"/>
  <c r="BE303" i="24"/>
  <c r="BT303" i="24" s="1"/>
  <c r="BD303" i="24"/>
  <c r="AY303" i="24"/>
  <c r="AZ303" i="24" s="1"/>
  <c r="AY95" i="24"/>
  <c r="AZ95" i="24" s="1"/>
  <c r="BE95" i="24"/>
  <c r="BT95" i="24" s="1"/>
  <c r="BD95" i="24"/>
  <c r="AT103" i="25"/>
  <c r="AY103" i="25" s="1"/>
  <c r="AU103" i="25"/>
  <c r="AY11" i="24"/>
  <c r="AZ11" i="24" s="1"/>
  <c r="BE11" i="24"/>
  <c r="BT11" i="24" s="1"/>
  <c r="BD11" i="24"/>
  <c r="AT127" i="25"/>
  <c r="AY127" i="25" s="1"/>
  <c r="AU127" i="25"/>
  <c r="BA59" i="25"/>
  <c r="BC59" i="25"/>
  <c r="BT59" i="25" s="1"/>
  <c r="BB59" i="25"/>
  <c r="BS59" i="25" s="1"/>
  <c r="BG21" i="24"/>
  <c r="BM21" i="24" s="1"/>
  <c r="BS21" i="24"/>
  <c r="BV21" i="24" s="1"/>
  <c r="BX21" i="24" s="1"/>
  <c r="AT242" i="25"/>
  <c r="AU242" i="25"/>
  <c r="BE39" i="24"/>
  <c r="BT39" i="24" s="1"/>
  <c r="AY39" i="24"/>
  <c r="AZ39" i="24" s="1"/>
  <c r="BD39" i="24"/>
  <c r="AT153" i="25"/>
  <c r="AY153" i="25" s="1"/>
  <c r="AU153" i="25"/>
  <c r="AT233" i="25"/>
  <c r="AU233" i="25"/>
  <c r="AT218" i="25"/>
  <c r="AU218" i="25"/>
  <c r="BA62" i="25"/>
  <c r="BC62" i="25"/>
  <c r="BT62" i="25" s="1"/>
  <c r="BB62" i="25"/>
  <c r="BS62" i="25" s="1"/>
  <c r="AT93" i="25"/>
  <c r="AY93" i="25" s="1"/>
  <c r="AU93" i="25"/>
  <c r="BS41" i="24"/>
  <c r="BV41" i="24" s="1"/>
  <c r="BX41" i="24" s="1"/>
  <c r="BG41" i="24"/>
  <c r="BM41" i="24" s="1"/>
  <c r="BE262" i="24"/>
  <c r="BT262" i="24" s="1"/>
  <c r="BD262" i="24"/>
  <c r="AY262" i="24"/>
  <c r="AZ262" i="24" s="1"/>
  <c r="BG135" i="24"/>
  <c r="BS135" i="24"/>
  <c r="AT49" i="25"/>
  <c r="AY49" i="25" s="1"/>
  <c r="AU49" i="25"/>
  <c r="AT285" i="25"/>
  <c r="AU285" i="25"/>
  <c r="BD186" i="24"/>
  <c r="AY186" i="24"/>
  <c r="AZ186" i="24" s="1"/>
  <c r="BE186" i="24"/>
  <c r="BT186" i="24" s="1"/>
  <c r="AT300" i="25"/>
  <c r="AU300" i="25"/>
  <c r="AT263" i="25"/>
  <c r="AU263" i="25"/>
  <c r="AT310" i="25"/>
  <c r="AU310" i="25"/>
  <c r="AT274" i="25"/>
  <c r="AU274" i="25"/>
  <c r="BD78" i="24"/>
  <c r="AY78" i="24"/>
  <c r="AZ78" i="24" s="1"/>
  <c r="BE78" i="24"/>
  <c r="BT78" i="24" s="1"/>
  <c r="AY36" i="24"/>
  <c r="AZ36" i="24" s="1"/>
  <c r="BD36" i="24"/>
  <c r="BE36" i="24"/>
  <c r="BT36" i="24" s="1"/>
  <c r="AY225" i="24"/>
  <c r="AZ225" i="24" s="1"/>
  <c r="BD225" i="24"/>
  <c r="BE225" i="24"/>
  <c r="BT225" i="24" s="1"/>
  <c r="BC114" i="25"/>
  <c r="BT114" i="25" s="1"/>
  <c r="BB114" i="25"/>
  <c r="BS114" i="25" s="1"/>
  <c r="BA114" i="25"/>
  <c r="BD92" i="24"/>
  <c r="AY92" i="24"/>
  <c r="AZ92" i="24" s="1"/>
  <c r="BE92" i="24"/>
  <c r="BT92" i="24" s="1"/>
  <c r="BA280" i="25"/>
  <c r="BC280" i="25"/>
  <c r="BT280" i="25" s="1"/>
  <c r="BB280" i="25"/>
  <c r="BS280" i="25" s="1"/>
  <c r="AT249" i="25"/>
  <c r="AU249" i="25"/>
  <c r="AT18" i="25"/>
  <c r="AY18" i="25" s="1"/>
  <c r="AU18" i="25"/>
  <c r="BB273" i="25"/>
  <c r="BS273" i="25" s="1"/>
  <c r="BA273" i="25"/>
  <c r="BC273" i="25"/>
  <c r="BT273" i="25" s="1"/>
  <c r="BD277" i="24"/>
  <c r="BE277" i="24"/>
  <c r="BT277" i="24" s="1"/>
  <c r="AY277" i="24"/>
  <c r="AZ277" i="24" s="1"/>
  <c r="AT210" i="25"/>
  <c r="AY210" i="25" s="1"/>
  <c r="AU210" i="25"/>
  <c r="BE68" i="24"/>
  <c r="BT68" i="24" s="1"/>
  <c r="BD68" i="24"/>
  <c r="AY68" i="24"/>
  <c r="AZ68" i="24" s="1"/>
  <c r="AY287" i="24"/>
  <c r="AZ287" i="24" s="1"/>
  <c r="BD287" i="24"/>
  <c r="BE287" i="24"/>
  <c r="BT287" i="24" s="1"/>
  <c r="BE312" i="24"/>
  <c r="BT312" i="24" s="1"/>
  <c r="BD312" i="24"/>
  <c r="AY312" i="24"/>
  <c r="AZ312" i="24" s="1"/>
  <c r="BC293" i="25"/>
  <c r="BT293" i="25" s="1"/>
  <c r="BA293" i="25"/>
  <c r="BB293" i="25"/>
  <c r="BS293" i="25" s="1"/>
  <c r="AT254" i="25"/>
  <c r="AU254" i="25"/>
  <c r="AT39" i="25"/>
  <c r="AY39" i="25" s="1"/>
  <c r="AU39" i="25"/>
  <c r="BC229" i="25"/>
  <c r="BT229" i="25" s="1"/>
  <c r="BB229" i="25"/>
  <c r="BS229" i="25" s="1"/>
  <c r="BA229" i="25"/>
  <c r="BD221" i="24"/>
  <c r="AY221" i="24"/>
  <c r="AZ221" i="24" s="1"/>
  <c r="BE221" i="24"/>
  <c r="BT221" i="24" s="1"/>
  <c r="AT156" i="25"/>
  <c r="AY156" i="25" s="1"/>
  <c r="AU156" i="25"/>
  <c r="BA255" i="25"/>
  <c r="BB255" i="25"/>
  <c r="BS255" i="25" s="1"/>
  <c r="BC255" i="25"/>
  <c r="BT255" i="25" s="1"/>
  <c r="AT316" i="25"/>
  <c r="AU316" i="25"/>
  <c r="AT172" i="25"/>
  <c r="AY172" i="25" s="1"/>
  <c r="AU172" i="25"/>
  <c r="BA306" i="25"/>
  <c r="BC306" i="25"/>
  <c r="BT306" i="25" s="1"/>
  <c r="BB306" i="25"/>
  <c r="BS306" i="25" s="1"/>
  <c r="AT99" i="25"/>
  <c r="AY99" i="25" s="1"/>
  <c r="AU99" i="25"/>
  <c r="BB87" i="25"/>
  <c r="BS87" i="25" s="1"/>
  <c r="BA87" i="25"/>
  <c r="BC87" i="25"/>
  <c r="BT87" i="25" s="1"/>
  <c r="AT162" i="25"/>
  <c r="AY162" i="25" s="1"/>
  <c r="AU162" i="25"/>
  <c r="AT117" i="25"/>
  <c r="AY117" i="25" s="1"/>
  <c r="AU117" i="25"/>
  <c r="AY125" i="24"/>
  <c r="AZ125" i="24" s="1"/>
  <c r="BD125" i="24"/>
  <c r="BE125" i="24"/>
  <c r="BT125" i="24" s="1"/>
  <c r="BA305" i="25"/>
  <c r="BC305" i="25"/>
  <c r="BT305" i="25" s="1"/>
  <c r="BB305" i="25"/>
  <c r="BS305" i="25" s="1"/>
  <c r="AT88" i="25"/>
  <c r="AY88" i="25" s="1"/>
  <c r="AU88" i="25"/>
  <c r="AT226" i="25"/>
  <c r="AU226" i="25"/>
  <c r="BE84" i="24"/>
  <c r="BT84" i="24" s="1"/>
  <c r="BD84" i="24"/>
  <c r="AY84" i="24"/>
  <c r="AZ84" i="24" s="1"/>
  <c r="BE80" i="24"/>
  <c r="BT80" i="24" s="1"/>
  <c r="BD80" i="24"/>
  <c r="AY80" i="24"/>
  <c r="AZ80" i="24" s="1"/>
  <c r="AT25" i="25"/>
  <c r="AY25" i="25" s="1"/>
  <c r="AU25" i="25"/>
  <c r="BC246" i="25"/>
  <c r="BT246" i="25" s="1"/>
  <c r="BA246" i="25"/>
  <c r="BB246" i="25"/>
  <c r="BS246" i="25" s="1"/>
  <c r="AT290" i="25"/>
  <c r="AU290" i="25"/>
  <c r="BC262" i="25"/>
  <c r="BT262" i="25" s="1"/>
  <c r="BB262" i="25"/>
  <c r="BS262" i="25" s="1"/>
  <c r="BA262" i="25"/>
  <c r="AT169" i="25"/>
  <c r="AY169" i="25" s="1"/>
  <c r="AU169" i="25"/>
  <c r="AY291" i="24"/>
  <c r="AZ291" i="24" s="1"/>
  <c r="BE291" i="24"/>
  <c r="BT291" i="24" s="1"/>
  <c r="BD291" i="24"/>
  <c r="AT260" i="25"/>
  <c r="AU260" i="25"/>
  <c r="AY102" i="24"/>
  <c r="AZ102" i="24" s="1"/>
  <c r="BD102" i="24"/>
  <c r="BE102" i="24"/>
  <c r="BT102" i="24" s="1"/>
  <c r="BE223" i="24"/>
  <c r="BT223" i="24" s="1"/>
  <c r="AY223" i="24"/>
  <c r="AZ223" i="24" s="1"/>
  <c r="BD223" i="24"/>
  <c r="AT52" i="25"/>
  <c r="AY52" i="25" s="1"/>
  <c r="AU52" i="25"/>
  <c r="BE141" i="24"/>
  <c r="BT141" i="24" s="1"/>
  <c r="AY141" i="24"/>
  <c r="AZ141" i="24" s="1"/>
  <c r="BD141" i="24"/>
  <c r="BD251" i="24"/>
  <c r="BE251" i="24"/>
  <c r="BT251" i="24" s="1"/>
  <c r="AY251" i="24"/>
  <c r="AZ251" i="24" s="1"/>
  <c r="BA186" i="25"/>
  <c r="BC186" i="25"/>
  <c r="BT186" i="25" s="1"/>
  <c r="BB186" i="25"/>
  <c r="BS186" i="25" s="1"/>
  <c r="AT120" i="25"/>
  <c r="AY120" i="25" s="1"/>
  <c r="AU120" i="25"/>
  <c r="BD302" i="24"/>
  <c r="AY302" i="24"/>
  <c r="AZ302" i="24" s="1"/>
  <c r="BE302" i="24"/>
  <c r="BT302" i="24" s="1"/>
  <c r="AT219" i="25"/>
  <c r="AU219" i="25"/>
  <c r="AT217" i="25"/>
  <c r="AU217" i="25"/>
  <c r="AT209" i="25"/>
  <c r="AY209" i="25" s="1"/>
  <c r="AU209" i="25"/>
  <c r="BD127" i="24"/>
  <c r="AY127" i="24"/>
  <c r="AZ127" i="24" s="1"/>
  <c r="BE127" i="24"/>
  <c r="BT127" i="24" s="1"/>
  <c r="BB170" i="25"/>
  <c r="BS170" i="25" s="1"/>
  <c r="BA170" i="25"/>
  <c r="BC170" i="25"/>
  <c r="BT170" i="25" s="1"/>
  <c r="AT63" i="25"/>
  <c r="AY63" i="25" s="1"/>
  <c r="AU63" i="25"/>
  <c r="BE207" i="24"/>
  <c r="BT207" i="24" s="1"/>
  <c r="BD207" i="24"/>
  <c r="AY207" i="24"/>
  <c r="AZ207" i="24" s="1"/>
  <c r="AT79" i="25"/>
  <c r="AY79" i="25" s="1"/>
  <c r="AU79" i="25"/>
  <c r="AT146" i="25"/>
  <c r="AY146" i="25" s="1"/>
  <c r="AU146" i="25"/>
  <c r="BB206" i="25"/>
  <c r="BS206" i="25" s="1"/>
  <c r="BA206" i="25"/>
  <c r="BC206" i="25"/>
  <c r="BT206" i="25" s="1"/>
  <c r="AT137" i="25"/>
  <c r="AY137" i="25" s="1"/>
  <c r="AU137" i="25"/>
  <c r="AY173" i="24"/>
  <c r="AZ173" i="24" s="1"/>
  <c r="BE173" i="24"/>
  <c r="BT173" i="24" s="1"/>
  <c r="BD173" i="24"/>
  <c r="AT159" i="25"/>
  <c r="AY159" i="25" s="1"/>
  <c r="AU159" i="25"/>
  <c r="AT10" i="25"/>
  <c r="AY10" i="25" s="1"/>
  <c r="AU10" i="25"/>
  <c r="AY49" i="24"/>
  <c r="AZ49" i="24" s="1"/>
  <c r="BD49" i="24"/>
  <c r="BE49" i="24"/>
  <c r="BT49" i="24" s="1"/>
  <c r="AT121" i="25"/>
  <c r="AY121" i="25" s="1"/>
  <c r="AU121" i="25"/>
  <c r="BD77" i="24"/>
  <c r="BE77" i="24"/>
  <c r="BT77" i="24" s="1"/>
  <c r="AY77" i="24"/>
  <c r="AZ77" i="24" s="1"/>
  <c r="BS6" i="24"/>
  <c r="BG6" i="24"/>
  <c r="BM6" i="24" s="1"/>
  <c r="AY196" i="24"/>
  <c r="AZ196" i="24" s="1"/>
  <c r="BD196" i="24"/>
  <c r="BE196" i="24"/>
  <c r="BT196" i="24" s="1"/>
  <c r="BA178" i="25"/>
  <c r="BB178" i="25"/>
  <c r="BS178" i="25" s="1"/>
  <c r="BC178" i="25"/>
  <c r="BT178" i="25" s="1"/>
  <c r="AT141" i="25"/>
  <c r="AY141" i="25" s="1"/>
  <c r="AU141" i="25"/>
  <c r="BA34" i="25"/>
  <c r="BC34" i="25"/>
  <c r="BT34" i="25" s="1"/>
  <c r="BB34" i="25"/>
  <c r="BS34" i="25" s="1"/>
  <c r="BE67" i="24"/>
  <c r="BT67" i="24" s="1"/>
  <c r="BD67" i="24"/>
  <c r="AY67" i="24"/>
  <c r="AZ67" i="24" s="1"/>
  <c r="AT253" i="25"/>
  <c r="AU253" i="25"/>
  <c r="AY88" i="24"/>
  <c r="AZ88" i="24" s="1"/>
  <c r="BE88" i="24"/>
  <c r="BT88" i="24" s="1"/>
  <c r="BD88" i="24"/>
  <c r="BB89" i="25"/>
  <c r="BS89" i="25" s="1"/>
  <c r="BA89" i="25"/>
  <c r="BC89" i="25"/>
  <c r="BT89" i="25" s="1"/>
  <c r="AT294" i="25"/>
  <c r="AU294" i="25"/>
  <c r="BS248" i="24"/>
  <c r="BG248" i="24"/>
  <c r="AT40" i="25"/>
  <c r="AY40" i="25" s="1"/>
  <c r="AU40" i="25"/>
  <c r="BA291" i="25"/>
  <c r="BC291" i="25"/>
  <c r="BT291" i="25" s="1"/>
  <c r="BB291" i="25"/>
  <c r="BS291" i="25" s="1"/>
  <c r="AT9" i="25"/>
  <c r="AY9" i="25" s="1"/>
  <c r="AU9" i="25"/>
  <c r="AT24" i="25"/>
  <c r="AY24" i="25" s="1"/>
  <c r="AU24" i="25"/>
  <c r="BE235" i="24"/>
  <c r="BT235" i="24" s="1"/>
  <c r="BD235" i="24"/>
  <c r="AY235" i="24"/>
  <c r="AZ235" i="24" s="1"/>
  <c r="BE241" i="24"/>
  <c r="BT241" i="24" s="1"/>
  <c r="AY241" i="24"/>
  <c r="AZ241" i="24" s="1"/>
  <c r="BD241" i="24"/>
  <c r="BE74" i="24"/>
  <c r="BT74" i="24" s="1"/>
  <c r="BD74" i="24"/>
  <c r="AY74" i="24"/>
  <c r="AZ74" i="24" s="1"/>
  <c r="BA97" i="25"/>
  <c r="BC97" i="25"/>
  <c r="BT97" i="25" s="1"/>
  <c r="BB97" i="25"/>
  <c r="BS97" i="25" s="1"/>
  <c r="BD261" i="24"/>
  <c r="AY261" i="24"/>
  <c r="AZ261" i="24" s="1"/>
  <c r="BE261" i="24"/>
  <c r="BT261" i="24" s="1"/>
  <c r="BE116" i="24"/>
  <c r="BT116" i="24" s="1"/>
  <c r="BD116" i="24"/>
  <c r="AY116" i="24"/>
  <c r="AZ116" i="24" s="1"/>
  <c r="AT222" i="25"/>
  <c r="AU222" i="25"/>
  <c r="BA238" i="25"/>
  <c r="BC238" i="25"/>
  <c r="BT238" i="25" s="1"/>
  <c r="BB238" i="25"/>
  <c r="BS238" i="25" s="1"/>
  <c r="BD164" i="24"/>
  <c r="BE164" i="24"/>
  <c r="BT164" i="24" s="1"/>
  <c r="AY164" i="24"/>
  <c r="AZ164" i="24" s="1"/>
  <c r="AT53" i="25"/>
  <c r="AY53" i="25" s="1"/>
  <c r="AU53" i="25"/>
  <c r="AT22" i="25"/>
  <c r="AY22" i="25" s="1"/>
  <c r="AU22" i="25"/>
  <c r="AT231" i="25"/>
  <c r="AU231" i="25"/>
  <c r="AT90" i="25"/>
  <c r="AY90" i="25" s="1"/>
  <c r="AU90" i="25"/>
  <c r="BE98" i="24"/>
  <c r="BT98" i="24" s="1"/>
  <c r="BD98" i="24"/>
  <c r="AY98" i="24"/>
  <c r="AZ98" i="24" s="1"/>
  <c r="BD69" i="24"/>
  <c r="AY69" i="24"/>
  <c r="AZ69" i="24" s="1"/>
  <c r="BE69" i="24"/>
  <c r="BT69" i="24" s="1"/>
  <c r="BC94" i="25"/>
  <c r="BT94" i="25" s="1"/>
  <c r="BB94" i="25"/>
  <c r="BS94" i="25" s="1"/>
  <c r="BA94" i="25"/>
  <c r="AY149" i="24"/>
  <c r="AZ149" i="24" s="1"/>
  <c r="BD149" i="24"/>
  <c r="BE149" i="24"/>
  <c r="BT149" i="24" s="1"/>
  <c r="AY64" i="24"/>
  <c r="AZ64" i="24" s="1"/>
  <c r="BE64" i="24"/>
  <c r="BT64" i="24" s="1"/>
  <c r="BD64" i="24"/>
  <c r="AY82" i="24"/>
  <c r="AZ82" i="24" s="1"/>
  <c r="BD82" i="24"/>
  <c r="BE82" i="24"/>
  <c r="BT82" i="24" s="1"/>
  <c r="AY180" i="24"/>
  <c r="AZ180" i="24" s="1"/>
  <c r="BD180" i="24"/>
  <c r="BE180" i="24"/>
  <c r="BT180" i="24" s="1"/>
  <c r="BA167" i="25"/>
  <c r="BC167" i="25"/>
  <c r="BT167" i="25" s="1"/>
  <c r="BB167" i="25"/>
  <c r="BS167" i="25" s="1"/>
  <c r="BG264" i="24"/>
  <c r="BS264" i="24"/>
  <c r="BX264" i="24" s="1"/>
  <c r="BE308" i="24"/>
  <c r="BT308" i="24" s="1"/>
  <c r="AY308" i="24"/>
  <c r="AZ308" i="24" s="1"/>
  <c r="BD308" i="24"/>
  <c r="AT203" i="25"/>
  <c r="AY203" i="25" s="1"/>
  <c r="AU203" i="25"/>
  <c r="BE200" i="24"/>
  <c r="BT200" i="24" s="1"/>
  <c r="AY200" i="24"/>
  <c r="AZ200" i="24" s="1"/>
  <c r="BD200" i="24"/>
  <c r="AT221" i="25"/>
  <c r="AU221" i="25"/>
  <c r="BD170" i="24"/>
  <c r="BE170" i="24"/>
  <c r="BT170" i="24" s="1"/>
  <c r="AY170" i="24"/>
  <c r="AZ170" i="24" s="1"/>
  <c r="BE23" i="24"/>
  <c r="BT23" i="24" s="1"/>
  <c r="BD23" i="24"/>
  <c r="AY23" i="24"/>
  <c r="AZ23" i="24" s="1"/>
  <c r="AY155" i="24"/>
  <c r="AZ155" i="24" s="1"/>
  <c r="BD155" i="24"/>
  <c r="BE155" i="24"/>
  <c r="BT155" i="24" s="1"/>
  <c r="AT116" i="25"/>
  <c r="AY116" i="25" s="1"/>
  <c r="AU116" i="25"/>
  <c r="AT74" i="25"/>
  <c r="AY74" i="25" s="1"/>
  <c r="AU74" i="25"/>
  <c r="AT47" i="25"/>
  <c r="AY47" i="25" s="1"/>
  <c r="AU47" i="25"/>
  <c r="AT298" i="25"/>
  <c r="AU298" i="25"/>
  <c r="BD81" i="24"/>
  <c r="AY81" i="24"/>
  <c r="AZ81" i="24" s="1"/>
  <c r="BE81" i="24"/>
  <c r="BT81" i="24" s="1"/>
  <c r="BB155" i="25"/>
  <c r="BS155" i="25" s="1"/>
  <c r="BC155" i="25"/>
  <c r="BT155" i="25" s="1"/>
  <c r="BA155" i="25"/>
  <c r="AT142" i="25"/>
  <c r="AY142" i="25" s="1"/>
  <c r="AU142" i="25"/>
  <c r="BD43" i="24"/>
  <c r="BE43" i="24"/>
  <c r="BT43" i="24" s="1"/>
  <c r="AY43" i="24"/>
  <c r="AZ43" i="24" s="1"/>
  <c r="BD199" i="24"/>
  <c r="BE199" i="24"/>
  <c r="BT199" i="24" s="1"/>
  <c r="AY199" i="24"/>
  <c r="AZ199" i="24" s="1"/>
  <c r="AY178" i="24"/>
  <c r="AZ178" i="24" s="1"/>
  <c r="BE178" i="24"/>
  <c r="BT178" i="24" s="1"/>
  <c r="BD178" i="24"/>
  <c r="AT132" i="25"/>
  <c r="AY132" i="25" s="1"/>
  <c r="AU132" i="25"/>
  <c r="BA14" i="25"/>
  <c r="BC14" i="25"/>
  <c r="BT14" i="25" s="1"/>
  <c r="BB14" i="25"/>
  <c r="BS14" i="25" s="1"/>
  <c r="AT45" i="25"/>
  <c r="AY45" i="25" s="1"/>
  <c r="AU45" i="25"/>
  <c r="BA192" i="25"/>
  <c r="BC192" i="25"/>
  <c r="BT192" i="25" s="1"/>
  <c r="BB192" i="25"/>
  <c r="BS192" i="25" s="1"/>
  <c r="BC283" i="25"/>
  <c r="BT283" i="25" s="1"/>
  <c r="BA283" i="25"/>
  <c r="BB283" i="25"/>
  <c r="BS283" i="25" s="1"/>
  <c r="BE9" i="24"/>
  <c r="BT9" i="24" s="1"/>
  <c r="AY9" i="24"/>
  <c r="AZ9" i="24" s="1"/>
  <c r="BD9" i="24"/>
  <c r="AT84" i="25"/>
  <c r="AY84" i="25" s="1"/>
  <c r="AU84" i="25"/>
  <c r="BB204" i="25"/>
  <c r="BS204" i="25" s="1"/>
  <c r="BA204" i="25"/>
  <c r="BC204" i="25"/>
  <c r="BT204" i="25" s="1"/>
  <c r="BE194" i="24"/>
  <c r="BT194" i="24" s="1"/>
  <c r="BD194" i="24"/>
  <c r="AY194" i="24"/>
  <c r="AZ194" i="24" s="1"/>
  <c r="AT234" i="25"/>
  <c r="AU234" i="25"/>
  <c r="BE229" i="24"/>
  <c r="BT229" i="24" s="1"/>
  <c r="BD229" i="24"/>
  <c r="AY229" i="24"/>
  <c r="AZ229" i="24" s="1"/>
  <c r="AY201" i="24"/>
  <c r="AZ201" i="24" s="1"/>
  <c r="BE201" i="24"/>
  <c r="BT201" i="24" s="1"/>
  <c r="BD201" i="24"/>
  <c r="BG191" i="24"/>
  <c r="BS191" i="24"/>
  <c r="BX191" i="24" s="1"/>
  <c r="AT83" i="25"/>
  <c r="AY83" i="25" s="1"/>
  <c r="AU83" i="25"/>
  <c r="BE42" i="24"/>
  <c r="BT42" i="24" s="1"/>
  <c r="AY42" i="24"/>
  <c r="AZ42" i="24" s="1"/>
  <c r="BD42" i="24"/>
  <c r="BE139" i="24"/>
  <c r="BT139" i="24" s="1"/>
  <c r="BD139" i="24"/>
  <c r="AY139" i="24"/>
  <c r="AZ139" i="24" s="1"/>
  <c r="AT35" i="25"/>
  <c r="AY35" i="25" s="1"/>
  <c r="AU35" i="25"/>
  <c r="AY278" i="24"/>
  <c r="AZ278" i="24" s="1"/>
  <c r="BE278" i="24"/>
  <c r="BT278" i="24" s="1"/>
  <c r="BD278" i="24"/>
  <c r="AT230" i="25"/>
  <c r="AU230" i="25"/>
  <c r="BE275" i="24"/>
  <c r="BT275" i="24" s="1"/>
  <c r="AY275" i="24"/>
  <c r="AZ275" i="24" s="1"/>
  <c r="BD275" i="24"/>
  <c r="AT236" i="25"/>
  <c r="AU236" i="25"/>
  <c r="AT123" i="25"/>
  <c r="AY123" i="25" s="1"/>
  <c r="AU123" i="25"/>
  <c r="BE126" i="24"/>
  <c r="BT126" i="24" s="1"/>
  <c r="AY126" i="24"/>
  <c r="AZ126" i="24" s="1"/>
  <c r="BD126" i="24"/>
  <c r="BE284" i="24"/>
  <c r="BT284" i="24" s="1"/>
  <c r="AY284" i="24"/>
  <c r="AZ284" i="24" s="1"/>
  <c r="BD284" i="24"/>
  <c r="BD30" i="24"/>
  <c r="AY30" i="24"/>
  <c r="AZ30" i="24" s="1"/>
  <c r="BE30" i="24"/>
  <c r="BT30" i="24" s="1"/>
  <c r="AY114" i="24"/>
  <c r="AZ114" i="24" s="1"/>
  <c r="BE114" i="24"/>
  <c r="BT114" i="24" s="1"/>
  <c r="BD114" i="24"/>
  <c r="AT250" i="25"/>
  <c r="AU250" i="25"/>
  <c r="AT33" i="25"/>
  <c r="AY33" i="25" s="1"/>
  <c r="AU33" i="25"/>
  <c r="BD136" i="24"/>
  <c r="AY136" i="24"/>
  <c r="AZ136" i="24" s="1"/>
  <c r="BE136" i="24"/>
  <c r="BT136" i="24" s="1"/>
  <c r="AT112" i="25"/>
  <c r="AY112" i="25" s="1"/>
  <c r="AU112" i="25"/>
  <c r="BD177" i="24"/>
  <c r="AY177" i="24"/>
  <c r="AZ177" i="24" s="1"/>
  <c r="BE177" i="24"/>
  <c r="BT177" i="24" s="1"/>
  <c r="AT7" i="25"/>
  <c r="AY7" i="25" s="1"/>
  <c r="AU7" i="25"/>
  <c r="AT256" i="25"/>
  <c r="AU256" i="25"/>
  <c r="BA30" i="25"/>
  <c r="BB30" i="25"/>
  <c r="BS30" i="25" s="1"/>
  <c r="BC30" i="25"/>
  <c r="BT30" i="25" s="1"/>
  <c r="BA113" i="25"/>
  <c r="BC113" i="25"/>
  <c r="BT113" i="25" s="1"/>
  <c r="BB113" i="25"/>
  <c r="BS113" i="25" s="1"/>
  <c r="AY203" i="24"/>
  <c r="AZ203" i="24" s="1"/>
  <c r="BD203" i="24"/>
  <c r="BE203" i="24"/>
  <c r="BT203" i="24" s="1"/>
  <c r="AT8" i="25"/>
  <c r="AY8" i="25" s="1"/>
  <c r="AU8" i="25"/>
  <c r="BE63" i="24"/>
  <c r="BT63" i="24" s="1"/>
  <c r="BD63" i="24"/>
  <c r="AY63" i="24"/>
  <c r="AZ63" i="24" s="1"/>
  <c r="AT15" i="25"/>
  <c r="AY15" i="25" s="1"/>
  <c r="AU15" i="25"/>
  <c r="AT239" i="25"/>
  <c r="AU239" i="25"/>
  <c r="BD76" i="24"/>
  <c r="BE76" i="24"/>
  <c r="BT76" i="24" s="1"/>
  <c r="AY76" i="24"/>
  <c r="AZ76" i="24" s="1"/>
  <c r="BG44" i="24"/>
  <c r="BM44" i="24" s="1"/>
  <c r="BS44" i="24"/>
  <c r="BV44" i="24" s="1"/>
  <c r="BX44" i="24" s="1"/>
  <c r="AT70" i="25"/>
  <c r="AY70" i="25" s="1"/>
  <c r="AU70" i="25"/>
  <c r="AT76" i="25"/>
  <c r="AY76" i="25" s="1"/>
  <c r="AU76" i="25"/>
  <c r="BE27" i="24"/>
  <c r="BT27" i="24" s="1"/>
  <c r="AY27" i="24"/>
  <c r="AZ27" i="24" s="1"/>
  <c r="BD27" i="24"/>
  <c r="BD301" i="24"/>
  <c r="BE301" i="24"/>
  <c r="BT301" i="24" s="1"/>
  <c r="AY301" i="24"/>
  <c r="AZ301" i="24" s="1"/>
  <c r="BE17" i="24"/>
  <c r="BT17" i="24" s="1"/>
  <c r="BD17" i="24"/>
  <c r="AY17" i="24"/>
  <c r="AZ17" i="24" s="1"/>
  <c r="BE156" i="24"/>
  <c r="BT156" i="24" s="1"/>
  <c r="BD156" i="24"/>
  <c r="AY156" i="24"/>
  <c r="AZ156" i="24" s="1"/>
  <c r="AY174" i="24"/>
  <c r="AZ174" i="24" s="1"/>
  <c r="BE174" i="24"/>
  <c r="BT174" i="24" s="1"/>
  <c r="BD174" i="24"/>
  <c r="BE290" i="24"/>
  <c r="BT290" i="24" s="1"/>
  <c r="AY290" i="24"/>
  <c r="AZ290" i="24" s="1"/>
  <c r="BD290" i="24"/>
  <c r="AT202" i="25"/>
  <c r="AY202" i="25" s="1"/>
  <c r="AU202" i="25"/>
  <c r="BD131" i="24"/>
  <c r="AY131" i="24"/>
  <c r="AZ131" i="24" s="1"/>
  <c r="BE131" i="24"/>
  <c r="BT131" i="24" s="1"/>
  <c r="AY249" i="24"/>
  <c r="AZ249" i="24" s="1"/>
  <c r="BE249" i="24"/>
  <c r="BT249" i="24" s="1"/>
  <c r="BD249" i="24"/>
  <c r="BD183" i="24"/>
  <c r="AY183" i="24"/>
  <c r="AZ183" i="24" s="1"/>
  <c r="BE183" i="24"/>
  <c r="BT183" i="24" s="1"/>
  <c r="BE35" i="24"/>
  <c r="BT35" i="24" s="1"/>
  <c r="BD35" i="24"/>
  <c r="AY35" i="24"/>
  <c r="AZ35" i="24" s="1"/>
  <c r="BE89" i="24"/>
  <c r="BT89" i="24" s="1"/>
  <c r="BD89" i="24"/>
  <c r="AY89" i="24"/>
  <c r="AZ89" i="24" s="1"/>
  <c r="AT180" i="25"/>
  <c r="AY180" i="25" s="1"/>
  <c r="AU180" i="25"/>
  <c r="BC21" i="25"/>
  <c r="BT21" i="25" s="1"/>
  <c r="BB21" i="25"/>
  <c r="BS21" i="25" s="1"/>
  <c r="BA21" i="25"/>
  <c r="AT223" i="25"/>
  <c r="AU223" i="25"/>
  <c r="BB190" i="25"/>
  <c r="BS190" i="25" s="1"/>
  <c r="BC190" i="25"/>
  <c r="BT190" i="25" s="1"/>
  <c r="BA190" i="25"/>
  <c r="BE268" i="24"/>
  <c r="BT268" i="24" s="1"/>
  <c r="BD268" i="24"/>
  <c r="AY268" i="24"/>
  <c r="AZ268" i="24" s="1"/>
  <c r="AT64" i="25"/>
  <c r="AY64" i="25" s="1"/>
  <c r="AU64" i="25"/>
  <c r="AT200" i="25"/>
  <c r="AY200" i="25" s="1"/>
  <c r="AU200" i="25"/>
  <c r="AT55" i="25"/>
  <c r="AY55" i="25" s="1"/>
  <c r="AU55" i="25"/>
  <c r="AT122" i="25"/>
  <c r="AY122" i="25" s="1"/>
  <c r="AU122" i="25"/>
  <c r="AT73" i="25"/>
  <c r="AY73" i="25" s="1"/>
  <c r="AU73" i="25"/>
  <c r="AY205" i="24"/>
  <c r="AZ205" i="24" s="1"/>
  <c r="BE205" i="24"/>
  <c r="BT205" i="24" s="1"/>
  <c r="BD205" i="24"/>
  <c r="BE309" i="24"/>
  <c r="BT309" i="24" s="1"/>
  <c r="AY309" i="24"/>
  <c r="AZ309" i="24" s="1"/>
  <c r="BD309" i="24"/>
  <c r="AT72" i="25"/>
  <c r="AY72" i="25" s="1"/>
  <c r="AU72" i="25"/>
  <c r="BG259" i="24"/>
  <c r="BS259" i="24"/>
  <c r="BC82" i="25"/>
  <c r="BT82" i="25" s="1"/>
  <c r="BB82" i="25"/>
  <c r="BS82" i="25" s="1"/>
  <c r="BA82" i="25"/>
  <c r="BE193" i="24"/>
  <c r="BT193" i="24" s="1"/>
  <c r="BD193" i="24"/>
  <c r="AY193" i="24"/>
  <c r="AZ193" i="24" s="1"/>
  <c r="AT125" i="25"/>
  <c r="AY125" i="25" s="1"/>
  <c r="AU125" i="25"/>
  <c r="BE65" i="24"/>
  <c r="BT65" i="24" s="1"/>
  <c r="BD65" i="24"/>
  <c r="AY65" i="24"/>
  <c r="AZ65" i="24" s="1"/>
  <c r="AT37" i="25"/>
  <c r="AY37" i="25" s="1"/>
  <c r="AU37" i="25"/>
  <c r="BE110" i="25"/>
  <c r="BR110" i="25"/>
  <c r="BX110" i="25" s="1"/>
  <c r="BD97" i="24"/>
  <c r="BE97" i="24"/>
  <c r="BT97" i="24" s="1"/>
  <c r="AY97" i="24"/>
  <c r="AZ97" i="24" s="1"/>
  <c r="AY243" i="24"/>
  <c r="AZ243" i="24" s="1"/>
  <c r="BD243" i="24"/>
  <c r="BE243" i="24"/>
  <c r="BT243" i="24" s="1"/>
  <c r="BA259" i="25"/>
  <c r="BB259" i="25"/>
  <c r="BS259" i="25" s="1"/>
  <c r="BC259" i="25"/>
  <c r="BT259" i="25" s="1"/>
  <c r="BG294" i="24"/>
  <c r="BS294" i="24"/>
  <c r="BX294" i="24" s="1"/>
  <c r="AT277" i="25"/>
  <c r="AU277" i="25"/>
  <c r="BD87" i="24"/>
  <c r="AY87" i="24"/>
  <c r="AZ87" i="24" s="1"/>
  <c r="BE87" i="24"/>
  <c r="BT87" i="24" s="1"/>
  <c r="AT75" i="25"/>
  <c r="AY75" i="25" s="1"/>
  <c r="AU75" i="25"/>
  <c r="AT268" i="25"/>
  <c r="AU268" i="25"/>
  <c r="AT46" i="25"/>
  <c r="AY46" i="25" s="1"/>
  <c r="AU46" i="25"/>
  <c r="BA161" i="25"/>
  <c r="BC161" i="25"/>
  <c r="BT161" i="25" s="1"/>
  <c r="BB161" i="25"/>
  <c r="BS161" i="25" s="1"/>
  <c r="AT184" i="25"/>
  <c r="AY184" i="25" s="1"/>
  <c r="AU184" i="25"/>
  <c r="AT80" i="25"/>
  <c r="AY80" i="25" s="1"/>
  <c r="AU80" i="25"/>
  <c r="BE46" i="24"/>
  <c r="BT46" i="24" s="1"/>
  <c r="AY46" i="24"/>
  <c r="AZ46" i="24" s="1"/>
  <c r="BD46" i="24"/>
  <c r="BE47" i="24"/>
  <c r="BT47" i="24" s="1"/>
  <c r="BD47" i="24"/>
  <c r="AY47" i="24"/>
  <c r="AZ47" i="24" s="1"/>
  <c r="AT175" i="25"/>
  <c r="AY175" i="25" s="1"/>
  <c r="AU175" i="25"/>
  <c r="BE197" i="24"/>
  <c r="BT197" i="24" s="1"/>
  <c r="BD197" i="24"/>
  <c r="AY197" i="24"/>
  <c r="AZ197" i="24" s="1"/>
  <c r="AY159" i="24"/>
  <c r="AZ159" i="24" s="1"/>
  <c r="BD159" i="24"/>
  <c r="BE159" i="24"/>
  <c r="BT159" i="24" s="1"/>
  <c r="AT56" i="25"/>
  <c r="AY56" i="25" s="1"/>
  <c r="AU56" i="25"/>
  <c r="BC314" i="25"/>
  <c r="BT314" i="25" s="1"/>
  <c r="BB314" i="25"/>
  <c r="BS314" i="25" s="1"/>
  <c r="BA314" i="25"/>
  <c r="AT313" i="25"/>
  <c r="AU313" i="25"/>
  <c r="BE79" i="24"/>
  <c r="BT79" i="24" s="1"/>
  <c r="BD79" i="24"/>
  <c r="AY79" i="24"/>
  <c r="AZ79" i="24" s="1"/>
  <c r="BC13" i="25"/>
  <c r="BT13" i="25" s="1"/>
  <c r="BB13" i="25"/>
  <c r="BS13" i="25" s="1"/>
  <c r="BA13" i="25"/>
  <c r="AY93" i="24"/>
  <c r="AZ93" i="24" s="1"/>
  <c r="BE93" i="24"/>
  <c r="BT93" i="24" s="1"/>
  <c r="BD93" i="24"/>
  <c r="AT23" i="25"/>
  <c r="AY23" i="25" s="1"/>
  <c r="AU23" i="25"/>
  <c r="AT207" i="25"/>
  <c r="AY207" i="25" s="1"/>
  <c r="AU207" i="25"/>
  <c r="BD286" i="24"/>
  <c r="AY286" i="24"/>
  <c r="AZ286" i="24" s="1"/>
  <c r="BE286" i="24"/>
  <c r="BT286" i="24" s="1"/>
  <c r="AT36" i="25"/>
  <c r="AY36" i="25" s="1"/>
  <c r="AU36" i="25"/>
  <c r="AT27" i="25"/>
  <c r="AY27" i="25" s="1"/>
  <c r="AU27" i="25"/>
  <c r="BE52" i="24"/>
  <c r="BT52" i="24" s="1"/>
  <c r="AY52" i="24"/>
  <c r="AZ52" i="24" s="1"/>
  <c r="BD52" i="24"/>
  <c r="AT12" i="25"/>
  <c r="AY12" i="25" s="1"/>
  <c r="AU12" i="25"/>
  <c r="BE181" i="24"/>
  <c r="BT181" i="24" s="1"/>
  <c r="BD181" i="24"/>
  <c r="AY181" i="24"/>
  <c r="AZ181" i="24" s="1"/>
  <c r="AT19" i="25"/>
  <c r="AY19" i="25" s="1"/>
  <c r="AU19" i="25"/>
  <c r="BC148" i="25"/>
  <c r="BT148" i="25" s="1"/>
  <c r="BA148" i="25"/>
  <c r="BB148" i="25"/>
  <c r="BS148" i="25" s="1"/>
  <c r="BD176" i="24"/>
  <c r="AY176" i="24"/>
  <c r="AZ176" i="24" s="1"/>
  <c r="BE176" i="24"/>
  <c r="BT176" i="24" s="1"/>
  <c r="BG101" i="24"/>
  <c r="BM101" i="24" s="1"/>
  <c r="BS101" i="24"/>
  <c r="BV101" i="24" s="1"/>
  <c r="BX101" i="24" s="1"/>
  <c r="BE217" i="24"/>
  <c r="BT217" i="24" s="1"/>
  <c r="BD217" i="24"/>
  <c r="AY217" i="24"/>
  <c r="AZ217" i="24" s="1"/>
  <c r="BD274" i="24"/>
  <c r="AY274" i="24"/>
  <c r="AZ274" i="24" s="1"/>
  <c r="BE274" i="24"/>
  <c r="BT274" i="24" s="1"/>
  <c r="BA174" i="25"/>
  <c r="BB174" i="25"/>
  <c r="BS174" i="25" s="1"/>
  <c r="BC174" i="25"/>
  <c r="BT174" i="25" s="1"/>
  <c r="BD289" i="24"/>
  <c r="AY289" i="24"/>
  <c r="AZ289" i="24" s="1"/>
  <c r="BE289" i="24"/>
  <c r="BT289" i="24" s="1"/>
  <c r="BE86" i="24"/>
  <c r="BT86" i="24" s="1"/>
  <c r="BD86" i="24"/>
  <c r="AY86" i="24"/>
  <c r="AZ86" i="24" s="1"/>
  <c r="AT44" i="25"/>
  <c r="AY44" i="25" s="1"/>
  <c r="AU44" i="25"/>
  <c r="BS7" i="24"/>
  <c r="BV7" i="24" s="1"/>
  <c r="BX7" i="24" s="1"/>
  <c r="BG7" i="24"/>
  <c r="BM7" i="24" s="1"/>
  <c r="BD270" i="24"/>
  <c r="BE270" i="24"/>
  <c r="BT270" i="24" s="1"/>
  <c r="AY270" i="24"/>
  <c r="AZ270" i="24" s="1"/>
  <c r="AT284" i="25"/>
  <c r="AU284" i="25"/>
  <c r="BC71" i="25"/>
  <c r="BT71" i="25" s="1"/>
  <c r="BB71" i="25"/>
  <c r="BS71" i="25" s="1"/>
  <c r="BA71" i="25"/>
  <c r="AT126" i="25"/>
  <c r="AY126" i="25" s="1"/>
  <c r="AU126" i="25"/>
  <c r="AY304" i="24"/>
  <c r="AZ304" i="24" s="1"/>
  <c r="BE304" i="24"/>
  <c r="BT304" i="24" s="1"/>
  <c r="BD304" i="24"/>
  <c r="AT168" i="25"/>
  <c r="AY168" i="25" s="1"/>
  <c r="AU168" i="25"/>
  <c r="BA96" i="25"/>
  <c r="BB96" i="25"/>
  <c r="BS96" i="25" s="1"/>
  <c r="BC96" i="25"/>
  <c r="BT96" i="25" s="1"/>
  <c r="AT145" i="25"/>
  <c r="AY145" i="25" s="1"/>
  <c r="AU145" i="25"/>
  <c r="BE189" i="24"/>
  <c r="BT189" i="24" s="1"/>
  <c r="AY189" i="24"/>
  <c r="AZ189" i="24" s="1"/>
  <c r="BD189" i="24"/>
  <c r="AT150" i="25"/>
  <c r="AY150" i="25" s="1"/>
  <c r="AU150" i="25"/>
  <c r="AY230" i="24"/>
  <c r="AZ230" i="24" s="1"/>
  <c r="BE230" i="24"/>
  <c r="BT230" i="24" s="1"/>
  <c r="BD230" i="24"/>
  <c r="BA240" i="25"/>
  <c r="BC240" i="25"/>
  <c r="BT240" i="25" s="1"/>
  <c r="BB240" i="25"/>
  <c r="BS240" i="25" s="1"/>
  <c r="AT98" i="25"/>
  <c r="AY98" i="25" s="1"/>
  <c r="AU98" i="25"/>
  <c r="AT228" i="25"/>
  <c r="AU228" i="25"/>
  <c r="BE187" i="24"/>
  <c r="BT187" i="24" s="1"/>
  <c r="AY187" i="24"/>
  <c r="AZ187" i="24" s="1"/>
  <c r="BD187" i="24"/>
  <c r="BD300" i="24"/>
  <c r="BE300" i="24"/>
  <c r="BT300" i="24" s="1"/>
  <c r="AY300" i="24"/>
  <c r="AZ300" i="24" s="1"/>
  <c r="AY168" i="24"/>
  <c r="AZ168" i="24" s="1"/>
  <c r="BE168" i="24"/>
  <c r="BT168" i="24" s="1"/>
  <c r="BD168" i="24"/>
  <c r="BD113" i="24"/>
  <c r="AY113" i="24"/>
  <c r="AZ113" i="24" s="1"/>
  <c r="BE113" i="24"/>
  <c r="BT113" i="24" s="1"/>
  <c r="BE15" i="24"/>
  <c r="BT15" i="24" s="1"/>
  <c r="BD15" i="24"/>
  <c r="AY15" i="24"/>
  <c r="AZ15" i="24" s="1"/>
  <c r="BE208" i="24"/>
  <c r="BT208" i="24" s="1"/>
  <c r="BD208" i="24"/>
  <c r="AY208" i="24"/>
  <c r="AZ208" i="24" s="1"/>
  <c r="AT144" i="25"/>
  <c r="AY144" i="25" s="1"/>
  <c r="AU144" i="25"/>
  <c r="BB247" i="25"/>
  <c r="BS247" i="25" s="1"/>
  <c r="BA247" i="25"/>
  <c r="BC247" i="25"/>
  <c r="BT247" i="25" s="1"/>
  <c r="AT51" i="25"/>
  <c r="AY51" i="25" s="1"/>
  <c r="AU51" i="25"/>
  <c r="AT61" i="25"/>
  <c r="AY61" i="25" s="1"/>
  <c r="AU61" i="25"/>
  <c r="AY293" i="24"/>
  <c r="AZ293" i="24" s="1"/>
  <c r="BD293" i="24"/>
  <c r="BE293" i="24"/>
  <c r="BT293" i="24" s="1"/>
  <c r="BE288" i="24"/>
  <c r="BT288" i="24" s="1"/>
  <c r="AY288" i="24"/>
  <c r="AZ288" i="24" s="1"/>
  <c r="BD288" i="24"/>
  <c r="BC267" i="25"/>
  <c r="BT267" i="25" s="1"/>
  <c r="BB267" i="25"/>
  <c r="BS267" i="25" s="1"/>
  <c r="BA267" i="25"/>
  <c r="BE118" i="24"/>
  <c r="BT118" i="24" s="1"/>
  <c r="BD118" i="24"/>
  <c r="AY118" i="24"/>
  <c r="AZ118" i="24" s="1"/>
  <c r="BE266" i="24"/>
  <c r="BT266" i="24" s="1"/>
  <c r="AY266" i="24"/>
  <c r="AZ266" i="24" s="1"/>
  <c r="BD266" i="24"/>
  <c r="AT208" i="25"/>
  <c r="AY208" i="25" s="1"/>
  <c r="AU208" i="25"/>
  <c r="BB29" i="25"/>
  <c r="BS29" i="25" s="1"/>
  <c r="BC29" i="25"/>
  <c r="BT29" i="25" s="1"/>
  <c r="BA29" i="25"/>
  <c r="AT105" i="25"/>
  <c r="B124" i="2"/>
  <c r="B114" i="2"/>
  <c r="AU105" i="25"/>
  <c r="BD175" i="24"/>
  <c r="AY175" i="24"/>
  <c r="AZ175" i="24" s="1"/>
  <c r="BE175" i="24"/>
  <c r="BT175" i="24" s="1"/>
  <c r="AT42" i="25"/>
  <c r="AY42" i="25" s="1"/>
  <c r="AU42" i="25"/>
  <c r="BA265" i="25"/>
  <c r="BB265" i="25"/>
  <c r="BS265" i="25" s="1"/>
  <c r="BC265" i="25"/>
  <c r="BT265" i="25" s="1"/>
  <c r="AT171" i="25"/>
  <c r="AY171" i="25" s="1"/>
  <c r="AU171" i="25"/>
  <c r="AY202" i="24"/>
  <c r="AZ202" i="24" s="1"/>
  <c r="BE202" i="24"/>
  <c r="BT202" i="24" s="1"/>
  <c r="BD202" i="24"/>
  <c r="BD206" i="24"/>
  <c r="AY206" i="24"/>
  <c r="AZ206" i="24" s="1"/>
  <c r="BE206" i="24"/>
  <c r="BT206" i="24" s="1"/>
  <c r="AY188" i="24"/>
  <c r="AZ188" i="24" s="1"/>
  <c r="BD188" i="24"/>
  <c r="BE188" i="24"/>
  <c r="BT188" i="24" s="1"/>
  <c r="AY66" i="24"/>
  <c r="AZ66" i="24" s="1"/>
  <c r="BE66" i="24"/>
  <c r="BT66" i="24" s="1"/>
  <c r="BD66" i="24"/>
  <c r="BE179" i="24"/>
  <c r="BT179" i="24" s="1"/>
  <c r="BD179" i="24"/>
  <c r="AY179" i="24"/>
  <c r="AZ179" i="24" s="1"/>
  <c r="BD153" i="24"/>
  <c r="AY153" i="24"/>
  <c r="AZ153" i="24" s="1"/>
  <c r="BE153" i="24"/>
  <c r="BT153" i="24" s="1"/>
  <c r="AT86" i="25"/>
  <c r="AY86" i="25" s="1"/>
  <c r="AU86" i="25"/>
  <c r="BA11" i="25"/>
  <c r="BB11" i="25"/>
  <c r="BS11" i="25" s="1"/>
  <c r="BC11" i="25"/>
  <c r="BT11" i="25" s="1"/>
  <c r="AT188" i="25"/>
  <c r="AY188" i="25" s="1"/>
  <c r="AU188" i="25"/>
  <c r="BE133" i="24"/>
  <c r="BT133" i="24" s="1"/>
  <c r="BD133" i="24"/>
  <c r="AY133" i="24"/>
  <c r="AZ133" i="24" s="1"/>
  <c r="AY246" i="24"/>
  <c r="AZ246" i="24" s="1"/>
  <c r="BD246" i="24"/>
  <c r="BE246" i="24"/>
  <c r="BT246" i="24" s="1"/>
  <c r="AY209" i="24"/>
  <c r="AZ209" i="24" s="1"/>
  <c r="BE209" i="24"/>
  <c r="BT209" i="24" s="1"/>
  <c r="BD209" i="24"/>
  <c r="BB131" i="25"/>
  <c r="BS131" i="25" s="1"/>
  <c r="BC131" i="25"/>
  <c r="BT131" i="25" s="1"/>
  <c r="BA131" i="25"/>
  <c r="AT43" i="25"/>
  <c r="AY43" i="25" s="1"/>
  <c r="AU43" i="25"/>
  <c r="BG240" i="24"/>
  <c r="BS240" i="24"/>
  <c r="BX240" i="24" s="1"/>
  <c r="AT102" i="25"/>
  <c r="AY102" i="25" s="1"/>
  <c r="AU102" i="25"/>
  <c r="AY25" i="24"/>
  <c r="AZ25" i="24" s="1"/>
  <c r="BD25" i="24"/>
  <c r="BE25" i="24"/>
  <c r="BT25" i="24" s="1"/>
  <c r="AO253" i="29" l="1"/>
  <c r="AO337" i="29"/>
  <c r="AO24" i="29"/>
  <c r="AO371" i="29"/>
  <c r="AO206" i="29"/>
  <c r="BG283" i="24"/>
  <c r="CB292" i="24"/>
  <c r="CF292" i="24"/>
  <c r="BS12" i="24"/>
  <c r="BV12" i="24" s="1"/>
  <c r="BX12" i="24" s="1"/>
  <c r="BS219" i="24"/>
  <c r="BX219" i="24" s="1"/>
  <c r="AO106" i="29"/>
  <c r="U106" i="29" s="1"/>
  <c r="BS147" i="24"/>
  <c r="BX147" i="24" s="1"/>
  <c r="BS242" i="24"/>
  <c r="BX242" i="24" s="1"/>
  <c r="BX260" i="24"/>
  <c r="BG18" i="24"/>
  <c r="BM18" i="24" s="1"/>
  <c r="BY18" i="24" s="1"/>
  <c r="CA18" i="24" s="1"/>
  <c r="CB18" i="24" s="1"/>
  <c r="BS34" i="24"/>
  <c r="BV34" i="24" s="1"/>
  <c r="BX34" i="24" s="1"/>
  <c r="BA154" i="25"/>
  <c r="BE154" i="25" s="1"/>
  <c r="BC154" i="25"/>
  <c r="BT154" i="25" s="1"/>
  <c r="BS265" i="24"/>
  <c r="BX265" i="24" s="1"/>
  <c r="BX259" i="24"/>
  <c r="BX283" i="24"/>
  <c r="BG121" i="24"/>
  <c r="BM121" i="24" s="1"/>
  <c r="BN121" i="24" s="1"/>
  <c r="BX120" i="24"/>
  <c r="BV26" i="24"/>
  <c r="BX26" i="24" s="1"/>
  <c r="BX111" i="24"/>
  <c r="AO49" i="29"/>
  <c r="V49" i="29" s="1"/>
  <c r="AO397" i="29"/>
  <c r="U397" i="29" s="1"/>
  <c r="AO510" i="29"/>
  <c r="U510" i="29" s="1"/>
  <c r="AO194" i="29"/>
  <c r="V194" i="29" s="1"/>
  <c r="AO284" i="29"/>
  <c r="V284" i="29" s="1"/>
  <c r="AO454" i="29"/>
  <c r="U454" i="29" s="1"/>
  <c r="AO384" i="29"/>
  <c r="U384" i="29" s="1"/>
  <c r="AO340" i="29"/>
  <c r="U340" i="29" s="1"/>
  <c r="AO98" i="29"/>
  <c r="V98" i="29" s="1"/>
  <c r="AO107" i="29"/>
  <c r="V107" i="29" s="1"/>
  <c r="AO127" i="29"/>
  <c r="U127" i="29" s="1"/>
  <c r="AO289" i="29"/>
  <c r="V289" i="29" s="1"/>
  <c r="BX152" i="24"/>
  <c r="AO73" i="29"/>
  <c r="V73" i="29" s="1"/>
  <c r="AO22" i="29"/>
  <c r="U22" i="29" s="1"/>
  <c r="AO367" i="29"/>
  <c r="U367" i="29" s="1"/>
  <c r="AO123" i="29"/>
  <c r="V123" i="29" s="1"/>
  <c r="AO470" i="29"/>
  <c r="U470" i="29" s="1"/>
  <c r="AO161" i="29"/>
  <c r="U161" i="29" s="1"/>
  <c r="AO222" i="29"/>
  <c r="V222" i="29" s="1"/>
  <c r="AO379" i="29"/>
  <c r="V379" i="29" s="1"/>
  <c r="AO298" i="29"/>
  <c r="U298" i="29" s="1"/>
  <c r="AO257" i="29"/>
  <c r="U257" i="29" s="1"/>
  <c r="AO417" i="29"/>
  <c r="V417" i="29" s="1"/>
  <c r="AO603" i="29"/>
  <c r="V603" i="29" s="1"/>
  <c r="AO229" i="29"/>
  <c r="U229" i="29" s="1"/>
  <c r="AO471" i="29"/>
  <c r="U471" i="29" s="1"/>
  <c r="AO152" i="29"/>
  <c r="U152" i="29" s="1"/>
  <c r="AO590" i="29"/>
  <c r="U590" i="29" s="1"/>
  <c r="AO558" i="29"/>
  <c r="U558" i="29" s="1"/>
  <c r="AO111" i="29"/>
  <c r="V111" i="29" s="1"/>
  <c r="AO391" i="29"/>
  <c r="U391" i="29" s="1"/>
  <c r="AO557" i="29"/>
  <c r="V557" i="29" s="1"/>
  <c r="AO361" i="29"/>
  <c r="U361" i="29" s="1"/>
  <c r="AO515" i="29"/>
  <c r="V515" i="29" s="1"/>
  <c r="AO233" i="29"/>
  <c r="U233" i="29" s="1"/>
  <c r="AO327" i="29"/>
  <c r="U327" i="29" s="1"/>
  <c r="AO596" i="29"/>
  <c r="U596" i="29" s="1"/>
  <c r="AO373" i="29"/>
  <c r="V373" i="29" s="1"/>
  <c r="AO54" i="29"/>
  <c r="U54" i="29" s="1"/>
  <c r="AO613" i="29"/>
  <c r="U613" i="29" s="1"/>
  <c r="AO493" i="29"/>
  <c r="V493" i="29" s="1"/>
  <c r="AO475" i="29"/>
  <c r="V475" i="29" s="1"/>
  <c r="AO53" i="29"/>
  <c r="U53" i="29" s="1"/>
  <c r="AO322" i="29"/>
  <c r="V322" i="29" s="1"/>
  <c r="AO242" i="29"/>
  <c r="V242" i="29" s="1"/>
  <c r="AO205" i="29"/>
  <c r="U205" i="29" s="1"/>
  <c r="AO19" i="29"/>
  <c r="V19" i="29" s="1"/>
  <c r="AO466" i="29"/>
  <c r="U466" i="29" s="1"/>
  <c r="AO586" i="29"/>
  <c r="U586" i="29" s="1"/>
  <c r="AO144" i="29"/>
  <c r="V144" i="29" s="1"/>
  <c r="AO43" i="29"/>
  <c r="U43" i="29" s="1"/>
  <c r="BS130" i="24"/>
  <c r="BY130" i="24" s="1"/>
  <c r="CA130" i="24" s="1"/>
  <c r="CB130" i="24" s="1"/>
  <c r="BX135" i="24"/>
  <c r="AO168" i="29"/>
  <c r="U168" i="29" s="1"/>
  <c r="AO608" i="29"/>
  <c r="V608" i="29" s="1"/>
  <c r="AO563" i="29"/>
  <c r="U563" i="29" s="1"/>
  <c r="AO577" i="29"/>
  <c r="U577" i="29" s="1"/>
  <c r="AO598" i="29"/>
  <c r="V598" i="29" s="1"/>
  <c r="AO443" i="29"/>
  <c r="U443" i="29" s="1"/>
  <c r="AO293" i="29"/>
  <c r="U293" i="29" s="1"/>
  <c r="AO400" i="29"/>
  <c r="U400" i="29" s="1"/>
  <c r="AO578" i="29"/>
  <c r="U578" i="29" s="1"/>
  <c r="AO604" i="29"/>
  <c r="U604" i="29" s="1"/>
  <c r="AO203" i="29"/>
  <c r="U203" i="29" s="1"/>
  <c r="AO326" i="29"/>
  <c r="V326" i="29" s="1"/>
  <c r="BX121" i="24"/>
  <c r="BS232" i="24"/>
  <c r="BX232" i="24" s="1"/>
  <c r="BS295" i="24"/>
  <c r="BX295" i="24" s="1"/>
  <c r="BS253" i="24"/>
  <c r="BX253" i="24" s="1"/>
  <c r="BV6" i="24"/>
  <c r="BX6" i="24" s="1"/>
  <c r="BS238" i="24"/>
  <c r="BX238" i="24" s="1"/>
  <c r="BS298" i="24"/>
  <c r="BX298" i="24" s="1"/>
  <c r="BS296" i="24"/>
  <c r="BX296" i="24" s="1"/>
  <c r="BS305" i="24"/>
  <c r="BX305" i="24" s="1"/>
  <c r="BS280" i="24"/>
  <c r="BX280" i="24" s="1"/>
  <c r="BS112" i="24"/>
  <c r="BX112" i="24" s="1"/>
  <c r="BG28" i="24"/>
  <c r="BM28" i="24" s="1"/>
  <c r="BY28" i="24" s="1"/>
  <c r="CA28" i="24" s="1"/>
  <c r="CB28" i="24" s="1"/>
  <c r="AO105" i="29"/>
  <c r="V105" i="29" s="1"/>
  <c r="AO511" i="29"/>
  <c r="V511" i="29" s="1"/>
  <c r="AO412" i="29"/>
  <c r="V412" i="29" s="1"/>
  <c r="AO555" i="29"/>
  <c r="V555" i="29" s="1"/>
  <c r="AO499" i="29"/>
  <c r="U499" i="29" s="1"/>
  <c r="AO208" i="29"/>
  <c r="U208" i="29" s="1"/>
  <c r="AO71" i="29"/>
  <c r="U71" i="29" s="1"/>
  <c r="AO118" i="29"/>
  <c r="U118" i="29" s="1"/>
  <c r="AO186" i="29"/>
  <c r="V186" i="29" s="1"/>
  <c r="AO316" i="29"/>
  <c r="V316" i="29" s="1"/>
  <c r="AO104" i="29"/>
  <c r="V104" i="29" s="1"/>
  <c r="AO35" i="29"/>
  <c r="U35" i="29" s="1"/>
  <c r="AO571" i="29"/>
  <c r="V571" i="29" s="1"/>
  <c r="AO428" i="29"/>
  <c r="U428" i="29" s="1"/>
  <c r="AO309" i="29"/>
  <c r="U309" i="29" s="1"/>
  <c r="AO514" i="29"/>
  <c r="V514" i="29" s="1"/>
  <c r="AO362" i="29"/>
  <c r="V362" i="29" s="1"/>
  <c r="AO438" i="29"/>
  <c r="U438" i="29" s="1"/>
  <c r="AO32" i="29"/>
  <c r="V32" i="29" s="1"/>
  <c r="AO48" i="29"/>
  <c r="U48" i="29" s="1"/>
  <c r="AO319" i="29"/>
  <c r="V319" i="29" s="1"/>
  <c r="AO447" i="29"/>
  <c r="V447" i="29" s="1"/>
  <c r="AO507" i="29"/>
  <c r="V507" i="29" s="1"/>
  <c r="AO120" i="29"/>
  <c r="V120" i="29" s="1"/>
  <c r="AO553" i="29"/>
  <c r="U553" i="29" s="1"/>
  <c r="AO236" i="29"/>
  <c r="U236" i="29" s="1"/>
  <c r="AO505" i="29"/>
  <c r="U505" i="29" s="1"/>
  <c r="AO246" i="29"/>
  <c r="V246" i="29" s="1"/>
  <c r="AO529" i="29"/>
  <c r="V529" i="29" s="1"/>
  <c r="AO486" i="29"/>
  <c r="U486" i="29" s="1"/>
  <c r="AO338" i="29"/>
  <c r="V338" i="29" s="1"/>
  <c r="AO17" i="29"/>
  <c r="U17" i="29" s="1"/>
  <c r="AO207" i="29"/>
  <c r="V207" i="29" s="1"/>
  <c r="AO390" i="29"/>
  <c r="V390" i="29" s="1"/>
  <c r="AO151" i="29"/>
  <c r="U151" i="29" s="1"/>
  <c r="AO512" i="29"/>
  <c r="U512" i="29" s="1"/>
  <c r="AO494" i="29"/>
  <c r="U494" i="29" s="1"/>
  <c r="AO339" i="29"/>
  <c r="U339" i="29" s="1"/>
  <c r="AO556" i="29"/>
  <c r="V556" i="29" s="1"/>
  <c r="AO448" i="29"/>
  <c r="V448" i="29" s="1"/>
  <c r="AO349" i="29"/>
  <c r="V349" i="29" s="1"/>
  <c r="AO239" i="29"/>
  <c r="U239" i="29" s="1"/>
  <c r="AO370" i="29"/>
  <c r="U370" i="29" s="1"/>
  <c r="AO418" i="29"/>
  <c r="U418" i="29" s="1"/>
  <c r="AO609" i="29"/>
  <c r="V609" i="29" s="1"/>
  <c r="AO543" i="29"/>
  <c r="U543" i="29" s="1"/>
  <c r="AO540" i="29"/>
  <c r="V540" i="29" s="1"/>
  <c r="AO580" i="29"/>
  <c r="U580" i="29" s="1"/>
  <c r="AO368" i="29"/>
  <c r="U368" i="29" s="1"/>
  <c r="AO39" i="29"/>
  <c r="U39" i="29" s="1"/>
  <c r="AO587" i="29"/>
  <c r="V587" i="29" s="1"/>
  <c r="AO388" i="29"/>
  <c r="U388" i="29" s="1"/>
  <c r="AO413" i="29"/>
  <c r="U413" i="29" s="1"/>
  <c r="AO89" i="29"/>
  <c r="V89" i="29" s="1"/>
  <c r="AO250" i="29"/>
  <c r="U250" i="29" s="1"/>
  <c r="AO402" i="29"/>
  <c r="U402" i="29" s="1"/>
  <c r="AO136" i="29"/>
  <c r="U136" i="29" s="1"/>
  <c r="AO365" i="29"/>
  <c r="V365" i="29" s="1"/>
  <c r="AO516" i="29"/>
  <c r="U516" i="29" s="1"/>
  <c r="AO334" i="29"/>
  <c r="U334" i="29" s="1"/>
  <c r="AO488" i="29"/>
  <c r="V488" i="29" s="1"/>
  <c r="AO597" i="29"/>
  <c r="U597" i="29" s="1"/>
  <c r="AO330" i="29"/>
  <c r="V330" i="29" s="1"/>
  <c r="AO165" i="29"/>
  <c r="V165" i="29" s="1"/>
  <c r="AO461" i="29"/>
  <c r="U461" i="29" s="1"/>
  <c r="AO57" i="29"/>
  <c r="U57" i="29" s="1"/>
  <c r="AO359" i="29"/>
  <c r="U359" i="29" s="1"/>
  <c r="AO387" i="29"/>
  <c r="V387" i="29" s="1"/>
  <c r="AO40" i="29"/>
  <c r="U40" i="29" s="1"/>
  <c r="AO220" i="29"/>
  <c r="U220" i="29" s="1"/>
  <c r="AO612" i="29"/>
  <c r="U612" i="29" s="1"/>
  <c r="AO50" i="29"/>
  <c r="V50" i="29" s="1"/>
  <c r="BV19" i="24"/>
  <c r="BX19" i="24" s="1"/>
  <c r="BS279" i="24"/>
  <c r="BX279" i="24" s="1"/>
  <c r="BS299" i="24"/>
  <c r="BX299" i="24" s="1"/>
  <c r="AO354" i="29"/>
  <c r="U354" i="29" s="1"/>
  <c r="AO376" i="29"/>
  <c r="U376" i="29" s="1"/>
  <c r="AO216" i="29"/>
  <c r="V216" i="29" s="1"/>
  <c r="AO125" i="29"/>
  <c r="U125" i="29" s="1"/>
  <c r="AO244" i="29"/>
  <c r="V244" i="29" s="1"/>
  <c r="AO395" i="29"/>
  <c r="U395" i="29" s="1"/>
  <c r="AO550" i="29"/>
  <c r="U550" i="29" s="1"/>
  <c r="AO254" i="29"/>
  <c r="V254" i="29" s="1"/>
  <c r="AO266" i="29"/>
  <c r="V266" i="29" s="1"/>
  <c r="AO25" i="29"/>
  <c r="V25" i="29" s="1"/>
  <c r="AO404" i="29"/>
  <c r="U404" i="29" s="1"/>
  <c r="AO210" i="29"/>
  <c r="V210" i="29" s="1"/>
  <c r="AO275" i="29"/>
  <c r="U275" i="29" s="1"/>
  <c r="AO502" i="29"/>
  <c r="V502" i="29" s="1"/>
  <c r="AO154" i="29"/>
  <c r="V154" i="29" s="1"/>
  <c r="AO217" i="29"/>
  <c r="U217" i="29" s="1"/>
  <c r="AO503" i="29"/>
  <c r="U503" i="29" s="1"/>
  <c r="AO342" i="29"/>
  <c r="U342" i="29" s="1"/>
  <c r="AO347" i="29"/>
  <c r="V347" i="29" s="1"/>
  <c r="AO259" i="29"/>
  <c r="U259" i="29" s="1"/>
  <c r="AO103" i="29"/>
  <c r="V103" i="29" s="1"/>
  <c r="AO433" i="29"/>
  <c r="V433" i="29" s="1"/>
  <c r="AO117" i="29"/>
  <c r="V117" i="29" s="1"/>
  <c r="AO582" i="29"/>
  <c r="U582" i="29" s="1"/>
  <c r="AO308" i="29"/>
  <c r="U308" i="29" s="1"/>
  <c r="AO268" i="29"/>
  <c r="U268" i="29" s="1"/>
  <c r="AO480" i="29"/>
  <c r="V480" i="29" s="1"/>
  <c r="AO112" i="29"/>
  <c r="V112" i="29" s="1"/>
  <c r="AO272" i="29"/>
  <c r="U272" i="29" s="1"/>
  <c r="AO378" i="29"/>
  <c r="U378" i="29" s="1"/>
  <c r="AO358" i="29"/>
  <c r="U358" i="29" s="1"/>
  <c r="BG26" i="24"/>
  <c r="BM26" i="24" s="1"/>
  <c r="BN26" i="24" s="1"/>
  <c r="AO86" i="29"/>
  <c r="V86" i="29" s="1"/>
  <c r="AO190" i="29"/>
  <c r="U190" i="29" s="1"/>
  <c r="AO185" i="29"/>
  <c r="V185" i="29" s="1"/>
  <c r="AO219" i="29"/>
  <c r="V219" i="29" s="1"/>
  <c r="AO409" i="29"/>
  <c r="U409" i="29" s="1"/>
  <c r="AO593" i="29"/>
  <c r="U593" i="29" s="1"/>
  <c r="AO267" i="29"/>
  <c r="U267" i="29" s="1"/>
  <c r="AO79" i="29"/>
  <c r="U79" i="29" s="1"/>
  <c r="BS148" i="24"/>
  <c r="BX148" i="24" s="1"/>
  <c r="BS282" i="24"/>
  <c r="BX282" i="24" s="1"/>
  <c r="BS54" i="24"/>
  <c r="BV54" i="24" s="1"/>
  <c r="BX54" i="24" s="1"/>
  <c r="BS247" i="24"/>
  <c r="BX247" i="24" s="1"/>
  <c r="BG228" i="24"/>
  <c r="BM228" i="24" s="1"/>
  <c r="BN228" i="24" s="1"/>
  <c r="BS20" i="24"/>
  <c r="BV20" i="24" s="1"/>
  <c r="BX20" i="24" s="1"/>
  <c r="BX248" i="24"/>
  <c r="AO141" i="29"/>
  <c r="U141" i="29" s="1"/>
  <c r="AO230" i="29"/>
  <c r="V230" i="29" s="1"/>
  <c r="AO44" i="29"/>
  <c r="U44" i="29" s="1"/>
  <c r="AO332" i="29"/>
  <c r="V332" i="29" s="1"/>
  <c r="AO389" i="29"/>
  <c r="V389" i="29" s="1"/>
  <c r="AO320" i="29"/>
  <c r="U320" i="29" s="1"/>
  <c r="AO446" i="29"/>
  <c r="U446" i="29" s="1"/>
  <c r="AO100" i="29"/>
  <c r="V100" i="29" s="1"/>
  <c r="AO301" i="29"/>
  <c r="V301" i="29" s="1"/>
  <c r="AO214" i="29"/>
  <c r="U214" i="29" s="1"/>
  <c r="AO440" i="29"/>
  <c r="V440" i="29" s="1"/>
  <c r="AO345" i="29"/>
  <c r="U345" i="29" s="1"/>
  <c r="AO381" i="29"/>
  <c r="V381" i="29" s="1"/>
  <c r="AO243" i="29"/>
  <c r="U243" i="29" s="1"/>
  <c r="AO164" i="29"/>
  <c r="V164" i="29" s="1"/>
  <c r="AO547" i="29"/>
  <c r="V547" i="29" s="1"/>
  <c r="AO291" i="29"/>
  <c r="V291" i="29" s="1"/>
  <c r="AO114" i="29"/>
  <c r="U114" i="29" s="1"/>
  <c r="AO299" i="29"/>
  <c r="U299" i="29" s="1"/>
  <c r="AO237" i="29"/>
  <c r="U237" i="29" s="1"/>
  <c r="AO588" i="29"/>
  <c r="V588" i="29" s="1"/>
  <c r="AO407" i="29"/>
  <c r="U407" i="29" s="1"/>
  <c r="AO252" i="29"/>
  <c r="V252" i="29" s="1"/>
  <c r="AO600" i="29"/>
  <c r="U600" i="29" s="1"/>
  <c r="AO465" i="29"/>
  <c r="V465" i="29" s="1"/>
  <c r="AO274" i="29"/>
  <c r="U274" i="29" s="1"/>
  <c r="AO122" i="29"/>
  <c r="V122" i="29" s="1"/>
  <c r="AO306" i="29"/>
  <c r="U306" i="29" s="1"/>
  <c r="AO273" i="29"/>
  <c r="U273" i="29" s="1"/>
  <c r="AO83" i="29"/>
  <c r="U83" i="29" s="1"/>
  <c r="AO70" i="29"/>
  <c r="V70" i="29" s="1"/>
  <c r="AO410" i="29"/>
  <c r="V410" i="29" s="1"/>
  <c r="AO147" i="29"/>
  <c r="V147" i="29" s="1"/>
  <c r="AO183" i="29"/>
  <c r="V183" i="29" s="1"/>
  <c r="AO377" i="29"/>
  <c r="U377" i="29" s="1"/>
  <c r="AO146" i="29"/>
  <c r="V146" i="29" s="1"/>
  <c r="AO351" i="29"/>
  <c r="V351" i="29" s="1"/>
  <c r="AO132" i="29"/>
  <c r="V132" i="29" s="1"/>
  <c r="AO343" i="29"/>
  <c r="V343" i="29" s="1"/>
  <c r="AO52" i="29"/>
  <c r="V52" i="29" s="1"/>
  <c r="AO424" i="29"/>
  <c r="U424" i="29" s="1"/>
  <c r="AO84" i="29"/>
  <c r="V84" i="29" s="1"/>
  <c r="AO526" i="29"/>
  <c r="V526" i="29" s="1"/>
  <c r="AO504" i="29"/>
  <c r="V504" i="29" s="1"/>
  <c r="AO434" i="29"/>
  <c r="V434" i="29" s="1"/>
  <c r="AO195" i="29"/>
  <c r="V195" i="29" s="1"/>
  <c r="AO297" i="29"/>
  <c r="V297" i="29" s="1"/>
  <c r="AO501" i="29"/>
  <c r="U501" i="29" s="1"/>
  <c r="AO167" i="29"/>
  <c r="U167" i="29" s="1"/>
  <c r="AO559" i="29"/>
  <c r="V559" i="29" s="1"/>
  <c r="AO423" i="29"/>
  <c r="U423" i="29" s="1"/>
  <c r="AO116" i="29"/>
  <c r="V116" i="29" s="1"/>
  <c r="AO548" i="29"/>
  <c r="U548" i="29" s="1"/>
  <c r="AO108" i="29"/>
  <c r="V108" i="29" s="1"/>
  <c r="AO166" i="29"/>
  <c r="V166" i="29" s="1"/>
  <c r="AO270" i="29"/>
  <c r="V270" i="29" s="1"/>
  <c r="AO422" i="29"/>
  <c r="V422" i="29" s="1"/>
  <c r="AO325" i="29"/>
  <c r="V325" i="29" s="1"/>
  <c r="AO265" i="29"/>
  <c r="V265" i="29" s="1"/>
  <c r="AO569" i="29"/>
  <c r="V569" i="29" s="1"/>
  <c r="AO202" i="29"/>
  <c r="V202" i="29" s="1"/>
  <c r="AO562" i="29"/>
  <c r="V562" i="29" s="1"/>
  <c r="AO592" i="29"/>
  <c r="U592" i="29" s="1"/>
  <c r="AO140" i="29"/>
  <c r="V140" i="29" s="1"/>
  <c r="AO346" i="29"/>
  <c r="U346" i="29" s="1"/>
  <c r="AO468" i="29"/>
  <c r="U468" i="29" s="1"/>
  <c r="AO95" i="29"/>
  <c r="U95" i="29" s="1"/>
  <c r="AO283" i="29"/>
  <c r="U283" i="29" s="1"/>
  <c r="AO27" i="29"/>
  <c r="U27" i="29" s="1"/>
  <c r="AO198" i="29"/>
  <c r="V198" i="29" s="1"/>
  <c r="AO427" i="29"/>
  <c r="U427" i="29" s="1"/>
  <c r="AO350" i="29"/>
  <c r="V350" i="29" s="1"/>
  <c r="AO321" i="29"/>
  <c r="U321" i="29" s="1"/>
  <c r="AO331" i="29"/>
  <c r="U331" i="29" s="1"/>
  <c r="AO421" i="29"/>
  <c r="V421" i="29" s="1"/>
  <c r="AO92" i="29"/>
  <c r="V92" i="29" s="1"/>
  <c r="AO517" i="29"/>
  <c r="U517" i="29" s="1"/>
  <c r="AO130" i="29"/>
  <c r="V130" i="29" s="1"/>
  <c r="AO315" i="29"/>
  <c r="V315" i="29" s="1"/>
  <c r="AO221" i="29"/>
  <c r="V221" i="29" s="1"/>
  <c r="AO324" i="29"/>
  <c r="V324" i="29" s="1"/>
  <c r="AO256" i="29"/>
  <c r="U256" i="29" s="1"/>
  <c r="AO38" i="29"/>
  <c r="V38" i="29" s="1"/>
  <c r="AO91" i="29"/>
  <c r="V91" i="29" s="1"/>
  <c r="BV33" i="24"/>
  <c r="BX33" i="24" s="1"/>
  <c r="BS24" i="24"/>
  <c r="BV24" i="24" s="1"/>
  <c r="BX24" i="24" s="1"/>
  <c r="AO414" i="29"/>
  <c r="U414" i="29" s="1"/>
  <c r="AO235" i="29"/>
  <c r="U235" i="29" s="1"/>
  <c r="AO138" i="29"/>
  <c r="U138" i="29" s="1"/>
  <c r="AO102" i="29"/>
  <c r="U102" i="29" s="1"/>
  <c r="AO177" i="29"/>
  <c r="V177" i="29" s="1"/>
  <c r="AO492" i="29"/>
  <c r="V492" i="29" s="1"/>
  <c r="AO453" i="29"/>
  <c r="V453" i="29" s="1"/>
  <c r="AO506" i="29"/>
  <c r="U506" i="29" s="1"/>
  <c r="AO567" i="29"/>
  <c r="U567" i="29" s="1"/>
  <c r="AO314" i="29"/>
  <c r="V314" i="29" s="1"/>
  <c r="AO462" i="29"/>
  <c r="U462" i="29" s="1"/>
  <c r="AO303" i="29"/>
  <c r="U303" i="29" s="1"/>
  <c r="AO188" i="29"/>
  <c r="U188" i="29" s="1"/>
  <c r="AO94" i="29"/>
  <c r="U94" i="29" s="1"/>
  <c r="AO467" i="29"/>
  <c r="U467" i="29" s="1"/>
  <c r="AO156" i="29"/>
  <c r="V156" i="29" s="1"/>
  <c r="AO439" i="29"/>
  <c r="V439" i="29" s="1"/>
  <c r="AO312" i="29"/>
  <c r="V312" i="29" s="1"/>
  <c r="AO15" i="29"/>
  <c r="V15" i="29" s="1"/>
  <c r="AO451" i="29"/>
  <c r="U451" i="29" s="1"/>
  <c r="AO68" i="29"/>
  <c r="U68" i="29" s="1"/>
  <c r="AO23" i="29"/>
  <c r="V23" i="29" s="1"/>
  <c r="AO20" i="29"/>
  <c r="U20" i="29" s="1"/>
  <c r="AO21" i="29"/>
  <c r="U21" i="29" s="1"/>
  <c r="AO546" i="29"/>
  <c r="U546" i="29" s="1"/>
  <c r="AO121" i="29"/>
  <c r="V121" i="29" s="1"/>
  <c r="AO527" i="29"/>
  <c r="V527" i="29" s="1"/>
  <c r="AO449" i="29"/>
  <c r="V449" i="29" s="1"/>
  <c r="AO199" i="29"/>
  <c r="V199" i="29" s="1"/>
  <c r="AO200" i="29"/>
  <c r="V200" i="29" s="1"/>
  <c r="BV58" i="24"/>
  <c r="BX58" i="24" s="1"/>
  <c r="AO204" i="29"/>
  <c r="V204" i="29" s="1"/>
  <c r="AO415" i="29"/>
  <c r="U415" i="29" s="1"/>
  <c r="AO180" i="29"/>
  <c r="V180" i="29" s="1"/>
  <c r="AO482" i="29"/>
  <c r="U482" i="29" s="1"/>
  <c r="AO278" i="29"/>
  <c r="V278" i="29" s="1"/>
  <c r="AO240" i="29"/>
  <c r="V240" i="29" s="1"/>
  <c r="AO160" i="29"/>
  <c r="U160" i="29" s="1"/>
  <c r="AO457" i="29"/>
  <c r="U457" i="29" s="1"/>
  <c r="AO429" i="29"/>
  <c r="V429" i="29" s="1"/>
  <c r="AO90" i="29"/>
  <c r="V90" i="29" s="1"/>
  <c r="AO534" i="29"/>
  <c r="V534" i="29" s="1"/>
  <c r="AO360" i="29"/>
  <c r="V360" i="29" s="1"/>
  <c r="AO277" i="29"/>
  <c r="V277" i="29" s="1"/>
  <c r="AO583" i="29"/>
  <c r="V583" i="29" s="1"/>
  <c r="AO172" i="29"/>
  <c r="V172" i="29" s="1"/>
  <c r="AO535" i="29"/>
  <c r="U535" i="29" s="1"/>
  <c r="AO153" i="29"/>
  <c r="V153" i="29" s="1"/>
  <c r="AO552" i="29"/>
  <c r="U552" i="29" s="1"/>
  <c r="AO75" i="29"/>
  <c r="V75" i="29" s="1"/>
  <c r="AO524" i="29"/>
  <c r="V524" i="29" s="1"/>
  <c r="AO157" i="29"/>
  <c r="V157" i="29" s="1"/>
  <c r="AO135" i="29"/>
  <c r="U135" i="29" s="1"/>
  <c r="AO489" i="29"/>
  <c r="V489" i="29" s="1"/>
  <c r="AO490" i="29"/>
  <c r="V490" i="29" s="1"/>
  <c r="AO611" i="29"/>
  <c r="V611" i="29" s="1"/>
  <c r="AO479" i="29"/>
  <c r="U479" i="29" s="1"/>
  <c r="AO143" i="29"/>
  <c r="V143" i="29" s="1"/>
  <c r="AO335" i="29"/>
  <c r="V335" i="29" s="1"/>
  <c r="AO385" i="29"/>
  <c r="U385" i="29" s="1"/>
  <c r="AO430" i="29"/>
  <c r="V430" i="29" s="1"/>
  <c r="AO356" i="29"/>
  <c r="V356" i="29" s="1"/>
  <c r="AO317" i="29"/>
  <c r="U317" i="29" s="1"/>
  <c r="AO408" i="29"/>
  <c r="U408" i="29" s="1"/>
  <c r="AO96" i="29"/>
  <c r="U96" i="29" s="1"/>
  <c r="AO474" i="29"/>
  <c r="V474" i="29" s="1"/>
  <c r="AO62" i="29"/>
  <c r="U62" i="29" s="1"/>
  <c r="AO542" i="29"/>
  <c r="V542" i="29" s="1"/>
  <c r="AO455" i="29"/>
  <c r="V455" i="29" s="1"/>
  <c r="AO191" i="29"/>
  <c r="U191" i="29" s="1"/>
  <c r="AO476" i="29"/>
  <c r="U476" i="29" s="1"/>
  <c r="AO481" i="29"/>
  <c r="U481" i="29" s="1"/>
  <c r="AO530" i="29"/>
  <c r="V530" i="29" s="1"/>
  <c r="AO13" i="29"/>
  <c r="V13" i="29" s="1"/>
  <c r="AO99" i="29"/>
  <c r="V99" i="29" s="1"/>
  <c r="AO182" i="29"/>
  <c r="U182" i="29" s="1"/>
  <c r="AO375" i="29"/>
  <c r="V375" i="29" s="1"/>
  <c r="AO575" i="29"/>
  <c r="U575" i="29" s="1"/>
  <c r="AO333" i="29"/>
  <c r="U333" i="29" s="1"/>
  <c r="AO65" i="29"/>
  <c r="U65" i="29" s="1"/>
  <c r="AO69" i="29"/>
  <c r="U69" i="29" s="1"/>
  <c r="AO574" i="29"/>
  <c r="V574" i="29" s="1"/>
  <c r="AO209" i="29"/>
  <c r="V209" i="29" s="1"/>
  <c r="AO525" i="29"/>
  <c r="V525" i="29" s="1"/>
  <c r="AO416" i="29"/>
  <c r="U416" i="29" s="1"/>
  <c r="AO119" i="29"/>
  <c r="V119" i="29" s="1"/>
  <c r="AO336" i="29"/>
  <c r="V336" i="29" s="1"/>
  <c r="AO398" i="29"/>
  <c r="V398" i="29" s="1"/>
  <c r="AO341" i="29"/>
  <c r="V341" i="29" s="1"/>
  <c r="AO463" i="29"/>
  <c r="V463" i="29" s="1"/>
  <c r="AO131" i="29"/>
  <c r="U131" i="29" s="1"/>
  <c r="AO227" i="29"/>
  <c r="U227" i="29" s="1"/>
  <c r="AO76" i="29"/>
  <c r="U76" i="29" s="1"/>
  <c r="AO318" i="29"/>
  <c r="V318" i="29" s="1"/>
  <c r="AO344" i="29"/>
  <c r="U344" i="29" s="1"/>
  <c r="AO56" i="29"/>
  <c r="V56" i="29" s="1"/>
  <c r="AO45" i="29"/>
  <c r="V45" i="29" s="1"/>
  <c r="AO519" i="29"/>
  <c r="U519" i="29" s="1"/>
  <c r="AO372" i="29"/>
  <c r="U372" i="29" s="1"/>
  <c r="AO300" i="29"/>
  <c r="U300" i="29" s="1"/>
  <c r="AO364" i="29"/>
  <c r="U364" i="29" s="1"/>
  <c r="AO16" i="29"/>
  <c r="U16" i="29" s="1"/>
  <c r="AO178" i="29"/>
  <c r="U178" i="29" s="1"/>
  <c r="AO518" i="29"/>
  <c r="V518" i="29" s="1"/>
  <c r="AO218" i="29"/>
  <c r="V218" i="29" s="1"/>
  <c r="AO129" i="29"/>
  <c r="U129" i="29" s="1"/>
  <c r="AO459" i="29"/>
  <c r="V459" i="29" s="1"/>
  <c r="AO281" i="29"/>
  <c r="U281" i="29" s="1"/>
  <c r="AO232" i="29"/>
  <c r="V232" i="29" s="1"/>
  <c r="AO450" i="29"/>
  <c r="V450" i="29" s="1"/>
  <c r="AO472" i="29"/>
  <c r="U472" i="29" s="1"/>
  <c r="AO513" i="29"/>
  <c r="V513" i="29" s="1"/>
  <c r="AO139" i="29"/>
  <c r="V139" i="29" s="1"/>
  <c r="AO383" i="29"/>
  <c r="V383" i="29" s="1"/>
  <c r="AO564" i="29"/>
  <c r="V564" i="29" s="1"/>
  <c r="AO396" i="29"/>
  <c r="U396" i="29" s="1"/>
  <c r="AO533" i="29"/>
  <c r="V533" i="29" s="1"/>
  <c r="AO403" i="29"/>
  <c r="U403" i="29" s="1"/>
  <c r="AO357" i="29"/>
  <c r="V357" i="29" s="1"/>
  <c r="AO292" i="29"/>
  <c r="U292" i="29" s="1"/>
  <c r="AO594" i="29"/>
  <c r="V594" i="29" s="1"/>
  <c r="BB237" i="25"/>
  <c r="BS237" i="25" s="1"/>
  <c r="BA237" i="25"/>
  <c r="BC237" i="25"/>
  <c r="BT237" i="25" s="1"/>
  <c r="AO169" i="29"/>
  <c r="U169" i="29" s="1"/>
  <c r="AO67" i="29"/>
  <c r="U67" i="29" s="1"/>
  <c r="AO435" i="29"/>
  <c r="U435" i="29" s="1"/>
  <c r="AO34" i="29"/>
  <c r="U34" i="29" s="1"/>
  <c r="AO554" i="29"/>
  <c r="U554" i="29" s="1"/>
  <c r="AO81" i="29"/>
  <c r="U81" i="29" s="1"/>
  <c r="AO549" i="29"/>
  <c r="U549" i="29" s="1"/>
  <c r="AO37" i="29"/>
  <c r="V37" i="29" s="1"/>
  <c r="AO51" i="29"/>
  <c r="U51" i="29" s="1"/>
  <c r="AO313" i="29"/>
  <c r="U313" i="29" s="1"/>
  <c r="AO264" i="29"/>
  <c r="V264" i="29" s="1"/>
  <c r="AO353" i="29"/>
  <c r="V353" i="29" s="1"/>
  <c r="AO294" i="29"/>
  <c r="V294" i="29" s="1"/>
  <c r="BS117" i="24"/>
  <c r="BX117" i="24" s="1"/>
  <c r="AJ212" i="25"/>
  <c r="AM212" i="25"/>
  <c r="AP212" i="25" s="1"/>
  <c r="AX212" i="25"/>
  <c r="AW212" i="25"/>
  <c r="AO187" i="29"/>
  <c r="V187" i="29" s="1"/>
  <c r="AO520" i="29"/>
  <c r="V520" i="29" s="1"/>
  <c r="AO101" i="29"/>
  <c r="U101" i="29" s="1"/>
  <c r="AO311" i="29"/>
  <c r="U311" i="29" s="1"/>
  <c r="AO93" i="29"/>
  <c r="U93" i="29" s="1"/>
  <c r="AO366" i="29"/>
  <c r="V366" i="29" s="1"/>
  <c r="AO282" i="29"/>
  <c r="U282" i="29" s="1"/>
  <c r="AO179" i="29"/>
  <c r="V179" i="29" s="1"/>
  <c r="AO87" i="29"/>
  <c r="U87" i="29" s="1"/>
  <c r="AO456" i="29"/>
  <c r="U456" i="29" s="1"/>
  <c r="BG224" i="24"/>
  <c r="BY224" i="24" s="1"/>
  <c r="CA224" i="24" s="1"/>
  <c r="CB224" i="24" s="1"/>
  <c r="AO523" i="29"/>
  <c r="V523" i="29" s="1"/>
  <c r="AO296" i="29"/>
  <c r="V296" i="29" s="1"/>
  <c r="AO269" i="29"/>
  <c r="U269" i="29" s="1"/>
  <c r="AO498" i="29"/>
  <c r="V498" i="29" s="1"/>
  <c r="AO607" i="29"/>
  <c r="U607" i="29" s="1"/>
  <c r="AO109" i="29"/>
  <c r="V109" i="29" s="1"/>
  <c r="AO142" i="29"/>
  <c r="V142" i="29" s="1"/>
  <c r="AO605" i="29"/>
  <c r="U605" i="29" s="1"/>
  <c r="AO420" i="29"/>
  <c r="U420" i="29" s="1"/>
  <c r="AO173" i="29"/>
  <c r="V173" i="29" s="1"/>
  <c r="AO565" i="29"/>
  <c r="V565" i="29" s="1"/>
  <c r="AO260" i="29"/>
  <c r="V260" i="29" s="1"/>
  <c r="AO158" i="29"/>
  <c r="V158" i="29" s="1"/>
  <c r="AO560" i="29"/>
  <c r="V560" i="29" s="1"/>
  <c r="AO115" i="29"/>
  <c r="V115" i="29" s="1"/>
  <c r="AO286" i="29"/>
  <c r="V286" i="29" s="1"/>
  <c r="AO211" i="29"/>
  <c r="U211" i="29" s="1"/>
  <c r="AO532" i="29"/>
  <c r="V532" i="29" s="1"/>
  <c r="AO405" i="29"/>
  <c r="U405" i="29" s="1"/>
  <c r="AO355" i="29"/>
  <c r="U355" i="29" s="1"/>
  <c r="AO444" i="29"/>
  <c r="V444" i="29" s="1"/>
  <c r="AO258" i="29"/>
  <c r="U258" i="29" s="1"/>
  <c r="AO469" i="29"/>
  <c r="U469" i="29" s="1"/>
  <c r="AO88" i="29"/>
  <c r="V88" i="29" s="1"/>
  <c r="AO36" i="29"/>
  <c r="U36" i="29" s="1"/>
  <c r="AO394" i="29"/>
  <c r="U394" i="29" s="1"/>
  <c r="AO263" i="29"/>
  <c r="U263" i="29" s="1"/>
  <c r="AO228" i="29"/>
  <c r="U228" i="29" s="1"/>
  <c r="AO215" i="29"/>
  <c r="U215" i="29" s="1"/>
  <c r="AO460" i="29"/>
  <c r="V460" i="29" s="1"/>
  <c r="AO201" i="29"/>
  <c r="V201" i="29" s="1"/>
  <c r="AO30" i="29"/>
  <c r="U30" i="29" s="1"/>
  <c r="AO55" i="29"/>
  <c r="V55" i="29" s="1"/>
  <c r="AO31" i="29"/>
  <c r="V31" i="29" s="1"/>
  <c r="AO42" i="29"/>
  <c r="U42" i="29" s="1"/>
  <c r="AO573" i="29"/>
  <c r="V573" i="29" s="1"/>
  <c r="AO307" i="29"/>
  <c r="U307" i="29" s="1"/>
  <c r="AO348" i="29"/>
  <c r="V348" i="29" s="1"/>
  <c r="AO175" i="29"/>
  <c r="U175" i="29" s="1"/>
  <c r="AO522" i="29"/>
  <c r="V522" i="29" s="1"/>
  <c r="AO213" i="29"/>
  <c r="V213" i="29" s="1"/>
  <c r="AO386" i="29"/>
  <c r="U386" i="29" s="1"/>
  <c r="AO26" i="29"/>
  <c r="V26" i="29" s="1"/>
  <c r="AO262" i="29"/>
  <c r="U262" i="29" s="1"/>
  <c r="AO47" i="29"/>
  <c r="U47" i="29" s="1"/>
  <c r="AO192" i="29"/>
  <c r="V192" i="29" s="1"/>
  <c r="AO305" i="29"/>
  <c r="V305" i="29" s="1"/>
  <c r="AO610" i="29"/>
  <c r="V610" i="29" s="1"/>
  <c r="AO288" i="29"/>
  <c r="U288" i="29" s="1"/>
  <c r="AO82" i="29"/>
  <c r="V82" i="29" s="1"/>
  <c r="AO595" i="29"/>
  <c r="V595" i="29" s="1"/>
  <c r="AO134" i="29"/>
  <c r="U134" i="29" s="1"/>
  <c r="AO280" i="29"/>
  <c r="V280" i="29" s="1"/>
  <c r="AO473" i="29"/>
  <c r="U473" i="29" s="1"/>
  <c r="AO241" i="29"/>
  <c r="U241" i="29" s="1"/>
  <c r="AO401" i="29"/>
  <c r="V401" i="29" s="1"/>
  <c r="AO496" i="29"/>
  <c r="U496" i="29" s="1"/>
  <c r="AO28" i="29"/>
  <c r="U28" i="29" s="1"/>
  <c r="AO601" i="29"/>
  <c r="U601" i="29" s="1"/>
  <c r="AO500" i="29"/>
  <c r="V500" i="29" s="1"/>
  <c r="AO77" i="29"/>
  <c r="U77" i="29" s="1"/>
  <c r="AO276" i="29"/>
  <c r="U276" i="29" s="1"/>
  <c r="AO411" i="29"/>
  <c r="U411" i="29" s="1"/>
  <c r="AO29" i="29"/>
  <c r="U29" i="29" s="1"/>
  <c r="AO128" i="29"/>
  <c r="V128" i="29" s="1"/>
  <c r="AO570" i="29"/>
  <c r="U570" i="29" s="1"/>
  <c r="AO579" i="29"/>
  <c r="U579" i="29" s="1"/>
  <c r="AO538" i="29"/>
  <c r="U538" i="29" s="1"/>
  <c r="AO484" i="29"/>
  <c r="U484" i="29" s="1"/>
  <c r="AO197" i="29"/>
  <c r="U197" i="29" s="1"/>
  <c r="AO572" i="29"/>
  <c r="U572" i="29" s="1"/>
  <c r="AO234" i="29"/>
  <c r="V234" i="29" s="1"/>
  <c r="AO431" i="29"/>
  <c r="V431" i="29" s="1"/>
  <c r="AO441" i="29"/>
  <c r="V441" i="29" s="1"/>
  <c r="AO150" i="29"/>
  <c r="V150" i="29" s="1"/>
  <c r="AO369" i="29"/>
  <c r="V369" i="29" s="1"/>
  <c r="AO528" i="29"/>
  <c r="V528" i="29" s="1"/>
  <c r="AO302" i="29"/>
  <c r="U302" i="29" s="1"/>
  <c r="AO245" i="29"/>
  <c r="V245" i="29" s="1"/>
  <c r="AO497" i="29"/>
  <c r="U497" i="29" s="1"/>
  <c r="AO399" i="29"/>
  <c r="U399" i="29" s="1"/>
  <c r="AO162" i="29"/>
  <c r="U162" i="29" s="1"/>
  <c r="AO226" i="29"/>
  <c r="V226" i="29" s="1"/>
  <c r="AO247" i="29"/>
  <c r="U247" i="29" s="1"/>
  <c r="AO436" i="29"/>
  <c r="U436" i="29" s="1"/>
  <c r="AO33" i="29"/>
  <c r="V33" i="29" s="1"/>
  <c r="AO382" i="29"/>
  <c r="V382" i="29" s="1"/>
  <c r="AO170" i="29"/>
  <c r="V170" i="29" s="1"/>
  <c r="AO545" i="29"/>
  <c r="U545" i="29" s="1"/>
  <c r="AO561" i="29"/>
  <c r="V561" i="29" s="1"/>
  <c r="AO72" i="29"/>
  <c r="V72" i="29" s="1"/>
  <c r="AO249" i="29"/>
  <c r="U249" i="29" s="1"/>
  <c r="AO531" i="29"/>
  <c r="V531" i="29" s="1"/>
  <c r="AO581" i="29"/>
  <c r="U581" i="29" s="1"/>
  <c r="AO589" i="29"/>
  <c r="U589" i="29" s="1"/>
  <c r="AO184" i="29"/>
  <c r="U184" i="29" s="1"/>
  <c r="AO487" i="29"/>
  <c r="U487" i="29" s="1"/>
  <c r="AO196" i="29"/>
  <c r="U196" i="29" s="1"/>
  <c r="AO458" i="29"/>
  <c r="U458" i="29" s="1"/>
  <c r="AO432" i="29"/>
  <c r="V432" i="29" s="1"/>
  <c r="AO426" i="29"/>
  <c r="V426" i="29" s="1"/>
  <c r="AO406" i="29"/>
  <c r="V406" i="29" s="1"/>
  <c r="AO80" i="29"/>
  <c r="U80" i="29" s="1"/>
  <c r="AO224" i="29"/>
  <c r="U224" i="29" s="1"/>
  <c r="AO495" i="29"/>
  <c r="V495" i="29" s="1"/>
  <c r="AO126" i="29"/>
  <c r="U126" i="29" s="1"/>
  <c r="AO290" i="29"/>
  <c r="V290" i="29" s="1"/>
  <c r="AO41" i="29"/>
  <c r="V41" i="29" s="1"/>
  <c r="AO392" i="29"/>
  <c r="U392" i="29" s="1"/>
  <c r="AO329" i="29"/>
  <c r="U329" i="29" s="1"/>
  <c r="AO477" i="29"/>
  <c r="U477" i="29" s="1"/>
  <c r="AO133" i="29"/>
  <c r="V133" i="29" s="1"/>
  <c r="AO491" i="29"/>
  <c r="U491" i="29" s="1"/>
  <c r="AO568" i="29"/>
  <c r="V568" i="29" s="1"/>
  <c r="AO176" i="29"/>
  <c r="U176" i="29" s="1"/>
  <c r="AO310" i="29"/>
  <c r="V310" i="29" s="1"/>
  <c r="AO419" i="29"/>
  <c r="U419" i="29" s="1"/>
  <c r="AO539" i="29"/>
  <c r="U539" i="29" s="1"/>
  <c r="AO14" i="29"/>
  <c r="U14" i="29" s="1"/>
  <c r="AO171" i="29"/>
  <c r="U171" i="29" s="1"/>
  <c r="AO287" i="29"/>
  <c r="V287" i="29" s="1"/>
  <c r="AO425" i="29"/>
  <c r="U425" i="29" s="1"/>
  <c r="AO255" i="29"/>
  <c r="V255" i="29" s="1"/>
  <c r="AO251" i="29"/>
  <c r="V251" i="29" s="1"/>
  <c r="AO145" i="29"/>
  <c r="V145" i="29" s="1"/>
  <c r="AO149" i="29"/>
  <c r="V149" i="29" s="1"/>
  <c r="AO295" i="29"/>
  <c r="U295" i="29" s="1"/>
  <c r="BB77" i="25"/>
  <c r="BS77" i="25" s="1"/>
  <c r="BA77" i="25"/>
  <c r="BC77" i="25"/>
  <c r="BT77" i="25" s="1"/>
  <c r="BS25" i="24"/>
  <c r="BV25" i="24" s="1"/>
  <c r="BX25" i="24" s="1"/>
  <c r="BG25" i="24"/>
  <c r="BM25" i="24" s="1"/>
  <c r="BG133" i="24"/>
  <c r="BS133" i="24"/>
  <c r="BX133" i="24" s="1"/>
  <c r="BC175" i="25"/>
  <c r="BT175" i="25" s="1"/>
  <c r="BA175" i="25"/>
  <c r="BB175" i="25"/>
  <c r="BS175" i="25" s="1"/>
  <c r="BA64" i="25"/>
  <c r="BB64" i="25"/>
  <c r="BS64" i="25" s="1"/>
  <c r="BC64" i="25"/>
  <c r="BT64" i="25" s="1"/>
  <c r="BB171" i="25"/>
  <c r="BS171" i="25" s="1"/>
  <c r="BA171" i="25"/>
  <c r="BC171" i="25"/>
  <c r="BT171" i="25" s="1"/>
  <c r="BR240" i="25"/>
  <c r="BX240" i="25" s="1"/>
  <c r="BE240" i="25"/>
  <c r="BG189" i="24"/>
  <c r="BS189" i="24"/>
  <c r="BX189" i="24" s="1"/>
  <c r="BG93" i="24"/>
  <c r="BM93" i="24" s="1"/>
  <c r="BS93" i="24"/>
  <c r="BV93" i="24" s="1"/>
  <c r="BX93" i="24" s="1"/>
  <c r="BC73" i="25"/>
  <c r="BT73" i="25" s="1"/>
  <c r="BA73" i="25"/>
  <c r="BB73" i="25"/>
  <c r="BS73" i="25" s="1"/>
  <c r="BS268" i="24"/>
  <c r="BX268" i="24" s="1"/>
  <c r="BG268" i="24"/>
  <c r="BR21" i="25"/>
  <c r="BV21" i="25" s="1"/>
  <c r="BX21" i="25" s="1"/>
  <c r="BE21" i="25"/>
  <c r="BK21" i="25" s="1"/>
  <c r="BN44" i="24"/>
  <c r="BY44" i="24"/>
  <c r="CA44" i="24" s="1"/>
  <c r="CB44" i="24" s="1"/>
  <c r="BB8" i="25"/>
  <c r="BS8" i="25" s="1"/>
  <c r="BA8" i="25"/>
  <c r="BC8" i="25"/>
  <c r="BT8" i="25" s="1"/>
  <c r="BG42" i="24"/>
  <c r="BM42" i="24" s="1"/>
  <c r="BS42" i="24"/>
  <c r="BV42" i="24" s="1"/>
  <c r="BX42" i="24" s="1"/>
  <c r="BY191" i="24"/>
  <c r="CA191" i="24" s="1"/>
  <c r="BM191" i="24"/>
  <c r="BN191" i="24" s="1"/>
  <c r="BA234" i="25"/>
  <c r="BC234" i="25"/>
  <c r="BT234" i="25" s="1"/>
  <c r="BB234" i="25"/>
  <c r="BS234" i="25" s="1"/>
  <c r="BB84" i="25"/>
  <c r="BS84" i="25" s="1"/>
  <c r="BC84" i="25"/>
  <c r="BT84" i="25" s="1"/>
  <c r="BA84" i="25"/>
  <c r="BS43" i="24"/>
  <c r="BV43" i="24" s="1"/>
  <c r="BX43" i="24" s="1"/>
  <c r="BG43" i="24"/>
  <c r="BM43" i="24" s="1"/>
  <c r="BC116" i="25"/>
  <c r="BT116" i="25" s="1"/>
  <c r="BB116" i="25"/>
  <c r="BS116" i="25" s="1"/>
  <c r="BA116" i="25"/>
  <c r="BG116" i="24"/>
  <c r="BS116" i="24"/>
  <c r="BX116" i="24" s="1"/>
  <c r="BE34" i="25"/>
  <c r="BK34" i="25" s="1"/>
  <c r="BR34" i="25"/>
  <c r="BV34" i="25" s="1"/>
  <c r="BX34" i="25" s="1"/>
  <c r="BG196" i="24"/>
  <c r="BS196" i="24"/>
  <c r="BX196" i="24" s="1"/>
  <c r="BG173" i="24"/>
  <c r="BS173" i="24"/>
  <c r="BX173" i="24" s="1"/>
  <c r="BB146" i="25"/>
  <c r="BS146" i="25" s="1"/>
  <c r="BC146" i="25"/>
  <c r="BT146" i="25" s="1"/>
  <c r="BA146" i="25"/>
  <c r="BC63" i="25"/>
  <c r="BT63" i="25" s="1"/>
  <c r="BB63" i="25"/>
  <c r="BS63" i="25" s="1"/>
  <c r="BA63" i="25"/>
  <c r="BA52" i="25"/>
  <c r="BB52" i="25"/>
  <c r="BS52" i="25" s="1"/>
  <c r="BC52" i="25"/>
  <c r="BT52" i="25" s="1"/>
  <c r="BB290" i="25"/>
  <c r="BS290" i="25" s="1"/>
  <c r="BC290" i="25"/>
  <c r="BT290" i="25" s="1"/>
  <c r="BA290" i="25"/>
  <c r="BG125" i="24"/>
  <c r="BS125" i="24"/>
  <c r="BX125" i="24" s="1"/>
  <c r="BS221" i="24"/>
  <c r="BX221" i="24" s="1"/>
  <c r="BG221" i="24"/>
  <c r="BB249" i="25"/>
  <c r="BS249" i="25" s="1"/>
  <c r="BA249" i="25"/>
  <c r="BC249" i="25"/>
  <c r="BT249" i="25" s="1"/>
  <c r="BE114" i="25"/>
  <c r="BR114" i="25"/>
  <c r="BX114" i="25" s="1"/>
  <c r="BB300" i="25"/>
  <c r="BS300" i="25" s="1"/>
  <c r="BA300" i="25"/>
  <c r="BC300" i="25"/>
  <c r="BT300" i="25" s="1"/>
  <c r="BG186" i="24"/>
  <c r="BS186" i="24"/>
  <c r="BX186" i="24" s="1"/>
  <c r="BA153" i="25"/>
  <c r="BB153" i="25"/>
  <c r="BS153" i="25" s="1"/>
  <c r="BC153" i="25"/>
  <c r="BT153" i="25" s="1"/>
  <c r="BN21" i="24"/>
  <c r="BY21" i="24"/>
  <c r="CA21" i="24" s="1"/>
  <c r="CB21" i="24" s="1"/>
  <c r="BG267" i="24"/>
  <c r="BS267" i="24"/>
  <c r="BX267" i="24" s="1"/>
  <c r="BG281" i="24"/>
  <c r="BS281" i="24"/>
  <c r="BX281" i="24" s="1"/>
  <c r="BS94" i="24"/>
  <c r="BV94" i="24" s="1"/>
  <c r="BX94" i="24" s="1"/>
  <c r="BG94" i="24"/>
  <c r="BM94" i="24" s="1"/>
  <c r="BS13" i="24"/>
  <c r="BV13" i="24" s="1"/>
  <c r="BX13" i="24" s="1"/>
  <c r="BG13" i="24"/>
  <c r="BM13" i="24" s="1"/>
  <c r="BA281" i="25"/>
  <c r="BC281" i="25"/>
  <c r="BT281" i="25" s="1"/>
  <c r="BB281" i="25"/>
  <c r="BS281" i="25" s="1"/>
  <c r="BG220" i="24"/>
  <c r="BS220" i="24"/>
  <c r="BX220" i="24" s="1"/>
  <c r="BE275" i="25"/>
  <c r="BR275" i="25"/>
  <c r="BX275" i="25" s="1"/>
  <c r="BA160" i="25"/>
  <c r="BB160" i="25"/>
  <c r="BS160" i="25" s="1"/>
  <c r="BC160" i="25"/>
  <c r="BT160" i="25" s="1"/>
  <c r="U452" i="29"/>
  <c r="V452" i="29"/>
  <c r="U97" i="29"/>
  <c r="V97" i="29"/>
  <c r="U159" i="29"/>
  <c r="V159" i="29"/>
  <c r="V485" i="29"/>
  <c r="U485" i="29"/>
  <c r="V285" i="29"/>
  <c r="U285" i="29"/>
  <c r="U271" i="29"/>
  <c r="V271" i="29"/>
  <c r="V599" i="29"/>
  <c r="U599" i="29"/>
  <c r="U304" i="29"/>
  <c r="V304" i="29"/>
  <c r="V193" i="29"/>
  <c r="U193" i="29"/>
  <c r="U478" i="29"/>
  <c r="V478" i="29"/>
  <c r="U58" i="29"/>
  <c r="V58" i="29"/>
  <c r="AO585" i="29"/>
  <c r="BG222" i="24"/>
  <c r="BS222" i="24"/>
  <c r="BX222" i="24" s="1"/>
  <c r="BS70" i="24"/>
  <c r="BV70" i="24" s="1"/>
  <c r="BX70" i="24" s="1"/>
  <c r="BG70" i="24"/>
  <c r="BM70" i="24" s="1"/>
  <c r="BE282" i="25"/>
  <c r="BR282" i="25"/>
  <c r="BX282" i="25" s="1"/>
  <c r="BB302" i="25"/>
  <c r="BS302" i="25" s="1"/>
  <c r="BC302" i="25"/>
  <c r="BT302" i="25" s="1"/>
  <c r="BA302" i="25"/>
  <c r="BB176" i="25"/>
  <c r="BS176" i="25" s="1"/>
  <c r="BC176" i="25"/>
  <c r="BT176" i="25" s="1"/>
  <c r="BA176" i="25"/>
  <c r="BG158" i="24"/>
  <c r="BS158" i="24"/>
  <c r="BX158" i="24" s="1"/>
  <c r="BR201" i="25"/>
  <c r="BX201" i="25" s="1"/>
  <c r="BE201" i="25"/>
  <c r="BG90" i="24"/>
  <c r="BM90" i="24" s="1"/>
  <c r="BS90" i="24"/>
  <c r="BV90" i="24" s="1"/>
  <c r="BX90" i="24" s="1"/>
  <c r="BE95" i="25"/>
  <c r="BK95" i="25" s="1"/>
  <c r="BR95" i="25"/>
  <c r="BV95" i="25" s="1"/>
  <c r="BX95" i="25" s="1"/>
  <c r="BA41" i="25"/>
  <c r="BB41" i="25"/>
  <c r="BS41" i="25" s="1"/>
  <c r="BC41" i="25"/>
  <c r="BT41" i="25" s="1"/>
  <c r="BA17" i="25"/>
  <c r="BB17" i="25"/>
  <c r="BS17" i="25" s="1"/>
  <c r="BC17" i="25"/>
  <c r="BT17" i="25" s="1"/>
  <c r="BS56" i="24"/>
  <c r="BV56" i="24" s="1"/>
  <c r="BX56" i="24" s="1"/>
  <c r="BG56" i="24"/>
  <c r="BM56" i="24" s="1"/>
  <c r="BS91" i="24"/>
  <c r="BV91" i="24" s="1"/>
  <c r="BX91" i="24" s="1"/>
  <c r="BG91" i="24"/>
  <c r="BM91" i="24" s="1"/>
  <c r="BE92" i="25"/>
  <c r="BK92" i="25" s="1"/>
  <c r="BR92" i="25"/>
  <c r="BV92" i="25" s="1"/>
  <c r="BX92" i="25" s="1"/>
  <c r="BN24" i="24"/>
  <c r="BY190" i="24"/>
  <c r="CA190" i="24" s="1"/>
  <c r="CB190" i="24" s="1"/>
  <c r="BM190" i="24"/>
  <c r="BN190" i="24" s="1"/>
  <c r="BS40" i="24"/>
  <c r="BV40" i="24" s="1"/>
  <c r="BX40" i="24" s="1"/>
  <c r="BG40" i="24"/>
  <c r="BM40" i="24" s="1"/>
  <c r="BG140" i="24"/>
  <c r="BS140" i="24"/>
  <c r="BX140" i="24" s="1"/>
  <c r="BC286" i="25"/>
  <c r="BT286" i="25" s="1"/>
  <c r="BB286" i="25"/>
  <c r="BS286" i="25" s="1"/>
  <c r="BA286" i="25"/>
  <c r="BA60" i="25"/>
  <c r="BC60" i="25"/>
  <c r="BT60" i="25" s="1"/>
  <c r="BB60" i="25"/>
  <c r="BS60" i="25" s="1"/>
  <c r="BG310" i="24"/>
  <c r="BS310" i="24"/>
  <c r="BX310" i="24" s="1"/>
  <c r="BA101" i="25"/>
  <c r="BC101" i="25"/>
  <c r="BT101" i="25" s="1"/>
  <c r="BB101" i="25"/>
  <c r="BS101" i="25" s="1"/>
  <c r="BB26" i="25"/>
  <c r="BS26" i="25" s="1"/>
  <c r="BC26" i="25"/>
  <c r="BT26" i="25" s="1"/>
  <c r="BA26" i="25"/>
  <c r="BE296" i="25"/>
  <c r="BR296" i="25"/>
  <c r="BX296" i="25" s="1"/>
  <c r="BN34" i="24"/>
  <c r="BA51" i="25"/>
  <c r="BC51" i="25"/>
  <c r="BT51" i="25" s="1"/>
  <c r="BB51" i="25"/>
  <c r="BS51" i="25" s="1"/>
  <c r="BG113" i="24"/>
  <c r="BS113" i="24"/>
  <c r="BX113" i="24" s="1"/>
  <c r="BA150" i="25"/>
  <c r="BB150" i="25"/>
  <c r="BS150" i="25" s="1"/>
  <c r="BC150" i="25"/>
  <c r="BT150" i="25" s="1"/>
  <c r="BG181" i="24"/>
  <c r="BS181" i="24"/>
  <c r="BX181" i="24" s="1"/>
  <c r="BS87" i="24"/>
  <c r="BV87" i="24" s="1"/>
  <c r="BX87" i="24" s="1"/>
  <c r="BG87" i="24"/>
  <c r="BM87" i="24" s="1"/>
  <c r="BG118" i="24"/>
  <c r="BS118" i="24"/>
  <c r="BX118" i="24" s="1"/>
  <c r="BE247" i="25"/>
  <c r="BR247" i="25"/>
  <c r="BX247" i="25" s="1"/>
  <c r="BG168" i="24"/>
  <c r="BS168" i="24"/>
  <c r="BX168" i="24" s="1"/>
  <c r="BB12" i="25"/>
  <c r="BS12" i="25" s="1"/>
  <c r="BC12" i="25"/>
  <c r="BT12" i="25" s="1"/>
  <c r="BA12" i="25"/>
  <c r="BG47" i="24"/>
  <c r="BM47" i="24" s="1"/>
  <c r="BS47" i="24"/>
  <c r="BV47" i="24" s="1"/>
  <c r="BX47" i="24" s="1"/>
  <c r="BA46" i="25"/>
  <c r="BB46" i="25"/>
  <c r="BS46" i="25" s="1"/>
  <c r="BC46" i="25"/>
  <c r="BT46" i="25" s="1"/>
  <c r="BB75" i="25"/>
  <c r="BS75" i="25" s="1"/>
  <c r="BC75" i="25"/>
  <c r="BT75" i="25" s="1"/>
  <c r="BA75" i="25"/>
  <c r="BG243" i="24"/>
  <c r="BS243" i="24"/>
  <c r="BX243" i="24" s="1"/>
  <c r="BG249" i="24"/>
  <c r="BS249" i="24"/>
  <c r="BX249" i="24" s="1"/>
  <c r="BA7" i="25"/>
  <c r="BB7" i="25"/>
  <c r="BS7" i="25" s="1"/>
  <c r="BC7" i="25"/>
  <c r="BT7" i="25" s="1"/>
  <c r="BC112" i="25"/>
  <c r="BT112" i="25" s="1"/>
  <c r="BB112" i="25"/>
  <c r="BS112" i="25" s="1"/>
  <c r="BA112" i="25"/>
  <c r="BC250" i="25"/>
  <c r="BT250" i="25" s="1"/>
  <c r="BA250" i="25"/>
  <c r="BB250" i="25"/>
  <c r="BS250" i="25" s="1"/>
  <c r="BG126" i="24"/>
  <c r="BS126" i="24"/>
  <c r="BX126" i="24" s="1"/>
  <c r="BG275" i="24"/>
  <c r="BS275" i="24"/>
  <c r="BX275" i="24" s="1"/>
  <c r="BG81" i="24"/>
  <c r="BM81" i="24" s="1"/>
  <c r="BS81" i="24"/>
  <c r="BV81" i="24" s="1"/>
  <c r="BX81" i="24" s="1"/>
  <c r="BG200" i="24"/>
  <c r="BS200" i="24"/>
  <c r="BX200" i="24" s="1"/>
  <c r="BS180" i="24"/>
  <c r="BX180" i="24" s="1"/>
  <c r="BG180" i="24"/>
  <c r="BC294" i="25"/>
  <c r="BT294" i="25" s="1"/>
  <c r="BB294" i="25"/>
  <c r="BS294" i="25" s="1"/>
  <c r="BA294" i="25"/>
  <c r="BE186" i="25"/>
  <c r="BR186" i="25"/>
  <c r="BX186" i="25" s="1"/>
  <c r="BE131" i="25"/>
  <c r="BR131" i="25"/>
  <c r="BX131" i="25" s="1"/>
  <c r="BG246" i="24"/>
  <c r="BS246" i="24"/>
  <c r="BX246" i="24" s="1"/>
  <c r="BS66" i="24"/>
  <c r="BV66" i="24" s="1"/>
  <c r="BX66" i="24" s="1"/>
  <c r="BG66" i="24"/>
  <c r="BM66" i="24" s="1"/>
  <c r="BG293" i="24"/>
  <c r="BS293" i="24"/>
  <c r="BX293" i="24" s="1"/>
  <c r="BG15" i="24"/>
  <c r="BM15" i="24" s="1"/>
  <c r="BS15" i="24"/>
  <c r="BV15" i="24" s="1"/>
  <c r="BX15" i="24" s="1"/>
  <c r="BG230" i="24"/>
  <c r="BS230" i="24"/>
  <c r="BX230" i="24" s="1"/>
  <c r="BB168" i="25"/>
  <c r="BS168" i="25" s="1"/>
  <c r="BC168" i="25"/>
  <c r="BT168" i="25" s="1"/>
  <c r="BA168" i="25"/>
  <c r="BE174" i="25"/>
  <c r="BR174" i="25"/>
  <c r="BX174" i="25" s="1"/>
  <c r="BE314" i="25"/>
  <c r="BR314" i="25"/>
  <c r="BX314" i="25" s="1"/>
  <c r="BB184" i="25"/>
  <c r="BS184" i="25" s="1"/>
  <c r="BC184" i="25"/>
  <c r="BT184" i="25" s="1"/>
  <c r="BA184" i="25"/>
  <c r="BY294" i="24"/>
  <c r="CA294" i="24" s="1"/>
  <c r="CB294" i="24" s="1"/>
  <c r="BM294" i="24"/>
  <c r="BN294" i="24" s="1"/>
  <c r="BR82" i="25"/>
  <c r="BV82" i="25" s="1"/>
  <c r="BX82" i="25" s="1"/>
  <c r="BE82" i="25"/>
  <c r="BK82" i="25" s="1"/>
  <c r="BG309" i="24"/>
  <c r="BS309" i="24"/>
  <c r="BX309" i="24" s="1"/>
  <c r="BG35" i="24"/>
  <c r="BM35" i="24" s="1"/>
  <c r="BS35" i="24"/>
  <c r="BV35" i="24" s="1"/>
  <c r="BX35" i="24" s="1"/>
  <c r="BC202" i="25"/>
  <c r="BT202" i="25" s="1"/>
  <c r="BB202" i="25"/>
  <c r="BS202" i="25" s="1"/>
  <c r="BA202" i="25"/>
  <c r="BG174" i="24"/>
  <c r="BS174" i="24"/>
  <c r="BX174" i="24" s="1"/>
  <c r="BC142" i="25"/>
  <c r="BT142" i="25" s="1"/>
  <c r="BB142" i="25"/>
  <c r="BS142" i="25" s="1"/>
  <c r="BA142" i="25"/>
  <c r="BC298" i="25"/>
  <c r="BT298" i="25" s="1"/>
  <c r="BB298" i="25"/>
  <c r="BS298" i="25" s="1"/>
  <c r="BA298" i="25"/>
  <c r="BS23" i="24"/>
  <c r="BV23" i="24" s="1"/>
  <c r="BX23" i="24" s="1"/>
  <c r="BG23" i="24"/>
  <c r="BM23" i="24" s="1"/>
  <c r="BA22" i="25"/>
  <c r="BC22" i="25"/>
  <c r="BT22" i="25" s="1"/>
  <c r="BB22" i="25"/>
  <c r="BS22" i="25" s="1"/>
  <c r="BG74" i="24"/>
  <c r="BM74" i="24" s="1"/>
  <c r="BS74" i="24"/>
  <c r="BV74" i="24" s="1"/>
  <c r="BX74" i="24" s="1"/>
  <c r="BB253" i="25"/>
  <c r="BS253" i="25" s="1"/>
  <c r="BC253" i="25"/>
  <c r="BT253" i="25" s="1"/>
  <c r="BA253" i="25"/>
  <c r="BA141" i="25"/>
  <c r="BC141" i="25"/>
  <c r="BT141" i="25" s="1"/>
  <c r="BB141" i="25"/>
  <c r="BS141" i="25" s="1"/>
  <c r="BG127" i="24"/>
  <c r="BS127" i="24"/>
  <c r="BX127" i="24" s="1"/>
  <c r="BB162" i="25"/>
  <c r="BS162" i="25" s="1"/>
  <c r="BC162" i="25"/>
  <c r="BT162" i="25" s="1"/>
  <c r="BA162" i="25"/>
  <c r="BE229" i="25"/>
  <c r="BR229" i="25"/>
  <c r="BX229" i="25" s="1"/>
  <c r="BG312" i="24"/>
  <c r="BS312" i="24"/>
  <c r="BX312" i="24" s="1"/>
  <c r="BS68" i="24"/>
  <c r="BV68" i="24" s="1"/>
  <c r="BX68" i="24" s="1"/>
  <c r="BG68" i="24"/>
  <c r="BM68" i="24" s="1"/>
  <c r="BM282" i="24"/>
  <c r="BN282" i="24" s="1"/>
  <c r="BS36" i="24"/>
  <c r="BV36" i="24" s="1"/>
  <c r="BX36" i="24" s="1"/>
  <c r="BG36" i="24"/>
  <c r="BM36" i="24" s="1"/>
  <c r="BA285" i="25"/>
  <c r="BB285" i="25"/>
  <c r="BS285" i="25" s="1"/>
  <c r="BC285" i="25"/>
  <c r="BT285" i="25" s="1"/>
  <c r="BG262" i="24"/>
  <c r="BS262" i="24"/>
  <c r="BX262" i="24" s="1"/>
  <c r="BA103" i="25"/>
  <c r="BC103" i="25"/>
  <c r="BT103" i="25" s="1"/>
  <c r="BB103" i="25"/>
  <c r="BS103" i="25" s="1"/>
  <c r="BA164" i="25"/>
  <c r="BC164" i="25"/>
  <c r="BT164" i="25" s="1"/>
  <c r="BB164" i="25"/>
  <c r="BS164" i="25" s="1"/>
  <c r="BG297" i="24"/>
  <c r="BS297" i="24"/>
  <c r="BX297" i="24" s="1"/>
  <c r="BS96" i="24"/>
  <c r="BV96" i="24" s="1"/>
  <c r="BX96" i="24" s="1"/>
  <c r="BG96" i="24"/>
  <c r="BM96" i="24" s="1"/>
  <c r="BS60" i="24"/>
  <c r="BV60" i="24" s="1"/>
  <c r="BX60" i="24" s="1"/>
  <c r="BG60" i="24"/>
  <c r="BM60" i="24" s="1"/>
  <c r="U110" i="29"/>
  <c r="V110" i="29"/>
  <c r="U231" i="29"/>
  <c r="V231" i="29"/>
  <c r="V464" i="29"/>
  <c r="U464" i="29"/>
  <c r="V279" i="29"/>
  <c r="U279" i="29"/>
  <c r="U602" i="29"/>
  <c r="V602" i="29"/>
  <c r="U363" i="29"/>
  <c r="V363" i="29"/>
  <c r="V113" i="29"/>
  <c r="U113" i="29"/>
  <c r="U155" i="29"/>
  <c r="V155" i="29"/>
  <c r="U483" i="29"/>
  <c r="V483" i="29"/>
  <c r="BE258" i="25"/>
  <c r="BR258" i="25"/>
  <c r="BX258" i="25" s="1"/>
  <c r="BA50" i="25"/>
  <c r="BB50" i="25"/>
  <c r="BS50" i="25" s="1"/>
  <c r="BC50" i="25"/>
  <c r="BT50" i="25" s="1"/>
  <c r="BR28" i="25"/>
  <c r="BV28" i="25" s="1"/>
  <c r="BX28" i="25" s="1"/>
  <c r="BE28" i="25"/>
  <c r="BK28" i="25" s="1"/>
  <c r="BA216" i="25"/>
  <c r="BB216" i="25"/>
  <c r="BS216" i="25" s="1"/>
  <c r="BC216" i="25"/>
  <c r="BT216" i="25" s="1"/>
  <c r="BG192" i="24"/>
  <c r="BS192" i="24"/>
  <c r="BX192" i="24" s="1"/>
  <c r="BE32" i="25"/>
  <c r="BK32" i="25" s="1"/>
  <c r="BR32" i="25"/>
  <c r="BV32" i="25" s="1"/>
  <c r="BX32" i="25" s="1"/>
  <c r="BA193" i="25"/>
  <c r="BB193" i="25"/>
  <c r="BS193" i="25" s="1"/>
  <c r="BC193" i="25"/>
  <c r="BT193" i="25" s="1"/>
  <c r="BG218" i="24"/>
  <c r="BS218" i="24"/>
  <c r="BX218" i="24" s="1"/>
  <c r="BM117" i="24"/>
  <c r="BN117" i="24" s="1"/>
  <c r="BA152" i="25"/>
  <c r="BB152" i="25"/>
  <c r="BS152" i="25" s="1"/>
  <c r="BC152" i="25"/>
  <c r="BT152" i="25" s="1"/>
  <c r="BS32" i="24"/>
  <c r="BV32" i="24" s="1"/>
  <c r="BX32" i="24" s="1"/>
  <c r="BG32" i="24"/>
  <c r="BM32" i="24" s="1"/>
  <c r="BB197" i="25"/>
  <c r="BS197" i="25" s="1"/>
  <c r="BC197" i="25"/>
  <c r="BT197" i="25" s="1"/>
  <c r="BA197" i="25"/>
  <c r="BG271" i="24"/>
  <c r="BS271" i="24"/>
  <c r="BX271" i="24" s="1"/>
  <c r="BC288" i="25"/>
  <c r="BT288" i="25" s="1"/>
  <c r="BB288" i="25"/>
  <c r="BS288" i="25" s="1"/>
  <c r="BA288" i="25"/>
  <c r="BS62" i="24"/>
  <c r="BV62" i="24" s="1"/>
  <c r="BX62" i="24" s="1"/>
  <c r="BG62" i="24"/>
  <c r="BM62" i="24" s="1"/>
  <c r="BC308" i="25"/>
  <c r="BT308" i="25" s="1"/>
  <c r="BB308" i="25"/>
  <c r="BS308" i="25" s="1"/>
  <c r="BA308" i="25"/>
  <c r="BS103" i="24"/>
  <c r="BV103" i="24" s="1"/>
  <c r="BX103" i="24" s="1"/>
  <c r="BG103" i="24"/>
  <c r="BM103" i="24" s="1"/>
  <c r="BS73" i="24"/>
  <c r="BV73" i="24" s="1"/>
  <c r="BX73" i="24" s="1"/>
  <c r="BG73" i="24"/>
  <c r="BM73" i="24" s="1"/>
  <c r="BY143" i="25"/>
  <c r="CA143" i="25" s="1"/>
  <c r="CB143" i="25" s="1"/>
  <c r="BL143" i="25"/>
  <c r="BK143" i="25"/>
  <c r="BG285" i="24"/>
  <c r="BS285" i="24"/>
  <c r="BX285" i="24" s="1"/>
  <c r="BE177" i="25"/>
  <c r="BR177" i="25"/>
  <c r="BX177" i="25" s="1"/>
  <c r="BG171" i="24"/>
  <c r="BS171" i="24"/>
  <c r="BX171" i="24" s="1"/>
  <c r="BY120" i="24"/>
  <c r="CA120" i="24" s="1"/>
  <c r="CB120" i="24" s="1"/>
  <c r="BM120" i="24"/>
  <c r="BN120" i="24" s="1"/>
  <c r="BB220" i="25"/>
  <c r="BS220" i="25" s="1"/>
  <c r="BC220" i="25"/>
  <c r="BT220" i="25" s="1"/>
  <c r="BA220" i="25"/>
  <c r="BA163" i="25"/>
  <c r="BC163" i="25"/>
  <c r="BT163" i="25" s="1"/>
  <c r="BB163" i="25"/>
  <c r="BS163" i="25" s="1"/>
  <c r="B122" i="2"/>
  <c r="B125" i="2"/>
  <c r="L36" i="1" s="1"/>
  <c r="BG176" i="24"/>
  <c r="BS176" i="24"/>
  <c r="BX176" i="24" s="1"/>
  <c r="BA27" i="25"/>
  <c r="BB27" i="25"/>
  <c r="BS27" i="25" s="1"/>
  <c r="BC27" i="25"/>
  <c r="BT27" i="25" s="1"/>
  <c r="BG153" i="24"/>
  <c r="BS153" i="24"/>
  <c r="BX153" i="24" s="1"/>
  <c r="BA208" i="25"/>
  <c r="BC208" i="25"/>
  <c r="BT208" i="25" s="1"/>
  <c r="BB208" i="25"/>
  <c r="BS208" i="25" s="1"/>
  <c r="BY240" i="24"/>
  <c r="CA240" i="24" s="1"/>
  <c r="CB240" i="24" s="1"/>
  <c r="BM240" i="24"/>
  <c r="BN240" i="24" s="1"/>
  <c r="BG175" i="24"/>
  <c r="BS175" i="24"/>
  <c r="BX175" i="24" s="1"/>
  <c r="BE267" i="25"/>
  <c r="BR267" i="25"/>
  <c r="BX267" i="25" s="1"/>
  <c r="BA228" i="25"/>
  <c r="BB228" i="25"/>
  <c r="BS228" i="25" s="1"/>
  <c r="BC228" i="25"/>
  <c r="BT228" i="25" s="1"/>
  <c r="BA126" i="25"/>
  <c r="BB126" i="25"/>
  <c r="BS126" i="25" s="1"/>
  <c r="BC126" i="25"/>
  <c r="BT126" i="25" s="1"/>
  <c r="BG86" i="24"/>
  <c r="BM86" i="24" s="1"/>
  <c r="BS86" i="24"/>
  <c r="BV86" i="24" s="1"/>
  <c r="BX86" i="24" s="1"/>
  <c r="BN101" i="24"/>
  <c r="BY101" i="24"/>
  <c r="CA101" i="24" s="1"/>
  <c r="BA19" i="25"/>
  <c r="BC19" i="25"/>
  <c r="BT19" i="25" s="1"/>
  <c r="BB19" i="25"/>
  <c r="BS19" i="25" s="1"/>
  <c r="BS52" i="24"/>
  <c r="BV52" i="24" s="1"/>
  <c r="BX52" i="24" s="1"/>
  <c r="BG52" i="24"/>
  <c r="BM52" i="24" s="1"/>
  <c r="BS79" i="24"/>
  <c r="BV79" i="24" s="1"/>
  <c r="BX79" i="24" s="1"/>
  <c r="BG79" i="24"/>
  <c r="BM79" i="24" s="1"/>
  <c r="BG197" i="24"/>
  <c r="BS197" i="24"/>
  <c r="BX197" i="24" s="1"/>
  <c r="BA268" i="25"/>
  <c r="BC268" i="25"/>
  <c r="BT268" i="25" s="1"/>
  <c r="BB268" i="25"/>
  <c r="BS268" i="25" s="1"/>
  <c r="BS65" i="24"/>
  <c r="BV65" i="24" s="1"/>
  <c r="BX65" i="24" s="1"/>
  <c r="BG65" i="24"/>
  <c r="BM65" i="24" s="1"/>
  <c r="BE190" i="25"/>
  <c r="BR190" i="25"/>
  <c r="BX190" i="25" s="1"/>
  <c r="BG17" i="24"/>
  <c r="BM17" i="24" s="1"/>
  <c r="BS17" i="24"/>
  <c r="BV17" i="24" s="1"/>
  <c r="BX17" i="24" s="1"/>
  <c r="BG114" i="24"/>
  <c r="BS114" i="24"/>
  <c r="BX114" i="24" s="1"/>
  <c r="BG30" i="24"/>
  <c r="BM30" i="24" s="1"/>
  <c r="BS30" i="24"/>
  <c r="BV30" i="24" s="1"/>
  <c r="BX30" i="24" s="1"/>
  <c r="BA35" i="25"/>
  <c r="BB35" i="25"/>
  <c r="BS35" i="25" s="1"/>
  <c r="BC35" i="25"/>
  <c r="BT35" i="25" s="1"/>
  <c r="BG201" i="24"/>
  <c r="BS201" i="24"/>
  <c r="BX201" i="24" s="1"/>
  <c r="BS9" i="24"/>
  <c r="BV9" i="24" s="1"/>
  <c r="BX9" i="24" s="1"/>
  <c r="BG9" i="24"/>
  <c r="BM9" i="24" s="1"/>
  <c r="BR192" i="25"/>
  <c r="BX192" i="25" s="1"/>
  <c r="BE192" i="25"/>
  <c r="BE238" i="25"/>
  <c r="BR238" i="25"/>
  <c r="BX238" i="25" s="1"/>
  <c r="BA24" i="25"/>
  <c r="BB24" i="25"/>
  <c r="BS24" i="25" s="1"/>
  <c r="BC24" i="25"/>
  <c r="BT24" i="25" s="1"/>
  <c r="BE291" i="25"/>
  <c r="BR291" i="25"/>
  <c r="BX291" i="25" s="1"/>
  <c r="BN6" i="24"/>
  <c r="BS49" i="24"/>
  <c r="BV49" i="24" s="1"/>
  <c r="BX49" i="24" s="1"/>
  <c r="BG49" i="24"/>
  <c r="BM49" i="24" s="1"/>
  <c r="BC79" i="25"/>
  <c r="BT79" i="25" s="1"/>
  <c r="BB79" i="25"/>
  <c r="BS79" i="25" s="1"/>
  <c r="BA79" i="25"/>
  <c r="BG223" i="24"/>
  <c r="BS223" i="24"/>
  <c r="BX223" i="24" s="1"/>
  <c r="BM279" i="24"/>
  <c r="BN279" i="24" s="1"/>
  <c r="BB169" i="25"/>
  <c r="BS169" i="25" s="1"/>
  <c r="BC169" i="25"/>
  <c r="BT169" i="25" s="1"/>
  <c r="BA169" i="25"/>
  <c r="BC310" i="25"/>
  <c r="BT310" i="25" s="1"/>
  <c r="BA310" i="25"/>
  <c r="BB310" i="25"/>
  <c r="BS310" i="25" s="1"/>
  <c r="BS39" i="24"/>
  <c r="BV39" i="24" s="1"/>
  <c r="BX39" i="24" s="1"/>
  <c r="BG39" i="24"/>
  <c r="BM39" i="24" s="1"/>
  <c r="BG314" i="24"/>
  <c r="BS314" i="24"/>
  <c r="BX314" i="24" s="1"/>
  <c r="BA135" i="25"/>
  <c r="BB135" i="25"/>
  <c r="BS135" i="25" s="1"/>
  <c r="BC135" i="25"/>
  <c r="BT135" i="25" s="1"/>
  <c r="BG307" i="24"/>
  <c r="BS307" i="24"/>
  <c r="BX307" i="24" s="1"/>
  <c r="BA301" i="25"/>
  <c r="BB301" i="25"/>
  <c r="BS301" i="25" s="1"/>
  <c r="BC301" i="25"/>
  <c r="BT301" i="25" s="1"/>
  <c r="BY152" i="24"/>
  <c r="CA152" i="24" s="1"/>
  <c r="CB152" i="24" s="1"/>
  <c r="BM152" i="24"/>
  <c r="BN152" i="24" s="1"/>
  <c r="BG124" i="24"/>
  <c r="BS124" i="24"/>
  <c r="BX124" i="24" s="1"/>
  <c r="BG163" i="24"/>
  <c r="BS163" i="24"/>
  <c r="BX163" i="24" s="1"/>
  <c r="BR261" i="25"/>
  <c r="BX261" i="25" s="1"/>
  <c r="BE261" i="25"/>
  <c r="BA304" i="25"/>
  <c r="BC304" i="25"/>
  <c r="BT304" i="25" s="1"/>
  <c r="BB304" i="25"/>
  <c r="BS304" i="25" s="1"/>
  <c r="BB195" i="25"/>
  <c r="BS195" i="25" s="1"/>
  <c r="BC195" i="25"/>
  <c r="BT195" i="25" s="1"/>
  <c r="BA195" i="25"/>
  <c r="V393" i="29"/>
  <c r="U393" i="29"/>
  <c r="U445" i="29"/>
  <c r="V445" i="29"/>
  <c r="V106" i="29"/>
  <c r="V261" i="29"/>
  <c r="U261" i="29"/>
  <c r="U328" i="29"/>
  <c r="V328" i="29"/>
  <c r="V78" i="29"/>
  <c r="U78" i="29"/>
  <c r="U59" i="29"/>
  <c r="V59" i="29"/>
  <c r="V174" i="29"/>
  <c r="U174" i="29"/>
  <c r="V163" i="29"/>
  <c r="U163" i="29"/>
  <c r="V206" i="29"/>
  <c r="U206" i="29"/>
  <c r="U337" i="29"/>
  <c r="V337" i="29"/>
  <c r="V253" i="29"/>
  <c r="U253" i="29"/>
  <c r="BG184" i="24"/>
  <c r="BS184" i="24"/>
  <c r="BX184" i="24" s="1"/>
  <c r="BG157" i="24"/>
  <c r="BS157" i="24"/>
  <c r="BX157" i="24" s="1"/>
  <c r="BY260" i="24"/>
  <c r="CA260" i="24" s="1"/>
  <c r="CB260" i="24" s="1"/>
  <c r="BM260" i="24"/>
  <c r="BN260" i="24" s="1"/>
  <c r="BN58" i="24"/>
  <c r="BC272" i="25"/>
  <c r="BT272" i="25" s="1"/>
  <c r="BB272" i="25"/>
  <c r="BS272" i="25" s="1"/>
  <c r="BA272" i="25"/>
  <c r="BY22" i="24"/>
  <c r="CA22" i="24" s="1"/>
  <c r="CB22" i="24" s="1"/>
  <c r="BN22" i="24"/>
  <c r="BG123" i="24"/>
  <c r="BS123" i="24"/>
  <c r="BX123" i="24" s="1"/>
  <c r="BG198" i="24"/>
  <c r="BS198" i="24"/>
  <c r="BX198" i="24" s="1"/>
  <c r="BG258" i="24"/>
  <c r="BS258" i="24"/>
  <c r="BX258" i="24" s="1"/>
  <c r="BA303" i="25"/>
  <c r="BC303" i="25"/>
  <c r="BT303" i="25" s="1"/>
  <c r="BB303" i="25"/>
  <c r="BS303" i="25" s="1"/>
  <c r="BB205" i="25"/>
  <c r="BS205" i="25" s="1"/>
  <c r="BC205" i="25"/>
  <c r="BT205" i="25" s="1"/>
  <c r="BA205" i="25"/>
  <c r="BE31" i="25"/>
  <c r="BK31" i="25" s="1"/>
  <c r="BR31" i="25"/>
  <c r="BV31" i="25" s="1"/>
  <c r="BX31" i="25" s="1"/>
  <c r="BG71" i="24"/>
  <c r="BM71" i="24" s="1"/>
  <c r="BS71" i="24"/>
  <c r="BV71" i="24" s="1"/>
  <c r="BX71" i="24" s="1"/>
  <c r="BB295" i="25"/>
  <c r="BS295" i="25" s="1"/>
  <c r="BC295" i="25"/>
  <c r="BT295" i="25" s="1"/>
  <c r="BA295" i="25"/>
  <c r="BG195" i="24"/>
  <c r="BS195" i="24"/>
  <c r="BX195" i="24" s="1"/>
  <c r="BG129" i="24"/>
  <c r="BS129" i="24"/>
  <c r="BX129" i="24" s="1"/>
  <c r="BA38" i="25"/>
  <c r="BC38" i="25"/>
  <c r="BT38" i="25" s="1"/>
  <c r="BB38" i="25"/>
  <c r="BS38" i="25" s="1"/>
  <c r="BA20" i="25"/>
  <c r="BC20" i="25"/>
  <c r="BT20" i="25" s="1"/>
  <c r="BB20" i="25"/>
  <c r="BS20" i="25" s="1"/>
  <c r="BG104" i="24"/>
  <c r="BM104" i="24" s="1"/>
  <c r="BS104" i="24"/>
  <c r="BV104" i="24" s="1"/>
  <c r="BX104" i="24" s="1"/>
  <c r="BN20" i="24"/>
  <c r="BA307" i="25"/>
  <c r="BB307" i="25"/>
  <c r="BS307" i="25" s="1"/>
  <c r="BC307" i="25"/>
  <c r="BT307" i="25" s="1"/>
  <c r="BY142" i="24"/>
  <c r="CA142" i="24" s="1"/>
  <c r="CB142" i="24" s="1"/>
  <c r="BM142" i="24"/>
  <c r="BN142" i="24" s="1"/>
  <c r="BB315" i="25"/>
  <c r="BS315" i="25" s="1"/>
  <c r="BC315" i="25"/>
  <c r="BT315" i="25" s="1"/>
  <c r="BA315" i="25"/>
  <c r="BG144" i="24"/>
  <c r="BS144" i="24"/>
  <c r="BX144" i="24" s="1"/>
  <c r="BB133" i="25"/>
  <c r="BS133" i="25" s="1"/>
  <c r="BA133" i="25"/>
  <c r="BC133" i="25"/>
  <c r="BT133" i="25" s="1"/>
  <c r="BC134" i="25"/>
  <c r="BT134" i="25" s="1"/>
  <c r="BB134" i="25"/>
  <c r="BS134" i="25" s="1"/>
  <c r="BA134" i="25"/>
  <c r="BC140" i="25"/>
  <c r="BT140" i="25" s="1"/>
  <c r="BB140" i="25"/>
  <c r="BS140" i="25" s="1"/>
  <c r="BA140" i="25"/>
  <c r="BG304" i="24"/>
  <c r="BS304" i="24"/>
  <c r="BX304" i="24" s="1"/>
  <c r="BA70" i="25"/>
  <c r="BB70" i="25"/>
  <c r="BS70" i="25" s="1"/>
  <c r="BC70" i="25"/>
  <c r="BT70" i="25" s="1"/>
  <c r="BG206" i="24"/>
  <c r="BS206" i="24"/>
  <c r="BX206" i="24" s="1"/>
  <c r="BB61" i="25"/>
  <c r="BS61" i="25" s="1"/>
  <c r="BA61" i="25"/>
  <c r="BC61" i="25"/>
  <c r="BT61" i="25" s="1"/>
  <c r="BB145" i="25"/>
  <c r="BS145" i="25" s="1"/>
  <c r="BC145" i="25"/>
  <c r="BT145" i="25" s="1"/>
  <c r="BA145" i="25"/>
  <c r="BG286" i="24"/>
  <c r="BS286" i="24"/>
  <c r="BX286" i="24" s="1"/>
  <c r="BE13" i="25"/>
  <c r="BK13" i="25" s="1"/>
  <c r="BR13" i="25"/>
  <c r="BV13" i="25" s="1"/>
  <c r="BX13" i="25" s="1"/>
  <c r="BG46" i="24"/>
  <c r="BM46" i="24" s="1"/>
  <c r="BS46" i="24"/>
  <c r="BV46" i="24" s="1"/>
  <c r="BX46" i="24" s="1"/>
  <c r="BC122" i="25"/>
  <c r="BT122" i="25" s="1"/>
  <c r="BA122" i="25"/>
  <c r="BB122" i="25"/>
  <c r="BS122" i="25" s="1"/>
  <c r="BA180" i="25"/>
  <c r="BC180" i="25"/>
  <c r="BT180" i="25" s="1"/>
  <c r="BB180" i="25"/>
  <c r="BS180" i="25" s="1"/>
  <c r="BB76" i="25"/>
  <c r="BS76" i="25" s="1"/>
  <c r="BC76" i="25"/>
  <c r="BT76" i="25" s="1"/>
  <c r="BA76" i="25"/>
  <c r="BG76" i="24"/>
  <c r="BM76" i="24" s="1"/>
  <c r="BS76" i="24"/>
  <c r="BV76" i="24" s="1"/>
  <c r="BX76" i="24" s="1"/>
  <c r="BS203" i="24"/>
  <c r="BX203" i="24" s="1"/>
  <c r="BG203" i="24"/>
  <c r="BG284" i="24"/>
  <c r="BS284" i="24"/>
  <c r="BX284" i="24" s="1"/>
  <c r="BB230" i="25"/>
  <c r="BS230" i="25" s="1"/>
  <c r="BA230" i="25"/>
  <c r="BC230" i="25"/>
  <c r="BT230" i="25" s="1"/>
  <c r="BG194" i="24"/>
  <c r="BS194" i="24"/>
  <c r="BX194" i="24" s="1"/>
  <c r="BB45" i="25"/>
  <c r="BS45" i="25" s="1"/>
  <c r="BC45" i="25"/>
  <c r="BT45" i="25" s="1"/>
  <c r="BA45" i="25"/>
  <c r="BR14" i="25"/>
  <c r="BV14" i="25" s="1"/>
  <c r="BX14" i="25" s="1"/>
  <c r="BE14" i="25"/>
  <c r="BK14" i="25" s="1"/>
  <c r="BE155" i="25"/>
  <c r="BR155" i="25"/>
  <c r="BX155" i="25" s="1"/>
  <c r="BA47" i="25"/>
  <c r="BC47" i="25"/>
  <c r="BT47" i="25" s="1"/>
  <c r="BB47" i="25"/>
  <c r="BS47" i="25" s="1"/>
  <c r="BC203" i="25"/>
  <c r="BT203" i="25" s="1"/>
  <c r="BB203" i="25"/>
  <c r="BS203" i="25" s="1"/>
  <c r="BA203" i="25"/>
  <c r="BY264" i="24"/>
  <c r="CA264" i="24" s="1"/>
  <c r="CB264" i="24" s="1"/>
  <c r="BM264" i="24"/>
  <c r="BN264" i="24" s="1"/>
  <c r="BS82" i="24"/>
  <c r="BV82" i="24" s="1"/>
  <c r="BX82" i="24" s="1"/>
  <c r="BG82" i="24"/>
  <c r="BM82" i="24" s="1"/>
  <c r="BS69" i="24"/>
  <c r="BV69" i="24" s="1"/>
  <c r="BX69" i="24" s="1"/>
  <c r="BG69" i="24"/>
  <c r="BM69" i="24" s="1"/>
  <c r="BB53" i="25"/>
  <c r="BS53" i="25" s="1"/>
  <c r="BC53" i="25"/>
  <c r="BT53" i="25" s="1"/>
  <c r="BA53" i="25"/>
  <c r="BG241" i="24"/>
  <c r="BS241" i="24"/>
  <c r="BX241" i="24" s="1"/>
  <c r="BB137" i="25"/>
  <c r="BS137" i="25" s="1"/>
  <c r="BC137" i="25"/>
  <c r="BT137" i="25" s="1"/>
  <c r="BA137" i="25"/>
  <c r="BE170" i="25"/>
  <c r="BR170" i="25"/>
  <c r="BX170" i="25" s="1"/>
  <c r="BA209" i="25"/>
  <c r="BB209" i="25"/>
  <c r="BS209" i="25" s="1"/>
  <c r="BC209" i="25"/>
  <c r="BT209" i="25" s="1"/>
  <c r="BG302" i="24"/>
  <c r="BS302" i="24"/>
  <c r="BX302" i="24" s="1"/>
  <c r="BE246" i="25"/>
  <c r="BR246" i="25"/>
  <c r="BX246" i="25" s="1"/>
  <c r="BS84" i="24"/>
  <c r="BV84" i="24" s="1"/>
  <c r="BX84" i="24" s="1"/>
  <c r="BG84" i="24"/>
  <c r="BM84" i="24" s="1"/>
  <c r="BE305" i="25"/>
  <c r="BR305" i="25"/>
  <c r="BX305" i="25" s="1"/>
  <c r="BN54" i="24"/>
  <c r="BE306" i="25"/>
  <c r="BR306" i="25"/>
  <c r="BX306" i="25" s="1"/>
  <c r="BE255" i="25"/>
  <c r="BR255" i="25"/>
  <c r="BX255" i="25" s="1"/>
  <c r="BA254" i="25"/>
  <c r="BB254" i="25"/>
  <c r="BS254" i="25" s="1"/>
  <c r="BC254" i="25"/>
  <c r="BT254" i="25" s="1"/>
  <c r="BB210" i="25"/>
  <c r="BS210" i="25" s="1"/>
  <c r="BC210" i="25"/>
  <c r="BT210" i="25" s="1"/>
  <c r="BA210" i="25"/>
  <c r="BE273" i="25"/>
  <c r="BR273" i="25"/>
  <c r="BX273" i="25" s="1"/>
  <c r="BY41" i="24"/>
  <c r="CA41" i="24" s="1"/>
  <c r="CB41" i="24" s="1"/>
  <c r="BN41" i="24"/>
  <c r="BR62" i="25"/>
  <c r="BV62" i="25" s="1"/>
  <c r="BX62" i="25" s="1"/>
  <c r="BE62" i="25"/>
  <c r="BK62" i="25" s="1"/>
  <c r="BE59" i="25"/>
  <c r="BK59" i="25" s="1"/>
  <c r="BR59" i="25"/>
  <c r="BV59" i="25" s="1"/>
  <c r="BX59" i="25" s="1"/>
  <c r="BS95" i="24"/>
  <c r="BV95" i="24" s="1"/>
  <c r="BX95" i="24" s="1"/>
  <c r="BG95" i="24"/>
  <c r="BM95" i="24" s="1"/>
  <c r="BG244" i="24"/>
  <c r="BS244" i="24"/>
  <c r="BX244" i="24" s="1"/>
  <c r="BG272" i="24"/>
  <c r="BS272" i="24"/>
  <c r="BX272" i="24" s="1"/>
  <c r="BG227" i="24"/>
  <c r="BS227" i="24"/>
  <c r="BX227" i="24" s="1"/>
  <c r="BG59" i="24"/>
  <c r="BM59" i="24" s="1"/>
  <c r="BS59" i="24"/>
  <c r="BV59" i="24" s="1"/>
  <c r="BX59" i="24" s="1"/>
  <c r="BE179" i="25"/>
  <c r="BR179" i="25"/>
  <c r="BX179" i="25" s="1"/>
  <c r="BA16" i="25"/>
  <c r="BB16" i="25"/>
  <c r="BS16" i="25" s="1"/>
  <c r="BC16" i="25"/>
  <c r="BT16" i="25" s="1"/>
  <c r="U536" i="29"/>
  <c r="V536" i="29"/>
  <c r="U46" i="29"/>
  <c r="V46" i="29"/>
  <c r="U212" i="29"/>
  <c r="V212" i="29"/>
  <c r="V148" i="29"/>
  <c r="U148" i="29"/>
  <c r="V380" i="29"/>
  <c r="U380" i="29"/>
  <c r="U63" i="29"/>
  <c r="V63" i="29"/>
  <c r="U591" i="29"/>
  <c r="V591" i="29"/>
  <c r="V442" i="29"/>
  <c r="U442" i="29"/>
  <c r="V576" i="29"/>
  <c r="U576" i="29"/>
  <c r="U521" i="29"/>
  <c r="V521" i="29"/>
  <c r="U544" i="29"/>
  <c r="V544" i="29"/>
  <c r="BY236" i="24"/>
  <c r="CA236" i="24" s="1"/>
  <c r="CB236" i="24" s="1"/>
  <c r="BM236" i="24"/>
  <c r="BN236" i="24" s="1"/>
  <c r="BG53" i="24"/>
  <c r="BM53" i="24" s="1"/>
  <c r="BS53" i="24"/>
  <c r="BV53" i="24" s="1"/>
  <c r="BX53" i="24" s="1"/>
  <c r="BC111" i="25"/>
  <c r="BT111" i="25" s="1"/>
  <c r="BB111" i="25"/>
  <c r="BS111" i="25" s="1"/>
  <c r="BA111" i="25"/>
  <c r="BG85" i="24"/>
  <c r="BM85" i="24" s="1"/>
  <c r="BS85" i="24"/>
  <c r="BV85" i="24" s="1"/>
  <c r="BX85" i="24" s="1"/>
  <c r="BC181" i="25"/>
  <c r="BT181" i="25" s="1"/>
  <c r="BB181" i="25"/>
  <c r="BS181" i="25" s="1"/>
  <c r="BA181" i="25"/>
  <c r="BM148" i="24"/>
  <c r="BN148" i="24" s="1"/>
  <c r="BG276" i="24"/>
  <c r="BS276" i="24"/>
  <c r="BX276" i="24" s="1"/>
  <c r="BB287" i="25"/>
  <c r="BS287" i="25" s="1"/>
  <c r="BC287" i="25"/>
  <c r="BT287" i="25" s="1"/>
  <c r="BA287" i="25"/>
  <c r="BA57" i="25"/>
  <c r="BB57" i="25"/>
  <c r="BS57" i="25" s="1"/>
  <c r="BC57" i="25"/>
  <c r="BT57" i="25" s="1"/>
  <c r="BB151" i="25"/>
  <c r="BS151" i="25" s="1"/>
  <c r="BC151" i="25"/>
  <c r="BT151" i="25" s="1"/>
  <c r="BA151" i="25"/>
  <c r="BG182" i="24"/>
  <c r="BS182" i="24"/>
  <c r="BX182" i="24" s="1"/>
  <c r="BG138" i="24"/>
  <c r="BS138" i="24"/>
  <c r="BX138" i="24" s="1"/>
  <c r="BY233" i="24"/>
  <c r="CA233" i="24" s="1"/>
  <c r="CB233" i="24" s="1"/>
  <c r="BM233" i="24"/>
  <c r="BN233" i="24" s="1"/>
  <c r="BY257" i="24"/>
  <c r="CA257" i="24" s="1"/>
  <c r="BM257" i="24"/>
  <c r="BN257" i="24" s="1"/>
  <c r="BC252" i="25"/>
  <c r="BT252" i="25" s="1"/>
  <c r="BB252" i="25"/>
  <c r="BS252" i="25" s="1"/>
  <c r="BA252" i="25"/>
  <c r="BB271" i="25"/>
  <c r="BS271" i="25" s="1"/>
  <c r="BC271" i="25"/>
  <c r="BT271" i="25" s="1"/>
  <c r="BA271" i="25"/>
  <c r="BB91" i="25"/>
  <c r="BS91" i="25" s="1"/>
  <c r="BC91" i="25"/>
  <c r="BT91" i="25" s="1"/>
  <c r="BA91" i="25"/>
  <c r="BG185" i="24"/>
  <c r="BS185" i="24"/>
  <c r="BX185" i="24" s="1"/>
  <c r="BS8" i="24"/>
  <c r="BV8" i="24" s="1"/>
  <c r="BX8" i="24" s="1"/>
  <c r="BG8" i="24"/>
  <c r="BM8" i="24" s="1"/>
  <c r="BE173" i="25"/>
  <c r="BR173" i="25"/>
  <c r="BX173" i="25" s="1"/>
  <c r="BA183" i="25"/>
  <c r="BB183" i="25"/>
  <c r="BS183" i="25" s="1"/>
  <c r="BC183" i="25"/>
  <c r="BT183" i="25" s="1"/>
  <c r="BE248" i="25"/>
  <c r="BR248" i="25"/>
  <c r="BX248" i="25" s="1"/>
  <c r="BA157" i="25"/>
  <c r="BB157" i="25"/>
  <c r="BS157" i="25" s="1"/>
  <c r="BC157" i="25"/>
  <c r="BT157" i="25" s="1"/>
  <c r="BM265" i="24"/>
  <c r="BN265" i="24" s="1"/>
  <c r="BG105" i="24"/>
  <c r="BM105" i="24" s="1"/>
  <c r="BS105" i="24"/>
  <c r="BV105" i="24" s="1"/>
  <c r="BX105" i="24" s="1"/>
  <c r="BA289" i="25"/>
  <c r="BB289" i="25"/>
  <c r="BS289" i="25" s="1"/>
  <c r="BC289" i="25"/>
  <c r="BT289" i="25" s="1"/>
  <c r="BA118" i="25"/>
  <c r="BB118" i="25"/>
  <c r="BS118" i="25" s="1"/>
  <c r="BC118" i="25"/>
  <c r="BT118" i="25" s="1"/>
  <c r="BS99" i="24"/>
  <c r="BV99" i="24" s="1"/>
  <c r="BX99" i="24" s="1"/>
  <c r="BG99" i="24"/>
  <c r="BM99" i="24" s="1"/>
  <c r="BG269" i="24"/>
  <c r="BS269" i="24"/>
  <c r="BX269" i="24" s="1"/>
  <c r="BE265" i="25"/>
  <c r="BR265" i="25"/>
  <c r="BX265" i="25" s="1"/>
  <c r="BG274" i="24"/>
  <c r="BS274" i="24"/>
  <c r="BX274" i="24" s="1"/>
  <c r="BE11" i="25"/>
  <c r="BK11" i="25" s="1"/>
  <c r="BR11" i="25"/>
  <c r="BV11" i="25" s="1"/>
  <c r="BX11" i="25" s="1"/>
  <c r="BG179" i="24"/>
  <c r="BS179" i="24"/>
  <c r="BX179" i="24" s="1"/>
  <c r="BA105" i="25"/>
  <c r="BB105" i="25"/>
  <c r="BS105" i="25" s="1"/>
  <c r="BC105" i="25"/>
  <c r="BT105" i="25" s="1"/>
  <c r="BE29" i="25"/>
  <c r="BK29" i="25" s="1"/>
  <c r="BR29" i="25"/>
  <c r="BV29" i="25" s="1"/>
  <c r="BX29" i="25" s="1"/>
  <c r="BY295" i="24"/>
  <c r="CA295" i="24" s="1"/>
  <c r="BM295" i="24"/>
  <c r="BN295" i="24" s="1"/>
  <c r="BB144" i="25"/>
  <c r="BS144" i="25" s="1"/>
  <c r="BC144" i="25"/>
  <c r="BT144" i="25" s="1"/>
  <c r="BA144" i="25"/>
  <c r="BG209" i="24"/>
  <c r="BS209" i="24"/>
  <c r="BX209" i="24" s="1"/>
  <c r="BA86" i="25"/>
  <c r="BB86" i="25"/>
  <c r="BS86" i="25" s="1"/>
  <c r="BC86" i="25"/>
  <c r="BT86" i="25" s="1"/>
  <c r="BG202" i="24"/>
  <c r="BS202" i="24"/>
  <c r="BX202" i="24" s="1"/>
  <c r="B112" i="2"/>
  <c r="B115" i="2"/>
  <c r="E36" i="1" s="1"/>
  <c r="BG266" i="24"/>
  <c r="BS266" i="24"/>
  <c r="BX266" i="24" s="1"/>
  <c r="BG288" i="24"/>
  <c r="BS288" i="24"/>
  <c r="BX288" i="24" s="1"/>
  <c r="BA98" i="25"/>
  <c r="BB98" i="25"/>
  <c r="BS98" i="25" s="1"/>
  <c r="BC98" i="25"/>
  <c r="BT98" i="25" s="1"/>
  <c r="BR71" i="25"/>
  <c r="BV71" i="25" s="1"/>
  <c r="BX71" i="25" s="1"/>
  <c r="BE71" i="25"/>
  <c r="BK71" i="25" s="1"/>
  <c r="BG270" i="24"/>
  <c r="BS270" i="24"/>
  <c r="BX270" i="24" s="1"/>
  <c r="BA207" i="25"/>
  <c r="BC207" i="25"/>
  <c r="BT207" i="25" s="1"/>
  <c r="BB207" i="25"/>
  <c r="BS207" i="25" s="1"/>
  <c r="BA56" i="25"/>
  <c r="BB56" i="25"/>
  <c r="BS56" i="25" s="1"/>
  <c r="BC56" i="25"/>
  <c r="BT56" i="25" s="1"/>
  <c r="BG97" i="24"/>
  <c r="BM97" i="24" s="1"/>
  <c r="BS97" i="24"/>
  <c r="BV97" i="24" s="1"/>
  <c r="BX97" i="24" s="1"/>
  <c r="BB125" i="25"/>
  <c r="BS125" i="25" s="1"/>
  <c r="BC125" i="25"/>
  <c r="BT125" i="25" s="1"/>
  <c r="BA125" i="25"/>
  <c r="BG205" i="24"/>
  <c r="BS205" i="24"/>
  <c r="BX205" i="24" s="1"/>
  <c r="BS63" i="24"/>
  <c r="BV63" i="24" s="1"/>
  <c r="BX63" i="24" s="1"/>
  <c r="BG63" i="24"/>
  <c r="BM63" i="24" s="1"/>
  <c r="BE30" i="25"/>
  <c r="BK30" i="25" s="1"/>
  <c r="BR30" i="25"/>
  <c r="BV30" i="25" s="1"/>
  <c r="BX30" i="25" s="1"/>
  <c r="BG177" i="24"/>
  <c r="BS177" i="24"/>
  <c r="BX177" i="24" s="1"/>
  <c r="BS136" i="24"/>
  <c r="BX136" i="24" s="1"/>
  <c r="BG136" i="24"/>
  <c r="BC123" i="25"/>
  <c r="BT123" i="25" s="1"/>
  <c r="BB123" i="25"/>
  <c r="BS123" i="25" s="1"/>
  <c r="BA123" i="25"/>
  <c r="BA83" i="25"/>
  <c r="BB83" i="25"/>
  <c r="BS83" i="25" s="1"/>
  <c r="BC83" i="25"/>
  <c r="BT83" i="25" s="1"/>
  <c r="BB132" i="25"/>
  <c r="BS132" i="25" s="1"/>
  <c r="BA132" i="25"/>
  <c r="BC132" i="25"/>
  <c r="BT132" i="25" s="1"/>
  <c r="BG199" i="24"/>
  <c r="BS199" i="24"/>
  <c r="BX199" i="24" s="1"/>
  <c r="BG155" i="24"/>
  <c r="BS155" i="24"/>
  <c r="BX155" i="24" s="1"/>
  <c r="BG149" i="24"/>
  <c r="BS149" i="24"/>
  <c r="BX149" i="24" s="1"/>
  <c r="BB90" i="25"/>
  <c r="BS90" i="25" s="1"/>
  <c r="BC90" i="25"/>
  <c r="BT90" i="25" s="1"/>
  <c r="BA90" i="25"/>
  <c r="BC222" i="25"/>
  <c r="BT222" i="25" s="1"/>
  <c r="BB222" i="25"/>
  <c r="BS222" i="25" s="1"/>
  <c r="BA222" i="25"/>
  <c r="BG261" i="24"/>
  <c r="BS261" i="24"/>
  <c r="BX261" i="24" s="1"/>
  <c r="BA40" i="25"/>
  <c r="BB40" i="25"/>
  <c r="BS40" i="25" s="1"/>
  <c r="BC40" i="25"/>
  <c r="BT40" i="25" s="1"/>
  <c r="BE89" i="25"/>
  <c r="BK89" i="25" s="1"/>
  <c r="BR89" i="25"/>
  <c r="BV89" i="25" s="1"/>
  <c r="BX89" i="25" s="1"/>
  <c r="BG67" i="24"/>
  <c r="BM67" i="24" s="1"/>
  <c r="BS67" i="24"/>
  <c r="BV67" i="24" s="1"/>
  <c r="BX67" i="24" s="1"/>
  <c r="BB10" i="25"/>
  <c r="BS10" i="25" s="1"/>
  <c r="BA10" i="25"/>
  <c r="BC10" i="25"/>
  <c r="BT10" i="25" s="1"/>
  <c r="BB120" i="25"/>
  <c r="BS120" i="25" s="1"/>
  <c r="BC120" i="25"/>
  <c r="BT120" i="25" s="1"/>
  <c r="BA120" i="25"/>
  <c r="BG251" i="24"/>
  <c r="BS251" i="24"/>
  <c r="BX251" i="24" s="1"/>
  <c r="BM238" i="24"/>
  <c r="BN238" i="24" s="1"/>
  <c r="BE262" i="25"/>
  <c r="BR262" i="25"/>
  <c r="BX262" i="25" s="1"/>
  <c r="BA156" i="25"/>
  <c r="BB156" i="25"/>
  <c r="BS156" i="25" s="1"/>
  <c r="BC156" i="25"/>
  <c r="BT156" i="25" s="1"/>
  <c r="BE280" i="25"/>
  <c r="BR280" i="25"/>
  <c r="BX280" i="25" s="1"/>
  <c r="BY219" i="24"/>
  <c r="CA219" i="24" s="1"/>
  <c r="CB219" i="24" s="1"/>
  <c r="BM219" i="24"/>
  <c r="BN219" i="24" s="1"/>
  <c r="BA263" i="25"/>
  <c r="BB263" i="25"/>
  <c r="BS263" i="25" s="1"/>
  <c r="BC263" i="25"/>
  <c r="BT263" i="25" s="1"/>
  <c r="BA49" i="25"/>
  <c r="BB49" i="25"/>
  <c r="BS49" i="25" s="1"/>
  <c r="BC49" i="25"/>
  <c r="BT49" i="25" s="1"/>
  <c r="BA218" i="25"/>
  <c r="BC218" i="25"/>
  <c r="BT218" i="25" s="1"/>
  <c r="BB218" i="25"/>
  <c r="BS218" i="25" s="1"/>
  <c r="BC127" i="25"/>
  <c r="BT127" i="25" s="1"/>
  <c r="BB127" i="25"/>
  <c r="BS127" i="25" s="1"/>
  <c r="BA127" i="25"/>
  <c r="BM296" i="24"/>
  <c r="BN296" i="24" s="1"/>
  <c r="BG115" i="24"/>
  <c r="BS115" i="24"/>
  <c r="BX115" i="24" s="1"/>
  <c r="BC311" i="25"/>
  <c r="BT311" i="25" s="1"/>
  <c r="BB311" i="25"/>
  <c r="BS311" i="25" s="1"/>
  <c r="BA311" i="25"/>
  <c r="BC196" i="25"/>
  <c r="BT196" i="25" s="1"/>
  <c r="BB196" i="25"/>
  <c r="BS196" i="25" s="1"/>
  <c r="BA196" i="25"/>
  <c r="BB54" i="25"/>
  <c r="BS54" i="25" s="1"/>
  <c r="BA54" i="25"/>
  <c r="BC54" i="25"/>
  <c r="BT54" i="25" s="1"/>
  <c r="BE243" i="25"/>
  <c r="BR243" i="25"/>
  <c r="BX243" i="25" s="1"/>
  <c r="BB119" i="25"/>
  <c r="BS119" i="25" s="1"/>
  <c r="BC119" i="25"/>
  <c r="BT119" i="25" s="1"/>
  <c r="BA119" i="25"/>
  <c r="D58" i="29"/>
  <c r="D50" i="29" s="1"/>
  <c r="D51" i="29" s="1"/>
  <c r="D60" i="29" s="1"/>
  <c r="U374" i="29"/>
  <c r="V374" i="29"/>
  <c r="U60" i="29"/>
  <c r="V60" i="29"/>
  <c r="U189" i="29"/>
  <c r="V189" i="29"/>
  <c r="U238" i="29"/>
  <c r="V238" i="29"/>
  <c r="U223" i="29"/>
  <c r="V223" i="29"/>
  <c r="V18" i="29"/>
  <c r="U18" i="29"/>
  <c r="V137" i="29"/>
  <c r="U137" i="29"/>
  <c r="V566" i="29"/>
  <c r="U566" i="29"/>
  <c r="BG250" i="24"/>
  <c r="BS250" i="24"/>
  <c r="BX250" i="24" s="1"/>
  <c r="BS50" i="24"/>
  <c r="BV50" i="24" s="1"/>
  <c r="BX50" i="24" s="1"/>
  <c r="BG50" i="24"/>
  <c r="BM50" i="24" s="1"/>
  <c r="BM130" i="24"/>
  <c r="BN130" i="24" s="1"/>
  <c r="BN12" i="24"/>
  <c r="BM147" i="24"/>
  <c r="BN147" i="24" s="1"/>
  <c r="BG145" i="24"/>
  <c r="BS145" i="24"/>
  <c r="BX145" i="24" s="1"/>
  <c r="BG255" i="24"/>
  <c r="BS255" i="24"/>
  <c r="BX255" i="24" s="1"/>
  <c r="BA235" i="25"/>
  <c r="BB235" i="25"/>
  <c r="BS235" i="25" s="1"/>
  <c r="BC235" i="25"/>
  <c r="BT235" i="25" s="1"/>
  <c r="BC309" i="25"/>
  <c r="BT309" i="25" s="1"/>
  <c r="BB309" i="25"/>
  <c r="BS309" i="25" s="1"/>
  <c r="BA309" i="25"/>
  <c r="BC251" i="25"/>
  <c r="BT251" i="25" s="1"/>
  <c r="BA251" i="25"/>
  <c r="BB251" i="25"/>
  <c r="BS251" i="25" s="1"/>
  <c r="BG252" i="24"/>
  <c r="BS252" i="24"/>
  <c r="BX252" i="24" s="1"/>
  <c r="BN55" i="24"/>
  <c r="BY55" i="24"/>
  <c r="CA55" i="24" s="1"/>
  <c r="BG151" i="24"/>
  <c r="BS151" i="24"/>
  <c r="BX151" i="24" s="1"/>
  <c r="BR104" i="25"/>
  <c r="BV104" i="25" s="1"/>
  <c r="BX104" i="25" s="1"/>
  <c r="BE104" i="25"/>
  <c r="BK104" i="25" s="1"/>
  <c r="BA65" i="25"/>
  <c r="BB65" i="25"/>
  <c r="BS65" i="25" s="1"/>
  <c r="BC65" i="25"/>
  <c r="BT65" i="25" s="1"/>
  <c r="BN45" i="24"/>
  <c r="BY45" i="24"/>
  <c r="CA45" i="24" s="1"/>
  <c r="BS10" i="24"/>
  <c r="BV10" i="24" s="1"/>
  <c r="BX10" i="24" s="1"/>
  <c r="BG10" i="24"/>
  <c r="BM10" i="24" s="1"/>
  <c r="BA264" i="25"/>
  <c r="BC264" i="25"/>
  <c r="BT264" i="25" s="1"/>
  <c r="BB264" i="25"/>
  <c r="BS264" i="25" s="1"/>
  <c r="BE257" i="25"/>
  <c r="BR257" i="25"/>
  <c r="BX257" i="25" s="1"/>
  <c r="BA68" i="25"/>
  <c r="BC68" i="25"/>
  <c r="BT68" i="25" s="1"/>
  <c r="BB68" i="25"/>
  <c r="BS68" i="25" s="1"/>
  <c r="BE198" i="25"/>
  <c r="BR198" i="25"/>
  <c r="BX198" i="25" s="1"/>
  <c r="BG316" i="24"/>
  <c r="BS316" i="24"/>
  <c r="BX316" i="24" s="1"/>
  <c r="BA278" i="25"/>
  <c r="BB278" i="25"/>
  <c r="BS278" i="25" s="1"/>
  <c r="BC278" i="25"/>
  <c r="BT278" i="25" s="1"/>
  <c r="BC297" i="25"/>
  <c r="BT297" i="25" s="1"/>
  <c r="BB297" i="25"/>
  <c r="BS297" i="25" s="1"/>
  <c r="BA297" i="25"/>
  <c r="BG169" i="24"/>
  <c r="BS169" i="24"/>
  <c r="BX169" i="24" s="1"/>
  <c r="BS154" i="24"/>
  <c r="BX154" i="24" s="1"/>
  <c r="BG154" i="24"/>
  <c r="BA224" i="25"/>
  <c r="BC224" i="25"/>
  <c r="BT224" i="25" s="1"/>
  <c r="BB224" i="25"/>
  <c r="BS224" i="25" s="1"/>
  <c r="BY7" i="24"/>
  <c r="CA7" i="24" s="1"/>
  <c r="CB7" i="24" s="1"/>
  <c r="BN7" i="24"/>
  <c r="BB74" i="25"/>
  <c r="BS74" i="25" s="1"/>
  <c r="BC74" i="25"/>
  <c r="BT74" i="25" s="1"/>
  <c r="BA74" i="25"/>
  <c r="BG170" i="24"/>
  <c r="BS170" i="24"/>
  <c r="BX170" i="24" s="1"/>
  <c r="BM280" i="24"/>
  <c r="BN280" i="24" s="1"/>
  <c r="BE178" i="25"/>
  <c r="BR178" i="25"/>
  <c r="BX178" i="25" s="1"/>
  <c r="BG207" i="24"/>
  <c r="BS207" i="24"/>
  <c r="BX207" i="24" s="1"/>
  <c r="BA217" i="25"/>
  <c r="BB217" i="25"/>
  <c r="BS217" i="25" s="1"/>
  <c r="BC217" i="25"/>
  <c r="BT217" i="25" s="1"/>
  <c r="BG141" i="24"/>
  <c r="BS141" i="24"/>
  <c r="BX141" i="24" s="1"/>
  <c r="BA260" i="25"/>
  <c r="BC260" i="25"/>
  <c r="BT260" i="25" s="1"/>
  <c r="BB260" i="25"/>
  <c r="BS260" i="25" s="1"/>
  <c r="BA226" i="25"/>
  <c r="BC226" i="25"/>
  <c r="BT226" i="25" s="1"/>
  <c r="BB226" i="25"/>
  <c r="BS226" i="25" s="1"/>
  <c r="BR87" i="25"/>
  <c r="BV87" i="25" s="1"/>
  <c r="BX87" i="25" s="1"/>
  <c r="BE87" i="25"/>
  <c r="BK87" i="25" s="1"/>
  <c r="BA172" i="25"/>
  <c r="BC172" i="25"/>
  <c r="BT172" i="25" s="1"/>
  <c r="BB172" i="25"/>
  <c r="BS172" i="25" s="1"/>
  <c r="BG78" i="24"/>
  <c r="BM78" i="24" s="1"/>
  <c r="BS78" i="24"/>
  <c r="BV78" i="24" s="1"/>
  <c r="BX78" i="24" s="1"/>
  <c r="BA242" i="25"/>
  <c r="BC242" i="25"/>
  <c r="BT242" i="25" s="1"/>
  <c r="BB242" i="25"/>
  <c r="BS242" i="25" s="1"/>
  <c r="BG167" i="24"/>
  <c r="BS167" i="24"/>
  <c r="BX167" i="24" s="1"/>
  <c r="BE6" i="25"/>
  <c r="BK6" i="25" s="1"/>
  <c r="BR6" i="25"/>
  <c r="BV6" i="25" s="1"/>
  <c r="BX6" i="25" s="1"/>
  <c r="BC182" i="25"/>
  <c r="BT182" i="25" s="1"/>
  <c r="BB182" i="25"/>
  <c r="BS182" i="25" s="1"/>
  <c r="BA182" i="25"/>
  <c r="BN19" i="24"/>
  <c r="BG245" i="24"/>
  <c r="BS245" i="24"/>
  <c r="BX245" i="24" s="1"/>
  <c r="BG37" i="24"/>
  <c r="BM37" i="24" s="1"/>
  <c r="BS37" i="24"/>
  <c r="BV37" i="24" s="1"/>
  <c r="BX37" i="24" s="1"/>
  <c r="BC227" i="25"/>
  <c r="BT227" i="25" s="1"/>
  <c r="BB227" i="25"/>
  <c r="BS227" i="25" s="1"/>
  <c r="BA227" i="25"/>
  <c r="U225" i="29"/>
  <c r="V225" i="29"/>
  <c r="U323" i="29"/>
  <c r="V323" i="29"/>
  <c r="U371" i="29"/>
  <c r="V371" i="29"/>
  <c r="BC312" i="25"/>
  <c r="BT312" i="25" s="1"/>
  <c r="BA312" i="25"/>
  <c r="BB312" i="25"/>
  <c r="BS312" i="25" s="1"/>
  <c r="BG237" i="24"/>
  <c r="BS237" i="24"/>
  <c r="BX237" i="24" s="1"/>
  <c r="BC269" i="25"/>
  <c r="BT269" i="25" s="1"/>
  <c r="BB269" i="25"/>
  <c r="BS269" i="25" s="1"/>
  <c r="BA269" i="25"/>
  <c r="BE147" i="25"/>
  <c r="BR147" i="25"/>
  <c r="BX147" i="25" s="1"/>
  <c r="BL129" i="25"/>
  <c r="BY129" i="25"/>
  <c r="CA129" i="25" s="1"/>
  <c r="CB129" i="25" s="1"/>
  <c r="BK129" i="25"/>
  <c r="BG226" i="24"/>
  <c r="BS226" i="24"/>
  <c r="BX226" i="24" s="1"/>
  <c r="BC78" i="25"/>
  <c r="BT78" i="25" s="1"/>
  <c r="BA78" i="25"/>
  <c r="BB78" i="25"/>
  <c r="BS78" i="25" s="1"/>
  <c r="BC138" i="25"/>
  <c r="BT138" i="25" s="1"/>
  <c r="BB138" i="25"/>
  <c r="BS138" i="25" s="1"/>
  <c r="BA138" i="25"/>
  <c r="BR158" i="25"/>
  <c r="BX158" i="25" s="1"/>
  <c r="BE158" i="25"/>
  <c r="BM298" i="24"/>
  <c r="BN298" i="24" s="1"/>
  <c r="BA166" i="25"/>
  <c r="BC166" i="25"/>
  <c r="BT166" i="25" s="1"/>
  <c r="BB166" i="25"/>
  <c r="BS166" i="25" s="1"/>
  <c r="BC149" i="25"/>
  <c r="BT149" i="25" s="1"/>
  <c r="BB149" i="25"/>
  <c r="BS149" i="25" s="1"/>
  <c r="BA149" i="25"/>
  <c r="BG128" i="24"/>
  <c r="BS128" i="24"/>
  <c r="BX128" i="24" s="1"/>
  <c r="BB266" i="25"/>
  <c r="BS266" i="25" s="1"/>
  <c r="BC266" i="25"/>
  <c r="BT266" i="25" s="1"/>
  <c r="BA266" i="25"/>
  <c r="BB69" i="25"/>
  <c r="BS69" i="25" s="1"/>
  <c r="BC69" i="25"/>
  <c r="BT69" i="25" s="1"/>
  <c r="BA69" i="25"/>
  <c r="BS61" i="24"/>
  <c r="BV61" i="24" s="1"/>
  <c r="BX61" i="24" s="1"/>
  <c r="BG61" i="24"/>
  <c r="BM61" i="24" s="1"/>
  <c r="BG263" i="24"/>
  <c r="BS263" i="24"/>
  <c r="BX263" i="24" s="1"/>
  <c r="BC81" i="25"/>
  <c r="BT81" i="25" s="1"/>
  <c r="BA81" i="25"/>
  <c r="BB81" i="25"/>
  <c r="BS81" i="25" s="1"/>
  <c r="BG234" i="24"/>
  <c r="BS234" i="24"/>
  <c r="BX234" i="24" s="1"/>
  <c r="BY160" i="24"/>
  <c r="CA160" i="24" s="1"/>
  <c r="CB160" i="24" s="1"/>
  <c r="BM160" i="24"/>
  <c r="BN160" i="24" s="1"/>
  <c r="BA244" i="25"/>
  <c r="BC244" i="25"/>
  <c r="BT244" i="25" s="1"/>
  <c r="BB244" i="25"/>
  <c r="BS244" i="25" s="1"/>
  <c r="BB130" i="25"/>
  <c r="BS130" i="25" s="1"/>
  <c r="BC130" i="25"/>
  <c r="BT130" i="25" s="1"/>
  <c r="BA130" i="25"/>
  <c r="BB55" i="25"/>
  <c r="BS55" i="25" s="1"/>
  <c r="BA55" i="25"/>
  <c r="BC55" i="25"/>
  <c r="BT55" i="25" s="1"/>
  <c r="BG183" i="24"/>
  <c r="BS183" i="24"/>
  <c r="BX183" i="24" s="1"/>
  <c r="BC239" i="25"/>
  <c r="BT239" i="25" s="1"/>
  <c r="BB239" i="25"/>
  <c r="BS239" i="25" s="1"/>
  <c r="BA239" i="25"/>
  <c r="BG278" i="24"/>
  <c r="BS278" i="24"/>
  <c r="BX278" i="24" s="1"/>
  <c r="BG139" i="24"/>
  <c r="BS139" i="24"/>
  <c r="BX139" i="24" s="1"/>
  <c r="BA43" i="25"/>
  <c r="BB43" i="25"/>
  <c r="BS43" i="25" s="1"/>
  <c r="BC43" i="25"/>
  <c r="BT43" i="25" s="1"/>
  <c r="BG188" i="24"/>
  <c r="BS188" i="24"/>
  <c r="BX188" i="24" s="1"/>
  <c r="BC42" i="25"/>
  <c r="BT42" i="25" s="1"/>
  <c r="BB42" i="25"/>
  <c r="BS42" i="25" s="1"/>
  <c r="BA42" i="25"/>
  <c r="B143" i="2"/>
  <c r="AY105" i="25"/>
  <c r="BG208" i="24"/>
  <c r="BS208" i="24"/>
  <c r="BX208" i="24" s="1"/>
  <c r="BG300" i="24"/>
  <c r="BS300" i="24"/>
  <c r="BX300" i="24" s="1"/>
  <c r="BG289" i="24"/>
  <c r="BS289" i="24"/>
  <c r="BX289" i="24" s="1"/>
  <c r="BC23" i="25"/>
  <c r="BT23" i="25" s="1"/>
  <c r="BB23" i="25"/>
  <c r="BS23" i="25" s="1"/>
  <c r="BA23" i="25"/>
  <c r="BA313" i="25"/>
  <c r="BC313" i="25"/>
  <c r="BT313" i="25" s="1"/>
  <c r="BB313" i="25"/>
  <c r="BS313" i="25" s="1"/>
  <c r="BE161" i="25"/>
  <c r="BR161" i="25"/>
  <c r="BX161" i="25" s="1"/>
  <c r="BA277" i="25"/>
  <c r="BB277" i="25"/>
  <c r="BS277" i="25" s="1"/>
  <c r="BC277" i="25"/>
  <c r="BT277" i="25" s="1"/>
  <c r="BE259" i="25"/>
  <c r="BR259" i="25"/>
  <c r="BX259" i="25" s="1"/>
  <c r="BL110" i="25"/>
  <c r="BY110" i="25"/>
  <c r="CA110" i="25" s="1"/>
  <c r="CB110" i="25" s="1"/>
  <c r="BK110" i="25"/>
  <c r="BA72" i="25"/>
  <c r="BC72" i="25"/>
  <c r="BT72" i="25" s="1"/>
  <c r="BB72" i="25"/>
  <c r="BS72" i="25" s="1"/>
  <c r="BG89" i="24"/>
  <c r="BM89" i="24" s="1"/>
  <c r="BS89" i="24"/>
  <c r="BV89" i="24" s="1"/>
  <c r="BX89" i="24" s="1"/>
  <c r="BG131" i="24"/>
  <c r="BS131" i="24"/>
  <c r="BX131" i="24" s="1"/>
  <c r="BS290" i="24"/>
  <c r="BX290" i="24" s="1"/>
  <c r="BG290" i="24"/>
  <c r="BG156" i="24"/>
  <c r="BS156" i="24"/>
  <c r="BX156" i="24" s="1"/>
  <c r="BG301" i="24"/>
  <c r="BS301" i="24"/>
  <c r="BX301" i="24" s="1"/>
  <c r="BC256" i="25"/>
  <c r="BT256" i="25" s="1"/>
  <c r="BB256" i="25"/>
  <c r="BS256" i="25" s="1"/>
  <c r="BA256" i="25"/>
  <c r="BM299" i="24"/>
  <c r="BN299" i="24" s="1"/>
  <c r="BA33" i="25"/>
  <c r="BB33" i="25"/>
  <c r="BS33" i="25" s="1"/>
  <c r="BC33" i="25"/>
  <c r="BT33" i="25" s="1"/>
  <c r="BC236" i="25"/>
  <c r="BT236" i="25" s="1"/>
  <c r="BA236" i="25"/>
  <c r="BB236" i="25"/>
  <c r="BS236" i="25" s="1"/>
  <c r="BG229" i="24"/>
  <c r="BS229" i="24"/>
  <c r="BX229" i="24" s="1"/>
  <c r="BE204" i="25"/>
  <c r="BR204" i="25"/>
  <c r="BX204" i="25" s="1"/>
  <c r="BE283" i="25"/>
  <c r="BR283" i="25"/>
  <c r="BX283" i="25" s="1"/>
  <c r="BG178" i="24"/>
  <c r="BS178" i="24"/>
  <c r="BX178" i="24" s="1"/>
  <c r="BA221" i="25"/>
  <c r="BB221" i="25"/>
  <c r="BS221" i="25" s="1"/>
  <c r="BC221" i="25"/>
  <c r="BT221" i="25" s="1"/>
  <c r="BG308" i="24"/>
  <c r="BS308" i="24"/>
  <c r="BX308" i="24" s="1"/>
  <c r="BR167" i="25"/>
  <c r="BX167" i="25" s="1"/>
  <c r="BE167" i="25"/>
  <c r="BS64" i="24"/>
  <c r="BV64" i="24" s="1"/>
  <c r="BX64" i="24" s="1"/>
  <c r="BG64" i="24"/>
  <c r="BM64" i="24" s="1"/>
  <c r="BE94" i="25"/>
  <c r="BK94" i="25" s="1"/>
  <c r="BR94" i="25"/>
  <c r="BV94" i="25" s="1"/>
  <c r="BX94" i="25" s="1"/>
  <c r="BA231" i="25"/>
  <c r="BB231" i="25"/>
  <c r="BS231" i="25" s="1"/>
  <c r="BC231" i="25"/>
  <c r="BT231" i="25" s="1"/>
  <c r="BA9" i="25"/>
  <c r="BB9" i="25"/>
  <c r="BS9" i="25" s="1"/>
  <c r="BC9" i="25"/>
  <c r="BT9" i="25" s="1"/>
  <c r="BY248" i="24"/>
  <c r="CA248" i="24" s="1"/>
  <c r="CB248" i="24" s="1"/>
  <c r="BM248" i="24"/>
  <c r="BN248" i="24" s="1"/>
  <c r="BS88" i="24"/>
  <c r="BV88" i="24" s="1"/>
  <c r="BX88" i="24" s="1"/>
  <c r="BG88" i="24"/>
  <c r="BM88" i="24" s="1"/>
  <c r="BG77" i="24"/>
  <c r="BM77" i="24" s="1"/>
  <c r="BS77" i="24"/>
  <c r="BV77" i="24" s="1"/>
  <c r="BX77" i="24" s="1"/>
  <c r="BA159" i="25"/>
  <c r="BB159" i="25"/>
  <c r="BS159" i="25" s="1"/>
  <c r="BC159" i="25"/>
  <c r="BT159" i="25" s="1"/>
  <c r="BR206" i="25"/>
  <c r="BX206" i="25" s="1"/>
  <c r="BE206" i="25"/>
  <c r="BC25" i="25"/>
  <c r="BT25" i="25" s="1"/>
  <c r="BB25" i="25"/>
  <c r="BS25" i="25" s="1"/>
  <c r="BA25" i="25"/>
  <c r="BM242" i="24"/>
  <c r="BN242" i="24" s="1"/>
  <c r="BM253" i="24"/>
  <c r="BN253" i="24" s="1"/>
  <c r="BE293" i="25"/>
  <c r="BR293" i="25"/>
  <c r="BX293" i="25" s="1"/>
  <c r="BG287" i="24"/>
  <c r="BS287" i="24"/>
  <c r="BX287" i="24" s="1"/>
  <c r="BC18" i="25"/>
  <c r="BT18" i="25" s="1"/>
  <c r="BB18" i="25"/>
  <c r="BS18" i="25" s="1"/>
  <c r="BA18" i="25"/>
  <c r="BG225" i="24"/>
  <c r="BS225" i="24"/>
  <c r="BX225" i="24" s="1"/>
  <c r="BA274" i="25"/>
  <c r="BB274" i="25"/>
  <c r="BS274" i="25" s="1"/>
  <c r="BC274" i="25"/>
  <c r="BT274" i="25" s="1"/>
  <c r="BC233" i="25"/>
  <c r="BT233" i="25" s="1"/>
  <c r="BA233" i="25"/>
  <c r="BB233" i="25"/>
  <c r="BS233" i="25" s="1"/>
  <c r="BG11" i="24"/>
  <c r="BM11" i="24" s="1"/>
  <c r="BS11" i="24"/>
  <c r="BV11" i="24" s="1"/>
  <c r="BX11" i="24" s="1"/>
  <c r="BS134" i="24"/>
  <c r="BX134" i="24" s="1"/>
  <c r="BG134" i="24"/>
  <c r="BB185" i="25"/>
  <c r="BS185" i="25" s="1"/>
  <c r="BC185" i="25"/>
  <c r="BT185" i="25" s="1"/>
  <c r="BA185" i="25"/>
  <c r="BE232" i="25"/>
  <c r="BR232" i="25"/>
  <c r="BX232" i="25" s="1"/>
  <c r="U181" i="29"/>
  <c r="V181" i="29"/>
  <c r="U64" i="29"/>
  <c r="V64" i="29"/>
  <c r="U551" i="29"/>
  <c r="V551" i="29"/>
  <c r="V437" i="29"/>
  <c r="U437" i="29"/>
  <c r="U66" i="29"/>
  <c r="V66" i="29"/>
  <c r="U509" i="29"/>
  <c r="V509" i="29"/>
  <c r="U124" i="29"/>
  <c r="V124" i="29"/>
  <c r="U537" i="29"/>
  <c r="V537" i="29"/>
  <c r="V85" i="29"/>
  <c r="U85" i="29"/>
  <c r="BN33" i="24"/>
  <c r="BC128" i="25"/>
  <c r="BT128" i="25" s="1"/>
  <c r="BA128" i="25"/>
  <c r="BB128" i="25"/>
  <c r="BS128" i="25" s="1"/>
  <c r="BB194" i="25"/>
  <c r="BS194" i="25" s="1"/>
  <c r="BC194" i="25"/>
  <c r="BT194" i="25" s="1"/>
  <c r="BA194" i="25"/>
  <c r="BG204" i="24"/>
  <c r="BS204" i="24"/>
  <c r="BX204" i="24" s="1"/>
  <c r="BG166" i="24"/>
  <c r="BS166" i="24"/>
  <c r="BX166" i="24" s="1"/>
  <c r="BB136" i="25"/>
  <c r="BS136" i="25" s="1"/>
  <c r="BC136" i="25"/>
  <c r="BT136" i="25" s="1"/>
  <c r="BA136" i="25"/>
  <c r="BA100" i="25"/>
  <c r="BB100" i="25"/>
  <c r="BS100" i="25" s="1"/>
  <c r="BC100" i="25"/>
  <c r="BT100" i="25" s="1"/>
  <c r="BG161" i="24"/>
  <c r="BS161" i="24"/>
  <c r="BX161" i="24" s="1"/>
  <c r="BB48" i="25"/>
  <c r="BS48" i="25" s="1"/>
  <c r="BA48" i="25"/>
  <c r="BC48" i="25"/>
  <c r="BT48" i="25" s="1"/>
  <c r="BY132" i="24"/>
  <c r="CA132" i="24" s="1"/>
  <c r="CB132" i="24" s="1"/>
  <c r="BM132" i="24"/>
  <c r="BN132" i="24" s="1"/>
  <c r="BS273" i="24"/>
  <c r="BX273" i="24" s="1"/>
  <c r="BG273" i="24"/>
  <c r="BE189" i="25"/>
  <c r="BR189" i="25"/>
  <c r="BX189" i="25" s="1"/>
  <c r="BA124" i="25"/>
  <c r="BC124" i="25"/>
  <c r="BT124" i="25" s="1"/>
  <c r="BB124" i="25"/>
  <c r="BS124" i="25" s="1"/>
  <c r="BS38" i="24"/>
  <c r="BV38" i="24" s="1"/>
  <c r="BX38" i="24" s="1"/>
  <c r="BG38" i="24"/>
  <c r="BM38" i="24" s="1"/>
  <c r="BA67" i="25"/>
  <c r="BC67" i="25"/>
  <c r="BT67" i="25" s="1"/>
  <c r="BB67" i="25"/>
  <c r="BS67" i="25" s="1"/>
  <c r="BG14" i="24"/>
  <c r="BM14" i="24" s="1"/>
  <c r="BS14" i="24"/>
  <c r="BV14" i="24" s="1"/>
  <c r="BX14" i="24" s="1"/>
  <c r="BG137" i="24"/>
  <c r="BS137" i="24"/>
  <c r="BX137" i="24" s="1"/>
  <c r="BY162" i="24"/>
  <c r="CA162" i="24" s="1"/>
  <c r="BM162" i="24"/>
  <c r="BN162" i="24" s="1"/>
  <c r="BG122" i="24"/>
  <c r="BS122" i="24"/>
  <c r="BX122" i="24" s="1"/>
  <c r="BA270" i="25"/>
  <c r="BC270" i="25"/>
  <c r="BT270" i="25" s="1"/>
  <c r="BB270" i="25"/>
  <c r="BS270" i="25" s="1"/>
  <c r="BY111" i="24"/>
  <c r="CA111" i="24" s="1"/>
  <c r="CB111" i="24" s="1"/>
  <c r="BM111" i="24"/>
  <c r="BN111" i="24" s="1"/>
  <c r="BS256" i="24"/>
  <c r="BX256" i="24" s="1"/>
  <c r="BG256" i="24"/>
  <c r="BE276" i="25"/>
  <c r="BR276" i="25"/>
  <c r="BX276" i="25" s="1"/>
  <c r="BG75" i="24"/>
  <c r="BM75" i="24" s="1"/>
  <c r="BS75" i="24"/>
  <c r="BV75" i="24" s="1"/>
  <c r="BX75" i="24" s="1"/>
  <c r="BB241" i="25"/>
  <c r="BS241" i="25" s="1"/>
  <c r="BC241" i="25"/>
  <c r="BT241" i="25" s="1"/>
  <c r="BA241" i="25"/>
  <c r="BY119" i="24"/>
  <c r="CA119" i="24" s="1"/>
  <c r="CB119" i="24" s="1"/>
  <c r="BM119" i="24"/>
  <c r="BN119" i="24" s="1"/>
  <c r="BG31" i="24"/>
  <c r="BM31" i="24" s="1"/>
  <c r="BS31" i="24"/>
  <c r="BV31" i="24" s="1"/>
  <c r="BX31" i="24" s="1"/>
  <c r="BB139" i="25"/>
  <c r="BS139" i="25" s="1"/>
  <c r="BC139" i="25"/>
  <c r="BT139" i="25" s="1"/>
  <c r="BA139" i="25"/>
  <c r="BS29" i="24"/>
  <c r="BV29" i="24" s="1"/>
  <c r="BX29" i="24" s="1"/>
  <c r="BG29" i="24"/>
  <c r="BM29" i="24" s="1"/>
  <c r="BY259" i="24"/>
  <c r="CA259" i="24" s="1"/>
  <c r="CB259" i="24" s="1"/>
  <c r="BM259" i="24"/>
  <c r="BN259" i="24" s="1"/>
  <c r="BA223" i="25"/>
  <c r="BC223" i="25"/>
  <c r="BT223" i="25" s="1"/>
  <c r="BB223" i="25"/>
  <c r="BS223" i="25" s="1"/>
  <c r="BA102" i="25"/>
  <c r="BB102" i="25"/>
  <c r="BS102" i="25" s="1"/>
  <c r="BC102" i="25"/>
  <c r="BT102" i="25" s="1"/>
  <c r="BA188" i="25"/>
  <c r="BC188" i="25"/>
  <c r="BT188" i="25" s="1"/>
  <c r="BB188" i="25"/>
  <c r="BS188" i="25" s="1"/>
  <c r="BG187" i="24"/>
  <c r="BS187" i="24"/>
  <c r="BX187" i="24" s="1"/>
  <c r="BE96" i="25"/>
  <c r="BK96" i="25" s="1"/>
  <c r="BR96" i="25"/>
  <c r="BV96" i="25" s="1"/>
  <c r="BX96" i="25" s="1"/>
  <c r="BA284" i="25"/>
  <c r="BB284" i="25"/>
  <c r="BS284" i="25" s="1"/>
  <c r="BC284" i="25"/>
  <c r="BT284" i="25" s="1"/>
  <c r="BC44" i="25"/>
  <c r="BT44" i="25" s="1"/>
  <c r="BB44" i="25"/>
  <c r="BS44" i="25" s="1"/>
  <c r="BA44" i="25"/>
  <c r="BG217" i="24"/>
  <c r="BS217" i="24"/>
  <c r="BX217" i="24" s="1"/>
  <c r="BE148" i="25"/>
  <c r="BR148" i="25"/>
  <c r="BX148" i="25" s="1"/>
  <c r="BB36" i="25"/>
  <c r="BS36" i="25" s="1"/>
  <c r="BA36" i="25"/>
  <c r="BC36" i="25"/>
  <c r="BT36" i="25" s="1"/>
  <c r="BY283" i="24"/>
  <c r="CA283" i="24" s="1"/>
  <c r="CB283" i="24" s="1"/>
  <c r="BM283" i="24"/>
  <c r="BN283" i="24" s="1"/>
  <c r="BG159" i="24"/>
  <c r="BS159" i="24"/>
  <c r="BX159" i="24" s="1"/>
  <c r="BA80" i="25"/>
  <c r="BB80" i="25"/>
  <c r="BS80" i="25" s="1"/>
  <c r="BC80" i="25"/>
  <c r="BT80" i="25" s="1"/>
  <c r="BB37" i="25"/>
  <c r="BS37" i="25" s="1"/>
  <c r="BC37" i="25"/>
  <c r="BT37" i="25" s="1"/>
  <c r="BA37" i="25"/>
  <c r="BG193" i="24"/>
  <c r="BS193" i="24"/>
  <c r="BX193" i="24" s="1"/>
  <c r="BA200" i="25"/>
  <c r="BB200" i="25"/>
  <c r="BS200" i="25" s="1"/>
  <c r="BC200" i="25"/>
  <c r="BT200" i="25" s="1"/>
  <c r="BS27" i="24"/>
  <c r="BV27" i="24" s="1"/>
  <c r="BX27" i="24" s="1"/>
  <c r="BG27" i="24"/>
  <c r="BM27" i="24" s="1"/>
  <c r="BB15" i="25"/>
  <c r="BS15" i="25" s="1"/>
  <c r="BC15" i="25"/>
  <c r="BT15" i="25" s="1"/>
  <c r="BA15" i="25"/>
  <c r="BE113" i="25"/>
  <c r="BR113" i="25"/>
  <c r="BX113" i="25" s="1"/>
  <c r="BG98" i="24"/>
  <c r="BM98" i="24" s="1"/>
  <c r="BS98" i="24"/>
  <c r="BV98" i="24" s="1"/>
  <c r="BX98" i="24" s="1"/>
  <c r="BG164" i="24"/>
  <c r="BS164" i="24"/>
  <c r="BX164" i="24" s="1"/>
  <c r="BE97" i="25"/>
  <c r="BK97" i="25" s="1"/>
  <c r="BR97" i="25"/>
  <c r="BV97" i="25" s="1"/>
  <c r="BX97" i="25" s="1"/>
  <c r="BG235" i="24"/>
  <c r="BS235" i="24"/>
  <c r="BX235" i="24" s="1"/>
  <c r="BA121" i="25"/>
  <c r="BB121" i="25"/>
  <c r="BS121" i="25" s="1"/>
  <c r="BC121" i="25"/>
  <c r="BT121" i="25" s="1"/>
  <c r="BB219" i="25"/>
  <c r="BS219" i="25" s="1"/>
  <c r="BC219" i="25"/>
  <c r="BT219" i="25" s="1"/>
  <c r="BA219" i="25"/>
  <c r="BG102" i="24"/>
  <c r="BM102" i="24" s="1"/>
  <c r="BS102" i="24"/>
  <c r="BV102" i="24" s="1"/>
  <c r="BX102" i="24" s="1"/>
  <c r="BG291" i="24"/>
  <c r="BS291" i="24"/>
  <c r="BX291" i="24" s="1"/>
  <c r="BS80" i="24"/>
  <c r="BV80" i="24" s="1"/>
  <c r="BX80" i="24" s="1"/>
  <c r="BG80" i="24"/>
  <c r="BM80" i="24" s="1"/>
  <c r="BA88" i="25"/>
  <c r="BC88" i="25"/>
  <c r="BT88" i="25" s="1"/>
  <c r="BB88" i="25"/>
  <c r="BS88" i="25" s="1"/>
  <c r="BA117" i="25"/>
  <c r="BC117" i="25"/>
  <c r="BT117" i="25" s="1"/>
  <c r="BB117" i="25"/>
  <c r="BS117" i="25" s="1"/>
  <c r="BB99" i="25"/>
  <c r="BS99" i="25" s="1"/>
  <c r="BC99" i="25"/>
  <c r="BT99" i="25" s="1"/>
  <c r="BA99" i="25"/>
  <c r="BA316" i="25"/>
  <c r="BC316" i="25"/>
  <c r="BT316" i="25" s="1"/>
  <c r="BB316" i="25"/>
  <c r="BS316" i="25" s="1"/>
  <c r="BC39" i="25"/>
  <c r="BT39" i="25" s="1"/>
  <c r="BA39" i="25"/>
  <c r="BB39" i="25"/>
  <c r="BS39" i="25" s="1"/>
  <c r="BG277" i="24"/>
  <c r="BS277" i="24"/>
  <c r="BX277" i="24" s="1"/>
  <c r="BS92" i="24"/>
  <c r="BV92" i="24" s="1"/>
  <c r="BX92" i="24" s="1"/>
  <c r="BG92" i="24"/>
  <c r="BM92" i="24" s="1"/>
  <c r="BM112" i="24"/>
  <c r="BN112" i="24" s="1"/>
  <c r="BY135" i="24"/>
  <c r="CA135" i="24" s="1"/>
  <c r="BM135" i="24"/>
  <c r="BN135" i="24" s="1"/>
  <c r="BA93" i="25"/>
  <c r="BC93" i="25"/>
  <c r="BT93" i="25" s="1"/>
  <c r="BB93" i="25"/>
  <c r="BS93" i="25" s="1"/>
  <c r="BG303" i="24"/>
  <c r="BS303" i="24"/>
  <c r="BX303" i="24" s="1"/>
  <c r="BS231" i="24"/>
  <c r="BX231" i="24" s="1"/>
  <c r="BG231" i="24"/>
  <c r="BM232" i="24"/>
  <c r="BN232" i="24" s="1"/>
  <c r="BG210" i="24"/>
  <c r="E19" i="1"/>
  <c r="BS210" i="24"/>
  <c r="BX210" i="24" s="1"/>
  <c r="BM247" i="24"/>
  <c r="BN247" i="24" s="1"/>
  <c r="BG150" i="24"/>
  <c r="BS150" i="24"/>
  <c r="BX150" i="24" s="1"/>
  <c r="BM305" i="24"/>
  <c r="BN305" i="24" s="1"/>
  <c r="BG315" i="24"/>
  <c r="BS315" i="24"/>
  <c r="BX315" i="24" s="1"/>
  <c r="BG146" i="24"/>
  <c r="BS146" i="24"/>
  <c r="BX146" i="24" s="1"/>
  <c r="BB299" i="25"/>
  <c r="BS299" i="25" s="1"/>
  <c r="BC299" i="25"/>
  <c r="BT299" i="25" s="1"/>
  <c r="BA299" i="25"/>
  <c r="BG254" i="24"/>
  <c r="BS254" i="24"/>
  <c r="BX254" i="24" s="1"/>
  <c r="V541" i="29"/>
  <c r="U541" i="29"/>
  <c r="U352" i="29"/>
  <c r="V352" i="29"/>
  <c r="V508" i="29"/>
  <c r="U508" i="29"/>
  <c r="U61" i="29"/>
  <c r="V61" i="29"/>
  <c r="V248" i="29"/>
  <c r="U248" i="29"/>
  <c r="V74" i="29"/>
  <c r="U74" i="29"/>
  <c r="V584" i="29"/>
  <c r="U584" i="29"/>
  <c r="V606" i="29"/>
  <c r="U606" i="29"/>
  <c r="V24" i="29"/>
  <c r="U24" i="29"/>
  <c r="BA165" i="25"/>
  <c r="BC165" i="25"/>
  <c r="BT165" i="25" s="1"/>
  <c r="BB165" i="25"/>
  <c r="BS165" i="25" s="1"/>
  <c r="BG172" i="24"/>
  <c r="BS172" i="24"/>
  <c r="BX172" i="24" s="1"/>
  <c r="BG165" i="24"/>
  <c r="BS165" i="24"/>
  <c r="BX165" i="24" s="1"/>
  <c r="BG239" i="24"/>
  <c r="BS239" i="24"/>
  <c r="BX239" i="24" s="1"/>
  <c r="BS72" i="24"/>
  <c r="BV72" i="24" s="1"/>
  <c r="BX72" i="24" s="1"/>
  <c r="BG72" i="24"/>
  <c r="BM72" i="24" s="1"/>
  <c r="BC191" i="25"/>
  <c r="BT191" i="25" s="1"/>
  <c r="BA191" i="25"/>
  <c r="BB191" i="25"/>
  <c r="BS191" i="25" s="1"/>
  <c r="BG143" i="24"/>
  <c r="BS143" i="24"/>
  <c r="BX143" i="24" s="1"/>
  <c r="BS57" i="24"/>
  <c r="BV57" i="24" s="1"/>
  <c r="BX57" i="24" s="1"/>
  <c r="BG57" i="24"/>
  <c r="BM57" i="24" s="1"/>
  <c r="BA58" i="25"/>
  <c r="BB58" i="25"/>
  <c r="BS58" i="25" s="1"/>
  <c r="BC58" i="25"/>
  <c r="BT58" i="25" s="1"/>
  <c r="BS83" i="24"/>
  <c r="BV83" i="24" s="1"/>
  <c r="BX83" i="24" s="1"/>
  <c r="BG83" i="24"/>
  <c r="BM83" i="24" s="1"/>
  <c r="BR199" i="25"/>
  <c r="BX199" i="25" s="1"/>
  <c r="BE199" i="25"/>
  <c r="BB225" i="25"/>
  <c r="BS225" i="25" s="1"/>
  <c r="BA225" i="25"/>
  <c r="BC225" i="25"/>
  <c r="BT225" i="25" s="1"/>
  <c r="BB187" i="25"/>
  <c r="BS187" i="25" s="1"/>
  <c r="BC187" i="25"/>
  <c r="BT187" i="25" s="1"/>
  <c r="BA187" i="25"/>
  <c r="BA245" i="25"/>
  <c r="BC245" i="25"/>
  <c r="BT245" i="25" s="1"/>
  <c r="BB245" i="25"/>
  <c r="BS245" i="25" s="1"/>
  <c r="BC115" i="25"/>
  <c r="BT115" i="25" s="1"/>
  <c r="BB115" i="25"/>
  <c r="BS115" i="25" s="1"/>
  <c r="BA115" i="25"/>
  <c r="BS48" i="24"/>
  <c r="BV48" i="24" s="1"/>
  <c r="BX48" i="24" s="1"/>
  <c r="BG48" i="24"/>
  <c r="BM48" i="24" s="1"/>
  <c r="BB279" i="25"/>
  <c r="BS279" i="25" s="1"/>
  <c r="BC279" i="25"/>
  <c r="BT279" i="25" s="1"/>
  <c r="BA279" i="25"/>
  <c r="BS100" i="24"/>
  <c r="BV100" i="24" s="1"/>
  <c r="BX100" i="24" s="1"/>
  <c r="BG100" i="24"/>
  <c r="BM100" i="24" s="1"/>
  <c r="BS16" i="24"/>
  <c r="BV16" i="24" s="1"/>
  <c r="BX16" i="24" s="1"/>
  <c r="BG16" i="24"/>
  <c r="BM16" i="24" s="1"/>
  <c r="BG313" i="24"/>
  <c r="BS313" i="24"/>
  <c r="BX313" i="24" s="1"/>
  <c r="BS51" i="24"/>
  <c r="BV51" i="24" s="1"/>
  <c r="BX51" i="24" s="1"/>
  <c r="BG51" i="24"/>
  <c r="BM51" i="24" s="1"/>
  <c r="BG311" i="24"/>
  <c r="BS311" i="24"/>
  <c r="BX311" i="24" s="1"/>
  <c r="BB85" i="25"/>
  <c r="BS85" i="25" s="1"/>
  <c r="BC85" i="25"/>
  <c r="BT85" i="25" s="1"/>
  <c r="BA85" i="25"/>
  <c r="BE292" i="25"/>
  <c r="BR292" i="25"/>
  <c r="BX292" i="25" s="1"/>
  <c r="BG306" i="24"/>
  <c r="BS306" i="24"/>
  <c r="BX306" i="24" s="1"/>
  <c r="BB66" i="25"/>
  <c r="BS66" i="25" s="1"/>
  <c r="BA66" i="25"/>
  <c r="BC66" i="25"/>
  <c r="BT66" i="25" s="1"/>
  <c r="CB295" i="24" l="1"/>
  <c r="CF295" i="24"/>
  <c r="CB257" i="24"/>
  <c r="CF257" i="24"/>
  <c r="CB101" i="24"/>
  <c r="CF101" i="24"/>
  <c r="CB191" i="24"/>
  <c r="CF191" i="24"/>
  <c r="BY147" i="24"/>
  <c r="CA147" i="24" s="1"/>
  <c r="CB147" i="24" s="1"/>
  <c r="BY12" i="24"/>
  <c r="CA12" i="24" s="1"/>
  <c r="CB12" i="24" s="1"/>
  <c r="BY242" i="24"/>
  <c r="CA242" i="24" s="1"/>
  <c r="CB242" i="24" s="1"/>
  <c r="BY121" i="24"/>
  <c r="CA121" i="24" s="1"/>
  <c r="CB121" i="24" s="1"/>
  <c r="V71" i="29"/>
  <c r="BN18" i="24"/>
  <c r="U19" i="29"/>
  <c r="V604" i="29"/>
  <c r="X604" i="29" s="1"/>
  <c r="Y604" i="29" s="1"/>
  <c r="U266" i="29"/>
  <c r="W266" i="29" s="1"/>
  <c r="BR154" i="25"/>
  <c r="BX154" i="25" s="1"/>
  <c r="BY265" i="24"/>
  <c r="CA265" i="24" s="1"/>
  <c r="CB265" i="24" s="1"/>
  <c r="U603" i="29"/>
  <c r="AG603" i="29" s="1"/>
  <c r="V309" i="29"/>
  <c r="AH309" i="29" s="1"/>
  <c r="U379" i="29"/>
  <c r="W379" i="29" s="1"/>
  <c r="U338" i="29"/>
  <c r="W338" i="29" s="1"/>
  <c r="U507" i="29"/>
  <c r="AG507" i="29" s="1"/>
  <c r="BY112" i="24"/>
  <c r="CA112" i="24" s="1"/>
  <c r="CB112" i="24" s="1"/>
  <c r="U284" i="29"/>
  <c r="W284" i="29" s="1"/>
  <c r="BX130" i="24"/>
  <c r="U322" i="29"/>
  <c r="AG322" i="29" s="1"/>
  <c r="V384" i="29"/>
  <c r="AH384" i="29" s="1"/>
  <c r="V168" i="29"/>
  <c r="X168" i="29" s="1"/>
  <c r="Y168" i="29" s="1"/>
  <c r="U186" i="29"/>
  <c r="W186" i="29" s="1"/>
  <c r="U105" i="29"/>
  <c r="W105" i="29" s="1"/>
  <c r="V205" i="29"/>
  <c r="X205" i="29" s="1"/>
  <c r="Y205" i="29" s="1"/>
  <c r="U562" i="29"/>
  <c r="AG562" i="29" s="1"/>
  <c r="U198" i="29"/>
  <c r="AG198" i="29" s="1"/>
  <c r="V367" i="29"/>
  <c r="AH367" i="29" s="1"/>
  <c r="V578" i="29"/>
  <c r="AH578" i="29" s="1"/>
  <c r="U608" i="29"/>
  <c r="W608" i="29" s="1"/>
  <c r="BY6" i="24"/>
  <c r="CA6" i="24" s="1"/>
  <c r="CB6" i="24" s="1"/>
  <c r="U373" i="29"/>
  <c r="AG373" i="29" s="1"/>
  <c r="V391" i="29"/>
  <c r="AH391" i="29" s="1"/>
  <c r="V257" i="29"/>
  <c r="AH257" i="29" s="1"/>
  <c r="V22" i="29"/>
  <c r="X22" i="29" s="1"/>
  <c r="Y22" i="29" s="1"/>
  <c r="U511" i="29"/>
  <c r="W511" i="29" s="1"/>
  <c r="U417" i="29"/>
  <c r="W417" i="29" s="1"/>
  <c r="BY238" i="24"/>
  <c r="CA238" i="24" s="1"/>
  <c r="CB238" i="24" s="1"/>
  <c r="U207" i="29"/>
  <c r="AG207" i="29" s="1"/>
  <c r="U111" i="29"/>
  <c r="W111" i="29" s="1"/>
  <c r="V553" i="29"/>
  <c r="AH553" i="29" s="1"/>
  <c r="U362" i="29"/>
  <c r="W362" i="29" s="1"/>
  <c r="U343" i="29"/>
  <c r="AG343" i="29" s="1"/>
  <c r="V340" i="29"/>
  <c r="AH340" i="29" s="1"/>
  <c r="V54" i="29"/>
  <c r="AH54" i="29" s="1"/>
  <c r="BY279" i="24"/>
  <c r="CA279" i="24" s="1"/>
  <c r="CB279" i="24" s="1"/>
  <c r="U108" i="29"/>
  <c r="AG108" i="29" s="1"/>
  <c r="V358" i="29"/>
  <c r="X358" i="29" s="1"/>
  <c r="Y358" i="29" s="1"/>
  <c r="BY27" i="24"/>
  <c r="CA27" i="24" s="1"/>
  <c r="CB27" i="24" s="1"/>
  <c r="V457" i="29"/>
  <c r="AH457" i="29" s="1"/>
  <c r="V79" i="29"/>
  <c r="AH79" i="29" s="1"/>
  <c r="V370" i="29"/>
  <c r="AH370" i="29" s="1"/>
  <c r="V276" i="29"/>
  <c r="AH276" i="29" s="1"/>
  <c r="U348" i="29"/>
  <c r="AG348" i="29" s="1"/>
  <c r="BY298" i="24"/>
  <c r="CA298" i="24" s="1"/>
  <c r="CB298" i="24" s="1"/>
  <c r="V317" i="29"/>
  <c r="AH317" i="29" s="1"/>
  <c r="U252" i="29"/>
  <c r="W252" i="29" s="1"/>
  <c r="U365" i="29"/>
  <c r="W365" i="29" s="1"/>
  <c r="V203" i="29"/>
  <c r="X203" i="29" s="1"/>
  <c r="Y203" i="29" s="1"/>
  <c r="U70" i="29"/>
  <c r="AG70" i="29" s="1"/>
  <c r="U357" i="29"/>
  <c r="AG357" i="29" s="1"/>
  <c r="V258" i="29"/>
  <c r="AH258" i="29" s="1"/>
  <c r="U123" i="29"/>
  <c r="W123" i="29" s="1"/>
  <c r="BY299" i="24"/>
  <c r="CA299" i="24" s="1"/>
  <c r="U109" i="29"/>
  <c r="AG109" i="29" s="1"/>
  <c r="U560" i="29"/>
  <c r="W560" i="29" s="1"/>
  <c r="V466" i="29"/>
  <c r="X466" i="29" s="1"/>
  <c r="Y466" i="29" s="1"/>
  <c r="U107" i="29"/>
  <c r="AG107" i="29" s="1"/>
  <c r="U475" i="29"/>
  <c r="W475" i="29" s="1"/>
  <c r="CB55" i="24"/>
  <c r="B271" i="2" s="1"/>
  <c r="CF55" i="24"/>
  <c r="U115" i="29"/>
  <c r="AG115" i="29" s="1"/>
  <c r="U254" i="29"/>
  <c r="AG254" i="29" s="1"/>
  <c r="V80" i="29"/>
  <c r="AH80" i="29" s="1"/>
  <c r="V516" i="29"/>
  <c r="X516" i="29" s="1"/>
  <c r="Y516" i="29" s="1"/>
  <c r="V563" i="29"/>
  <c r="AH563" i="29" s="1"/>
  <c r="V34" i="29"/>
  <c r="X34" i="29" s="1"/>
  <c r="Y34" i="29" s="1"/>
  <c r="V408" i="29"/>
  <c r="AH408" i="29" s="1"/>
  <c r="V501" i="29"/>
  <c r="AH501" i="29" s="1"/>
  <c r="U429" i="29"/>
  <c r="AG429" i="29" s="1"/>
  <c r="U156" i="29"/>
  <c r="AG156" i="29" s="1"/>
  <c r="V151" i="29"/>
  <c r="AH151" i="29" s="1"/>
  <c r="U49" i="29"/>
  <c r="AG49" i="29" s="1"/>
  <c r="U587" i="29"/>
  <c r="AG587" i="29" s="1"/>
  <c r="V582" i="29"/>
  <c r="AH582" i="29" s="1"/>
  <c r="V217" i="29"/>
  <c r="AH217" i="29" s="1"/>
  <c r="U611" i="29"/>
  <c r="W611" i="29" s="1"/>
  <c r="V359" i="29"/>
  <c r="X359" i="29" s="1"/>
  <c r="Y359" i="29" s="1"/>
  <c r="U557" i="29"/>
  <c r="AG557" i="29" s="1"/>
  <c r="BY24" i="24"/>
  <c r="CA24" i="24" s="1"/>
  <c r="CB24" i="24" s="1"/>
  <c r="U166" i="29"/>
  <c r="AG166" i="29" s="1"/>
  <c r="U104" i="29"/>
  <c r="W104" i="29" s="1"/>
  <c r="U153" i="29"/>
  <c r="AG153" i="29" s="1"/>
  <c r="V589" i="29"/>
  <c r="X589" i="29" s="1"/>
  <c r="Y589" i="29" s="1"/>
  <c r="U98" i="29"/>
  <c r="AG98" i="29" s="1"/>
  <c r="V292" i="29"/>
  <c r="AH292" i="29" s="1"/>
  <c r="U513" i="29"/>
  <c r="W513" i="29" s="1"/>
  <c r="V613" i="29"/>
  <c r="AH613" i="29" s="1"/>
  <c r="V477" i="29"/>
  <c r="X477" i="29" s="1"/>
  <c r="Y477" i="29" s="1"/>
  <c r="U52" i="29"/>
  <c r="AG52" i="29" s="1"/>
  <c r="U204" i="29"/>
  <c r="W204" i="29" s="1"/>
  <c r="BY282" i="24"/>
  <c r="CA282" i="24" s="1"/>
  <c r="CB282" i="24" s="1"/>
  <c r="U571" i="29"/>
  <c r="AG571" i="29" s="1"/>
  <c r="V161" i="29"/>
  <c r="X161" i="29" s="1"/>
  <c r="Y161" i="29" s="1"/>
  <c r="V235" i="29"/>
  <c r="X235" i="29" s="1"/>
  <c r="Y235" i="29" s="1"/>
  <c r="U598" i="29"/>
  <c r="AG598" i="29" s="1"/>
  <c r="U144" i="29"/>
  <c r="W144" i="29" s="1"/>
  <c r="V510" i="29"/>
  <c r="X510" i="29" s="1"/>
  <c r="Y510" i="29" s="1"/>
  <c r="U515" i="29"/>
  <c r="W515" i="29" s="1"/>
  <c r="V471" i="29"/>
  <c r="AH471" i="29" s="1"/>
  <c r="BY305" i="24"/>
  <c r="CA305" i="24" s="1"/>
  <c r="CB305" i="24" s="1"/>
  <c r="V127" i="29"/>
  <c r="X127" i="29" s="1"/>
  <c r="Y127" i="29" s="1"/>
  <c r="U216" i="29"/>
  <c r="AG216" i="29" s="1"/>
  <c r="U326" i="29"/>
  <c r="AG326" i="29" s="1"/>
  <c r="BY296" i="24"/>
  <c r="CA296" i="24" s="1"/>
  <c r="CB296" i="24" s="1"/>
  <c r="U555" i="29"/>
  <c r="W555" i="29" s="1"/>
  <c r="V361" i="29"/>
  <c r="X361" i="29" s="1"/>
  <c r="Y361" i="29" s="1"/>
  <c r="V397" i="29"/>
  <c r="X397" i="29" s="1"/>
  <c r="Y397" i="29" s="1"/>
  <c r="U493" i="29"/>
  <c r="AG493" i="29" s="1"/>
  <c r="V229" i="29"/>
  <c r="X229" i="29" s="1"/>
  <c r="Y229" i="29" s="1"/>
  <c r="V35" i="29"/>
  <c r="AH35" i="29" s="1"/>
  <c r="V470" i="29"/>
  <c r="X470" i="29" s="1"/>
  <c r="Y470" i="29" s="1"/>
  <c r="V577" i="29"/>
  <c r="X577" i="29" s="1"/>
  <c r="Y577" i="29" s="1"/>
  <c r="V586" i="29"/>
  <c r="AH586" i="29" s="1"/>
  <c r="U270" i="29"/>
  <c r="AG270" i="29" s="1"/>
  <c r="U90" i="29"/>
  <c r="AG90" i="29" s="1"/>
  <c r="V241" i="29"/>
  <c r="AH241" i="29" s="1"/>
  <c r="U325" i="29"/>
  <c r="W325" i="29" s="1"/>
  <c r="V377" i="29"/>
  <c r="AH377" i="29" s="1"/>
  <c r="U532" i="29"/>
  <c r="W532" i="29" s="1"/>
  <c r="V339" i="29"/>
  <c r="X339" i="29" s="1"/>
  <c r="Y339" i="29" s="1"/>
  <c r="U194" i="29"/>
  <c r="W194" i="29" s="1"/>
  <c r="U347" i="29"/>
  <c r="AG347" i="29" s="1"/>
  <c r="V152" i="29"/>
  <c r="X152" i="29" s="1"/>
  <c r="Y152" i="29" s="1"/>
  <c r="V345" i="29"/>
  <c r="X345" i="29" s="1"/>
  <c r="Y345" i="29" s="1"/>
  <c r="V256" i="29"/>
  <c r="X256" i="29" s="1"/>
  <c r="Y256" i="29" s="1"/>
  <c r="U89" i="29"/>
  <c r="AG89" i="29" s="1"/>
  <c r="BY232" i="24"/>
  <c r="CA232" i="24" s="1"/>
  <c r="CB232" i="24" s="1"/>
  <c r="V220" i="29"/>
  <c r="AH220" i="29" s="1"/>
  <c r="U559" i="29"/>
  <c r="W559" i="29" s="1"/>
  <c r="V299" i="29"/>
  <c r="AH299" i="29" s="1"/>
  <c r="V138" i="29"/>
  <c r="X138" i="29" s="1"/>
  <c r="Y138" i="29" s="1"/>
  <c r="V462" i="29"/>
  <c r="AH462" i="29" s="1"/>
  <c r="BY280" i="24"/>
  <c r="CA280" i="24" s="1"/>
  <c r="CB280" i="24" s="1"/>
  <c r="V597" i="29"/>
  <c r="X597" i="29" s="1"/>
  <c r="Y597" i="29" s="1"/>
  <c r="U185" i="29"/>
  <c r="AG185" i="29" s="1"/>
  <c r="U332" i="29"/>
  <c r="W332" i="29" s="1"/>
  <c r="U222" i="29"/>
  <c r="AG222" i="29" s="1"/>
  <c r="U480" i="29"/>
  <c r="AG480" i="29" s="1"/>
  <c r="V443" i="29"/>
  <c r="X443" i="29" s="1"/>
  <c r="Y443" i="29" s="1"/>
  <c r="V43" i="29"/>
  <c r="AH43" i="29" s="1"/>
  <c r="V331" i="29"/>
  <c r="AH331" i="29" s="1"/>
  <c r="U526" i="29"/>
  <c r="AG526" i="29" s="1"/>
  <c r="U122" i="29"/>
  <c r="AG122" i="29" s="1"/>
  <c r="V543" i="29"/>
  <c r="X543" i="29" s="1"/>
  <c r="Y543" i="29" s="1"/>
  <c r="BY54" i="24"/>
  <c r="CA54" i="24" s="1"/>
  <c r="CB54" i="24" s="1"/>
  <c r="V53" i="29"/>
  <c r="AH53" i="29" s="1"/>
  <c r="V468" i="29"/>
  <c r="X468" i="29" s="1"/>
  <c r="Y468" i="29" s="1"/>
  <c r="V404" i="29"/>
  <c r="AH404" i="29" s="1"/>
  <c r="V233" i="29"/>
  <c r="AH233" i="29" s="1"/>
  <c r="U289" i="29"/>
  <c r="AG289" i="29" s="1"/>
  <c r="V327" i="29"/>
  <c r="AH327" i="29" s="1"/>
  <c r="V93" i="29"/>
  <c r="X93" i="29" s="1"/>
  <c r="Y93" i="29" s="1"/>
  <c r="U73" i="29"/>
  <c r="W73" i="29" s="1"/>
  <c r="U165" i="29"/>
  <c r="W165" i="29" s="1"/>
  <c r="V293" i="29"/>
  <c r="AH293" i="29" s="1"/>
  <c r="V402" i="29"/>
  <c r="AH402" i="29" s="1"/>
  <c r="V596" i="29"/>
  <c r="AH596" i="29" s="1"/>
  <c r="V590" i="29"/>
  <c r="X590" i="29" s="1"/>
  <c r="Y590" i="29" s="1"/>
  <c r="V580" i="29"/>
  <c r="AH580" i="29" s="1"/>
  <c r="BN28" i="24"/>
  <c r="V454" i="29"/>
  <c r="X454" i="29" s="1"/>
  <c r="Y454" i="29" s="1"/>
  <c r="U50" i="29"/>
  <c r="W50" i="29" s="1"/>
  <c r="U448" i="29"/>
  <c r="AG448" i="29" s="1"/>
  <c r="U556" i="29"/>
  <c r="AG556" i="29" s="1"/>
  <c r="V558" i="29"/>
  <c r="X558" i="29" s="1"/>
  <c r="Y558" i="29" s="1"/>
  <c r="V298" i="29"/>
  <c r="AH298" i="29" s="1"/>
  <c r="V400" i="29"/>
  <c r="X400" i="29" s="1"/>
  <c r="Y400" i="29" s="1"/>
  <c r="U242" i="29"/>
  <c r="AG242" i="29" s="1"/>
  <c r="BY253" i="24"/>
  <c r="CA253" i="24" s="1"/>
  <c r="CB253" i="24" s="1"/>
  <c r="V303" i="29"/>
  <c r="AH303" i="29" s="1"/>
  <c r="V503" i="29"/>
  <c r="AH503" i="29" s="1"/>
  <c r="U139" i="29"/>
  <c r="W139" i="29" s="1"/>
  <c r="V48" i="29"/>
  <c r="AH48" i="29" s="1"/>
  <c r="V308" i="29"/>
  <c r="AH308" i="29" s="1"/>
  <c r="V184" i="29"/>
  <c r="AH184" i="29" s="1"/>
  <c r="V546" i="29"/>
  <c r="X546" i="29" s="1"/>
  <c r="Y546" i="29" s="1"/>
  <c r="U246" i="29"/>
  <c r="W246" i="29" s="1"/>
  <c r="U387" i="29"/>
  <c r="W387" i="29" s="1"/>
  <c r="U610" i="29"/>
  <c r="AG610" i="29" s="1"/>
  <c r="V497" i="29"/>
  <c r="AH497" i="29" s="1"/>
  <c r="CB45" i="24"/>
  <c r="CF45" i="24"/>
  <c r="CB135" i="24"/>
  <c r="CF135" i="24"/>
  <c r="U530" i="29"/>
  <c r="W530" i="29" s="1"/>
  <c r="V96" i="29"/>
  <c r="X96" i="29" s="1"/>
  <c r="Y96" i="29" s="1"/>
  <c r="U439" i="29"/>
  <c r="AG439" i="29" s="1"/>
  <c r="U86" i="29"/>
  <c r="W86" i="29" s="1"/>
  <c r="V512" i="29"/>
  <c r="AH512" i="29" s="1"/>
  <c r="U218" i="29"/>
  <c r="AG218" i="29" s="1"/>
  <c r="U221" i="29"/>
  <c r="AG221" i="29" s="1"/>
  <c r="U350" i="29"/>
  <c r="AG350" i="29" s="1"/>
  <c r="BM224" i="24"/>
  <c r="BN224" i="24" s="1"/>
  <c r="V567" i="29"/>
  <c r="AH567" i="29" s="1"/>
  <c r="V414" i="29"/>
  <c r="AH414" i="29" s="1"/>
  <c r="U401" i="29"/>
  <c r="AG401" i="29" s="1"/>
  <c r="V214" i="29"/>
  <c r="X214" i="29" s="1"/>
  <c r="Y214" i="29" s="1"/>
  <c r="V29" i="29"/>
  <c r="AH29" i="29" s="1"/>
  <c r="U45" i="29"/>
  <c r="W45" i="29" s="1"/>
  <c r="U522" i="29"/>
  <c r="AG522" i="29" s="1"/>
  <c r="V30" i="29"/>
  <c r="AH30" i="29" s="1"/>
  <c r="V171" i="29"/>
  <c r="X171" i="29" s="1"/>
  <c r="Y171" i="29" s="1"/>
  <c r="U88" i="29"/>
  <c r="W88" i="29" s="1"/>
  <c r="V224" i="29"/>
  <c r="X224" i="29" s="1"/>
  <c r="Y224" i="29" s="1"/>
  <c r="V605" i="29"/>
  <c r="X605" i="29" s="1"/>
  <c r="Y605" i="29" s="1"/>
  <c r="V101" i="29"/>
  <c r="AH101" i="29" s="1"/>
  <c r="U234" i="29"/>
  <c r="AG234" i="29" s="1"/>
  <c r="V418" i="29"/>
  <c r="AH418" i="29" s="1"/>
  <c r="U529" i="29"/>
  <c r="AG529" i="29" s="1"/>
  <c r="U140" i="29"/>
  <c r="AG140" i="29" s="1"/>
  <c r="U133" i="29"/>
  <c r="AG133" i="29" s="1"/>
  <c r="V554" i="29"/>
  <c r="AH554" i="29" s="1"/>
  <c r="U465" i="29"/>
  <c r="AG465" i="29" s="1"/>
  <c r="U341" i="29"/>
  <c r="AG341" i="29" s="1"/>
  <c r="U291" i="29"/>
  <c r="AG291" i="29" s="1"/>
  <c r="V388" i="29"/>
  <c r="AH388" i="29" s="1"/>
  <c r="U594" i="29"/>
  <c r="W594" i="29" s="1"/>
  <c r="V552" i="29"/>
  <c r="AH552" i="29" s="1"/>
  <c r="V499" i="29"/>
  <c r="AH499" i="29" s="1"/>
  <c r="V354" i="29"/>
  <c r="X354" i="29" s="1"/>
  <c r="Y354" i="29" s="1"/>
  <c r="V334" i="29"/>
  <c r="AH334" i="29" s="1"/>
  <c r="U230" i="29"/>
  <c r="W230" i="29" s="1"/>
  <c r="V69" i="29"/>
  <c r="AH69" i="29" s="1"/>
  <c r="V479" i="29"/>
  <c r="AH479" i="29" s="1"/>
  <c r="V415" i="29"/>
  <c r="AH415" i="29" s="1"/>
  <c r="U286" i="29"/>
  <c r="W286" i="29" s="1"/>
  <c r="V167" i="29"/>
  <c r="AH167" i="29" s="1"/>
  <c r="V424" i="29"/>
  <c r="AH424" i="29" s="1"/>
  <c r="U147" i="29"/>
  <c r="AG147" i="29" s="1"/>
  <c r="U170" i="29"/>
  <c r="AG170" i="29" s="1"/>
  <c r="U294" i="29"/>
  <c r="W294" i="29" s="1"/>
  <c r="U319" i="29"/>
  <c r="W319" i="29" s="1"/>
  <c r="U25" i="29"/>
  <c r="AG25" i="29" s="1"/>
  <c r="V44" i="29"/>
  <c r="AH44" i="29" s="1"/>
  <c r="V190" i="29"/>
  <c r="X190" i="29" s="1"/>
  <c r="Y190" i="29" s="1"/>
  <c r="V376" i="29"/>
  <c r="AH376" i="29" s="1"/>
  <c r="V342" i="29"/>
  <c r="AH342" i="29" s="1"/>
  <c r="V413" i="29"/>
  <c r="AH413" i="29" s="1"/>
  <c r="V81" i="29"/>
  <c r="X81" i="29" s="1"/>
  <c r="Y81" i="29" s="1"/>
  <c r="U440" i="29"/>
  <c r="W440" i="29" s="1"/>
  <c r="U422" i="29"/>
  <c r="AG422" i="29" s="1"/>
  <c r="V428" i="29"/>
  <c r="AH428" i="29" s="1"/>
  <c r="V40" i="29"/>
  <c r="AH40" i="29" s="1"/>
  <c r="V268" i="29"/>
  <c r="AH268" i="29" s="1"/>
  <c r="U609" i="29"/>
  <c r="W609" i="29" s="1"/>
  <c r="V486" i="29"/>
  <c r="X486" i="29" s="1"/>
  <c r="Y486" i="29" s="1"/>
  <c r="V321" i="29"/>
  <c r="X321" i="29" s="1"/>
  <c r="Y321" i="29" s="1"/>
  <c r="U447" i="29"/>
  <c r="W447" i="29" s="1"/>
  <c r="U84" i="29"/>
  <c r="AG84" i="29" s="1"/>
  <c r="V208" i="29"/>
  <c r="X208" i="29" s="1"/>
  <c r="Y208" i="29" s="1"/>
  <c r="U180" i="29"/>
  <c r="W180" i="29" s="1"/>
  <c r="V274" i="29"/>
  <c r="AH274" i="29" s="1"/>
  <c r="U488" i="29"/>
  <c r="W488" i="29" s="1"/>
  <c r="V494" i="29"/>
  <c r="X494" i="29" s="1"/>
  <c r="Y494" i="29" s="1"/>
  <c r="U183" i="29"/>
  <c r="AG183" i="29" s="1"/>
  <c r="V114" i="29"/>
  <c r="AH114" i="29" s="1"/>
  <c r="U463" i="29"/>
  <c r="AG463" i="29" s="1"/>
  <c r="U474" i="29"/>
  <c r="AG474" i="29" s="1"/>
  <c r="U324" i="29"/>
  <c r="W324" i="29" s="1"/>
  <c r="V346" i="29"/>
  <c r="X346" i="29" s="1"/>
  <c r="Y346" i="29" s="1"/>
  <c r="U13" i="29"/>
  <c r="AG13" i="29" s="1"/>
  <c r="BY26" i="24"/>
  <c r="CA26" i="24" s="1"/>
  <c r="CB26" i="24" s="1"/>
  <c r="BY148" i="24"/>
  <c r="CA148" i="24" s="1"/>
  <c r="CB148" i="24" s="1"/>
  <c r="V550" i="29"/>
  <c r="X550" i="29" s="1"/>
  <c r="Y550" i="29" s="1"/>
  <c r="U406" i="29"/>
  <c r="AG406" i="29" s="1"/>
  <c r="V581" i="29"/>
  <c r="X581" i="29" s="1"/>
  <c r="Y581" i="29" s="1"/>
  <c r="U453" i="29"/>
  <c r="W453" i="29" s="1"/>
  <c r="U33" i="29"/>
  <c r="W33" i="29" s="1"/>
  <c r="V57" i="29"/>
  <c r="AH57" i="29" s="1"/>
  <c r="U187" i="29"/>
  <c r="AG187" i="29" s="1"/>
  <c r="V302" i="29"/>
  <c r="X302" i="29" s="1"/>
  <c r="Y302" i="29" s="1"/>
  <c r="V197" i="29"/>
  <c r="AH197" i="29" s="1"/>
  <c r="BY58" i="24"/>
  <c r="CA58" i="24" s="1"/>
  <c r="CB58" i="24" s="1"/>
  <c r="V239" i="29"/>
  <c r="X239" i="29" s="1"/>
  <c r="Y239" i="29" s="1"/>
  <c r="U154" i="29"/>
  <c r="AG154" i="29" s="1"/>
  <c r="U336" i="29"/>
  <c r="AG336" i="29" s="1"/>
  <c r="V333" i="29"/>
  <c r="X333" i="29" s="1"/>
  <c r="Y333" i="29" s="1"/>
  <c r="U32" i="29"/>
  <c r="W32" i="29" s="1"/>
  <c r="U412" i="29"/>
  <c r="AG412" i="29" s="1"/>
  <c r="V267" i="29"/>
  <c r="X267" i="29" s="1"/>
  <c r="Y267" i="29" s="1"/>
  <c r="U117" i="29"/>
  <c r="W117" i="29" s="1"/>
  <c r="U390" i="29"/>
  <c r="W390" i="29" s="1"/>
  <c r="V178" i="29"/>
  <c r="AH178" i="29" s="1"/>
  <c r="U130" i="29"/>
  <c r="AG130" i="29" s="1"/>
  <c r="V505" i="29"/>
  <c r="AH505" i="29" s="1"/>
  <c r="U149" i="29"/>
  <c r="AG149" i="29" s="1"/>
  <c r="V329" i="29"/>
  <c r="AH329" i="29" s="1"/>
  <c r="BY33" i="24"/>
  <c r="CA33" i="24" s="1"/>
  <c r="CB33" i="24" s="1"/>
  <c r="V535" i="29"/>
  <c r="AH535" i="29" s="1"/>
  <c r="V467" i="29"/>
  <c r="X467" i="29" s="1"/>
  <c r="Y467" i="29" s="1"/>
  <c r="U164" i="29"/>
  <c r="AG164" i="29" s="1"/>
  <c r="U100" i="29"/>
  <c r="W100" i="29" s="1"/>
  <c r="U192" i="29"/>
  <c r="W192" i="29" s="1"/>
  <c r="V472" i="29"/>
  <c r="AH472" i="29" s="1"/>
  <c r="U297" i="29"/>
  <c r="AG297" i="29" s="1"/>
  <c r="V435" i="29"/>
  <c r="X435" i="29" s="1"/>
  <c r="Y435" i="29" s="1"/>
  <c r="V20" i="29"/>
  <c r="X20" i="29" s="1"/>
  <c r="Y20" i="29" s="1"/>
  <c r="V344" i="29"/>
  <c r="AH344" i="29" s="1"/>
  <c r="U460" i="29"/>
  <c r="W460" i="29" s="1"/>
  <c r="V476" i="29"/>
  <c r="AH476" i="29" s="1"/>
  <c r="V87" i="29"/>
  <c r="X87" i="29" s="1"/>
  <c r="Y87" i="29" s="1"/>
  <c r="U264" i="29"/>
  <c r="W264" i="29" s="1"/>
  <c r="U490" i="29"/>
  <c r="W490" i="29" s="1"/>
  <c r="V39" i="29"/>
  <c r="X39" i="29" s="1"/>
  <c r="Y39" i="29" s="1"/>
  <c r="V473" i="29"/>
  <c r="X473" i="29" s="1"/>
  <c r="Y473" i="29" s="1"/>
  <c r="V118" i="29"/>
  <c r="X118" i="29" s="1"/>
  <c r="Y118" i="29" s="1"/>
  <c r="V306" i="29"/>
  <c r="AH306" i="29" s="1"/>
  <c r="U540" i="29"/>
  <c r="W540" i="29" s="1"/>
  <c r="U330" i="29"/>
  <c r="AG330" i="29" s="1"/>
  <c r="U514" i="29"/>
  <c r="AG514" i="29" s="1"/>
  <c r="V17" i="29"/>
  <c r="X17" i="29" s="1"/>
  <c r="Y17" i="29" s="1"/>
  <c r="U120" i="29"/>
  <c r="W120" i="29" s="1"/>
  <c r="BY247" i="24"/>
  <c r="CA247" i="24" s="1"/>
  <c r="CB247" i="24" s="1"/>
  <c r="U210" i="29"/>
  <c r="AG210" i="29" s="1"/>
  <c r="U574" i="29"/>
  <c r="W574" i="29" s="1"/>
  <c r="V236" i="29"/>
  <c r="X236" i="29" s="1"/>
  <c r="Y236" i="29" s="1"/>
  <c r="U349" i="29"/>
  <c r="W349" i="29" s="1"/>
  <c r="U316" i="29"/>
  <c r="W316" i="29" s="1"/>
  <c r="BY19" i="24"/>
  <c r="CA19" i="24" s="1"/>
  <c r="CB19" i="24" s="1"/>
  <c r="V461" i="29"/>
  <c r="AH461" i="29" s="1"/>
  <c r="V136" i="29"/>
  <c r="X136" i="29" s="1"/>
  <c r="Y136" i="29" s="1"/>
  <c r="V438" i="29"/>
  <c r="X438" i="29" s="1"/>
  <c r="Y438" i="29" s="1"/>
  <c r="U23" i="29"/>
  <c r="AG23" i="29" s="1"/>
  <c r="V368" i="29"/>
  <c r="AH368" i="29" s="1"/>
  <c r="V612" i="29"/>
  <c r="X612" i="29" s="1"/>
  <c r="Y612" i="29" s="1"/>
  <c r="V250" i="29"/>
  <c r="AH250" i="29" s="1"/>
  <c r="U128" i="29"/>
  <c r="W128" i="29" s="1"/>
  <c r="V125" i="29"/>
  <c r="X125" i="29" s="1"/>
  <c r="Y125" i="29" s="1"/>
  <c r="U112" i="29"/>
  <c r="W112" i="29" s="1"/>
  <c r="U277" i="29"/>
  <c r="W277" i="29" s="1"/>
  <c r="U72" i="29"/>
  <c r="W72" i="29" s="1"/>
  <c r="U146" i="29"/>
  <c r="W146" i="29" s="1"/>
  <c r="U498" i="29"/>
  <c r="AG498" i="29" s="1"/>
  <c r="U219" i="29"/>
  <c r="AG219" i="29" s="1"/>
  <c r="U150" i="29"/>
  <c r="AG150" i="29" s="1"/>
  <c r="V281" i="29"/>
  <c r="AH281" i="29" s="1"/>
  <c r="V259" i="29"/>
  <c r="AH259" i="29" s="1"/>
  <c r="U366" i="29"/>
  <c r="W366" i="29" s="1"/>
  <c r="U569" i="29"/>
  <c r="W569" i="29" s="1"/>
  <c r="V262" i="29"/>
  <c r="AH262" i="29" s="1"/>
  <c r="U116" i="29"/>
  <c r="AG116" i="29" s="1"/>
  <c r="U588" i="29"/>
  <c r="AG588" i="29" s="1"/>
  <c r="BY228" i="24"/>
  <c r="CA228" i="24" s="1"/>
  <c r="CB228" i="24" s="1"/>
  <c r="U455" i="29"/>
  <c r="W455" i="29" s="1"/>
  <c r="V320" i="29"/>
  <c r="X320" i="29" s="1"/>
  <c r="Y320" i="29" s="1"/>
  <c r="U430" i="29"/>
  <c r="AG430" i="29" s="1"/>
  <c r="U432" i="29"/>
  <c r="AG432" i="29" s="1"/>
  <c r="U240" i="29"/>
  <c r="AG240" i="29" s="1"/>
  <c r="U351" i="29"/>
  <c r="AG351" i="29" s="1"/>
  <c r="V272" i="29"/>
  <c r="AH272" i="29" s="1"/>
  <c r="U199" i="29"/>
  <c r="AG199" i="29" s="1"/>
  <c r="V538" i="29"/>
  <c r="X538" i="29" s="1"/>
  <c r="Y538" i="29" s="1"/>
  <c r="V228" i="29"/>
  <c r="AH228" i="29" s="1"/>
  <c r="U41" i="29"/>
  <c r="AG41" i="29" s="1"/>
  <c r="V135" i="29"/>
  <c r="X135" i="29" s="1"/>
  <c r="Y135" i="29" s="1"/>
  <c r="U434" i="29"/>
  <c r="AG434" i="29" s="1"/>
  <c r="U38" i="29"/>
  <c r="W38" i="29" s="1"/>
  <c r="U177" i="29"/>
  <c r="AG177" i="29" s="1"/>
  <c r="V409" i="29"/>
  <c r="AH409" i="29" s="1"/>
  <c r="V76" i="29"/>
  <c r="X76" i="29" s="1"/>
  <c r="Y76" i="29" s="1"/>
  <c r="U244" i="29"/>
  <c r="W244" i="29" s="1"/>
  <c r="U583" i="29"/>
  <c r="W583" i="29" s="1"/>
  <c r="V273" i="29"/>
  <c r="AH273" i="29" s="1"/>
  <c r="V283" i="29"/>
  <c r="X283" i="29" s="1"/>
  <c r="Y283" i="29" s="1"/>
  <c r="V169" i="29"/>
  <c r="AH169" i="29" s="1"/>
  <c r="U103" i="29"/>
  <c r="W103" i="29" s="1"/>
  <c r="U92" i="29"/>
  <c r="W92" i="29" s="1"/>
  <c r="V355" i="29"/>
  <c r="X355" i="29" s="1"/>
  <c r="Y355" i="29" s="1"/>
  <c r="V249" i="29"/>
  <c r="X249" i="29" s="1"/>
  <c r="Y249" i="29" s="1"/>
  <c r="V188" i="29"/>
  <c r="X188" i="29" s="1"/>
  <c r="Y188" i="29" s="1"/>
  <c r="U232" i="29"/>
  <c r="W232" i="29" s="1"/>
  <c r="V275" i="29"/>
  <c r="X275" i="29" s="1"/>
  <c r="Y275" i="29" s="1"/>
  <c r="BY34" i="24"/>
  <c r="CA34" i="24" s="1"/>
  <c r="CB34" i="24" s="1"/>
  <c r="U260" i="29"/>
  <c r="W260" i="29" s="1"/>
  <c r="V395" i="29"/>
  <c r="AH395" i="29" s="1"/>
  <c r="V378" i="29"/>
  <c r="AH378" i="29" s="1"/>
  <c r="V539" i="29"/>
  <c r="AH539" i="29" s="1"/>
  <c r="V403" i="29"/>
  <c r="X403" i="29" s="1"/>
  <c r="Y403" i="29" s="1"/>
  <c r="V575" i="29"/>
  <c r="AH575" i="29" s="1"/>
  <c r="V446" i="29"/>
  <c r="X446" i="29" s="1"/>
  <c r="Y446" i="29" s="1"/>
  <c r="U433" i="29"/>
  <c r="AG433" i="29" s="1"/>
  <c r="U195" i="29"/>
  <c r="W195" i="29" s="1"/>
  <c r="V407" i="29"/>
  <c r="X407" i="29" s="1"/>
  <c r="Y407" i="29" s="1"/>
  <c r="V593" i="29"/>
  <c r="AH593" i="29" s="1"/>
  <c r="V484" i="29"/>
  <c r="X484" i="29" s="1"/>
  <c r="Y484" i="29" s="1"/>
  <c r="U502" i="29"/>
  <c r="AG502" i="29" s="1"/>
  <c r="V94" i="29"/>
  <c r="AH94" i="29" s="1"/>
  <c r="BY20" i="24"/>
  <c r="CA20" i="24" s="1"/>
  <c r="CB20" i="24" s="1"/>
  <c r="V295" i="29"/>
  <c r="X295" i="29" s="1"/>
  <c r="Y295" i="29" s="1"/>
  <c r="U201" i="29"/>
  <c r="W201" i="29" s="1"/>
  <c r="U523" i="29"/>
  <c r="W523" i="29" s="1"/>
  <c r="U383" i="29"/>
  <c r="AG383" i="29" s="1"/>
  <c r="V519" i="29"/>
  <c r="AH519" i="29" s="1"/>
  <c r="V36" i="29"/>
  <c r="AH36" i="29" s="1"/>
  <c r="V469" i="29"/>
  <c r="AH469" i="29" s="1"/>
  <c r="U245" i="29"/>
  <c r="AG245" i="29" s="1"/>
  <c r="V572" i="29"/>
  <c r="X572" i="29" s="1"/>
  <c r="Y572" i="29" s="1"/>
  <c r="U305" i="29"/>
  <c r="AG305" i="29" s="1"/>
  <c r="V411" i="29"/>
  <c r="AH411" i="29" s="1"/>
  <c r="U410" i="29"/>
  <c r="AG410" i="29" s="1"/>
  <c r="V21" i="29"/>
  <c r="AH21" i="29" s="1"/>
  <c r="U518" i="29"/>
  <c r="W518" i="29" s="1"/>
  <c r="U520" i="29"/>
  <c r="W520" i="29" s="1"/>
  <c r="V592" i="29"/>
  <c r="X592" i="29" s="1"/>
  <c r="Y592" i="29" s="1"/>
  <c r="V141" i="29"/>
  <c r="AH141" i="29" s="1"/>
  <c r="V14" i="29"/>
  <c r="AH14" i="29" s="1"/>
  <c r="V481" i="29"/>
  <c r="X481" i="29" s="1"/>
  <c r="Y481" i="29" s="1"/>
  <c r="U142" i="29"/>
  <c r="AG142" i="29" s="1"/>
  <c r="U382" i="29"/>
  <c r="AG382" i="29" s="1"/>
  <c r="V506" i="29"/>
  <c r="X506" i="29" s="1"/>
  <c r="Y506" i="29" s="1"/>
  <c r="V600" i="29"/>
  <c r="AH600" i="29" s="1"/>
  <c r="U353" i="29"/>
  <c r="AG353" i="29" s="1"/>
  <c r="U547" i="29"/>
  <c r="AG547" i="29" s="1"/>
  <c r="U315" i="29"/>
  <c r="AG315" i="29" s="1"/>
  <c r="V65" i="29"/>
  <c r="X65" i="29" s="1"/>
  <c r="Y65" i="29" s="1"/>
  <c r="U398" i="29"/>
  <c r="W398" i="29" s="1"/>
  <c r="U56" i="29"/>
  <c r="AG56" i="29" s="1"/>
  <c r="V456" i="29"/>
  <c r="X456" i="29" s="1"/>
  <c r="Y456" i="29" s="1"/>
  <c r="U301" i="29"/>
  <c r="AG301" i="29" s="1"/>
  <c r="V427" i="29"/>
  <c r="X427" i="29" s="1"/>
  <c r="Y427" i="29" s="1"/>
  <c r="V175" i="29"/>
  <c r="X175" i="29" s="1"/>
  <c r="Y175" i="29" s="1"/>
  <c r="V263" i="29"/>
  <c r="AH263" i="29" s="1"/>
  <c r="U145" i="29"/>
  <c r="W145" i="29" s="1"/>
  <c r="U356" i="29"/>
  <c r="AG356" i="29" s="1"/>
  <c r="U91" i="29"/>
  <c r="AG91" i="29" s="1"/>
  <c r="V243" i="29"/>
  <c r="X243" i="29" s="1"/>
  <c r="Y243" i="29" s="1"/>
  <c r="U450" i="29"/>
  <c r="AG450" i="29" s="1"/>
  <c r="U200" i="29"/>
  <c r="AG200" i="29" s="1"/>
  <c r="U531" i="29"/>
  <c r="AG531" i="29" s="1"/>
  <c r="U179" i="29"/>
  <c r="AG179" i="29" s="1"/>
  <c r="U202" i="29"/>
  <c r="W202" i="29" s="1"/>
  <c r="U426" i="29"/>
  <c r="W426" i="29" s="1"/>
  <c r="U172" i="29"/>
  <c r="W172" i="29" s="1"/>
  <c r="V191" i="29"/>
  <c r="AH191" i="29" s="1"/>
  <c r="V77" i="29"/>
  <c r="X77" i="29" s="1"/>
  <c r="Y77" i="29" s="1"/>
  <c r="V47" i="29"/>
  <c r="X47" i="29" s="1"/>
  <c r="Y47" i="29" s="1"/>
  <c r="V27" i="29"/>
  <c r="X27" i="29" s="1"/>
  <c r="Y27" i="29" s="1"/>
  <c r="U318" i="29"/>
  <c r="W318" i="29" s="1"/>
  <c r="V307" i="29"/>
  <c r="AH307" i="29" s="1"/>
  <c r="U119" i="29"/>
  <c r="W119" i="29" s="1"/>
  <c r="V160" i="29"/>
  <c r="AH160" i="29" s="1"/>
  <c r="V67" i="29"/>
  <c r="AH67" i="29" s="1"/>
  <c r="V313" i="29"/>
  <c r="X313" i="29" s="1"/>
  <c r="Y313" i="29" s="1"/>
  <c r="V16" i="29"/>
  <c r="X16" i="29" s="1"/>
  <c r="Y16" i="29" s="1"/>
  <c r="U158" i="29"/>
  <c r="W158" i="29" s="1"/>
  <c r="V392" i="29"/>
  <c r="X392" i="29" s="1"/>
  <c r="Y392" i="29" s="1"/>
  <c r="V548" i="29"/>
  <c r="AH548" i="29" s="1"/>
  <c r="U489" i="29"/>
  <c r="W489" i="29" s="1"/>
  <c r="U280" i="29"/>
  <c r="AG280" i="29" s="1"/>
  <c r="U444" i="29"/>
  <c r="AG444" i="29" s="1"/>
  <c r="U132" i="29"/>
  <c r="AG132" i="29" s="1"/>
  <c r="V83" i="29"/>
  <c r="AH83" i="29" s="1"/>
  <c r="V607" i="29"/>
  <c r="AH607" i="29" s="1"/>
  <c r="U492" i="29"/>
  <c r="AG492" i="29" s="1"/>
  <c r="V436" i="29"/>
  <c r="AH436" i="29" s="1"/>
  <c r="U528" i="29"/>
  <c r="AG528" i="29" s="1"/>
  <c r="V517" i="29"/>
  <c r="AH517" i="29" s="1"/>
  <c r="V215" i="29"/>
  <c r="AH215" i="29" s="1"/>
  <c r="V385" i="29"/>
  <c r="X385" i="29" s="1"/>
  <c r="Y385" i="29" s="1"/>
  <c r="U157" i="29"/>
  <c r="W157" i="29" s="1"/>
  <c r="U504" i="29"/>
  <c r="W504" i="29" s="1"/>
  <c r="V458" i="29"/>
  <c r="AH458" i="29" s="1"/>
  <c r="U449" i="29"/>
  <c r="W449" i="29" s="1"/>
  <c r="V237" i="29"/>
  <c r="X237" i="29" s="1"/>
  <c r="Y237" i="29" s="1"/>
  <c r="U226" i="29"/>
  <c r="W226" i="29" s="1"/>
  <c r="V601" i="29"/>
  <c r="AH601" i="29" s="1"/>
  <c r="U595" i="29"/>
  <c r="AG595" i="29" s="1"/>
  <c r="U26" i="29"/>
  <c r="AG26" i="29" s="1"/>
  <c r="V42" i="29"/>
  <c r="AH42" i="29" s="1"/>
  <c r="U265" i="29"/>
  <c r="W265" i="29" s="1"/>
  <c r="U542" i="29"/>
  <c r="AG542" i="29" s="1"/>
  <c r="U565" i="29"/>
  <c r="W565" i="29" s="1"/>
  <c r="U381" i="29"/>
  <c r="W381" i="29" s="1"/>
  <c r="U389" i="29"/>
  <c r="W389" i="29" s="1"/>
  <c r="V396" i="29"/>
  <c r="AH396" i="29" s="1"/>
  <c r="V95" i="29"/>
  <c r="X95" i="29" s="1"/>
  <c r="Y95" i="29" s="1"/>
  <c r="V182" i="29"/>
  <c r="AH182" i="29" s="1"/>
  <c r="V579" i="29"/>
  <c r="AH579" i="29" s="1"/>
  <c r="V269" i="29"/>
  <c r="AH269" i="29" s="1"/>
  <c r="V451" i="29"/>
  <c r="AH451" i="29" s="1"/>
  <c r="V102" i="29"/>
  <c r="X102" i="29" s="1"/>
  <c r="Y102" i="29" s="1"/>
  <c r="U37" i="29"/>
  <c r="AG37" i="29" s="1"/>
  <c r="U421" i="29"/>
  <c r="AG421" i="29" s="1"/>
  <c r="V300" i="29"/>
  <c r="X300" i="29" s="1"/>
  <c r="Y300" i="29" s="1"/>
  <c r="V227" i="29"/>
  <c r="AH227" i="29" s="1"/>
  <c r="V405" i="29"/>
  <c r="X405" i="29" s="1"/>
  <c r="Y405" i="29" s="1"/>
  <c r="U290" i="29"/>
  <c r="W290" i="29" s="1"/>
  <c r="V423" i="29"/>
  <c r="AH423" i="29" s="1"/>
  <c r="U278" i="29"/>
  <c r="AG278" i="29" s="1"/>
  <c r="U525" i="29"/>
  <c r="AG525" i="29" s="1"/>
  <c r="U568" i="29"/>
  <c r="W568" i="29" s="1"/>
  <c r="V126" i="29"/>
  <c r="AH126" i="29" s="1"/>
  <c r="CB162" i="24"/>
  <c r="CF162" i="24"/>
  <c r="U524" i="29"/>
  <c r="W524" i="29" s="1"/>
  <c r="U561" i="29"/>
  <c r="W561" i="29" s="1"/>
  <c r="U255" i="29"/>
  <c r="W255" i="29" s="1"/>
  <c r="V247" i="29"/>
  <c r="AH247" i="29" s="1"/>
  <c r="V134" i="29"/>
  <c r="X134" i="29" s="1"/>
  <c r="Y134" i="29" s="1"/>
  <c r="U287" i="29"/>
  <c r="W287" i="29" s="1"/>
  <c r="U533" i="29"/>
  <c r="AG533" i="29" s="1"/>
  <c r="U573" i="29"/>
  <c r="AG573" i="29" s="1"/>
  <c r="U375" i="29"/>
  <c r="AG375" i="29" s="1"/>
  <c r="U251" i="29"/>
  <c r="AG251" i="29" s="1"/>
  <c r="V51" i="29"/>
  <c r="AH51" i="29" s="1"/>
  <c r="U310" i="29"/>
  <c r="AG310" i="29" s="1"/>
  <c r="V68" i="29"/>
  <c r="AH68" i="29" s="1"/>
  <c r="V282" i="29"/>
  <c r="AH282" i="29" s="1"/>
  <c r="U369" i="29"/>
  <c r="AG369" i="29" s="1"/>
  <c r="U500" i="29"/>
  <c r="W500" i="29" s="1"/>
  <c r="V364" i="29"/>
  <c r="AH364" i="29" s="1"/>
  <c r="V416" i="29"/>
  <c r="X416" i="29" s="1"/>
  <c r="Y416" i="29" s="1"/>
  <c r="U15" i="29"/>
  <c r="AG15" i="29" s="1"/>
  <c r="U296" i="29"/>
  <c r="W296" i="29" s="1"/>
  <c r="V386" i="29"/>
  <c r="X386" i="29" s="1"/>
  <c r="Y386" i="29" s="1"/>
  <c r="U31" i="29"/>
  <c r="W31" i="29" s="1"/>
  <c r="V491" i="29"/>
  <c r="AH491" i="29" s="1"/>
  <c r="V211" i="29"/>
  <c r="AH211" i="29" s="1"/>
  <c r="U75" i="29"/>
  <c r="AG75" i="29" s="1"/>
  <c r="U534" i="29"/>
  <c r="W534" i="29" s="1"/>
  <c r="V399" i="29"/>
  <c r="AH399" i="29" s="1"/>
  <c r="U82" i="29"/>
  <c r="AG82" i="29" s="1"/>
  <c r="V570" i="29"/>
  <c r="AH570" i="29" s="1"/>
  <c r="U459" i="29"/>
  <c r="W459" i="29" s="1"/>
  <c r="V549" i="29"/>
  <c r="AH549" i="29" s="1"/>
  <c r="U99" i="29"/>
  <c r="AG99" i="29" s="1"/>
  <c r="U527" i="29"/>
  <c r="W527" i="29" s="1"/>
  <c r="U312" i="29"/>
  <c r="AG312" i="29" s="1"/>
  <c r="U314" i="29"/>
  <c r="W314" i="29" s="1"/>
  <c r="U431" i="29"/>
  <c r="AG431" i="29" s="1"/>
  <c r="V131" i="29"/>
  <c r="X131" i="29" s="1"/>
  <c r="Y131" i="29" s="1"/>
  <c r="U55" i="29"/>
  <c r="W55" i="29" s="1"/>
  <c r="V425" i="29"/>
  <c r="AH425" i="29" s="1"/>
  <c r="V394" i="29"/>
  <c r="X394" i="29" s="1"/>
  <c r="Y394" i="29" s="1"/>
  <c r="U143" i="29"/>
  <c r="W143" i="29" s="1"/>
  <c r="V482" i="29"/>
  <c r="X482" i="29" s="1"/>
  <c r="Y482" i="29" s="1"/>
  <c r="V487" i="29"/>
  <c r="AH487" i="29" s="1"/>
  <c r="U564" i="29"/>
  <c r="W564" i="29" s="1"/>
  <c r="V419" i="29"/>
  <c r="AH419" i="29" s="1"/>
  <c r="U173" i="29"/>
  <c r="W173" i="29" s="1"/>
  <c r="V420" i="29"/>
  <c r="AH420" i="29" s="1"/>
  <c r="U121" i="29"/>
  <c r="W121" i="29" s="1"/>
  <c r="V545" i="29"/>
  <c r="X545" i="29" s="1"/>
  <c r="Y545" i="29" s="1"/>
  <c r="V28" i="29"/>
  <c r="X28" i="29" s="1"/>
  <c r="Y28" i="29" s="1"/>
  <c r="V496" i="29"/>
  <c r="AH496" i="29" s="1"/>
  <c r="U441" i="29"/>
  <c r="AG441" i="29" s="1"/>
  <c r="BY117" i="24"/>
  <c r="CA117" i="24" s="1"/>
  <c r="CB117" i="24" s="1"/>
  <c r="U213" i="29"/>
  <c r="AG213" i="29" s="1"/>
  <c r="V372" i="29"/>
  <c r="AH372" i="29" s="1"/>
  <c r="U209" i="29"/>
  <c r="W209" i="29" s="1"/>
  <c r="V62" i="29"/>
  <c r="AH62" i="29" s="1"/>
  <c r="U495" i="29"/>
  <c r="AG495" i="29" s="1"/>
  <c r="U335" i="29"/>
  <c r="AG335" i="29" s="1"/>
  <c r="U360" i="29"/>
  <c r="AG360" i="29" s="1"/>
  <c r="V196" i="29"/>
  <c r="X196" i="29" s="1"/>
  <c r="Y196" i="29" s="1"/>
  <c r="V311" i="29"/>
  <c r="AH311" i="29" s="1"/>
  <c r="V162" i="29"/>
  <c r="AH162" i="29" s="1"/>
  <c r="V288" i="29"/>
  <c r="AH288" i="29" s="1"/>
  <c r="V129" i="29"/>
  <c r="AH129" i="29" s="1"/>
  <c r="BE237" i="25"/>
  <c r="BR237" i="25"/>
  <c r="BX237" i="25" s="1"/>
  <c r="V176" i="29"/>
  <c r="X176" i="29" s="1"/>
  <c r="Y176" i="29" s="1"/>
  <c r="AR212" i="25"/>
  <c r="BG212" i="25"/>
  <c r="BJ212" i="25" s="1"/>
  <c r="CE212" i="25"/>
  <c r="BH212" i="25"/>
  <c r="BW212" i="25"/>
  <c r="BU212" i="25"/>
  <c r="BF212" i="25"/>
  <c r="BR77" i="25"/>
  <c r="BV77" i="25" s="1"/>
  <c r="BX77" i="25" s="1"/>
  <c r="BE77" i="25"/>
  <c r="BK77" i="25" s="1"/>
  <c r="CF279" i="24"/>
  <c r="AH24" i="29"/>
  <c r="X24" i="29"/>
  <c r="Y24" i="29" s="1"/>
  <c r="BN16" i="24"/>
  <c r="BY16" i="24"/>
  <c r="CA16" i="24" s="1"/>
  <c r="CB16" i="24" s="1"/>
  <c r="BE191" i="25"/>
  <c r="BR191" i="25"/>
  <c r="BX191" i="25" s="1"/>
  <c r="X455" i="29"/>
  <c r="Y455" i="29" s="1"/>
  <c r="AH455" i="29"/>
  <c r="W248" i="29"/>
  <c r="AG248" i="29"/>
  <c r="X116" i="29"/>
  <c r="Y116" i="29" s="1"/>
  <c r="AH116" i="29"/>
  <c r="BY311" i="24"/>
  <c r="CA311" i="24" s="1"/>
  <c r="BM311" i="24"/>
  <c r="BN311" i="24" s="1"/>
  <c r="BR225" i="25"/>
  <c r="BX225" i="25" s="1"/>
  <c r="BE225" i="25"/>
  <c r="BR58" i="25"/>
  <c r="BV58" i="25" s="1"/>
  <c r="BX58" i="25" s="1"/>
  <c r="BE58" i="25"/>
  <c r="BK58" i="25" s="1"/>
  <c r="BY72" i="24"/>
  <c r="CA72" i="24" s="1"/>
  <c r="CB72" i="24" s="1"/>
  <c r="BN72" i="24"/>
  <c r="AH606" i="29"/>
  <c r="X606" i="29"/>
  <c r="Y606" i="29" s="1"/>
  <c r="AH584" i="29"/>
  <c r="X584" i="29"/>
  <c r="Y584" i="29" s="1"/>
  <c r="W355" i="29"/>
  <c r="AG355" i="29"/>
  <c r="X270" i="29"/>
  <c r="Y270" i="29" s="1"/>
  <c r="AH270" i="29"/>
  <c r="X248" i="29"/>
  <c r="Y248" i="29" s="1"/>
  <c r="AH248" i="29"/>
  <c r="X133" i="29"/>
  <c r="Y133" i="29" s="1"/>
  <c r="AH133" i="29"/>
  <c r="AG408" i="29"/>
  <c r="W408" i="29"/>
  <c r="W392" i="29"/>
  <c r="AG392" i="29"/>
  <c r="X290" i="29"/>
  <c r="Y290" i="29" s="1"/>
  <c r="AH290" i="29"/>
  <c r="AH143" i="29"/>
  <c r="X143" i="29"/>
  <c r="Y143" i="29" s="1"/>
  <c r="AG404" i="29"/>
  <c r="W404" i="29"/>
  <c r="AG35" i="29"/>
  <c r="W35" i="29"/>
  <c r="W423" i="29"/>
  <c r="AG423" i="29"/>
  <c r="X611" i="29"/>
  <c r="Y611" i="29" s="1"/>
  <c r="AH611" i="29"/>
  <c r="BY303" i="24"/>
  <c r="CA303" i="24" s="1"/>
  <c r="CB303" i="24" s="1"/>
  <c r="BM303" i="24"/>
  <c r="BN303" i="24" s="1"/>
  <c r="BY92" i="24"/>
  <c r="CA92" i="24" s="1"/>
  <c r="BN92" i="24"/>
  <c r="BN102" i="24"/>
  <c r="BY102" i="24"/>
  <c r="CA102" i="24" s="1"/>
  <c r="BY235" i="24"/>
  <c r="CA235" i="24" s="1"/>
  <c r="CB235" i="24" s="1"/>
  <c r="BM235" i="24"/>
  <c r="BN235" i="24" s="1"/>
  <c r="BY113" i="25"/>
  <c r="CA113" i="25" s="1"/>
  <c r="CB113" i="25" s="1"/>
  <c r="BL113" i="25"/>
  <c r="BK113" i="25"/>
  <c r="BE200" i="25"/>
  <c r="BR200" i="25"/>
  <c r="BX200" i="25" s="1"/>
  <c r="BE80" i="25"/>
  <c r="BK80" i="25" s="1"/>
  <c r="BR80" i="25"/>
  <c r="BV80" i="25" s="1"/>
  <c r="BX80" i="25" s="1"/>
  <c r="BE188" i="25"/>
  <c r="BR188" i="25"/>
  <c r="BX188" i="25" s="1"/>
  <c r="BL276" i="25"/>
  <c r="BY276" i="25"/>
  <c r="CA276" i="25" s="1"/>
  <c r="CB276" i="25" s="1"/>
  <c r="BK276" i="25"/>
  <c r="W257" i="29"/>
  <c r="AG257" i="29"/>
  <c r="AG118" i="29"/>
  <c r="W118" i="29"/>
  <c r="W135" i="29"/>
  <c r="AG135" i="29"/>
  <c r="AH406" i="29"/>
  <c r="X406" i="29"/>
  <c r="Y406" i="29" s="1"/>
  <c r="AG124" i="29"/>
  <c r="W124" i="29"/>
  <c r="AG66" i="29"/>
  <c r="W66" i="29"/>
  <c r="AG535" i="29"/>
  <c r="W535" i="29"/>
  <c r="AH583" i="29"/>
  <c r="X583" i="29"/>
  <c r="Y583" i="29" s="1"/>
  <c r="X277" i="29"/>
  <c r="Y277" i="29" s="1"/>
  <c r="AH277" i="29"/>
  <c r="W208" i="29"/>
  <c r="AG208" i="29"/>
  <c r="W457" i="29"/>
  <c r="AG457" i="29"/>
  <c r="W499" i="29"/>
  <c r="AG499" i="29"/>
  <c r="AH278" i="29"/>
  <c r="X278" i="29"/>
  <c r="Y278" i="29" s="1"/>
  <c r="AG482" i="29"/>
  <c r="W482" i="29"/>
  <c r="AG487" i="29"/>
  <c r="W487" i="29"/>
  <c r="X123" i="29"/>
  <c r="Y123" i="29" s="1"/>
  <c r="AH123" i="29"/>
  <c r="AH412" i="29"/>
  <c r="X412" i="29"/>
  <c r="Y412" i="29" s="1"/>
  <c r="AG415" i="29"/>
  <c r="W415" i="29"/>
  <c r="BE159" i="25"/>
  <c r="BR159" i="25"/>
  <c r="BX159" i="25" s="1"/>
  <c r="BE256" i="25"/>
  <c r="BR256" i="25"/>
  <c r="BX256" i="25" s="1"/>
  <c r="BR42" i="25"/>
  <c r="BV42" i="25" s="1"/>
  <c r="BX42" i="25" s="1"/>
  <c r="BE42" i="25"/>
  <c r="BK42" i="25" s="1"/>
  <c r="BY183" i="24"/>
  <c r="CA183" i="24" s="1"/>
  <c r="CB183" i="24" s="1"/>
  <c r="BM183" i="24"/>
  <c r="BN183" i="24" s="1"/>
  <c r="BE266" i="25"/>
  <c r="BR266" i="25"/>
  <c r="BX266" i="25" s="1"/>
  <c r="BY237" i="24"/>
  <c r="CA237" i="24" s="1"/>
  <c r="CB237" i="24" s="1"/>
  <c r="BM237" i="24"/>
  <c r="BN237" i="24" s="1"/>
  <c r="AG384" i="29"/>
  <c r="W384" i="29"/>
  <c r="AH323" i="29"/>
  <c r="X323" i="29"/>
  <c r="Y323" i="29" s="1"/>
  <c r="W303" i="29"/>
  <c r="AG303" i="29"/>
  <c r="BY37" i="24"/>
  <c r="CA37" i="24" s="1"/>
  <c r="CB37" i="24" s="1"/>
  <c r="BN37" i="24"/>
  <c r="BY78" i="24"/>
  <c r="CA78" i="24" s="1"/>
  <c r="CB78" i="24" s="1"/>
  <c r="BN78" i="24"/>
  <c r="BL198" i="25"/>
  <c r="BY198" i="25"/>
  <c r="CA198" i="25" s="1"/>
  <c r="BK198" i="25"/>
  <c r="BE264" i="25"/>
  <c r="BR264" i="25"/>
  <c r="BX264" i="25" s="1"/>
  <c r="BL104" i="25"/>
  <c r="BY104" i="25"/>
  <c r="CA104" i="25" s="1"/>
  <c r="BE235" i="25"/>
  <c r="BR235" i="25"/>
  <c r="BX235" i="25" s="1"/>
  <c r="AG456" i="29"/>
  <c r="W456" i="29"/>
  <c r="AH341" i="29"/>
  <c r="X341" i="29"/>
  <c r="Y341" i="29" s="1"/>
  <c r="X252" i="29"/>
  <c r="Y252" i="29" s="1"/>
  <c r="AH252" i="29"/>
  <c r="AG436" i="29"/>
  <c r="W436" i="29"/>
  <c r="W40" i="29"/>
  <c r="AG40" i="29"/>
  <c r="AG57" i="29"/>
  <c r="W57" i="29"/>
  <c r="AG272" i="29"/>
  <c r="W272" i="29"/>
  <c r="AH398" i="29"/>
  <c r="X398" i="29"/>
  <c r="Y398" i="29" s="1"/>
  <c r="W114" i="29"/>
  <c r="AG114" i="29"/>
  <c r="AG578" i="29"/>
  <c r="W578" i="29"/>
  <c r="AG334" i="29"/>
  <c r="W334" i="29"/>
  <c r="X490" i="29"/>
  <c r="Y490" i="29" s="1"/>
  <c r="AH490" i="29"/>
  <c r="X365" i="29"/>
  <c r="Y365" i="29" s="1"/>
  <c r="AH365" i="29"/>
  <c r="AG293" i="29"/>
  <c r="W293" i="29"/>
  <c r="AH187" i="29"/>
  <c r="X187" i="29"/>
  <c r="Y187" i="29" s="1"/>
  <c r="BE127" i="25"/>
  <c r="BR127" i="25"/>
  <c r="BX127" i="25" s="1"/>
  <c r="BR49" i="25"/>
  <c r="BV49" i="25" s="1"/>
  <c r="BX49" i="25" s="1"/>
  <c r="BE49" i="25"/>
  <c r="BK49" i="25" s="1"/>
  <c r="BY251" i="24"/>
  <c r="CA251" i="24" s="1"/>
  <c r="CB251" i="24" s="1"/>
  <c r="BM251" i="24"/>
  <c r="BN251" i="24" s="1"/>
  <c r="BY67" i="24"/>
  <c r="CA67" i="24" s="1"/>
  <c r="CB67" i="24" s="1"/>
  <c r="BN67" i="24"/>
  <c r="BE222" i="25"/>
  <c r="BR222" i="25"/>
  <c r="BX222" i="25" s="1"/>
  <c r="BY177" i="24"/>
  <c r="CA177" i="24" s="1"/>
  <c r="CB177" i="24" s="1"/>
  <c r="BM177" i="24"/>
  <c r="BN177" i="24" s="1"/>
  <c r="BR98" i="25"/>
  <c r="BV98" i="25" s="1"/>
  <c r="BX98" i="25" s="1"/>
  <c r="BE98" i="25"/>
  <c r="BK98" i="25" s="1"/>
  <c r="BY202" i="24"/>
  <c r="CA202" i="24" s="1"/>
  <c r="BM202" i="24"/>
  <c r="BN202" i="24" s="1"/>
  <c r="BE183" i="25"/>
  <c r="BR183" i="25"/>
  <c r="BX183" i="25" s="1"/>
  <c r="BE151" i="25"/>
  <c r="BR151" i="25"/>
  <c r="BX151" i="25" s="1"/>
  <c r="AG402" i="29"/>
  <c r="W402" i="29"/>
  <c r="AG544" i="29"/>
  <c r="W544" i="29"/>
  <c r="AG313" i="29"/>
  <c r="W313" i="29"/>
  <c r="AH442" i="29"/>
  <c r="X442" i="29"/>
  <c r="Y442" i="29" s="1"/>
  <c r="AH598" i="29"/>
  <c r="X598" i="29"/>
  <c r="Y598" i="29" s="1"/>
  <c r="AG409" i="29"/>
  <c r="W409" i="29"/>
  <c r="AH587" i="29"/>
  <c r="X587" i="29"/>
  <c r="Y587" i="29" s="1"/>
  <c r="AG577" i="29"/>
  <c r="W577" i="29"/>
  <c r="AG591" i="29"/>
  <c r="W591" i="29"/>
  <c r="AH185" i="29"/>
  <c r="X185" i="29"/>
  <c r="Y185" i="29" s="1"/>
  <c r="W268" i="29"/>
  <c r="AG268" i="29"/>
  <c r="AH86" i="29"/>
  <c r="X86" i="29"/>
  <c r="Y86" i="29" s="1"/>
  <c r="W543" i="29"/>
  <c r="AG543" i="29"/>
  <c r="X148" i="29"/>
  <c r="Y148" i="29" s="1"/>
  <c r="AH148" i="29"/>
  <c r="X230" i="29"/>
  <c r="Y230" i="29" s="1"/>
  <c r="AH230" i="29"/>
  <c r="X609" i="29"/>
  <c r="Y609" i="29" s="1"/>
  <c r="AH609" i="29"/>
  <c r="X511" i="29"/>
  <c r="Y511" i="29" s="1"/>
  <c r="AH511" i="29"/>
  <c r="BY95" i="24"/>
  <c r="CA95" i="24" s="1"/>
  <c r="CB95" i="24" s="1"/>
  <c r="BN95" i="24"/>
  <c r="BN84" i="24"/>
  <c r="BY84" i="24"/>
  <c r="CA84" i="24" s="1"/>
  <c r="CB84" i="24" s="1"/>
  <c r="BE47" i="25"/>
  <c r="BK47" i="25" s="1"/>
  <c r="BR47" i="25"/>
  <c r="BV47" i="25" s="1"/>
  <c r="BX47" i="25" s="1"/>
  <c r="BE180" i="25"/>
  <c r="BR180" i="25"/>
  <c r="BX180" i="25" s="1"/>
  <c r="BR61" i="25"/>
  <c r="BV61" i="25" s="1"/>
  <c r="BX61" i="25" s="1"/>
  <c r="BE61" i="25"/>
  <c r="BK61" i="25" s="1"/>
  <c r="BY304" i="24"/>
  <c r="CA304" i="24" s="1"/>
  <c r="CB304" i="24" s="1"/>
  <c r="BM304" i="24"/>
  <c r="BN304" i="24" s="1"/>
  <c r="BE133" i="25"/>
  <c r="BR133" i="25"/>
  <c r="BX133" i="25" s="1"/>
  <c r="BY31" i="25"/>
  <c r="CA31" i="25" s="1"/>
  <c r="CB31" i="25" s="1"/>
  <c r="BL31" i="25"/>
  <c r="BY258" i="24"/>
  <c r="CA258" i="24" s="1"/>
  <c r="CB258" i="24" s="1"/>
  <c r="BM258" i="24"/>
  <c r="BN258" i="24" s="1"/>
  <c r="W206" i="29"/>
  <c r="AG206" i="29"/>
  <c r="AG174" i="29"/>
  <c r="W174" i="29"/>
  <c r="AH128" i="29"/>
  <c r="X128" i="29"/>
  <c r="Y128" i="29" s="1"/>
  <c r="AH19" i="29"/>
  <c r="X19" i="29"/>
  <c r="Y19" i="29" s="1"/>
  <c r="AH328" i="29"/>
  <c r="X328" i="29"/>
  <c r="Y328" i="29" s="1"/>
  <c r="AH322" i="29"/>
  <c r="X322" i="29"/>
  <c r="Y322" i="29" s="1"/>
  <c r="W393" i="29"/>
  <c r="AG393" i="29"/>
  <c r="BY307" i="24"/>
  <c r="CA307" i="24" s="1"/>
  <c r="BM307" i="24"/>
  <c r="BN307" i="24" s="1"/>
  <c r="BL192" i="25"/>
  <c r="BY192" i="25"/>
  <c r="CA192" i="25" s="1"/>
  <c r="BK192" i="25"/>
  <c r="BE35" i="25"/>
  <c r="BK35" i="25" s="1"/>
  <c r="BR35" i="25"/>
  <c r="BV35" i="25" s="1"/>
  <c r="BX35" i="25" s="1"/>
  <c r="BY190" i="25"/>
  <c r="CA190" i="25" s="1"/>
  <c r="BL190" i="25"/>
  <c r="BK190" i="25"/>
  <c r="BN79" i="24"/>
  <c r="BY79" i="24"/>
  <c r="CA79" i="24" s="1"/>
  <c r="BE228" i="25"/>
  <c r="BR228" i="25"/>
  <c r="BX228" i="25" s="1"/>
  <c r="BY176" i="24"/>
  <c r="CA176" i="24" s="1"/>
  <c r="CB176" i="24" s="1"/>
  <c r="BM176" i="24"/>
  <c r="BN176" i="24" s="1"/>
  <c r="BE288" i="25"/>
  <c r="BR288" i="25"/>
  <c r="BX288" i="25" s="1"/>
  <c r="BN32" i="24"/>
  <c r="BY32" i="24"/>
  <c r="CA32" i="24" s="1"/>
  <c r="CB32" i="24" s="1"/>
  <c r="BY218" i="24"/>
  <c r="CA218" i="24" s="1"/>
  <c r="CB218" i="24" s="1"/>
  <c r="BM218" i="24"/>
  <c r="BN218" i="24" s="1"/>
  <c r="AG327" i="29"/>
  <c r="W327" i="29"/>
  <c r="AG113" i="29"/>
  <c r="W113" i="29"/>
  <c r="BY15" i="24"/>
  <c r="CA15" i="24" s="1"/>
  <c r="CB15" i="24" s="1"/>
  <c r="B272" i="2" s="1"/>
  <c r="BN15" i="24"/>
  <c r="BY131" i="25"/>
  <c r="CA131" i="25" s="1"/>
  <c r="CB131" i="25" s="1"/>
  <c r="BL131" i="25"/>
  <c r="BK131" i="25"/>
  <c r="BR7" i="25"/>
  <c r="BV7" i="25" s="1"/>
  <c r="BX7" i="25" s="1"/>
  <c r="BE7" i="25"/>
  <c r="BK7" i="25" s="1"/>
  <c r="BR60" i="25"/>
  <c r="BV60" i="25" s="1"/>
  <c r="BX60" i="25" s="1"/>
  <c r="BE60" i="25"/>
  <c r="BK60" i="25" s="1"/>
  <c r="BN56" i="24"/>
  <c r="BY56" i="24"/>
  <c r="CA56" i="24" s="1"/>
  <c r="BE176" i="25"/>
  <c r="BR176" i="25"/>
  <c r="BX176" i="25" s="1"/>
  <c r="BN70" i="24"/>
  <c r="BY70" i="24"/>
  <c r="CA70" i="24" s="1"/>
  <c r="CB70" i="24" s="1"/>
  <c r="AG416" i="29"/>
  <c r="W416" i="29"/>
  <c r="AG346" i="29"/>
  <c r="W346" i="29"/>
  <c r="AH55" i="29"/>
  <c r="X55" i="29"/>
  <c r="Y55" i="29" s="1"/>
  <c r="X201" i="29"/>
  <c r="Y201" i="29" s="1"/>
  <c r="AH201" i="29"/>
  <c r="X599" i="29"/>
  <c r="Y599" i="29" s="1"/>
  <c r="AH599" i="29"/>
  <c r="W65" i="29"/>
  <c r="AG65" i="29"/>
  <c r="AH460" i="29"/>
  <c r="X460" i="29"/>
  <c r="Y460" i="29" s="1"/>
  <c r="AG425" i="29"/>
  <c r="W425" i="29"/>
  <c r="W575" i="29"/>
  <c r="AG575" i="29"/>
  <c r="W171" i="29"/>
  <c r="AG171" i="29"/>
  <c r="AG438" i="29"/>
  <c r="W438" i="29"/>
  <c r="AH99" i="29"/>
  <c r="X99" i="29"/>
  <c r="Y99" i="29" s="1"/>
  <c r="AG176" i="29"/>
  <c r="W176" i="29"/>
  <c r="AG476" i="29"/>
  <c r="W476" i="29"/>
  <c r="BY281" i="24"/>
  <c r="CA281" i="24" s="1"/>
  <c r="CB281" i="24" s="1"/>
  <c r="BM281" i="24"/>
  <c r="BN281" i="24" s="1"/>
  <c r="BE249" i="25"/>
  <c r="BR249" i="25"/>
  <c r="BX249" i="25" s="1"/>
  <c r="BY42" i="24"/>
  <c r="CA42" i="24" s="1"/>
  <c r="CB42" i="24" s="1"/>
  <c r="BN42" i="24"/>
  <c r="BY268" i="24"/>
  <c r="CA268" i="24" s="1"/>
  <c r="BM268" i="24"/>
  <c r="BN268" i="24" s="1"/>
  <c r="BY189" i="24"/>
  <c r="CA189" i="24" s="1"/>
  <c r="BM189" i="24"/>
  <c r="BN189" i="24" s="1"/>
  <c r="BR64" i="25"/>
  <c r="BV64" i="25" s="1"/>
  <c r="BX64" i="25" s="1"/>
  <c r="BE64" i="25"/>
  <c r="BK64" i="25" s="1"/>
  <c r="BY165" i="24"/>
  <c r="CA165" i="24" s="1"/>
  <c r="CB165" i="24" s="1"/>
  <c r="BM165" i="24"/>
  <c r="BN165" i="24" s="1"/>
  <c r="AH61" i="29"/>
  <c r="X61" i="29"/>
  <c r="Y61" i="29" s="1"/>
  <c r="BE115" i="25"/>
  <c r="BR115" i="25"/>
  <c r="BX115" i="25" s="1"/>
  <c r="BN100" i="24"/>
  <c r="BY100" i="24"/>
  <c r="CA100" i="24" s="1"/>
  <c r="CB100" i="24" s="1"/>
  <c r="BY172" i="24"/>
  <c r="CA172" i="24" s="1"/>
  <c r="CB172" i="24" s="1"/>
  <c r="BM172" i="24"/>
  <c r="BN172" i="24" s="1"/>
  <c r="AG584" i="29"/>
  <c r="W584" i="29"/>
  <c r="AH210" i="29"/>
  <c r="X210" i="29"/>
  <c r="Y210" i="29" s="1"/>
  <c r="BY306" i="24"/>
  <c r="CA306" i="24" s="1"/>
  <c r="BM306" i="24"/>
  <c r="BN306" i="24" s="1"/>
  <c r="BY51" i="24"/>
  <c r="CA51" i="24" s="1"/>
  <c r="CB51" i="24" s="1"/>
  <c r="BN51" i="24"/>
  <c r="BE279" i="25"/>
  <c r="BR279" i="25"/>
  <c r="BX279" i="25" s="1"/>
  <c r="BY57" i="24"/>
  <c r="CA57" i="24" s="1"/>
  <c r="CB57" i="24" s="1"/>
  <c r="BN57" i="24"/>
  <c r="AG74" i="29"/>
  <c r="W74" i="29"/>
  <c r="W508" i="29"/>
  <c r="AG508" i="29"/>
  <c r="AH286" i="29"/>
  <c r="X286" i="29"/>
  <c r="Y286" i="29" s="1"/>
  <c r="AH560" i="29"/>
  <c r="X560" i="29"/>
  <c r="Y560" i="29" s="1"/>
  <c r="AH25" i="29"/>
  <c r="X25" i="29"/>
  <c r="Y25" i="29" s="1"/>
  <c r="BY315" i="24"/>
  <c r="CA315" i="24" s="1"/>
  <c r="BM315" i="24"/>
  <c r="BN315" i="24" s="1"/>
  <c r="BE316" i="25"/>
  <c r="BR316" i="25"/>
  <c r="BX316" i="25" s="1"/>
  <c r="BE219" i="25"/>
  <c r="BR219" i="25"/>
  <c r="BX219" i="25" s="1"/>
  <c r="BR15" i="25"/>
  <c r="BV15" i="25" s="1"/>
  <c r="BX15" i="25" s="1"/>
  <c r="BE15" i="25"/>
  <c r="BK15" i="25" s="1"/>
  <c r="BY148" i="25"/>
  <c r="CA148" i="25" s="1"/>
  <c r="CB148" i="25" s="1"/>
  <c r="BL148" i="25"/>
  <c r="BK148" i="25"/>
  <c r="BE284" i="25"/>
  <c r="BR284" i="25"/>
  <c r="BX284" i="25" s="1"/>
  <c r="BY29" i="24"/>
  <c r="CA29" i="24" s="1"/>
  <c r="CB29" i="24" s="1"/>
  <c r="BN29" i="24"/>
  <c r="BY256" i="24"/>
  <c r="CA256" i="24" s="1"/>
  <c r="CB256" i="24" s="1"/>
  <c r="BM256" i="24"/>
  <c r="BN256" i="24" s="1"/>
  <c r="BY122" i="24"/>
  <c r="CA122" i="24" s="1"/>
  <c r="CB122" i="24" s="1"/>
  <c r="BM122" i="24"/>
  <c r="BN122" i="24" s="1"/>
  <c r="BL189" i="25"/>
  <c r="BY189" i="25"/>
  <c r="CA189" i="25" s="1"/>
  <c r="BK189" i="25"/>
  <c r="BR128" i="25"/>
  <c r="BX128" i="25" s="1"/>
  <c r="BE128" i="25"/>
  <c r="W85" i="29"/>
  <c r="AG85" i="29"/>
  <c r="AH509" i="29"/>
  <c r="X509" i="29"/>
  <c r="Y509" i="29" s="1"/>
  <c r="X52" i="29"/>
  <c r="Y52" i="29" s="1"/>
  <c r="AH52" i="29"/>
  <c r="AH90" i="29"/>
  <c r="X90" i="29"/>
  <c r="Y90" i="29" s="1"/>
  <c r="AH216" i="29"/>
  <c r="X216" i="29"/>
  <c r="Y216" i="29" s="1"/>
  <c r="W367" i="29"/>
  <c r="AG367" i="29"/>
  <c r="BE25" i="25"/>
  <c r="BK25" i="25" s="1"/>
  <c r="BR25" i="25"/>
  <c r="BV25" i="25" s="1"/>
  <c r="BX25" i="25" s="1"/>
  <c r="BR9" i="25"/>
  <c r="BV9" i="25" s="1"/>
  <c r="BX9" i="25" s="1"/>
  <c r="BE9" i="25"/>
  <c r="BK9" i="25" s="1"/>
  <c r="BY167" i="25"/>
  <c r="CA167" i="25" s="1"/>
  <c r="CB167" i="25" s="1"/>
  <c r="BL167" i="25"/>
  <c r="BK167" i="25"/>
  <c r="BY178" i="24"/>
  <c r="CA178" i="24" s="1"/>
  <c r="BM178" i="24"/>
  <c r="BN178" i="24" s="1"/>
  <c r="BR236" i="25"/>
  <c r="BX236" i="25" s="1"/>
  <c r="BE236" i="25"/>
  <c r="BY161" i="25"/>
  <c r="CA161" i="25" s="1"/>
  <c r="BL161" i="25"/>
  <c r="BK161" i="25"/>
  <c r="BY289" i="24"/>
  <c r="CA289" i="24" s="1"/>
  <c r="CB289" i="24" s="1"/>
  <c r="BM289" i="24"/>
  <c r="BN289" i="24" s="1"/>
  <c r="BY139" i="24"/>
  <c r="CA139" i="24" s="1"/>
  <c r="BM139" i="24"/>
  <c r="BN139" i="24" s="1"/>
  <c r="BE244" i="25"/>
  <c r="BR244" i="25"/>
  <c r="BX244" i="25" s="1"/>
  <c r="AH183" i="29"/>
  <c r="X183" i="29"/>
  <c r="Y183" i="29" s="1"/>
  <c r="AH200" i="29"/>
  <c r="X200" i="29"/>
  <c r="Y200" i="29" s="1"/>
  <c r="AH173" i="29"/>
  <c r="X173" i="29"/>
  <c r="Y173" i="29" s="1"/>
  <c r="W420" i="29"/>
  <c r="AG420" i="29"/>
  <c r="AH121" i="29"/>
  <c r="X121" i="29"/>
  <c r="Y121" i="29" s="1"/>
  <c r="W605" i="29"/>
  <c r="AG605" i="29"/>
  <c r="AG273" i="29"/>
  <c r="W273" i="29"/>
  <c r="AH107" i="29"/>
  <c r="X107" i="29"/>
  <c r="Y107" i="29" s="1"/>
  <c r="AG607" i="29"/>
  <c r="W607" i="29"/>
  <c r="W323" i="29"/>
  <c r="AG323" i="29"/>
  <c r="W269" i="29"/>
  <c r="AG269" i="29"/>
  <c r="W68" i="29"/>
  <c r="AG68" i="29"/>
  <c r="AH439" i="29"/>
  <c r="X439" i="29"/>
  <c r="Y439" i="29" s="1"/>
  <c r="W545" i="29"/>
  <c r="AG545" i="29"/>
  <c r="X170" i="29"/>
  <c r="Y170" i="29" s="1"/>
  <c r="AH170" i="29"/>
  <c r="X465" i="29"/>
  <c r="Y465" i="29" s="1"/>
  <c r="AH465" i="29"/>
  <c r="X49" i="29"/>
  <c r="Y49" i="29" s="1"/>
  <c r="AH49" i="29"/>
  <c r="BY6" i="25"/>
  <c r="CA6" i="25" s="1"/>
  <c r="CB6" i="25" s="1"/>
  <c r="BL6" i="25"/>
  <c r="BY10" i="24"/>
  <c r="CA10" i="24" s="1"/>
  <c r="CB10" i="24" s="1"/>
  <c r="BN10" i="24"/>
  <c r="BE251" i="25"/>
  <c r="BR251" i="25"/>
  <c r="BX251" i="25" s="1"/>
  <c r="AG137" i="29"/>
  <c r="W137" i="29"/>
  <c r="AH588" i="29"/>
  <c r="X588" i="29"/>
  <c r="Y588" i="29" s="1"/>
  <c r="AH326" i="29"/>
  <c r="X326" i="29"/>
  <c r="Y326" i="29" s="1"/>
  <c r="AH366" i="29"/>
  <c r="X366" i="29"/>
  <c r="Y366" i="29" s="1"/>
  <c r="AH223" i="29"/>
  <c r="X223" i="29"/>
  <c r="Y223" i="29" s="1"/>
  <c r="AH238" i="29"/>
  <c r="X238" i="29"/>
  <c r="Y238" i="29" s="1"/>
  <c r="BE311" i="25"/>
  <c r="BR311" i="25"/>
  <c r="BX311" i="25" s="1"/>
  <c r="BE120" i="25"/>
  <c r="BR120" i="25"/>
  <c r="BX120" i="25" s="1"/>
  <c r="BY155" i="24"/>
  <c r="CA155" i="24" s="1"/>
  <c r="CB155" i="24" s="1"/>
  <c r="BM155" i="24"/>
  <c r="BN155" i="24" s="1"/>
  <c r="BR83" i="25"/>
  <c r="BV83" i="25" s="1"/>
  <c r="BX83" i="25" s="1"/>
  <c r="BE83" i="25"/>
  <c r="BK83" i="25" s="1"/>
  <c r="BR207" i="25"/>
  <c r="BX207" i="25" s="1"/>
  <c r="BE207" i="25"/>
  <c r="BY179" i="24"/>
  <c r="CA179" i="24" s="1"/>
  <c r="BM179" i="24"/>
  <c r="BN179" i="24" s="1"/>
  <c r="BY269" i="24"/>
  <c r="CA269" i="24" s="1"/>
  <c r="CB269" i="24" s="1"/>
  <c r="BM269" i="24"/>
  <c r="BN269" i="24" s="1"/>
  <c r="BE118" i="25"/>
  <c r="BR118" i="25"/>
  <c r="BX118" i="25" s="1"/>
  <c r="BN85" i="24"/>
  <c r="BY85" i="24"/>
  <c r="CA85" i="24" s="1"/>
  <c r="CB85" i="24" s="1"/>
  <c r="AG601" i="29"/>
  <c r="W601" i="29"/>
  <c r="AG413" i="29"/>
  <c r="W413" i="29"/>
  <c r="AH150" i="29"/>
  <c r="X150" i="29"/>
  <c r="Y150" i="29" s="1"/>
  <c r="AG380" i="29"/>
  <c r="W380" i="29"/>
  <c r="AG308" i="29"/>
  <c r="W308" i="29"/>
  <c r="W538" i="29"/>
  <c r="AG538" i="29"/>
  <c r="AH536" i="29"/>
  <c r="X536" i="29"/>
  <c r="Y536" i="29" s="1"/>
  <c r="BY59" i="24"/>
  <c r="CA59" i="24" s="1"/>
  <c r="CB59" i="24" s="1"/>
  <c r="BN59" i="24"/>
  <c r="BL273" i="25"/>
  <c r="BY273" i="25"/>
  <c r="CA273" i="25" s="1"/>
  <c r="CB273" i="25" s="1"/>
  <c r="BK273" i="25"/>
  <c r="BY255" i="25"/>
  <c r="CA255" i="25" s="1"/>
  <c r="CB255" i="25" s="1"/>
  <c r="BL255" i="25"/>
  <c r="BK255" i="25"/>
  <c r="BY241" i="24"/>
  <c r="CA241" i="24" s="1"/>
  <c r="BM241" i="24"/>
  <c r="BN241" i="24" s="1"/>
  <c r="BY194" i="24"/>
  <c r="CA194" i="24" s="1"/>
  <c r="CB194" i="24" s="1"/>
  <c r="BM194" i="24"/>
  <c r="BN194" i="24" s="1"/>
  <c r="BY286" i="24"/>
  <c r="CA286" i="24" s="1"/>
  <c r="BM286" i="24"/>
  <c r="BN286" i="24" s="1"/>
  <c r="BE140" i="25"/>
  <c r="BR140" i="25"/>
  <c r="BX140" i="25" s="1"/>
  <c r="BY195" i="24"/>
  <c r="CA195" i="24" s="1"/>
  <c r="CB195" i="24" s="1"/>
  <c r="BM195" i="24"/>
  <c r="BN195" i="24" s="1"/>
  <c r="BR205" i="25"/>
  <c r="BX205" i="25" s="1"/>
  <c r="BE205" i="25"/>
  <c r="BY184" i="24"/>
  <c r="CA184" i="24" s="1"/>
  <c r="CB184" i="24" s="1"/>
  <c r="BM184" i="24"/>
  <c r="BN184" i="24" s="1"/>
  <c r="AH206" i="29"/>
  <c r="X206" i="29"/>
  <c r="Y206" i="29" s="1"/>
  <c r="W51" i="29"/>
  <c r="AG51" i="29"/>
  <c r="X533" i="29"/>
  <c r="Y533" i="29" s="1"/>
  <c r="AH533" i="29"/>
  <c r="AH174" i="29"/>
  <c r="X174" i="29"/>
  <c r="Y174" i="29" s="1"/>
  <c r="AH383" i="29"/>
  <c r="X383" i="29"/>
  <c r="Y383" i="29" s="1"/>
  <c r="AG586" i="29"/>
  <c r="W586" i="29"/>
  <c r="W29" i="29"/>
  <c r="AG29" i="29"/>
  <c r="AH448" i="29"/>
  <c r="X448" i="29"/>
  <c r="Y448" i="29" s="1"/>
  <c r="AG19" i="29"/>
  <c r="W19" i="29"/>
  <c r="W328" i="29"/>
  <c r="AG328" i="29"/>
  <c r="W276" i="29"/>
  <c r="AG276" i="29"/>
  <c r="AH450" i="29"/>
  <c r="X450" i="29"/>
  <c r="Y450" i="29" s="1"/>
  <c r="W281" i="29"/>
  <c r="AG281" i="29"/>
  <c r="W53" i="29"/>
  <c r="AG53" i="29"/>
  <c r="W47" i="29"/>
  <c r="AG47" i="29"/>
  <c r="AH393" i="29"/>
  <c r="X393" i="29"/>
  <c r="Y393" i="29" s="1"/>
  <c r="BY124" i="24"/>
  <c r="CA124" i="24" s="1"/>
  <c r="CB124" i="24" s="1"/>
  <c r="BM124" i="24"/>
  <c r="BN124" i="24" s="1"/>
  <c r="BE310" i="25"/>
  <c r="BR310" i="25"/>
  <c r="BX310" i="25" s="1"/>
  <c r="BY223" i="24"/>
  <c r="CA223" i="24" s="1"/>
  <c r="CB223" i="24" s="1"/>
  <c r="BM223" i="24"/>
  <c r="BN223" i="24" s="1"/>
  <c r="BN65" i="24"/>
  <c r="BY65" i="24"/>
  <c r="CA65" i="24" s="1"/>
  <c r="CB65" i="24" s="1"/>
  <c r="BR208" i="25"/>
  <c r="BX208" i="25" s="1"/>
  <c r="BE208" i="25"/>
  <c r="BY177" i="25"/>
  <c r="CA177" i="25" s="1"/>
  <c r="BL177" i="25"/>
  <c r="BK177" i="25"/>
  <c r="BN103" i="24"/>
  <c r="BY103" i="24"/>
  <c r="CA103" i="24" s="1"/>
  <c r="BL258" i="25"/>
  <c r="BY258" i="25"/>
  <c r="CA258" i="25" s="1"/>
  <c r="CB258" i="25" s="1"/>
  <c r="BK258" i="25"/>
  <c r="AH207" i="29"/>
  <c r="X207" i="29"/>
  <c r="Y207" i="29" s="1"/>
  <c r="AH338" i="29"/>
  <c r="X338" i="29"/>
  <c r="Y338" i="29" s="1"/>
  <c r="X221" i="29"/>
  <c r="Y221" i="29" s="1"/>
  <c r="AH221" i="29"/>
  <c r="AH113" i="29"/>
  <c r="X113" i="29"/>
  <c r="Y113" i="29" s="1"/>
  <c r="AG517" i="29"/>
  <c r="W517" i="29"/>
  <c r="AH421" i="29"/>
  <c r="X421" i="29"/>
  <c r="Y421" i="29" s="1"/>
  <c r="AH557" i="29"/>
  <c r="X557" i="29"/>
  <c r="Y557" i="29" s="1"/>
  <c r="AH350" i="29"/>
  <c r="X350" i="29"/>
  <c r="Y350" i="29" s="1"/>
  <c r="W427" i="29"/>
  <c r="AG427" i="29"/>
  <c r="AG27" i="29"/>
  <c r="W27" i="29"/>
  <c r="AG217" i="29"/>
  <c r="W217" i="29"/>
  <c r="AH522" i="29"/>
  <c r="X522" i="29"/>
  <c r="Y522" i="29" s="1"/>
  <c r="X318" i="29"/>
  <c r="Y318" i="29" s="1"/>
  <c r="AH318" i="29"/>
  <c r="AG227" i="29"/>
  <c r="W227" i="29"/>
  <c r="AG590" i="29"/>
  <c r="W590" i="29"/>
  <c r="AG95" i="29"/>
  <c r="W95" i="29"/>
  <c r="AG152" i="29"/>
  <c r="W152" i="29"/>
  <c r="BY297" i="24"/>
  <c r="CA297" i="24" s="1"/>
  <c r="BM297" i="24"/>
  <c r="BN297" i="24" s="1"/>
  <c r="BY262" i="24"/>
  <c r="CA262" i="24" s="1"/>
  <c r="CB262" i="24" s="1"/>
  <c r="BM262" i="24"/>
  <c r="BN262" i="24" s="1"/>
  <c r="BY68" i="24"/>
  <c r="CA68" i="24" s="1"/>
  <c r="CB68" i="24" s="1"/>
  <c r="BN68" i="24"/>
  <c r="BE298" i="25"/>
  <c r="BR298" i="25"/>
  <c r="BX298" i="25" s="1"/>
  <c r="BE184" i="25"/>
  <c r="BR184" i="25"/>
  <c r="BX184" i="25" s="1"/>
  <c r="BY200" i="24"/>
  <c r="CA200" i="24" s="1"/>
  <c r="BM200" i="24"/>
  <c r="BN200" i="24" s="1"/>
  <c r="BR250" i="25"/>
  <c r="BX250" i="25" s="1"/>
  <c r="BE250" i="25"/>
  <c r="BY168" i="24"/>
  <c r="CA168" i="24" s="1"/>
  <c r="BM168" i="24"/>
  <c r="BN168" i="24" s="1"/>
  <c r="BY181" i="24"/>
  <c r="CA181" i="24" s="1"/>
  <c r="CB181" i="24" s="1"/>
  <c r="BM181" i="24"/>
  <c r="BN181" i="24" s="1"/>
  <c r="BR51" i="25"/>
  <c r="BV51" i="25" s="1"/>
  <c r="BX51" i="25" s="1"/>
  <c r="BE51" i="25"/>
  <c r="BK51" i="25" s="1"/>
  <c r="BR286" i="25"/>
  <c r="BX286" i="25" s="1"/>
  <c r="BE286" i="25"/>
  <c r="BY95" i="25"/>
  <c r="CA95" i="25" s="1"/>
  <c r="CB95" i="25" s="1"/>
  <c r="BL95" i="25"/>
  <c r="AG295" i="29"/>
  <c r="W295" i="29"/>
  <c r="AG193" i="29"/>
  <c r="W193" i="29"/>
  <c r="W333" i="29"/>
  <c r="AG333" i="29"/>
  <c r="AG285" i="29"/>
  <c r="W285" i="29"/>
  <c r="X562" i="29"/>
  <c r="Y562" i="29" s="1"/>
  <c r="AH562" i="29"/>
  <c r="AH569" i="29"/>
  <c r="X569" i="29"/>
  <c r="Y569" i="29" s="1"/>
  <c r="AH159" i="29"/>
  <c r="X159" i="29"/>
  <c r="Y159" i="29" s="1"/>
  <c r="AH265" i="29"/>
  <c r="X265" i="29"/>
  <c r="Y265" i="29" s="1"/>
  <c r="BY186" i="24"/>
  <c r="CA186" i="24" s="1"/>
  <c r="BM186" i="24"/>
  <c r="BN186" i="24" s="1"/>
  <c r="BY116" i="24"/>
  <c r="CA116" i="24" s="1"/>
  <c r="CB116" i="24" s="1"/>
  <c r="BM116" i="24"/>
  <c r="BN116" i="24" s="1"/>
  <c r="BL240" i="25"/>
  <c r="BY240" i="25"/>
  <c r="CA240" i="25" s="1"/>
  <c r="CB240" i="25" s="1"/>
  <c r="BK240" i="25"/>
  <c r="AH514" i="29"/>
  <c r="X514" i="29"/>
  <c r="Y514" i="29" s="1"/>
  <c r="AG309" i="29"/>
  <c r="W309" i="29"/>
  <c r="W62" i="29"/>
  <c r="AG62" i="29"/>
  <c r="AH422" i="29"/>
  <c r="X422" i="29"/>
  <c r="Y422" i="29" s="1"/>
  <c r="AH74" i="29"/>
  <c r="X74" i="29"/>
  <c r="Y74" i="29" s="1"/>
  <c r="AH166" i="29"/>
  <c r="X166" i="29"/>
  <c r="Y166" i="29" s="1"/>
  <c r="AG477" i="29"/>
  <c r="W477" i="29"/>
  <c r="X508" i="29"/>
  <c r="Y508" i="29" s="1"/>
  <c r="AH508" i="29"/>
  <c r="X41" i="29"/>
  <c r="Y41" i="29" s="1"/>
  <c r="AH41" i="29"/>
  <c r="AH495" i="29"/>
  <c r="X495" i="29"/>
  <c r="Y495" i="29" s="1"/>
  <c r="AH335" i="29"/>
  <c r="X335" i="29"/>
  <c r="Y335" i="29" s="1"/>
  <c r="AG479" i="29"/>
  <c r="W479" i="29"/>
  <c r="W550" i="29"/>
  <c r="AG550" i="29"/>
  <c r="AH559" i="29"/>
  <c r="X559" i="29"/>
  <c r="Y559" i="29" s="1"/>
  <c r="BY254" i="24"/>
  <c r="CA254" i="24" s="1"/>
  <c r="CB254" i="24" s="1"/>
  <c r="BM254" i="24"/>
  <c r="BN254" i="24" s="1"/>
  <c r="BY210" i="24"/>
  <c r="CA210" i="24" s="1"/>
  <c r="BM210" i="24"/>
  <c r="BN210" i="24" s="1"/>
  <c r="BE99" i="25"/>
  <c r="BK99" i="25" s="1"/>
  <c r="BR99" i="25"/>
  <c r="BV99" i="25" s="1"/>
  <c r="BX99" i="25" s="1"/>
  <c r="BE88" i="25"/>
  <c r="BK88" i="25" s="1"/>
  <c r="BR88" i="25"/>
  <c r="BV88" i="25" s="1"/>
  <c r="BX88" i="25" s="1"/>
  <c r="BY97" i="25"/>
  <c r="CA97" i="25" s="1"/>
  <c r="BL97" i="25"/>
  <c r="BY193" i="24"/>
  <c r="CA193" i="24" s="1"/>
  <c r="BM193" i="24"/>
  <c r="BN193" i="24" s="1"/>
  <c r="BY159" i="24"/>
  <c r="CA159" i="24" s="1"/>
  <c r="CB159" i="24" s="1"/>
  <c r="BM159" i="24"/>
  <c r="BN159" i="24" s="1"/>
  <c r="BE241" i="25"/>
  <c r="BR241" i="25"/>
  <c r="BX241" i="25" s="1"/>
  <c r="BE67" i="25"/>
  <c r="BK67" i="25" s="1"/>
  <c r="BR67" i="25"/>
  <c r="BV67" i="25" s="1"/>
  <c r="BX67" i="25" s="1"/>
  <c r="BY273" i="24"/>
  <c r="CA273" i="24" s="1"/>
  <c r="CB273" i="24" s="1"/>
  <c r="BM273" i="24"/>
  <c r="BN273" i="24" s="1"/>
  <c r="BY161" i="24"/>
  <c r="CA161" i="24" s="1"/>
  <c r="BM161" i="24"/>
  <c r="BN161" i="24" s="1"/>
  <c r="BY166" i="24"/>
  <c r="CA166" i="24" s="1"/>
  <c r="BM166" i="24"/>
  <c r="BN166" i="24" s="1"/>
  <c r="AG80" i="29"/>
  <c r="W80" i="29"/>
  <c r="AH85" i="29"/>
  <c r="X85" i="29"/>
  <c r="Y85" i="29" s="1"/>
  <c r="AH157" i="29"/>
  <c r="X157" i="29"/>
  <c r="Y157" i="29" s="1"/>
  <c r="X426" i="29"/>
  <c r="Y426" i="29" s="1"/>
  <c r="AH426" i="29"/>
  <c r="X434" i="29"/>
  <c r="Y434" i="29" s="1"/>
  <c r="AH434" i="29"/>
  <c r="W509" i="29"/>
  <c r="AG509" i="29"/>
  <c r="AH84" i="29"/>
  <c r="X84" i="29"/>
  <c r="Y84" i="29" s="1"/>
  <c r="AH222" i="29"/>
  <c r="X222" i="29"/>
  <c r="Y222" i="29" s="1"/>
  <c r="AH360" i="29"/>
  <c r="X360" i="29"/>
  <c r="Y360" i="29" s="1"/>
  <c r="AG458" i="29"/>
  <c r="W458" i="29"/>
  <c r="W470" i="29"/>
  <c r="AG470" i="29"/>
  <c r="W196" i="29"/>
  <c r="AG196" i="29"/>
  <c r="AH351" i="29"/>
  <c r="X351" i="29"/>
  <c r="Y351" i="29" s="1"/>
  <c r="AH146" i="29"/>
  <c r="X146" i="29"/>
  <c r="Y146" i="29" s="1"/>
  <c r="W377" i="29"/>
  <c r="AG377" i="29"/>
  <c r="BY134" i="24"/>
  <c r="CA134" i="24" s="1"/>
  <c r="CB134" i="24" s="1"/>
  <c r="BM134" i="24"/>
  <c r="BN134" i="24" s="1"/>
  <c r="BY287" i="24"/>
  <c r="CA287" i="24" s="1"/>
  <c r="CB287" i="24" s="1"/>
  <c r="BM287" i="24"/>
  <c r="BN287" i="24" s="1"/>
  <c r="BY77" i="24"/>
  <c r="CA77" i="24" s="1"/>
  <c r="CB77" i="24" s="1"/>
  <c r="BN77" i="24"/>
  <c r="BY131" i="24"/>
  <c r="CA131" i="24" s="1"/>
  <c r="CB131" i="24" s="1"/>
  <c r="BM131" i="24"/>
  <c r="BN131" i="24" s="1"/>
  <c r="BE55" i="25"/>
  <c r="BK55" i="25" s="1"/>
  <c r="BR55" i="25"/>
  <c r="BV55" i="25" s="1"/>
  <c r="BX55" i="25" s="1"/>
  <c r="BY263" i="24"/>
  <c r="CA263" i="24" s="1"/>
  <c r="BM263" i="24"/>
  <c r="BN263" i="24" s="1"/>
  <c r="BE166" i="25"/>
  <c r="BR166" i="25"/>
  <c r="BX166" i="25" s="1"/>
  <c r="BE312" i="25"/>
  <c r="BR312" i="25"/>
  <c r="BX312" i="25" s="1"/>
  <c r="X260" i="29"/>
  <c r="Y260" i="29" s="1"/>
  <c r="AH260" i="29"/>
  <c r="AG235" i="29"/>
  <c r="W235" i="29"/>
  <c r="W546" i="29"/>
  <c r="AG546" i="29"/>
  <c r="W454" i="29"/>
  <c r="AG454" i="29"/>
  <c r="AH498" i="29"/>
  <c r="X498" i="29"/>
  <c r="Y498" i="29" s="1"/>
  <c r="AH561" i="29"/>
  <c r="X561" i="29"/>
  <c r="Y561" i="29" s="1"/>
  <c r="W462" i="29"/>
  <c r="AG462" i="29"/>
  <c r="AH523" i="29"/>
  <c r="X523" i="29"/>
  <c r="Y523" i="29" s="1"/>
  <c r="BY245" i="24"/>
  <c r="CA245" i="24" s="1"/>
  <c r="BM245" i="24"/>
  <c r="BN245" i="24" s="1"/>
  <c r="BE226" i="25"/>
  <c r="BR226" i="25"/>
  <c r="BX226" i="25" s="1"/>
  <c r="BE217" i="25"/>
  <c r="BR217" i="25"/>
  <c r="BX217" i="25" s="1"/>
  <c r="BY170" i="24"/>
  <c r="CA170" i="24" s="1"/>
  <c r="BM170" i="24"/>
  <c r="BN170" i="24" s="1"/>
  <c r="BE224" i="25"/>
  <c r="BR224" i="25"/>
  <c r="BX224" i="25" s="1"/>
  <c r="BY255" i="24"/>
  <c r="CA255" i="24" s="1"/>
  <c r="CB255" i="24" s="1"/>
  <c r="BM255" i="24"/>
  <c r="BN255" i="24" s="1"/>
  <c r="W87" i="29"/>
  <c r="AG87" i="29"/>
  <c r="AH294" i="29"/>
  <c r="X294" i="29"/>
  <c r="Y294" i="29" s="1"/>
  <c r="X33" i="29"/>
  <c r="Y33" i="29" s="1"/>
  <c r="AH33" i="29"/>
  <c r="W407" i="29"/>
  <c r="AG407" i="29"/>
  <c r="X137" i="29"/>
  <c r="Y137" i="29" s="1"/>
  <c r="AH137" i="29"/>
  <c r="W247" i="29"/>
  <c r="AG247" i="29"/>
  <c r="AG461" i="29"/>
  <c r="W461" i="29"/>
  <c r="W223" i="29"/>
  <c r="AG223" i="29"/>
  <c r="AH291" i="29"/>
  <c r="X291" i="29"/>
  <c r="Y291" i="29" s="1"/>
  <c r="W311" i="29"/>
  <c r="AG311" i="29"/>
  <c r="W162" i="29"/>
  <c r="AG162" i="29"/>
  <c r="AH164" i="29"/>
  <c r="X164" i="29"/>
  <c r="Y164" i="29" s="1"/>
  <c r="AG238" i="29"/>
  <c r="W238" i="29"/>
  <c r="AG400" i="29"/>
  <c r="W400" i="29"/>
  <c r="X480" i="29"/>
  <c r="Y480" i="29" s="1"/>
  <c r="AH480" i="29"/>
  <c r="AH489" i="29"/>
  <c r="X489" i="29"/>
  <c r="Y489" i="29" s="1"/>
  <c r="BY243" i="25"/>
  <c r="CA243" i="25" s="1"/>
  <c r="CB243" i="25" s="1"/>
  <c r="BL243" i="25"/>
  <c r="BK243" i="25"/>
  <c r="BE156" i="25"/>
  <c r="BR156" i="25"/>
  <c r="BX156" i="25" s="1"/>
  <c r="BY89" i="25"/>
  <c r="CA89" i="25" s="1"/>
  <c r="BL89" i="25"/>
  <c r="BE123" i="25"/>
  <c r="BR123" i="25"/>
  <c r="BX123" i="25" s="1"/>
  <c r="BY30" i="25"/>
  <c r="CA30" i="25" s="1"/>
  <c r="CB30" i="25" s="1"/>
  <c r="BL30" i="25"/>
  <c r="BY288" i="24"/>
  <c r="CA288" i="24" s="1"/>
  <c r="BM288" i="24"/>
  <c r="BN288" i="24" s="1"/>
  <c r="BY173" i="25"/>
  <c r="CA173" i="25" s="1"/>
  <c r="BL173" i="25"/>
  <c r="BK173" i="25"/>
  <c r="BE271" i="25"/>
  <c r="BR271" i="25"/>
  <c r="BX271" i="25" s="1"/>
  <c r="BY276" i="24"/>
  <c r="CA276" i="24" s="1"/>
  <c r="BM276" i="24"/>
  <c r="BN276" i="24" s="1"/>
  <c r="BE111" i="25"/>
  <c r="BR111" i="25"/>
  <c r="BX111" i="25" s="1"/>
  <c r="W267" i="29"/>
  <c r="AG267" i="29"/>
  <c r="AG250" i="29"/>
  <c r="W250" i="29"/>
  <c r="AH528" i="29"/>
  <c r="X528" i="29"/>
  <c r="Y528" i="29" s="1"/>
  <c r="AH369" i="29"/>
  <c r="X369" i="29"/>
  <c r="Y369" i="29" s="1"/>
  <c r="X440" i="29"/>
  <c r="Y440" i="29" s="1"/>
  <c r="AH440" i="29"/>
  <c r="X301" i="29"/>
  <c r="Y301" i="29" s="1"/>
  <c r="AH301" i="29"/>
  <c r="AG39" i="29"/>
  <c r="W39" i="29"/>
  <c r="W320" i="29"/>
  <c r="AG320" i="29"/>
  <c r="X431" i="29"/>
  <c r="Y431" i="29" s="1"/>
  <c r="AH431" i="29"/>
  <c r="AH380" i="29"/>
  <c r="X380" i="29"/>
  <c r="Y380" i="29" s="1"/>
  <c r="AG572" i="29"/>
  <c r="W572" i="29"/>
  <c r="W197" i="29"/>
  <c r="AG197" i="29"/>
  <c r="AG44" i="29"/>
  <c r="W44" i="29"/>
  <c r="AG418" i="29"/>
  <c r="W418" i="29"/>
  <c r="W536" i="29"/>
  <c r="AG536" i="29"/>
  <c r="BE210" i="25"/>
  <c r="BR210" i="25"/>
  <c r="BX210" i="25" s="1"/>
  <c r="BR209" i="25"/>
  <c r="BX209" i="25" s="1"/>
  <c r="BE209" i="25"/>
  <c r="BE53" i="25"/>
  <c r="BK53" i="25" s="1"/>
  <c r="BR53" i="25"/>
  <c r="BV53" i="25" s="1"/>
  <c r="BX53" i="25" s="1"/>
  <c r="BY155" i="25"/>
  <c r="CA155" i="25" s="1"/>
  <c r="CB155" i="25" s="1"/>
  <c r="BL155" i="25"/>
  <c r="BK155" i="25"/>
  <c r="BN76" i="24"/>
  <c r="BY76" i="24"/>
  <c r="CA76" i="24" s="1"/>
  <c r="CB76" i="24" s="1"/>
  <c r="BE122" i="25"/>
  <c r="BR122" i="25"/>
  <c r="BX122" i="25" s="1"/>
  <c r="BE20" i="25"/>
  <c r="BK20" i="25" s="1"/>
  <c r="BR20" i="25"/>
  <c r="BV20" i="25" s="1"/>
  <c r="BX20" i="25" s="1"/>
  <c r="BE295" i="25"/>
  <c r="BR295" i="25"/>
  <c r="BX295" i="25" s="1"/>
  <c r="BY198" i="24"/>
  <c r="CA198" i="24" s="1"/>
  <c r="CB198" i="24" s="1"/>
  <c r="BM198" i="24"/>
  <c r="BN198" i="24" s="1"/>
  <c r="AG239" i="29"/>
  <c r="W239" i="29"/>
  <c r="AG78" i="29"/>
  <c r="W78" i="29"/>
  <c r="X347" i="29"/>
  <c r="Y347" i="29" s="1"/>
  <c r="AH347" i="29"/>
  <c r="X513" i="29"/>
  <c r="Y513" i="29" s="1"/>
  <c r="AH513" i="29"/>
  <c r="W261" i="29"/>
  <c r="AG261" i="29"/>
  <c r="AG205" i="29"/>
  <c r="W205" i="29"/>
  <c r="BR79" i="25"/>
  <c r="BV79" i="25" s="1"/>
  <c r="BX79" i="25" s="1"/>
  <c r="BE79" i="25"/>
  <c r="BK79" i="25" s="1"/>
  <c r="BY291" i="25"/>
  <c r="CA291" i="25" s="1"/>
  <c r="CB291" i="25" s="1"/>
  <c r="BL291" i="25"/>
  <c r="BK291" i="25"/>
  <c r="BY9" i="24"/>
  <c r="CA9" i="24" s="1"/>
  <c r="CB9" i="24" s="1"/>
  <c r="BN9" i="24"/>
  <c r="BY30" i="24"/>
  <c r="CA30" i="24" s="1"/>
  <c r="CB30" i="24" s="1"/>
  <c r="BN30" i="24"/>
  <c r="BY52" i="24"/>
  <c r="CA52" i="24" s="1"/>
  <c r="CB52" i="24" s="1"/>
  <c r="BN52" i="24"/>
  <c r="BY86" i="24"/>
  <c r="CA86" i="24" s="1"/>
  <c r="CB86" i="24" s="1"/>
  <c r="BN86" i="24"/>
  <c r="BL267" i="25"/>
  <c r="BY267" i="25"/>
  <c r="CA267" i="25" s="1"/>
  <c r="CB267" i="25" s="1"/>
  <c r="BK267" i="25"/>
  <c r="BE216" i="25"/>
  <c r="BR216" i="25"/>
  <c r="BX216" i="25" s="1"/>
  <c r="AG549" i="29"/>
  <c r="W549" i="29"/>
  <c r="AH602" i="29"/>
  <c r="X602" i="29"/>
  <c r="Y602" i="29" s="1"/>
  <c r="AG76" i="29"/>
  <c r="W76" i="29"/>
  <c r="BY35" i="24"/>
  <c r="CA35" i="24" s="1"/>
  <c r="CB35" i="24" s="1"/>
  <c r="BN35" i="24"/>
  <c r="BE168" i="25"/>
  <c r="BR168" i="25"/>
  <c r="BX168" i="25" s="1"/>
  <c r="BY293" i="24"/>
  <c r="CA293" i="24" s="1"/>
  <c r="CB293" i="24" s="1"/>
  <c r="BM293" i="24"/>
  <c r="BN293" i="24" s="1"/>
  <c r="BY186" i="25"/>
  <c r="CA186" i="25" s="1"/>
  <c r="BL186" i="25"/>
  <c r="BK186" i="25"/>
  <c r="BY249" i="24"/>
  <c r="CA249" i="24" s="1"/>
  <c r="CB249" i="24" s="1"/>
  <c r="BM249" i="24"/>
  <c r="BN249" i="24" s="1"/>
  <c r="BR46" i="25"/>
  <c r="BV46" i="25" s="1"/>
  <c r="BX46" i="25" s="1"/>
  <c r="BE46" i="25"/>
  <c r="BK46" i="25" s="1"/>
  <c r="AG468" i="29"/>
  <c r="W468" i="29"/>
  <c r="AH507" i="29"/>
  <c r="X507" i="29"/>
  <c r="Y507" i="29" s="1"/>
  <c r="AH447" i="29"/>
  <c r="X447" i="29"/>
  <c r="Y447" i="29" s="1"/>
  <c r="AH209" i="29"/>
  <c r="X209" i="29"/>
  <c r="Y209" i="29" s="1"/>
  <c r="W30" i="29"/>
  <c r="AG30" i="29"/>
  <c r="X193" i="29"/>
  <c r="Y193" i="29" s="1"/>
  <c r="AH193" i="29"/>
  <c r="AH140" i="29"/>
  <c r="X140" i="29"/>
  <c r="Y140" i="29" s="1"/>
  <c r="X285" i="29"/>
  <c r="Y285" i="29" s="1"/>
  <c r="AH285" i="29"/>
  <c r="X202" i="29"/>
  <c r="Y202" i="29" s="1"/>
  <c r="AH202" i="29"/>
  <c r="W182" i="29"/>
  <c r="AG182" i="29"/>
  <c r="AG419" i="29"/>
  <c r="W419" i="29"/>
  <c r="AG228" i="29"/>
  <c r="W228" i="29"/>
  <c r="AG159" i="29"/>
  <c r="W159" i="29"/>
  <c r="BE281" i="25"/>
  <c r="BR281" i="25"/>
  <c r="BX281" i="25" s="1"/>
  <c r="BY267" i="24"/>
  <c r="CA267" i="24" s="1"/>
  <c r="BM267" i="24"/>
  <c r="BN267" i="24" s="1"/>
  <c r="BY221" i="24"/>
  <c r="CA221" i="24" s="1"/>
  <c r="CB221" i="24" s="1"/>
  <c r="BM221" i="24"/>
  <c r="BN221" i="24" s="1"/>
  <c r="BE116" i="25"/>
  <c r="BR116" i="25"/>
  <c r="BX116" i="25" s="1"/>
  <c r="BE8" i="25"/>
  <c r="BK8" i="25" s="1"/>
  <c r="BR8" i="25"/>
  <c r="BV8" i="25" s="1"/>
  <c r="BX8" i="25" s="1"/>
  <c r="BE175" i="25"/>
  <c r="BR175" i="25"/>
  <c r="BX175" i="25" s="1"/>
  <c r="AG258" i="29"/>
  <c r="W258" i="29"/>
  <c r="BL292" i="25"/>
  <c r="BY292" i="25"/>
  <c r="CA292" i="25" s="1"/>
  <c r="CB292" i="25" s="1"/>
  <c r="BK292" i="25"/>
  <c r="BE245" i="25"/>
  <c r="BR245" i="25"/>
  <c r="BX245" i="25" s="1"/>
  <c r="BY239" i="24"/>
  <c r="CA239" i="24" s="1"/>
  <c r="CB239" i="24" s="1"/>
  <c r="BM239" i="24"/>
  <c r="BN239" i="24" s="1"/>
  <c r="W24" i="29"/>
  <c r="AG24" i="29"/>
  <c r="W81" i="29"/>
  <c r="AG81" i="29"/>
  <c r="X108" i="29"/>
  <c r="Y108" i="29" s="1"/>
  <c r="AH108" i="29"/>
  <c r="X266" i="29"/>
  <c r="Y266" i="29" s="1"/>
  <c r="AH266" i="29"/>
  <c r="AH104" i="29"/>
  <c r="X104" i="29"/>
  <c r="Y104" i="29" s="1"/>
  <c r="BE299" i="25"/>
  <c r="BR299" i="25"/>
  <c r="BX299" i="25" s="1"/>
  <c r="BR93" i="25"/>
  <c r="BV93" i="25" s="1"/>
  <c r="BX93" i="25" s="1"/>
  <c r="BE93" i="25"/>
  <c r="BK93" i="25" s="1"/>
  <c r="BY277" i="24"/>
  <c r="CA277" i="24" s="1"/>
  <c r="CB277" i="24" s="1"/>
  <c r="BM277" i="24"/>
  <c r="BN277" i="24" s="1"/>
  <c r="BN80" i="24"/>
  <c r="BY80" i="24"/>
  <c r="CA80" i="24" s="1"/>
  <c r="BE37" i="25"/>
  <c r="BK37" i="25" s="1"/>
  <c r="BR37" i="25"/>
  <c r="BV37" i="25" s="1"/>
  <c r="BX37" i="25" s="1"/>
  <c r="BY217" i="24"/>
  <c r="CA217" i="24" s="1"/>
  <c r="CB217" i="24" s="1"/>
  <c r="BM217" i="24"/>
  <c r="BN217" i="24" s="1"/>
  <c r="BL96" i="25"/>
  <c r="BY96" i="25"/>
  <c r="CA96" i="25" s="1"/>
  <c r="CB96" i="25" s="1"/>
  <c r="BE102" i="25"/>
  <c r="BK102" i="25" s="1"/>
  <c r="BR102" i="25"/>
  <c r="BV102" i="25" s="1"/>
  <c r="BX102" i="25" s="1"/>
  <c r="BE139" i="25"/>
  <c r="BR139" i="25"/>
  <c r="BX139" i="25" s="1"/>
  <c r="BY38" i="24"/>
  <c r="CA38" i="24" s="1"/>
  <c r="CB38" i="24" s="1"/>
  <c r="BN38" i="24"/>
  <c r="AG437" i="29"/>
  <c r="W437" i="29"/>
  <c r="AH551" i="29"/>
  <c r="X551" i="29"/>
  <c r="Y551" i="29" s="1"/>
  <c r="AH181" i="29"/>
  <c r="X181" i="29"/>
  <c r="Y181" i="29" s="1"/>
  <c r="BE274" i="25"/>
  <c r="BR274" i="25"/>
  <c r="BX274" i="25" s="1"/>
  <c r="BN88" i="24"/>
  <c r="BY88" i="24"/>
  <c r="CA88" i="24" s="1"/>
  <c r="BY283" i="25"/>
  <c r="CA283" i="25" s="1"/>
  <c r="CB283" i="25" s="1"/>
  <c r="BL283" i="25"/>
  <c r="BK283" i="25"/>
  <c r="BY300" i="24"/>
  <c r="CA300" i="24" s="1"/>
  <c r="CB300" i="24" s="1"/>
  <c r="BM300" i="24"/>
  <c r="BN300" i="24" s="1"/>
  <c r="BY278" i="24"/>
  <c r="CA278" i="24" s="1"/>
  <c r="CB278" i="24" s="1"/>
  <c r="BM278" i="24"/>
  <c r="BN278" i="24" s="1"/>
  <c r="BY61" i="24"/>
  <c r="CA61" i="24" s="1"/>
  <c r="CB61" i="24" s="1"/>
  <c r="BN61" i="24"/>
  <c r="BR78" i="25"/>
  <c r="BV78" i="25" s="1"/>
  <c r="BX78" i="25" s="1"/>
  <c r="BE78" i="25"/>
  <c r="BK78" i="25" s="1"/>
  <c r="BY147" i="25"/>
  <c r="CA147" i="25" s="1"/>
  <c r="BL147" i="25"/>
  <c r="BK147" i="25"/>
  <c r="X531" i="29"/>
  <c r="Y531" i="29" s="1"/>
  <c r="AH531" i="29"/>
  <c r="AH410" i="29"/>
  <c r="X410" i="29"/>
  <c r="Y410" i="29" s="1"/>
  <c r="X289" i="29"/>
  <c r="Y289" i="29" s="1"/>
  <c r="AH289" i="29"/>
  <c r="W127" i="29"/>
  <c r="AG127" i="29"/>
  <c r="AH98" i="29"/>
  <c r="X98" i="29"/>
  <c r="Y98" i="29" s="1"/>
  <c r="AG510" i="29"/>
  <c r="W510" i="29"/>
  <c r="W20" i="29"/>
  <c r="AG20" i="29"/>
  <c r="AG451" i="29"/>
  <c r="W451" i="29"/>
  <c r="W94" i="29"/>
  <c r="AG94" i="29"/>
  <c r="AH382" i="29"/>
  <c r="X382" i="29"/>
  <c r="Y382" i="29" s="1"/>
  <c r="W506" i="29"/>
  <c r="AG506" i="29"/>
  <c r="BY167" i="24"/>
  <c r="CA167" i="24" s="1"/>
  <c r="CB167" i="24" s="1"/>
  <c r="BM167" i="24"/>
  <c r="BN167" i="24" s="1"/>
  <c r="BE74" i="25"/>
  <c r="BK74" i="25" s="1"/>
  <c r="BR74" i="25"/>
  <c r="BV74" i="25" s="1"/>
  <c r="BX74" i="25" s="1"/>
  <c r="BY154" i="24"/>
  <c r="CA154" i="24" s="1"/>
  <c r="CB154" i="24" s="1"/>
  <c r="BM154" i="24"/>
  <c r="BN154" i="24" s="1"/>
  <c r="BE68" i="25"/>
  <c r="BK68" i="25" s="1"/>
  <c r="BR68" i="25"/>
  <c r="BV68" i="25" s="1"/>
  <c r="BX68" i="25" s="1"/>
  <c r="BY151" i="24"/>
  <c r="CA151" i="24" s="1"/>
  <c r="BM151" i="24"/>
  <c r="BN151" i="24" s="1"/>
  <c r="BE309" i="25"/>
  <c r="BR309" i="25"/>
  <c r="BX309" i="25" s="1"/>
  <c r="BY50" i="24"/>
  <c r="CA50" i="24" s="1"/>
  <c r="CB50" i="24" s="1"/>
  <c r="BN50" i="24"/>
  <c r="AG18" i="29"/>
  <c r="W18" i="29"/>
  <c r="AH387" i="29"/>
  <c r="X387" i="29"/>
  <c r="Y387" i="29" s="1"/>
  <c r="X330" i="29"/>
  <c r="Y330" i="29" s="1"/>
  <c r="AH330" i="29"/>
  <c r="AH189" i="29"/>
  <c r="X189" i="29"/>
  <c r="Y189" i="29" s="1"/>
  <c r="AH60" i="29"/>
  <c r="X60" i="29"/>
  <c r="Y60" i="29" s="1"/>
  <c r="X374" i="29"/>
  <c r="Y374" i="29" s="1"/>
  <c r="AH374" i="29"/>
  <c r="BE263" i="25"/>
  <c r="BR263" i="25"/>
  <c r="BX263" i="25" s="1"/>
  <c r="BR90" i="25"/>
  <c r="BV90" i="25" s="1"/>
  <c r="BX90" i="25" s="1"/>
  <c r="BE90" i="25"/>
  <c r="BK90" i="25" s="1"/>
  <c r="BY199" i="24"/>
  <c r="CA199" i="24" s="1"/>
  <c r="CB199" i="24" s="1"/>
  <c r="BM199" i="24"/>
  <c r="BN199" i="24" s="1"/>
  <c r="BN63" i="24"/>
  <c r="BY63" i="24"/>
  <c r="CA63" i="24" s="1"/>
  <c r="CB63" i="24" s="1"/>
  <c r="BN97" i="24"/>
  <c r="BY97" i="24"/>
  <c r="CA97" i="24" s="1"/>
  <c r="CB97" i="24" s="1"/>
  <c r="BY270" i="24"/>
  <c r="CA270" i="24" s="1"/>
  <c r="CB270" i="24" s="1"/>
  <c r="BM270" i="24"/>
  <c r="BN270" i="24" s="1"/>
  <c r="BR86" i="25"/>
  <c r="BV86" i="25" s="1"/>
  <c r="BX86" i="25" s="1"/>
  <c r="BE86" i="25"/>
  <c r="BK86" i="25" s="1"/>
  <c r="BY11" i="25"/>
  <c r="CA11" i="25" s="1"/>
  <c r="CB11" i="25" s="1"/>
  <c r="BL11" i="25"/>
  <c r="BE157" i="25"/>
  <c r="BR157" i="25"/>
  <c r="BX157" i="25" s="1"/>
  <c r="BN8" i="24"/>
  <c r="BY8" i="24"/>
  <c r="CA8" i="24" s="1"/>
  <c r="CB8" i="24" s="1"/>
  <c r="AG446" i="29"/>
  <c r="W446" i="29"/>
  <c r="W484" i="29"/>
  <c r="AG484" i="29"/>
  <c r="X46" i="29"/>
  <c r="Y46" i="29" s="1"/>
  <c r="AH46" i="29"/>
  <c r="BY227" i="24"/>
  <c r="CA227" i="24" s="1"/>
  <c r="CB227" i="24" s="1"/>
  <c r="BM227" i="24"/>
  <c r="BN227" i="24" s="1"/>
  <c r="BY59" i="25"/>
  <c r="CA59" i="25" s="1"/>
  <c r="CB59" i="25" s="1"/>
  <c r="BL59" i="25"/>
  <c r="BY306" i="25"/>
  <c r="CA306" i="25" s="1"/>
  <c r="CB306" i="25" s="1"/>
  <c r="BL306" i="25"/>
  <c r="BK306" i="25"/>
  <c r="BE203" i="25"/>
  <c r="BR203" i="25"/>
  <c r="BX203" i="25" s="1"/>
  <c r="BY14" i="25"/>
  <c r="CA14" i="25" s="1"/>
  <c r="CB14" i="25" s="1"/>
  <c r="BL14" i="25"/>
  <c r="BE230" i="25"/>
  <c r="BR230" i="25"/>
  <c r="BX230" i="25" s="1"/>
  <c r="BR76" i="25"/>
  <c r="BV76" i="25" s="1"/>
  <c r="BX76" i="25" s="1"/>
  <c r="BE76" i="25"/>
  <c r="BK76" i="25" s="1"/>
  <c r="BY206" i="24"/>
  <c r="CA206" i="24" s="1"/>
  <c r="CB206" i="24" s="1"/>
  <c r="BM206" i="24"/>
  <c r="BN206" i="24" s="1"/>
  <c r="BY144" i="24"/>
  <c r="CA144" i="24" s="1"/>
  <c r="CB144" i="24" s="1"/>
  <c r="BM144" i="24"/>
  <c r="BN144" i="24" s="1"/>
  <c r="BE307" i="25"/>
  <c r="BR307" i="25"/>
  <c r="BX307" i="25" s="1"/>
  <c r="X594" i="29"/>
  <c r="Y594" i="29" s="1"/>
  <c r="AH594" i="29"/>
  <c r="AG582" i="29"/>
  <c r="W582" i="29"/>
  <c r="X82" i="29"/>
  <c r="Y82" i="29" s="1"/>
  <c r="AH82" i="29"/>
  <c r="W370" i="29"/>
  <c r="AG370" i="29"/>
  <c r="W570" i="29"/>
  <c r="AG570" i="29"/>
  <c r="AH78" i="29"/>
  <c r="X78" i="29"/>
  <c r="Y78" i="29" s="1"/>
  <c r="AH103" i="29"/>
  <c r="X103" i="29"/>
  <c r="Y103" i="29" s="1"/>
  <c r="AH139" i="29"/>
  <c r="X139" i="29"/>
  <c r="Y139" i="29" s="1"/>
  <c r="X261" i="29"/>
  <c r="Y261" i="29" s="1"/>
  <c r="AH261" i="29"/>
  <c r="AG77" i="29"/>
  <c r="W77" i="29"/>
  <c r="AH459" i="29"/>
  <c r="X459" i="29"/>
  <c r="Y459" i="29" s="1"/>
  <c r="AG494" i="29"/>
  <c r="W494" i="29"/>
  <c r="W151" i="29"/>
  <c r="AG151" i="29"/>
  <c r="W613" i="29"/>
  <c r="AG613" i="29"/>
  <c r="AH218" i="29"/>
  <c r="X218" i="29"/>
  <c r="Y218" i="29" s="1"/>
  <c r="BE304" i="25"/>
  <c r="BR304" i="25"/>
  <c r="BX304" i="25" s="1"/>
  <c r="BE135" i="25"/>
  <c r="BR135" i="25"/>
  <c r="BX135" i="25" s="1"/>
  <c r="BE169" i="25"/>
  <c r="BR169" i="25"/>
  <c r="BX169" i="25" s="1"/>
  <c r="BY153" i="24"/>
  <c r="CA153" i="24" s="1"/>
  <c r="CB153" i="24" s="1"/>
  <c r="BM153" i="24"/>
  <c r="BN153" i="24" s="1"/>
  <c r="BY285" i="24"/>
  <c r="CA285" i="24" s="1"/>
  <c r="BM285" i="24"/>
  <c r="BN285" i="24" s="1"/>
  <c r="BE308" i="25"/>
  <c r="BR308" i="25"/>
  <c r="BX308" i="25" s="1"/>
  <c r="BE193" i="25"/>
  <c r="BR193" i="25"/>
  <c r="BX193" i="25" s="1"/>
  <c r="BL28" i="25"/>
  <c r="BY28" i="25"/>
  <c r="CA28" i="25" s="1"/>
  <c r="CB28" i="25" s="1"/>
  <c r="AG262" i="29"/>
  <c r="W262" i="29"/>
  <c r="W17" i="29"/>
  <c r="AG17" i="29"/>
  <c r="AG233" i="29"/>
  <c r="W233" i="29"/>
  <c r="W178" i="29"/>
  <c r="AG178" i="29"/>
  <c r="W386" i="29"/>
  <c r="AG386" i="29"/>
  <c r="AG361" i="29"/>
  <c r="W361" i="29"/>
  <c r="AG602" i="29"/>
  <c r="W602" i="29"/>
  <c r="AG16" i="29"/>
  <c r="W16" i="29"/>
  <c r="AH529" i="29"/>
  <c r="X529" i="29"/>
  <c r="Y529" i="29" s="1"/>
  <c r="AG519" i="29"/>
  <c r="W519" i="29"/>
  <c r="W391" i="29"/>
  <c r="AG391" i="29"/>
  <c r="X56" i="29"/>
  <c r="Y56" i="29" s="1"/>
  <c r="AH56" i="29"/>
  <c r="W344" i="29"/>
  <c r="AG344" i="29"/>
  <c r="AG505" i="29"/>
  <c r="W505" i="29"/>
  <c r="W175" i="29"/>
  <c r="AG175" i="29"/>
  <c r="AG553" i="29"/>
  <c r="W553" i="29"/>
  <c r="AH463" i="29"/>
  <c r="X463" i="29"/>
  <c r="Y463" i="29" s="1"/>
  <c r="BY127" i="24"/>
  <c r="CA127" i="24" s="1"/>
  <c r="CB127" i="24" s="1"/>
  <c r="BM127" i="24"/>
  <c r="BN127" i="24" s="1"/>
  <c r="BY74" i="24"/>
  <c r="CA74" i="24" s="1"/>
  <c r="BN74" i="24"/>
  <c r="BY66" i="24"/>
  <c r="CA66" i="24" s="1"/>
  <c r="CB66" i="24" s="1"/>
  <c r="BN66" i="24"/>
  <c r="BR294" i="25"/>
  <c r="BX294" i="25" s="1"/>
  <c r="BE294" i="25"/>
  <c r="BY81" i="24"/>
  <c r="CA81" i="24" s="1"/>
  <c r="BN81" i="24"/>
  <c r="BE112" i="25"/>
  <c r="BR112" i="25"/>
  <c r="BX112" i="25" s="1"/>
  <c r="BY247" i="25"/>
  <c r="CA247" i="25" s="1"/>
  <c r="CB247" i="25" s="1"/>
  <c r="BL247" i="25"/>
  <c r="BK247" i="25"/>
  <c r="BR101" i="25"/>
  <c r="BV101" i="25" s="1"/>
  <c r="BX101" i="25" s="1"/>
  <c r="BE101" i="25"/>
  <c r="BK101" i="25" s="1"/>
  <c r="BY90" i="24"/>
  <c r="CA90" i="24" s="1"/>
  <c r="CB90" i="24" s="1"/>
  <c r="BN90" i="24"/>
  <c r="BE302" i="25"/>
  <c r="BR302" i="25"/>
  <c r="BX302" i="25" s="1"/>
  <c r="BY222" i="24"/>
  <c r="CA222" i="24" s="1"/>
  <c r="CB222" i="24" s="1"/>
  <c r="BM222" i="24"/>
  <c r="BN222" i="24" s="1"/>
  <c r="AH478" i="29"/>
  <c r="X478" i="29"/>
  <c r="Y478" i="29" s="1"/>
  <c r="AH603" i="29"/>
  <c r="X603" i="29"/>
  <c r="Y603" i="29" s="1"/>
  <c r="AH287" i="29"/>
  <c r="X287" i="29"/>
  <c r="Y287" i="29" s="1"/>
  <c r="W485" i="29"/>
  <c r="AG485" i="29"/>
  <c r="W263" i="29"/>
  <c r="AG263" i="29"/>
  <c r="BR160" i="25"/>
  <c r="BX160" i="25" s="1"/>
  <c r="BE160" i="25"/>
  <c r="BY13" i="24"/>
  <c r="CA13" i="24" s="1"/>
  <c r="CB13" i="24" s="1"/>
  <c r="BN13" i="24"/>
  <c r="BE300" i="25"/>
  <c r="BR300" i="25"/>
  <c r="BX300" i="25" s="1"/>
  <c r="BE52" i="25"/>
  <c r="BK52" i="25" s="1"/>
  <c r="BR52" i="25"/>
  <c r="BV52" i="25" s="1"/>
  <c r="BX52" i="25" s="1"/>
  <c r="BY173" i="24"/>
  <c r="CA173" i="24" s="1"/>
  <c r="BM173" i="24"/>
  <c r="BN173" i="24" s="1"/>
  <c r="BR73" i="25"/>
  <c r="BV73" i="25" s="1"/>
  <c r="BX73" i="25" s="1"/>
  <c r="BE73" i="25"/>
  <c r="BK73" i="25" s="1"/>
  <c r="BE85" i="25"/>
  <c r="BK85" i="25" s="1"/>
  <c r="BR85" i="25"/>
  <c r="BV85" i="25" s="1"/>
  <c r="BX85" i="25" s="1"/>
  <c r="X568" i="29"/>
  <c r="Y568" i="29" s="1"/>
  <c r="AH568" i="29"/>
  <c r="X474" i="29"/>
  <c r="Y474" i="29" s="1"/>
  <c r="AH474" i="29"/>
  <c r="AH532" i="29"/>
  <c r="X532" i="29"/>
  <c r="Y532" i="29" s="1"/>
  <c r="AG428" i="29"/>
  <c r="W428" i="29"/>
  <c r="AG96" i="29"/>
  <c r="W96" i="29"/>
  <c r="W329" i="29"/>
  <c r="AG329" i="29"/>
  <c r="AH356" i="29"/>
  <c r="X356" i="29"/>
  <c r="Y356" i="29" s="1"/>
  <c r="W126" i="29"/>
  <c r="AG126" i="29"/>
  <c r="AH430" i="29"/>
  <c r="X430" i="29"/>
  <c r="Y430" i="29" s="1"/>
  <c r="AH115" i="29"/>
  <c r="X115" i="29"/>
  <c r="Y115" i="29" s="1"/>
  <c r="AH158" i="29"/>
  <c r="X158" i="29"/>
  <c r="Y158" i="29" s="1"/>
  <c r="AH316" i="29"/>
  <c r="X316" i="29"/>
  <c r="Y316" i="29" s="1"/>
  <c r="AH244" i="29"/>
  <c r="X244" i="29"/>
  <c r="Y244" i="29" s="1"/>
  <c r="BY164" i="24"/>
  <c r="CA164" i="24" s="1"/>
  <c r="CB164" i="24" s="1"/>
  <c r="BM164" i="24"/>
  <c r="BN164" i="24" s="1"/>
  <c r="BN27" i="24"/>
  <c r="BE44" i="25"/>
  <c r="BK44" i="25" s="1"/>
  <c r="BR44" i="25"/>
  <c r="BV44" i="25" s="1"/>
  <c r="BX44" i="25" s="1"/>
  <c r="BY204" i="24"/>
  <c r="CA204" i="24" s="1"/>
  <c r="BM204" i="24"/>
  <c r="BN204" i="24" s="1"/>
  <c r="AH91" i="29"/>
  <c r="X91" i="29"/>
  <c r="Y91" i="29" s="1"/>
  <c r="AG501" i="29"/>
  <c r="W501" i="29"/>
  <c r="X524" i="29"/>
  <c r="Y524" i="29" s="1"/>
  <c r="AH524" i="29"/>
  <c r="AH432" i="29"/>
  <c r="X432" i="29"/>
  <c r="Y432" i="29" s="1"/>
  <c r="AG298" i="29"/>
  <c r="W298" i="29"/>
  <c r="AH526" i="29"/>
  <c r="X526" i="29"/>
  <c r="Y526" i="29" s="1"/>
  <c r="AH379" i="29"/>
  <c r="X379" i="29"/>
  <c r="Y379" i="29" s="1"/>
  <c r="AG424" i="29"/>
  <c r="W424" i="29"/>
  <c r="AH437" i="29"/>
  <c r="X437" i="29"/>
  <c r="Y437" i="29" s="1"/>
  <c r="AG161" i="29"/>
  <c r="W161" i="29"/>
  <c r="AG125" i="29"/>
  <c r="W125" i="29"/>
  <c r="W160" i="29"/>
  <c r="AG160" i="29"/>
  <c r="AH555" i="29"/>
  <c r="X555" i="29"/>
  <c r="Y555" i="29" s="1"/>
  <c r="AG551" i="29"/>
  <c r="W551" i="29"/>
  <c r="AH343" i="29"/>
  <c r="X343" i="29"/>
  <c r="Y343" i="29" s="1"/>
  <c r="W184" i="29"/>
  <c r="AG184" i="29"/>
  <c r="AG589" i="29"/>
  <c r="W589" i="29"/>
  <c r="AH180" i="29"/>
  <c r="X180" i="29"/>
  <c r="Y180" i="29" s="1"/>
  <c r="W181" i="29"/>
  <c r="AG181" i="29"/>
  <c r="BL293" i="25"/>
  <c r="BY293" i="25"/>
  <c r="CA293" i="25" s="1"/>
  <c r="CB293" i="25" s="1"/>
  <c r="BK293" i="25"/>
  <c r="BL206" i="25"/>
  <c r="BY206" i="25"/>
  <c r="CA206" i="25" s="1"/>
  <c r="CB206" i="25" s="1"/>
  <c r="BK206" i="25"/>
  <c r="BE231" i="25"/>
  <c r="BR231" i="25"/>
  <c r="BX231" i="25" s="1"/>
  <c r="BY308" i="24"/>
  <c r="CA308" i="24" s="1"/>
  <c r="BM308" i="24"/>
  <c r="BN308" i="24" s="1"/>
  <c r="BY301" i="24"/>
  <c r="CA301" i="24" s="1"/>
  <c r="CB301" i="24" s="1"/>
  <c r="BM301" i="24"/>
  <c r="BN301" i="24" s="1"/>
  <c r="BN89" i="24"/>
  <c r="BY89" i="24"/>
  <c r="CA89" i="24" s="1"/>
  <c r="CB89" i="24" s="1"/>
  <c r="BY259" i="25"/>
  <c r="CA259" i="25" s="1"/>
  <c r="CB259" i="25" s="1"/>
  <c r="BL259" i="25"/>
  <c r="BK259" i="25"/>
  <c r="BE313" i="25"/>
  <c r="BR313" i="25"/>
  <c r="BX313" i="25" s="1"/>
  <c r="BY188" i="24"/>
  <c r="CA188" i="24" s="1"/>
  <c r="CB188" i="24" s="1"/>
  <c r="BM188" i="24"/>
  <c r="BN188" i="24" s="1"/>
  <c r="BR239" i="25"/>
  <c r="BX239" i="25" s="1"/>
  <c r="BE239" i="25"/>
  <c r="BE130" i="25"/>
  <c r="BR130" i="25"/>
  <c r="BX130" i="25" s="1"/>
  <c r="BY128" i="24"/>
  <c r="CA128" i="24" s="1"/>
  <c r="CB128" i="24" s="1"/>
  <c r="BM128" i="24"/>
  <c r="BN128" i="24" s="1"/>
  <c r="BE269" i="25"/>
  <c r="BR269" i="25"/>
  <c r="BX269" i="25" s="1"/>
  <c r="AH371" i="29"/>
  <c r="X371" i="29"/>
  <c r="Y371" i="29" s="1"/>
  <c r="AH449" i="29"/>
  <c r="X449" i="29"/>
  <c r="Y449" i="29" s="1"/>
  <c r="W249" i="29"/>
  <c r="AG249" i="29"/>
  <c r="X225" i="29"/>
  <c r="Y225" i="29" s="1"/>
  <c r="AH225" i="29"/>
  <c r="AH72" i="29"/>
  <c r="X72" i="29"/>
  <c r="Y72" i="29" s="1"/>
  <c r="AH156" i="29"/>
  <c r="X156" i="29"/>
  <c r="Y156" i="29" s="1"/>
  <c r="BE227" i="25"/>
  <c r="BR227" i="25"/>
  <c r="BX227" i="25" s="1"/>
  <c r="BY207" i="24"/>
  <c r="CA207" i="24" s="1"/>
  <c r="CB207" i="24" s="1"/>
  <c r="BM207" i="24"/>
  <c r="BN207" i="24" s="1"/>
  <c r="BE278" i="25"/>
  <c r="BR278" i="25"/>
  <c r="BX278" i="25" s="1"/>
  <c r="BY145" i="24"/>
  <c r="CA145" i="24" s="1"/>
  <c r="CB145" i="24" s="1"/>
  <c r="BM145" i="24"/>
  <c r="BN145" i="24" s="1"/>
  <c r="AG414" i="29"/>
  <c r="W414" i="29"/>
  <c r="AH518" i="29"/>
  <c r="X518" i="29"/>
  <c r="Y518" i="29" s="1"/>
  <c r="AH179" i="29"/>
  <c r="X179" i="29"/>
  <c r="Y179" i="29" s="1"/>
  <c r="AH264" i="29"/>
  <c r="X264" i="29"/>
  <c r="Y264" i="29" s="1"/>
  <c r="AH18" i="29"/>
  <c r="X18" i="29"/>
  <c r="Y18" i="29" s="1"/>
  <c r="AG237" i="29"/>
  <c r="W237" i="29"/>
  <c r="X204" i="29"/>
  <c r="Y204" i="29" s="1"/>
  <c r="AH204" i="29"/>
  <c r="AH165" i="29"/>
  <c r="X165" i="29"/>
  <c r="Y165" i="29" s="1"/>
  <c r="AG597" i="29"/>
  <c r="W597" i="29"/>
  <c r="W93" i="29"/>
  <c r="AG93" i="29"/>
  <c r="AG191" i="29"/>
  <c r="W191" i="29"/>
  <c r="W101" i="29"/>
  <c r="AG101" i="29"/>
  <c r="W516" i="29"/>
  <c r="AG516" i="29"/>
  <c r="AG189" i="29"/>
  <c r="W189" i="29"/>
  <c r="W60" i="29"/>
  <c r="AG60" i="29"/>
  <c r="W374" i="29"/>
  <c r="AG374" i="29"/>
  <c r="AG497" i="29"/>
  <c r="W497" i="29"/>
  <c r="BE54" i="25"/>
  <c r="BK54" i="25" s="1"/>
  <c r="BR54" i="25"/>
  <c r="BV54" i="25" s="1"/>
  <c r="BX54" i="25" s="1"/>
  <c r="BY262" i="25"/>
  <c r="CA262" i="25" s="1"/>
  <c r="CB262" i="25" s="1"/>
  <c r="BL262" i="25"/>
  <c r="BK262" i="25"/>
  <c r="BL71" i="25"/>
  <c r="BY71" i="25"/>
  <c r="CA71" i="25" s="1"/>
  <c r="BY266" i="24"/>
  <c r="CA266" i="24" s="1"/>
  <c r="CB266" i="24" s="1"/>
  <c r="BM266" i="24"/>
  <c r="BN266" i="24" s="1"/>
  <c r="BY29" i="25"/>
  <c r="CA29" i="25" s="1"/>
  <c r="CB29" i="25" s="1"/>
  <c r="BL29" i="25"/>
  <c r="BE289" i="25"/>
  <c r="BR289" i="25"/>
  <c r="BX289" i="25" s="1"/>
  <c r="W79" i="29"/>
  <c r="AG79" i="29"/>
  <c r="W593" i="29"/>
  <c r="AG593" i="29"/>
  <c r="AG443" i="29"/>
  <c r="W443" i="29"/>
  <c r="AG28" i="29"/>
  <c r="W28" i="29"/>
  <c r="W496" i="29"/>
  <c r="AG496" i="29"/>
  <c r="X401" i="29"/>
  <c r="Y401" i="29" s="1"/>
  <c r="AH401" i="29"/>
  <c r="X441" i="29"/>
  <c r="Y441" i="29" s="1"/>
  <c r="AH441" i="29"/>
  <c r="W214" i="29"/>
  <c r="AG214" i="29"/>
  <c r="W241" i="29"/>
  <c r="AG241" i="29"/>
  <c r="W563" i="29"/>
  <c r="AG563" i="29"/>
  <c r="W473" i="29"/>
  <c r="AG473" i="29"/>
  <c r="X234" i="29"/>
  <c r="Y234" i="29" s="1"/>
  <c r="AH234" i="29"/>
  <c r="W580" i="29"/>
  <c r="AG580" i="29"/>
  <c r="X332" i="29"/>
  <c r="Y332" i="29" s="1"/>
  <c r="AH332" i="29"/>
  <c r="AG134" i="29"/>
  <c r="W134" i="29"/>
  <c r="W46" i="29"/>
  <c r="AG46" i="29"/>
  <c r="W579" i="29"/>
  <c r="AG579" i="29"/>
  <c r="BL62" i="25"/>
  <c r="BY62" i="25"/>
  <c r="CA62" i="25" s="1"/>
  <c r="BL170" i="25"/>
  <c r="BY170" i="25"/>
  <c r="CA170" i="25" s="1"/>
  <c r="BK170" i="25"/>
  <c r="BR145" i="25"/>
  <c r="BX145" i="25" s="1"/>
  <c r="BE145" i="25"/>
  <c r="BE134" i="25"/>
  <c r="BR134" i="25"/>
  <c r="BX134" i="25" s="1"/>
  <c r="BE315" i="25"/>
  <c r="BR315" i="25"/>
  <c r="BX315" i="25" s="1"/>
  <c r="BY123" i="24"/>
  <c r="CA123" i="24" s="1"/>
  <c r="CB123" i="24" s="1"/>
  <c r="BM123" i="24"/>
  <c r="BN123" i="24" s="1"/>
  <c r="AG253" i="29"/>
  <c r="W253" i="29"/>
  <c r="AG403" i="29"/>
  <c r="W403" i="29"/>
  <c r="AG106" i="29"/>
  <c r="W106" i="29"/>
  <c r="W339" i="29"/>
  <c r="AG339" i="29"/>
  <c r="X475" i="29"/>
  <c r="Y475" i="29" s="1"/>
  <c r="AH475" i="29"/>
  <c r="BL261" i="25"/>
  <c r="BY261" i="25"/>
  <c r="CA261" i="25" s="1"/>
  <c r="CB261" i="25" s="1"/>
  <c r="BK261" i="25"/>
  <c r="BY114" i="24"/>
  <c r="CA114" i="24" s="1"/>
  <c r="CB114" i="24" s="1"/>
  <c r="BM114" i="24"/>
  <c r="BN114" i="24" s="1"/>
  <c r="BY175" i="24"/>
  <c r="CA175" i="24" s="1"/>
  <c r="CB175" i="24" s="1"/>
  <c r="BM175" i="24"/>
  <c r="BN175" i="24" s="1"/>
  <c r="BY271" i="24"/>
  <c r="CA271" i="24" s="1"/>
  <c r="CB271" i="24" s="1"/>
  <c r="BM271" i="24"/>
  <c r="BN271" i="24" s="1"/>
  <c r="BE152" i="25"/>
  <c r="BR152" i="25"/>
  <c r="BX152" i="25" s="1"/>
  <c r="AH483" i="29"/>
  <c r="X483" i="29"/>
  <c r="Y483" i="29" s="1"/>
  <c r="X155" i="29"/>
  <c r="Y155" i="29" s="1"/>
  <c r="AH155" i="29"/>
  <c r="AG256" i="29"/>
  <c r="W256" i="29"/>
  <c r="AH198" i="29"/>
  <c r="X198" i="29"/>
  <c r="Y198" i="29" s="1"/>
  <c r="AH154" i="29"/>
  <c r="X154" i="29"/>
  <c r="Y154" i="29" s="1"/>
  <c r="W464" i="29"/>
  <c r="AG464" i="29"/>
  <c r="X110" i="29"/>
  <c r="Y110" i="29" s="1"/>
  <c r="AH110" i="29"/>
  <c r="BY60" i="24"/>
  <c r="CA60" i="24" s="1"/>
  <c r="CB60" i="24" s="1"/>
  <c r="BN60" i="24"/>
  <c r="BE164" i="25"/>
  <c r="BR164" i="25"/>
  <c r="BX164" i="25" s="1"/>
  <c r="BE285" i="25"/>
  <c r="BR285" i="25"/>
  <c r="BX285" i="25" s="1"/>
  <c r="BY312" i="24"/>
  <c r="CA312" i="24" s="1"/>
  <c r="CB312" i="24" s="1"/>
  <c r="BM312" i="24"/>
  <c r="BN312" i="24" s="1"/>
  <c r="BE142" i="25"/>
  <c r="BR142" i="25"/>
  <c r="BX142" i="25" s="1"/>
  <c r="BY309" i="24"/>
  <c r="CA309" i="24" s="1"/>
  <c r="BM309" i="24"/>
  <c r="BN309" i="24" s="1"/>
  <c r="BY243" i="24"/>
  <c r="CA243" i="24" s="1"/>
  <c r="CB243" i="24" s="1"/>
  <c r="BM243" i="24"/>
  <c r="BN243" i="24" s="1"/>
  <c r="BY47" i="24"/>
  <c r="CA47" i="24" s="1"/>
  <c r="CB47" i="24" s="1"/>
  <c r="BN47" i="24"/>
  <c r="BE150" i="25"/>
  <c r="BR150" i="25"/>
  <c r="BX150" i="25" s="1"/>
  <c r="BE17" i="25"/>
  <c r="BK17" i="25" s="1"/>
  <c r="BR17" i="25"/>
  <c r="BV17" i="25" s="1"/>
  <c r="BX17" i="25" s="1"/>
  <c r="BY201" i="25"/>
  <c r="CA201" i="25" s="1"/>
  <c r="BL201" i="25"/>
  <c r="BK201" i="25"/>
  <c r="AG307" i="29"/>
  <c r="W307" i="29"/>
  <c r="X573" i="29"/>
  <c r="Y573" i="29" s="1"/>
  <c r="AH573" i="29"/>
  <c r="AH525" i="29"/>
  <c r="X525" i="29"/>
  <c r="Y525" i="29" s="1"/>
  <c r="AH319" i="29"/>
  <c r="X319" i="29"/>
  <c r="Y319" i="29" s="1"/>
  <c r="AG229" i="29"/>
  <c r="W229" i="29"/>
  <c r="AG478" i="29"/>
  <c r="W478" i="29"/>
  <c r="X251" i="29"/>
  <c r="Y251" i="29" s="1"/>
  <c r="AH251" i="29"/>
  <c r="AG69" i="29"/>
  <c r="W69" i="29"/>
  <c r="AG48" i="29"/>
  <c r="W48" i="29"/>
  <c r="X485" i="29"/>
  <c r="Y485" i="29" s="1"/>
  <c r="AH485" i="29"/>
  <c r="AH417" i="29"/>
  <c r="X417" i="29"/>
  <c r="Y417" i="29" s="1"/>
  <c r="AG14" i="29"/>
  <c r="W14" i="29"/>
  <c r="AH362" i="29"/>
  <c r="X362" i="29"/>
  <c r="Y362" i="29" s="1"/>
  <c r="AG481" i="29"/>
  <c r="W481" i="29"/>
  <c r="AG394" i="29"/>
  <c r="W394" i="29"/>
  <c r="BR63" i="25"/>
  <c r="BV63" i="25" s="1"/>
  <c r="BX63" i="25" s="1"/>
  <c r="BE63" i="25"/>
  <c r="BK63" i="25" s="1"/>
  <c r="BE234" i="25"/>
  <c r="BR234" i="25"/>
  <c r="BX234" i="25" s="1"/>
  <c r="BE171" i="25"/>
  <c r="BR171" i="25"/>
  <c r="BX171" i="25" s="1"/>
  <c r="BR165" i="25"/>
  <c r="BX165" i="25" s="1"/>
  <c r="BE165" i="25"/>
  <c r="BN48" i="24"/>
  <c r="BY48" i="24"/>
  <c r="CA48" i="24" s="1"/>
  <c r="CB48" i="24" s="1"/>
  <c r="BE187" i="25"/>
  <c r="BR187" i="25"/>
  <c r="BX187" i="25" s="1"/>
  <c r="BY143" i="24"/>
  <c r="CA143" i="24" s="1"/>
  <c r="CB143" i="24" s="1"/>
  <c r="BM143" i="24"/>
  <c r="BN143" i="24" s="1"/>
  <c r="AH352" i="29"/>
  <c r="X352" i="29"/>
  <c r="Y352" i="29" s="1"/>
  <c r="AG541" i="29"/>
  <c r="W541" i="29"/>
  <c r="AH186" i="29"/>
  <c r="X186" i="29"/>
  <c r="Y186" i="29" s="1"/>
  <c r="BY150" i="24"/>
  <c r="CA150" i="24" s="1"/>
  <c r="CB150" i="24" s="1"/>
  <c r="BM150" i="24"/>
  <c r="BN150" i="24" s="1"/>
  <c r="BY231" i="24"/>
  <c r="CA231" i="24" s="1"/>
  <c r="CB231" i="24" s="1"/>
  <c r="BM231" i="24"/>
  <c r="BN231" i="24" s="1"/>
  <c r="BR39" i="25"/>
  <c r="BV39" i="25" s="1"/>
  <c r="BX39" i="25" s="1"/>
  <c r="BE39" i="25"/>
  <c r="BK39" i="25" s="1"/>
  <c r="BY187" i="24"/>
  <c r="CA187" i="24" s="1"/>
  <c r="CB187" i="24" s="1"/>
  <c r="BM187" i="24"/>
  <c r="BN187" i="24" s="1"/>
  <c r="BY137" i="24"/>
  <c r="CA137" i="24" s="1"/>
  <c r="CB137" i="24" s="1"/>
  <c r="BM137" i="24"/>
  <c r="BN137" i="24" s="1"/>
  <c r="BE100" i="25"/>
  <c r="BK100" i="25" s="1"/>
  <c r="BR100" i="25"/>
  <c r="BV100" i="25" s="1"/>
  <c r="BX100" i="25" s="1"/>
  <c r="BE194" i="25"/>
  <c r="BR194" i="25"/>
  <c r="BX194" i="25" s="1"/>
  <c r="X537" i="29"/>
  <c r="Y537" i="29" s="1"/>
  <c r="AH537" i="29"/>
  <c r="X153" i="29"/>
  <c r="Y153" i="29" s="1"/>
  <c r="AH153" i="29"/>
  <c r="AG71" i="29"/>
  <c r="W71" i="29"/>
  <c r="AG376" i="29"/>
  <c r="W376" i="29"/>
  <c r="AH64" i="29"/>
  <c r="X64" i="29"/>
  <c r="Y64" i="29" s="1"/>
  <c r="BY11" i="24"/>
  <c r="CA11" i="24" s="1"/>
  <c r="CB11" i="24" s="1"/>
  <c r="BN11" i="24"/>
  <c r="BY225" i="24"/>
  <c r="CA225" i="24" s="1"/>
  <c r="CB225" i="24" s="1"/>
  <c r="BM225" i="24"/>
  <c r="BN225" i="24" s="1"/>
  <c r="BY204" i="25"/>
  <c r="CA204" i="25" s="1"/>
  <c r="BL204" i="25"/>
  <c r="BK204" i="25"/>
  <c r="BE33" i="25"/>
  <c r="BK33" i="25" s="1"/>
  <c r="BR33" i="25"/>
  <c r="BV33" i="25" s="1"/>
  <c r="BX33" i="25" s="1"/>
  <c r="BE23" i="25"/>
  <c r="BK23" i="25" s="1"/>
  <c r="BR23" i="25"/>
  <c r="BV23" i="25" s="1"/>
  <c r="BX23" i="25" s="1"/>
  <c r="BY208" i="24"/>
  <c r="CA208" i="24" s="1"/>
  <c r="BM208" i="24"/>
  <c r="BN208" i="24" s="1"/>
  <c r="BY234" i="24"/>
  <c r="CA234" i="24" s="1"/>
  <c r="CB234" i="24" s="1"/>
  <c r="BM234" i="24"/>
  <c r="BN234" i="24" s="1"/>
  <c r="BR69" i="25"/>
  <c r="BV69" i="25" s="1"/>
  <c r="BX69" i="25" s="1"/>
  <c r="BE69" i="25"/>
  <c r="BK69" i="25" s="1"/>
  <c r="BR149" i="25"/>
  <c r="BX149" i="25" s="1"/>
  <c r="BE149" i="25"/>
  <c r="BY158" i="25"/>
  <c r="CA158" i="25" s="1"/>
  <c r="CB158" i="25" s="1"/>
  <c r="BL158" i="25"/>
  <c r="BK158" i="25"/>
  <c r="AG138" i="29"/>
  <c r="W138" i="29"/>
  <c r="AH565" i="29"/>
  <c r="X565" i="29"/>
  <c r="Y565" i="29" s="1"/>
  <c r="W371" i="29"/>
  <c r="AG371" i="29"/>
  <c r="AH147" i="29"/>
  <c r="X147" i="29"/>
  <c r="Y147" i="29" s="1"/>
  <c r="AG67" i="29"/>
  <c r="W67" i="29"/>
  <c r="X142" i="29"/>
  <c r="Y142" i="29" s="1"/>
  <c r="AH142" i="29"/>
  <c r="W21" i="29"/>
  <c r="AG21" i="29"/>
  <c r="AG306" i="29"/>
  <c r="W306" i="29"/>
  <c r="X284" i="29"/>
  <c r="Y284" i="29" s="1"/>
  <c r="AH284" i="29"/>
  <c r="AG225" i="29"/>
  <c r="W225" i="29"/>
  <c r="AH15" i="29"/>
  <c r="X15" i="29"/>
  <c r="Y15" i="29" s="1"/>
  <c r="AH296" i="29"/>
  <c r="X296" i="29"/>
  <c r="Y296" i="29" s="1"/>
  <c r="AG274" i="29"/>
  <c r="W274" i="29"/>
  <c r="W397" i="29"/>
  <c r="AG397" i="29"/>
  <c r="X453" i="29"/>
  <c r="Y453" i="29" s="1"/>
  <c r="AH453" i="29"/>
  <c r="BE182" i="25"/>
  <c r="BR182" i="25"/>
  <c r="BX182" i="25" s="1"/>
  <c r="BE172" i="25"/>
  <c r="BR172" i="25"/>
  <c r="BX172" i="25" s="1"/>
  <c r="BE260" i="25"/>
  <c r="BR260" i="25"/>
  <c r="BX260" i="25" s="1"/>
  <c r="BY257" i="25"/>
  <c r="CA257" i="25" s="1"/>
  <c r="CB257" i="25" s="1"/>
  <c r="BL257" i="25"/>
  <c r="BK257" i="25"/>
  <c r="AG566" i="29"/>
  <c r="W566" i="29"/>
  <c r="AG612" i="29"/>
  <c r="W612" i="29"/>
  <c r="AG220" i="29"/>
  <c r="W220" i="29"/>
  <c r="AH226" i="29"/>
  <c r="X226" i="29"/>
  <c r="Y226" i="29" s="1"/>
  <c r="D64" i="29"/>
  <c r="E59" i="1" s="1"/>
  <c r="D61" i="29"/>
  <c r="BY115" i="24"/>
  <c r="CA115" i="24" s="1"/>
  <c r="CB115" i="24" s="1"/>
  <c r="BM115" i="24"/>
  <c r="BN115" i="24" s="1"/>
  <c r="BE218" i="25"/>
  <c r="BR218" i="25"/>
  <c r="BX218" i="25" s="1"/>
  <c r="BE10" i="25"/>
  <c r="BK10" i="25" s="1"/>
  <c r="BR10" i="25"/>
  <c r="BV10" i="25" s="1"/>
  <c r="BX10" i="25" s="1"/>
  <c r="BR40" i="25"/>
  <c r="BV40" i="25" s="1"/>
  <c r="BX40" i="25" s="1"/>
  <c r="BE40" i="25"/>
  <c r="BK40" i="25" s="1"/>
  <c r="BE132" i="25"/>
  <c r="BR132" i="25"/>
  <c r="BX132" i="25" s="1"/>
  <c r="BY136" i="24"/>
  <c r="CA136" i="24" s="1"/>
  <c r="CB136" i="24" s="1"/>
  <c r="BM136" i="24"/>
  <c r="BN136" i="24" s="1"/>
  <c r="BY209" i="24"/>
  <c r="CA209" i="24" s="1"/>
  <c r="BM209" i="24"/>
  <c r="BN209" i="24" s="1"/>
  <c r="BY274" i="24"/>
  <c r="CA274" i="24" s="1"/>
  <c r="BM274" i="24"/>
  <c r="BN274" i="24" s="1"/>
  <c r="BY99" i="24"/>
  <c r="CA99" i="24" s="1"/>
  <c r="CB99" i="24" s="1"/>
  <c r="BN99" i="24"/>
  <c r="BY248" i="25"/>
  <c r="CA248" i="25" s="1"/>
  <c r="CB248" i="25" s="1"/>
  <c r="BL248" i="25"/>
  <c r="BK248" i="25"/>
  <c r="BE252" i="25"/>
  <c r="BR252" i="25"/>
  <c r="BX252" i="25" s="1"/>
  <c r="BY138" i="24"/>
  <c r="CA138" i="24" s="1"/>
  <c r="CB138" i="24" s="1"/>
  <c r="BM138" i="24"/>
  <c r="BN138" i="24" s="1"/>
  <c r="BR57" i="25"/>
  <c r="BV57" i="25" s="1"/>
  <c r="BX57" i="25" s="1"/>
  <c r="BE57" i="25"/>
  <c r="BK57" i="25" s="1"/>
  <c r="BE181" i="25"/>
  <c r="BR181" i="25"/>
  <c r="BX181" i="25" s="1"/>
  <c r="W302" i="29"/>
  <c r="AG302" i="29"/>
  <c r="X521" i="29"/>
  <c r="Y521" i="29" s="1"/>
  <c r="AH521" i="29"/>
  <c r="AG576" i="29"/>
  <c r="W576" i="29"/>
  <c r="AG345" i="29"/>
  <c r="W345" i="29"/>
  <c r="AH63" i="29"/>
  <c r="X63" i="29"/>
  <c r="Y63" i="29" s="1"/>
  <c r="X595" i="29"/>
  <c r="Y595" i="29" s="1"/>
  <c r="AH595" i="29"/>
  <c r="AH212" i="29"/>
  <c r="X212" i="29"/>
  <c r="Y212" i="29" s="1"/>
  <c r="BE16" i="25"/>
  <c r="BK16" i="25" s="1"/>
  <c r="BR16" i="25"/>
  <c r="BV16" i="25" s="1"/>
  <c r="BX16" i="25" s="1"/>
  <c r="BY272" i="24"/>
  <c r="CA272" i="24" s="1"/>
  <c r="BM272" i="24"/>
  <c r="BN272" i="24" s="1"/>
  <c r="BY246" i="25"/>
  <c r="CA246" i="25" s="1"/>
  <c r="CB246" i="25" s="1"/>
  <c r="BL246" i="25"/>
  <c r="BK246" i="25"/>
  <c r="BE137" i="25"/>
  <c r="BR137" i="25"/>
  <c r="BX137" i="25" s="1"/>
  <c r="BY69" i="24"/>
  <c r="CA69" i="24" s="1"/>
  <c r="CB69" i="24" s="1"/>
  <c r="BN69" i="24"/>
  <c r="BR45" i="25"/>
  <c r="BV45" i="25" s="1"/>
  <c r="BX45" i="25" s="1"/>
  <c r="BE45" i="25"/>
  <c r="BK45" i="25" s="1"/>
  <c r="BN46" i="24"/>
  <c r="BY46" i="24"/>
  <c r="CA46" i="24" s="1"/>
  <c r="CB46" i="24" s="1"/>
  <c r="BR38" i="25"/>
  <c r="BV38" i="25" s="1"/>
  <c r="BX38" i="25" s="1"/>
  <c r="BE38" i="25"/>
  <c r="BK38" i="25" s="1"/>
  <c r="AH253" i="29"/>
  <c r="X253" i="29"/>
  <c r="Y253" i="29" s="1"/>
  <c r="AG292" i="29"/>
  <c r="W292" i="29"/>
  <c r="X117" i="29"/>
  <c r="Y117" i="29" s="1"/>
  <c r="AH117" i="29"/>
  <c r="W396" i="29"/>
  <c r="AG396" i="29"/>
  <c r="X564" i="29"/>
  <c r="Y564" i="29" s="1"/>
  <c r="AH564" i="29"/>
  <c r="X433" i="29"/>
  <c r="Y433" i="29" s="1"/>
  <c r="AH433" i="29"/>
  <c r="X610" i="29"/>
  <c r="Y610" i="29" s="1"/>
  <c r="AH610" i="29"/>
  <c r="AH349" i="29"/>
  <c r="X349" i="29"/>
  <c r="Y349" i="29" s="1"/>
  <c r="AH305" i="29"/>
  <c r="X305" i="29"/>
  <c r="Y305" i="29" s="1"/>
  <c r="W411" i="29"/>
  <c r="AG411" i="29"/>
  <c r="AH106" i="29"/>
  <c r="X106" i="29"/>
  <c r="Y106" i="29" s="1"/>
  <c r="W503" i="29"/>
  <c r="AG503" i="29"/>
  <c r="AH232" i="29"/>
  <c r="X232" i="29"/>
  <c r="Y232" i="29" s="1"/>
  <c r="AG512" i="29"/>
  <c r="W512" i="29"/>
  <c r="X390" i="29"/>
  <c r="Y390" i="29" s="1"/>
  <c r="AH390" i="29"/>
  <c r="AG54" i="29"/>
  <c r="W54" i="29"/>
  <c r="BY314" i="24"/>
  <c r="CA314" i="24" s="1"/>
  <c r="CB314" i="24" s="1"/>
  <c r="BM314" i="24"/>
  <c r="BN314" i="24" s="1"/>
  <c r="BY49" i="24"/>
  <c r="CA49" i="24" s="1"/>
  <c r="CB49" i="24" s="1"/>
  <c r="BN49" i="24"/>
  <c r="BE24" i="25"/>
  <c r="BK24" i="25" s="1"/>
  <c r="BR24" i="25"/>
  <c r="BV24" i="25" s="1"/>
  <c r="BX24" i="25" s="1"/>
  <c r="BY201" i="24"/>
  <c r="CA201" i="24" s="1"/>
  <c r="BM201" i="24"/>
  <c r="BN201" i="24" s="1"/>
  <c r="BE268" i="25"/>
  <c r="BR268" i="25"/>
  <c r="BX268" i="25" s="1"/>
  <c r="BE126" i="25"/>
  <c r="BR126" i="25"/>
  <c r="BX126" i="25" s="1"/>
  <c r="BE163" i="25"/>
  <c r="BR163" i="25"/>
  <c r="BX163" i="25" s="1"/>
  <c r="BY171" i="24"/>
  <c r="CA171" i="24" s="1"/>
  <c r="CB171" i="24" s="1"/>
  <c r="BM171" i="24"/>
  <c r="BN171" i="24" s="1"/>
  <c r="BE197" i="25"/>
  <c r="BR197" i="25"/>
  <c r="BX197" i="25" s="1"/>
  <c r="BY32" i="25"/>
  <c r="CA32" i="25" s="1"/>
  <c r="CB32" i="25" s="1"/>
  <c r="BL32" i="25"/>
  <c r="AH37" i="29"/>
  <c r="X37" i="29"/>
  <c r="Y37" i="29" s="1"/>
  <c r="W483" i="29"/>
  <c r="AG483" i="29"/>
  <c r="W155" i="29"/>
  <c r="AG155" i="29"/>
  <c r="AG486" i="29"/>
  <c r="W486" i="29"/>
  <c r="AH515" i="29"/>
  <c r="X515" i="29"/>
  <c r="Y515" i="29" s="1"/>
  <c r="AH92" i="29"/>
  <c r="X92" i="29"/>
  <c r="Y92" i="29" s="1"/>
  <c r="W331" i="29"/>
  <c r="AG331" i="29"/>
  <c r="AG321" i="29"/>
  <c r="W321" i="29"/>
  <c r="W300" i="29"/>
  <c r="AG300" i="29"/>
  <c r="AH45" i="29"/>
  <c r="X45" i="29"/>
  <c r="Y45" i="29" s="1"/>
  <c r="AH502" i="29"/>
  <c r="X502" i="29"/>
  <c r="Y502" i="29" s="1"/>
  <c r="AG283" i="29"/>
  <c r="W283" i="29"/>
  <c r="W131" i="29"/>
  <c r="AG131" i="29"/>
  <c r="AH464" i="29"/>
  <c r="X464" i="29"/>
  <c r="Y464" i="29" s="1"/>
  <c r="W110" i="29"/>
  <c r="AG110" i="29"/>
  <c r="BY36" i="24"/>
  <c r="CA36" i="24" s="1"/>
  <c r="CB36" i="24" s="1"/>
  <c r="BN36" i="24"/>
  <c r="BY174" i="24"/>
  <c r="CA174" i="24" s="1"/>
  <c r="CB174" i="24" s="1"/>
  <c r="BM174" i="24"/>
  <c r="BN174" i="24" s="1"/>
  <c r="BL82" i="25"/>
  <c r="BY82" i="25"/>
  <c r="CA82" i="25" s="1"/>
  <c r="BY314" i="25"/>
  <c r="CA314" i="25" s="1"/>
  <c r="CB314" i="25" s="1"/>
  <c r="BL314" i="25"/>
  <c r="BK314" i="25"/>
  <c r="BY275" i="24"/>
  <c r="CA275" i="24" s="1"/>
  <c r="CB275" i="24" s="1"/>
  <c r="BM275" i="24"/>
  <c r="BN275" i="24" s="1"/>
  <c r="BR75" i="25"/>
  <c r="BV75" i="25" s="1"/>
  <c r="BX75" i="25" s="1"/>
  <c r="BE75" i="25"/>
  <c r="BK75" i="25" s="1"/>
  <c r="BR12" i="25"/>
  <c r="BV12" i="25" s="1"/>
  <c r="BX12" i="25" s="1"/>
  <c r="BE12" i="25"/>
  <c r="BK12" i="25" s="1"/>
  <c r="BY118" i="24"/>
  <c r="CA118" i="24" s="1"/>
  <c r="CB118" i="24" s="1"/>
  <c r="BM118" i="24"/>
  <c r="BN118" i="24" s="1"/>
  <c r="BL296" i="25"/>
  <c r="BY296" i="25"/>
  <c r="CA296" i="25" s="1"/>
  <c r="CB296" i="25" s="1"/>
  <c r="BK296" i="25"/>
  <c r="BY310" i="24"/>
  <c r="CA310" i="24" s="1"/>
  <c r="BM310" i="24"/>
  <c r="BN310" i="24" s="1"/>
  <c r="BY140" i="24"/>
  <c r="CA140" i="24" s="1"/>
  <c r="CB140" i="24" s="1"/>
  <c r="BM140" i="24"/>
  <c r="BN140" i="24" s="1"/>
  <c r="BY92" i="25"/>
  <c r="CA92" i="25" s="1"/>
  <c r="BL92" i="25"/>
  <c r="X348" i="29"/>
  <c r="Y348" i="29" s="1"/>
  <c r="AH348" i="29"/>
  <c r="AH58" i="29"/>
  <c r="X58" i="29"/>
  <c r="Y58" i="29" s="1"/>
  <c r="X304" i="29"/>
  <c r="Y304" i="29" s="1"/>
  <c r="AH304" i="29"/>
  <c r="X271" i="29"/>
  <c r="Y271" i="29" s="1"/>
  <c r="AH271" i="29"/>
  <c r="X32" i="29"/>
  <c r="Y32" i="29" s="1"/>
  <c r="AH32" i="29"/>
  <c r="AH13" i="29"/>
  <c r="X13" i="29"/>
  <c r="Y13" i="29" s="1"/>
  <c r="X97" i="29"/>
  <c r="Y97" i="29" s="1"/>
  <c r="AH97" i="29"/>
  <c r="AH452" i="29"/>
  <c r="X452" i="29"/>
  <c r="Y452" i="29" s="1"/>
  <c r="BL275" i="25"/>
  <c r="BY275" i="25"/>
  <c r="CA275" i="25" s="1"/>
  <c r="CB275" i="25" s="1"/>
  <c r="BK275" i="25"/>
  <c r="BN94" i="24"/>
  <c r="BY94" i="24"/>
  <c r="CA94" i="24" s="1"/>
  <c r="CB94" i="24" s="1"/>
  <c r="BY125" i="24"/>
  <c r="CA125" i="24" s="1"/>
  <c r="CB125" i="24" s="1"/>
  <c r="BM125" i="24"/>
  <c r="BN125" i="24" s="1"/>
  <c r="BY196" i="24"/>
  <c r="CA196" i="24" s="1"/>
  <c r="CB196" i="24" s="1"/>
  <c r="BM196" i="24"/>
  <c r="BN196" i="24" s="1"/>
  <c r="BY43" i="24"/>
  <c r="CA43" i="24" s="1"/>
  <c r="CB43" i="24" s="1"/>
  <c r="BN43" i="24"/>
  <c r="BY133" i="24"/>
  <c r="CA133" i="24" s="1"/>
  <c r="CB133" i="24" s="1"/>
  <c r="BM133" i="24"/>
  <c r="BN133" i="24" s="1"/>
  <c r="BR66" i="25"/>
  <c r="BV66" i="25" s="1"/>
  <c r="BX66" i="25" s="1"/>
  <c r="BE66" i="25"/>
  <c r="BK66" i="25" s="1"/>
  <c r="BY313" i="24"/>
  <c r="CA313" i="24" s="1"/>
  <c r="CB313" i="24" s="1"/>
  <c r="BM313" i="24"/>
  <c r="BN313" i="24" s="1"/>
  <c r="BY83" i="24"/>
  <c r="CA83" i="24" s="1"/>
  <c r="CB83" i="24" s="1"/>
  <c r="BN83" i="24"/>
  <c r="AH325" i="29"/>
  <c r="X325" i="29"/>
  <c r="Y325" i="29" s="1"/>
  <c r="W469" i="29"/>
  <c r="AG469" i="29"/>
  <c r="AH444" i="29"/>
  <c r="X444" i="29"/>
  <c r="Y444" i="29" s="1"/>
  <c r="AH542" i="29"/>
  <c r="X542" i="29"/>
  <c r="Y542" i="29" s="1"/>
  <c r="AG554" i="29"/>
  <c r="W554" i="29"/>
  <c r="AG34" i="29"/>
  <c r="W34" i="29"/>
  <c r="W491" i="29"/>
  <c r="AG491" i="29"/>
  <c r="AG61" i="29"/>
  <c r="W61" i="29"/>
  <c r="AG317" i="29"/>
  <c r="W317" i="29"/>
  <c r="AG211" i="29"/>
  <c r="W211" i="29"/>
  <c r="AG548" i="29"/>
  <c r="W548" i="29"/>
  <c r="AG385" i="29"/>
  <c r="W385" i="29"/>
  <c r="W352" i="29"/>
  <c r="AG352" i="29"/>
  <c r="AG224" i="29"/>
  <c r="W224" i="29"/>
  <c r="AH541" i="29"/>
  <c r="X541" i="29"/>
  <c r="Y541" i="29" s="1"/>
  <c r="AH254" i="29"/>
  <c r="X254" i="29"/>
  <c r="Y254" i="29" s="1"/>
  <c r="AH105" i="29"/>
  <c r="X105" i="29"/>
  <c r="Y105" i="29" s="1"/>
  <c r="BY291" i="24"/>
  <c r="CA291" i="24" s="1"/>
  <c r="BM291" i="24"/>
  <c r="BN291" i="24" s="1"/>
  <c r="BE121" i="25"/>
  <c r="BR121" i="25"/>
  <c r="BX121" i="25" s="1"/>
  <c r="BN98" i="24"/>
  <c r="BY98" i="24"/>
  <c r="CA98" i="24" s="1"/>
  <c r="BE36" i="25"/>
  <c r="BK36" i="25" s="1"/>
  <c r="BR36" i="25"/>
  <c r="BV36" i="25" s="1"/>
  <c r="BX36" i="25" s="1"/>
  <c r="BE223" i="25"/>
  <c r="BR223" i="25"/>
  <c r="BX223" i="25" s="1"/>
  <c r="BN75" i="24"/>
  <c r="BY75" i="24"/>
  <c r="CA75" i="24" s="1"/>
  <c r="CB75" i="24" s="1"/>
  <c r="BE136" i="25"/>
  <c r="BR136" i="25"/>
  <c r="BX136" i="25" s="1"/>
  <c r="AG169" i="29"/>
  <c r="W169" i="29"/>
  <c r="W167" i="29"/>
  <c r="AG167" i="29"/>
  <c r="W537" i="29"/>
  <c r="AG537" i="29"/>
  <c r="X297" i="29"/>
  <c r="Y297" i="29" s="1"/>
  <c r="AH297" i="29"/>
  <c r="X75" i="29"/>
  <c r="Y75" i="29" s="1"/>
  <c r="AH75" i="29"/>
  <c r="AH504" i="29"/>
  <c r="X504" i="29"/>
  <c r="Y504" i="29" s="1"/>
  <c r="W552" i="29"/>
  <c r="AG552" i="29"/>
  <c r="AH172" i="29"/>
  <c r="X172" i="29"/>
  <c r="Y172" i="29" s="1"/>
  <c r="X71" i="29"/>
  <c r="Y71" i="29" s="1"/>
  <c r="AH71" i="29"/>
  <c r="X534" i="29"/>
  <c r="Y534" i="29" s="1"/>
  <c r="AH534" i="29"/>
  <c r="AH429" i="29"/>
  <c r="X429" i="29"/>
  <c r="Y429" i="29" s="1"/>
  <c r="X240" i="29"/>
  <c r="Y240" i="29" s="1"/>
  <c r="AH240" i="29"/>
  <c r="W354" i="29"/>
  <c r="AG354" i="29"/>
  <c r="AH132" i="29"/>
  <c r="X132" i="29"/>
  <c r="Y132" i="29" s="1"/>
  <c r="AG64" i="29"/>
  <c r="W64" i="29"/>
  <c r="AG22" i="29"/>
  <c r="W22" i="29"/>
  <c r="AH73" i="29"/>
  <c r="X73" i="29"/>
  <c r="Y73" i="29" s="1"/>
  <c r="BL232" i="25"/>
  <c r="BY232" i="25"/>
  <c r="CA232" i="25" s="1"/>
  <c r="CB232" i="25" s="1"/>
  <c r="BK232" i="25"/>
  <c r="BR18" i="25"/>
  <c r="BV18" i="25" s="1"/>
  <c r="BX18" i="25" s="1"/>
  <c r="BE18" i="25"/>
  <c r="BK18" i="25" s="1"/>
  <c r="BL94" i="25"/>
  <c r="BY94" i="25"/>
  <c r="CA94" i="25" s="1"/>
  <c r="CB94" i="25" s="1"/>
  <c r="BY156" i="24"/>
  <c r="CA156" i="24" s="1"/>
  <c r="CB156" i="24" s="1"/>
  <c r="BM156" i="24"/>
  <c r="BN156" i="24" s="1"/>
  <c r="BY226" i="24"/>
  <c r="CA226" i="24" s="1"/>
  <c r="CB226" i="24" s="1"/>
  <c r="BM226" i="24"/>
  <c r="BN226" i="24" s="1"/>
  <c r="W581" i="29"/>
  <c r="AG581" i="29"/>
  <c r="AH70" i="29"/>
  <c r="X70" i="29"/>
  <c r="Y70" i="29" s="1"/>
  <c r="X109" i="29"/>
  <c r="Y109" i="29" s="1"/>
  <c r="AH109" i="29"/>
  <c r="W340" i="29"/>
  <c r="AG340" i="29"/>
  <c r="AG358" i="29"/>
  <c r="W358" i="29"/>
  <c r="BE242" i="25"/>
  <c r="BR242" i="25"/>
  <c r="BX242" i="25" s="1"/>
  <c r="BY87" i="25"/>
  <c r="CA87" i="25" s="1"/>
  <c r="CB87" i="25" s="1"/>
  <c r="BL87" i="25"/>
  <c r="BY178" i="25"/>
  <c r="CA178" i="25" s="1"/>
  <c r="CB178" i="25" s="1"/>
  <c r="BL178" i="25"/>
  <c r="BK178" i="25"/>
  <c r="BY169" i="24"/>
  <c r="CA169" i="24" s="1"/>
  <c r="CB169" i="24" s="1"/>
  <c r="BM169" i="24"/>
  <c r="BN169" i="24" s="1"/>
  <c r="BY316" i="24"/>
  <c r="CA316" i="24" s="1"/>
  <c r="BM316" i="24"/>
  <c r="BY250" i="24"/>
  <c r="CA250" i="24" s="1"/>
  <c r="CB250" i="24" s="1"/>
  <c r="BM250" i="24"/>
  <c r="BN250" i="24" s="1"/>
  <c r="W600" i="29"/>
  <c r="AG600" i="29"/>
  <c r="AH353" i="29"/>
  <c r="X353" i="29"/>
  <c r="Y353" i="29" s="1"/>
  <c r="AH566" i="29"/>
  <c r="X566" i="29"/>
  <c r="Y566" i="29" s="1"/>
  <c r="W299" i="29"/>
  <c r="AG299" i="29"/>
  <c r="W359" i="29"/>
  <c r="AG359" i="29"/>
  <c r="W282" i="29"/>
  <c r="AG282" i="29"/>
  <c r="AG102" i="29"/>
  <c r="W102" i="29"/>
  <c r="AG203" i="29"/>
  <c r="W203" i="29"/>
  <c r="W604" i="29"/>
  <c r="AG604" i="29"/>
  <c r="X488" i="29"/>
  <c r="Y488" i="29" s="1"/>
  <c r="AH488" i="29"/>
  <c r="AH547" i="29"/>
  <c r="X547" i="29"/>
  <c r="Y547" i="29" s="1"/>
  <c r="W399" i="29"/>
  <c r="AG399" i="29"/>
  <c r="X520" i="29"/>
  <c r="Y520" i="29" s="1"/>
  <c r="AH520" i="29"/>
  <c r="W243" i="29"/>
  <c r="AG243" i="29"/>
  <c r="W136" i="29"/>
  <c r="AG136" i="29"/>
  <c r="BR119" i="25"/>
  <c r="BX119" i="25" s="1"/>
  <c r="BE119" i="25"/>
  <c r="BR196" i="25"/>
  <c r="BX196" i="25" s="1"/>
  <c r="BE196" i="25"/>
  <c r="BY205" i="24"/>
  <c r="CA205" i="24" s="1"/>
  <c r="BM205" i="24"/>
  <c r="BN205" i="24" s="1"/>
  <c r="BR56" i="25"/>
  <c r="BV56" i="25" s="1"/>
  <c r="BX56" i="25" s="1"/>
  <c r="BE56" i="25"/>
  <c r="BK56" i="25" s="1"/>
  <c r="BE144" i="25"/>
  <c r="BR144" i="25"/>
  <c r="BX144" i="25" s="1"/>
  <c r="BN105" i="24"/>
  <c r="BY105" i="24"/>
  <c r="CA105" i="24" s="1"/>
  <c r="BY185" i="24"/>
  <c r="CA185" i="24" s="1"/>
  <c r="BM185" i="24"/>
  <c r="BN185" i="24" s="1"/>
  <c r="BE287" i="25"/>
  <c r="BR287" i="25"/>
  <c r="BX287" i="25" s="1"/>
  <c r="BN53" i="24"/>
  <c r="BY53" i="24"/>
  <c r="CA53" i="24" s="1"/>
  <c r="CB53" i="24" s="1"/>
  <c r="AH245" i="29"/>
  <c r="X245" i="29"/>
  <c r="Y245" i="29" s="1"/>
  <c r="AH381" i="29"/>
  <c r="X381" i="29"/>
  <c r="Y381" i="29" s="1"/>
  <c r="AG521" i="29"/>
  <c r="W521" i="29"/>
  <c r="X576" i="29"/>
  <c r="Y576" i="29" s="1"/>
  <c r="AH576" i="29"/>
  <c r="AG388" i="29"/>
  <c r="W388" i="29"/>
  <c r="X219" i="29"/>
  <c r="Y219" i="29" s="1"/>
  <c r="AH219" i="29"/>
  <c r="X100" i="29"/>
  <c r="Y100" i="29" s="1"/>
  <c r="AH100" i="29"/>
  <c r="AG368" i="29"/>
  <c r="W368" i="29"/>
  <c r="X389" i="29"/>
  <c r="Y389" i="29" s="1"/>
  <c r="AH389" i="29"/>
  <c r="AG63" i="29"/>
  <c r="W63" i="29"/>
  <c r="AG190" i="29"/>
  <c r="W190" i="29"/>
  <c r="AH540" i="29"/>
  <c r="X540" i="29"/>
  <c r="Y540" i="29" s="1"/>
  <c r="X280" i="29"/>
  <c r="Y280" i="29" s="1"/>
  <c r="AH280" i="29"/>
  <c r="AG212" i="29"/>
  <c r="W212" i="29"/>
  <c r="W168" i="29"/>
  <c r="AG168" i="29"/>
  <c r="W141" i="29"/>
  <c r="AG141" i="29"/>
  <c r="BY284" i="24"/>
  <c r="CA284" i="24" s="1"/>
  <c r="BM284" i="24"/>
  <c r="BN284" i="24" s="1"/>
  <c r="BR70" i="25"/>
  <c r="BV70" i="25" s="1"/>
  <c r="BX70" i="25" s="1"/>
  <c r="BE70" i="25"/>
  <c r="BK70" i="25" s="1"/>
  <c r="BY71" i="24"/>
  <c r="CA71" i="24" s="1"/>
  <c r="CB71" i="24" s="1"/>
  <c r="BN71" i="24"/>
  <c r="BE303" i="25"/>
  <c r="BR303" i="25"/>
  <c r="BX303" i="25" s="1"/>
  <c r="AH337" i="29"/>
  <c r="X337" i="29"/>
  <c r="Y337" i="29" s="1"/>
  <c r="AH357" i="29"/>
  <c r="X357" i="29"/>
  <c r="Y357" i="29" s="1"/>
  <c r="AG163" i="29"/>
  <c r="W163" i="29"/>
  <c r="AH59" i="29"/>
  <c r="X59" i="29"/>
  <c r="Y59" i="29" s="1"/>
  <c r="W342" i="29"/>
  <c r="AG342" i="29"/>
  <c r="AH556" i="29"/>
  <c r="X556" i="29"/>
  <c r="Y556" i="29" s="1"/>
  <c r="X445" i="29"/>
  <c r="Y445" i="29" s="1"/>
  <c r="AH445" i="29"/>
  <c r="BE195" i="25"/>
  <c r="BR195" i="25"/>
  <c r="BX195" i="25" s="1"/>
  <c r="BE301" i="25"/>
  <c r="BR301" i="25"/>
  <c r="BX301" i="25" s="1"/>
  <c r="BN39" i="24"/>
  <c r="BY39" i="24"/>
  <c r="CA39" i="24" s="1"/>
  <c r="CB39" i="24" s="1"/>
  <c r="BY17" i="24"/>
  <c r="CA17" i="24" s="1"/>
  <c r="CB17" i="24" s="1"/>
  <c r="BN17" i="24"/>
  <c r="BR19" i="25"/>
  <c r="BV19" i="25" s="1"/>
  <c r="BX19" i="25" s="1"/>
  <c r="BE19" i="25"/>
  <c r="BK19" i="25" s="1"/>
  <c r="BE27" i="25"/>
  <c r="BK27" i="25" s="1"/>
  <c r="BR27" i="25"/>
  <c r="BV27" i="25" s="1"/>
  <c r="BX27" i="25" s="1"/>
  <c r="BE220" i="25"/>
  <c r="BR220" i="25"/>
  <c r="BX220" i="25" s="1"/>
  <c r="BN62" i="24"/>
  <c r="BY62" i="24"/>
  <c r="CA62" i="24" s="1"/>
  <c r="CB62" i="24" s="1"/>
  <c r="X26" i="29"/>
  <c r="Y26" i="29" s="1"/>
  <c r="AH26" i="29"/>
  <c r="AG596" i="29"/>
  <c r="W596" i="29"/>
  <c r="AH363" i="29"/>
  <c r="X363" i="29"/>
  <c r="Y363" i="29" s="1"/>
  <c r="W279" i="29"/>
  <c r="AG279" i="29"/>
  <c r="AH231" i="29"/>
  <c r="X231" i="29"/>
  <c r="Y231" i="29" s="1"/>
  <c r="AH120" i="29"/>
  <c r="X120" i="29"/>
  <c r="Y120" i="29" s="1"/>
  <c r="BY96" i="24"/>
  <c r="CA96" i="24" s="1"/>
  <c r="CB96" i="24" s="1"/>
  <c r="BN96" i="24"/>
  <c r="BL229" i="25"/>
  <c r="BY229" i="25"/>
  <c r="CA229" i="25" s="1"/>
  <c r="CB229" i="25" s="1"/>
  <c r="BK229" i="25"/>
  <c r="BE141" i="25"/>
  <c r="BR141" i="25"/>
  <c r="BX141" i="25" s="1"/>
  <c r="BE22" i="25"/>
  <c r="BK22" i="25" s="1"/>
  <c r="BR22" i="25"/>
  <c r="BV22" i="25" s="1"/>
  <c r="BX22" i="25" s="1"/>
  <c r="BR202" i="25"/>
  <c r="BX202" i="25" s="1"/>
  <c r="BE202" i="25"/>
  <c r="BY230" i="24"/>
  <c r="CA230" i="24" s="1"/>
  <c r="CB230" i="24" s="1"/>
  <c r="BM230" i="24"/>
  <c r="BN230" i="24" s="1"/>
  <c r="BY246" i="24"/>
  <c r="CA246" i="24" s="1"/>
  <c r="CB246" i="24" s="1"/>
  <c r="BM246" i="24"/>
  <c r="BN246" i="24" s="1"/>
  <c r="BY180" i="24"/>
  <c r="CA180" i="24" s="1"/>
  <c r="BM180" i="24"/>
  <c r="BN180" i="24" s="1"/>
  <c r="BN87" i="24"/>
  <c r="BY87" i="24"/>
  <c r="CA87" i="24" s="1"/>
  <c r="CB87" i="24" s="1"/>
  <c r="BY113" i="24"/>
  <c r="CA113" i="24" s="1"/>
  <c r="CB113" i="24" s="1"/>
  <c r="BM113" i="24"/>
  <c r="BN113" i="24" s="1"/>
  <c r="BR26" i="25"/>
  <c r="BV26" i="25" s="1"/>
  <c r="BX26" i="25" s="1"/>
  <c r="BE26" i="25"/>
  <c r="BK26" i="25" s="1"/>
  <c r="BN40" i="24"/>
  <c r="BY40" i="24"/>
  <c r="CA40" i="24" s="1"/>
  <c r="CB40" i="24" s="1"/>
  <c r="BN91" i="24"/>
  <c r="BY91" i="24"/>
  <c r="CA91" i="24" s="1"/>
  <c r="CB91" i="24" s="1"/>
  <c r="V585" i="29"/>
  <c r="U585" i="29"/>
  <c r="AH149" i="29"/>
  <c r="X149" i="29"/>
  <c r="Y149" i="29" s="1"/>
  <c r="AH119" i="29"/>
  <c r="X119" i="29"/>
  <c r="Y119" i="29" s="1"/>
  <c r="AG58" i="29"/>
  <c r="W58" i="29"/>
  <c r="W42" i="29"/>
  <c r="AG42" i="29"/>
  <c r="X31" i="29"/>
  <c r="Y31" i="29" s="1"/>
  <c r="AH31" i="29"/>
  <c r="AH574" i="29"/>
  <c r="X574" i="29"/>
  <c r="Y574" i="29" s="1"/>
  <c r="AG304" i="29"/>
  <c r="W304" i="29"/>
  <c r="X255" i="29"/>
  <c r="Y255" i="29" s="1"/>
  <c r="AH255" i="29"/>
  <c r="AG271" i="29"/>
  <c r="W271" i="29"/>
  <c r="AG592" i="29"/>
  <c r="W592" i="29"/>
  <c r="W215" i="29"/>
  <c r="AG215" i="29"/>
  <c r="X375" i="29"/>
  <c r="Y375" i="29" s="1"/>
  <c r="AH375" i="29"/>
  <c r="W539" i="29"/>
  <c r="AG539" i="29"/>
  <c r="AH310" i="29"/>
  <c r="X310" i="29"/>
  <c r="Y310" i="29" s="1"/>
  <c r="AG97" i="29"/>
  <c r="W97" i="29"/>
  <c r="W452" i="29"/>
  <c r="AG452" i="29"/>
  <c r="BY114" i="25"/>
  <c r="CA114" i="25" s="1"/>
  <c r="CB114" i="25" s="1"/>
  <c r="BL114" i="25"/>
  <c r="BK114" i="25"/>
  <c r="BE290" i="25"/>
  <c r="BR290" i="25"/>
  <c r="BX290" i="25" s="1"/>
  <c r="BY21" i="25"/>
  <c r="CA21" i="25" s="1"/>
  <c r="CB21" i="25" s="1"/>
  <c r="BL21" i="25"/>
  <c r="BY93" i="24"/>
  <c r="CA93" i="24" s="1"/>
  <c r="CB93" i="24" s="1"/>
  <c r="BN93" i="24"/>
  <c r="BY25" i="24"/>
  <c r="CA25" i="24" s="1"/>
  <c r="CB25" i="24" s="1"/>
  <c r="BN25" i="24"/>
  <c r="BY199" i="25"/>
  <c r="CA199" i="25" s="1"/>
  <c r="BL199" i="25"/>
  <c r="BK199" i="25"/>
  <c r="X88" i="29"/>
  <c r="Y88" i="29" s="1"/>
  <c r="AH88" i="29"/>
  <c r="X571" i="29"/>
  <c r="Y571" i="29" s="1"/>
  <c r="AH571" i="29"/>
  <c r="W606" i="29"/>
  <c r="AG606" i="29"/>
  <c r="AG405" i="29"/>
  <c r="W405" i="29"/>
  <c r="W395" i="29"/>
  <c r="AG395" i="29"/>
  <c r="BY146" i="24"/>
  <c r="CA146" i="24" s="1"/>
  <c r="CB146" i="24" s="1"/>
  <c r="BM146" i="24"/>
  <c r="BN146" i="24" s="1"/>
  <c r="BE117" i="25"/>
  <c r="BR117" i="25"/>
  <c r="BX117" i="25" s="1"/>
  <c r="BN31" i="24"/>
  <c r="BY31" i="24"/>
  <c r="CA31" i="24" s="1"/>
  <c r="CB31" i="24" s="1"/>
  <c r="BE270" i="25"/>
  <c r="BR270" i="25"/>
  <c r="BX270" i="25" s="1"/>
  <c r="BY14" i="24"/>
  <c r="CA14" i="24" s="1"/>
  <c r="CB14" i="24" s="1"/>
  <c r="BN14" i="24"/>
  <c r="BE124" i="25"/>
  <c r="BR124" i="25"/>
  <c r="BX124" i="25" s="1"/>
  <c r="BR48" i="25"/>
  <c r="BV48" i="25" s="1"/>
  <c r="BX48" i="25" s="1"/>
  <c r="BE48" i="25"/>
  <c r="BK48" i="25" s="1"/>
  <c r="AH195" i="29"/>
  <c r="X195" i="29"/>
  <c r="Y195" i="29" s="1"/>
  <c r="AH124" i="29"/>
  <c r="X124" i="29"/>
  <c r="Y124" i="29" s="1"/>
  <c r="AH66" i="29"/>
  <c r="X66" i="29"/>
  <c r="Y66" i="29" s="1"/>
  <c r="BR185" i="25"/>
  <c r="BX185" i="25" s="1"/>
  <c r="BE185" i="25"/>
  <c r="BE233" i="25"/>
  <c r="BR233" i="25"/>
  <c r="BX233" i="25" s="1"/>
  <c r="BY64" i="24"/>
  <c r="CA64" i="24" s="1"/>
  <c r="CB64" i="24" s="1"/>
  <c r="BN64" i="24"/>
  <c r="BE221" i="25"/>
  <c r="BR221" i="25"/>
  <c r="BX221" i="25" s="1"/>
  <c r="BY229" i="24"/>
  <c r="CA229" i="24" s="1"/>
  <c r="CB229" i="24" s="1"/>
  <c r="BM229" i="24"/>
  <c r="BN229" i="24" s="1"/>
  <c r="BY290" i="24"/>
  <c r="CA290" i="24" s="1"/>
  <c r="CB290" i="24" s="1"/>
  <c r="BM290" i="24"/>
  <c r="BN290" i="24" s="1"/>
  <c r="BR72" i="25"/>
  <c r="BV72" i="25" s="1"/>
  <c r="BX72" i="25" s="1"/>
  <c r="BE72" i="25"/>
  <c r="BK72" i="25" s="1"/>
  <c r="BE277" i="25"/>
  <c r="BR277" i="25"/>
  <c r="BX277" i="25" s="1"/>
  <c r="B138" i="2"/>
  <c r="B144" i="2"/>
  <c r="E32" i="1" s="1"/>
  <c r="BR43" i="25"/>
  <c r="BV43" i="25" s="1"/>
  <c r="BX43" i="25" s="1"/>
  <c r="BE43" i="25"/>
  <c r="BK43" i="25" s="1"/>
  <c r="BR81" i="25"/>
  <c r="BV81" i="25" s="1"/>
  <c r="BX81" i="25" s="1"/>
  <c r="BE81" i="25"/>
  <c r="BK81" i="25" s="1"/>
  <c r="BE138" i="25"/>
  <c r="BR138" i="25"/>
  <c r="BX138" i="25" s="1"/>
  <c r="X38" i="29"/>
  <c r="Y38" i="29" s="1"/>
  <c r="AH38" i="29"/>
  <c r="W435" i="29"/>
  <c r="AG435" i="29"/>
  <c r="AH199" i="29"/>
  <c r="X199" i="29"/>
  <c r="Y199" i="29" s="1"/>
  <c r="AH527" i="29"/>
  <c r="X527" i="29"/>
  <c r="Y527" i="29" s="1"/>
  <c r="AG83" i="29"/>
  <c r="W83" i="29"/>
  <c r="X122" i="29"/>
  <c r="Y122" i="29" s="1"/>
  <c r="AH122" i="29"/>
  <c r="AH194" i="29"/>
  <c r="X194" i="29"/>
  <c r="Y194" i="29" s="1"/>
  <c r="AH23" i="29"/>
  <c r="X23" i="29"/>
  <c r="Y23" i="29" s="1"/>
  <c r="X312" i="29"/>
  <c r="Y312" i="29" s="1"/>
  <c r="AH312" i="29"/>
  <c r="AG467" i="29"/>
  <c r="W467" i="29"/>
  <c r="AG188" i="29"/>
  <c r="W188" i="29"/>
  <c r="AH314" i="29"/>
  <c r="X314" i="29"/>
  <c r="Y314" i="29" s="1"/>
  <c r="W567" i="29"/>
  <c r="AG567" i="29"/>
  <c r="X492" i="29"/>
  <c r="Y492" i="29" s="1"/>
  <c r="AH492" i="29"/>
  <c r="BY141" i="24"/>
  <c r="CA141" i="24" s="1"/>
  <c r="CB141" i="24" s="1"/>
  <c r="BM141" i="24"/>
  <c r="BN141" i="24" s="1"/>
  <c r="BE297" i="25"/>
  <c r="BR297" i="25"/>
  <c r="BX297" i="25" s="1"/>
  <c r="BR65" i="25"/>
  <c r="BV65" i="25" s="1"/>
  <c r="BX65" i="25" s="1"/>
  <c r="BE65" i="25"/>
  <c r="BK65" i="25" s="1"/>
  <c r="BY252" i="24"/>
  <c r="CA252" i="24" s="1"/>
  <c r="CB252" i="24" s="1"/>
  <c r="BM252" i="24"/>
  <c r="BN252" i="24" s="1"/>
  <c r="X50" i="29"/>
  <c r="Y50" i="29" s="1"/>
  <c r="AH50" i="29"/>
  <c r="AH177" i="29"/>
  <c r="X177" i="29"/>
  <c r="Y177" i="29" s="1"/>
  <c r="W378" i="29"/>
  <c r="AG378" i="29"/>
  <c r="AH112" i="29"/>
  <c r="X112" i="29"/>
  <c r="Y112" i="29" s="1"/>
  <c r="BY280" i="25"/>
  <c r="CA280" i="25" s="1"/>
  <c r="CB280" i="25" s="1"/>
  <c r="BL280" i="25"/>
  <c r="BK280" i="25"/>
  <c r="BY261" i="24"/>
  <c r="CA261" i="24" s="1"/>
  <c r="CB261" i="24" s="1"/>
  <c r="BM261" i="24"/>
  <c r="BN261" i="24" s="1"/>
  <c r="BY149" i="24"/>
  <c r="CA149" i="24" s="1"/>
  <c r="CB149" i="24" s="1"/>
  <c r="BM149" i="24"/>
  <c r="BN149" i="24" s="1"/>
  <c r="BR125" i="25"/>
  <c r="BX125" i="25" s="1"/>
  <c r="BE125" i="25"/>
  <c r="BE105" i="25"/>
  <c r="BK105" i="25" s="1"/>
  <c r="BR105" i="25"/>
  <c r="BV105" i="25" s="1"/>
  <c r="BX105" i="25" s="1"/>
  <c r="BL265" i="25"/>
  <c r="BY265" i="25"/>
  <c r="CA265" i="25" s="1"/>
  <c r="CB265" i="25" s="1"/>
  <c r="BK265" i="25"/>
  <c r="BE91" i="25"/>
  <c r="BK91" i="25" s="1"/>
  <c r="BR91" i="25"/>
  <c r="BV91" i="25" s="1"/>
  <c r="BX91" i="25" s="1"/>
  <c r="BY182" i="24"/>
  <c r="CA182" i="24" s="1"/>
  <c r="BM182" i="24"/>
  <c r="BN182" i="24" s="1"/>
  <c r="AH544" i="29"/>
  <c r="X544" i="29"/>
  <c r="Y544" i="29" s="1"/>
  <c r="X89" i="29"/>
  <c r="Y89" i="29" s="1"/>
  <c r="AH89" i="29"/>
  <c r="AG442" i="29"/>
  <c r="W442" i="29"/>
  <c r="AH591" i="29"/>
  <c r="X591" i="29"/>
  <c r="Y591" i="29" s="1"/>
  <c r="AH608" i="29"/>
  <c r="X608" i="29"/>
  <c r="Y608" i="29" s="1"/>
  <c r="W148" i="29"/>
  <c r="AG148" i="29"/>
  <c r="BL179" i="25"/>
  <c r="BY179" i="25"/>
  <c r="CA179" i="25" s="1"/>
  <c r="BK179" i="25"/>
  <c r="BY244" i="24"/>
  <c r="CA244" i="24" s="1"/>
  <c r="CB244" i="24" s="1"/>
  <c r="BM244" i="24"/>
  <c r="BN244" i="24" s="1"/>
  <c r="BE254" i="25"/>
  <c r="BR254" i="25"/>
  <c r="BX254" i="25" s="1"/>
  <c r="BL305" i="25"/>
  <c r="BY305" i="25"/>
  <c r="CA305" i="25" s="1"/>
  <c r="CB305" i="25" s="1"/>
  <c r="BK305" i="25"/>
  <c r="BY302" i="24"/>
  <c r="CA302" i="24" s="1"/>
  <c r="CB302" i="24" s="1"/>
  <c r="BM302" i="24"/>
  <c r="BN302" i="24" s="1"/>
  <c r="BN82" i="24"/>
  <c r="BY82" i="24"/>
  <c r="CA82" i="24" s="1"/>
  <c r="CB82" i="24" s="1"/>
  <c r="BY203" i="24"/>
  <c r="CA203" i="24" s="1"/>
  <c r="BM203" i="24"/>
  <c r="BN203" i="24" s="1"/>
  <c r="BL13" i="25"/>
  <c r="BY13" i="25"/>
  <c r="CA13" i="25" s="1"/>
  <c r="CB13" i="25" s="1"/>
  <c r="BY104" i="24"/>
  <c r="CA104" i="24" s="1"/>
  <c r="BN104" i="24"/>
  <c r="BY129" i="24"/>
  <c r="CA129" i="24" s="1"/>
  <c r="CB129" i="24" s="1"/>
  <c r="BM129" i="24"/>
  <c r="BN129" i="24" s="1"/>
  <c r="BE272" i="25"/>
  <c r="BR272" i="25"/>
  <c r="BX272" i="25" s="1"/>
  <c r="BY157" i="24"/>
  <c r="CA157" i="24" s="1"/>
  <c r="BM157" i="24"/>
  <c r="BN157" i="24" s="1"/>
  <c r="AG337" i="29"/>
  <c r="W337" i="29"/>
  <c r="AH163" i="29"/>
  <c r="X163" i="29"/>
  <c r="Y163" i="29" s="1"/>
  <c r="AG43" i="29"/>
  <c r="W43" i="29"/>
  <c r="AG288" i="29"/>
  <c r="W288" i="29"/>
  <c r="W59" i="29"/>
  <c r="AG59" i="29"/>
  <c r="X144" i="29"/>
  <c r="Y144" i="29" s="1"/>
  <c r="AH144" i="29"/>
  <c r="W259" i="29"/>
  <c r="AG259" i="29"/>
  <c r="W466" i="29"/>
  <c r="AG466" i="29"/>
  <c r="AH192" i="29"/>
  <c r="X192" i="29"/>
  <c r="Y192" i="29" s="1"/>
  <c r="AG472" i="29"/>
  <c r="W472" i="29"/>
  <c r="AH242" i="29"/>
  <c r="X242" i="29"/>
  <c r="Y242" i="29" s="1"/>
  <c r="W129" i="29"/>
  <c r="AG129" i="29"/>
  <c r="W445" i="29"/>
  <c r="AG445" i="29"/>
  <c r="AH493" i="29"/>
  <c r="X493" i="29"/>
  <c r="Y493" i="29" s="1"/>
  <c r="AH500" i="29"/>
  <c r="X500" i="29"/>
  <c r="Y500" i="29" s="1"/>
  <c r="BY163" i="24"/>
  <c r="CA163" i="24" s="1"/>
  <c r="CB163" i="24" s="1"/>
  <c r="BM163" i="24"/>
  <c r="BN163" i="24" s="1"/>
  <c r="BL238" i="25"/>
  <c r="BY238" i="25"/>
  <c r="CA238" i="25" s="1"/>
  <c r="CB238" i="25" s="1"/>
  <c r="BK238" i="25"/>
  <c r="BY197" i="24"/>
  <c r="CA197" i="24" s="1"/>
  <c r="CB197" i="24" s="1"/>
  <c r="BM197" i="24"/>
  <c r="BN197" i="24" s="1"/>
  <c r="BL154" i="25"/>
  <c r="BK154" i="25"/>
  <c r="BY73" i="24"/>
  <c r="CA73" i="24" s="1"/>
  <c r="BN73" i="24"/>
  <c r="BY192" i="24"/>
  <c r="CA192" i="24" s="1"/>
  <c r="CB192" i="24" s="1"/>
  <c r="BM192" i="24"/>
  <c r="BN192" i="24" s="1"/>
  <c r="BE50" i="25"/>
  <c r="BK50" i="25" s="1"/>
  <c r="BR50" i="25"/>
  <c r="BV50" i="25" s="1"/>
  <c r="BX50" i="25" s="1"/>
  <c r="X373" i="29"/>
  <c r="Y373" i="29" s="1"/>
  <c r="AH373" i="29"/>
  <c r="X324" i="29"/>
  <c r="Y324" i="29" s="1"/>
  <c r="AH324" i="29"/>
  <c r="X315" i="29"/>
  <c r="Y315" i="29" s="1"/>
  <c r="AH315" i="29"/>
  <c r="X130" i="29"/>
  <c r="Y130" i="29" s="1"/>
  <c r="AH130" i="29"/>
  <c r="W363" i="29"/>
  <c r="AG363" i="29"/>
  <c r="AH213" i="29"/>
  <c r="X213" i="29"/>
  <c r="Y213" i="29" s="1"/>
  <c r="W364" i="29"/>
  <c r="AG364" i="29"/>
  <c r="AG372" i="29"/>
  <c r="W372" i="29"/>
  <c r="AH246" i="29"/>
  <c r="X246" i="29"/>
  <c r="Y246" i="29" s="1"/>
  <c r="X111" i="29"/>
  <c r="Y111" i="29" s="1"/>
  <c r="AH111" i="29"/>
  <c r="W558" i="29"/>
  <c r="AG558" i="29"/>
  <c r="X279" i="29"/>
  <c r="Y279" i="29" s="1"/>
  <c r="AH279" i="29"/>
  <c r="W275" i="29"/>
  <c r="AG275" i="29"/>
  <c r="AG236" i="29"/>
  <c r="W236" i="29"/>
  <c r="W231" i="29"/>
  <c r="AG231" i="29"/>
  <c r="BE103" i="25"/>
  <c r="BK103" i="25" s="1"/>
  <c r="BR103" i="25"/>
  <c r="BV103" i="25" s="1"/>
  <c r="BX103" i="25" s="1"/>
  <c r="BE162" i="25"/>
  <c r="BR162" i="25"/>
  <c r="BX162" i="25" s="1"/>
  <c r="BE253" i="25"/>
  <c r="BR253" i="25"/>
  <c r="BX253" i="25" s="1"/>
  <c r="BY23" i="24"/>
  <c r="CA23" i="24" s="1"/>
  <c r="CB23" i="24" s="1"/>
  <c r="BN23" i="24"/>
  <c r="BL174" i="25"/>
  <c r="BY174" i="25"/>
  <c r="CA174" i="25" s="1"/>
  <c r="BK174" i="25"/>
  <c r="BY126" i="24"/>
  <c r="CA126" i="24" s="1"/>
  <c r="CB126" i="24" s="1"/>
  <c r="BM126" i="24"/>
  <c r="BN126" i="24" s="1"/>
  <c r="BR41" i="25"/>
  <c r="BV41" i="25" s="1"/>
  <c r="BX41" i="25" s="1"/>
  <c r="BE41" i="25"/>
  <c r="BK41" i="25" s="1"/>
  <c r="BY158" i="24"/>
  <c r="CA158" i="24" s="1"/>
  <c r="CB158" i="24" s="1"/>
  <c r="BM158" i="24"/>
  <c r="BN158" i="24" s="1"/>
  <c r="BY282" i="25"/>
  <c r="CA282" i="25" s="1"/>
  <c r="CB282" i="25" s="1"/>
  <c r="BL282" i="25"/>
  <c r="BK282" i="25"/>
  <c r="AH336" i="29"/>
  <c r="X336" i="29"/>
  <c r="Y336" i="29" s="1"/>
  <c r="X145" i="29"/>
  <c r="Y145" i="29" s="1"/>
  <c r="AH145" i="29"/>
  <c r="AG471" i="29"/>
  <c r="W471" i="29"/>
  <c r="W599" i="29"/>
  <c r="AG599" i="29"/>
  <c r="AH530" i="29"/>
  <c r="X530" i="29"/>
  <c r="Y530" i="29" s="1"/>
  <c r="W36" i="29"/>
  <c r="AG36" i="29"/>
  <c r="BY220" i="24"/>
  <c r="CA220" i="24" s="1"/>
  <c r="CB220" i="24" s="1"/>
  <c r="BM220" i="24"/>
  <c r="BN220" i="24" s="1"/>
  <c r="BE153" i="25"/>
  <c r="BR153" i="25"/>
  <c r="BX153" i="25" s="1"/>
  <c r="BE146" i="25"/>
  <c r="BR146" i="25"/>
  <c r="BX146" i="25" s="1"/>
  <c r="BY34" i="25"/>
  <c r="CA34" i="25" s="1"/>
  <c r="CB34" i="25" s="1"/>
  <c r="BL34" i="25"/>
  <c r="BR84" i="25"/>
  <c r="BV84" i="25" s="1"/>
  <c r="BX84" i="25" s="1"/>
  <c r="BE84" i="25"/>
  <c r="BK84" i="25" s="1"/>
  <c r="CB189" i="24" l="1"/>
  <c r="CF189" i="24"/>
  <c r="AG338" i="29"/>
  <c r="W108" i="29"/>
  <c r="CB161" i="24"/>
  <c r="CF161" i="24"/>
  <c r="CB267" i="24"/>
  <c r="CF267" i="24"/>
  <c r="CB73" i="24"/>
  <c r="CF73" i="24"/>
  <c r="CB147" i="25"/>
  <c r="CF147" i="25"/>
  <c r="CB56" i="24"/>
  <c r="CF56" i="24"/>
  <c r="CB151" i="24"/>
  <c r="CF151" i="24"/>
  <c r="CB177" i="25"/>
  <c r="CF177" i="25"/>
  <c r="CB316" i="24"/>
  <c r="CF316" i="24"/>
  <c r="CB210" i="24"/>
  <c r="CF210" i="24"/>
  <c r="CB198" i="25"/>
  <c r="CF198" i="25"/>
  <c r="CB173" i="25"/>
  <c r="CF173" i="25"/>
  <c r="CB192" i="25"/>
  <c r="CF192" i="25"/>
  <c r="CB182" i="24"/>
  <c r="CF182" i="24"/>
  <c r="CB288" i="24"/>
  <c r="CF288" i="24"/>
  <c r="CB80" i="24"/>
  <c r="CF80" i="24"/>
  <c r="CB208" i="24"/>
  <c r="CF208" i="24"/>
  <c r="CB174" i="25"/>
  <c r="CF174" i="25"/>
  <c r="CB193" i="24"/>
  <c r="CF193" i="24"/>
  <c r="CB299" i="24"/>
  <c r="CF299" i="24"/>
  <c r="CB88" i="24"/>
  <c r="CF88" i="24"/>
  <c r="CB89" i="25"/>
  <c r="CF89" i="25"/>
  <c r="CB104" i="24"/>
  <c r="CF104" i="24"/>
  <c r="CB308" i="24"/>
  <c r="CF308" i="24"/>
  <c r="CB202" i="24"/>
  <c r="CF202" i="24"/>
  <c r="CB204" i="25"/>
  <c r="CF204" i="25"/>
  <c r="CB297" i="24"/>
  <c r="CF297" i="24"/>
  <c r="CB82" i="25"/>
  <c r="CF82" i="25"/>
  <c r="CB180" i="24"/>
  <c r="CF180" i="24"/>
  <c r="CB286" i="24"/>
  <c r="CF286" i="24"/>
  <c r="CB81" i="24"/>
  <c r="CF81" i="24"/>
  <c r="AH604" i="29"/>
  <c r="CB204" i="24"/>
  <c r="CF204" i="24"/>
  <c r="CB310" i="24"/>
  <c r="CF310" i="24"/>
  <c r="CB190" i="25"/>
  <c r="CF190" i="25"/>
  <c r="CB98" i="24"/>
  <c r="CF98" i="24"/>
  <c r="CB306" i="24"/>
  <c r="CF306" i="24"/>
  <c r="CB200" i="24"/>
  <c r="CF200" i="24"/>
  <c r="CB179" i="25"/>
  <c r="CF179" i="25"/>
  <c r="W562" i="29"/>
  <c r="AJ562" i="29" s="1"/>
  <c r="AK562" i="29" s="1"/>
  <c r="CB203" i="24"/>
  <c r="CF203" i="24"/>
  <c r="CB309" i="24"/>
  <c r="CF309" i="24"/>
  <c r="CB307" i="24"/>
  <c r="CF307" i="24"/>
  <c r="CB201" i="24"/>
  <c r="CF201" i="24"/>
  <c r="CB103" i="24"/>
  <c r="CF103" i="24"/>
  <c r="AG266" i="29"/>
  <c r="CB62" i="25"/>
  <c r="CF62" i="25"/>
  <c r="CB71" i="25"/>
  <c r="CF71" i="25"/>
  <c r="W603" i="29"/>
  <c r="AJ602" i="29" s="1"/>
  <c r="AK602" i="29" s="1"/>
  <c r="CB104" i="25"/>
  <c r="CF104" i="25"/>
  <c r="AG511" i="29"/>
  <c r="AH203" i="29"/>
  <c r="W49" i="29"/>
  <c r="AJ48" i="29" s="1"/>
  <c r="AK48" i="29" s="1"/>
  <c r="AH543" i="29"/>
  <c r="AH477" i="29"/>
  <c r="W322" i="29"/>
  <c r="AJ322" i="29" s="1"/>
  <c r="AK322" i="29" s="1"/>
  <c r="X309" i="29"/>
  <c r="Y309" i="29" s="1"/>
  <c r="AG475" i="29"/>
  <c r="AG417" i="29"/>
  <c r="X384" i="29"/>
  <c r="Y384" i="29" s="1"/>
  <c r="AH34" i="29"/>
  <c r="W153" i="29"/>
  <c r="AJ152" i="29" s="1"/>
  <c r="AK152" i="29" s="1"/>
  <c r="X578" i="29"/>
  <c r="Y578" i="29" s="1"/>
  <c r="AH339" i="29"/>
  <c r="X220" i="29"/>
  <c r="Y220" i="29" s="1"/>
  <c r="AH577" i="29"/>
  <c r="AH466" i="29"/>
  <c r="AH22" i="29"/>
  <c r="X79" i="29"/>
  <c r="Y79" i="29" s="1"/>
  <c r="AG144" i="29"/>
  <c r="W198" i="29"/>
  <c r="AJ197" i="29" s="1"/>
  <c r="AK197" i="29" s="1"/>
  <c r="W166" i="29"/>
  <c r="AJ166" i="29" s="1"/>
  <c r="AK166" i="29" s="1"/>
  <c r="AG284" i="29"/>
  <c r="AG332" i="29"/>
  <c r="AH516" i="29"/>
  <c r="BY154" i="25"/>
  <c r="CA154" i="25" s="1"/>
  <c r="CB154" i="25" s="1"/>
  <c r="AH93" i="29"/>
  <c r="W343" i="29"/>
  <c r="AJ343" i="29" s="1"/>
  <c r="AK343" i="29" s="1"/>
  <c r="CB311" i="24"/>
  <c r="CF311" i="24"/>
  <c r="CB205" i="24"/>
  <c r="CF205" i="24"/>
  <c r="AG379" i="29"/>
  <c r="X408" i="29"/>
  <c r="Y408" i="29" s="1"/>
  <c r="AH589" i="29"/>
  <c r="CF154" i="25"/>
  <c r="CB189" i="25"/>
  <c r="CF189" i="25"/>
  <c r="CB199" i="25"/>
  <c r="CF199" i="25"/>
  <c r="AH168" i="29"/>
  <c r="X217" i="29"/>
  <c r="Y217" i="29" s="1"/>
  <c r="AG608" i="29"/>
  <c r="CB186" i="25"/>
  <c r="CF186" i="25"/>
  <c r="CB201" i="25"/>
  <c r="CF201" i="25"/>
  <c r="AG611" i="29"/>
  <c r="AG186" i="29"/>
  <c r="W207" i="29"/>
  <c r="AA207" i="29" s="1"/>
  <c r="W98" i="29"/>
  <c r="AJ97" i="29" s="1"/>
  <c r="AK97" i="29" s="1"/>
  <c r="W109" i="29"/>
  <c r="AJ109" i="29" s="1"/>
  <c r="AK109" i="29" s="1"/>
  <c r="AG252" i="29"/>
  <c r="X391" i="29"/>
  <c r="Y391" i="29" s="1"/>
  <c r="AG123" i="29"/>
  <c r="W493" i="29"/>
  <c r="AA493" i="29" s="1"/>
  <c r="AH205" i="29"/>
  <c r="X553" i="29"/>
  <c r="Y553" i="29" s="1"/>
  <c r="W557" i="29"/>
  <c r="AJ557" i="29" s="1"/>
  <c r="AK557" i="29" s="1"/>
  <c r="W571" i="29"/>
  <c r="AJ570" i="29" s="1"/>
  <c r="AK570" i="29" s="1"/>
  <c r="X241" i="29"/>
  <c r="Y241" i="29" s="1"/>
  <c r="X501" i="29"/>
  <c r="Y501" i="29" s="1"/>
  <c r="W89" i="29"/>
  <c r="AA89" i="29" s="1"/>
  <c r="AG349" i="29"/>
  <c r="W507" i="29"/>
  <c r="AJ506" i="29" s="1"/>
  <c r="AK506" i="29" s="1"/>
  <c r="AG488" i="29"/>
  <c r="X596" i="29"/>
  <c r="Y596" i="29" s="1"/>
  <c r="AH229" i="29"/>
  <c r="AG105" i="29"/>
  <c r="AH359" i="29"/>
  <c r="W115" i="29"/>
  <c r="AJ114" i="29" s="1"/>
  <c r="AK114" i="29" s="1"/>
  <c r="AH161" i="29"/>
  <c r="CB105" i="24"/>
  <c r="CF105" i="24"/>
  <c r="CB161" i="25"/>
  <c r="CF161" i="25"/>
  <c r="CB186" i="24"/>
  <c r="CF186" i="24"/>
  <c r="X367" i="29"/>
  <c r="Y367" i="29" s="1"/>
  <c r="W70" i="29"/>
  <c r="AA70" i="29" s="1"/>
  <c r="X340" i="29"/>
  <c r="Y340" i="29" s="1"/>
  <c r="X415" i="29"/>
  <c r="Y415" i="29" s="1"/>
  <c r="X370" i="29"/>
  <c r="Y370" i="29" s="1"/>
  <c r="W107" i="29"/>
  <c r="AJ106" i="29" s="1"/>
  <c r="AK106" i="29" s="1"/>
  <c r="W357" i="29"/>
  <c r="AJ357" i="29" s="1"/>
  <c r="AK357" i="29" s="1"/>
  <c r="AG204" i="29"/>
  <c r="X54" i="29"/>
  <c r="Y54" i="29" s="1"/>
  <c r="X582" i="29"/>
  <c r="Y582" i="29" s="1"/>
  <c r="X276" i="29"/>
  <c r="Y276" i="29" s="1"/>
  <c r="X151" i="29"/>
  <c r="Y151" i="29" s="1"/>
  <c r="AG365" i="29"/>
  <c r="W291" i="29"/>
  <c r="AJ290" i="29" s="1"/>
  <c r="AK290" i="29" s="1"/>
  <c r="W185" i="29"/>
  <c r="AJ185" i="29" s="1"/>
  <c r="AK185" i="29" s="1"/>
  <c r="AG560" i="29"/>
  <c r="W234" i="29"/>
  <c r="AA234" i="29" s="1"/>
  <c r="W326" i="29"/>
  <c r="AJ325" i="29" s="1"/>
  <c r="AK325" i="29" s="1"/>
  <c r="X457" i="29"/>
  <c r="Y457" i="29" s="1"/>
  <c r="X257" i="29"/>
  <c r="Y257" i="29" s="1"/>
  <c r="W122" i="29"/>
  <c r="AJ121" i="29" s="1"/>
  <c r="AK121" i="29" s="1"/>
  <c r="AG294" i="29"/>
  <c r="W598" i="29"/>
  <c r="AJ598" i="29" s="1"/>
  <c r="AK598" i="29" s="1"/>
  <c r="AH302" i="29"/>
  <c r="AG362" i="29"/>
  <c r="X580" i="29"/>
  <c r="Y580" i="29" s="1"/>
  <c r="X184" i="29"/>
  <c r="Y184" i="29" s="1"/>
  <c r="AG532" i="29"/>
  <c r="X613" i="29"/>
  <c r="Y613" i="29" s="1"/>
  <c r="X327" i="29"/>
  <c r="Y327" i="29" s="1"/>
  <c r="X80" i="29"/>
  <c r="Y80" i="29" s="1"/>
  <c r="AG45" i="29"/>
  <c r="AH400" i="29"/>
  <c r="AH470" i="29"/>
  <c r="AH17" i="29"/>
  <c r="AH81" i="29"/>
  <c r="W330" i="29"/>
  <c r="AA330" i="29" s="1"/>
  <c r="AG325" i="29"/>
  <c r="W13" i="29"/>
  <c r="AA13" i="29" s="1"/>
  <c r="AG111" i="29"/>
  <c r="W373" i="29"/>
  <c r="AJ372" i="29" s="1"/>
  <c r="AK372" i="29" s="1"/>
  <c r="AG192" i="29"/>
  <c r="W547" i="29"/>
  <c r="AJ546" i="29" s="1"/>
  <c r="AK546" i="29" s="1"/>
  <c r="X292" i="29"/>
  <c r="Y292" i="29" s="1"/>
  <c r="W147" i="29"/>
  <c r="AA147" i="29" s="1"/>
  <c r="AH214" i="29"/>
  <c r="AH333" i="29"/>
  <c r="X512" i="29"/>
  <c r="Y512" i="29" s="1"/>
  <c r="W433" i="29"/>
  <c r="AA433" i="29" s="1"/>
  <c r="W498" i="29"/>
  <c r="AA498" i="29" s="1"/>
  <c r="AG609" i="29"/>
  <c r="AH358" i="29"/>
  <c r="X42" i="29"/>
  <c r="Y42" i="29" s="1"/>
  <c r="W429" i="29"/>
  <c r="AA429" i="29" s="1"/>
  <c r="X169" i="29"/>
  <c r="Y169" i="29" s="1"/>
  <c r="X317" i="29"/>
  <c r="Y317" i="29" s="1"/>
  <c r="X331" i="29"/>
  <c r="Y331" i="29" s="1"/>
  <c r="AH612" i="29"/>
  <c r="AH256" i="29"/>
  <c r="AH127" i="29"/>
  <c r="W465" i="29"/>
  <c r="AJ464" i="29" s="1"/>
  <c r="AK464" i="29" s="1"/>
  <c r="X342" i="29"/>
  <c r="Y342" i="29" s="1"/>
  <c r="X334" i="29"/>
  <c r="Y334" i="29" s="1"/>
  <c r="X57" i="29"/>
  <c r="Y57" i="29" s="1"/>
  <c r="AH558" i="29"/>
  <c r="AG38" i="29"/>
  <c r="X141" i="29"/>
  <c r="Y141" i="29" s="1"/>
  <c r="X48" i="29"/>
  <c r="Y48" i="29" s="1"/>
  <c r="X505" i="29"/>
  <c r="Y505" i="29" s="1"/>
  <c r="X233" i="29"/>
  <c r="Y233" i="29" s="1"/>
  <c r="W348" i="29"/>
  <c r="AA348" i="29" s="1"/>
  <c r="X471" i="29"/>
  <c r="Y471" i="29" s="1"/>
  <c r="AH397" i="29"/>
  <c r="X258" i="29"/>
  <c r="Y258" i="29" s="1"/>
  <c r="X293" i="29"/>
  <c r="Y293" i="29" s="1"/>
  <c r="AH605" i="29"/>
  <c r="W116" i="29"/>
  <c r="AH87" i="29"/>
  <c r="W351" i="29"/>
  <c r="AA351" i="29" s="1"/>
  <c r="AH175" i="29"/>
  <c r="AH572" i="29"/>
  <c r="AG230" i="29"/>
  <c r="X35" i="29"/>
  <c r="Y35" i="29" s="1"/>
  <c r="W526" i="29"/>
  <c r="AA526" i="29" s="1"/>
  <c r="W216" i="29"/>
  <c r="AA216" i="29" s="1"/>
  <c r="X377" i="29"/>
  <c r="Y377" i="29" s="1"/>
  <c r="W219" i="29"/>
  <c r="AJ219" i="29" s="1"/>
  <c r="AK219" i="29" s="1"/>
  <c r="W341" i="29"/>
  <c r="AJ341" i="29" s="1"/>
  <c r="AK341" i="29" s="1"/>
  <c r="W289" i="29"/>
  <c r="AJ288" i="29" s="1"/>
  <c r="AK288" i="29" s="1"/>
  <c r="W156" i="29"/>
  <c r="AJ155" i="29" s="1"/>
  <c r="AK155" i="29" s="1"/>
  <c r="W254" i="29"/>
  <c r="AJ254" i="29" s="1"/>
  <c r="AK254" i="29" s="1"/>
  <c r="AH597" i="29"/>
  <c r="AH235" i="29"/>
  <c r="AG513" i="29"/>
  <c r="W187" i="29"/>
  <c r="AA187" i="29" s="1"/>
  <c r="W52" i="29"/>
  <c r="AJ52" i="29" s="1"/>
  <c r="AK52" i="29" s="1"/>
  <c r="W529" i="29"/>
  <c r="AA529" i="29" s="1"/>
  <c r="W587" i="29"/>
  <c r="AA587" i="29" s="1"/>
  <c r="AG246" i="29"/>
  <c r="AG73" i="29"/>
  <c r="X586" i="29"/>
  <c r="Y586" i="29" s="1"/>
  <c r="AH473" i="29"/>
  <c r="AH20" i="29"/>
  <c r="X563" i="29"/>
  <c r="Y563" i="29" s="1"/>
  <c r="AH510" i="29"/>
  <c r="AG530" i="29"/>
  <c r="AG117" i="29"/>
  <c r="AH484" i="29"/>
  <c r="AG104" i="29"/>
  <c r="CB245" i="24"/>
  <c r="CF245" i="24"/>
  <c r="CB139" i="24"/>
  <c r="CF139" i="24"/>
  <c r="X299" i="29"/>
  <c r="Y299" i="29" s="1"/>
  <c r="AH171" i="29"/>
  <c r="AG165" i="29"/>
  <c r="W270" i="29"/>
  <c r="AJ269" i="29" s="1"/>
  <c r="AK269" i="29" s="1"/>
  <c r="AH136" i="29"/>
  <c r="AG390" i="29"/>
  <c r="AG594" i="29"/>
  <c r="W140" i="29"/>
  <c r="AJ140" i="29" s="1"/>
  <c r="AK140" i="29" s="1"/>
  <c r="AH320" i="29"/>
  <c r="X303" i="29"/>
  <c r="Y303" i="29" s="1"/>
  <c r="W347" i="29"/>
  <c r="AH454" i="29"/>
  <c r="W480" i="29"/>
  <c r="AJ479" i="29" s="1"/>
  <c r="AK479" i="29" s="1"/>
  <c r="W222" i="29"/>
  <c r="AA222" i="29" s="1"/>
  <c r="AG194" i="29"/>
  <c r="AG387" i="29"/>
  <c r="W463" i="29"/>
  <c r="AA463" i="29" s="1"/>
  <c r="AH361" i="29"/>
  <c r="X259" i="29"/>
  <c r="Y259" i="29" s="1"/>
  <c r="AG515" i="29"/>
  <c r="AG555" i="29"/>
  <c r="AH96" i="29"/>
  <c r="W25" i="29"/>
  <c r="AA25" i="29" s="1"/>
  <c r="X30" i="29"/>
  <c r="Y30" i="29" s="1"/>
  <c r="W84" i="29"/>
  <c r="AJ84" i="29" s="1"/>
  <c r="AK84" i="29" s="1"/>
  <c r="AG559" i="29"/>
  <c r="W41" i="29"/>
  <c r="AA41" i="29" s="1"/>
  <c r="W210" i="29"/>
  <c r="AA210" i="29" s="1"/>
  <c r="X535" i="29"/>
  <c r="Y535" i="29" s="1"/>
  <c r="W406" i="29"/>
  <c r="AJ406" i="29" s="1"/>
  <c r="AK406" i="29" s="1"/>
  <c r="W422" i="29"/>
  <c r="AA422" i="29" s="1"/>
  <c r="X53" i="29"/>
  <c r="Y53" i="29" s="1"/>
  <c r="AG50" i="29"/>
  <c r="X499" i="29"/>
  <c r="Y499" i="29" s="1"/>
  <c r="X40" i="29"/>
  <c r="Y40" i="29" s="1"/>
  <c r="AG460" i="29"/>
  <c r="W90" i="29"/>
  <c r="AA90" i="29" s="1"/>
  <c r="AH152" i="29"/>
  <c r="X503" i="29"/>
  <c r="Y503" i="29" s="1"/>
  <c r="AH355" i="29"/>
  <c r="W154" i="29"/>
  <c r="AJ154" i="29" s="1"/>
  <c r="AK154" i="29" s="1"/>
  <c r="AH468" i="29"/>
  <c r="AG324" i="29"/>
  <c r="W133" i="29"/>
  <c r="AJ133" i="29" s="1"/>
  <c r="AK133" i="29" s="1"/>
  <c r="AH190" i="29"/>
  <c r="AH295" i="29"/>
  <c r="X162" i="29"/>
  <c r="Y162" i="29" s="1"/>
  <c r="W610" i="29"/>
  <c r="AJ610" i="29" s="1"/>
  <c r="AK610" i="29" s="1"/>
  <c r="X306" i="29"/>
  <c r="Y306" i="29" s="1"/>
  <c r="AH138" i="29"/>
  <c r="AG88" i="29"/>
  <c r="X178" i="29"/>
  <c r="Y178" i="29" s="1"/>
  <c r="X414" i="29"/>
  <c r="Y414" i="29" s="1"/>
  <c r="AG180" i="29"/>
  <c r="X167" i="29"/>
  <c r="Y167" i="29" s="1"/>
  <c r="AG574" i="29"/>
  <c r="AG453" i="29"/>
  <c r="AH443" i="29"/>
  <c r="X402" i="29"/>
  <c r="Y402" i="29" s="1"/>
  <c r="X404" i="29"/>
  <c r="Y404" i="29" s="1"/>
  <c r="AH345" i="29"/>
  <c r="X43" i="29"/>
  <c r="Y43" i="29" s="1"/>
  <c r="X462" i="29"/>
  <c r="Y462" i="29" s="1"/>
  <c r="W448" i="29"/>
  <c r="AJ448" i="29" s="1"/>
  <c r="AK448" i="29" s="1"/>
  <c r="W439" i="29"/>
  <c r="AJ438" i="29" s="1"/>
  <c r="AK438" i="29" s="1"/>
  <c r="W164" i="29"/>
  <c r="AA164" i="29" s="1"/>
  <c r="AH385" i="29"/>
  <c r="X376" i="29"/>
  <c r="Y376" i="29" s="1"/>
  <c r="X274" i="29"/>
  <c r="Y274" i="29" s="1"/>
  <c r="AH236" i="29"/>
  <c r="AG139" i="29"/>
  <c r="AG100" i="29"/>
  <c r="W556" i="29"/>
  <c r="AA556" i="29" s="1"/>
  <c r="W130" i="29"/>
  <c r="AJ129" i="29" s="1"/>
  <c r="AK129" i="29" s="1"/>
  <c r="X497" i="29"/>
  <c r="Y497" i="29" s="1"/>
  <c r="X476" i="29"/>
  <c r="Y476" i="29" s="1"/>
  <c r="AG540" i="29"/>
  <c r="AH346" i="29"/>
  <c r="AH354" i="29"/>
  <c r="CB209" i="24"/>
  <c r="CF209" i="24"/>
  <c r="CB315" i="24"/>
  <c r="CF315" i="24"/>
  <c r="X368" i="29"/>
  <c r="Y368" i="29" s="1"/>
  <c r="X268" i="29"/>
  <c r="Y268" i="29" s="1"/>
  <c r="W401" i="29"/>
  <c r="AJ401" i="29" s="1"/>
  <c r="AK401" i="29" s="1"/>
  <c r="AG33" i="29"/>
  <c r="AG459" i="29"/>
  <c r="W336" i="29"/>
  <c r="AJ336" i="29" s="1"/>
  <c r="AK336" i="29" s="1"/>
  <c r="X554" i="29"/>
  <c r="Y554" i="29" s="1"/>
  <c r="AG86" i="29"/>
  <c r="AH224" i="29"/>
  <c r="X424" i="29"/>
  <c r="Y424" i="29" s="1"/>
  <c r="X101" i="29"/>
  <c r="Y101" i="29" s="1"/>
  <c r="X413" i="29"/>
  <c r="Y413" i="29" s="1"/>
  <c r="AG316" i="29"/>
  <c r="W218" i="29"/>
  <c r="AA218" i="29" s="1"/>
  <c r="X298" i="29"/>
  <c r="Y298" i="29" s="1"/>
  <c r="AH590" i="29"/>
  <c r="AH494" i="29"/>
  <c r="X308" i="29"/>
  <c r="Y308" i="29" s="1"/>
  <c r="X29" i="29"/>
  <c r="Y29" i="29" s="1"/>
  <c r="W170" i="29"/>
  <c r="AA170" i="29" s="1"/>
  <c r="AH486" i="29"/>
  <c r="W177" i="29"/>
  <c r="AA177" i="29" s="1"/>
  <c r="W514" i="29"/>
  <c r="AJ514" i="29" s="1"/>
  <c r="AK514" i="29" s="1"/>
  <c r="AH435" i="29"/>
  <c r="W242" i="29"/>
  <c r="AJ241" i="29" s="1"/>
  <c r="AK241" i="29" s="1"/>
  <c r="AH546" i="29"/>
  <c r="AH581" i="29"/>
  <c r="AH118" i="29"/>
  <c r="AH239" i="29"/>
  <c r="W474" i="29"/>
  <c r="AA474" i="29" s="1"/>
  <c r="X44" i="29"/>
  <c r="Y44" i="29" s="1"/>
  <c r="AH208" i="29"/>
  <c r="X567" i="29"/>
  <c r="Y567" i="29" s="1"/>
  <c r="AG286" i="29"/>
  <c r="X552" i="29"/>
  <c r="Y552" i="29" s="1"/>
  <c r="W502" i="29"/>
  <c r="AJ501" i="29" s="1"/>
  <c r="AK501" i="29" s="1"/>
  <c r="X428" i="29"/>
  <c r="Y428" i="29" s="1"/>
  <c r="X344" i="29"/>
  <c r="Y344" i="29" s="1"/>
  <c r="AH188" i="29"/>
  <c r="AH467" i="29"/>
  <c r="CB241" i="24"/>
  <c r="CF241" i="24"/>
  <c r="CB284" i="24"/>
  <c r="CF284" i="24"/>
  <c r="CB178" i="24"/>
  <c r="CF178" i="24"/>
  <c r="CB291" i="24"/>
  <c r="CF291" i="24"/>
  <c r="X451" i="29"/>
  <c r="Y451" i="29" s="1"/>
  <c r="CB185" i="24"/>
  <c r="CF185" i="24"/>
  <c r="X329" i="29"/>
  <c r="Y329" i="29" s="1"/>
  <c r="W522" i="29"/>
  <c r="AA522" i="29" s="1"/>
  <c r="AH321" i="29"/>
  <c r="AG565" i="29"/>
  <c r="AG319" i="29"/>
  <c r="W150" i="29"/>
  <c r="AJ150" i="29" s="1"/>
  <c r="AK150" i="29" s="1"/>
  <c r="AH267" i="29"/>
  <c r="AG120" i="29"/>
  <c r="W297" i="29"/>
  <c r="AJ297" i="29" s="1"/>
  <c r="AK297" i="29" s="1"/>
  <c r="W221" i="29"/>
  <c r="AA221" i="29" s="1"/>
  <c r="AG490" i="29"/>
  <c r="X114" i="29"/>
  <c r="Y114" i="29" s="1"/>
  <c r="W412" i="29"/>
  <c r="AJ412" i="29" s="1"/>
  <c r="AK412" i="29" s="1"/>
  <c r="X69" i="29"/>
  <c r="Y69" i="29" s="1"/>
  <c r="AG128" i="29"/>
  <c r="AH39" i="29"/>
  <c r="X479" i="29"/>
  <c r="Y479" i="29" s="1"/>
  <c r="X388" i="29"/>
  <c r="Y388" i="29" s="1"/>
  <c r="AG447" i="29"/>
  <c r="X418" i="29"/>
  <c r="Y418" i="29" s="1"/>
  <c r="X197" i="29"/>
  <c r="Y197" i="29" s="1"/>
  <c r="AG440" i="29"/>
  <c r="W350" i="29"/>
  <c r="W183" i="29"/>
  <c r="AA183" i="29" s="1"/>
  <c r="AG92" i="29"/>
  <c r="AH550" i="29"/>
  <c r="W142" i="29"/>
  <c r="AJ142" i="29" s="1"/>
  <c r="AK142" i="29" s="1"/>
  <c r="AG426" i="29"/>
  <c r="AG527" i="29"/>
  <c r="X364" i="29"/>
  <c r="Y364" i="29" s="1"/>
  <c r="AH28" i="29"/>
  <c r="AG201" i="29"/>
  <c r="X250" i="29"/>
  <c r="Y250" i="29" s="1"/>
  <c r="X272" i="29"/>
  <c r="Y272" i="29" s="1"/>
  <c r="W149" i="29"/>
  <c r="AG264" i="29"/>
  <c r="AG260" i="29"/>
  <c r="AG103" i="29"/>
  <c r="W588" i="29"/>
  <c r="AA588" i="29" s="1"/>
  <c r="AG32" i="29"/>
  <c r="X472" i="29"/>
  <c r="Y472" i="29" s="1"/>
  <c r="AH416" i="29"/>
  <c r="AG398" i="29"/>
  <c r="AH125" i="29"/>
  <c r="X461" i="29"/>
  <c r="Y461" i="29" s="1"/>
  <c r="X281" i="29"/>
  <c r="Y281" i="29" s="1"/>
  <c r="X423" i="29"/>
  <c r="Y423" i="29" s="1"/>
  <c r="X409" i="29"/>
  <c r="Y409" i="29" s="1"/>
  <c r="X548" i="29"/>
  <c r="Y548" i="29" s="1"/>
  <c r="X378" i="29"/>
  <c r="Y378" i="29" s="1"/>
  <c r="AG455" i="29"/>
  <c r="AG561" i="29"/>
  <c r="AH482" i="29"/>
  <c r="W356" i="29"/>
  <c r="AJ355" i="29" s="1"/>
  <c r="AK355" i="29" s="1"/>
  <c r="W410" i="29"/>
  <c r="AA410" i="29" s="1"/>
  <c r="W528" i="29"/>
  <c r="X395" i="29"/>
  <c r="Y395" i="29" s="1"/>
  <c r="AG119" i="29"/>
  <c r="AH76" i="29"/>
  <c r="X593" i="29"/>
  <c r="Y593" i="29" s="1"/>
  <c r="AH237" i="29"/>
  <c r="AH538" i="29"/>
  <c r="W383" i="29"/>
  <c r="AJ383" i="29" s="1"/>
  <c r="AK383" i="29" s="1"/>
  <c r="W312" i="29"/>
  <c r="AJ311" i="29" s="1"/>
  <c r="AK311" i="29" s="1"/>
  <c r="W251" i="29"/>
  <c r="AA251" i="29" s="1"/>
  <c r="AG489" i="29"/>
  <c r="AG366" i="29"/>
  <c r="AH438" i="29"/>
  <c r="AH403" i="29"/>
  <c r="AG112" i="29"/>
  <c r="AG277" i="29"/>
  <c r="W430" i="29"/>
  <c r="AA430" i="29" s="1"/>
  <c r="AG583" i="29"/>
  <c r="AG72" i="29"/>
  <c r="AG232" i="29"/>
  <c r="X575" i="29"/>
  <c r="Y575" i="29" s="1"/>
  <c r="AH135" i="29"/>
  <c r="AG520" i="29"/>
  <c r="W23" i="29"/>
  <c r="AA23" i="29" s="1"/>
  <c r="AH77" i="29"/>
  <c r="X273" i="29"/>
  <c r="Y273" i="29" s="1"/>
  <c r="W132" i="29"/>
  <c r="AA132" i="29" s="1"/>
  <c r="AG569" i="29"/>
  <c r="AH283" i="29"/>
  <c r="AH446" i="29"/>
  <c r="W434" i="29"/>
  <c r="AA434" i="29" s="1"/>
  <c r="X469" i="29"/>
  <c r="Y469" i="29" s="1"/>
  <c r="AH592" i="29"/>
  <c r="X262" i="29"/>
  <c r="Y262" i="29" s="1"/>
  <c r="X94" i="29"/>
  <c r="Y94" i="29" s="1"/>
  <c r="W301" i="29"/>
  <c r="AJ301" i="29" s="1"/>
  <c r="AK301" i="29" s="1"/>
  <c r="AH275" i="29"/>
  <c r="W240" i="29"/>
  <c r="AJ240" i="29" s="1"/>
  <c r="AK240" i="29" s="1"/>
  <c r="W432" i="29"/>
  <c r="AA432" i="29" s="1"/>
  <c r="AG146" i="29"/>
  <c r="AG157" i="29"/>
  <c r="AH65" i="29"/>
  <c r="AG449" i="29"/>
  <c r="X411" i="29"/>
  <c r="Y411" i="29" s="1"/>
  <c r="AG143" i="29"/>
  <c r="W199" i="29"/>
  <c r="AA199" i="29" s="1"/>
  <c r="W375" i="29"/>
  <c r="AJ375" i="29" s="1"/>
  <c r="AK375" i="29" s="1"/>
  <c r="AG524" i="29"/>
  <c r="AG202" i="29"/>
  <c r="AG145" i="29"/>
  <c r="X436" i="29"/>
  <c r="Y436" i="29" s="1"/>
  <c r="X129" i="29"/>
  <c r="Y129" i="29" s="1"/>
  <c r="AG290" i="29"/>
  <c r="W75" i="29"/>
  <c r="AJ75" i="29" s="1"/>
  <c r="AK75" i="29" s="1"/>
  <c r="AG523" i="29"/>
  <c r="W542" i="29"/>
  <c r="AA542" i="29" s="1"/>
  <c r="AH481" i="29"/>
  <c r="X307" i="29"/>
  <c r="Y307" i="29" s="1"/>
  <c r="AH407" i="29"/>
  <c r="X51" i="29"/>
  <c r="Y51" i="29" s="1"/>
  <c r="AG244" i="29"/>
  <c r="W56" i="29"/>
  <c r="AA56" i="29" s="1"/>
  <c r="X539" i="29"/>
  <c r="Y539" i="29" s="1"/>
  <c r="X228" i="29"/>
  <c r="Y228" i="29" s="1"/>
  <c r="AH249" i="29"/>
  <c r="X21" i="29"/>
  <c r="Y21" i="29" s="1"/>
  <c r="AG172" i="29"/>
  <c r="W91" i="29"/>
  <c r="W573" i="29"/>
  <c r="AJ573" i="29" s="1"/>
  <c r="AK573" i="29" s="1"/>
  <c r="AG500" i="29"/>
  <c r="W315" i="29"/>
  <c r="AA315" i="29" s="1"/>
  <c r="W492" i="29"/>
  <c r="W305" i="29"/>
  <c r="AJ305" i="29" s="1"/>
  <c r="AK305" i="29" s="1"/>
  <c r="AG195" i="29"/>
  <c r="AG265" i="29"/>
  <c r="AH392" i="29"/>
  <c r="W99" i="29"/>
  <c r="AJ99" i="29" s="1"/>
  <c r="AK99" i="29" s="1"/>
  <c r="X263" i="29"/>
  <c r="Y263" i="29" s="1"/>
  <c r="X14" i="29"/>
  <c r="Y14" i="29" s="1"/>
  <c r="X579" i="29"/>
  <c r="Y579" i="29" s="1"/>
  <c r="AH394" i="29"/>
  <c r="W179" i="29"/>
  <c r="AJ178" i="29" s="1"/>
  <c r="AK178" i="29" s="1"/>
  <c r="X211" i="29"/>
  <c r="Y211" i="29" s="1"/>
  <c r="X160" i="29"/>
  <c r="Y160" i="29" s="1"/>
  <c r="X487" i="29"/>
  <c r="Y487" i="29" s="1"/>
  <c r="X399" i="29"/>
  <c r="Y399" i="29" s="1"/>
  <c r="W382" i="29"/>
  <c r="AJ381" i="29" s="1"/>
  <c r="AK381" i="29" s="1"/>
  <c r="X519" i="29"/>
  <c r="Y519" i="29" s="1"/>
  <c r="X517" i="29"/>
  <c r="Y517" i="29" s="1"/>
  <c r="AG226" i="29"/>
  <c r="AH102" i="29"/>
  <c r="W15" i="29"/>
  <c r="AA15" i="29" s="1"/>
  <c r="W278" i="29"/>
  <c r="AJ277" i="29" s="1"/>
  <c r="AK277" i="29" s="1"/>
  <c r="AG314" i="29"/>
  <c r="AG255" i="29"/>
  <c r="W280" i="29"/>
  <c r="AA280" i="29" s="1"/>
  <c r="AG381" i="29"/>
  <c r="X496" i="29"/>
  <c r="Y496" i="29" s="1"/>
  <c r="W335" i="29"/>
  <c r="W353" i="29"/>
  <c r="AA353" i="29" s="1"/>
  <c r="AH386" i="29"/>
  <c r="AH427" i="29"/>
  <c r="W595" i="29"/>
  <c r="AA595" i="29" s="1"/>
  <c r="X570" i="29"/>
  <c r="Y570" i="29" s="1"/>
  <c r="X419" i="29"/>
  <c r="Y419" i="29" s="1"/>
  <c r="W450" i="29"/>
  <c r="AJ450" i="29" s="1"/>
  <c r="AK450" i="29" s="1"/>
  <c r="AH313" i="29"/>
  <c r="W213" i="29"/>
  <c r="AA213" i="29" s="1"/>
  <c r="X600" i="29"/>
  <c r="Y600" i="29" s="1"/>
  <c r="AG568" i="29"/>
  <c r="AH196" i="29"/>
  <c r="AH47" i="29"/>
  <c r="X68" i="29"/>
  <c r="Y68" i="29" s="1"/>
  <c r="W245" i="29"/>
  <c r="AJ245" i="29" s="1"/>
  <c r="AK245" i="29" s="1"/>
  <c r="AH131" i="29"/>
  <c r="X126" i="29"/>
  <c r="Y126" i="29" s="1"/>
  <c r="X396" i="29"/>
  <c r="Y396" i="29" s="1"/>
  <c r="AH134" i="29"/>
  <c r="W421" i="29"/>
  <c r="X36" i="29"/>
  <c r="Y36" i="29" s="1"/>
  <c r="X458" i="29"/>
  <c r="Y458" i="29" s="1"/>
  <c r="AG318" i="29"/>
  <c r="AH405" i="29"/>
  <c r="AG209" i="29"/>
  <c r="AH456" i="29"/>
  <c r="AH243" i="29"/>
  <c r="X601" i="29"/>
  <c r="Y601" i="29" s="1"/>
  <c r="AG121" i="29"/>
  <c r="W444" i="29"/>
  <c r="AJ443" i="29" s="1"/>
  <c r="AK443" i="29" s="1"/>
  <c r="AG389" i="29"/>
  <c r="AG518" i="29"/>
  <c r="W310" i="29"/>
  <c r="AJ310" i="29" s="1"/>
  <c r="AK310" i="29" s="1"/>
  <c r="X67" i="29"/>
  <c r="Y67" i="29" s="1"/>
  <c r="X215" i="29"/>
  <c r="Y215" i="29" s="1"/>
  <c r="W37" i="29"/>
  <c r="AJ36" i="29" s="1"/>
  <c r="AK36" i="29" s="1"/>
  <c r="X191" i="29"/>
  <c r="Y191" i="29" s="1"/>
  <c r="W525" i="29"/>
  <c r="AH506" i="29"/>
  <c r="X425" i="29"/>
  <c r="Y425" i="29" s="1"/>
  <c r="X282" i="29"/>
  <c r="Y282" i="29" s="1"/>
  <c r="AG504" i="29"/>
  <c r="W369" i="29"/>
  <c r="AA369" i="29" s="1"/>
  <c r="X311" i="29"/>
  <c r="Y311" i="29" s="1"/>
  <c r="X227" i="29"/>
  <c r="Y227" i="29" s="1"/>
  <c r="AH27" i="29"/>
  <c r="AG173" i="29"/>
  <c r="AG55" i="29"/>
  <c r="W26" i="29"/>
  <c r="X83" i="29"/>
  <c r="Y83" i="29" s="1"/>
  <c r="AG158" i="29"/>
  <c r="AH16" i="29"/>
  <c r="X182" i="29"/>
  <c r="Y182" i="29" s="1"/>
  <c r="W533" i="29"/>
  <c r="AJ532" i="29" s="1"/>
  <c r="AK532" i="29" s="1"/>
  <c r="W200" i="29"/>
  <c r="AJ200" i="29" s="1"/>
  <c r="AK200" i="29" s="1"/>
  <c r="X372" i="29"/>
  <c r="Y372" i="29" s="1"/>
  <c r="AH300" i="29"/>
  <c r="X549" i="29"/>
  <c r="Y549" i="29" s="1"/>
  <c r="AH95" i="29"/>
  <c r="X420" i="29"/>
  <c r="Y420" i="29" s="1"/>
  <c r="AG31" i="29"/>
  <c r="X491" i="29"/>
  <c r="Y491" i="29" s="1"/>
  <c r="AG287" i="29"/>
  <c r="W531" i="29"/>
  <c r="AJ531" i="29" s="1"/>
  <c r="AK531" i="29" s="1"/>
  <c r="X607" i="29"/>
  <c r="Y607" i="29" s="1"/>
  <c r="AH545" i="29"/>
  <c r="X62" i="29"/>
  <c r="Y62" i="29" s="1"/>
  <c r="X269" i="29"/>
  <c r="Y269" i="29" s="1"/>
  <c r="CB170" i="25"/>
  <c r="CF170" i="25"/>
  <c r="CB170" i="24"/>
  <c r="CF170" i="24"/>
  <c r="CB276" i="24"/>
  <c r="CF276" i="24"/>
  <c r="W360" i="29"/>
  <c r="AJ359" i="29" s="1"/>
  <c r="AK359" i="29" s="1"/>
  <c r="CB166" i="24"/>
  <c r="CF166" i="24"/>
  <c r="CB272" i="24"/>
  <c r="CF272" i="24"/>
  <c r="CB102" i="24"/>
  <c r="CF102" i="24"/>
  <c r="W441" i="29"/>
  <c r="AA441" i="29" s="1"/>
  <c r="CB92" i="25"/>
  <c r="CF92" i="25"/>
  <c r="CB92" i="24"/>
  <c r="CF92" i="24"/>
  <c r="AH176" i="29"/>
  <c r="W82" i="29"/>
  <c r="AA82" i="29" s="1"/>
  <c r="AG564" i="29"/>
  <c r="AG296" i="29"/>
  <c r="W431" i="29"/>
  <c r="AA431" i="29" s="1"/>
  <c r="X247" i="29"/>
  <c r="Y247" i="29" s="1"/>
  <c r="CB268" i="24"/>
  <c r="CF268" i="24"/>
  <c r="CB157" i="24"/>
  <c r="CF157" i="24"/>
  <c r="CB263" i="24"/>
  <c r="CF263" i="24"/>
  <c r="CB79" i="24"/>
  <c r="CF79" i="24"/>
  <c r="CB274" i="24"/>
  <c r="CF274" i="24"/>
  <c r="CB168" i="24"/>
  <c r="CF168" i="24"/>
  <c r="CB285" i="24"/>
  <c r="CF285" i="24"/>
  <c r="CB179" i="24"/>
  <c r="CF179" i="24"/>
  <c r="W495" i="29"/>
  <c r="AJ494" i="29" s="1"/>
  <c r="AK494" i="29" s="1"/>
  <c r="X288" i="29"/>
  <c r="Y288" i="29" s="1"/>
  <c r="AG534" i="29"/>
  <c r="BY237" i="25"/>
  <c r="CA237" i="25" s="1"/>
  <c r="CB237" i="25" s="1"/>
  <c r="BL237" i="25"/>
  <c r="BK237" i="25"/>
  <c r="AT212" i="25"/>
  <c r="AY212" i="25" s="1"/>
  <c r="AU212" i="25"/>
  <c r="BY77" i="25"/>
  <c r="CA77" i="25" s="1"/>
  <c r="CB77" i="25" s="1"/>
  <c r="BL77" i="25"/>
  <c r="CB173" i="24"/>
  <c r="CF173" i="24"/>
  <c r="CB74" i="24"/>
  <c r="CF74" i="24"/>
  <c r="AA599" i="29"/>
  <c r="AJ58" i="29"/>
  <c r="AK58" i="29" s="1"/>
  <c r="AA59" i="29"/>
  <c r="AA201" i="29"/>
  <c r="BY72" i="25"/>
  <c r="CA72" i="25" s="1"/>
  <c r="BL72" i="25"/>
  <c r="AA325" i="29"/>
  <c r="AJ324" i="29"/>
  <c r="AK324" i="29" s="1"/>
  <c r="BL146" i="25"/>
  <c r="BY146" i="25"/>
  <c r="CA146" i="25" s="1"/>
  <c r="CB146" i="25" s="1"/>
  <c r="BK146" i="25"/>
  <c r="AA460" i="29"/>
  <c r="AJ459" i="29"/>
  <c r="AK459" i="29" s="1"/>
  <c r="AJ54" i="29"/>
  <c r="AK54" i="29" s="1"/>
  <c r="AA55" i="29"/>
  <c r="BL41" i="25"/>
  <c r="BY41" i="25"/>
  <c r="CA41" i="25" s="1"/>
  <c r="CB41" i="25" s="1"/>
  <c r="AJ119" i="29"/>
  <c r="AK119" i="29" s="1"/>
  <c r="AA120" i="29"/>
  <c r="AA445" i="29"/>
  <c r="AJ258" i="29"/>
  <c r="AK258" i="29" s="1"/>
  <c r="AA259" i="29"/>
  <c r="AA148" i="29"/>
  <c r="BL125" i="25"/>
  <c r="BY125" i="25"/>
  <c r="CA125" i="25" s="1"/>
  <c r="CB125" i="25" s="1"/>
  <c r="BK125" i="25"/>
  <c r="AA490" i="29"/>
  <c r="AJ489" i="29"/>
  <c r="AK489" i="29" s="1"/>
  <c r="AA435" i="29"/>
  <c r="AA277" i="29"/>
  <c r="AJ276" i="29"/>
  <c r="AK276" i="29" s="1"/>
  <c r="AJ214" i="29"/>
  <c r="AK214" i="29" s="1"/>
  <c r="AA215" i="29"/>
  <c r="AA246" i="29"/>
  <c r="AA596" i="29"/>
  <c r="AA63" i="29"/>
  <c r="AJ62" i="29"/>
  <c r="AK62" i="29" s="1"/>
  <c r="AA521" i="29"/>
  <c r="AJ520" i="29"/>
  <c r="AK520" i="29" s="1"/>
  <c r="BY119" i="25"/>
  <c r="CA119" i="25" s="1"/>
  <c r="CB119" i="25" s="1"/>
  <c r="BL119" i="25"/>
  <c r="BK119" i="25"/>
  <c r="AJ202" i="29"/>
  <c r="AK202" i="29" s="1"/>
  <c r="AA203" i="29"/>
  <c r="BN316" i="24"/>
  <c r="L94" i="2"/>
  <c r="AJ313" i="29"/>
  <c r="AK313" i="29" s="1"/>
  <c r="AA314" i="29"/>
  <c r="AJ339" i="29"/>
  <c r="AK339" i="29" s="1"/>
  <c r="AA340" i="29"/>
  <c r="AA38" i="29"/>
  <c r="AA64" i="29"/>
  <c r="AJ63" i="29"/>
  <c r="AK63" i="29" s="1"/>
  <c r="AJ168" i="29"/>
  <c r="AK168" i="29" s="1"/>
  <c r="AA169" i="29"/>
  <c r="AJ223" i="29"/>
  <c r="AK223" i="29" s="1"/>
  <c r="AA224" i="29"/>
  <c r="AA211" i="29"/>
  <c r="AJ30" i="29"/>
  <c r="AK30" i="29" s="1"/>
  <c r="AA31" i="29"/>
  <c r="BL75" i="25"/>
  <c r="BY75" i="25"/>
  <c r="CA75" i="25" s="1"/>
  <c r="CB75" i="25" s="1"/>
  <c r="BY163" i="25"/>
  <c r="CA163" i="25" s="1"/>
  <c r="BL163" i="25"/>
  <c r="BK163" i="25"/>
  <c r="BY24" i="25"/>
  <c r="CA24" i="25" s="1"/>
  <c r="CB24" i="25" s="1"/>
  <c r="BL24" i="25"/>
  <c r="AA100" i="29"/>
  <c r="AA576" i="29"/>
  <c r="AJ575" i="29"/>
  <c r="AK575" i="29" s="1"/>
  <c r="AA306" i="29"/>
  <c r="AA67" i="29"/>
  <c r="AJ66" i="29"/>
  <c r="AK66" i="29" s="1"/>
  <c r="BY23" i="25"/>
  <c r="CA23" i="25" s="1"/>
  <c r="CB23" i="25" s="1"/>
  <c r="BL23" i="25"/>
  <c r="BL39" i="25"/>
  <c r="BY39" i="25"/>
  <c r="CA39" i="25" s="1"/>
  <c r="CB39" i="25" s="1"/>
  <c r="AA481" i="29"/>
  <c r="AA69" i="29"/>
  <c r="AJ68" i="29"/>
  <c r="AK68" i="29" s="1"/>
  <c r="BY150" i="25"/>
  <c r="CA150" i="25" s="1"/>
  <c r="CB150" i="25" s="1"/>
  <c r="BL150" i="25"/>
  <c r="BK150" i="25"/>
  <c r="BY142" i="25"/>
  <c r="CA142" i="25" s="1"/>
  <c r="CB142" i="25" s="1"/>
  <c r="BL142" i="25"/>
  <c r="BK142" i="25"/>
  <c r="AA403" i="29"/>
  <c r="AJ402" i="29"/>
  <c r="AK402" i="29" s="1"/>
  <c r="AA241" i="29"/>
  <c r="AA496" i="29"/>
  <c r="AJ78" i="29"/>
  <c r="AK78" i="29" s="1"/>
  <c r="AA79" i="29"/>
  <c r="AA497" i="29"/>
  <c r="AJ496" i="29"/>
  <c r="AK496" i="29" s="1"/>
  <c r="AJ596" i="29"/>
  <c r="AK596" i="29" s="1"/>
  <c r="AA597" i="29"/>
  <c r="AA565" i="29"/>
  <c r="AJ564" i="29"/>
  <c r="AK564" i="29" s="1"/>
  <c r="AA184" i="29"/>
  <c r="AJ159" i="29"/>
  <c r="AK159" i="29" s="1"/>
  <c r="AA160" i="29"/>
  <c r="BY85" i="25"/>
  <c r="CA85" i="25" s="1"/>
  <c r="CB85" i="25" s="1"/>
  <c r="BL85" i="25"/>
  <c r="BL300" i="25"/>
  <c r="BY300" i="25"/>
  <c r="CA300" i="25" s="1"/>
  <c r="CB300" i="25" s="1"/>
  <c r="BK300" i="25"/>
  <c r="AJ262" i="29"/>
  <c r="AK262" i="29" s="1"/>
  <c r="AA263" i="29"/>
  <c r="BL294" i="25"/>
  <c r="BY294" i="25"/>
  <c r="CA294" i="25" s="1"/>
  <c r="CB294" i="25" s="1"/>
  <c r="BK294" i="25"/>
  <c r="AA519" i="29"/>
  <c r="AJ518" i="29"/>
  <c r="AK518" i="29" s="1"/>
  <c r="AA361" i="29"/>
  <c r="AJ76" i="29"/>
  <c r="AK76" i="29" s="1"/>
  <c r="AA77" i="29"/>
  <c r="AA582" i="29"/>
  <c r="AJ581" i="29"/>
  <c r="AK581" i="29" s="1"/>
  <c r="AA264" i="29"/>
  <c r="AJ263" i="29"/>
  <c r="AK263" i="29" s="1"/>
  <c r="BL175" i="25"/>
  <c r="BY175" i="25"/>
  <c r="CA175" i="25" s="1"/>
  <c r="BK175" i="25"/>
  <c r="AA205" i="29"/>
  <c r="AJ204" i="29"/>
  <c r="AK204" i="29" s="1"/>
  <c r="BL53" i="25"/>
  <c r="BY53" i="25"/>
  <c r="CA53" i="25" s="1"/>
  <c r="CB53" i="25" s="1"/>
  <c r="AJ196" i="29"/>
  <c r="AK196" i="29" s="1"/>
  <c r="AA197" i="29"/>
  <c r="AA320" i="29"/>
  <c r="AJ319" i="29"/>
  <c r="AK319" i="29" s="1"/>
  <c r="AA311" i="29"/>
  <c r="AJ86" i="29"/>
  <c r="AK86" i="29" s="1"/>
  <c r="AA87" i="29"/>
  <c r="BL217" i="25"/>
  <c r="BY217" i="25"/>
  <c r="CA217" i="25" s="1"/>
  <c r="CB217" i="25" s="1"/>
  <c r="BK217" i="25"/>
  <c r="BY67" i="25"/>
  <c r="CA67" i="25" s="1"/>
  <c r="CB67" i="25" s="1"/>
  <c r="BL67" i="25"/>
  <c r="CB97" i="25"/>
  <c r="CF97" i="25"/>
  <c r="AJ285" i="29"/>
  <c r="AK285" i="29" s="1"/>
  <c r="AA286" i="29"/>
  <c r="AJ192" i="29"/>
  <c r="AK192" i="29" s="1"/>
  <c r="AA193" i="29"/>
  <c r="BL286" i="25"/>
  <c r="BY286" i="25"/>
  <c r="CA286" i="25" s="1"/>
  <c r="CB286" i="25" s="1"/>
  <c r="BK286" i="25"/>
  <c r="BL250" i="25"/>
  <c r="BY250" i="25"/>
  <c r="CA250" i="25" s="1"/>
  <c r="CB250" i="25" s="1"/>
  <c r="BK250" i="25"/>
  <c r="AA95" i="29"/>
  <c r="AJ94" i="29"/>
  <c r="AK94" i="29" s="1"/>
  <c r="BL83" i="25"/>
  <c r="BY83" i="25"/>
  <c r="CA83" i="25" s="1"/>
  <c r="CB83" i="25" s="1"/>
  <c r="BY284" i="25"/>
  <c r="CA284" i="25" s="1"/>
  <c r="CB284" i="25" s="1"/>
  <c r="BL284" i="25"/>
  <c r="BK284" i="25"/>
  <c r="AJ424" i="29"/>
  <c r="AK424" i="29" s="1"/>
  <c r="AA425" i="29"/>
  <c r="AA416" i="29"/>
  <c r="AJ415" i="29"/>
  <c r="AK415" i="29" s="1"/>
  <c r="AJ392" i="29"/>
  <c r="AK392" i="29" s="1"/>
  <c r="AA393" i="29"/>
  <c r="BY133" i="25"/>
  <c r="CA133" i="25" s="1"/>
  <c r="CB133" i="25" s="1"/>
  <c r="BL133" i="25"/>
  <c r="BK133" i="25"/>
  <c r="BL47" i="25"/>
  <c r="BY47" i="25"/>
  <c r="CA47" i="25" s="1"/>
  <c r="CB47" i="25" s="1"/>
  <c r="AJ49" i="29"/>
  <c r="AK49" i="29" s="1"/>
  <c r="AA50" i="29"/>
  <c r="AA195" i="29"/>
  <c r="AJ194" i="29"/>
  <c r="AK194" i="29" s="1"/>
  <c r="BY80" i="25"/>
  <c r="CA80" i="25" s="1"/>
  <c r="BL80" i="25"/>
  <c r="BL225" i="25"/>
  <c r="BY225" i="25"/>
  <c r="CA225" i="25" s="1"/>
  <c r="CB225" i="25" s="1"/>
  <c r="BK225" i="25"/>
  <c r="AJ371" i="29"/>
  <c r="AK371" i="29" s="1"/>
  <c r="AA372" i="29"/>
  <c r="AA43" i="29"/>
  <c r="AJ42" i="29"/>
  <c r="AK42" i="29" s="1"/>
  <c r="AA398" i="29"/>
  <c r="AJ397" i="29"/>
  <c r="AK397" i="29" s="1"/>
  <c r="BY65" i="25"/>
  <c r="CA65" i="25" s="1"/>
  <c r="CB65" i="25" s="1"/>
  <c r="BL65" i="25"/>
  <c r="BY43" i="25"/>
  <c r="CA43" i="25" s="1"/>
  <c r="CB43" i="25" s="1"/>
  <c r="BL43" i="25"/>
  <c r="AA611" i="29"/>
  <c r="AJ404" i="29"/>
  <c r="AK404" i="29" s="1"/>
  <c r="AA405" i="29"/>
  <c r="AA592" i="29"/>
  <c r="AJ591" i="29"/>
  <c r="AK591" i="29" s="1"/>
  <c r="BY220" i="25"/>
  <c r="CA220" i="25" s="1"/>
  <c r="CB220" i="25" s="1"/>
  <c r="BL220" i="25"/>
  <c r="BK220" i="25"/>
  <c r="AA342" i="29"/>
  <c r="BL144" i="25"/>
  <c r="BY144" i="25"/>
  <c r="CA144" i="25" s="1"/>
  <c r="CB144" i="25" s="1"/>
  <c r="BK144" i="25"/>
  <c r="AA399" i="29"/>
  <c r="AJ398" i="29"/>
  <c r="AK398" i="29" s="1"/>
  <c r="AA359" i="29"/>
  <c r="AJ358" i="29"/>
  <c r="AK358" i="29" s="1"/>
  <c r="AA358" i="29"/>
  <c r="BY36" i="25"/>
  <c r="CA36" i="25" s="1"/>
  <c r="CB36" i="25" s="1"/>
  <c r="BL36" i="25"/>
  <c r="AA475" i="29"/>
  <c r="BL252" i="25"/>
  <c r="BY252" i="25"/>
  <c r="CA252" i="25" s="1"/>
  <c r="CB252" i="25" s="1"/>
  <c r="BK252" i="25"/>
  <c r="BY260" i="25"/>
  <c r="CA260" i="25" s="1"/>
  <c r="CB260" i="25" s="1"/>
  <c r="BL260" i="25"/>
  <c r="BK260" i="25"/>
  <c r="AJ396" i="29"/>
  <c r="AK396" i="29" s="1"/>
  <c r="AA397" i="29"/>
  <c r="BL69" i="25"/>
  <c r="BY69" i="25"/>
  <c r="CA69" i="25" s="1"/>
  <c r="CB69" i="25" s="1"/>
  <c r="BL194" i="25"/>
  <c r="BY194" i="25"/>
  <c r="CA194" i="25" s="1"/>
  <c r="BK194" i="25"/>
  <c r="BY187" i="25"/>
  <c r="CA187" i="25" s="1"/>
  <c r="CB187" i="25" s="1"/>
  <c r="BL187" i="25"/>
  <c r="BK187" i="25"/>
  <c r="BY234" i="25"/>
  <c r="CA234" i="25" s="1"/>
  <c r="CB234" i="25" s="1"/>
  <c r="BL234" i="25"/>
  <c r="BK234" i="25"/>
  <c r="AJ338" i="29"/>
  <c r="AK338" i="29" s="1"/>
  <c r="AA339" i="29"/>
  <c r="BL315" i="25"/>
  <c r="BY315" i="25"/>
  <c r="CA315" i="25" s="1"/>
  <c r="CB315" i="25" s="1"/>
  <c r="BK315" i="25"/>
  <c r="AA134" i="29"/>
  <c r="AJ27" i="29"/>
  <c r="AK27" i="29" s="1"/>
  <c r="AA28" i="29"/>
  <c r="AJ515" i="29"/>
  <c r="AK515" i="29" s="1"/>
  <c r="AA516" i="29"/>
  <c r="AJ386" i="29"/>
  <c r="AK386" i="29" s="1"/>
  <c r="AA387" i="29"/>
  <c r="BY278" i="25"/>
  <c r="CA278" i="25" s="1"/>
  <c r="CB278" i="25" s="1"/>
  <c r="BL278" i="25"/>
  <c r="BK278" i="25"/>
  <c r="BL130" i="25"/>
  <c r="BY130" i="25"/>
  <c r="CA130" i="25" s="1"/>
  <c r="CB130" i="25" s="1"/>
  <c r="BK130" i="25"/>
  <c r="AA125" i="29"/>
  <c r="AJ124" i="29"/>
  <c r="AK124" i="29" s="1"/>
  <c r="BY73" i="25"/>
  <c r="CA73" i="25" s="1"/>
  <c r="CB73" i="25" s="1"/>
  <c r="BL73" i="25"/>
  <c r="BL193" i="25"/>
  <c r="BY193" i="25"/>
  <c r="CA193" i="25" s="1"/>
  <c r="BK193" i="25"/>
  <c r="BL169" i="25"/>
  <c r="BY169" i="25"/>
  <c r="CA169" i="25" s="1"/>
  <c r="BK169" i="25"/>
  <c r="AJ613" i="29"/>
  <c r="AK613" i="29" s="1"/>
  <c r="AA613" i="29"/>
  <c r="AJ612" i="29"/>
  <c r="AK612" i="29" s="1"/>
  <c r="BY203" i="25"/>
  <c r="CA203" i="25" s="1"/>
  <c r="BL203" i="25"/>
  <c r="BK203" i="25"/>
  <c r="BL263" i="25"/>
  <c r="BY263" i="25"/>
  <c r="CA263" i="25" s="1"/>
  <c r="CB263" i="25" s="1"/>
  <c r="BK263" i="25"/>
  <c r="AA204" i="29"/>
  <c r="AJ203" i="29"/>
  <c r="AK203" i="29" s="1"/>
  <c r="AJ505" i="29"/>
  <c r="AK505" i="29" s="1"/>
  <c r="AA506" i="29"/>
  <c r="AJ560" i="29"/>
  <c r="AK560" i="29" s="1"/>
  <c r="AA561" i="29"/>
  <c r="AJ126" i="29"/>
  <c r="AK126" i="29" s="1"/>
  <c r="AA127" i="29"/>
  <c r="AA180" i="29"/>
  <c r="BL102" i="25"/>
  <c r="BY102" i="25"/>
  <c r="CA102" i="25" s="1"/>
  <c r="AJ243" i="29"/>
  <c r="AK243" i="29" s="1"/>
  <c r="AA244" i="29"/>
  <c r="AJ157" i="29"/>
  <c r="AK157" i="29" s="1"/>
  <c r="AA158" i="29"/>
  <c r="AJ80" i="29"/>
  <c r="AA81" i="29"/>
  <c r="BY245" i="25"/>
  <c r="CA245" i="25" s="1"/>
  <c r="CB245" i="25" s="1"/>
  <c r="BL245" i="25"/>
  <c r="BK245" i="25"/>
  <c r="AJ418" i="29"/>
  <c r="AK418" i="29" s="1"/>
  <c r="AA419" i="29"/>
  <c r="BL168" i="25"/>
  <c r="BY168" i="25"/>
  <c r="CA168" i="25" s="1"/>
  <c r="BK168" i="25"/>
  <c r="AJ593" i="29"/>
  <c r="AK593" i="29" s="1"/>
  <c r="AA594" i="29"/>
  <c r="BY122" i="25"/>
  <c r="CA122" i="25" s="1"/>
  <c r="CB122" i="25" s="1"/>
  <c r="BL122" i="25"/>
  <c r="BK122" i="25"/>
  <c r="BY209" i="25"/>
  <c r="CA209" i="25" s="1"/>
  <c r="BL209" i="25"/>
  <c r="BK209" i="25"/>
  <c r="AA572" i="29"/>
  <c r="AA39" i="29"/>
  <c r="AJ38" i="29"/>
  <c r="AK38" i="29" s="1"/>
  <c r="AJ237" i="29"/>
  <c r="AK237" i="29" s="1"/>
  <c r="AA238" i="29"/>
  <c r="AA560" i="29"/>
  <c r="AJ559" i="29"/>
  <c r="AK559" i="29" s="1"/>
  <c r="BL310" i="25"/>
  <c r="BY310" i="25"/>
  <c r="CA310" i="25" s="1"/>
  <c r="CB310" i="25" s="1"/>
  <c r="BK310" i="25"/>
  <c r="AA53" i="29"/>
  <c r="AJ275" i="29"/>
  <c r="AK275" i="29" s="1"/>
  <c r="AA276" i="29"/>
  <c r="AJ28" i="29"/>
  <c r="AK28" i="29" s="1"/>
  <c r="AA29" i="29"/>
  <c r="BY118" i="25"/>
  <c r="CA118" i="25" s="1"/>
  <c r="CB118" i="25" s="1"/>
  <c r="BL118" i="25"/>
  <c r="BK118" i="25"/>
  <c r="AA489" i="29"/>
  <c r="AJ488" i="29"/>
  <c r="AK488" i="29" s="1"/>
  <c r="AA33" i="29"/>
  <c r="AJ32" i="29"/>
  <c r="AK32" i="29" s="1"/>
  <c r="AA68" i="29"/>
  <c r="AJ67" i="29"/>
  <c r="AK67" i="29" s="1"/>
  <c r="AA146" i="29"/>
  <c r="AJ145" i="29"/>
  <c r="AK145" i="29" s="1"/>
  <c r="AA85" i="29"/>
  <c r="BY316" i="25"/>
  <c r="CA316" i="25" s="1"/>
  <c r="CB316" i="25" s="1"/>
  <c r="BL316" i="25"/>
  <c r="BK316" i="25"/>
  <c r="BL176" i="25"/>
  <c r="BY176" i="25"/>
  <c r="CA176" i="25" s="1"/>
  <c r="BK176" i="25"/>
  <c r="BY35" i="25"/>
  <c r="CA35" i="25" s="1"/>
  <c r="CB35" i="25" s="1"/>
  <c r="BL35" i="25"/>
  <c r="AA577" i="29"/>
  <c r="AJ576" i="29"/>
  <c r="AK576" i="29" s="1"/>
  <c r="AA402" i="29"/>
  <c r="BL98" i="25"/>
  <c r="BY98" i="25"/>
  <c r="CA98" i="25" s="1"/>
  <c r="AJ292" i="29"/>
  <c r="AK292" i="29" s="1"/>
  <c r="AA293" i="29"/>
  <c r="AJ577" i="29"/>
  <c r="AK577" i="29" s="1"/>
  <c r="AA578" i="29"/>
  <c r="AA272" i="29"/>
  <c r="AJ271" i="29"/>
  <c r="AK271" i="29" s="1"/>
  <c r="AJ302" i="29"/>
  <c r="AK302" i="29" s="1"/>
  <c r="AA303" i="29"/>
  <c r="BY256" i="25"/>
  <c r="CA256" i="25" s="1"/>
  <c r="CB256" i="25" s="1"/>
  <c r="BL256" i="25"/>
  <c r="BK256" i="25"/>
  <c r="AA499" i="29"/>
  <c r="AA257" i="29"/>
  <c r="AJ256" i="29"/>
  <c r="AK256" i="29" s="1"/>
  <c r="AJ391" i="29"/>
  <c r="AK391" i="29" s="1"/>
  <c r="AA392" i="29"/>
  <c r="AJ247" i="29"/>
  <c r="AK247" i="29" s="1"/>
  <c r="AA248" i="29"/>
  <c r="BL50" i="25"/>
  <c r="BY50" i="25"/>
  <c r="CA50" i="25" s="1"/>
  <c r="CB50" i="25" s="1"/>
  <c r="BL153" i="25"/>
  <c r="BY153" i="25"/>
  <c r="CA153" i="25" s="1"/>
  <c r="BK153" i="25"/>
  <c r="BL253" i="25"/>
  <c r="BY253" i="25"/>
  <c r="CA253" i="25" s="1"/>
  <c r="CB253" i="25" s="1"/>
  <c r="BK253" i="25"/>
  <c r="AJ230" i="29"/>
  <c r="AK230" i="29" s="1"/>
  <c r="AA231" i="29"/>
  <c r="AA558" i="29"/>
  <c r="AJ363" i="29"/>
  <c r="AK363" i="29" s="1"/>
  <c r="AA364" i="29"/>
  <c r="AJ128" i="29"/>
  <c r="AK128" i="29" s="1"/>
  <c r="AA129" i="29"/>
  <c r="BL272" i="25"/>
  <c r="BY272" i="25"/>
  <c r="CA272" i="25" s="1"/>
  <c r="CB272" i="25" s="1"/>
  <c r="BK272" i="25"/>
  <c r="AJ510" i="29"/>
  <c r="AK510" i="29" s="1"/>
  <c r="AA511" i="29"/>
  <c r="BL91" i="25"/>
  <c r="BY91" i="25"/>
  <c r="CA91" i="25" s="1"/>
  <c r="CB91" i="25" s="1"/>
  <c r="AJ566" i="29"/>
  <c r="AK566" i="29" s="1"/>
  <c r="AA567" i="29"/>
  <c r="BY233" i="25"/>
  <c r="CA233" i="25" s="1"/>
  <c r="CB233" i="25" s="1"/>
  <c r="BL233" i="25"/>
  <c r="BK233" i="25"/>
  <c r="AA123" i="29"/>
  <c r="AJ582" i="29"/>
  <c r="AK582" i="29" s="1"/>
  <c r="AA583" i="29"/>
  <c r="BY270" i="25"/>
  <c r="CA270" i="25" s="1"/>
  <c r="CB270" i="25" s="1"/>
  <c r="BL270" i="25"/>
  <c r="BK270" i="25"/>
  <c r="AJ451" i="29"/>
  <c r="AK451" i="29" s="1"/>
  <c r="AA452" i="29"/>
  <c r="AA539" i="29"/>
  <c r="AJ538" i="29"/>
  <c r="AK538" i="29" s="1"/>
  <c r="BY22" i="25"/>
  <c r="CA22" i="25" s="1"/>
  <c r="CB22" i="25" s="1"/>
  <c r="BL22" i="25"/>
  <c r="BY56" i="25"/>
  <c r="CA56" i="25" s="1"/>
  <c r="BL56" i="25"/>
  <c r="AA102" i="29"/>
  <c r="AJ101" i="29"/>
  <c r="AK101" i="29" s="1"/>
  <c r="BY242" i="25"/>
  <c r="CA242" i="25" s="1"/>
  <c r="CB242" i="25" s="1"/>
  <c r="BL242" i="25"/>
  <c r="BK242" i="25"/>
  <c r="AA186" i="29"/>
  <c r="AA317" i="29"/>
  <c r="AJ316" i="29"/>
  <c r="AK316" i="29" s="1"/>
  <c r="AJ33" i="29"/>
  <c r="AK33" i="29" s="1"/>
  <c r="AA34" i="29"/>
  <c r="AA255" i="29"/>
  <c r="AA131" i="29"/>
  <c r="AA331" i="29"/>
  <c r="BL126" i="25"/>
  <c r="BY126" i="25"/>
  <c r="CA126" i="25" s="1"/>
  <c r="CB126" i="25" s="1"/>
  <c r="BK126" i="25"/>
  <c r="AA503" i="29"/>
  <c r="AA396" i="29"/>
  <c r="AJ395" i="29"/>
  <c r="AK395" i="29" s="1"/>
  <c r="BY10" i="25"/>
  <c r="CA10" i="25" s="1"/>
  <c r="CB10" i="25" s="1"/>
  <c r="BL10" i="25"/>
  <c r="AA274" i="29"/>
  <c r="AJ273" i="29"/>
  <c r="AK273" i="29" s="1"/>
  <c r="AJ71" i="29"/>
  <c r="AK71" i="29" s="1"/>
  <c r="AA72" i="29"/>
  <c r="AJ137" i="29"/>
  <c r="AK137" i="29" s="1"/>
  <c r="AA138" i="29"/>
  <c r="BY33" i="25"/>
  <c r="CA33" i="25" s="1"/>
  <c r="CB33" i="25" s="1"/>
  <c r="BL33" i="25"/>
  <c r="AA73" i="29"/>
  <c r="AJ72" i="29"/>
  <c r="AK72" i="29" s="1"/>
  <c r="BY63" i="25"/>
  <c r="CA63" i="25" s="1"/>
  <c r="CB63" i="25" s="1"/>
  <c r="BL63" i="25"/>
  <c r="AA515" i="29"/>
  <c r="AJ231" i="29"/>
  <c r="AK231" i="29" s="1"/>
  <c r="AA232" i="29"/>
  <c r="AJ472" i="29"/>
  <c r="AK472" i="29" s="1"/>
  <c r="AA473" i="29"/>
  <c r="AA214" i="29"/>
  <c r="BY289" i="25"/>
  <c r="CA289" i="25" s="1"/>
  <c r="CB289" i="25" s="1"/>
  <c r="BL289" i="25"/>
  <c r="BK289" i="25"/>
  <c r="AJ236" i="29"/>
  <c r="AK236" i="29" s="1"/>
  <c r="AA237" i="29"/>
  <c r="BY239" i="25"/>
  <c r="CA239" i="25" s="1"/>
  <c r="CB239" i="25" s="1"/>
  <c r="BL239" i="25"/>
  <c r="BK239" i="25"/>
  <c r="BL231" i="25"/>
  <c r="BY231" i="25"/>
  <c r="CA231" i="25" s="1"/>
  <c r="CB231" i="25" s="1"/>
  <c r="BK231" i="25"/>
  <c r="AJ180" i="29"/>
  <c r="AK180" i="29" s="1"/>
  <c r="AA181" i="29"/>
  <c r="BY44" i="25"/>
  <c r="CA44" i="25" s="1"/>
  <c r="CB44" i="25" s="1"/>
  <c r="BL44" i="25"/>
  <c r="AA329" i="29"/>
  <c r="AJ328" i="29"/>
  <c r="AK328" i="29" s="1"/>
  <c r="AJ484" i="29"/>
  <c r="AK484" i="29" s="1"/>
  <c r="AA485" i="29"/>
  <c r="AJ318" i="29"/>
  <c r="AK318" i="29" s="1"/>
  <c r="AA319" i="29"/>
  <c r="AJ552" i="29"/>
  <c r="AK552" i="29" s="1"/>
  <c r="AA553" i="29"/>
  <c r="BY76" i="25"/>
  <c r="CA76" i="25" s="1"/>
  <c r="CB76" i="25" s="1"/>
  <c r="BL76" i="25"/>
  <c r="AJ331" i="29"/>
  <c r="AK331" i="29" s="1"/>
  <c r="AA332" i="29"/>
  <c r="BL157" i="25"/>
  <c r="BY157" i="25"/>
  <c r="CA157" i="25" s="1"/>
  <c r="CB157" i="25" s="1"/>
  <c r="BK157" i="25"/>
  <c r="AA451" i="29"/>
  <c r="AJ436" i="29"/>
  <c r="AK436" i="29" s="1"/>
  <c r="AA437" i="29"/>
  <c r="BL8" i="25"/>
  <c r="BY8" i="25"/>
  <c r="CA8" i="25" s="1"/>
  <c r="CB8" i="25" s="1"/>
  <c r="BL281" i="25"/>
  <c r="BY281" i="25"/>
  <c r="CA281" i="25" s="1"/>
  <c r="CB281" i="25" s="1"/>
  <c r="BK281" i="25"/>
  <c r="BY79" i="25"/>
  <c r="CA79" i="25" s="1"/>
  <c r="BL79" i="25"/>
  <c r="AA267" i="29"/>
  <c r="AJ266" i="29"/>
  <c r="AK266" i="29" s="1"/>
  <c r="BL271" i="25"/>
  <c r="BY271" i="25"/>
  <c r="CA271" i="25" s="1"/>
  <c r="CB271" i="25" s="1"/>
  <c r="BK271" i="25"/>
  <c r="AJ246" i="29"/>
  <c r="AK246" i="29" s="1"/>
  <c r="AA247" i="29"/>
  <c r="AA407" i="29"/>
  <c r="BY226" i="25"/>
  <c r="CA226" i="25" s="1"/>
  <c r="CB226" i="25" s="1"/>
  <c r="BL226" i="25"/>
  <c r="BK226" i="25"/>
  <c r="AA454" i="29"/>
  <c r="AJ453" i="29"/>
  <c r="AK453" i="29" s="1"/>
  <c r="BY55" i="25"/>
  <c r="CA55" i="25" s="1"/>
  <c r="BL55" i="25"/>
  <c r="BY241" i="25"/>
  <c r="CA241" i="25" s="1"/>
  <c r="CB241" i="25" s="1"/>
  <c r="BL241" i="25"/>
  <c r="BK241" i="25"/>
  <c r="BY88" i="25"/>
  <c r="CA88" i="25" s="1"/>
  <c r="CB88" i="25" s="1"/>
  <c r="BL88" i="25"/>
  <c r="AA285" i="29"/>
  <c r="AJ284" i="29"/>
  <c r="AK284" i="29" s="1"/>
  <c r="BY51" i="25"/>
  <c r="CA51" i="25" s="1"/>
  <c r="CB51" i="25" s="1"/>
  <c r="BL51" i="25"/>
  <c r="AJ589" i="29"/>
  <c r="AK589" i="29" s="1"/>
  <c r="AA590" i="29"/>
  <c r="AA217" i="29"/>
  <c r="BL208" i="25"/>
  <c r="BY208" i="25"/>
  <c r="CA208" i="25" s="1"/>
  <c r="BK208" i="25"/>
  <c r="AA586" i="29"/>
  <c r="BY205" i="25"/>
  <c r="CA205" i="25" s="1"/>
  <c r="BL205" i="25"/>
  <c r="BK205" i="25"/>
  <c r="AA413" i="29"/>
  <c r="AA294" i="29"/>
  <c r="AJ293" i="29"/>
  <c r="AK293" i="29" s="1"/>
  <c r="BY9" i="25"/>
  <c r="CA9" i="25" s="1"/>
  <c r="CB9" i="25" s="1"/>
  <c r="BL9" i="25"/>
  <c r="AA476" i="29"/>
  <c r="AJ475" i="29"/>
  <c r="AK475" i="29" s="1"/>
  <c r="AA438" i="29"/>
  <c r="AJ437" i="29"/>
  <c r="AK437" i="29" s="1"/>
  <c r="BL228" i="25"/>
  <c r="BY228" i="25"/>
  <c r="CA228" i="25" s="1"/>
  <c r="CB228" i="25" s="1"/>
  <c r="BK228" i="25"/>
  <c r="AJ205" i="29"/>
  <c r="AK205" i="29" s="1"/>
  <c r="AA206" i="29"/>
  <c r="AJ607" i="29"/>
  <c r="AK607" i="29" s="1"/>
  <c r="AA608" i="29"/>
  <c r="AJ39" i="29"/>
  <c r="AK39" i="29" s="1"/>
  <c r="AA40" i="29"/>
  <c r="BY264" i="25"/>
  <c r="CA264" i="25" s="1"/>
  <c r="CB264" i="25" s="1"/>
  <c r="BL264" i="25"/>
  <c r="BK264" i="25"/>
  <c r="AJ486" i="29"/>
  <c r="AK486" i="29" s="1"/>
  <c r="AA487" i="29"/>
  <c r="AA535" i="29"/>
  <c r="AJ534" i="29"/>
  <c r="AK534" i="29" s="1"/>
  <c r="BY200" i="25"/>
  <c r="CA200" i="25" s="1"/>
  <c r="BL200" i="25"/>
  <c r="BK200" i="25"/>
  <c r="AA408" i="29"/>
  <c r="AJ407" i="29"/>
  <c r="AK407" i="29" s="1"/>
  <c r="BL162" i="25"/>
  <c r="BY162" i="25"/>
  <c r="CA162" i="25" s="1"/>
  <c r="CB162" i="25" s="1"/>
  <c r="BK162" i="25"/>
  <c r="BY84" i="25"/>
  <c r="CA84" i="25" s="1"/>
  <c r="CB84" i="25" s="1"/>
  <c r="BL84" i="25"/>
  <c r="AA471" i="29"/>
  <c r="AJ470" i="29"/>
  <c r="AK470" i="29" s="1"/>
  <c r="AA236" i="29"/>
  <c r="AJ235" i="29"/>
  <c r="AK235" i="29" s="1"/>
  <c r="BY254" i="25"/>
  <c r="CA254" i="25" s="1"/>
  <c r="CB254" i="25" s="1"/>
  <c r="BL254" i="25"/>
  <c r="BK254" i="25"/>
  <c r="BL185" i="25"/>
  <c r="BY185" i="25"/>
  <c r="CA185" i="25" s="1"/>
  <c r="BK185" i="25"/>
  <c r="BY48" i="25"/>
  <c r="CA48" i="25" s="1"/>
  <c r="CB48" i="25" s="1"/>
  <c r="BL48" i="25"/>
  <c r="AA97" i="29"/>
  <c r="AJ96" i="29"/>
  <c r="AK96" i="29" s="1"/>
  <c r="AA271" i="29"/>
  <c r="BL26" i="25"/>
  <c r="BY26" i="25"/>
  <c r="CA26" i="25" s="1"/>
  <c r="CB26" i="25" s="1"/>
  <c r="AA279" i="29"/>
  <c r="BL27" i="25"/>
  <c r="BY27" i="25"/>
  <c r="CA27" i="25" s="1"/>
  <c r="CB27" i="25" s="1"/>
  <c r="BL301" i="25"/>
  <c r="BY301" i="25"/>
  <c r="CA301" i="25" s="1"/>
  <c r="CB301" i="25" s="1"/>
  <c r="BK301" i="25"/>
  <c r="BY303" i="25"/>
  <c r="CA303" i="25" s="1"/>
  <c r="CB303" i="25" s="1"/>
  <c r="BL303" i="25"/>
  <c r="BK303" i="25"/>
  <c r="AA141" i="29"/>
  <c r="BL287" i="25"/>
  <c r="BY287" i="25"/>
  <c r="CA287" i="25" s="1"/>
  <c r="CB287" i="25" s="1"/>
  <c r="BK287" i="25"/>
  <c r="AJ135" i="29"/>
  <c r="AK135" i="29" s="1"/>
  <c r="AA136" i="29"/>
  <c r="AJ298" i="29"/>
  <c r="AK298" i="29" s="1"/>
  <c r="AA299" i="29"/>
  <c r="BL136" i="25"/>
  <c r="BY136" i="25"/>
  <c r="CA136" i="25" s="1"/>
  <c r="CB136" i="25" s="1"/>
  <c r="BK136" i="25"/>
  <c r="AA352" i="29"/>
  <c r="AJ468" i="29"/>
  <c r="AK468" i="29" s="1"/>
  <c r="AA469" i="29"/>
  <c r="AJ282" i="29"/>
  <c r="AK282" i="29" s="1"/>
  <c r="AA283" i="29"/>
  <c r="AA512" i="29"/>
  <c r="AJ511" i="29"/>
  <c r="AK511" i="29" s="1"/>
  <c r="BY38" i="25"/>
  <c r="CA38" i="25" s="1"/>
  <c r="CB38" i="25" s="1"/>
  <c r="BL38" i="25"/>
  <c r="BY16" i="25"/>
  <c r="CA16" i="25" s="1"/>
  <c r="CB16" i="25" s="1"/>
  <c r="BL16" i="25"/>
  <c r="BY181" i="25"/>
  <c r="CA181" i="25" s="1"/>
  <c r="BL181" i="25"/>
  <c r="BK181" i="25"/>
  <c r="AJ487" i="29"/>
  <c r="AK487" i="29" s="1"/>
  <c r="AA488" i="29"/>
  <c r="AA220" i="29"/>
  <c r="BY172" i="25"/>
  <c r="CA172" i="25" s="1"/>
  <c r="BL172" i="25"/>
  <c r="BK172" i="25"/>
  <c r="AA449" i="29"/>
  <c r="AA534" i="29"/>
  <c r="BY100" i="25"/>
  <c r="CA100" i="25" s="1"/>
  <c r="CB100" i="25" s="1"/>
  <c r="BL100" i="25"/>
  <c r="AJ286" i="29"/>
  <c r="AK286" i="29" s="1"/>
  <c r="AA287" i="29"/>
  <c r="AA390" i="29"/>
  <c r="AJ389" i="29"/>
  <c r="AK389" i="29" s="1"/>
  <c r="AJ563" i="29"/>
  <c r="AK563" i="29" s="1"/>
  <c r="AA564" i="29"/>
  <c r="BY134" i="25"/>
  <c r="CA134" i="25" s="1"/>
  <c r="CB134" i="25" s="1"/>
  <c r="BL134" i="25"/>
  <c r="BK134" i="25"/>
  <c r="AA443" i="29"/>
  <c r="AJ442" i="29"/>
  <c r="AK442" i="29" s="1"/>
  <c r="AA374" i="29"/>
  <c r="AJ100" i="29"/>
  <c r="AK100" i="29" s="1"/>
  <c r="AA101" i="29"/>
  <c r="AJ248" i="29"/>
  <c r="AK248" i="29" s="1"/>
  <c r="AA249" i="29"/>
  <c r="AA551" i="29"/>
  <c r="AJ550" i="29"/>
  <c r="AK550" i="29" s="1"/>
  <c r="AA161" i="29"/>
  <c r="AJ160" i="29"/>
  <c r="AK160" i="29" s="1"/>
  <c r="AA501" i="29"/>
  <c r="AJ500" i="29"/>
  <c r="AK500" i="29" s="1"/>
  <c r="AA108" i="29"/>
  <c r="BL160" i="25"/>
  <c r="BY160" i="25"/>
  <c r="CA160" i="25" s="1"/>
  <c r="BK160" i="25"/>
  <c r="AA344" i="29"/>
  <c r="AJ385" i="29"/>
  <c r="AK385" i="29" s="1"/>
  <c r="AA386" i="29"/>
  <c r="AA17" i="29"/>
  <c r="AJ16" i="29"/>
  <c r="AK16" i="29" s="1"/>
  <c r="BY308" i="25"/>
  <c r="CA308" i="25" s="1"/>
  <c r="CB308" i="25" s="1"/>
  <c r="BL308" i="25"/>
  <c r="BK308" i="25"/>
  <c r="BY135" i="25"/>
  <c r="CA135" i="25" s="1"/>
  <c r="BL135" i="25"/>
  <c r="BK135" i="25"/>
  <c r="AA151" i="29"/>
  <c r="AA570" i="29"/>
  <c r="AJ569" i="29"/>
  <c r="AK569" i="29" s="1"/>
  <c r="AA446" i="29"/>
  <c r="AJ445" i="29"/>
  <c r="AK445" i="29" s="1"/>
  <c r="BY309" i="25"/>
  <c r="CA309" i="25" s="1"/>
  <c r="CB309" i="25" s="1"/>
  <c r="BL309" i="25"/>
  <c r="BK309" i="25"/>
  <c r="BL74" i="25"/>
  <c r="BY74" i="25"/>
  <c r="CA74" i="25" s="1"/>
  <c r="AJ259" i="29"/>
  <c r="AK259" i="29" s="1"/>
  <c r="AA260" i="29"/>
  <c r="AA555" i="29"/>
  <c r="AJ554" i="29"/>
  <c r="AK554" i="29" s="1"/>
  <c r="AA316" i="29"/>
  <c r="AA532" i="29"/>
  <c r="AJ87" i="29"/>
  <c r="AK87" i="29" s="1"/>
  <c r="AA88" i="29"/>
  <c r="AA468" i="29"/>
  <c r="AJ467" i="29"/>
  <c r="AK467" i="29" s="1"/>
  <c r="BY216" i="25"/>
  <c r="CA216" i="25" s="1"/>
  <c r="CB216" i="25" s="1"/>
  <c r="BL216" i="25"/>
  <c r="BK216" i="25"/>
  <c r="AA261" i="29"/>
  <c r="AJ260" i="29"/>
  <c r="AK260" i="29" s="1"/>
  <c r="AA103" i="29"/>
  <c r="AJ102" i="29"/>
  <c r="AK102" i="29" s="1"/>
  <c r="AA44" i="29"/>
  <c r="AJ43" i="29"/>
  <c r="AK43" i="29" s="1"/>
  <c r="BL123" i="25"/>
  <c r="BY123" i="25"/>
  <c r="CA123" i="25" s="1"/>
  <c r="CB123" i="25" s="1"/>
  <c r="BK123" i="25"/>
  <c r="AA328" i="29"/>
  <c r="AJ327" i="29"/>
  <c r="AK327" i="29" s="1"/>
  <c r="AJ537" i="29"/>
  <c r="AK537" i="29" s="1"/>
  <c r="AA538" i="29"/>
  <c r="AA269" i="29"/>
  <c r="AJ268" i="29"/>
  <c r="AK268" i="29" s="1"/>
  <c r="AA420" i="29"/>
  <c r="AJ419" i="29"/>
  <c r="AK419" i="29" s="1"/>
  <c r="BY244" i="25"/>
  <c r="CA244" i="25" s="1"/>
  <c r="CB244" i="25" s="1"/>
  <c r="BL244" i="25"/>
  <c r="BK244" i="25"/>
  <c r="BL236" i="25"/>
  <c r="BY236" i="25"/>
  <c r="CA236" i="25" s="1"/>
  <c r="CB236" i="25" s="1"/>
  <c r="BK236" i="25"/>
  <c r="AJ366" i="29"/>
  <c r="AK366" i="29" s="1"/>
  <c r="AA367" i="29"/>
  <c r="BY279" i="25"/>
  <c r="CA279" i="25" s="1"/>
  <c r="CB279" i="25" s="1"/>
  <c r="BL279" i="25"/>
  <c r="BK279" i="25"/>
  <c r="AJ144" i="29"/>
  <c r="AK144" i="29" s="1"/>
  <c r="AA145" i="29"/>
  <c r="AA327" i="29"/>
  <c r="AA174" i="29"/>
  <c r="AJ173" i="29"/>
  <c r="AK173" i="29" s="1"/>
  <c r="BY61" i="25"/>
  <c r="CA61" i="25" s="1"/>
  <c r="CB61" i="25" s="1"/>
  <c r="BL61" i="25"/>
  <c r="BY49" i="25"/>
  <c r="CA49" i="25" s="1"/>
  <c r="CB49" i="25" s="1"/>
  <c r="BL49" i="25"/>
  <c r="AA436" i="29"/>
  <c r="AJ435" i="29"/>
  <c r="AK435" i="29" s="1"/>
  <c r="AJ455" i="29"/>
  <c r="AK455" i="29" s="1"/>
  <c r="AA456" i="29"/>
  <c r="AJ172" i="29"/>
  <c r="AK172" i="29" s="1"/>
  <c r="AA173" i="29"/>
  <c r="BY266" i="25"/>
  <c r="CA266" i="25" s="1"/>
  <c r="CB266" i="25" s="1"/>
  <c r="BL266" i="25"/>
  <c r="BK266" i="25"/>
  <c r="BY159" i="25"/>
  <c r="CA159" i="25" s="1"/>
  <c r="BL159" i="25"/>
  <c r="BK159" i="25"/>
  <c r="AJ456" i="29"/>
  <c r="AK456" i="29" s="1"/>
  <c r="AA457" i="29"/>
  <c r="AA423" i="29"/>
  <c r="AJ454" i="29"/>
  <c r="AK454" i="29" s="1"/>
  <c r="AA455" i="29"/>
  <c r="AA609" i="29"/>
  <c r="AJ608" i="29"/>
  <c r="AK608" i="29" s="1"/>
  <c r="AJ85" i="29"/>
  <c r="AK85" i="29" s="1"/>
  <c r="AA86" i="29"/>
  <c r="BL297" i="25"/>
  <c r="BY297" i="25"/>
  <c r="CA297" i="25" s="1"/>
  <c r="CB297" i="25" s="1"/>
  <c r="BK297" i="25"/>
  <c r="AJ394" i="29"/>
  <c r="AK394" i="29" s="1"/>
  <c r="AA395" i="29"/>
  <c r="AA143" i="29"/>
  <c r="AJ605" i="29"/>
  <c r="AK605" i="29" s="1"/>
  <c r="AA606" i="29"/>
  <c r="BY141" i="25"/>
  <c r="CA141" i="25" s="1"/>
  <c r="CB141" i="25" s="1"/>
  <c r="BL141" i="25"/>
  <c r="BK141" i="25"/>
  <c r="BY19" i="25"/>
  <c r="CA19" i="25" s="1"/>
  <c r="CB19" i="25" s="1"/>
  <c r="BL19" i="25"/>
  <c r="AA163" i="29"/>
  <c r="AJ162" i="29"/>
  <c r="AK162" i="29" s="1"/>
  <c r="AJ367" i="29"/>
  <c r="AK367" i="29" s="1"/>
  <c r="AA368" i="29"/>
  <c r="AA388" i="29"/>
  <c r="AJ387" i="29"/>
  <c r="AK387" i="29" s="1"/>
  <c r="AA194" i="29"/>
  <c r="AJ193" i="29"/>
  <c r="AK193" i="29" s="1"/>
  <c r="AA385" i="29"/>
  <c r="AJ384" i="29"/>
  <c r="AK384" i="29" s="1"/>
  <c r="AA61" i="29"/>
  <c r="AJ60" i="29"/>
  <c r="AK60" i="29" s="1"/>
  <c r="AJ553" i="29"/>
  <c r="AK553" i="29" s="1"/>
  <c r="AA554" i="29"/>
  <c r="AA155" i="29"/>
  <c r="BY197" i="25"/>
  <c r="CA197" i="25" s="1"/>
  <c r="CB197" i="25" s="1"/>
  <c r="BL197" i="25"/>
  <c r="BK197" i="25"/>
  <c r="BY268" i="25"/>
  <c r="CA268" i="25" s="1"/>
  <c r="CB268" i="25" s="1"/>
  <c r="BL268" i="25"/>
  <c r="BK268" i="25"/>
  <c r="BY137" i="25"/>
  <c r="CA137" i="25" s="1"/>
  <c r="CB137" i="25" s="1"/>
  <c r="BL137" i="25"/>
  <c r="BK137" i="25"/>
  <c r="AJ344" i="29"/>
  <c r="AK344" i="29" s="1"/>
  <c r="AA345" i="29"/>
  <c r="BY57" i="25"/>
  <c r="CA57" i="25" s="1"/>
  <c r="CB57" i="25" s="1"/>
  <c r="BL57" i="25"/>
  <c r="BL218" i="25"/>
  <c r="BY218" i="25"/>
  <c r="CA218" i="25" s="1"/>
  <c r="CB218" i="25" s="1"/>
  <c r="BK218" i="25"/>
  <c r="AA225" i="29"/>
  <c r="AJ224" i="29"/>
  <c r="AK224" i="29" s="1"/>
  <c r="AA376" i="29"/>
  <c r="AA71" i="29"/>
  <c r="AA504" i="29"/>
  <c r="AJ503" i="29"/>
  <c r="AK503" i="29" s="1"/>
  <c r="AJ540" i="29"/>
  <c r="AK540" i="29" s="1"/>
  <c r="AA541" i="29"/>
  <c r="BY165" i="25"/>
  <c r="CA165" i="25" s="1"/>
  <c r="BL165" i="25"/>
  <c r="BK165" i="25"/>
  <c r="AA394" i="29"/>
  <c r="AJ393" i="29"/>
  <c r="AK393" i="29" s="1"/>
  <c r="AA14" i="29"/>
  <c r="AA478" i="29"/>
  <c r="AJ477" i="29"/>
  <c r="AK477" i="29" s="1"/>
  <c r="BL285" i="25"/>
  <c r="BY285" i="25"/>
  <c r="CA285" i="25" s="1"/>
  <c r="CB285" i="25" s="1"/>
  <c r="BK285" i="25"/>
  <c r="AA464" i="29"/>
  <c r="AA349" i="29"/>
  <c r="AA253" i="29"/>
  <c r="AJ252" i="29"/>
  <c r="AK252" i="29" s="1"/>
  <c r="BY145" i="25"/>
  <c r="CA145" i="25" s="1"/>
  <c r="CB145" i="25" s="1"/>
  <c r="BL145" i="25"/>
  <c r="BK145" i="25"/>
  <c r="AJ578" i="29"/>
  <c r="AK578" i="29" s="1"/>
  <c r="AA579" i="29"/>
  <c r="AA563" i="29"/>
  <c r="AA191" i="29"/>
  <c r="AJ190" i="29"/>
  <c r="AK190" i="29" s="1"/>
  <c r="AA414" i="29"/>
  <c r="AJ413" i="29"/>
  <c r="AK413" i="29" s="1"/>
  <c r="AJ103" i="29"/>
  <c r="AK103" i="29" s="1"/>
  <c r="AA104" i="29"/>
  <c r="AJ361" i="29"/>
  <c r="AK361" i="29" s="1"/>
  <c r="AA362" i="29"/>
  <c r="BY302" i="25"/>
  <c r="CA302" i="25" s="1"/>
  <c r="CB302" i="25" s="1"/>
  <c r="BL302" i="25"/>
  <c r="BK302" i="25"/>
  <c r="AA16" i="29"/>
  <c r="AJ261" i="29"/>
  <c r="AK261" i="29" s="1"/>
  <c r="AA262" i="29"/>
  <c r="AA494" i="29"/>
  <c r="BY86" i="25"/>
  <c r="CA86" i="25" s="1"/>
  <c r="CB86" i="25" s="1"/>
  <c r="BL86" i="25"/>
  <c r="BL93" i="25"/>
  <c r="BY93" i="25"/>
  <c r="CA93" i="25" s="1"/>
  <c r="CB93" i="25" s="1"/>
  <c r="BY116" i="25"/>
  <c r="CA116" i="25" s="1"/>
  <c r="CB116" i="25" s="1"/>
  <c r="BL116" i="25"/>
  <c r="BK116" i="25"/>
  <c r="AA265" i="29"/>
  <c r="AJ264" i="29"/>
  <c r="AK264" i="29" s="1"/>
  <c r="AA182" i="29"/>
  <c r="AJ181" i="29"/>
  <c r="AK181" i="29" s="1"/>
  <c r="AJ29" i="29"/>
  <c r="AK29" i="29" s="1"/>
  <c r="AA30" i="29"/>
  <c r="AA76" i="29"/>
  <c r="AA549" i="29"/>
  <c r="AJ548" i="29"/>
  <c r="AK548" i="29" s="1"/>
  <c r="AA459" i="29"/>
  <c r="AJ458" i="29"/>
  <c r="AK458" i="29" s="1"/>
  <c r="AA78" i="29"/>
  <c r="AJ77" i="29"/>
  <c r="AK77" i="29" s="1"/>
  <c r="BY210" i="25"/>
  <c r="CA210" i="25" s="1"/>
  <c r="BL210" i="25"/>
  <c r="BK210" i="25"/>
  <c r="AA223" i="29"/>
  <c r="BL224" i="25"/>
  <c r="BY224" i="25"/>
  <c r="CA224" i="25" s="1"/>
  <c r="CB224" i="25" s="1"/>
  <c r="BK224" i="25"/>
  <c r="AJ461" i="29"/>
  <c r="AK461" i="29" s="1"/>
  <c r="AA462" i="29"/>
  <c r="BY312" i="25"/>
  <c r="CA312" i="25" s="1"/>
  <c r="CB312" i="25" s="1"/>
  <c r="BL312" i="25"/>
  <c r="BK312" i="25"/>
  <c r="AJ376" i="29"/>
  <c r="AK376" i="29" s="1"/>
  <c r="AA377" i="29"/>
  <c r="AJ195" i="29"/>
  <c r="AK195" i="29" s="1"/>
  <c r="AA196" i="29"/>
  <c r="BL99" i="25"/>
  <c r="BY99" i="25"/>
  <c r="CA99" i="25" s="1"/>
  <c r="CB99" i="25" s="1"/>
  <c r="AA550" i="29"/>
  <c r="AJ549" i="29"/>
  <c r="AK549" i="29" s="1"/>
  <c r="AA209" i="29"/>
  <c r="AJ208" i="29"/>
  <c r="AK208" i="29" s="1"/>
  <c r="AA295" i="29"/>
  <c r="AJ294" i="29"/>
  <c r="AK294" i="29" s="1"/>
  <c r="AJ226" i="29"/>
  <c r="AK226" i="29" s="1"/>
  <c r="AA227" i="29"/>
  <c r="AA27" i="29"/>
  <c r="AA19" i="29"/>
  <c r="AJ18" i="29"/>
  <c r="AK18" i="29" s="1"/>
  <c r="AA380" i="29"/>
  <c r="AJ379" i="29"/>
  <c r="AK379" i="29" s="1"/>
  <c r="AA601" i="29"/>
  <c r="AJ600" i="29"/>
  <c r="AK600" i="29" s="1"/>
  <c r="AA137" i="29"/>
  <c r="AJ136" i="29"/>
  <c r="AK136" i="29" s="1"/>
  <c r="AA273" i="29"/>
  <c r="AJ272" i="29"/>
  <c r="AK272" i="29" s="1"/>
  <c r="AA426" i="29"/>
  <c r="AJ425" i="29"/>
  <c r="AK425" i="29" s="1"/>
  <c r="BL128" i="25"/>
  <c r="BY128" i="25"/>
  <c r="CA128" i="25" s="1"/>
  <c r="CB128" i="25" s="1"/>
  <c r="BK128" i="25"/>
  <c r="BY15" i="25"/>
  <c r="CA15" i="25" s="1"/>
  <c r="CB15" i="25" s="1"/>
  <c r="BL15" i="25"/>
  <c r="AA74" i="29"/>
  <c r="AJ73" i="29"/>
  <c r="AK73" i="29" s="1"/>
  <c r="BY64" i="25"/>
  <c r="CA64" i="25" s="1"/>
  <c r="BL64" i="25"/>
  <c r="AA176" i="29"/>
  <c r="AJ175" i="29"/>
  <c r="AK175" i="29" s="1"/>
  <c r="AA346" i="29"/>
  <c r="AJ345" i="29"/>
  <c r="AK345" i="29" s="1"/>
  <c r="BL60" i="25"/>
  <c r="BY60" i="25"/>
  <c r="CA60" i="25" s="1"/>
  <c r="CB60" i="25" s="1"/>
  <c r="AJ267" i="29"/>
  <c r="AK267" i="29" s="1"/>
  <c r="AA268" i="29"/>
  <c r="BY151" i="25"/>
  <c r="CA151" i="25" s="1"/>
  <c r="BL151" i="25"/>
  <c r="BK151" i="25"/>
  <c r="AJ111" i="29"/>
  <c r="AK111" i="29" s="1"/>
  <c r="AA112" i="29"/>
  <c r="AA415" i="29"/>
  <c r="AJ414" i="29"/>
  <c r="AK414" i="29" s="1"/>
  <c r="AA482" i="29"/>
  <c r="AJ481" i="29"/>
  <c r="AK481" i="29" s="1"/>
  <c r="AJ65" i="29"/>
  <c r="AK65" i="29" s="1"/>
  <c r="AA66" i="29"/>
  <c r="AA35" i="29"/>
  <c r="AJ34" i="29"/>
  <c r="AK34" i="29" s="1"/>
  <c r="AJ287" i="29"/>
  <c r="AK287" i="29" s="1"/>
  <c r="AA288" i="29"/>
  <c r="AA337" i="29"/>
  <c r="AA442" i="29"/>
  <c r="AA188" i="29"/>
  <c r="BY290" i="25"/>
  <c r="CA290" i="25" s="1"/>
  <c r="CB290" i="25" s="1"/>
  <c r="BL290" i="25"/>
  <c r="BK290" i="25"/>
  <c r="AG585" i="29"/>
  <c r="W585" i="29"/>
  <c r="AJ585" i="29" s="1"/>
  <c r="AK585" i="29" s="1"/>
  <c r="BY195" i="25"/>
  <c r="CA195" i="25" s="1"/>
  <c r="CB195" i="25" s="1"/>
  <c r="BL195" i="25"/>
  <c r="BK195" i="25"/>
  <c r="AA192" i="29"/>
  <c r="AJ191" i="29"/>
  <c r="AK191" i="29" s="1"/>
  <c r="AJ143" i="29"/>
  <c r="AK143" i="29" s="1"/>
  <c r="AA144" i="29"/>
  <c r="AJ167" i="29"/>
  <c r="AK167" i="29" s="1"/>
  <c r="AA168" i="29"/>
  <c r="AA243" i="29"/>
  <c r="AJ281" i="29"/>
  <c r="AK281" i="29" s="1"/>
  <c r="AA282" i="29"/>
  <c r="AJ599" i="29"/>
  <c r="AK599" i="29" s="1"/>
  <c r="AA600" i="29"/>
  <c r="AA354" i="29"/>
  <c r="AJ551" i="29"/>
  <c r="AK551" i="29" s="1"/>
  <c r="AA552" i="29"/>
  <c r="AA537" i="29"/>
  <c r="AJ536" i="29"/>
  <c r="AK536" i="29" s="1"/>
  <c r="BY121" i="25"/>
  <c r="CA121" i="25" s="1"/>
  <c r="CB121" i="25" s="1"/>
  <c r="BL121" i="25"/>
  <c r="BK121" i="25"/>
  <c r="AA54" i="29"/>
  <c r="AJ53" i="29"/>
  <c r="AK53" i="29" s="1"/>
  <c r="AJ388" i="29"/>
  <c r="AK388" i="29" s="1"/>
  <c r="AA389" i="29"/>
  <c r="AA302" i="29"/>
  <c r="AA612" i="29"/>
  <c r="AJ611" i="29"/>
  <c r="AK611" i="29" s="1"/>
  <c r="BY182" i="25"/>
  <c r="CA182" i="25" s="1"/>
  <c r="BL182" i="25"/>
  <c r="BK182" i="25"/>
  <c r="AA21" i="29"/>
  <c r="AJ20" i="29"/>
  <c r="AK20" i="29" s="1"/>
  <c r="AA45" i="29"/>
  <c r="AJ44" i="29"/>
  <c r="AK44" i="29" s="1"/>
  <c r="AA256" i="29"/>
  <c r="AJ255" i="29"/>
  <c r="AK255" i="29" s="1"/>
  <c r="AJ59" i="29"/>
  <c r="AK59" i="29" s="1"/>
  <c r="AA60" i="29"/>
  <c r="BY227" i="25"/>
  <c r="CA227" i="25" s="1"/>
  <c r="CB227" i="25" s="1"/>
  <c r="BL227" i="25"/>
  <c r="BK227" i="25"/>
  <c r="AJ295" i="29"/>
  <c r="AK295" i="29" s="1"/>
  <c r="AA296" i="29"/>
  <c r="BY269" i="25"/>
  <c r="CA269" i="25" s="1"/>
  <c r="CB269" i="25" s="1"/>
  <c r="BL269" i="25"/>
  <c r="BK269" i="25"/>
  <c r="AA589" i="29"/>
  <c r="AA298" i="29"/>
  <c r="AJ95" i="29"/>
  <c r="AK95" i="29" s="1"/>
  <c r="AA96" i="29"/>
  <c r="BL112" i="25"/>
  <c r="BY112" i="25"/>
  <c r="CA112" i="25" s="1"/>
  <c r="CB112" i="25" s="1"/>
  <c r="BK112" i="25"/>
  <c r="AA175" i="29"/>
  <c r="AJ174" i="29"/>
  <c r="AK174" i="29" s="1"/>
  <c r="AA178" i="29"/>
  <c r="BL304" i="25"/>
  <c r="BY304" i="25"/>
  <c r="CA304" i="25" s="1"/>
  <c r="CB304" i="25" s="1"/>
  <c r="BK304" i="25"/>
  <c r="AA370" i="29"/>
  <c r="BY307" i="25"/>
  <c r="CA307" i="25" s="1"/>
  <c r="CB307" i="25" s="1"/>
  <c r="BL307" i="25"/>
  <c r="BK307" i="25"/>
  <c r="BY230" i="25"/>
  <c r="CA230" i="25" s="1"/>
  <c r="CB230" i="25" s="1"/>
  <c r="BL230" i="25"/>
  <c r="BK230" i="25"/>
  <c r="AA518" i="29"/>
  <c r="AJ517" i="29"/>
  <c r="AK517" i="29" s="1"/>
  <c r="AJ19" i="29"/>
  <c r="AK19" i="29" s="1"/>
  <c r="AA20" i="29"/>
  <c r="BY274" i="25"/>
  <c r="CA274" i="25" s="1"/>
  <c r="CB274" i="25" s="1"/>
  <c r="BL274" i="25"/>
  <c r="BK274" i="25"/>
  <c r="AA24" i="29"/>
  <c r="AA258" i="29"/>
  <c r="AJ257" i="29"/>
  <c r="AK257" i="29" s="1"/>
  <c r="AA159" i="29"/>
  <c r="AJ158" i="29"/>
  <c r="AK158" i="29" s="1"/>
  <c r="BY295" i="25"/>
  <c r="CA295" i="25" s="1"/>
  <c r="CB295" i="25" s="1"/>
  <c r="BL295" i="25"/>
  <c r="BK295" i="25"/>
  <c r="AA479" i="29"/>
  <c r="AJ478" i="29"/>
  <c r="AK478" i="29" s="1"/>
  <c r="AA477" i="29"/>
  <c r="AJ476" i="29"/>
  <c r="AK476" i="29" s="1"/>
  <c r="AA333" i="29"/>
  <c r="AJ332" i="29"/>
  <c r="AK332" i="29" s="1"/>
  <c r="BL184" i="25"/>
  <c r="BY184" i="25"/>
  <c r="CA184" i="25" s="1"/>
  <c r="BK184" i="25"/>
  <c r="AA281" i="29"/>
  <c r="AJ50" i="29"/>
  <c r="AK50" i="29" s="1"/>
  <c r="AA51" i="29"/>
  <c r="BY120" i="25"/>
  <c r="CA120" i="25" s="1"/>
  <c r="CB120" i="25" s="1"/>
  <c r="BL120" i="25"/>
  <c r="BK120" i="25"/>
  <c r="AA545" i="29"/>
  <c r="AJ544" i="29"/>
  <c r="AK544" i="29" s="1"/>
  <c r="AA323" i="29"/>
  <c r="BY25" i="25"/>
  <c r="CA25" i="25" s="1"/>
  <c r="CB25" i="25" s="1"/>
  <c r="BL25" i="25"/>
  <c r="AA559" i="29"/>
  <c r="AJ558" i="29"/>
  <c r="AK558" i="29" s="1"/>
  <c r="BY115" i="25"/>
  <c r="CA115" i="25" s="1"/>
  <c r="CB115" i="25" s="1"/>
  <c r="BL115" i="25"/>
  <c r="BK115" i="25"/>
  <c r="BL249" i="25"/>
  <c r="BY249" i="25"/>
  <c r="CA249" i="25" s="1"/>
  <c r="CB249" i="25" s="1"/>
  <c r="BK249" i="25"/>
  <c r="AA171" i="29"/>
  <c r="AJ64" i="29"/>
  <c r="AK64" i="29" s="1"/>
  <c r="AA65" i="29"/>
  <c r="AA338" i="29"/>
  <c r="AJ337" i="29"/>
  <c r="AK337" i="29" s="1"/>
  <c r="AJ408" i="29"/>
  <c r="AK408" i="29" s="1"/>
  <c r="AA409" i="29"/>
  <c r="AA313" i="29"/>
  <c r="AA57" i="29"/>
  <c r="AA208" i="29"/>
  <c r="AJ134" i="29"/>
  <c r="AK134" i="29" s="1"/>
  <c r="AA135" i="29"/>
  <c r="AJ354" i="29"/>
  <c r="AK354" i="29" s="1"/>
  <c r="AA355" i="29"/>
  <c r="AJ364" i="29"/>
  <c r="AK364" i="29" s="1"/>
  <c r="AA365" i="29"/>
  <c r="AA36" i="29"/>
  <c r="AJ35" i="29"/>
  <c r="AK35" i="29" s="1"/>
  <c r="BY103" i="25"/>
  <c r="CA103" i="25" s="1"/>
  <c r="CB103" i="25" s="1"/>
  <c r="BL103" i="25"/>
  <c r="AJ274" i="29"/>
  <c r="AK274" i="29" s="1"/>
  <c r="AA275" i="29"/>
  <c r="AJ362" i="29"/>
  <c r="AK362" i="29" s="1"/>
  <c r="AA363" i="29"/>
  <c r="AA230" i="29"/>
  <c r="AJ229" i="29"/>
  <c r="AK229" i="29" s="1"/>
  <c r="AJ377" i="29"/>
  <c r="AK377" i="29" s="1"/>
  <c r="AA378" i="29"/>
  <c r="BY138" i="25"/>
  <c r="CA138" i="25" s="1"/>
  <c r="BL138" i="25"/>
  <c r="BK138" i="25"/>
  <c r="BY277" i="25"/>
  <c r="CA277" i="25" s="1"/>
  <c r="CB277" i="25" s="1"/>
  <c r="BL277" i="25"/>
  <c r="BK277" i="25"/>
  <c r="BL221" i="25"/>
  <c r="BY221" i="25"/>
  <c r="CA221" i="25" s="1"/>
  <c r="CB221" i="25" s="1"/>
  <c r="BK221" i="25"/>
  <c r="BY124" i="25"/>
  <c r="CA124" i="25" s="1"/>
  <c r="CB124" i="25" s="1"/>
  <c r="BL124" i="25"/>
  <c r="BK124" i="25"/>
  <c r="BY117" i="25"/>
  <c r="CA117" i="25" s="1"/>
  <c r="CB117" i="25" s="1"/>
  <c r="BL117" i="25"/>
  <c r="BK117" i="25"/>
  <c r="AA290" i="29"/>
  <c r="AA32" i="29"/>
  <c r="AJ31" i="29"/>
  <c r="AK31" i="29" s="1"/>
  <c r="AA42" i="29"/>
  <c r="AH585" i="29"/>
  <c r="X585" i="29"/>
  <c r="Y585" i="29" s="1"/>
  <c r="AA500" i="29"/>
  <c r="AJ499" i="29"/>
  <c r="AK499" i="29" s="1"/>
  <c r="BY70" i="25"/>
  <c r="CA70" i="25" s="1"/>
  <c r="CB70" i="25" s="1"/>
  <c r="BL70" i="25"/>
  <c r="AJ211" i="29"/>
  <c r="AK211" i="29" s="1"/>
  <c r="AA212" i="29"/>
  <c r="AA190" i="29"/>
  <c r="AJ189" i="29"/>
  <c r="AK189" i="29" s="1"/>
  <c r="BL196" i="25"/>
  <c r="BY196" i="25"/>
  <c r="CA196" i="25" s="1"/>
  <c r="BK196" i="25"/>
  <c r="AA581" i="29"/>
  <c r="AJ580" i="29"/>
  <c r="AK580" i="29" s="1"/>
  <c r="AA22" i="29"/>
  <c r="AJ21" i="29"/>
  <c r="AK21" i="29" s="1"/>
  <c r="AA548" i="29"/>
  <c r="BY66" i="25"/>
  <c r="CA66" i="25" s="1"/>
  <c r="CB66" i="25" s="1"/>
  <c r="BL66" i="25"/>
  <c r="AA574" i="29"/>
  <c r="AA119" i="29"/>
  <c r="AJ118" i="29"/>
  <c r="AK118" i="29" s="1"/>
  <c r="BY12" i="25"/>
  <c r="CA12" i="25" s="1"/>
  <c r="CB12" i="25" s="1"/>
  <c r="BL12" i="25"/>
  <c r="AA110" i="29"/>
  <c r="AA300" i="29"/>
  <c r="AJ299" i="29"/>
  <c r="AK299" i="29" s="1"/>
  <c r="AJ482" i="29"/>
  <c r="AK482" i="29" s="1"/>
  <c r="AA483" i="29"/>
  <c r="AA411" i="29"/>
  <c r="AA540" i="29"/>
  <c r="AJ539" i="29"/>
  <c r="AK539" i="29" s="1"/>
  <c r="BY132" i="25"/>
  <c r="CA132" i="25" s="1"/>
  <c r="BL132" i="25"/>
  <c r="BK132" i="25"/>
  <c r="AJ519" i="29"/>
  <c r="AK519" i="29" s="1"/>
  <c r="AA520" i="29"/>
  <c r="AA48" i="29"/>
  <c r="AJ47" i="29"/>
  <c r="AK47" i="29" s="1"/>
  <c r="AJ228" i="29"/>
  <c r="AK228" i="29" s="1"/>
  <c r="AA229" i="29"/>
  <c r="AA307" i="29"/>
  <c r="AJ306" i="29"/>
  <c r="AK306" i="29" s="1"/>
  <c r="BY17" i="25"/>
  <c r="CA17" i="25" s="1"/>
  <c r="CB17" i="25" s="1"/>
  <c r="BL17" i="25"/>
  <c r="BL164" i="25"/>
  <c r="BY164" i="25"/>
  <c r="CA164" i="25" s="1"/>
  <c r="BK164" i="25"/>
  <c r="BY152" i="25"/>
  <c r="CA152" i="25" s="1"/>
  <c r="CB152" i="25" s="1"/>
  <c r="BL152" i="25"/>
  <c r="BK152" i="25"/>
  <c r="AA106" i="29"/>
  <c r="AJ105" i="29"/>
  <c r="AK105" i="29" s="1"/>
  <c r="AA117" i="29"/>
  <c r="AA46" i="29"/>
  <c r="AJ45" i="29"/>
  <c r="AK45" i="29" s="1"/>
  <c r="AA580" i="29"/>
  <c r="AJ579" i="29"/>
  <c r="AK579" i="29" s="1"/>
  <c r="AA593" i="29"/>
  <c r="AJ592" i="29"/>
  <c r="AK592" i="29" s="1"/>
  <c r="AA189" i="29"/>
  <c r="AJ188" i="29"/>
  <c r="AK188" i="29" s="1"/>
  <c r="AJ265" i="29"/>
  <c r="AK265" i="29" s="1"/>
  <c r="AA266" i="29"/>
  <c r="AA126" i="29"/>
  <c r="AJ125" i="29"/>
  <c r="AK125" i="29" s="1"/>
  <c r="BY52" i="25"/>
  <c r="CA52" i="25" s="1"/>
  <c r="BL52" i="25"/>
  <c r="AA505" i="29"/>
  <c r="AJ504" i="29"/>
  <c r="AK504" i="29" s="1"/>
  <c r="AA602" i="29"/>
  <c r="AJ601" i="29"/>
  <c r="AK601" i="29" s="1"/>
  <c r="AJ232" i="29"/>
  <c r="AK232" i="29" s="1"/>
  <c r="AA233" i="29"/>
  <c r="AA484" i="29"/>
  <c r="AJ483" i="29"/>
  <c r="AK483" i="29" s="1"/>
  <c r="BL90" i="25"/>
  <c r="BY90" i="25"/>
  <c r="CA90" i="25" s="1"/>
  <c r="AA165" i="29"/>
  <c r="AA18" i="29"/>
  <c r="AJ17" i="29"/>
  <c r="AK17" i="29" s="1"/>
  <c r="AA510" i="29"/>
  <c r="AJ509" i="29"/>
  <c r="AK509" i="29" s="1"/>
  <c r="AA379" i="29"/>
  <c r="AJ378" i="29"/>
  <c r="AK378" i="29" s="1"/>
  <c r="AJ568" i="29"/>
  <c r="AK568" i="29" s="1"/>
  <c r="AA569" i="29"/>
  <c r="AA239" i="29"/>
  <c r="AJ238" i="29"/>
  <c r="AK238" i="29" s="1"/>
  <c r="AA536" i="29"/>
  <c r="AJ535" i="29"/>
  <c r="AK535" i="29" s="1"/>
  <c r="BL111" i="25"/>
  <c r="BY111" i="25"/>
  <c r="CA111" i="25" s="1"/>
  <c r="CB111" i="25" s="1"/>
  <c r="BK111" i="25"/>
  <c r="AA162" i="29"/>
  <c r="AJ161" i="29"/>
  <c r="AK161" i="29" s="1"/>
  <c r="AA366" i="29"/>
  <c r="AJ365" i="29"/>
  <c r="AK365" i="29" s="1"/>
  <c r="AJ545" i="29"/>
  <c r="AK545" i="29" s="1"/>
  <c r="AA546" i="29"/>
  <c r="BY166" i="25"/>
  <c r="CA166" i="25" s="1"/>
  <c r="BL166" i="25"/>
  <c r="BK166" i="25"/>
  <c r="AA470" i="29"/>
  <c r="AJ469" i="29"/>
  <c r="AK469" i="29" s="1"/>
  <c r="AJ508" i="29"/>
  <c r="AK508" i="29" s="1"/>
  <c r="AA509" i="29"/>
  <c r="AA62" i="29"/>
  <c r="AJ61" i="29"/>
  <c r="AK61" i="29" s="1"/>
  <c r="AA447" i="29"/>
  <c r="AJ446" i="29"/>
  <c r="AK446" i="29" s="1"/>
  <c r="AA152" i="29"/>
  <c r="AJ151" i="29"/>
  <c r="AK151" i="29" s="1"/>
  <c r="AA517" i="29"/>
  <c r="AJ516" i="29"/>
  <c r="AK516" i="29" s="1"/>
  <c r="AA308" i="29"/>
  <c r="AJ307" i="29"/>
  <c r="AK307" i="29" s="1"/>
  <c r="BY207" i="25"/>
  <c r="CA207" i="25" s="1"/>
  <c r="BL207" i="25"/>
  <c r="BK207" i="25"/>
  <c r="AA607" i="29"/>
  <c r="AJ606" i="29"/>
  <c r="AK606" i="29" s="1"/>
  <c r="AJ583" i="29"/>
  <c r="AK583" i="29" s="1"/>
  <c r="AA584" i="29"/>
  <c r="AA530" i="29"/>
  <c r="BY7" i="25"/>
  <c r="CA7" i="25" s="1"/>
  <c r="CB7" i="25" s="1"/>
  <c r="BL7" i="25"/>
  <c r="AA318" i="29"/>
  <c r="AJ317" i="29"/>
  <c r="AK317" i="29" s="1"/>
  <c r="BY288" i="25"/>
  <c r="CA288" i="25" s="1"/>
  <c r="CB288" i="25" s="1"/>
  <c r="BL288" i="25"/>
  <c r="BK288" i="25"/>
  <c r="BY180" i="25"/>
  <c r="CA180" i="25" s="1"/>
  <c r="BL180" i="25"/>
  <c r="BK180" i="25"/>
  <c r="AA543" i="29"/>
  <c r="BY183" i="25"/>
  <c r="CA183" i="25" s="1"/>
  <c r="BL183" i="25"/>
  <c r="BK183" i="25"/>
  <c r="BY222" i="25"/>
  <c r="CA222" i="25" s="1"/>
  <c r="CB222" i="25" s="1"/>
  <c r="BL222" i="25"/>
  <c r="BK222" i="25"/>
  <c r="BY127" i="25"/>
  <c r="CA127" i="25" s="1"/>
  <c r="CB127" i="25" s="1"/>
  <c r="BL127" i="25"/>
  <c r="BK127" i="25"/>
  <c r="AJ113" i="29"/>
  <c r="AK113" i="29" s="1"/>
  <c r="AA114" i="29"/>
  <c r="BY235" i="25"/>
  <c r="CA235" i="25" s="1"/>
  <c r="CB235" i="25" s="1"/>
  <c r="BL235" i="25"/>
  <c r="BK235" i="25"/>
  <c r="AA384" i="29"/>
  <c r="AA121" i="29"/>
  <c r="AJ120" i="29"/>
  <c r="AK120" i="29" s="1"/>
  <c r="BY42" i="25"/>
  <c r="CA42" i="25" s="1"/>
  <c r="CB42" i="25" s="1"/>
  <c r="BL42" i="25"/>
  <c r="AA124" i="29"/>
  <c r="AJ123" i="29"/>
  <c r="AK123" i="29" s="1"/>
  <c r="AA118" i="29"/>
  <c r="AJ117" i="29"/>
  <c r="AK117" i="29" s="1"/>
  <c r="BL188" i="25"/>
  <c r="BY188" i="25"/>
  <c r="CA188" i="25" s="1"/>
  <c r="BK188" i="25"/>
  <c r="AJ403" i="29"/>
  <c r="AK403" i="29" s="1"/>
  <c r="AA404" i="29"/>
  <c r="BL58" i="25"/>
  <c r="BY58" i="25"/>
  <c r="CA58" i="25" s="1"/>
  <c r="CB58" i="25" s="1"/>
  <c r="AA466" i="29"/>
  <c r="AA472" i="29"/>
  <c r="AJ471" i="29"/>
  <c r="AK471" i="29" s="1"/>
  <c r="BY105" i="25"/>
  <c r="CA105" i="25" s="1"/>
  <c r="BL105" i="25"/>
  <c r="AA252" i="29"/>
  <c r="AA467" i="29"/>
  <c r="AJ466" i="29"/>
  <c r="AK466" i="29" s="1"/>
  <c r="AA83" i="29"/>
  <c r="BL81" i="25"/>
  <c r="BY81" i="25"/>
  <c r="CA81" i="25" s="1"/>
  <c r="AJ303" i="29"/>
  <c r="AK303" i="29" s="1"/>
  <c r="AA304" i="29"/>
  <c r="AA58" i="29"/>
  <c r="AJ57" i="29"/>
  <c r="AK57" i="29" s="1"/>
  <c r="BL202" i="25"/>
  <c r="BY202" i="25"/>
  <c r="CA202" i="25" s="1"/>
  <c r="BK202" i="25"/>
  <c r="AJ110" i="29"/>
  <c r="AK110" i="29" s="1"/>
  <c r="AA111" i="29"/>
  <c r="AJ323" i="29"/>
  <c r="AK323" i="29" s="1"/>
  <c r="AA324" i="29"/>
  <c r="AA604" i="29"/>
  <c r="AJ225" i="29"/>
  <c r="AK225" i="29" s="1"/>
  <c r="AA226" i="29"/>
  <c r="AA527" i="29"/>
  <c r="BY18" i="25"/>
  <c r="CA18" i="25" s="1"/>
  <c r="CB18" i="25" s="1"/>
  <c r="BL18" i="25"/>
  <c r="AA167" i="29"/>
  <c r="BY223" i="25"/>
  <c r="CA223" i="25" s="1"/>
  <c r="CB223" i="25" s="1"/>
  <c r="BL223" i="25"/>
  <c r="BK223" i="25"/>
  <c r="AA491" i="29"/>
  <c r="AJ490" i="29"/>
  <c r="AK490" i="29" s="1"/>
  <c r="AA321" i="29"/>
  <c r="AJ320" i="29"/>
  <c r="AK320" i="29" s="1"/>
  <c r="AA486" i="29"/>
  <c r="AJ485" i="29"/>
  <c r="AK485" i="29" s="1"/>
  <c r="AA292" i="29"/>
  <c r="BL45" i="25"/>
  <c r="BY45" i="25"/>
  <c r="CA45" i="25" s="1"/>
  <c r="AJ380" i="29"/>
  <c r="AK380" i="29" s="1"/>
  <c r="AA381" i="29"/>
  <c r="BY40" i="25"/>
  <c r="CA40" i="25" s="1"/>
  <c r="CB40" i="25" s="1"/>
  <c r="BL40" i="25"/>
  <c r="D65" i="29"/>
  <c r="E61" i="1" s="1"/>
  <c r="D62" i="29"/>
  <c r="D66" i="29" s="1"/>
  <c r="E63" i="1" s="1"/>
  <c r="AA566" i="29"/>
  <c r="AJ565" i="29"/>
  <c r="AK565" i="29" s="1"/>
  <c r="AJ370" i="29"/>
  <c r="AK370" i="29" s="1"/>
  <c r="AA371" i="29"/>
  <c r="BL149" i="25"/>
  <c r="BY149" i="25"/>
  <c r="CA149" i="25" s="1"/>
  <c r="CB149" i="25" s="1"/>
  <c r="BK149" i="25"/>
  <c r="AJ171" i="29"/>
  <c r="AK171" i="29" s="1"/>
  <c r="AA172" i="29"/>
  <c r="AA105" i="29"/>
  <c r="AJ104" i="29"/>
  <c r="AK104" i="29" s="1"/>
  <c r="BY171" i="25"/>
  <c r="CA171" i="25" s="1"/>
  <c r="BL171" i="25"/>
  <c r="BK171" i="25"/>
  <c r="AA92" i="29"/>
  <c r="BY54" i="25"/>
  <c r="CA54" i="25" s="1"/>
  <c r="CB54" i="25" s="1"/>
  <c r="BL54" i="25"/>
  <c r="AA93" i="29"/>
  <c r="AJ92" i="29"/>
  <c r="AK92" i="29" s="1"/>
  <c r="AA453" i="29"/>
  <c r="AJ452" i="29"/>
  <c r="AK452" i="29" s="1"/>
  <c r="AJ283" i="29"/>
  <c r="AK283" i="29" s="1"/>
  <c r="AA284" i="29"/>
  <c r="BL313" i="25"/>
  <c r="BY313" i="25"/>
  <c r="CA313" i="25" s="1"/>
  <c r="CB313" i="25" s="1"/>
  <c r="BK313" i="25"/>
  <c r="AJ423" i="29"/>
  <c r="AK423" i="29" s="1"/>
  <c r="AA424" i="29"/>
  <c r="AA428" i="29"/>
  <c r="AJ427" i="29"/>
  <c r="AK427" i="29" s="1"/>
  <c r="AA417" i="29"/>
  <c r="AJ416" i="29"/>
  <c r="AK416" i="29" s="1"/>
  <c r="BL101" i="25"/>
  <c r="BY101" i="25"/>
  <c r="CA101" i="25" s="1"/>
  <c r="AJ390" i="29"/>
  <c r="AK390" i="29" s="1"/>
  <c r="AA391" i="29"/>
  <c r="AJ512" i="29"/>
  <c r="AK512" i="29" s="1"/>
  <c r="AA513" i="29"/>
  <c r="BL68" i="25"/>
  <c r="BY68" i="25"/>
  <c r="CA68" i="25" s="1"/>
  <c r="CB68" i="25" s="1"/>
  <c r="AA523" i="29"/>
  <c r="AA94" i="29"/>
  <c r="AJ93" i="29"/>
  <c r="AK93" i="29" s="1"/>
  <c r="BY78" i="25"/>
  <c r="CA78" i="25" s="1"/>
  <c r="CB78" i="25" s="1"/>
  <c r="BL78" i="25"/>
  <c r="AJ523" i="29"/>
  <c r="AK523" i="29" s="1"/>
  <c r="AA524" i="29"/>
  <c r="BL139" i="25"/>
  <c r="BY139" i="25"/>
  <c r="CA139" i="25" s="1"/>
  <c r="CB139" i="25" s="1"/>
  <c r="BK139" i="25"/>
  <c r="BY37" i="25"/>
  <c r="CA37" i="25" s="1"/>
  <c r="CB37" i="25" s="1"/>
  <c r="BL37" i="25"/>
  <c r="BY299" i="25"/>
  <c r="CA299" i="25" s="1"/>
  <c r="CB299" i="25" s="1"/>
  <c r="BL299" i="25"/>
  <c r="BK299" i="25"/>
  <c r="AJ567" i="29"/>
  <c r="AK567" i="29" s="1"/>
  <c r="AA568" i="29"/>
  <c r="AJ227" i="29"/>
  <c r="AK227" i="29" s="1"/>
  <c r="AA228" i="29"/>
  <c r="BL46" i="25"/>
  <c r="BY46" i="25"/>
  <c r="CA46" i="25" s="1"/>
  <c r="CB46" i="25" s="1"/>
  <c r="AA139" i="29"/>
  <c r="AJ138" i="29"/>
  <c r="AK138" i="29" s="1"/>
  <c r="BY20" i="25"/>
  <c r="CA20" i="25" s="1"/>
  <c r="CB20" i="25" s="1"/>
  <c r="BL20" i="25"/>
  <c r="AJ417" i="29"/>
  <c r="AK417" i="29" s="1"/>
  <c r="AA418" i="29"/>
  <c r="AA250" i="29"/>
  <c r="AJ249" i="29"/>
  <c r="AK249" i="29" s="1"/>
  <c r="BL156" i="25"/>
  <c r="BY156" i="25"/>
  <c r="CA156" i="25" s="1"/>
  <c r="BK156" i="25"/>
  <c r="AA400" i="29"/>
  <c r="AJ399" i="29"/>
  <c r="AK399" i="29" s="1"/>
  <c r="AA461" i="29"/>
  <c r="AJ460" i="29"/>
  <c r="AK460" i="29" s="1"/>
  <c r="AA235" i="29"/>
  <c r="AJ457" i="29"/>
  <c r="AK457" i="29" s="1"/>
  <c r="AA458" i="29"/>
  <c r="AA80" i="29"/>
  <c r="AJ79" i="29"/>
  <c r="AK79" i="29" s="1"/>
  <c r="AA309" i="29"/>
  <c r="AJ308" i="29"/>
  <c r="AK308" i="29" s="1"/>
  <c r="AJ201" i="29"/>
  <c r="AK201" i="29" s="1"/>
  <c r="AA202" i="29"/>
  <c r="BL298" i="25"/>
  <c r="BY298" i="25"/>
  <c r="CA298" i="25" s="1"/>
  <c r="CB298" i="25" s="1"/>
  <c r="BK298" i="25"/>
  <c r="AA427" i="29"/>
  <c r="AJ426" i="29"/>
  <c r="AK426" i="29" s="1"/>
  <c r="AJ46" i="29"/>
  <c r="AK46" i="29" s="1"/>
  <c r="AA47" i="29"/>
  <c r="AJ127" i="29"/>
  <c r="AK127" i="29" s="1"/>
  <c r="AA128" i="29"/>
  <c r="BY140" i="25"/>
  <c r="CA140" i="25" s="1"/>
  <c r="CB140" i="25" s="1"/>
  <c r="BL140" i="25"/>
  <c r="BK140" i="25"/>
  <c r="AA440" i="29"/>
  <c r="BY311" i="25"/>
  <c r="CA311" i="25" s="1"/>
  <c r="CB311" i="25" s="1"/>
  <c r="BL311" i="25"/>
  <c r="BK311" i="25"/>
  <c r="BY251" i="25"/>
  <c r="CA251" i="25" s="1"/>
  <c r="CB251" i="25" s="1"/>
  <c r="BL251" i="25"/>
  <c r="BK251" i="25"/>
  <c r="AJ604" i="29"/>
  <c r="AK604" i="29" s="1"/>
  <c r="AA605" i="29"/>
  <c r="AA157" i="29"/>
  <c r="BL219" i="25"/>
  <c r="BY219" i="25"/>
  <c r="CA219" i="25" s="1"/>
  <c r="CB219" i="25" s="1"/>
  <c r="BK219" i="25"/>
  <c r="AA508" i="29"/>
  <c r="AJ574" i="29"/>
  <c r="AK574" i="29" s="1"/>
  <c r="AA575" i="29"/>
  <c r="AA113" i="29"/>
  <c r="AJ112" i="29"/>
  <c r="AK112" i="29" s="1"/>
  <c r="AA591" i="29"/>
  <c r="AJ590" i="29"/>
  <c r="AK590" i="29" s="1"/>
  <c r="AA544" i="29"/>
  <c r="AJ543" i="29"/>
  <c r="AK543" i="29" s="1"/>
  <c r="AA334" i="29"/>
  <c r="AJ333" i="29"/>
  <c r="AK333" i="29" s="1"/>
  <c r="BY191" i="25"/>
  <c r="CA191" i="25" s="1"/>
  <c r="BL191" i="25"/>
  <c r="BK191" i="25"/>
  <c r="CB188" i="25" l="1"/>
  <c r="CF188" i="25"/>
  <c r="CB56" i="25"/>
  <c r="CF56" i="25"/>
  <c r="CB205" i="25"/>
  <c r="CF205" i="25"/>
  <c r="CB200" i="25"/>
  <c r="CF200" i="25"/>
  <c r="CB153" i="25"/>
  <c r="CF153" i="25"/>
  <c r="CB64" i="25"/>
  <c r="CF64" i="25"/>
  <c r="CB193" i="25"/>
  <c r="CF193" i="25"/>
  <c r="CB159" i="25"/>
  <c r="CF159" i="25"/>
  <c r="CB81" i="25"/>
  <c r="CF81" i="25"/>
  <c r="CB164" i="25"/>
  <c r="CF164" i="25"/>
  <c r="CB101" i="25"/>
  <c r="CF101" i="25"/>
  <c r="CB185" i="25"/>
  <c r="CF185" i="25"/>
  <c r="CB169" i="25"/>
  <c r="CF169" i="25"/>
  <c r="CB181" i="25"/>
  <c r="CF181" i="25"/>
  <c r="AJ342" i="29"/>
  <c r="AK342" i="29" s="1"/>
  <c r="CB151" i="25"/>
  <c r="CF151" i="25"/>
  <c r="AA562" i="29"/>
  <c r="AJ561" i="29"/>
  <c r="AK561" i="29" s="1"/>
  <c r="AA603" i="29"/>
  <c r="CB98" i="25"/>
  <c r="CF98" i="25"/>
  <c r="AA49" i="29"/>
  <c r="AA343" i="29"/>
  <c r="AA153" i="29"/>
  <c r="CB191" i="25"/>
  <c r="CF191" i="25"/>
  <c r="CB184" i="25"/>
  <c r="CF184" i="25"/>
  <c r="CB203" i="25"/>
  <c r="CF203" i="25"/>
  <c r="AJ603" i="29"/>
  <c r="AK603" i="29" s="1"/>
  <c r="CB172" i="25"/>
  <c r="CF172" i="25"/>
  <c r="CB202" i="25"/>
  <c r="CF202" i="25"/>
  <c r="AJ507" i="29"/>
  <c r="AK507" i="29" s="1"/>
  <c r="AA322" i="29"/>
  <c r="AJ321" i="29"/>
  <c r="AK321" i="29" s="1"/>
  <c r="AA98" i="29"/>
  <c r="AJ165" i="29"/>
  <c r="AK165" i="29" s="1"/>
  <c r="AA166" i="29"/>
  <c r="AA198" i="29"/>
  <c r="AA109" i="29"/>
  <c r="CB183" i="25"/>
  <c r="CF183" i="25"/>
  <c r="AK80" i="29"/>
  <c r="AJ88" i="29"/>
  <c r="AK88" i="29" s="1"/>
  <c r="AJ493" i="29"/>
  <c r="AK493" i="29" s="1"/>
  <c r="AJ207" i="29"/>
  <c r="AK207" i="29" s="1"/>
  <c r="CB180" i="25"/>
  <c r="CF180" i="25"/>
  <c r="AJ206" i="29"/>
  <c r="AK206" i="29" s="1"/>
  <c r="CB80" i="25"/>
  <c r="CF80" i="25"/>
  <c r="CB52" i="25"/>
  <c r="CF52" i="25"/>
  <c r="CB90" i="25"/>
  <c r="CF90" i="25"/>
  <c r="AJ108" i="29"/>
  <c r="AK108" i="29" s="1"/>
  <c r="CB196" i="25"/>
  <c r="CF196" i="25"/>
  <c r="AJ492" i="29"/>
  <c r="AK492" i="29" s="1"/>
  <c r="AA357" i="29"/>
  <c r="AJ348" i="29"/>
  <c r="AK348" i="29" s="1"/>
  <c r="AA270" i="29"/>
  <c r="AJ122" i="29"/>
  <c r="AK122" i="29" s="1"/>
  <c r="AA507" i="29"/>
  <c r="AJ465" i="29"/>
  <c r="AK465" i="29" s="1"/>
  <c r="AJ329" i="29"/>
  <c r="AK329" i="29" s="1"/>
  <c r="AA465" i="29"/>
  <c r="AA122" i="29"/>
  <c r="AJ330" i="29"/>
  <c r="AK330" i="29" s="1"/>
  <c r="AA571" i="29"/>
  <c r="AJ216" i="29"/>
  <c r="AK216" i="29" s="1"/>
  <c r="AJ571" i="29"/>
  <c r="AK571" i="29" s="1"/>
  <c r="AA557" i="29"/>
  <c r="AJ146" i="29"/>
  <c r="AK146" i="29" s="1"/>
  <c r="AJ147" i="29"/>
  <c r="AK147" i="29" s="1"/>
  <c r="AJ351" i="29"/>
  <c r="AK351" i="29" s="1"/>
  <c r="AJ184" i="29"/>
  <c r="AK184" i="29" s="1"/>
  <c r="AJ13" i="29"/>
  <c r="AK13" i="29" s="1"/>
  <c r="AA185" i="29"/>
  <c r="AA598" i="29"/>
  <c r="AJ597" i="29"/>
  <c r="AK597" i="29" s="1"/>
  <c r="AJ69" i="29"/>
  <c r="AK69" i="29" s="1"/>
  <c r="AA107" i="29"/>
  <c r="AJ373" i="29"/>
  <c r="AK373" i="29" s="1"/>
  <c r="AJ234" i="29"/>
  <c r="AK234" i="29" s="1"/>
  <c r="AJ115" i="29"/>
  <c r="AK115" i="29" s="1"/>
  <c r="AA373" i="29"/>
  <c r="AA115" i="29"/>
  <c r="AJ233" i="29"/>
  <c r="AK233" i="29" s="1"/>
  <c r="CB105" i="25"/>
  <c r="B270" i="2" s="1"/>
  <c r="CF105" i="25"/>
  <c r="AA547" i="29"/>
  <c r="CB132" i="25"/>
  <c r="CF132" i="25"/>
  <c r="CB165" i="25"/>
  <c r="CF165" i="25"/>
  <c r="AJ107" i="29"/>
  <c r="AK107" i="29" s="1"/>
  <c r="AJ422" i="29"/>
  <c r="AK422" i="29" s="1"/>
  <c r="AJ340" i="29"/>
  <c r="AK340" i="29" s="1"/>
  <c r="AA341" i="29"/>
  <c r="AJ24" i="29"/>
  <c r="AK24" i="29" s="1"/>
  <c r="AJ51" i="29"/>
  <c r="AK51" i="29" s="1"/>
  <c r="AJ25" i="29"/>
  <c r="AK25" i="29" s="1"/>
  <c r="CB207" i="25"/>
  <c r="CF207" i="25"/>
  <c r="AJ70" i="29"/>
  <c r="AK70" i="29" s="1"/>
  <c r="AJ326" i="29"/>
  <c r="AK326" i="29" s="1"/>
  <c r="AJ156" i="29"/>
  <c r="AK156" i="29" s="1"/>
  <c r="AA52" i="29"/>
  <c r="AJ428" i="29"/>
  <c r="AK428" i="29" s="1"/>
  <c r="AJ291" i="29"/>
  <c r="AK291" i="29" s="1"/>
  <c r="AA291" i="29"/>
  <c r="AJ253" i="29"/>
  <c r="AK253" i="29" s="1"/>
  <c r="AA254" i="29"/>
  <c r="AJ513" i="29"/>
  <c r="AK513" i="29" s="1"/>
  <c r="AJ547" i="29"/>
  <c r="AK547" i="29" s="1"/>
  <c r="AA326" i="29"/>
  <c r="AJ498" i="29"/>
  <c r="AK498" i="29" s="1"/>
  <c r="AA156" i="29"/>
  <c r="AJ586" i="29"/>
  <c r="AK586" i="29" s="1"/>
  <c r="AJ497" i="29"/>
  <c r="AK497" i="29" s="1"/>
  <c r="CB209" i="25"/>
  <c r="CF209" i="25"/>
  <c r="AJ116" i="29"/>
  <c r="AK116" i="29" s="1"/>
  <c r="AA242" i="29"/>
  <c r="AJ270" i="29"/>
  <c r="AK270" i="29" s="1"/>
  <c r="AA116" i="29"/>
  <c r="AJ215" i="29"/>
  <c r="AK215" i="29" s="1"/>
  <c r="AA150" i="29"/>
  <c r="AJ209" i="29"/>
  <c r="AK209" i="29" s="1"/>
  <c r="AJ350" i="29"/>
  <c r="AK350" i="29" s="1"/>
  <c r="AJ347" i="29"/>
  <c r="AK347" i="29" s="1"/>
  <c r="AJ89" i="29"/>
  <c r="AK89" i="29" s="1"/>
  <c r="AA480" i="29"/>
  <c r="AJ480" i="29"/>
  <c r="AK480" i="29" s="1"/>
  <c r="AJ90" i="29"/>
  <c r="AK90" i="29" s="1"/>
  <c r="AJ526" i="29"/>
  <c r="AK526" i="29" s="1"/>
  <c r="AJ346" i="29"/>
  <c r="AK346" i="29" s="1"/>
  <c r="AA347" i="29"/>
  <c r="AJ525" i="29"/>
  <c r="AK525" i="29" s="1"/>
  <c r="AJ529" i="29"/>
  <c r="AK529" i="29" s="1"/>
  <c r="AJ289" i="29"/>
  <c r="AK289" i="29" s="1"/>
  <c r="AJ528" i="29"/>
  <c r="AK528" i="29" s="1"/>
  <c r="AA289" i="29"/>
  <c r="AJ139" i="29"/>
  <c r="AK139" i="29" s="1"/>
  <c r="AJ186" i="29"/>
  <c r="AK186" i="29" s="1"/>
  <c r="AJ187" i="29"/>
  <c r="AK187" i="29" s="1"/>
  <c r="AA219" i="29"/>
  <c r="AJ400" i="29"/>
  <c r="AK400" i="29" s="1"/>
  <c r="AA401" i="29"/>
  <c r="AA406" i="29"/>
  <c r="AJ222" i="29"/>
  <c r="AK222" i="29" s="1"/>
  <c r="AJ405" i="29"/>
  <c r="AK405" i="29" s="1"/>
  <c r="CB138" i="25"/>
  <c r="CF138" i="25"/>
  <c r="CB55" i="25"/>
  <c r="CF55" i="25"/>
  <c r="AA140" i="29"/>
  <c r="AJ164" i="29"/>
  <c r="AK164" i="29" s="1"/>
  <c r="AA514" i="29"/>
  <c r="AJ463" i="29"/>
  <c r="AK463" i="29" s="1"/>
  <c r="AJ83" i="29"/>
  <c r="AK83" i="29" s="1"/>
  <c r="AA84" i="29"/>
  <c r="AJ462" i="29"/>
  <c r="AK462" i="29" s="1"/>
  <c r="AJ130" i="29"/>
  <c r="AK130" i="29" s="1"/>
  <c r="AA130" i="29"/>
  <c r="AJ421" i="29"/>
  <c r="AK421" i="29" s="1"/>
  <c r="AJ163" i="29"/>
  <c r="AK163" i="29" s="1"/>
  <c r="AJ242" i="29"/>
  <c r="AK242" i="29" s="1"/>
  <c r="AJ210" i="29"/>
  <c r="AK210" i="29" s="1"/>
  <c r="AJ149" i="29"/>
  <c r="AK149" i="29" s="1"/>
  <c r="AA133" i="29"/>
  <c r="AJ41" i="29"/>
  <c r="AK41" i="29" s="1"/>
  <c r="AJ40" i="29"/>
  <c r="AK40" i="29" s="1"/>
  <c r="AA502" i="29"/>
  <c r="AJ555" i="29"/>
  <c r="AK555" i="29" s="1"/>
  <c r="AA154" i="29"/>
  <c r="AA439" i="29"/>
  <c r="AJ153" i="29"/>
  <c r="AK153" i="29" s="1"/>
  <c r="AJ439" i="29"/>
  <c r="AK439" i="29" s="1"/>
  <c r="AA142" i="29"/>
  <c r="AJ502" i="29"/>
  <c r="AK502" i="29" s="1"/>
  <c r="AJ169" i="29"/>
  <c r="AK169" i="29" s="1"/>
  <c r="AA91" i="29"/>
  <c r="AA610" i="29"/>
  <c r="AJ609" i="29"/>
  <c r="AK609" i="29" s="1"/>
  <c r="AJ447" i="29"/>
  <c r="AK447" i="29" s="1"/>
  <c r="AJ522" i="29"/>
  <c r="AK522" i="29" s="1"/>
  <c r="AJ170" i="29"/>
  <c r="AK170" i="29" s="1"/>
  <c r="AA448" i="29"/>
  <c r="AJ521" i="29"/>
  <c r="AK521" i="29" s="1"/>
  <c r="AJ132" i="29"/>
  <c r="AK132" i="29" s="1"/>
  <c r="AJ221" i="29"/>
  <c r="AK221" i="29" s="1"/>
  <c r="AJ220" i="29"/>
  <c r="AK220" i="29" s="1"/>
  <c r="AJ556" i="29"/>
  <c r="AK556" i="29" s="1"/>
  <c r="AJ176" i="29"/>
  <c r="AK176" i="29" s="1"/>
  <c r="AJ141" i="29"/>
  <c r="AK141" i="29" s="1"/>
  <c r="AA336" i="29"/>
  <c r="AJ474" i="29"/>
  <c r="AK474" i="29" s="1"/>
  <c r="AJ335" i="29"/>
  <c r="AK335" i="29" s="1"/>
  <c r="AJ218" i="29"/>
  <c r="AK218" i="29" s="1"/>
  <c r="AA149" i="29"/>
  <c r="AJ148" i="29"/>
  <c r="AK148" i="29" s="1"/>
  <c r="AJ217" i="29"/>
  <c r="AK217" i="29" s="1"/>
  <c r="AJ473" i="29"/>
  <c r="AK473" i="29" s="1"/>
  <c r="AJ177" i="29"/>
  <c r="AK177" i="29" s="1"/>
  <c r="AJ588" i="29"/>
  <c r="AK588" i="29" s="1"/>
  <c r="AJ349" i="29"/>
  <c r="AK349" i="29" s="1"/>
  <c r="AJ587" i="29"/>
  <c r="AK587" i="29" s="1"/>
  <c r="AA350" i="29"/>
  <c r="CB208" i="25"/>
  <c r="CF208" i="25"/>
  <c r="AJ356" i="29"/>
  <c r="AK356" i="29" s="1"/>
  <c r="AA99" i="29"/>
  <c r="AJ441" i="29"/>
  <c r="AK441" i="29" s="1"/>
  <c r="AJ98" i="29"/>
  <c r="AK98" i="29" s="1"/>
  <c r="AJ278" i="29"/>
  <c r="AK278" i="29" s="1"/>
  <c r="AA573" i="29"/>
  <c r="AJ572" i="29"/>
  <c r="AK572" i="29" s="1"/>
  <c r="CB45" i="25"/>
  <c r="CF45" i="25"/>
  <c r="AJ411" i="29"/>
  <c r="AK411" i="29" s="1"/>
  <c r="AJ239" i="29"/>
  <c r="AK239" i="29" s="1"/>
  <c r="CB135" i="25"/>
  <c r="CF135" i="25"/>
  <c r="AA412" i="29"/>
  <c r="CB175" i="25"/>
  <c r="CF175" i="25"/>
  <c r="AJ296" i="29"/>
  <c r="AK296" i="29" s="1"/>
  <c r="AA297" i="29"/>
  <c r="CB182" i="25"/>
  <c r="CF182" i="25"/>
  <c r="AJ429" i="29"/>
  <c r="AK429" i="29" s="1"/>
  <c r="AJ183" i="29"/>
  <c r="AK183" i="29" s="1"/>
  <c r="AA312" i="29"/>
  <c r="AJ182" i="29"/>
  <c r="AK182" i="29" s="1"/>
  <c r="AJ527" i="29"/>
  <c r="AK527" i="29" s="1"/>
  <c r="AJ74" i="29"/>
  <c r="AK74" i="29" s="1"/>
  <c r="AA75" i="29"/>
  <c r="AA240" i="29"/>
  <c r="AJ56" i="29"/>
  <c r="AK56" i="29" s="1"/>
  <c r="AA356" i="29"/>
  <c r="AJ430" i="29"/>
  <c r="AK430" i="29" s="1"/>
  <c r="AA528" i="29"/>
  <c r="AJ312" i="29"/>
  <c r="AK312" i="29" s="1"/>
  <c r="AA533" i="29"/>
  <c r="AA383" i="29"/>
  <c r="AJ250" i="29"/>
  <c r="AK250" i="29" s="1"/>
  <c r="AJ251" i="29"/>
  <c r="AK251" i="29" s="1"/>
  <c r="AJ542" i="29"/>
  <c r="AK542" i="29" s="1"/>
  <c r="AJ22" i="29"/>
  <c r="AK22" i="29" s="1"/>
  <c r="AJ23" i="29"/>
  <c r="AK23" i="29" s="1"/>
  <c r="AJ410" i="29"/>
  <c r="AK410" i="29" s="1"/>
  <c r="AJ279" i="29"/>
  <c r="AK279" i="29" s="1"/>
  <c r="AJ131" i="29"/>
  <c r="AK131" i="29" s="1"/>
  <c r="AJ409" i="29"/>
  <c r="AK409" i="29" s="1"/>
  <c r="AJ280" i="29"/>
  <c r="AK280" i="29" s="1"/>
  <c r="AJ541" i="29"/>
  <c r="AK541" i="29" s="1"/>
  <c r="AA492" i="29"/>
  <c r="AJ491" i="29"/>
  <c r="AK491" i="29" s="1"/>
  <c r="AJ449" i="29"/>
  <c r="AK449" i="29" s="1"/>
  <c r="AA450" i="29"/>
  <c r="AJ179" i="29"/>
  <c r="AK179" i="29" s="1"/>
  <c r="AA245" i="29"/>
  <c r="AJ244" i="29"/>
  <c r="AK244" i="29" s="1"/>
  <c r="AA179" i="29"/>
  <c r="AJ595" i="29"/>
  <c r="AK595" i="29" s="1"/>
  <c r="AA37" i="29"/>
  <c r="AJ433" i="29"/>
  <c r="AK433" i="29" s="1"/>
  <c r="AJ434" i="29"/>
  <c r="AK434" i="29" s="1"/>
  <c r="AA382" i="29"/>
  <c r="AJ55" i="29"/>
  <c r="AK55" i="29" s="1"/>
  <c r="AJ432" i="29"/>
  <c r="AK432" i="29" s="1"/>
  <c r="AJ315" i="29"/>
  <c r="AK315" i="29" s="1"/>
  <c r="AJ382" i="29"/>
  <c r="AK382" i="29" s="1"/>
  <c r="AJ374" i="29"/>
  <c r="AK374" i="29" s="1"/>
  <c r="AJ369" i="29"/>
  <c r="AK369" i="29" s="1"/>
  <c r="AJ314" i="29"/>
  <c r="AK314" i="29" s="1"/>
  <c r="AJ420" i="29"/>
  <c r="AK420" i="29" s="1"/>
  <c r="AA375" i="29"/>
  <c r="AA421" i="29"/>
  <c r="AJ368" i="29"/>
  <c r="AK368" i="29" s="1"/>
  <c r="AJ198" i="29"/>
  <c r="AK198" i="29" s="1"/>
  <c r="AJ37" i="29"/>
  <c r="AK37" i="29" s="1"/>
  <c r="AJ431" i="29"/>
  <c r="AK431" i="29" s="1"/>
  <c r="AJ594" i="29"/>
  <c r="AK594" i="29" s="1"/>
  <c r="AJ300" i="29"/>
  <c r="AK300" i="29" s="1"/>
  <c r="AJ91" i="29"/>
  <c r="AK91" i="29" s="1"/>
  <c r="AA301" i="29"/>
  <c r="AJ533" i="29"/>
  <c r="AK533" i="29" s="1"/>
  <c r="AJ304" i="29"/>
  <c r="AK304" i="29" s="1"/>
  <c r="AA305" i="29"/>
  <c r="AA525" i="29"/>
  <c r="AJ524" i="29"/>
  <c r="AK524" i="29" s="1"/>
  <c r="AA444" i="29"/>
  <c r="AA335" i="29"/>
  <c r="AJ14" i="29"/>
  <c r="AK14" i="29" s="1"/>
  <c r="AJ15" i="29"/>
  <c r="AK15" i="29" s="1"/>
  <c r="AJ353" i="29"/>
  <c r="AK353" i="29" s="1"/>
  <c r="AJ213" i="29"/>
  <c r="AK213" i="29" s="1"/>
  <c r="AJ352" i="29"/>
  <c r="AK352" i="29" s="1"/>
  <c r="AJ212" i="29"/>
  <c r="AK212" i="29" s="1"/>
  <c r="AA26" i="29"/>
  <c r="AA278" i="29"/>
  <c r="AJ334" i="29"/>
  <c r="AK334" i="29" s="1"/>
  <c r="AA531" i="29"/>
  <c r="AJ82" i="29"/>
  <c r="AK82" i="29" s="1"/>
  <c r="AJ530" i="29"/>
  <c r="AK530" i="29" s="1"/>
  <c r="AA360" i="29"/>
  <c r="AJ81" i="29"/>
  <c r="AK81" i="29" s="1"/>
  <c r="AJ360" i="29"/>
  <c r="AK360" i="29" s="1"/>
  <c r="AJ444" i="29"/>
  <c r="AK444" i="29" s="1"/>
  <c r="AJ495" i="29"/>
  <c r="AK495" i="29" s="1"/>
  <c r="AJ309" i="29"/>
  <c r="AK309" i="29" s="1"/>
  <c r="AJ26" i="29"/>
  <c r="AK26" i="29" s="1"/>
  <c r="AA310" i="29"/>
  <c r="AA200" i="29"/>
  <c r="AJ199" i="29"/>
  <c r="AK199" i="29" s="1"/>
  <c r="CB168" i="25"/>
  <c r="CF168" i="25"/>
  <c r="AJ440" i="29"/>
  <c r="AK440" i="29" s="1"/>
  <c r="CF211" i="24"/>
  <c r="AA495" i="29"/>
  <c r="CB102" i="25"/>
  <c r="CF102" i="25"/>
  <c r="CB163" i="25"/>
  <c r="CF163" i="25"/>
  <c r="CB156" i="25"/>
  <c r="CF156" i="25"/>
  <c r="CB79" i="25"/>
  <c r="CF79" i="25"/>
  <c r="CB166" i="25"/>
  <c r="CF166" i="25"/>
  <c r="CB176" i="25"/>
  <c r="CF176" i="25"/>
  <c r="BB212" i="25"/>
  <c r="BS212" i="25" s="1"/>
  <c r="BC212" i="25"/>
  <c r="BT212" i="25" s="1"/>
  <c r="BA212" i="25"/>
  <c r="CB210" i="25"/>
  <c r="CF210" i="25"/>
  <c r="CB72" i="25"/>
  <c r="CF72" i="25"/>
  <c r="CB171" i="25"/>
  <c r="CF171" i="25"/>
  <c r="CB74" i="25"/>
  <c r="CF74" i="25"/>
  <c r="CB160" i="25"/>
  <c r="CF160" i="25"/>
  <c r="AA585" i="29"/>
  <c r="AJ584" i="29"/>
  <c r="AK584" i="29" s="1"/>
  <c r="CB194" i="25"/>
  <c r="CF194" i="25"/>
  <c r="L95" i="2"/>
  <c r="L96" i="2" s="1"/>
  <c r="L26" i="1" s="1"/>
  <c r="BE212" i="25" l="1"/>
  <c r="BR212" i="25"/>
  <c r="BX212" i="25" s="1"/>
  <c r="AK9" i="29"/>
  <c r="W5" i="29" s="1"/>
  <c r="B43" i="29" s="1"/>
  <c r="AK7" i="29"/>
  <c r="AL7" i="29" s="1"/>
  <c r="CF211" i="25"/>
  <c r="BL212" i="25" l="1"/>
  <c r="BY212" i="25"/>
  <c r="CA212" i="25" s="1"/>
  <c r="BK212" i="25"/>
  <c r="W4" i="29"/>
  <c r="G639" i="29" s="1"/>
  <c r="AL9" i="29"/>
  <c r="G617" i="29" l="1"/>
  <c r="J617" i="29" s="1"/>
  <c r="CB212" i="25"/>
  <c r="CF212" i="25"/>
  <c r="B42" i="29"/>
  <c r="G640" i="29"/>
  <c r="G618" i="29" l="1"/>
  <c r="G619" i="29" s="1"/>
  <c r="S617" i="29"/>
  <c r="I617" i="29"/>
  <c r="Q617" i="29"/>
  <c r="L617" i="29"/>
  <c r="AH617" i="29" s="1"/>
  <c r="K617" i="29"/>
  <c r="R617" i="29"/>
  <c r="O617" i="29"/>
  <c r="T617" i="29"/>
  <c r="P617" i="29"/>
  <c r="AG617" i="29" l="1"/>
  <c r="X617" i="29"/>
  <c r="Y617" i="29" s="1"/>
  <c r="AD617" i="29"/>
  <c r="AE617" i="29"/>
  <c r="W617" i="29"/>
  <c r="X62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LM5185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LM5185 low I</t>
        </r>
        <r>
          <rPr>
            <b/>
            <vertAlign val="subscript"/>
            <sz val="9"/>
            <color indexed="81"/>
            <rFont val="Tahoma"/>
            <family val="2"/>
          </rPr>
          <t>Q</t>
        </r>
        <r>
          <rPr>
            <b/>
            <sz val="9"/>
            <color indexed="81"/>
            <rFont val="Tahoma"/>
            <family val="2"/>
          </rPr>
          <t xml:space="preserve"> PSR flyback controller.</t>
        </r>
        <r>
          <rPr>
            <sz val="9"/>
            <color indexed="81"/>
            <rFont val="Tahoma"/>
            <family val="2"/>
          </rPr>
          <t xml:space="preserve"> As such, the user can expeditiously arrive at an optimized design by virtue of the following:
- Select transformer parameters including turns ratio and mag inductance
- Select current sense resistor
- Select power MOSFET parameters including RdsON, Qg and Coss
- Determine input and output capacitances for specified ripple requirements (1% Vout and 5% Vin)
- Select components for feedback, soft-start, input UVLO, and temperature compensation
- Select desired open loop crossover frequency, and choose loop compensation network components 
- Advise componnets (usually optional) for SW voltage clamp and and flyback diode snubber
- Decide the optional use of dummy loads or output Zener clamp 
- Optimize the design using efficiency and solution size as key performance metrics
- Inspect converter efficiency and switching frequency over load and line
- Inspect open loop Bode Plots for appropriate loop design.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b/>
            <sz val="9"/>
            <color indexed="81"/>
            <rFont val="Tahoma"/>
            <family val="2"/>
          </rPr>
          <t>Dislcaimer:</t>
        </r>
        <r>
          <rPr>
            <u/>
            <sz val="9"/>
            <color indexed="12"/>
            <rFont val="Tahoma"/>
            <family val="2"/>
          </rPr>
          <t xml:space="preserve">
https://www.ti.com/legal/important-notice-and-disclaimer.html
</t>
        </r>
        <r>
          <rPr>
            <sz val="9"/>
            <color indexed="81"/>
            <rFont val="Tahoma"/>
            <family val="2"/>
          </rPr>
          <t xml:space="preserve">
</t>
        </r>
        <r>
          <rPr>
            <b/>
            <sz val="9"/>
            <color indexed="81"/>
            <rFont val="Tahoma"/>
            <family val="2"/>
          </rPr>
          <t xml:space="preserve">
Rev 3.1, Youhao Xi, Texas Instruments, Inc.</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LM5185-Q1 product datasheet and EVM user's guides for more details.
</t>
        </r>
        <r>
          <rPr>
            <b/>
            <sz val="9"/>
            <color indexed="81"/>
            <rFont val="Tahoma"/>
            <family val="2"/>
          </rPr>
          <t>Rev 0, WVB/SR/APP,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LM5185 input voltage operating range is 4.5V to 100V.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6" authorId="0" shapeId="0" xr:uid="{00000000-0006-0000-0000-000004000000}">
      <text>
        <r>
          <rPr>
            <b/>
            <u/>
            <sz val="9"/>
            <color indexed="81"/>
            <rFont val="Tahoma"/>
            <family val="2"/>
          </rPr>
          <t>Recommended Magnetizing Inductance</t>
        </r>
        <r>
          <rPr>
            <b/>
            <sz val="9"/>
            <color indexed="81"/>
            <rFont val="Tahoma"/>
            <family val="2"/>
          </rPr>
          <t xml:space="preserve">:
</t>
        </r>
        <r>
          <rPr>
            <sz val="9"/>
            <color indexed="81"/>
            <rFont val="Tahoma"/>
            <family val="2"/>
          </rPr>
          <t>The recommended magnetizing inductance is set to operate at about 200 to 250kHz switching in BCM under full load and Vin_nom. Try not to deviate much from this recommended inductances:
--If the inductance is too high, the transformer would be larger and more expensive.
--If the inductance is too small, the efficiency would be sacrificed due to increase conduction losses with higher peak current.</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LM5185 input voltage operating range is 4.5V to 100V.
</t>
        </r>
        <r>
          <rPr>
            <b/>
            <sz val="9"/>
            <color indexed="81"/>
            <rFont val="Tahoma"/>
            <family val="2"/>
          </rPr>
          <t xml:space="preserve">The text in this cell is red if:
</t>
        </r>
        <r>
          <rPr>
            <sz val="9"/>
            <color indexed="81"/>
            <rFont val="Tahoma"/>
            <family val="2"/>
          </rPr>
          <t>-The Nom Vin is less than Min Vin</t>
        </r>
        <r>
          <rPr>
            <b/>
            <sz val="9"/>
            <color indexed="81"/>
            <rFont val="Tahoma"/>
            <family val="2"/>
          </rPr>
          <t>.</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of your choice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is too small. Increase the choosen value.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LM5185 input voltage operating range is 4.5V to 100V.
</t>
        </r>
        <r>
          <rPr>
            <b/>
            <sz val="9"/>
            <color indexed="81"/>
            <rFont val="Tahoma"/>
            <family val="2"/>
          </rPr>
          <t xml:space="preserve">The text in this cell is red if:
</t>
        </r>
        <r>
          <rPr>
            <sz val="9"/>
            <color indexed="81"/>
            <rFont val="Tahoma"/>
            <family val="2"/>
          </rPr>
          <t xml:space="preserve">-The Max Vin is less than the Nom Vin.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2" authorId="1" shapeId="0" xr:uid="{CAB962D0-E7B4-4770-8363-E972CE1155C9}">
      <text>
        <r>
          <rPr>
            <b/>
            <sz val="9"/>
            <color indexed="81"/>
            <rFont val="Tahoma"/>
            <family val="2"/>
          </rPr>
          <t xml:space="preserve">Proposed turns ratio.
</t>
        </r>
        <r>
          <rPr>
            <sz val="9"/>
            <color indexed="81"/>
            <rFont val="Tahoma"/>
            <family val="2"/>
          </rPr>
          <t xml:space="preserve">The cell will turn red if the duty cycle under VIN(min) exceeds 75%. The design may still work, but you may consider to adjust the turns ration slightly.
</t>
        </r>
      </text>
    </comment>
    <comment ref="F13" authorId="1" shapeId="0" xr:uid="{1722616E-F390-487A-A34E-2B05516BC09F}">
      <text>
        <r>
          <rPr>
            <b/>
            <sz val="9"/>
            <color indexed="81"/>
            <rFont val="Tahoma"/>
            <family val="2"/>
          </rPr>
          <t xml:space="preserve">Second Output Load Current.
</t>
        </r>
        <r>
          <rPr>
            <sz val="9"/>
            <color indexed="81"/>
            <rFont val="Tahoma"/>
            <family val="2"/>
          </rPr>
          <t>The text in the cell will turn</t>
        </r>
        <r>
          <rPr>
            <b/>
            <sz val="9"/>
            <color indexed="10"/>
            <rFont val="Tahoma"/>
            <family val="2"/>
          </rPr>
          <t xml:space="preserve"> red if</t>
        </r>
        <r>
          <rPr>
            <b/>
            <sz val="9"/>
            <color indexed="81"/>
            <rFont val="Tahoma"/>
            <family val="2"/>
          </rPr>
          <t xml:space="preserve"> </t>
        </r>
        <r>
          <rPr>
            <sz val="9"/>
            <color indexed="81"/>
            <rFont val="Tahoma"/>
            <family val="2"/>
          </rPr>
          <t>the current has a different sign from the VOUT2.</t>
        </r>
      </text>
    </comment>
    <comment ref="M15" authorId="0" shapeId="0" xr:uid="{00000000-0006-0000-0000-00000C00000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
If the cell shows "#VALUE!", reduce Rcs value in Cell E17.</t>
        </r>
      </text>
    </comment>
    <comment ref="M16" authorId="0" shapeId="0" xr:uid="{00000000-0006-0000-0000-00000D00000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voltage. Adjust the transformer turns ratio if needed. Allow at least a 10% margin viz-a-viz the required output power.
If the cell shows "#VALUE!", reduce Rcs value in E17.</t>
        </r>
      </text>
    </comment>
    <comment ref="F17" authorId="0" shapeId="0" xr:uid="{00000000-0006-0000-0000-00000E000000}">
      <text>
        <r>
          <rPr>
            <b/>
            <u/>
            <sz val="9"/>
            <color indexed="81"/>
            <rFont val="Tahoma"/>
            <family val="2"/>
          </rPr>
          <t>Current Sense Resistor</t>
        </r>
        <r>
          <rPr>
            <b/>
            <sz val="9"/>
            <color indexed="81"/>
            <rFont val="Tahoma"/>
            <family val="2"/>
          </rPr>
          <t xml:space="preserve">:
</t>
        </r>
        <r>
          <rPr>
            <sz val="9"/>
            <color indexed="81"/>
            <rFont val="Tahoma"/>
            <family val="2"/>
          </rPr>
          <t xml:space="preserve">Enter the current sense resistor value here.
The text in the cell will turn </t>
        </r>
        <r>
          <rPr>
            <b/>
            <sz val="9"/>
            <color indexed="10"/>
            <rFont val="Tahoma"/>
            <family val="2"/>
          </rPr>
          <t xml:space="preserve">  red </t>
        </r>
        <r>
          <rPr>
            <b/>
            <sz val="9"/>
            <color indexed="81"/>
            <rFont val="Tahoma"/>
            <family val="2"/>
          </rPr>
          <t xml:space="preserve"> if the selection is greater tha</t>
        </r>
        <r>
          <rPr>
            <sz val="9"/>
            <color indexed="81"/>
            <rFont val="Tahoma"/>
            <family val="2"/>
          </rPr>
          <t>n the recommended maximum Rcs value, and</t>
        </r>
        <r>
          <rPr>
            <b/>
            <sz val="9"/>
            <color indexed="81"/>
            <rFont val="Tahoma"/>
            <family val="2"/>
          </rPr>
          <t xml:space="preserve"> full load would not be guaranteed</t>
        </r>
        <r>
          <rPr>
            <sz val="9"/>
            <color indexed="81"/>
            <rFont val="Tahoma"/>
            <family val="2"/>
          </rPr>
          <t xml:space="preserve">. </t>
        </r>
      </text>
    </comment>
    <comment ref="F18" authorId="1" shapeId="0" xr:uid="{37226554-35AD-4B24-AFBD-ADB0FE41ABA9}">
      <text>
        <r>
          <rPr>
            <b/>
            <sz val="9"/>
            <color indexed="81"/>
            <rFont val="Tahoma"/>
            <family val="2"/>
          </rPr>
          <t xml:space="preserve">Important: The selected transformer Isat should </t>
        </r>
        <r>
          <rPr>
            <b/>
            <i/>
            <sz val="9"/>
            <color indexed="81"/>
            <rFont val="Tahoma"/>
            <family val="2"/>
          </rPr>
          <t>not</t>
        </r>
        <r>
          <rPr>
            <b/>
            <sz val="9"/>
            <color indexed="81"/>
            <rFont val="Tahoma"/>
            <family val="2"/>
          </rPr>
          <t xml:space="preserve"> be smaller than this value.</t>
        </r>
      </text>
    </comment>
    <comment ref="F23" authorId="1" shapeId="0" xr:uid="{8656CEB6-6ED9-41C6-8605-018CF280C9F0}">
      <text>
        <r>
          <rPr>
            <b/>
            <sz val="9"/>
            <color indexed="81"/>
            <rFont val="Tahoma"/>
            <family val="2"/>
          </rPr>
          <t>Selected Zener Rated Voltage.</t>
        </r>
        <r>
          <rPr>
            <sz val="9"/>
            <color indexed="81"/>
            <rFont val="Tahoma"/>
            <family val="2"/>
          </rPr>
          <t xml:space="preserve">
The text in the cell will turn </t>
        </r>
        <r>
          <rPr>
            <b/>
            <sz val="9"/>
            <color indexed="10"/>
            <rFont val="Tahoma"/>
            <family val="2"/>
          </rPr>
          <t>red if</t>
        </r>
        <r>
          <rPr>
            <sz val="9"/>
            <color indexed="81"/>
            <rFont val="Tahoma"/>
            <family val="2"/>
          </rPr>
          <t xml:space="preserve"> the selected Zener voltage is lower than the recommended value.</t>
        </r>
      </text>
    </comment>
    <comment ref="F24" authorId="1" shapeId="0" xr:uid="{31A291A4-31E5-44E3-9BAC-33CB570C70F5}">
      <text>
        <r>
          <rPr>
            <b/>
            <sz val="9"/>
            <color indexed="81"/>
            <rFont val="Tahoma"/>
            <family val="2"/>
          </rPr>
          <t>Power MOSFET Vds Rating</t>
        </r>
        <r>
          <rPr>
            <sz val="9"/>
            <color indexed="81"/>
            <rFont val="Tahoma"/>
            <family val="2"/>
          </rPr>
          <t xml:space="preserve"> should </t>
        </r>
        <r>
          <rPr>
            <b/>
            <i/>
            <sz val="9"/>
            <color indexed="81"/>
            <rFont val="Tahoma"/>
            <family val="2"/>
          </rPr>
          <t>not</t>
        </r>
        <r>
          <rPr>
            <sz val="9"/>
            <color indexed="81"/>
            <rFont val="Tahoma"/>
            <family val="2"/>
          </rPr>
          <t xml:space="preserve"> be less than this value. 
</t>
        </r>
      </text>
    </comment>
    <comment ref="M24" authorId="0" shapeId="0" xr:uid="{00000000-0006-0000-0000-00000F000000}">
      <text>
        <r>
          <rPr>
            <b/>
            <u/>
            <sz val="9"/>
            <color indexed="81"/>
            <rFont val="Tahoma"/>
            <family val="2"/>
          </rPr>
          <t>MOSFET Qg</t>
        </r>
        <r>
          <rPr>
            <b/>
            <sz val="9"/>
            <color indexed="81"/>
            <rFont val="Tahoma"/>
            <family val="2"/>
          </rPr>
          <t xml:space="preserve">:
</t>
        </r>
        <r>
          <rPr>
            <sz val="9"/>
            <color indexed="81"/>
            <rFont val="Tahoma"/>
            <family val="2"/>
          </rPr>
          <t>Choose a MOSFET having a total gate charge of less than the recommended Max Qg.</t>
        </r>
      </text>
    </comment>
    <comment ref="M25" authorId="0" shapeId="0" xr:uid="{00000000-0006-0000-0000-000010000000}">
      <text>
        <r>
          <rPr>
            <b/>
            <u/>
            <sz val="9"/>
            <color indexed="81"/>
            <rFont val="Tahoma"/>
            <family val="2"/>
          </rPr>
          <t>MOSFET Coss</t>
        </r>
        <r>
          <rPr>
            <sz val="9"/>
            <color indexed="81"/>
            <rFont val="Tahoma"/>
            <family val="2"/>
          </rPr>
          <t xml:space="preserve">
Enter the Coss parameter of selected MOSFET.</t>
        </r>
      </text>
    </comment>
    <comment ref="M26" authorId="0" shapeId="0" xr:uid="{CEB6B93C-5411-41EE-A8C1-47824136DD57}">
      <text>
        <r>
          <rPr>
            <b/>
            <u/>
            <sz val="9"/>
            <color indexed="81"/>
            <rFont val="Tahoma"/>
            <family val="2"/>
          </rPr>
          <t>MOSFET Power Dissipation</t>
        </r>
        <r>
          <rPr>
            <b/>
            <sz val="9"/>
            <color indexed="81"/>
            <rFont val="Tahoma"/>
            <family val="2"/>
          </rPr>
          <t xml:space="preserve">:
</t>
        </r>
        <r>
          <rPr>
            <sz val="9"/>
            <color indexed="81"/>
            <rFont val="Tahoma"/>
            <family val="2"/>
          </rPr>
          <t>Estimated maximum MOSFET power dissipation. Make sure to choose appropriate MOSFET package and/or heatsink for effective heat dissipation.</t>
        </r>
      </text>
    </comment>
    <comment ref="F29" authorId="0" shapeId="0" xr:uid="{00000000-0006-0000-0000-000011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30" authorId="0" shapeId="0" xr:uid="{00000000-0006-0000-0000-000012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31" authorId="0" shapeId="0" xr:uid="{00000000-0006-0000-0000-000013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T31" authorId="1" shapeId="0" xr:uid="{29CE184D-A96B-4A3A-A63A-D90B0214AAB4}">
      <text>
        <r>
          <rPr>
            <b/>
            <sz val="9"/>
            <color indexed="81"/>
            <rFont val="Tahoma"/>
            <family val="2"/>
          </rPr>
          <t xml:space="preserve">Output #2 Diode Forward Voltage Drop at Rated Load Current.
</t>
        </r>
        <r>
          <rPr>
            <sz val="9"/>
            <color indexed="81"/>
            <rFont val="Tahoma"/>
            <family val="2"/>
          </rPr>
          <t>The text in the cell will turn</t>
        </r>
        <r>
          <rPr>
            <b/>
            <sz val="9"/>
            <color indexed="81"/>
            <rFont val="Tahoma"/>
            <family val="2"/>
          </rPr>
          <t xml:space="preserve"> </t>
        </r>
        <r>
          <rPr>
            <b/>
            <sz val="9"/>
            <color indexed="10"/>
            <rFont val="Tahoma"/>
            <family val="2"/>
          </rPr>
          <t>red</t>
        </r>
        <r>
          <rPr>
            <b/>
            <sz val="9"/>
            <color indexed="81"/>
            <rFont val="Tahoma"/>
            <family val="2"/>
          </rPr>
          <t xml:space="preserve"> </t>
        </r>
        <r>
          <rPr>
            <sz val="9"/>
            <color indexed="81"/>
            <rFont val="Tahoma"/>
            <family val="2"/>
          </rPr>
          <t xml:space="preserve">if the forward drop voltage is obviously wrong for being outside the normal 0.3V and 1.5V. 
</t>
        </r>
      </text>
    </comment>
    <comment ref="F33" authorId="0" shapeId="0" xr:uid="{00000000-0006-0000-0000-000014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34" authorId="0" shapeId="0" xr:uid="{00000000-0006-0000-0000-000015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35" authorId="0" shapeId="0" xr:uid="{00000000-0006-0000-0000-000016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40" authorId="1" shapeId="0" xr:uid="{8F39E3FF-D354-49C6-9CDD-AD8F94FD11ED}">
      <text>
        <r>
          <rPr>
            <b/>
            <u/>
            <sz val="9"/>
            <color indexed="81"/>
            <rFont val="Tahoma"/>
            <family val="2"/>
          </rPr>
          <t>Feedback Resistor:</t>
        </r>
        <r>
          <rPr>
            <b/>
            <sz val="9"/>
            <color indexed="81"/>
            <rFont val="Tahoma"/>
            <family val="2"/>
          </rPr>
          <t xml:space="preserve">
</t>
        </r>
        <r>
          <rPr>
            <sz val="9"/>
            <color indexed="81"/>
            <rFont val="Tahoma"/>
            <family val="2"/>
          </rPr>
          <t xml:space="preserve">Choose a standard resistor value most close to above recommend value. To be more precise on Vout setting, you may consider to use a combination of two resistors to sever as the Feedback Resistor.  </t>
        </r>
        <r>
          <rPr>
            <b/>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if the selected Feedback Resistor has more than 3% errors.</t>
        </r>
        <r>
          <rPr>
            <b/>
            <sz val="9"/>
            <color indexed="81"/>
            <rFont val="Tahoma"/>
            <family val="2"/>
          </rPr>
          <t xml:space="preserve">  </t>
        </r>
        <r>
          <rPr>
            <sz val="9"/>
            <color indexed="81"/>
            <rFont val="Tahoma"/>
            <family val="2"/>
          </rPr>
          <t>Correct it by choosing a closer value, or the output voltage would have more errors.</t>
        </r>
        <r>
          <rPr>
            <b/>
            <sz val="9"/>
            <color indexed="81"/>
            <rFont val="Tahoma"/>
            <family val="2"/>
          </rPr>
          <t xml:space="preserve">
</t>
        </r>
      </text>
    </comment>
    <comment ref="F41" authorId="0" shapeId="0" xr:uid="{00000000-0006-0000-0000-000017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 pin open circuit</t>
        </r>
        <r>
          <rPr>
            <sz val="9"/>
            <color indexed="81"/>
            <rFont val="Tahoma"/>
            <family val="2"/>
          </rPr>
          <t xml:space="preserve"> to provide a soft-start time of </t>
        </r>
        <r>
          <rPr>
            <b/>
            <sz val="9"/>
            <color indexed="81"/>
            <rFont val="Tahoma"/>
            <family val="2"/>
          </rPr>
          <t>6ms</t>
        </r>
        <r>
          <rPr>
            <sz val="9"/>
            <color indexed="81"/>
            <rFont val="Tahoma"/>
            <family val="2"/>
          </rPr>
          <t>.</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47" authorId="0" shapeId="0" xr:uid="{00000000-0006-0000-0000-000018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LM5185 input operating voltage range is</t>
        </r>
        <r>
          <rPr>
            <b/>
            <sz val="9"/>
            <color indexed="81"/>
            <rFont val="Tahoma"/>
            <family val="2"/>
          </rPr>
          <t xml:space="preserve"> 4.5V to 100V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100V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58" authorId="1" shapeId="0" xr:uid="{66D463F3-366F-4049-B7E1-9889759B4CB5}">
      <text>
        <r>
          <rPr>
            <b/>
            <sz val="9"/>
            <color indexed="81"/>
            <rFont val="Tahoma"/>
            <family val="2"/>
          </rPr>
          <t>Selected crossover frequency.</t>
        </r>
        <r>
          <rPr>
            <sz val="9"/>
            <color indexed="81"/>
            <rFont val="Tahoma"/>
            <family val="2"/>
          </rPr>
          <t xml:space="preserve">
</t>
        </r>
        <r>
          <rPr>
            <b/>
            <sz val="9"/>
            <color indexed="10"/>
            <rFont val="Tahoma"/>
            <family val="2"/>
          </rPr>
          <t>Cell will turn red if</t>
        </r>
        <r>
          <rPr>
            <sz val="9"/>
            <color indexed="81"/>
            <rFont val="Tahoma"/>
            <family val="2"/>
          </rPr>
          <t xml:space="preserve"> the selected Fco is greater than the allowed max cross frequency. 
</t>
        </r>
      </text>
    </comment>
    <comment ref="F74" authorId="1" shapeId="0" xr:uid="{A51CBC47-A0CB-455A-87DD-88758B3FDBAB}">
      <text>
        <r>
          <rPr>
            <b/>
            <u/>
            <sz val="9"/>
            <color indexed="81"/>
            <rFont val="Tahoma"/>
            <family val="2"/>
          </rPr>
          <t xml:space="preserve">Max Output Voltage Limit
</t>
        </r>
        <r>
          <rPr>
            <sz val="9"/>
            <color indexed="81"/>
            <rFont val="Tahoma"/>
            <family val="2"/>
          </rPr>
          <t xml:space="preserve">Enter the max Vout limit. 
</t>
        </r>
        <r>
          <rPr>
            <b/>
            <u/>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 xml:space="preserve">if the limit is less than the regulation level +3%. 
</t>
        </r>
        <r>
          <rPr>
            <b/>
            <sz val="9"/>
            <color indexed="81"/>
            <rFont val="Tahoma"/>
            <family val="2"/>
          </rPr>
          <t xml:space="preserve"> 
</t>
        </r>
        <r>
          <rPr>
            <sz val="9"/>
            <color indexed="81"/>
            <rFont val="Tahoma"/>
            <family val="2"/>
          </rPr>
          <t xml:space="preserve">
</t>
        </r>
      </text>
    </comment>
    <comment ref="M74" authorId="1" shapeId="0" xr:uid="{27B7591D-3163-44B0-8F59-E6AA7979D1D3}">
      <text>
        <r>
          <rPr>
            <b/>
            <u/>
            <sz val="9"/>
            <color indexed="81"/>
            <rFont val="Tahoma"/>
            <family val="2"/>
          </rPr>
          <t>Max Output Voltage Limit</t>
        </r>
        <r>
          <rPr>
            <b/>
            <sz val="9"/>
            <color indexed="81"/>
            <rFont val="Tahoma"/>
            <family val="2"/>
          </rPr>
          <t xml:space="preserve">
</t>
        </r>
        <r>
          <rPr>
            <sz val="9"/>
            <color indexed="81"/>
            <rFont val="Tahoma"/>
            <family val="2"/>
          </rPr>
          <t xml:space="preserve">Enter the max Vout limit. </t>
        </r>
        <r>
          <rPr>
            <b/>
            <sz val="9"/>
            <color indexed="81"/>
            <rFont val="Tahoma"/>
            <family val="2"/>
          </rPr>
          <t xml:space="preserve">
</t>
        </r>
        <r>
          <rPr>
            <b/>
            <sz val="10"/>
            <color indexed="10"/>
            <rFont val="Arial"/>
            <family val="2"/>
          </rPr>
          <t>Cell will turn red</t>
        </r>
        <r>
          <rPr>
            <sz val="9"/>
            <color indexed="81"/>
            <rFont val="Tahoma"/>
            <family val="2"/>
          </rPr>
          <t xml:space="preserve"> if the limit is less than the regulation level +3%. </t>
        </r>
      </text>
    </comment>
    <comment ref="F80" authorId="2" shapeId="0" xr:uid="{00000000-0006-0000-0000-000019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feedback resistor calculation)
The text in the cell will turn </t>
        </r>
        <r>
          <rPr>
            <b/>
            <sz val="9"/>
            <color indexed="10"/>
            <rFont val="Tahoma"/>
            <family val="2"/>
          </rPr>
          <t>red</t>
        </r>
        <r>
          <rPr>
            <sz val="9"/>
            <color indexed="81"/>
            <rFont val="Tahoma"/>
            <family val="2"/>
          </rPr>
          <t xml:space="preserve"> if the no load voltage drop is smaller than full load voltage drop. Wrong calculated can be resulted.
</t>
        </r>
      </text>
    </comment>
    <comment ref="F81" authorId="2" shapeId="0" xr:uid="{00000000-0006-0000-0000-00001A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83" authorId="0" shapeId="0" xr:uid="{00000000-0006-0000-0000-00001C000000}">
      <text>
        <r>
          <rPr>
            <b/>
            <u/>
            <sz val="9"/>
            <color indexed="81"/>
            <rFont val="Tahoma"/>
            <family val="2"/>
          </rPr>
          <t>Ambient Operating Temperature</t>
        </r>
        <r>
          <rPr>
            <b/>
            <sz val="9"/>
            <color indexed="81"/>
            <rFont val="Tahoma"/>
            <family val="2"/>
          </rPr>
          <t xml:space="preserve">:
</t>
        </r>
        <r>
          <rPr>
            <sz val="9"/>
            <color indexed="81"/>
            <rFont val="Tahoma"/>
            <family val="2"/>
          </rPr>
          <t>Enter the LM5185's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85" authorId="0" shapeId="0" xr:uid="{00000000-0006-0000-0000-00001D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LM5185's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3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3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<sst xmlns="http://schemas.openxmlformats.org/spreadsheetml/2006/main" count="2461" uniqueCount="960">
  <si>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</si>
  <si>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</si>
  <si>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</si>
  <si>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</si>
  <si>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</si>
  <si>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</si>
  <si>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</si>
  <si>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</si>
  <si>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</si>
  <si>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</si>
  <si>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</si>
  <si>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</si>
  <si>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</si>
  <si>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</si>
  <si>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</si>
  <si>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</si>
  <si>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</si>
  <si>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</si>
  <si>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</si>
  <si>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</si>
  <si>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</si>
  <si>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</si>
  <si>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</si>
  <si>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</si>
  <si>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</si>
  <si>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</si>
  <si>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</si>
  <si>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</si>
  <si>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</si>
  <si>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</si>
  <si>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</si>
  <si>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</si>
  <si>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</si>
  <si>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</si>
  <si>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</si>
  <si>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</si>
  <si>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</si>
  <si>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</si>
  <si>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</si>
  <si>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</si>
  <si>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</si>
  <si>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</si>
  <si>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</si>
  <si>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</si>
  <si>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</si>
  <si>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</si>
  <si>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</si>
  <si>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</si>
  <si>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</si>
  <si>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</si>
  <si>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</si>
  <si>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</si>
  <si>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</si>
  <si>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</si>
  <si>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</si>
  <si>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</si>
  <si>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</si>
  <si>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</si>
  <si>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</si>
  <si>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</si>
  <si>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</si>
  <si>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</si>
  <si>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</si>
  <si>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</si>
  <si>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</si>
  <si>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</si>
  <si>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</si>
  <si>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</si>
  <si>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</si>
  <si>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</si>
  <si>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</si>
  <si>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</si>
  <si>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</si>
  <si>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</si>
  <si>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</si>
  <si>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</si>
  <si>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</si>
  <si>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</si>
  <si>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</si>
  <si>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</si>
  <si>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</si>
  <si>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</si>
  <si>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</si>
  <si>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</si>
  <si>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</si>
  <si>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</si>
  <si>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</si>
  <si>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</si>
  <si>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</si>
  <si>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</si>
  <si>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</si>
  <si>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</si>
  <si>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</si>
  <si>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</si>
  <si>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</si>
  <si>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</si>
  <si>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</si>
  <si>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</si>
  <si>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</si>
  <si>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</si>
  <si>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</si>
  <si>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</si>
  <si>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</si>
  <si>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</si>
  <si>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</si>
  <si>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</si>
  <si>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</si>
  <si>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</si>
  <si>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</si>
  <si>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</si>
  <si>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</si>
  <si>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</si>
  <si>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</si>
  <si>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</si>
  <si>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</si>
  <si>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</si>
  <si>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</si>
  <si>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</si>
  <si>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</si>
  <si>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</si>
  <si>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</si>
  <si>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</si>
  <si>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</si>
  <si>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</si>
  <si>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</si>
  <si>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</si>
  <si>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</si>
  <si>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</si>
  <si>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</si>
  <si>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</si>
  <si>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</si>
  <si>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</si>
  <si>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</si>
  <si>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</si>
  <si>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</si>
  <si>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</si>
  <si>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</si>
  <si>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</si>
  <si>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</si>
  <si>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</si>
  <si>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</si>
  <si>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</si>
  <si>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</si>
  <si>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</si>
  <si>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</si>
  <si>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</si>
  <si>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</si>
  <si>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</si>
  <si>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</si>
  <si>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</si>
  <si>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</si>
  <si>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</si>
  <si>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</si>
  <si>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</si>
  <si>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</si>
  <si>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</si>
  <si>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</si>
  <si>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</si>
  <si>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</si>
  <si>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</si>
  <si>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</si>
  <si>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</si>
  <si>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</si>
  <si>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</si>
  <si>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</si>
  <si>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</si>
  <si>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</si>
  <si>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</si>
  <si>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</si>
  <si>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</si>
  <si>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</si>
  <si>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</si>
  <si>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</si>
  <si>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</si>
  <si>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</si>
  <si>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</si>
  <si>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</si>
  <si>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</si>
  <si>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</si>
  <si>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</si>
  <si>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</si>
  <si>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</si>
  <si>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</si>
  <si>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</si>
  <si>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</si>
  <si>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</si>
  <si>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</si>
  <si>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</si>
  <si>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</si>
  <si>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</si>
  <si>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</si>
  <si>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</si>
  <si>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</si>
  <si>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</si>
  <si>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</si>
  <si>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</si>
  <si>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</si>
  <si>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</si>
  <si>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</si>
  <si>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</si>
  <si>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</si>
  <si>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</si>
  <si>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</si>
  <si>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</si>
  <si>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</si>
  <si>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</si>
  <si>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</si>
  <si>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</si>
  <si>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</si>
  <si>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</si>
  <si>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</si>
  <si>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</si>
  <si>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</si>
  <si>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</si>
  <si>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</si>
  <si>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</si>
  <si>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</si>
  <si>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</si>
  <si>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</si>
  <si>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</si>
  <si>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</si>
  <si>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</si>
  <si>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</si>
  <si>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</si>
  <si>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</si>
  <si>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</si>
  <si>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</si>
  <si>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</si>
  <si>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</si>
  <si>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</si>
  <si>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</si>
  <si>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</si>
  <si>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</si>
  <si>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</si>
  <si>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</si>
  <si>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</si>
  <si>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</si>
  <si>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</si>
  <si>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</si>
  <si>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</si>
  <si>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</si>
  <si>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</si>
  <si>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</si>
  <si>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</si>
  <si>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</si>
  <si>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</si>
  <si>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</si>
  <si>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</si>
  <si>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</si>
  <si>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</si>
  <si>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</si>
  <si>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</si>
  <si>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</si>
  <si>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</si>
  <si>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</si>
  <si>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</si>
  <si>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</si>
  <si>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</si>
  <si>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</si>
  <si>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</si>
  <si>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</si>
  <si>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</si>
  <si>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</si>
  <si>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</si>
  <si>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</si>
  <si>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</si>
  <si>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</si>
  <si>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</si>
  <si>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</si>
  <si>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</si>
  <si>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</si>
  <si>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</si>
  <si>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</si>
  <si>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</si>
  <si>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</si>
  <si>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</si>
  <si>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</si>
  <si>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</si>
  <si>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</si>
  <si>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</si>
  <si>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</si>
  <si>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</si>
  <si>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</si>
  <si>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</si>
  <si>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</si>
  <si>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</si>
  <si>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</si>
  <si>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</si>
  <si>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</si>
  <si>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</si>
  <si>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</si>
  <si>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</si>
  <si>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</si>
  <si>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</si>
  <si>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VIN</t>
    </r>
    <r>
      <rPr>
        <vertAlign val="subscript"/>
        <sz val="10"/>
        <rFont val="Arial"/>
        <family val="2"/>
      </rPr>
      <t>UVLO_OFF</t>
    </r>
  </si>
  <si>
    <t>Rhys</t>
  </si>
  <si>
    <t>Soft Start</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</si>
  <si>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</si>
  <si>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</si>
  <si>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</si>
  <si>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</si>
  <si>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</si>
  <si>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</si>
  <si>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</si>
  <si>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</si>
  <si>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</si>
  <si>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</si>
  <si>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</si>
  <si>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</si>
  <si>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</si>
  <si>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</si>
  <si>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</si>
  <si>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</si>
  <si>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</si>
  <si>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</si>
  <si>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</si>
  <si>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</si>
  <si>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</si>
  <si>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</si>
  <si>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</si>
  <si>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</si>
  <si>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</si>
  <si>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</si>
  <si>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</si>
  <si>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</si>
  <si>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</si>
  <si>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</si>
  <si>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</si>
  <si>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</si>
  <si>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</si>
  <si>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</si>
  <si>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</si>
  <si>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</si>
  <si>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</si>
  <si>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</si>
  <si>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</si>
  <si>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</si>
  <si>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</si>
  <si>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</si>
  <si>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</si>
  <si>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</si>
  <si>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</si>
  <si>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</si>
  <si>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</si>
  <si>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</si>
  <si>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</si>
  <si>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</si>
  <si>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</si>
  <si>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</si>
  <si>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</si>
  <si>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</si>
  <si>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</si>
  <si>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</si>
  <si>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</si>
  <si>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</si>
  <si>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</si>
  <si>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</si>
  <si>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</si>
  <si>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</si>
  <si>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</si>
  <si>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</si>
  <si>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</si>
  <si>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</si>
  <si>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</si>
  <si>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</si>
  <si>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</si>
  <si>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t>Single Output or Dual Outputs</t>
  </si>
  <si>
    <r>
      <t>Input Voltage – Min, V</t>
    </r>
    <r>
      <rPr>
        <b/>
        <vertAlign val="subscript"/>
        <sz val="10"/>
        <color theme="1"/>
        <rFont val="Arial"/>
        <family val="2"/>
      </rPr>
      <t>IN(min)</t>
    </r>
    <r>
      <rPr>
        <b/>
        <sz val="10"/>
        <color theme="1"/>
        <rFont val="Arial"/>
        <family val="2"/>
      </rPr>
      <t xml:space="preserve"> </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</si>
  <si>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</si>
  <si>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</si>
  <si>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</si>
  <si>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</si>
  <si>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</si>
  <si>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</si>
  <si>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</si>
  <si>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</si>
  <si>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</si>
  <si>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</si>
  <si>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</si>
  <si>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</si>
  <si>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</si>
  <si>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</si>
  <si>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</si>
  <si>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</si>
  <si>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</si>
  <si>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</si>
  <si>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</si>
  <si>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</si>
  <si>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</si>
  <si>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</si>
  <si>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</si>
  <si>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</si>
  <si>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</si>
  <si>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</si>
  <si>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</si>
  <si>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</si>
  <si>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</si>
  <si>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</si>
  <si>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</si>
  <si>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</si>
  <si>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</si>
  <si>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</si>
  <si>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</si>
  <si>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</si>
  <si>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</si>
  <si>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</si>
  <si>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</si>
  <si>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</si>
  <si>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</si>
  <si>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</si>
  <si>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</si>
  <si>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</si>
  <si>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</si>
  <si>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</si>
  <si>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</si>
  <si>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</si>
  <si>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</si>
  <si>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</si>
  <si>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</si>
  <si>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</si>
  <si>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</si>
  <si>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</si>
  <si>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</si>
  <si>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</si>
  <si>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</si>
  <si>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</si>
  <si>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</si>
  <si>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</si>
  <si>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</si>
  <si>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</si>
  <si>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</si>
  <si>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</si>
  <si>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</si>
  <si>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</si>
  <si>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</si>
  <si>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</si>
  <si>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</si>
  <si>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</si>
  <si>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</si>
  <si>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</si>
  <si>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</si>
  <si>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</si>
  <si>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</si>
  <si>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</si>
  <si>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</si>
  <si>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</si>
  <si>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</si>
  <si>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</si>
  <si>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</si>
  <si>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</si>
  <si>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</si>
  <si>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</si>
  <si>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</si>
  <si>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</si>
  <si>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</si>
  <si>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</si>
  <si>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</si>
  <si>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</si>
  <si>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</si>
  <si>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</si>
  <si>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</si>
  <si>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</si>
  <si>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</si>
  <si>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</si>
  <si>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</si>
  <si>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</si>
  <si>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</si>
  <si>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</si>
  <si>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</si>
  <si>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</si>
  <si>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</si>
  <si>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</si>
  <si>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</si>
  <si>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</si>
  <si>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</si>
  <si>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</si>
  <si>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</si>
  <si>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</si>
  <si>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</si>
  <si>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</si>
  <si>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</si>
  <si>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Cout (µF) for 1%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</si>
  <si>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</si>
  <si>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</si>
  <si>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</si>
  <si>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</si>
  <si>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</si>
  <si>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</si>
  <si>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</si>
  <si>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</si>
  <si>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</si>
  <si>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</si>
  <si>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</si>
  <si>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</si>
  <si>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</si>
  <si>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</si>
  <si>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 xml:space="preserve">Resulting Input Voltage Ripple </t>
  </si>
  <si>
    <t>Check Iout-max</t>
  </si>
  <si>
    <t>Iout2</t>
  </si>
  <si>
    <t>Rout2</t>
  </si>
  <si>
    <t>Pout2</t>
  </si>
  <si>
    <t>Load resistance #2</t>
  </si>
  <si>
    <t>Output power #2</t>
  </si>
  <si>
    <t xml:space="preserve">Total Output Power </t>
  </si>
  <si>
    <t>Total power</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</si>
  <si>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</si>
  <si>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</si>
  <si>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</si>
  <si>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</si>
  <si>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</si>
  <si>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</si>
  <si>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</si>
  <si>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</si>
  <si>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</si>
  <si>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</si>
  <si>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</si>
  <si>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</si>
  <si>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</si>
  <si>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</si>
  <si>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</si>
  <si>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</si>
  <si>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</si>
  <si>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</si>
  <si>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</si>
  <si>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</si>
  <si>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</si>
  <si>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</si>
  <si>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</si>
  <si>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</si>
  <si>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</si>
  <si>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</si>
  <si>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</si>
  <si>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</si>
  <si>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</si>
  <si>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</si>
  <si>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</si>
  <si>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</si>
  <si>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</si>
  <si>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</si>
  <si>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</si>
  <si>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</si>
  <si>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</si>
  <si>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</si>
  <si>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</si>
  <si>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</si>
  <si>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</si>
  <si>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</si>
  <si>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</si>
  <si>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</si>
  <si>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</si>
  <si>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</si>
  <si>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</si>
  <si>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</si>
  <si>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</si>
  <si>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</si>
  <si>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</si>
  <si>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</si>
  <si>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</si>
  <si>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</si>
  <si>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</si>
  <si>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</si>
  <si>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</si>
  <si>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</si>
  <si>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</si>
  <si>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</si>
  <si>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</si>
  <si>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</si>
  <si>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</si>
  <si>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</si>
  <si>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</si>
  <si>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</si>
  <si>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</si>
  <si>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</si>
  <si>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</si>
  <si>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</si>
  <si>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</si>
  <si>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</si>
  <si>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</si>
  <si>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</si>
  <si>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</si>
  <si>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</si>
  <si>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</si>
  <si>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</si>
  <si>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</si>
  <si>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</si>
  <si>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</si>
  <si>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</si>
  <si>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</si>
  <si>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</si>
  <si>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</si>
  <si>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</si>
  <si>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</si>
  <si>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</si>
  <si>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</si>
  <si>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</si>
  <si>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</si>
  <si>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</si>
  <si>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</si>
  <si>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</si>
  <si>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</si>
  <si>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</si>
  <si>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</si>
  <si>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</si>
  <si>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</si>
  <si>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</si>
  <si>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</si>
  <si>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</si>
  <si>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</si>
  <si>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</si>
  <si>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</si>
  <si>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</si>
  <si>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</si>
  <si>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</si>
  <si>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</si>
  <si>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</si>
  <si>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</si>
  <si>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</si>
  <si>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</si>
  <si>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</si>
  <si>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</si>
  <si>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</si>
  <si>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</si>
  <si>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</si>
  <si>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</si>
  <si>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</si>
  <si>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</si>
  <si>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</si>
  <si>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</si>
  <si>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</si>
  <si>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</si>
  <si>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</si>
  <si>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</si>
  <si>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</si>
  <si>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</si>
  <si>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</si>
  <si>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</si>
  <si>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t>5.0 x 2.5</t>
  </si>
  <si>
    <t>3.6 x 1.8</t>
  </si>
  <si>
    <t>2.5 x 1.25</t>
  </si>
  <si>
    <t>SOD523</t>
  </si>
  <si>
    <t>Flyback Diode - forward current rating</t>
  </si>
  <si>
    <t>Flyback Diode - reverse voltage rating</t>
  </si>
  <si>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</si>
  <si>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</si>
  <si>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</si>
  <si>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</si>
  <si>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</si>
  <si>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</si>
  <si>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</si>
  <si>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</si>
  <si>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</si>
  <si>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</si>
  <si>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</si>
  <si>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</si>
  <si>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</si>
  <si>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</si>
  <si>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</si>
  <si>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</si>
  <si>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</si>
  <si>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</si>
  <si>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Lmin</t>
  </si>
  <si>
    <t>Lleak</t>
  </si>
  <si>
    <t>nH</t>
  </si>
  <si>
    <t>Pri-Sec Leakage Inductance</t>
  </si>
  <si>
    <t>Check Fsw at  Iout-max</t>
  </si>
  <si>
    <t>Check Pout-max at  Iout-max</t>
  </si>
  <si>
    <t>P-Transforer (W)</t>
  </si>
  <si>
    <t>P-Trans-Total (mW)</t>
  </si>
  <si>
    <t>RdsonTC</t>
  </si>
  <si>
    <t>ppm/°C</t>
  </si>
  <si>
    <t>Drain to Source Resistance Temp Co</t>
  </si>
  <si>
    <t>IC thermal impedance</t>
  </si>
  <si>
    <t>ThetaJA</t>
  </si>
  <si>
    <t>P-trans (W)</t>
  </si>
  <si>
    <t>**** Use a flyback diode RC snubber to dampen ringing if needed ****</t>
  </si>
  <si>
    <t>***** Use an output zener to clamp the output at no load *****</t>
  </si>
  <si>
    <t>*** Use a primary-side RC snubber from SW to VIN to dampen leakage inductance spike ***</t>
  </si>
  <si>
    <t>** Appropriately derate the effective input and output capacitances for applied voltage and temperature, particularly with ceramics **</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</si>
  <si>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</si>
  <si>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</si>
  <si>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</si>
  <si>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</si>
  <si>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</si>
  <si>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</si>
  <si>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</si>
  <si>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</si>
  <si>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</si>
  <si>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</si>
  <si>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</si>
  <si>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</si>
  <si>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</si>
  <si>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</si>
  <si>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</si>
  <si>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</si>
  <si>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</si>
  <si>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</si>
  <si>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</si>
  <si>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</si>
  <si>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</si>
  <si>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</si>
  <si>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</si>
  <si>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</si>
  <si>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</si>
  <si>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</si>
  <si>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</si>
  <si>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</si>
  <si>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</si>
  <si>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</si>
  <si>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</si>
  <si>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</si>
  <si>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</si>
  <si>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</si>
  <si>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</si>
  <si>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</si>
  <si>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</si>
  <si>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</si>
  <si>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</si>
  <si>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</si>
  <si>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</si>
  <si>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</si>
  <si>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</si>
  <si>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</si>
  <si>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</si>
  <si>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</si>
  <si>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</si>
  <si>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</si>
  <si>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</si>
  <si>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</si>
  <si>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</si>
  <si>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</si>
  <si>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</si>
  <si>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</si>
  <si>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</si>
  <si>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</si>
  <si>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</si>
  <si>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</si>
  <si>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</si>
  <si>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</si>
  <si>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</si>
  <si>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</si>
  <si>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</si>
  <si>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</si>
  <si>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</si>
  <si>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</si>
  <si>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</si>
  <si>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</si>
  <si>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</si>
  <si>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</si>
  <si>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</si>
  <si>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</si>
  <si>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</si>
  <si>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</si>
  <si>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</si>
  <si>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</si>
  <si>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</si>
  <si>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</si>
  <si>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</si>
  <si>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</si>
  <si>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</si>
  <si>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</si>
  <si>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</si>
  <si>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</si>
  <si>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</si>
  <si>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</si>
  <si>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</si>
  <si>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</si>
  <si>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</si>
  <si>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</si>
  <si>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</si>
  <si>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</si>
  <si>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</si>
  <si>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Rcs</t>
  </si>
  <si>
    <r>
      <t>Sense Resistor, R</t>
    </r>
    <r>
      <rPr>
        <b/>
        <vertAlign val="subscript"/>
        <sz val="10"/>
        <color theme="1"/>
        <rFont val="Arial"/>
        <family val="2"/>
      </rPr>
      <t>CS</t>
    </r>
    <r>
      <rPr>
        <b/>
        <sz val="10"/>
        <color theme="1"/>
        <rFont val="Arial"/>
        <family val="2"/>
      </rPr>
      <t xml:space="preserve"> </t>
    </r>
  </si>
  <si>
    <t>IpkCAL</t>
  </si>
  <si>
    <t>RCSmin</t>
  </si>
  <si>
    <t>LM5185 quiescent current</t>
  </si>
  <si>
    <t>P-FET-Total (W)</t>
  </si>
  <si>
    <t>P-IC-Total</t>
  </si>
  <si>
    <t>P-Total (mW)</t>
  </si>
  <si>
    <r>
      <t>LM5185 IC Power Dissipation at Full Load, P</t>
    </r>
    <r>
      <rPr>
        <vertAlign val="subscript"/>
        <sz val="10"/>
        <rFont val="Arial"/>
        <family val="2"/>
      </rPr>
      <t>D</t>
    </r>
  </si>
  <si>
    <r>
      <t>LM5185 Junction Temperature at Full Load, T</t>
    </r>
    <r>
      <rPr>
        <vertAlign val="subscript"/>
        <sz val="10"/>
        <rFont val="Arial"/>
        <family val="2"/>
      </rPr>
      <t>J</t>
    </r>
  </si>
  <si>
    <t>dB</t>
  </si>
  <si>
    <t>Reference voltage, updated</t>
  </si>
  <si>
    <t>10 kΩ</t>
  </si>
  <si>
    <t>10kΩ</t>
  </si>
  <si>
    <t>1.2 : 1</t>
  </si>
  <si>
    <t>1 : 1.2</t>
  </si>
  <si>
    <t>Fsw=</t>
  </si>
  <si>
    <t>Checking ro operatingmode at Vnom</t>
  </si>
  <si>
    <t>Lm=</t>
  </si>
  <si>
    <t>Ipk=</t>
  </si>
  <si>
    <t>Duty=</t>
  </si>
  <si>
    <t>Po</t>
  </si>
  <si>
    <t>Po actual</t>
  </si>
  <si>
    <t>LM5185 Parameters</t>
  </si>
  <si>
    <t>Primary Peak Current, Ipk</t>
  </si>
  <si>
    <t>Allawable max Fco</t>
  </si>
  <si>
    <r>
      <t>C</t>
    </r>
    <r>
      <rPr>
        <vertAlign val="subscript"/>
        <sz val="10"/>
        <rFont val="Arial"/>
        <family val="2"/>
      </rPr>
      <t>OUT</t>
    </r>
    <r>
      <rPr>
        <sz val="10"/>
        <rFont val="Arial"/>
        <family val="2"/>
      </rPr>
      <t xml:space="preserve"> ESR Zero Frequency </t>
    </r>
  </si>
  <si>
    <t>Flyback RHP Zero Frequency</t>
  </si>
  <si>
    <t>Allowed Maximum Crossover Frequency</t>
  </si>
  <si>
    <t>Load Pole Frequency</t>
  </si>
  <si>
    <t>Excessive</t>
  </si>
  <si>
    <t>FcoRange</t>
  </si>
  <si>
    <t>Fco_select</t>
  </si>
  <si>
    <t>AN</t>
  </si>
  <si>
    <t>AO</t>
  </si>
  <si>
    <t>AP</t>
  </si>
  <si>
    <t>AQ</t>
  </si>
  <si>
    <t>AR</t>
  </si>
  <si>
    <t>Sampling</t>
  </si>
  <si>
    <t>Power ckt</t>
  </si>
  <si>
    <t>Gain_pwr</t>
  </si>
  <si>
    <t>CHF</t>
  </si>
  <si>
    <r>
      <t>k</t>
    </r>
    <r>
      <rPr>
        <sz val="10"/>
        <rFont val="Calibri"/>
        <family val="2"/>
      </rPr>
      <t>Ω</t>
    </r>
  </si>
  <si>
    <r>
      <t>k</t>
    </r>
    <r>
      <rPr>
        <b/>
        <sz val="10"/>
        <rFont val="Calibri"/>
        <family val="2"/>
      </rPr>
      <t>Ω</t>
    </r>
  </si>
  <si>
    <r>
      <t>Recommended R</t>
    </r>
    <r>
      <rPr>
        <vertAlign val="subscript"/>
        <sz val="10"/>
        <rFont val="Arial"/>
        <family val="2"/>
      </rPr>
      <t>COMP</t>
    </r>
  </si>
  <si>
    <r>
      <t>Selected R</t>
    </r>
    <r>
      <rPr>
        <b/>
        <vertAlign val="subscript"/>
        <sz val="10"/>
        <rFont val="Arial"/>
        <family val="2"/>
      </rPr>
      <t>COMP</t>
    </r>
  </si>
  <si>
    <r>
      <t>Recommended C</t>
    </r>
    <r>
      <rPr>
        <vertAlign val="subscript"/>
        <sz val="10"/>
        <rFont val="Arial"/>
        <family val="2"/>
      </rPr>
      <t>COMP</t>
    </r>
  </si>
  <si>
    <r>
      <t>Selected C</t>
    </r>
    <r>
      <rPr>
        <b/>
        <vertAlign val="subscript"/>
        <sz val="10"/>
        <rFont val="Arial"/>
        <family val="2"/>
      </rPr>
      <t>COMP</t>
    </r>
  </si>
  <si>
    <r>
      <t>Recommended C</t>
    </r>
    <r>
      <rPr>
        <vertAlign val="subscript"/>
        <sz val="10"/>
        <rFont val="Arial"/>
        <family val="2"/>
      </rPr>
      <t>HF</t>
    </r>
  </si>
  <si>
    <r>
      <t>Selected C</t>
    </r>
    <r>
      <rPr>
        <b/>
        <vertAlign val="subscript"/>
        <sz val="10"/>
        <color theme="1"/>
        <rFont val="Arial"/>
        <family val="2"/>
      </rPr>
      <t>HF</t>
    </r>
  </si>
  <si>
    <r>
      <t>Upper UVLO Resistor, R</t>
    </r>
    <r>
      <rPr>
        <vertAlign val="subscript"/>
        <sz val="10"/>
        <rFont val="Arial"/>
        <family val="2"/>
      </rPr>
      <t>UVH</t>
    </r>
  </si>
  <si>
    <r>
      <t>Lower UVLO Resistor, R</t>
    </r>
    <r>
      <rPr>
        <vertAlign val="subscript"/>
        <sz val="10"/>
        <rFont val="Arial"/>
        <family val="2"/>
      </rPr>
      <t>UVL</t>
    </r>
  </si>
  <si>
    <t>Raw Calculation</t>
  </si>
  <si>
    <t>Fine tuning:  Calculations are performed at Vin(nom), Vin(min) and Vin(max) below</t>
  </si>
  <si>
    <t>secondaryt conduction time</t>
  </si>
  <si>
    <t>Ls1</t>
  </si>
  <si>
    <t>Ls2</t>
  </si>
  <si>
    <t>calculated D' based on raw calculation</t>
  </si>
  <si>
    <t>D1' based on raw calculation</t>
  </si>
  <si>
    <t>D2' based on raw calculation</t>
  </si>
  <si>
    <t xml:space="preserve">                       LM5185-Q1 PSR Flyback Controller Design Tool</t>
  </si>
  <si>
    <t>Recommended xfmr turns ratio</t>
  </si>
  <si>
    <t>uH</t>
  </si>
  <si>
    <t>Final chosen turns ratio should be close to this value.</t>
  </si>
  <si>
    <t>Recommned Magnetizing Inductance</t>
  </si>
  <si>
    <r>
      <t>Chosen Magnetizing Inductance, L</t>
    </r>
    <r>
      <rPr>
        <b/>
        <vertAlign val="subscript"/>
        <sz val="10"/>
        <color theme="1"/>
        <rFont val="Arial"/>
        <family val="2"/>
      </rPr>
      <t>MAG</t>
    </r>
    <r>
      <rPr>
        <b/>
        <sz val="10"/>
        <color theme="1"/>
        <rFont val="Arial"/>
        <family val="2"/>
      </rPr>
      <t xml:space="preserve"> </t>
    </r>
  </si>
  <si>
    <t>Fsw at Vin_min</t>
  </si>
  <si>
    <t>Ipkmax  Allowed (20% margin)</t>
  </si>
  <si>
    <t>Max Rcs_rec1</t>
  </si>
  <si>
    <t>Max Rcs_rec2</t>
  </si>
  <si>
    <t>By 100mV VCS pk limit</t>
  </si>
  <si>
    <t>By 450ns min decay time</t>
  </si>
  <si>
    <t>Proposed Transformer Turns Ratio PRI : SEC1</t>
  </si>
  <si>
    <r>
      <t>Maximum Power Dissipation in R</t>
    </r>
    <r>
      <rPr>
        <vertAlign val="subscript"/>
        <sz val="10"/>
        <color theme="1"/>
        <rFont val="Arial"/>
        <family val="2"/>
      </rPr>
      <t>CS</t>
    </r>
    <r>
      <rPr>
        <sz val="10"/>
        <color theme="1"/>
        <rFont val="Arial"/>
        <family val="2"/>
      </rPr>
      <t xml:space="preserve"> </t>
    </r>
  </si>
  <si>
    <t>with selected Lmag</t>
  </si>
  <si>
    <t>Lmin_abs</t>
  </si>
  <si>
    <t>Maximum RCS for IPEAK (10% Power Margin)</t>
  </si>
  <si>
    <r>
      <t>Select MOSFET R</t>
    </r>
    <r>
      <rPr>
        <b/>
        <vertAlign val="subscript"/>
        <sz val="10"/>
        <rFont val="Arial"/>
        <family val="2"/>
      </rPr>
      <t>DSON</t>
    </r>
  </si>
  <si>
    <t xml:space="preserve">power </t>
  </si>
  <si>
    <t>MOSFET Min Voltage Rating</t>
  </si>
  <si>
    <t>Min Drain Voltage Rating</t>
  </si>
  <si>
    <t>Can logic level FET be used?</t>
  </si>
  <si>
    <t>Can regular FET be used?</t>
  </si>
  <si>
    <t>Yes</t>
  </si>
  <si>
    <r>
      <t>Recommended Minimum D</t>
    </r>
    <r>
      <rPr>
        <vertAlign val="subscript"/>
        <sz val="10"/>
        <rFont val="Arial"/>
        <family val="2"/>
      </rPr>
      <t>CLAMP</t>
    </r>
    <r>
      <rPr>
        <sz val="10"/>
        <rFont val="Arial"/>
        <family val="2"/>
      </rPr>
      <t xml:space="preserve"> Voltage</t>
    </r>
  </si>
  <si>
    <r>
      <t>D</t>
    </r>
    <r>
      <rPr>
        <b/>
        <vertAlign val="subscript"/>
        <sz val="10"/>
        <rFont val="Arial"/>
        <family val="2"/>
      </rPr>
      <t>CLAMP</t>
    </r>
    <r>
      <rPr>
        <b/>
        <sz val="10"/>
        <rFont val="Arial"/>
        <family val="2"/>
      </rPr>
      <t xml:space="preserve"> Voltage </t>
    </r>
  </si>
  <si>
    <t>Recommended Max MOSFET Qg</t>
  </si>
  <si>
    <t>Selected MOSFET Qg</t>
  </si>
  <si>
    <r>
      <t>Selected MOSFET C</t>
    </r>
    <r>
      <rPr>
        <b/>
        <vertAlign val="subscript"/>
        <sz val="10"/>
        <rFont val="Arial"/>
        <family val="2"/>
      </rPr>
      <t>OSS</t>
    </r>
  </si>
  <si>
    <t>Step 4: Power MOSFET Suggetions and  Zener Clamp</t>
  </si>
  <si>
    <t>Step 5: Input &amp; Output Capacitors</t>
  </si>
  <si>
    <t>`</t>
  </si>
  <si>
    <r>
      <t>V</t>
    </r>
    <r>
      <rPr>
        <b/>
        <vertAlign val="subscript"/>
        <sz val="16"/>
        <rFont val="Calibri"/>
        <family val="2"/>
      </rPr>
      <t xml:space="preserve">IN </t>
    </r>
    <r>
      <rPr>
        <b/>
        <sz val="16"/>
        <rFont val="Calibri"/>
        <family val="2"/>
      </rPr>
      <t>=</t>
    </r>
  </si>
  <si>
    <t>Selected Crossover Frquency (Fco)</t>
  </si>
  <si>
    <t>Ccopm</t>
  </si>
  <si>
    <t>k</t>
  </si>
  <si>
    <t>m</t>
  </si>
  <si>
    <t>Cflt</t>
  </si>
  <si>
    <t>100pF</t>
  </si>
  <si>
    <t>Rflt</t>
  </si>
  <si>
    <r>
      <t>Recommended CS Pin Filter Resistor R</t>
    </r>
    <r>
      <rPr>
        <vertAlign val="subscript"/>
        <sz val="10"/>
        <rFont val="Arial"/>
        <family val="2"/>
      </rPr>
      <t>FLT</t>
    </r>
  </si>
  <si>
    <r>
      <t>Recommended CS Pin Filter Resistor C</t>
    </r>
    <r>
      <rPr>
        <vertAlign val="subscript"/>
        <sz val="10"/>
        <rFont val="Arial"/>
        <family val="2"/>
      </rPr>
      <t>FLT</t>
    </r>
  </si>
  <si>
    <t>Step 3: Current Sense Resistor and Noise Filter</t>
  </si>
  <si>
    <t>Step 6: Rectifier Diode(s)</t>
  </si>
  <si>
    <t>Vou2 Diode cond duration</t>
  </si>
  <si>
    <t>Vout1 Diode cond duration</t>
  </si>
  <si>
    <t>Min Diode Voltage Rating, Output #2</t>
  </si>
  <si>
    <t>Min Diode DC Current Rating, Output #2</t>
  </si>
  <si>
    <t>Step 7: Feedback, Soft-start, TC, UVLO</t>
  </si>
  <si>
    <t>Diode VF</t>
  </si>
  <si>
    <t>Vfwd22</t>
  </si>
  <si>
    <r>
      <t>Input Voltage – Nom, V</t>
    </r>
    <r>
      <rPr>
        <b/>
        <vertAlign val="subscript"/>
        <sz val="10"/>
        <color rgb="FF0000FF"/>
        <rFont val="Arial"/>
        <family val="2"/>
      </rPr>
      <t>IN(nom)</t>
    </r>
  </si>
  <si>
    <t>MOSFET Power dissipation (WC)</t>
  </si>
  <si>
    <t>Single output</t>
  </si>
  <si>
    <t>Dual</t>
  </si>
  <si>
    <t>Final</t>
  </si>
  <si>
    <t>Estimated Max MOSFET Power Dissipation</t>
  </si>
  <si>
    <t>MOSFET Loss</t>
  </si>
  <si>
    <t>Step 8:  Compensation Design</t>
  </si>
  <si>
    <t>Snubber Capacitor Voltage Rating&gt;</t>
  </si>
  <si>
    <t>Snubber Resistor Power Rating&gt;</t>
  </si>
  <si>
    <t>Initial Csnb2</t>
  </si>
  <si>
    <t>Initial Rsnb2</t>
  </si>
  <si>
    <t>Step 9:  Optional RC Snubber acorss Rectifier Diode(s)</t>
  </si>
  <si>
    <t>Step 10:  Output Zener Clamp and/or Dummy Load</t>
  </si>
  <si>
    <t>Step 11: Power Losses &amp; Thermals</t>
  </si>
  <si>
    <t>Selected Device Min Power Rating&gt;</t>
  </si>
  <si>
    <t>Rdym</t>
  </si>
  <si>
    <t>Rdym1</t>
  </si>
  <si>
    <t>Rdym2</t>
  </si>
  <si>
    <t>min Load</t>
  </si>
  <si>
    <t>min Load1</t>
  </si>
  <si>
    <t>min Load 2</t>
  </si>
  <si>
    <t xml:space="preserve">Customer Min Load </t>
  </si>
  <si>
    <t>Iout_min</t>
  </si>
  <si>
    <t>Po-min</t>
  </si>
  <si>
    <t>Required min load</t>
  </si>
  <si>
    <t>Ton Min</t>
  </si>
  <si>
    <t>Vin_max</t>
  </si>
  <si>
    <t>Fsw_min</t>
  </si>
  <si>
    <t>Po_cal</t>
  </si>
  <si>
    <t>Do you need a  Dummy Load</t>
  </si>
  <si>
    <t>Customer Min Load 1</t>
  </si>
  <si>
    <t>Customer Min Load 2</t>
  </si>
  <si>
    <t>Iout_min1</t>
  </si>
  <si>
    <t>Po-min1</t>
  </si>
  <si>
    <t>Iout_min2</t>
  </si>
  <si>
    <t>Po-min2</t>
  </si>
  <si>
    <t>Do you need a  Dummy Load1</t>
  </si>
  <si>
    <t>Do you need a  Dummy Load2</t>
  </si>
  <si>
    <t>LM5185EVM-SIO PCB Design, 2.4" x 3.6" (60mm x 90mm)</t>
  </si>
  <si>
    <t xml:space="preserve">&lt;--Please input the effective capacitance under the actual dc voltage bias of the designated outpt rail. </t>
  </si>
  <si>
    <t>Slecct  Diode Forward Drop VF, Output #2</t>
  </si>
  <si>
    <r>
      <t>Flyback Diode Voltage Drop, VF</t>
    </r>
    <r>
      <rPr>
        <b/>
        <vertAlign val="subscript"/>
        <sz val="10"/>
        <rFont val="Arial"/>
        <family val="2"/>
      </rPr>
      <t>(no-load)</t>
    </r>
  </si>
  <si>
    <r>
      <t>Flyback Diode Voltage Drop, VF</t>
    </r>
    <r>
      <rPr>
        <vertAlign val="subscript"/>
        <sz val="10"/>
        <rFont val="Arial"/>
        <family val="2"/>
      </rPr>
      <t>(full-load)</t>
    </r>
  </si>
  <si>
    <t xml:space="preserve">Important: Remember to update Cell E80 below, which is VF at no load, in order to get a more accurate output voltage setting in Step 7. </t>
  </si>
  <si>
    <r>
      <t>C</t>
    </r>
    <r>
      <rPr>
        <vertAlign val="subscript"/>
        <sz val="10"/>
        <rFont val="Arial"/>
        <family val="2"/>
      </rPr>
      <t>VCC</t>
    </r>
  </si>
  <si>
    <t>Capacitor, Ceramic, 1µF, 25V, X7R, 10%</t>
  </si>
  <si>
    <r>
      <t>C</t>
    </r>
    <r>
      <rPr>
        <vertAlign val="subscript"/>
        <sz val="10"/>
        <rFont val="Arial"/>
        <family val="2"/>
      </rPr>
      <t>COMP</t>
    </r>
  </si>
  <si>
    <r>
      <t>C</t>
    </r>
    <r>
      <rPr>
        <vertAlign val="subscript"/>
        <sz val="10"/>
        <rFont val="Arial"/>
        <family val="2"/>
      </rPr>
      <t>HF</t>
    </r>
  </si>
  <si>
    <r>
      <t>R</t>
    </r>
    <r>
      <rPr>
        <vertAlign val="subscript"/>
        <sz val="10"/>
        <rFont val="Arial"/>
        <family val="2"/>
      </rPr>
      <t>COMP</t>
    </r>
  </si>
  <si>
    <r>
      <t>R</t>
    </r>
    <r>
      <rPr>
        <vertAlign val="subscript"/>
        <sz val="10"/>
        <rFont val="Arial"/>
        <family val="2"/>
      </rPr>
      <t>CS</t>
    </r>
  </si>
  <si>
    <t>Non-inductive Chip Power Resistor, 1%</t>
  </si>
  <si>
    <r>
      <t>C</t>
    </r>
    <r>
      <rPr>
        <vertAlign val="subscript"/>
        <sz val="10"/>
        <rFont val="Arial"/>
        <family val="2"/>
      </rPr>
      <t>FLT</t>
    </r>
  </si>
  <si>
    <t>Capacitor, Ceramic, 100pF, 50V, X7R, 10%</t>
  </si>
  <si>
    <r>
      <t>R</t>
    </r>
    <r>
      <rPr>
        <vertAlign val="subscript"/>
        <sz val="10"/>
        <rFont val="Arial"/>
        <family val="2"/>
      </rPr>
      <t>FLT</t>
    </r>
  </si>
  <si>
    <r>
      <t>LM5185-Q1 Low I</t>
    </r>
    <r>
      <rPr>
        <b/>
        <vertAlign val="subscript"/>
        <sz val="16"/>
        <rFont val="Arial"/>
        <family val="2"/>
      </rPr>
      <t>Q</t>
    </r>
    <r>
      <rPr>
        <b/>
        <sz val="16"/>
        <rFont val="Arial"/>
        <family val="2"/>
      </rPr>
      <t>, High Efficiency, PSR Flyback Converter BOM</t>
    </r>
  </si>
  <si>
    <t>LM5185-Q1</t>
  </si>
  <si>
    <t>IC, LM5185-Q1, PSR Flyback Controller, 4.5V–100V Input</t>
  </si>
  <si>
    <t>HTSSOP14</t>
  </si>
  <si>
    <r>
      <t>D</t>
    </r>
    <r>
      <rPr>
        <vertAlign val="subscript"/>
        <sz val="10"/>
        <rFont val="Arial"/>
        <family val="2"/>
      </rPr>
      <t>Z1</t>
    </r>
  </si>
  <si>
    <r>
      <t>D</t>
    </r>
    <r>
      <rPr>
        <vertAlign val="subscript"/>
        <sz val="10"/>
        <rFont val="Arial"/>
        <family val="2"/>
      </rPr>
      <t>Z2</t>
    </r>
  </si>
  <si>
    <t>2510</t>
  </si>
  <si>
    <t>9.3 x 2.7</t>
  </si>
  <si>
    <t>(Always reserve the snubber position on PCB and validatate experimentally.)</t>
  </si>
  <si>
    <t>LM5185EVM-MIO PCB Design, (Multiple Outputs, coming soon)</t>
  </si>
  <si>
    <t>* Choose a transformer with saturation current rating higher than the max peak current limit setting for all operating temperatures *</t>
  </si>
  <si>
    <t xml:space="preserve"> LM5185-Q1 PSR Flyback Controller Design Tool</t>
  </si>
  <si>
    <r>
      <t>Q</t>
    </r>
    <r>
      <rPr>
        <vertAlign val="subscript"/>
        <sz val="10"/>
        <rFont val="Arial"/>
        <family val="2"/>
      </rPr>
      <t>1</t>
    </r>
  </si>
  <si>
    <t>Power MOSFET</t>
  </si>
  <si>
    <t>SO-8</t>
  </si>
  <si>
    <t>5.0 x 6.0</t>
  </si>
  <si>
    <t>5.0 x 6.4</t>
  </si>
  <si>
    <t>22mm x 17mm</t>
  </si>
  <si>
    <t>11 x 14</t>
  </si>
  <si>
    <t>23 x 17</t>
  </si>
  <si>
    <t>Toff Max</t>
  </si>
  <si>
    <r>
      <t xml:space="preserve">Estimated Thermal Impedance, </t>
    </r>
    <r>
      <rPr>
        <sz val="11"/>
        <rFont val="Symbol"/>
        <family val="1"/>
        <charset val="2"/>
      </rPr>
      <t>J</t>
    </r>
    <r>
      <rPr>
        <vertAlign val="subscript"/>
        <sz val="10"/>
        <rFont val="Arial"/>
        <family val="2"/>
      </rPr>
      <t>JA</t>
    </r>
  </si>
  <si>
    <t>Recommended Zener VoltageSelection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</si>
</sst>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93">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sz val="6"/>
      <name val="ＭＳ Ｐゴシック"/>
      <family val="3"/>
      <charset val="128"/>
    </font>
    <font>
      <b/>
      <sz val="16"/>
      <name val="Calibri"/>
      <family val="2"/>
    </font>
    <font>
      <b/>
      <vertAlign val="subscript"/>
      <sz val="16"/>
      <name val="Calibri"/>
      <family val="2"/>
    </font>
    <font>
      <sz val="20"/>
      <color rgb="FFFF0000"/>
      <name val="Arial"/>
      <family val="2"/>
    </font>
    <font>
      <i/>
      <sz val="14"/>
      <color indexed="12"/>
      <name val="Arial"/>
      <family val="2"/>
    </font>
    <font>
      <vertAlign val="subscript"/>
      <sz val="10"/>
      <color theme="1"/>
      <name val="Arial"/>
      <family val="2"/>
    </font>
    <font>
      <b/>
      <i/>
      <sz val="9"/>
      <color indexed="81"/>
      <name val="Tahoma"/>
      <family val="2"/>
    </font>
    <font>
      <b/>
      <vertAlign val="subscript"/>
      <sz val="10"/>
      <color rgb="FF0000FF"/>
      <name val="Arial"/>
      <family val="2"/>
    </font>
    <font>
      <b/>
      <sz val="10"/>
      <color indexed="10"/>
      <name val="Arial"/>
      <family val="2"/>
    </font>
    <font>
      <sz val="11"/>
      <name val="Symbol"/>
      <family val="1"/>
      <charset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auto="1"/>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70" fillId="0" borderId="0" applyFont="0" applyFill="0" applyBorder="0" applyAlignment="0" applyProtection="0"/>
  </cellStyleXfs>
  <cellXfs count="840">
    <xf numFmtId="0" fontId="0" fillId="0" borderId="0" xfId="0"/>
    <xf numFmtId="0" fontId="23" fillId="24" borderId="0" xfId="0" applyFont="1" applyFill="1" applyAlignment="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4" borderId="2" xfId="0" applyFill="1" applyBorder="1"/>
    <xf numFmtId="0" fontId="0" fillId="4" borderId="0" xfId="0" applyFill="1"/>
    <xf numFmtId="0" fontId="15" fillId="0" borderId="0" xfId="0" applyFont="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Alignment="1">
      <alignment horizontal="center"/>
    </xf>
    <xf numFmtId="0" fontId="0" fillId="0" borderId="22" xfId="0" applyBorder="1"/>
    <xf numFmtId="0" fontId="0" fillId="0" borderId="23" xfId="0" applyBorder="1"/>
    <xf numFmtId="0" fontId="8" fillId="0" borderId="22" xfId="0" applyFont="1" applyBorder="1"/>
    <xf numFmtId="0" fontId="0" fillId="11" borderId="0" xfId="0" applyFill="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xf numFmtId="0" fontId="0" fillId="10" borderId="0" xfId="0" applyFill="1"/>
    <xf numFmtId="0" fontId="0" fillId="0" borderId="25" xfId="0" applyBorder="1" applyAlignment="1">
      <alignment horizontal="right"/>
    </xf>
    <xf numFmtId="11" fontId="7" fillId="0" borderId="25" xfId="0" applyNumberFormat="1" applyFont="1" applyBorder="1"/>
    <xf numFmtId="11" fontId="0" fillId="4" borderId="0" xfId="0" applyNumberFormat="1" applyFill="1"/>
    <xf numFmtId="0" fontId="17" fillId="3" borderId="0" xfId="0" applyFont="1" applyFill="1"/>
    <xf numFmtId="0" fontId="18" fillId="8" borderId="0" xfId="0" applyFont="1" applyFill="1"/>
    <xf numFmtId="0" fontId="18" fillId="8" borderId="0" xfId="0" applyFont="1" applyFill="1" applyAlignment="1">
      <alignment horizontal="right"/>
    </xf>
    <xf numFmtId="0" fontId="17" fillId="8" borderId="0" xfId="0" applyFont="1" applyFill="1"/>
    <xf numFmtId="0" fontId="21" fillId="0" borderId="0" xfId="0" applyFont="1"/>
    <xf numFmtId="0" fontId="0" fillId="0" borderId="1" xfId="0" applyBorder="1"/>
    <xf numFmtId="0" fontId="0" fillId="0" borderId="2" xfId="0" applyBorder="1" applyAlignment="1">
      <alignment horizontal="right"/>
    </xf>
    <xf numFmtId="0" fontId="22" fillId="0" borderId="0" xfId="0" applyFont="1"/>
    <xf numFmtId="0" fontId="27" fillId="0" borderId="0" xfId="0" applyFont="1"/>
    <xf numFmtId="0" fontId="27" fillId="4" borderId="0" xfId="0" applyFont="1" applyFill="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xf numFmtId="2" fontId="17" fillId="8" borderId="0" xfId="0" applyNumberFormat="1" applyFont="1" applyFill="1"/>
    <xf numFmtId="165" fontId="17" fillId="8" borderId="0" xfId="0" applyNumberFormat="1" applyFont="1" applyFill="1"/>
    <xf numFmtId="0" fontId="17" fillId="12" borderId="0" xfId="0" applyFont="1" applyFill="1"/>
    <xf numFmtId="0" fontId="3" fillId="0" borderId="0" xfId="0" applyFont="1"/>
    <xf numFmtId="0" fontId="0" fillId="0" borderId="0" xfId="0" applyAlignment="1">
      <alignment horizontal="left"/>
    </xf>
    <xf numFmtId="0" fontId="3" fillId="0" borderId="2" xfId="0" applyFont="1" applyBorder="1"/>
    <xf numFmtId="0" fontId="3" fillId="0" borderId="25" xfId="0" applyFont="1" applyBorder="1"/>
    <xf numFmtId="0" fontId="30" fillId="8" borderId="0" xfId="0" applyFont="1" applyFill="1"/>
    <xf numFmtId="0" fontId="20" fillId="15" borderId="0" xfId="0" applyFont="1" applyFill="1" applyAlignment="1">
      <alignment vertical="center"/>
    </xf>
    <xf numFmtId="0" fontId="0" fillId="14" borderId="0" xfId="0" applyFill="1"/>
    <xf numFmtId="0" fontId="42" fillId="14" borderId="0" xfId="0" applyFont="1" applyFill="1"/>
    <xf numFmtId="0" fontId="4" fillId="8" borderId="0" xfId="0" applyFont="1" applyFill="1" applyAlignment="1">
      <alignment horizontal="right"/>
    </xf>
    <xf numFmtId="0" fontId="3" fillId="8" borderId="0" xfId="0" applyFont="1" applyFill="1" applyAlignment="1">
      <alignment horizontal="right"/>
    </xf>
    <xf numFmtId="0" fontId="3" fillId="8" borderId="22" xfId="0" applyFont="1" applyFill="1" applyBorder="1"/>
    <xf numFmtId="0" fontId="3" fillId="8" borderId="0" xfId="0" applyFont="1" applyFill="1"/>
    <xf numFmtId="0" fontId="45" fillId="8" borderId="0" xfId="0" applyFont="1" applyFill="1"/>
    <xf numFmtId="0" fontId="46" fillId="8" borderId="0" xfId="0" applyFont="1" applyFill="1"/>
    <xf numFmtId="0" fontId="47" fillId="8" borderId="0" xfId="0" applyFont="1" applyFill="1"/>
    <xf numFmtId="0" fontId="4" fillId="8" borderId="0" xfId="0" applyFont="1" applyFill="1"/>
    <xf numFmtId="167" fontId="4" fillId="8" borderId="0" xfId="0" applyNumberFormat="1" applyFont="1" applyFill="1"/>
    <xf numFmtId="0" fontId="4" fillId="8" borderId="22" xfId="0" applyFont="1" applyFill="1" applyBorder="1"/>
    <xf numFmtId="0" fontId="4" fillId="15" borderId="0" xfId="0" applyFont="1" applyFill="1" applyProtection="1">
      <protection locked="0"/>
    </xf>
    <xf numFmtId="1" fontId="44" fillId="8" borderId="0" xfId="0" applyNumberFormat="1" applyFont="1" applyFill="1" applyAlignment="1">
      <alignment horizontal="right"/>
    </xf>
    <xf numFmtId="0" fontId="50" fillId="8" borderId="0" xfId="0" applyFont="1" applyFill="1" applyAlignment="1">
      <alignment horizontal="right"/>
    </xf>
    <xf numFmtId="0" fontId="3" fillId="8" borderId="24" xfId="0" applyFont="1" applyFill="1" applyBorder="1"/>
    <xf numFmtId="0" fontId="3" fillId="8" borderId="25" xfId="0" applyFont="1" applyFill="1" applyBorder="1"/>
    <xf numFmtId="0" fontId="3" fillId="8" borderId="23" xfId="0" applyFont="1" applyFill="1" applyBorder="1"/>
    <xf numFmtId="0" fontId="3" fillId="8" borderId="39" xfId="0" applyFont="1" applyFill="1" applyBorder="1"/>
    <xf numFmtId="0" fontId="3" fillId="8" borderId="40" xfId="0" applyFont="1" applyFill="1" applyBorder="1"/>
    <xf numFmtId="0" fontId="22" fillId="8" borderId="22" xfId="0" applyFont="1" applyFill="1" applyBorder="1" applyAlignment="1">
      <alignment vertical="center"/>
    </xf>
    <xf numFmtId="0" fontId="17" fillId="3" borderId="22" xfId="0" applyFont="1" applyFill="1" applyBorder="1"/>
    <xf numFmtId="0" fontId="4" fillId="8" borderId="39" xfId="0" applyFont="1" applyFill="1" applyBorder="1"/>
    <xf numFmtId="0" fontId="3" fillId="0" borderId="1" xfId="0" applyFont="1" applyBorder="1"/>
    <xf numFmtId="0" fontId="3" fillId="0" borderId="22" xfId="0" applyFont="1" applyBorder="1"/>
    <xf numFmtId="2" fontId="0" fillId="0" borderId="0" xfId="0" applyNumberFormat="1" applyAlignment="1">
      <alignment horizontal="right"/>
    </xf>
    <xf numFmtId="0" fontId="53" fillId="0" borderId="0" xfId="0" applyFont="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xf numFmtId="0" fontId="3" fillId="8" borderId="0" xfId="0" applyFont="1" applyFill="1" applyAlignment="1">
      <alignment vertical="center"/>
    </xf>
    <xf numFmtId="0" fontId="3" fillId="8" borderId="22" xfId="0" applyFont="1" applyFill="1" applyBorder="1" applyAlignment="1">
      <alignment vertical="center"/>
    </xf>
    <xf numFmtId="0" fontId="3" fillId="8" borderId="0" xfId="0" applyFont="1" applyFill="1" applyAlignment="1">
      <alignment horizontal="right" vertical="center"/>
    </xf>
    <xf numFmtId="0" fontId="3" fillId="8" borderId="23" xfId="0" applyFont="1" applyFill="1" applyBorder="1" applyAlignment="1">
      <alignment vertical="center"/>
    </xf>
    <xf numFmtId="0" fontId="3" fillId="8" borderId="24" xfId="0" applyFont="1" applyFill="1" applyBorder="1" applyAlignment="1">
      <alignment vertical="center"/>
    </xf>
    <xf numFmtId="0" fontId="3" fillId="8" borderId="25" xfId="0" applyFont="1" applyFill="1" applyBorder="1" applyAlignment="1">
      <alignment vertical="center"/>
    </xf>
    <xf numFmtId="0" fontId="3" fillId="8" borderId="26" xfId="0" applyFont="1" applyFill="1" applyBorder="1" applyAlignment="1">
      <alignment vertical="center"/>
    </xf>
    <xf numFmtId="0" fontId="3" fillId="8" borderId="37" xfId="0" applyFont="1" applyFill="1" applyBorder="1" applyAlignment="1">
      <alignment vertical="center"/>
    </xf>
    <xf numFmtId="0" fontId="3" fillId="8" borderId="2" xfId="0" applyFont="1" applyFill="1" applyBorder="1" applyAlignment="1">
      <alignment vertical="center"/>
    </xf>
    <xf numFmtId="0" fontId="50" fillId="8" borderId="0" xfId="0" applyFont="1" applyFill="1" applyAlignment="1">
      <alignment horizontal="right" vertical="center"/>
    </xf>
    <xf numFmtId="0" fontId="4" fillId="15" borderId="0" xfId="0" applyFont="1" applyFill="1" applyAlignment="1" applyProtection="1">
      <alignment vertical="center"/>
      <protection locked="0"/>
    </xf>
    <xf numFmtId="0" fontId="4" fillId="8" borderId="23" xfId="0" applyFont="1" applyFill="1" applyBorder="1" applyAlignment="1">
      <alignment vertical="center"/>
    </xf>
    <xf numFmtId="1" fontId="3" fillId="8" borderId="0" xfId="0" applyNumberFormat="1" applyFont="1" applyFill="1" applyAlignment="1">
      <alignment horizontal="right" vertical="center"/>
    </xf>
    <xf numFmtId="0" fontId="50" fillId="12"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right" vertical="center"/>
    </xf>
    <xf numFmtId="0" fontId="4" fillId="15" borderId="0" xfId="0" applyFont="1" applyFill="1" applyAlignment="1" applyProtection="1">
      <alignment horizontal="right" vertical="center"/>
      <protection locked="0"/>
    </xf>
    <xf numFmtId="0" fontId="3" fillId="8" borderId="39" xfId="0" applyFont="1" applyFill="1" applyBorder="1" applyAlignment="1">
      <alignment vertical="center"/>
    </xf>
    <xf numFmtId="0" fontId="0" fillId="0" borderId="35" xfId="0" applyBorder="1"/>
    <xf numFmtId="0" fontId="0" fillId="18" borderId="0" xfId="0" applyFill="1"/>
    <xf numFmtId="0" fontId="3" fillId="0" borderId="0" xfId="0" applyFont="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Alignment="1">
      <alignment horizontal="left"/>
    </xf>
    <xf numFmtId="166" fontId="7" fillId="10" borderId="0" xfId="0" applyNumberFormat="1" applyFont="1" applyFill="1"/>
    <xf numFmtId="2" fontId="0" fillId="18" borderId="0" xfId="0" applyNumberFormat="1" applyFill="1"/>
    <xf numFmtId="1" fontId="0" fillId="10" borderId="0" xfId="0" applyNumberFormat="1" applyFill="1"/>
    <xf numFmtId="0" fontId="3" fillId="0" borderId="35" xfId="0" applyFont="1" applyBorder="1"/>
    <xf numFmtId="0" fontId="3" fillId="0" borderId="24" xfId="0" applyFont="1" applyBorder="1"/>
    <xf numFmtId="0" fontId="7" fillId="0" borderId="25" xfId="0" applyFont="1" applyBorder="1"/>
    <xf numFmtId="167" fontId="0" fillId="0" borderId="0" xfId="0" applyNumberFormat="1"/>
    <xf numFmtId="0" fontId="4" fillId="0" borderId="45" xfId="0" applyFont="1" applyBorder="1"/>
    <xf numFmtId="0" fontId="0" fillId="20" borderId="0" xfId="0" applyFill="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xf numFmtId="0" fontId="3" fillId="0" borderId="49" xfId="0" applyFont="1" applyBorder="1"/>
    <xf numFmtId="166" fontId="3" fillId="0" borderId="50" xfId="0" applyNumberFormat="1" applyFont="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xf numFmtId="165" fontId="7" fillId="10" borderId="0" xfId="0" applyNumberFormat="1" applyFont="1" applyFill="1"/>
    <xf numFmtId="0" fontId="0" fillId="20" borderId="0" xfId="0" applyFill="1" applyAlignment="1">
      <alignment horizontal="right"/>
    </xf>
    <xf numFmtId="166" fontId="27" fillId="18" borderId="0" xfId="0" applyNumberFormat="1" applyFont="1" applyFill="1"/>
    <xf numFmtId="0" fontId="0" fillId="19" borderId="0" xfId="0" applyFill="1" applyAlignment="1">
      <alignment horizontal="right"/>
    </xf>
    <xf numFmtId="2" fontId="0" fillId="18" borderId="0" xfId="0" applyNumberFormat="1" applyFill="1" applyAlignment="1">
      <alignment horizontal="right"/>
    </xf>
    <xf numFmtId="166" fontId="3" fillId="0" borderId="11" xfId="4" applyNumberFormat="1" applyBorder="1"/>
    <xf numFmtId="0" fontId="0" fillId="19" borderId="0" xfId="0" applyFill="1"/>
    <xf numFmtId="2" fontId="3" fillId="0" borderId="0" xfId="0" applyNumberFormat="1" applyFont="1"/>
    <xf numFmtId="0" fontId="3" fillId="20" borderId="0" xfId="0" applyFont="1" applyFill="1"/>
    <xf numFmtId="0" fontId="3" fillId="0" borderId="8" xfId="4" applyBorder="1"/>
    <xf numFmtId="176" fontId="0" fillId="10" borderId="0" xfId="0" applyNumberFormat="1" applyFill="1"/>
    <xf numFmtId="176" fontId="0" fillId="4" borderId="25" xfId="0" applyNumberFormat="1" applyFill="1" applyBorder="1"/>
    <xf numFmtId="1" fontId="3" fillId="0" borderId="0" xfId="4" applyNumberFormat="1"/>
    <xf numFmtId="0" fontId="15" fillId="0" borderId="33"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xf numFmtId="0" fontId="3" fillId="8" borderId="35" xfId="0" applyFont="1" applyFill="1" applyBorder="1" applyAlignment="1">
      <alignment horizontal="right" vertical="center"/>
    </xf>
    <xf numFmtId="0" fontId="3" fillId="8" borderId="39" xfId="0" applyFont="1" applyFill="1" applyBorder="1" applyAlignment="1">
      <alignment horizontal="right"/>
    </xf>
    <xf numFmtId="1" fontId="3" fillId="8" borderId="39" xfId="0" applyNumberFormat="1" applyFont="1" applyFill="1" applyBorder="1"/>
    <xf numFmtId="166" fontId="17" fillId="12" borderId="0" xfId="0" applyNumberFormat="1" applyFont="1" applyFill="1"/>
    <xf numFmtId="0" fontId="3" fillId="12" borderId="0" xfId="0" applyFont="1" applyFill="1" applyAlignment="1">
      <alignment horizontal="right" vertical="center"/>
    </xf>
    <xf numFmtId="165" fontId="17" fillId="12" borderId="0" xfId="0" applyNumberFormat="1" applyFont="1" applyFill="1"/>
    <xf numFmtId="0" fontId="3" fillId="12" borderId="0" xfId="0" applyFont="1" applyFill="1" applyAlignment="1">
      <alignment vertical="center"/>
    </xf>
    <xf numFmtId="0" fontId="4" fillId="12" borderId="0" xfId="0" applyFont="1" applyFill="1" applyAlignment="1">
      <alignment vertical="center"/>
    </xf>
    <xf numFmtId="0" fontId="61" fillId="8" borderId="0" xfId="0" applyFont="1" applyFill="1" applyAlignment="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xf numFmtId="0" fontId="7" fillId="4" borderId="35" xfId="4" applyFont="1" applyFill="1" applyBorder="1"/>
    <xf numFmtId="165" fontId="3" fillId="4" borderId="52" xfId="4" applyNumberFormat="1" applyFill="1" applyBorder="1"/>
    <xf numFmtId="165" fontId="4" fillId="4" borderId="49" xfId="4" applyNumberFormat="1" applyFont="1" applyFill="1" applyBorder="1"/>
    <xf numFmtId="165" fontId="7" fillId="4" borderId="50" xfId="4" applyNumberFormat="1" applyFont="1" applyFill="1" applyBorder="1"/>
    <xf numFmtId="0" fontId="7" fillId="4" borderId="50" xfId="4" applyFont="1" applyFill="1" applyBorder="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Alignment="1">
      <alignment horizontal="center" vertical="center" wrapText="1"/>
    </xf>
    <xf numFmtId="0" fontId="3" fillId="0" borderId="0" xfId="4" quotePrefix="1"/>
    <xf numFmtId="0" fontId="4" fillId="2" borderId="0" xfId="4" applyFont="1" applyFill="1" applyAlignment="1">
      <alignment horizontal="center" vertical="center" wrapText="1"/>
    </xf>
    <xf numFmtId="0" fontId="4" fillId="5" borderId="8" xfId="4" applyFont="1" applyFill="1" applyBorder="1"/>
    <xf numFmtId="0" fontId="4" fillId="5" borderId="9" xfId="4" applyFont="1" applyFill="1" applyBorder="1"/>
    <xf numFmtId="0" fontId="4" fillId="5" borderId="10" xfId="4" applyFont="1" applyFill="1" applyBorder="1"/>
    <xf numFmtId="0" fontId="4" fillId="5" borderId="11" xfId="4" applyFont="1" applyFill="1" applyBorder="1"/>
    <xf numFmtId="0" fontId="4" fillId="0" borderId="0" xfId="4" applyFont="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Protection="1">
      <protection locked="0"/>
    </xf>
    <xf numFmtId="10" fontId="3" fillId="0" borderId="0" xfId="4" applyNumberFormat="1" applyProtection="1">
      <protection locked="0"/>
    </xf>
    <xf numFmtId="0" fontId="4" fillId="6" borderId="12" xfId="4" applyFont="1" applyFill="1" applyBorder="1"/>
    <xf numFmtId="0" fontId="3" fillId="2" borderId="11" xfId="4" applyFill="1" applyBorder="1" applyProtection="1">
      <protection locked="0"/>
    </xf>
    <xf numFmtId="0" fontId="4" fillId="6" borderId="11" xfId="4" applyFont="1" applyFill="1" applyBorder="1"/>
    <xf numFmtId="0" fontId="53" fillId="0" borderId="11" xfId="4" applyFont="1" applyBorder="1"/>
    <xf numFmtId="0" fontId="3" fillId="4" borderId="11" xfId="4" applyFill="1" applyBorder="1"/>
    <xf numFmtId="0" fontId="3" fillId="4" borderId="11" xfId="4" applyFill="1" applyBorder="1" applyProtection="1">
      <protection locked="0"/>
    </xf>
    <xf numFmtId="0" fontId="14" fillId="3" borderId="0" xfId="4" applyFont="1" applyFill="1"/>
    <xf numFmtId="0" fontId="4" fillId="5" borderId="15" xfId="4" applyFont="1" applyFill="1" applyBorder="1"/>
    <xf numFmtId="166" fontId="15" fillId="22" borderId="11" xfId="4" applyNumberFormat="1" applyFont="1" applyFill="1" applyBorder="1"/>
    <xf numFmtId="0" fontId="3" fillId="0" borderId="15" xfId="4"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Alignment="1">
      <alignment horizontal="right"/>
    </xf>
    <xf numFmtId="0" fontId="3" fillId="6" borderId="8" xfId="4" applyFill="1" applyBorder="1"/>
    <xf numFmtId="0" fontId="3" fillId="0" borderId="47" xfId="4" applyBorder="1"/>
    <xf numFmtId="0" fontId="53" fillId="0" borderId="15" xfId="4" applyFont="1" applyBorder="1"/>
    <xf numFmtId="176" fontId="3" fillId="0" borderId="47" xfId="4" applyNumberFormat="1" applyBorder="1"/>
    <xf numFmtId="0" fontId="4" fillId="0" borderId="11" xfId="4" applyFont="1" applyBorder="1"/>
    <xf numFmtId="0" fontId="4" fillId="6" borderId="48" xfId="4" applyFont="1" applyFill="1" applyBorder="1"/>
    <xf numFmtId="0" fontId="3" fillId="0" borderId="16" xfId="4" applyBorder="1"/>
    <xf numFmtId="11" fontId="3" fillId="0" borderId="48" xfId="4" applyNumberFormat="1" applyBorder="1"/>
    <xf numFmtId="0" fontId="3" fillId="0" borderId="12" xfId="4" applyBorder="1"/>
    <xf numFmtId="0" fontId="4" fillId="5" borderId="0" xfId="4" applyFont="1" applyFill="1"/>
    <xf numFmtId="0" fontId="4" fillId="5" borderId="14" xfId="4" applyFont="1" applyFill="1" applyBorder="1"/>
    <xf numFmtId="0" fontId="3" fillId="0" borderId="11" xfId="4" applyBorder="1" applyProtection="1">
      <protection locked="0"/>
    </xf>
    <xf numFmtId="0" fontId="3" fillId="6" borderId="9" xfId="4" applyFill="1" applyBorder="1"/>
    <xf numFmtId="0" fontId="3" fillId="0" borderId="47" xfId="4" applyBorder="1" applyProtection="1">
      <protection locked="0"/>
    </xf>
    <xf numFmtId="0" fontId="4" fillId="5" borderId="4" xfId="4" applyFont="1" applyFill="1" applyBorder="1"/>
    <xf numFmtId="0" fontId="4" fillId="5" borderId="12" xfId="4" applyFont="1" applyFill="1" applyBorder="1"/>
    <xf numFmtId="0" fontId="3" fillId="6" borderId="11" xfId="4" applyFill="1" applyBorder="1"/>
    <xf numFmtId="0" fontId="3" fillId="0" borderId="51" xfId="4" applyBorder="1" applyProtection="1">
      <protection locked="0"/>
    </xf>
    <xf numFmtId="0" fontId="3" fillId="21" borderId="51" xfId="4" applyFill="1" applyBorder="1" applyProtection="1">
      <protection locked="0"/>
    </xf>
    <xf numFmtId="176" fontId="3" fillId="0" borderId="11" xfId="4" applyNumberFormat="1" applyBorder="1"/>
    <xf numFmtId="0" fontId="4" fillId="5" borderId="0" xfId="4" applyFont="1" applyFill="1" applyProtection="1">
      <protection locked="0"/>
    </xf>
    <xf numFmtId="0" fontId="4" fillId="5" borderId="13" xfId="4" applyFont="1" applyFill="1" applyBorder="1"/>
    <xf numFmtId="167" fontId="58" fillId="0" borderId="0" xfId="4" applyNumberFormat="1" applyFont="1"/>
    <xf numFmtId="0" fontId="58" fillId="0" borderId="0" xfId="4" applyFont="1"/>
    <xf numFmtId="0" fontId="48" fillId="0" borderId="0" xfId="4" applyFont="1"/>
    <xf numFmtId="2" fontId="4" fillId="0" borderId="0" xfId="4" applyNumberFormat="1" applyFont="1"/>
    <xf numFmtId="165" fontId="48" fillId="0" borderId="0" xfId="4" applyNumberFormat="1" applyFont="1"/>
    <xf numFmtId="1" fontId="4" fillId="0" borderId="0" xfId="4" applyNumberFormat="1" applyFont="1"/>
    <xf numFmtId="165" fontId="4" fillId="0" borderId="0" xfId="4" applyNumberFormat="1" applyFont="1"/>
    <xf numFmtId="2" fontId="7" fillId="4" borderId="50" xfId="4" applyNumberFormat="1" applyFont="1" applyFill="1" applyBorder="1"/>
    <xf numFmtId="2" fontId="4" fillId="2" borderId="53" xfId="4" applyNumberFormat="1" applyFont="1" applyFill="1" applyBorder="1" applyAlignment="1">
      <alignment horizontal="center" vertical="center" wrapText="1"/>
    </xf>
    <xf numFmtId="2" fontId="7" fillId="4" borderId="52" xfId="4" applyNumberFormat="1" applyFont="1" applyFill="1" applyBorder="1"/>
    <xf numFmtId="2" fontId="4" fillId="2" borderId="18" xfId="4" applyNumberFormat="1" applyFont="1" applyFill="1" applyBorder="1" applyAlignment="1">
      <alignment horizontal="center" vertical="center" wrapText="1"/>
    </xf>
    <xf numFmtId="166" fontId="7" fillId="4" borderId="50" xfId="4" applyNumberFormat="1" applyFont="1" applyFill="1" applyBorder="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Alignment="1">
      <alignment vertical="top"/>
    </xf>
    <xf numFmtId="167" fontId="3" fillId="2" borderId="11" xfId="4" applyNumberFormat="1" applyFill="1" applyBorder="1" applyProtection="1">
      <protection locked="0"/>
    </xf>
    <xf numFmtId="1" fontId="3" fillId="0" borderId="47" xfId="4" applyNumberFormat="1" applyBorder="1"/>
    <xf numFmtId="0" fontId="0" fillId="12" borderId="0" xfId="0" applyFill="1"/>
    <xf numFmtId="0" fontId="64" fillId="0" borderId="0" xfId="0" applyFont="1"/>
    <xf numFmtId="0" fontId="62" fillId="0" borderId="0" xfId="1" applyFont="1" applyFill="1"/>
    <xf numFmtId="1" fontId="15" fillId="4" borderId="0" xfId="0" applyNumberFormat="1" applyFont="1" applyFill="1" applyAlignment="1">
      <alignment horizontal="right"/>
    </xf>
    <xf numFmtId="1" fontId="49" fillId="8" borderId="0" xfId="0" applyNumberFormat="1" applyFont="1" applyFill="1" applyAlignment="1">
      <alignment horizontal="right"/>
    </xf>
    <xf numFmtId="1" fontId="0" fillId="0" borderId="0" xfId="0" applyNumberFormat="1"/>
    <xf numFmtId="0" fontId="3" fillId="8" borderId="25" xfId="0" applyFont="1" applyFill="1" applyBorder="1" applyAlignment="1">
      <alignment horizontal="right"/>
    </xf>
    <xf numFmtId="0" fontId="48" fillId="0" borderId="0" xfId="0" applyFont="1" applyAlignment="1">
      <alignment horizontal="left"/>
    </xf>
    <xf numFmtId="0" fontId="48" fillId="0" borderId="0" xfId="0" applyFont="1" applyAlignment="1">
      <alignment horizontal="right"/>
    </xf>
    <xf numFmtId="0" fontId="0" fillId="0" borderId="22" xfId="0" applyBorder="1" applyAlignment="1">
      <alignment horizontal="right"/>
    </xf>
    <xf numFmtId="0" fontId="48" fillId="0" borderId="0" xfId="4" applyFont="1" applyAlignment="1">
      <alignment horizontal="left"/>
    </xf>
    <xf numFmtId="0" fontId="48" fillId="0" borderId="0" xfId="0" applyFont="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xf numFmtId="0" fontId="3" fillId="0" borderId="0" xfId="0" applyFont="1" applyAlignment="1">
      <alignment horizontal="left"/>
    </xf>
    <xf numFmtId="0" fontId="3" fillId="12" borderId="0" xfId="0" applyFont="1" applyFill="1"/>
    <xf numFmtId="1" fontId="3" fillId="8" borderId="25" xfId="0" applyNumberFormat="1" applyFont="1" applyFill="1" applyBorder="1" applyAlignment="1">
      <alignment horizontal="right" vertical="center"/>
    </xf>
    <xf numFmtId="0" fontId="3" fillId="8" borderId="59" xfId="0" applyFont="1" applyFill="1" applyBorder="1" applyAlignment="1">
      <alignment vertical="center"/>
    </xf>
    <xf numFmtId="0" fontId="3" fillId="8" borderId="60" xfId="0" applyFont="1" applyFill="1" applyBorder="1" applyAlignment="1">
      <alignment vertical="center"/>
    </xf>
    <xf numFmtId="0" fontId="3" fillId="8" borderId="60" xfId="0" applyFont="1" applyFill="1" applyBorder="1" applyAlignment="1">
      <alignment horizontal="right" vertical="center"/>
    </xf>
    <xf numFmtId="0" fontId="4" fillId="8" borderId="60" xfId="0" applyFont="1" applyFill="1" applyBorder="1" applyAlignment="1">
      <alignment horizontal="right" vertical="center"/>
    </xf>
    <xf numFmtId="0" fontId="3" fillId="8" borderId="61" xfId="0" applyFont="1" applyFill="1" applyBorder="1" applyAlignment="1">
      <alignment vertical="center"/>
    </xf>
    <xf numFmtId="0" fontId="65" fillId="0" borderId="22" xfId="0" applyFont="1" applyBorder="1"/>
    <xf numFmtId="0" fontId="3" fillId="15" borderId="0" xfId="0" applyFont="1" applyFill="1"/>
    <xf numFmtId="0" fontId="24" fillId="24" borderId="22" xfId="0" applyFont="1" applyFill="1" applyBorder="1" applyAlignment="1">
      <alignment horizontal="left"/>
    </xf>
    <xf numFmtId="0" fontId="24" fillId="24" borderId="0" xfId="0" applyFont="1" applyFill="1" applyAlignment="1">
      <alignment horizontal="left"/>
    </xf>
    <xf numFmtId="0" fontId="23" fillId="24" borderId="22" xfId="0" applyFont="1" applyFill="1" applyBorder="1" applyAlignment="1">
      <alignment horizontal="left" vertical="center"/>
    </xf>
    <xf numFmtId="0" fontId="23" fillId="24" borderId="0" xfId="0" applyFont="1" applyFill="1" applyAlignment="1">
      <alignment horizontal="left" vertical="center"/>
    </xf>
    <xf numFmtId="0" fontId="52" fillId="24" borderId="0" xfId="0" applyFont="1" applyFill="1" applyAlignment="1">
      <alignment horizontal="left" vertical="center"/>
    </xf>
    <xf numFmtId="0" fontId="20" fillId="24" borderId="0" xfId="0" applyFont="1" applyFill="1" applyAlignment="1">
      <alignment vertical="center"/>
    </xf>
    <xf numFmtId="0" fontId="23" fillId="24" borderId="0" xfId="0" quotePrefix="1" applyFont="1" applyFill="1" applyAlignment="1">
      <alignment vertical="center"/>
    </xf>
    <xf numFmtId="0" fontId="26" fillId="24" borderId="0" xfId="0" applyFont="1" applyFill="1" applyAlignment="1">
      <alignment vertical="center"/>
    </xf>
    <xf numFmtId="0" fontId="26" fillId="24" borderId="0" xfId="0" applyFont="1" applyFill="1"/>
    <xf numFmtId="0" fontId="17" fillId="24" borderId="0" xfId="0" applyFont="1" applyFill="1"/>
    <xf numFmtId="0" fontId="28" fillId="24" borderId="24" xfId="0" applyFont="1" applyFill="1" applyBorder="1"/>
    <xf numFmtId="0" fontId="28" fillId="24" borderId="25" xfId="0" applyFont="1" applyFill="1" applyBorder="1"/>
    <xf numFmtId="0" fontId="20" fillId="24" borderId="25" xfId="0" applyFont="1" applyFill="1" applyBorder="1"/>
    <xf numFmtId="0" fontId="25" fillId="24" borderId="25" xfId="0" applyFont="1" applyFill="1" applyBorder="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Alignment="1">
      <alignment horizontal="center"/>
    </xf>
    <xf numFmtId="0" fontId="20" fillId="24" borderId="37" xfId="0" applyFont="1" applyFill="1" applyBorder="1"/>
    <xf numFmtId="0" fontId="20" fillId="24" borderId="35" xfId="0" applyFont="1" applyFill="1" applyBorder="1"/>
    <xf numFmtId="0" fontId="17" fillId="24" borderId="35" xfId="0" applyFont="1" applyFill="1" applyBorder="1"/>
    <xf numFmtId="0" fontId="4" fillId="5" borderId="48" xfId="4" applyFont="1" applyFill="1" applyBorder="1"/>
    <xf numFmtId="166" fontId="0" fillId="10" borderId="2" xfId="0" applyNumberFormat="1" applyFill="1" applyBorder="1"/>
    <xf numFmtId="166" fontId="0" fillId="18" borderId="0" xfId="0" applyNumberFormat="1" applyFill="1"/>
    <xf numFmtId="166" fontId="27" fillId="10" borderId="0" xfId="0" applyNumberFormat="1" applyFont="1" applyFill="1"/>
    <xf numFmtId="0" fontId="3" fillId="8" borderId="62" xfId="0" applyFont="1" applyFill="1" applyBorder="1"/>
    <xf numFmtId="0" fontId="3" fillId="8" borderId="63" xfId="0" applyFont="1" applyFill="1" applyBorder="1"/>
    <xf numFmtId="0" fontId="3" fillId="8" borderId="63" xfId="0" applyFont="1" applyFill="1" applyBorder="1" applyAlignment="1">
      <alignment horizontal="right"/>
    </xf>
    <xf numFmtId="0" fontId="17" fillId="12" borderId="22" xfId="0" applyFont="1" applyFill="1" applyBorder="1"/>
    <xf numFmtId="166" fontId="27" fillId="0" borderId="0" xfId="0" applyNumberFormat="1" applyFont="1"/>
    <xf numFmtId="0" fontId="4" fillId="12" borderId="23" xfId="0" applyFont="1" applyFill="1" applyBorder="1" applyAlignment="1">
      <alignment vertical="center"/>
    </xf>
    <xf numFmtId="1" fontId="3" fillId="0" borderId="64" xfId="0" applyNumberFormat="1" applyFont="1" applyBorder="1" applyAlignment="1">
      <alignment vertical="center"/>
    </xf>
    <xf numFmtId="0" fontId="4" fillId="12" borderId="23" xfId="0" applyFont="1" applyFill="1" applyBorder="1"/>
    <xf numFmtId="0" fontId="3" fillId="12" borderId="26" xfId="0" applyFont="1" applyFill="1" applyBorder="1"/>
    <xf numFmtId="1" fontId="3" fillId="8" borderId="0" xfId="0" applyNumberFormat="1" applyFont="1" applyFill="1"/>
    <xf numFmtId="0" fontId="0" fillId="0" borderId="63" xfId="0" applyBorder="1"/>
    <xf numFmtId="0" fontId="4" fillId="0" borderId="0" xfId="4" applyFont="1" applyAlignment="1">
      <alignment horizontal="left"/>
    </xf>
    <xf numFmtId="0" fontId="48" fillId="0" borderId="0" xfId="4" applyFont="1" applyAlignment="1">
      <alignment horizontal="center"/>
    </xf>
    <xf numFmtId="0" fontId="69" fillId="0" borderId="0" xfId="4" applyFont="1" applyAlignment="1">
      <alignment horizontal="right"/>
    </xf>
    <xf numFmtId="0" fontId="69" fillId="0" borderId="22" xfId="4" applyFont="1" applyBorder="1" applyAlignment="1">
      <alignment horizontal="right"/>
    </xf>
    <xf numFmtId="0" fontId="69" fillId="0" borderId="0" xfId="0" applyFont="1" applyAlignment="1">
      <alignment horizontal="right"/>
    </xf>
    <xf numFmtId="0" fontId="65" fillId="0" borderId="0" xfId="0" applyFont="1"/>
    <xf numFmtId="165" fontId="7" fillId="4" borderId="63" xfId="4" applyNumberFormat="1" applyFont="1" applyFill="1" applyBorder="1"/>
    <xf numFmtId="167" fontId="3" fillId="0" borderId="0" xfId="4" applyNumberFormat="1"/>
    <xf numFmtId="0" fontId="4" fillId="2" borderId="20" xfId="4" applyFont="1" applyFill="1" applyBorder="1" applyAlignment="1">
      <alignment horizontal="center" vertical="center" wrapText="1"/>
    </xf>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xf numFmtId="2" fontId="7" fillId="4" borderId="67" xfId="4" applyNumberFormat="1" applyFont="1" applyFill="1" applyBorder="1"/>
    <xf numFmtId="2" fontId="7" fillId="4" borderId="18" xfId="4" applyNumberFormat="1" applyFont="1" applyFill="1" applyBorder="1"/>
    <xf numFmtId="165" fontId="3" fillId="4" borderId="67" xfId="4" applyNumberFormat="1" applyFill="1" applyBorder="1"/>
    <xf numFmtId="0" fontId="3" fillId="8" borderId="62" xfId="0" applyFont="1" applyFill="1" applyBorder="1" applyAlignment="1">
      <alignment vertical="center"/>
    </xf>
    <xf numFmtId="0" fontId="22" fillId="8" borderId="24" xfId="0" applyFont="1" applyFill="1" applyBorder="1" applyAlignment="1">
      <alignment vertical="center"/>
    </xf>
    <xf numFmtId="164" fontId="3" fillId="0" borderId="0" xfId="7" applyNumberFormat="1" applyFont="1"/>
    <xf numFmtId="0" fontId="3" fillId="0" borderId="0" xfId="0" quotePrefix="1" applyFont="1"/>
    <xf numFmtId="0" fontId="4" fillId="8" borderId="11" xfId="4" applyFont="1" applyFill="1" applyBorder="1" applyAlignment="1">
      <alignment horizontal="center" vertical="center"/>
    </xf>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4" fillId="8" borderId="0" xfId="4" applyFont="1" applyFill="1"/>
    <xf numFmtId="167" fontId="74" fillId="8" borderId="0" xfId="4" applyNumberFormat="1" applyFont="1" applyFill="1" applyAlignment="1">
      <alignment horizontal="right"/>
    </xf>
    <xf numFmtId="0" fontId="74" fillId="8" borderId="0" xfId="4" applyFont="1" applyFill="1" applyAlignment="1">
      <alignment horizontal="left" vertical="center"/>
    </xf>
    <xf numFmtId="165" fontId="74"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2" fillId="14" borderId="68" xfId="4" applyNumberFormat="1" applyFont="1" applyFill="1" applyBorder="1" applyAlignment="1">
      <alignment horizontal="center" vertical="center"/>
    </xf>
    <xf numFmtId="0" fontId="72" fillId="14" borderId="47" xfId="4" applyFont="1" applyFill="1" applyBorder="1" applyAlignment="1">
      <alignment horizontal="center" vertical="center"/>
    </xf>
    <xf numFmtId="167" fontId="75" fillId="0" borderId="0" xfId="4" applyNumberFormat="1" applyFont="1" applyAlignment="1">
      <alignment horizontal="right" vertical="center"/>
    </xf>
    <xf numFmtId="165" fontId="75"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ill="1" applyAlignment="1" applyProtection="1">
      <alignment vertical="center"/>
      <protection locked="0" hidden="1"/>
    </xf>
    <xf numFmtId="0" fontId="55" fillId="12" borderId="0" xfId="0" applyFont="1" applyFill="1"/>
    <xf numFmtId="0" fontId="59" fillId="8" borderId="0" xfId="4" applyFont="1" applyFill="1"/>
    <xf numFmtId="0" fontId="75" fillId="8" borderId="0" xfId="4" applyFont="1" applyFill="1" applyAlignment="1">
      <alignment horizontal="left"/>
    </xf>
    <xf numFmtId="0" fontId="48" fillId="0" borderId="22" xfId="0" applyFont="1" applyBorder="1"/>
    <xf numFmtId="0" fontId="17" fillId="12" borderId="35" xfId="0" applyFont="1" applyFill="1" applyBorder="1"/>
    <xf numFmtId="169" fontId="17" fillId="12" borderId="39" xfId="0" applyNumberFormat="1" applyFont="1" applyFill="1" applyBorder="1" applyAlignment="1">
      <alignment horizontal="center"/>
    </xf>
    <xf numFmtId="0" fontId="17" fillId="12" borderId="39" xfId="0" applyFont="1" applyFill="1" applyBorder="1"/>
    <xf numFmtId="0" fontId="17" fillId="8" borderId="39" xfId="0" applyFont="1" applyFill="1" applyBorder="1"/>
    <xf numFmtId="0" fontId="17" fillId="12" borderId="36" xfId="0" applyFont="1" applyFill="1" applyBorder="1"/>
    <xf numFmtId="0" fontId="17" fillId="12" borderId="23" xfId="0" applyFont="1" applyFill="1" applyBorder="1"/>
    <xf numFmtId="0" fontId="3" fillId="8" borderId="39" xfId="0" applyFont="1" applyFill="1" applyBorder="1" applyAlignment="1">
      <alignment horizontal="right" vertical="center"/>
    </xf>
    <xf numFmtId="0" fontId="3" fillId="8" borderId="35" xfId="0" applyFont="1" applyFill="1" applyBorder="1" applyAlignment="1">
      <alignment vertical="center"/>
    </xf>
    <xf numFmtId="0" fontId="3" fillId="8" borderId="35" xfId="0" applyFont="1" applyFill="1" applyBorder="1" applyAlignment="1">
      <alignment horizontal="right"/>
    </xf>
    <xf numFmtId="0" fontId="50" fillId="8" borderId="39" xfId="0" applyFont="1" applyFill="1" applyBorder="1" applyAlignment="1">
      <alignment horizontal="right" vertical="center"/>
    </xf>
    <xf numFmtId="0" fontId="4" fillId="15" borderId="39" xfId="0" applyFont="1" applyFill="1" applyBorder="1" applyAlignment="1" applyProtection="1">
      <alignment vertical="center"/>
      <protection locked="0"/>
    </xf>
    <xf numFmtId="1" fontId="49" fillId="8" borderId="25" xfId="0" applyNumberFormat="1" applyFont="1" applyFill="1" applyBorder="1" applyAlignment="1">
      <alignment horizontal="right"/>
    </xf>
    <xf numFmtId="0" fontId="3" fillId="8" borderId="36" xfId="0" applyFont="1" applyFill="1" applyBorder="1" applyAlignment="1">
      <alignment vertical="center"/>
    </xf>
    <xf numFmtId="0" fontId="60" fillId="13" borderId="35" xfId="0" applyFont="1" applyFill="1" applyBorder="1" applyAlignment="1">
      <alignment vertical="center"/>
    </xf>
    <xf numFmtId="0" fontId="17" fillId="13" borderId="35" xfId="0" applyFont="1" applyFill="1" applyBorder="1"/>
    <xf numFmtId="0" fontId="77" fillId="13" borderId="62" xfId="0" applyFont="1" applyFill="1" applyBorder="1" applyAlignment="1">
      <alignment vertical="center"/>
    </xf>
    <xf numFmtId="0" fontId="23" fillId="24" borderId="0" xfId="0" applyFont="1" applyFill="1" applyAlignment="1">
      <alignment horizontal="right" vertical="center"/>
    </xf>
    <xf numFmtId="183" fontId="0" fillId="0" borderId="0" xfId="0" applyNumberFormat="1" applyAlignment="1">
      <alignment horizontal="right"/>
    </xf>
    <xf numFmtId="183" fontId="0" fillId="19" borderId="0" xfId="0" applyNumberFormat="1" applyFill="1" applyAlignment="1">
      <alignment horizontal="right"/>
    </xf>
    <xf numFmtId="0" fontId="0" fillId="0" borderId="22" xfId="0" applyBorder="1" applyAlignment="1">
      <alignment horizontal="left"/>
    </xf>
    <xf numFmtId="1" fontId="3" fillId="8" borderId="39" xfId="0" applyNumberFormat="1" applyFont="1" applyFill="1" applyBorder="1" applyAlignment="1">
      <alignment horizontal="right" vertical="center"/>
    </xf>
    <xf numFmtId="0" fontId="3" fillId="8" borderId="40" xfId="0" applyFont="1" applyFill="1" applyBorder="1" applyAlignment="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Alignment="1">
      <alignment horizontal="left"/>
    </xf>
    <xf numFmtId="166" fontId="3" fillId="0" borderId="0" xfId="0" applyNumberFormat="1" applyFont="1"/>
    <xf numFmtId="166" fontId="4" fillId="0" borderId="0" xfId="0" applyNumberFormat="1" applyFont="1"/>
    <xf numFmtId="0" fontId="4" fillId="4" borderId="35" xfId="4" applyFont="1" applyFill="1" applyBorder="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Border="1" applyAlignment="1">
      <alignment horizontal="center" vertical="center" wrapText="1"/>
    </xf>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xf numFmtId="167" fontId="15" fillId="18" borderId="0" xfId="0" applyNumberFormat="1" applyFont="1" applyFill="1" applyAlignment="1">
      <alignment horizontal="right"/>
    </xf>
    <xf numFmtId="176" fontId="27" fillId="0" borderId="0" xfId="0" applyNumberFormat="1" applyFont="1"/>
    <xf numFmtId="0" fontId="3" fillId="0" borderId="33" xfId="0" applyFont="1" applyBorder="1"/>
    <xf numFmtId="167" fontId="27" fillId="4" borderId="0" xfId="0" applyNumberFormat="1" applyFont="1" applyFill="1"/>
    <xf numFmtId="165" fontId="27" fillId="0" borderId="0" xfId="0" applyNumberFormat="1" applyFont="1"/>
    <xf numFmtId="166" fontId="3" fillId="5" borderId="0" xfId="0" applyNumberFormat="1" applyFont="1" applyFill="1"/>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xf numFmtId="0" fontId="17" fillId="12" borderId="40" xfId="0" applyFont="1" applyFill="1" applyBorder="1"/>
    <xf numFmtId="1" fontId="3" fillId="0" borderId="0" xfId="0" applyNumberFormat="1" applyFont="1"/>
    <xf numFmtId="167" fontId="3" fillId="0" borderId="0" xfId="0" applyNumberFormat="1" applyFont="1"/>
    <xf numFmtId="1" fontId="50" fillId="15" borderId="0" xfId="0" applyNumberFormat="1" applyFont="1" applyFill="1" applyAlignment="1" applyProtection="1">
      <alignment horizontal="right" vertical="center"/>
      <protection locked="0"/>
    </xf>
    <xf numFmtId="0" fontId="17" fillId="12" borderId="62" xfId="0" applyFont="1" applyFill="1" applyBorder="1"/>
    <xf numFmtId="0" fontId="4" fillId="12" borderId="35" xfId="0" applyFont="1" applyFill="1" applyBorder="1" applyAlignment="1">
      <alignment horizontal="right"/>
    </xf>
    <xf numFmtId="0" fontId="4" fillId="12" borderId="64" xfId="0" applyFont="1" applyFill="1" applyBorder="1"/>
    <xf numFmtId="0" fontId="79" fillId="0" borderId="0" xfId="0" applyFont="1" applyAlignment="1">
      <alignment vertical="center" wrapText="1"/>
    </xf>
    <xf numFmtId="0" fontId="4" fillId="15" borderId="35" xfId="0" applyFont="1" applyFill="1" applyBorder="1" applyProtection="1">
      <protection locked="0"/>
    </xf>
    <xf numFmtId="0" fontId="0" fillId="23" borderId="0" xfId="0" applyFill="1"/>
    <xf numFmtId="0" fontId="4" fillId="8" borderId="35" xfId="0" applyFont="1" applyFill="1" applyBorder="1"/>
    <xf numFmtId="0" fontId="3" fillId="8" borderId="35" xfId="0" applyFont="1" applyFill="1" applyBorder="1"/>
    <xf numFmtId="49" fontId="3" fillId="0" borderId="0" xfId="0" applyNumberFormat="1" applyFont="1" applyAlignment="1">
      <alignment horizontal="left"/>
    </xf>
    <xf numFmtId="167" fontId="49" fillId="12" borderId="35" xfId="0" applyNumberFormat="1" applyFont="1" applyFill="1" applyBorder="1" applyAlignment="1">
      <alignment vertical="center"/>
    </xf>
    <xf numFmtId="165" fontId="3" fillId="0" borderId="0" xfId="0" applyNumberFormat="1" applyFont="1"/>
    <xf numFmtId="1" fontId="4" fillId="12" borderId="0" xfId="0" applyNumberFormat="1" applyFont="1" applyFill="1" applyAlignment="1">
      <alignment vertical="center"/>
    </xf>
    <xf numFmtId="1" fontId="65" fillId="0" borderId="0" xfId="0" applyNumberFormat="1" applyFont="1" applyAlignment="1">
      <alignment horizontal="right" vertical="center"/>
    </xf>
    <xf numFmtId="167" fontId="4" fillId="15" borderId="0" xfId="0" applyNumberFormat="1" applyFont="1" applyFill="1" applyAlignment="1" applyProtection="1">
      <alignment horizontal="right" vertical="center"/>
      <protection locked="0"/>
    </xf>
    <xf numFmtId="0" fontId="22" fillId="8" borderId="67" xfId="0" applyFont="1" applyFill="1" applyBorder="1" applyAlignment="1">
      <alignment vertical="center"/>
    </xf>
    <xf numFmtId="0" fontId="17" fillId="8" borderId="35" xfId="0" applyFont="1" applyFill="1" applyBorder="1"/>
    <xf numFmtId="0" fontId="45" fillId="8" borderId="75" xfId="0" applyFont="1" applyFill="1" applyBorder="1"/>
    <xf numFmtId="0" fontId="45" fillId="8" borderId="76" xfId="0" applyFont="1" applyFill="1" applyBorder="1"/>
    <xf numFmtId="0" fontId="45" fillId="8" borderId="77" xfId="0" applyFont="1" applyFill="1" applyBorder="1"/>
    <xf numFmtId="2" fontId="3" fillId="18" borderId="0" xfId="0" applyNumberFormat="1" applyFont="1" applyFill="1"/>
    <xf numFmtId="2" fontId="4" fillId="0" borderId="0" xfId="0" applyNumberFormat="1" applyFont="1" applyAlignment="1">
      <alignment horizontal="right"/>
    </xf>
    <xf numFmtId="1" fontId="3" fillId="4" borderId="0" xfId="0" applyNumberFormat="1" applyFont="1" applyFill="1"/>
    <xf numFmtId="2" fontId="7" fillId="0" borderId="2" xfId="0" applyNumberFormat="1" applyFont="1" applyBorder="1"/>
    <xf numFmtId="166" fontId="4" fillId="0" borderId="2" xfId="0" applyNumberFormat="1" applyFont="1" applyBorder="1"/>
    <xf numFmtId="0" fontId="27" fillId="18" borderId="0" xfId="0" applyFont="1" applyFill="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Alignment="1">
      <alignment horizontal="right" vertical="top"/>
    </xf>
    <xf numFmtId="0" fontId="3" fillId="8" borderId="38" xfId="0" applyFont="1" applyFill="1" applyBorder="1" applyAlignment="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lignment horizontal="right" vertical="center"/>
    </xf>
    <xf numFmtId="166" fontId="0" fillId="0" borderId="0" xfId="0" applyNumberFormat="1" applyAlignment="1">
      <alignment horizontal="right"/>
    </xf>
    <xf numFmtId="0" fontId="3" fillId="23" borderId="0" xfId="0" applyFont="1" applyFill="1"/>
    <xf numFmtId="9" fontId="0" fillId="19" borderId="0" xfId="0" applyNumberFormat="1" applyFill="1"/>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Fill="1" applyBorder="1" applyAlignment="1">
      <alignment horizontal="center" vertical="center"/>
    </xf>
    <xf numFmtId="167" fontId="3" fillId="8" borderId="63" xfId="0" applyNumberFormat="1" applyFont="1" applyFill="1" applyBorder="1" applyAlignment="1">
      <alignment horizontal="right" vertical="center"/>
    </xf>
    <xf numFmtId="2" fontId="7" fillId="10" borderId="0" xfId="0" applyNumberFormat="1" applyFont="1" applyFill="1"/>
    <xf numFmtId="0" fontId="3" fillId="12" borderId="64" xfId="0" applyFont="1" applyFill="1" applyBorder="1" applyAlignment="1">
      <alignment vertical="center"/>
    </xf>
    <xf numFmtId="164" fontId="0" fillId="0" borderId="0" xfId="0" applyNumberFormat="1"/>
    <xf numFmtId="0" fontId="3" fillId="12" borderId="23" xfId="0" applyFont="1" applyFill="1" applyBorder="1"/>
    <xf numFmtId="0" fontId="3" fillId="12" borderId="40" xfId="0" applyFont="1" applyFill="1" applyBorder="1"/>
    <xf numFmtId="2" fontId="3" fillId="8" borderId="39" xfId="0" applyNumberFormat="1" applyFont="1" applyFill="1" applyBorder="1" applyAlignment="1">
      <alignment horizontal="right"/>
    </xf>
    <xf numFmtId="168" fontId="7" fillId="0" borderId="0" xfId="0" applyNumberFormat="1" applyFont="1"/>
    <xf numFmtId="0" fontId="3" fillId="0" borderId="11" xfId="0" applyFont="1" applyBorder="1"/>
    <xf numFmtId="0" fontId="0" fillId="0" borderId="11" xfId="0" applyBorder="1"/>
    <xf numFmtId="0" fontId="80"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Border="1"/>
    <xf numFmtId="0" fontId="3" fillId="0" borderId="8" xfId="4" applyBorder="1" applyAlignment="1">
      <alignment horizontal="left"/>
    </xf>
    <xf numFmtId="1" fontId="3" fillId="0" borderId="11" xfId="4" applyNumberFormat="1" applyBorder="1"/>
    <xf numFmtId="167" fontId="3" fillId="0" borderId="8" xfId="4" applyNumberFormat="1" applyBorder="1"/>
    <xf numFmtId="0" fontId="3" fillId="2" borderId="0" xfId="4" applyFill="1"/>
    <xf numFmtId="0" fontId="3" fillId="0" borderId="21" xfId="4"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Alignment="1">
      <alignment horizontal="left"/>
    </xf>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2" fontId="7" fillId="0" borderId="7" xfId="4" applyNumberFormat="1" applyFont="1" applyBorder="1" applyAlignment="1">
      <alignment horizontal="center"/>
    </xf>
    <xf numFmtId="0" fontId="7" fillId="0" borderId="0" xfId="4" applyFont="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165" fontId="3" fillId="0" borderId="0" xfId="4" applyNumberFormat="1" applyAlignment="1">
      <alignment horizontal="center"/>
    </xf>
    <xf numFmtId="184" fontId="3" fillId="0" borderId="0" xfId="4" applyNumberFormat="1" applyAlignment="1">
      <alignment horizontal="center"/>
    </xf>
    <xf numFmtId="2" fontId="3" fillId="0" borderId="87" xfId="4" applyNumberFormat="1" applyBorder="1" applyAlignment="1">
      <alignment horizontal="center"/>
    </xf>
    <xf numFmtId="2" fontId="3" fillId="0" borderId="0" xfId="4" applyNumberFormat="1" applyAlignment="1">
      <alignment horizontal="center"/>
    </xf>
    <xf numFmtId="0" fontId="3" fillId="0" borderId="0" xfId="4"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3" fillId="0" borderId="0" xfId="4" applyFont="1"/>
    <xf numFmtId="0" fontId="3" fillId="0" borderId="23" xfId="4" applyBorder="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2" fontId="3" fillId="18" borderId="0" xfId="4" applyNumberFormat="1" applyFill="1"/>
    <xf numFmtId="167" fontId="3" fillId="18" borderId="0" xfId="4" applyNumberFormat="1" applyFill="1"/>
    <xf numFmtId="0" fontId="48" fillId="0" borderId="15" xfId="4" applyFont="1" applyBorder="1"/>
    <xf numFmtId="2" fontId="4" fillId="0" borderId="11" xfId="4" applyNumberFormat="1" applyFont="1" applyBorder="1"/>
    <xf numFmtId="0" fontId="4" fillId="0" borderId="79" xfId="4" applyFont="1" applyBorder="1"/>
    <xf numFmtId="167" fontId="4" fillId="0" borderId="11" xfId="4" applyNumberFormat="1" applyFont="1" applyBorder="1"/>
    <xf numFmtId="0" fontId="82" fillId="0" borderId="79" xfId="4" applyFont="1" applyBorder="1"/>
    <xf numFmtId="0" fontId="3" fillId="0" borderId="80" xfId="4" applyBorder="1"/>
    <xf numFmtId="165" fontId="7" fillId="0" borderId="0" xfId="0" applyNumberFormat="1" applyFont="1"/>
    <xf numFmtId="0" fontId="4" fillId="15" borderId="35" xfId="0" applyFont="1" applyFill="1" applyBorder="1" applyAlignment="1" applyProtection="1">
      <alignment vertical="center"/>
      <protection locked="0"/>
    </xf>
    <xf numFmtId="0" fontId="4" fillId="12" borderId="64" xfId="0" applyFont="1" applyFill="1" applyBorder="1" applyAlignment="1">
      <alignment vertical="center"/>
    </xf>
    <xf numFmtId="0" fontId="4" fillId="12" borderId="40" xfId="0" applyFont="1" applyFill="1" applyBorder="1" applyAlignment="1">
      <alignment vertical="center"/>
    </xf>
    <xf numFmtId="0" fontId="4" fillId="11" borderId="0" xfId="0" applyFont="1" applyFill="1"/>
    <xf numFmtId="0" fontId="58" fillId="0" borderId="0" xfId="0" applyFont="1"/>
    <xf numFmtId="0" fontId="84" fillId="8" borderId="0" xfId="0" applyFont="1" applyFill="1"/>
    <xf numFmtId="0" fontId="81" fillId="12" borderId="0" xfId="0" applyFont="1" applyFill="1" applyAlignment="1">
      <alignment vertical="center"/>
    </xf>
    <xf numFmtId="165" fontId="3" fillId="0" borderId="11" xfId="4" applyNumberFormat="1" applyBorder="1"/>
    <xf numFmtId="184" fontId="3" fillId="0" borderId="0" xfId="4" applyNumberFormat="1"/>
    <xf numFmtId="0" fontId="0" fillId="0" borderId="62" xfId="0" applyBorder="1"/>
    <xf numFmtId="0" fontId="0" fillId="0" borderId="64" xfId="0" applyBorder="1"/>
    <xf numFmtId="20" fontId="0" fillId="0" borderId="0" xfId="0" applyNumberFormat="1"/>
    <xf numFmtId="0" fontId="0" fillId="0" borderId="0" xfId="0" quotePrefix="1"/>
    <xf numFmtId="0" fontId="78" fillId="0" borderId="0" xfId="0" applyFont="1" applyAlignment="1">
      <alignment horizontal="right"/>
    </xf>
    <xf numFmtId="0" fontId="4" fillId="0" borderId="23" xfId="0" applyFont="1" applyBorder="1" applyAlignment="1">
      <alignment horizontal="right"/>
    </xf>
    <xf numFmtId="166" fontId="4" fillId="0" borderId="23" xfId="0" applyNumberFormat="1" applyFont="1" applyBorder="1" applyAlignment="1">
      <alignment horizontal="right"/>
    </xf>
    <xf numFmtId="166" fontId="48" fillId="0" borderId="0" xfId="0" applyNumberFormat="1" applyFont="1" applyAlignment="1">
      <alignment horizontal="left"/>
    </xf>
    <xf numFmtId="2" fontId="48" fillId="0" borderId="23" xfId="0" applyNumberFormat="1" applyFont="1" applyBorder="1" applyAlignment="1">
      <alignment horizontal="right"/>
    </xf>
    <xf numFmtId="2" fontId="48" fillId="0" borderId="0" xfId="0" applyNumberFormat="1" applyFont="1" applyAlignment="1">
      <alignment horizontal="left"/>
    </xf>
    <xf numFmtId="0" fontId="48" fillId="0" borderId="23" xfId="0" applyFont="1" applyBorder="1" applyAlignment="1">
      <alignment horizontal="right"/>
    </xf>
    <xf numFmtId="0" fontId="0" fillId="0" borderId="38" xfId="0" applyBorder="1"/>
    <xf numFmtId="0" fontId="0" fillId="0" borderId="39" xfId="0" applyBorder="1" applyAlignment="1">
      <alignment horizontal="left"/>
    </xf>
    <xf numFmtId="0" fontId="0" fillId="0" borderId="40" xfId="0" applyBorder="1"/>
    <xf numFmtId="0" fontId="4" fillId="0" borderId="62" xfId="0" applyFont="1" applyBorder="1"/>
    <xf numFmtId="0" fontId="4" fillId="8" borderId="23" xfId="0" applyFont="1" applyFill="1" applyBorder="1"/>
    <xf numFmtId="0" fontId="22" fillId="8" borderId="38" xfId="0" applyFont="1" applyFill="1" applyBorder="1" applyAlignment="1">
      <alignment vertical="center"/>
    </xf>
    <xf numFmtId="0" fontId="47" fillId="8" borderId="39" xfId="0" applyFont="1" applyFill="1" applyBorder="1"/>
    <xf numFmtId="0" fontId="4" fillId="8" borderId="40" xfId="0" applyFont="1" applyFill="1" applyBorder="1"/>
    <xf numFmtId="0" fontId="22" fillId="12" borderId="0" xfId="0" applyFont="1" applyFill="1" applyAlignment="1">
      <alignment vertical="center"/>
    </xf>
    <xf numFmtId="167" fontId="49" fillId="12" borderId="0" xfId="0" applyNumberFormat="1" applyFont="1" applyFill="1" applyAlignment="1">
      <alignment vertical="center"/>
    </xf>
    <xf numFmtId="0" fontId="10" fillId="0" borderId="0" xfId="3" applyAlignment="1" applyProtection="1"/>
    <xf numFmtId="0" fontId="50" fillId="0" borderId="0" xfId="4" applyFont="1"/>
    <xf numFmtId="0" fontId="58" fillId="0" borderId="86" xfId="4" applyFont="1" applyBorder="1" applyAlignment="1">
      <alignment horizontal="center"/>
    </xf>
    <xf numFmtId="0" fontId="58" fillId="0" borderId="74" xfId="4" applyFont="1" applyBorder="1" applyAlignment="1">
      <alignment horizontal="center"/>
    </xf>
    <xf numFmtId="165" fontId="58" fillId="0" borderId="84" xfId="4" applyNumberFormat="1" applyFont="1" applyBorder="1" applyAlignment="1">
      <alignment horizontal="center"/>
    </xf>
    <xf numFmtId="165" fontId="58" fillId="0" borderId="12" xfId="4" applyNumberFormat="1" applyFont="1" applyBorder="1" applyAlignment="1">
      <alignment horizontal="center"/>
    </xf>
    <xf numFmtId="165" fontId="58" fillId="0" borderId="85" xfId="4" applyNumberFormat="1" applyFont="1" applyBorder="1" applyAlignment="1">
      <alignment horizontal="center"/>
    </xf>
    <xf numFmtId="165" fontId="58" fillId="0" borderId="48" xfId="4" applyNumberFormat="1" applyFont="1" applyBorder="1" applyAlignment="1">
      <alignment horizontal="center"/>
    </xf>
    <xf numFmtId="165" fontId="58" fillId="0" borderId="11" xfId="4" applyNumberFormat="1" applyFont="1" applyBorder="1" applyAlignment="1">
      <alignment horizontal="center"/>
    </xf>
    <xf numFmtId="165" fontId="58" fillId="0" borderId="79" xfId="4" applyNumberFormat="1" applyFont="1" applyBorder="1" applyAlignment="1">
      <alignment horizontal="center"/>
    </xf>
    <xf numFmtId="184" fontId="58" fillId="0" borderId="84" xfId="4" applyNumberFormat="1" applyFont="1" applyBorder="1" applyAlignment="1">
      <alignment horizontal="center"/>
    </xf>
    <xf numFmtId="184" fontId="58" fillId="0" borderId="85" xfId="4" applyNumberFormat="1" applyFont="1" applyBorder="1" applyAlignment="1">
      <alignment horizontal="center"/>
    </xf>
    <xf numFmtId="2" fontId="58" fillId="0" borderId="84" xfId="4" applyNumberFormat="1" applyFont="1" applyBorder="1" applyAlignment="1">
      <alignment horizontal="center"/>
    </xf>
    <xf numFmtId="2" fontId="58" fillId="0" borderId="12" xfId="4" applyNumberFormat="1" applyFont="1" applyBorder="1" applyAlignment="1">
      <alignment horizontal="center"/>
    </xf>
    <xf numFmtId="2" fontId="58" fillId="0" borderId="79" xfId="4" applyNumberFormat="1" applyFont="1" applyBorder="1" applyAlignment="1">
      <alignment horizontal="center"/>
    </xf>
    <xf numFmtId="2" fontId="58" fillId="0" borderId="17" xfId="4" applyNumberFormat="1" applyFont="1" applyBorder="1" applyAlignment="1">
      <alignment horizontal="center"/>
    </xf>
    <xf numFmtId="1" fontId="49" fillId="12" borderId="0" xfId="0" applyNumberFormat="1" applyFont="1" applyFill="1" applyAlignment="1">
      <alignment vertical="center"/>
    </xf>
    <xf numFmtId="167" fontId="50" fillId="15" borderId="0" xfId="0" applyNumberFormat="1" applyFont="1" applyFill="1" applyAlignment="1" applyProtection="1">
      <alignment vertical="center"/>
      <protection locked="0"/>
    </xf>
    <xf numFmtId="0" fontId="86" fillId="0" borderId="0" xfId="0" applyFont="1"/>
    <xf numFmtId="167" fontId="3" fillId="12" borderId="0" xfId="0" applyNumberFormat="1" applyFont="1" applyFill="1" applyAlignment="1">
      <alignment horizontal="right"/>
    </xf>
    <xf numFmtId="0" fontId="0" fillId="0" borderId="0" xfId="0" quotePrefix="1" applyAlignment="1">
      <alignment wrapText="1"/>
    </xf>
    <xf numFmtId="0" fontId="0" fillId="0" borderId="0" xfId="0" applyAlignment="1">
      <alignment wrapText="1"/>
    </xf>
    <xf numFmtId="0" fontId="3" fillId="0" borderId="0" xfId="0" applyFont="1" applyAlignment="1">
      <alignment wrapText="1"/>
    </xf>
    <xf numFmtId="2" fontId="7" fillId="0" borderId="0" xfId="0" applyNumberFormat="1" applyFont="1"/>
    <xf numFmtId="167" fontId="49" fillId="8" borderId="35" xfId="2" applyNumberFormat="1" applyFont="1" applyFill="1" applyBorder="1" applyAlignment="1" applyProtection="1">
      <alignment horizontal="right" vertical="center"/>
    </xf>
    <xf numFmtId="167" fontId="17" fillId="8" borderId="35" xfId="0" applyNumberFormat="1" applyFont="1" applyFill="1" applyBorder="1" applyAlignment="1">
      <alignment horizontal="right"/>
    </xf>
    <xf numFmtId="0" fontId="3" fillId="8" borderId="38" xfId="0" applyFont="1" applyFill="1" applyBorder="1" applyAlignment="1">
      <alignment vertical="center"/>
    </xf>
    <xf numFmtId="0" fontId="50" fillId="8" borderId="35" xfId="0" applyFont="1" applyFill="1" applyBorder="1" applyAlignment="1">
      <alignment horizontal="right" vertical="center"/>
    </xf>
    <xf numFmtId="0" fontId="50" fillId="12" borderId="64" xfId="0" applyFont="1" applyFill="1" applyBorder="1" applyAlignment="1">
      <alignment vertical="center"/>
    </xf>
    <xf numFmtId="167" fontId="3" fillId="8" borderId="0" xfId="0" applyNumberFormat="1" applyFont="1" applyFill="1"/>
    <xf numFmtId="0" fontId="87" fillId="8" borderId="39" xfId="0" applyFont="1" applyFill="1" applyBorder="1"/>
    <xf numFmtId="0" fontId="49" fillId="8" borderId="39" xfId="0" applyFont="1" applyFill="1" applyBorder="1" applyAlignment="1">
      <alignment horizontal="right"/>
    </xf>
    <xf numFmtId="167" fontId="79" fillId="8" borderId="0" xfId="0" applyNumberFormat="1" applyFont="1" applyFill="1"/>
    <xf numFmtId="0" fontId="3" fillId="8" borderId="22" xfId="0" applyFont="1" applyFill="1" applyBorder="1" applyAlignment="1">
      <alignment horizontal="right"/>
    </xf>
    <xf numFmtId="0" fontId="22" fillId="12" borderId="62" xfId="0" applyFont="1" applyFill="1" applyBorder="1" applyAlignment="1">
      <alignment vertical="center"/>
    </xf>
    <xf numFmtId="0" fontId="47" fillId="8" borderId="35" xfId="0" applyFont="1" applyFill="1" applyBorder="1"/>
    <xf numFmtId="0" fontId="3" fillId="8" borderId="35" xfId="0" quotePrefix="1" applyFont="1" applyFill="1" applyBorder="1" applyAlignment="1">
      <alignment horizontal="right"/>
    </xf>
    <xf numFmtId="167" fontId="3" fillId="8" borderId="35" xfId="0" applyNumberFormat="1" applyFont="1" applyFill="1" applyBorder="1"/>
    <xf numFmtId="0" fontId="3" fillId="8" borderId="64" xfId="0" applyFont="1" applyFill="1" applyBorder="1"/>
    <xf numFmtId="0" fontId="22" fillId="12" borderId="22" xfId="0" applyFont="1" applyFill="1" applyBorder="1" applyAlignment="1">
      <alignment vertical="center"/>
    </xf>
    <xf numFmtId="0" fontId="17" fillId="12" borderId="38" xfId="0" applyFont="1" applyFill="1" applyBorder="1"/>
    <xf numFmtId="167" fontId="3" fillId="8" borderId="0" xfId="0" applyNumberFormat="1" applyFont="1" applyFill="1" applyAlignment="1">
      <alignment horizontal="right"/>
    </xf>
    <xf numFmtId="167" fontId="3" fillId="8" borderId="39" xfId="0" applyNumberFormat="1" applyFont="1" applyFill="1" applyBorder="1" applyAlignment="1">
      <alignment horizontal="right"/>
    </xf>
    <xf numFmtId="0" fontId="3" fillId="8" borderId="64" xfId="0" applyFont="1" applyFill="1" applyBorder="1" applyAlignment="1">
      <alignment vertical="center"/>
    </xf>
    <xf numFmtId="0" fontId="50" fillId="15" borderId="39" xfId="0" applyFont="1" applyFill="1" applyBorder="1" applyAlignment="1" applyProtection="1">
      <alignment horizontal="right" vertical="center"/>
      <protection locked="0"/>
    </xf>
    <xf numFmtId="0" fontId="4" fillId="8" borderId="40" xfId="0" applyFont="1" applyFill="1" applyBorder="1" applyAlignment="1">
      <alignment vertical="center"/>
    </xf>
    <xf numFmtId="0" fontId="84" fillId="8" borderId="11" xfId="0" applyFont="1" applyFill="1" applyBorder="1" applyAlignment="1">
      <alignment horizontal="right"/>
    </xf>
    <xf numFmtId="0" fontId="81" fillId="15" borderId="15" xfId="0" applyFont="1" applyFill="1" applyBorder="1" applyAlignment="1" applyProtection="1">
      <alignment vertical="center"/>
      <protection locked="0"/>
    </xf>
    <xf numFmtId="0" fontId="4" fillId="15" borderId="0" xfId="0" applyFont="1" applyFill="1" applyAlignment="1" applyProtection="1">
      <alignment horizontal="right"/>
      <protection locked="0"/>
    </xf>
    <xf numFmtId="0" fontId="4" fillId="8" borderId="35" xfId="0" applyFont="1" applyFill="1" applyBorder="1" applyAlignment="1">
      <alignment horizontal="right" vertical="center"/>
    </xf>
    <xf numFmtId="1" fontId="3" fillId="8" borderId="35" xfId="0" applyNumberFormat="1" applyFont="1" applyFill="1" applyBorder="1" applyAlignment="1">
      <alignment horizontal="right" vertical="center"/>
    </xf>
    <xf numFmtId="0" fontId="3" fillId="8" borderId="88" xfId="0" applyFont="1" applyFill="1" applyBorder="1" applyAlignment="1">
      <alignment vertical="center"/>
    </xf>
    <xf numFmtId="0" fontId="3" fillId="8" borderId="10" xfId="0" applyFont="1" applyFill="1" applyBorder="1" applyAlignment="1">
      <alignment vertical="center"/>
    </xf>
    <xf numFmtId="0" fontId="4" fillId="8" borderId="10" xfId="0" applyFont="1" applyFill="1" applyBorder="1" applyAlignment="1">
      <alignment vertical="center"/>
    </xf>
    <xf numFmtId="0" fontId="3" fillId="8" borderId="10" xfId="0" applyFont="1" applyFill="1" applyBorder="1" applyAlignment="1">
      <alignment horizontal="right" vertical="center"/>
    </xf>
    <xf numFmtId="0" fontId="3" fillId="0" borderId="10" xfId="0" applyFont="1" applyBorder="1" applyAlignment="1">
      <alignment horizontal="right" vertical="center"/>
    </xf>
    <xf numFmtId="0" fontId="3" fillId="8" borderId="89" xfId="0" applyFont="1" applyFill="1" applyBorder="1" applyAlignment="1">
      <alignment vertical="center"/>
    </xf>
    <xf numFmtId="0" fontId="3" fillId="8" borderId="48" xfId="0" applyFont="1" applyFill="1" applyBorder="1" applyAlignment="1">
      <alignment vertical="center"/>
    </xf>
    <xf numFmtId="0" fontId="3" fillId="8" borderId="4" xfId="0" applyFont="1" applyFill="1" applyBorder="1" applyAlignment="1">
      <alignment vertical="center"/>
    </xf>
    <xf numFmtId="0" fontId="3" fillId="8" borderId="4" xfId="0" applyFont="1" applyFill="1" applyBorder="1" applyAlignment="1">
      <alignment horizontal="right" vertical="center"/>
    </xf>
    <xf numFmtId="0" fontId="3" fillId="8" borderId="16" xfId="0" applyFont="1" applyFill="1" applyBorder="1" applyAlignment="1">
      <alignment vertical="center"/>
    </xf>
    <xf numFmtId="0" fontId="22" fillId="8" borderId="0" xfId="0" applyFont="1" applyFill="1" applyAlignment="1">
      <alignment vertical="center"/>
    </xf>
    <xf numFmtId="0" fontId="45" fillId="8" borderId="62" xfId="0" applyFont="1" applyFill="1" applyBorder="1"/>
    <xf numFmtId="0" fontId="45" fillId="8" borderId="38" xfId="0" applyFont="1" applyFill="1" applyBorder="1"/>
    <xf numFmtId="0" fontId="3" fillId="8" borderId="62" xfId="0" applyFont="1" applyFill="1" applyBorder="1" applyAlignment="1">
      <alignment horizontal="right"/>
    </xf>
    <xf numFmtId="0" fontId="49" fillId="12" borderId="0" xfId="0" applyFont="1" applyFill="1" applyAlignment="1">
      <alignment horizontal="right"/>
    </xf>
    <xf numFmtId="0" fontId="49" fillId="12" borderId="35" xfId="0" applyFont="1" applyFill="1" applyBorder="1" applyAlignment="1">
      <alignment horizontal="right"/>
    </xf>
    <xf numFmtId="0" fontId="17" fillId="12" borderId="90" xfId="0" applyFont="1" applyFill="1" applyBorder="1"/>
    <xf numFmtId="0" fontId="50" fillId="12" borderId="39" xfId="0" applyFont="1" applyFill="1" applyBorder="1" applyAlignment="1">
      <alignment horizontal="right"/>
    </xf>
    <xf numFmtId="0" fontId="3" fillId="0" borderId="0" xfId="0" applyFont="1" applyAlignment="1">
      <alignment vertical="center"/>
    </xf>
    <xf numFmtId="0" fontId="17" fillId="8" borderId="67" xfId="0" applyFont="1" applyFill="1" applyBorder="1"/>
    <xf numFmtId="0" fontId="3" fillId="12" borderId="0" xfId="0" applyFont="1" applyFill="1" applyAlignment="1">
      <alignment horizontal="right"/>
    </xf>
    <xf numFmtId="0" fontId="79" fillId="8" borderId="0" xfId="0" applyFont="1" applyFill="1" applyAlignment="1">
      <alignment horizontal="right" vertical="center"/>
    </xf>
    <xf numFmtId="0" fontId="65" fillId="8" borderId="0" xfId="0" applyFont="1" applyFill="1" applyAlignment="1">
      <alignment horizontal="right" vertical="center"/>
    </xf>
    <xf numFmtId="0" fontId="3" fillId="0" borderId="62" xfId="0" applyFont="1" applyBorder="1"/>
    <xf numFmtId="0" fontId="0" fillId="0" borderId="90" xfId="0" applyBorder="1"/>
    <xf numFmtId="0" fontId="3" fillId="0" borderId="38" xfId="0" applyFont="1" applyBorder="1"/>
    <xf numFmtId="0" fontId="4" fillId="8" borderId="35" xfId="0" applyFont="1" applyFill="1" applyBorder="1" applyAlignment="1">
      <alignment horizontal="right"/>
    </xf>
    <xf numFmtId="0" fontId="3" fillId="0" borderId="90" xfId="0" applyFont="1" applyBorder="1" applyAlignment="1">
      <alignment vertical="center"/>
    </xf>
    <xf numFmtId="0" fontId="4" fillId="12" borderId="90" xfId="0" applyFont="1" applyFill="1" applyBorder="1" applyAlignment="1">
      <alignment vertical="center"/>
    </xf>
    <xf numFmtId="0" fontId="3" fillId="8" borderId="38" xfId="0" applyFont="1" applyFill="1" applyBorder="1"/>
    <xf numFmtId="0" fontId="4" fillId="0" borderId="39" xfId="0" applyFont="1" applyBorder="1"/>
    <xf numFmtId="0" fontId="3" fillId="0" borderId="39" xfId="0" applyFont="1" applyBorder="1" applyAlignment="1">
      <alignment horizontal="right"/>
    </xf>
    <xf numFmtId="0" fontId="3" fillId="0" borderId="40" xfId="0" applyFont="1" applyBorder="1" applyAlignment="1">
      <alignment vertical="center"/>
    </xf>
    <xf numFmtId="167" fontId="3" fillId="0" borderId="39" xfId="0" applyNumberFormat="1" applyFont="1" applyBorder="1" applyAlignment="1">
      <alignment horizontal="right" vertical="center"/>
    </xf>
    <xf numFmtId="1" fontId="3" fillId="12" borderId="35" xfId="0" applyNumberFormat="1" applyFont="1" applyFill="1" applyBorder="1"/>
    <xf numFmtId="0" fontId="3" fillId="12" borderId="64" xfId="0" applyFont="1" applyFill="1" applyBorder="1"/>
    <xf numFmtId="0" fontId="3" fillId="12" borderId="90" xfId="0" applyFont="1" applyFill="1" applyBorder="1"/>
    <xf numFmtId="0" fontId="4" fillId="15" borderId="39" xfId="0" applyFont="1" applyFill="1" applyBorder="1" applyProtection="1">
      <protection locked="0"/>
    </xf>
    <xf numFmtId="0" fontId="4" fillId="12" borderId="40" xfId="0" applyFont="1" applyFill="1" applyBorder="1"/>
    <xf numFmtId="167" fontId="3" fillId="12" borderId="0" xfId="0" applyNumberFormat="1" applyFont="1" applyFill="1"/>
    <xf numFmtId="0" fontId="4" fillId="8" borderId="90" xfId="0" applyFont="1" applyFill="1" applyBorder="1" applyAlignment="1">
      <alignment vertical="center"/>
    </xf>
    <xf numFmtId="0" fontId="3" fillId="8" borderId="90" xfId="0" applyFont="1" applyFill="1" applyBorder="1" applyAlignment="1">
      <alignment horizontal="left" vertical="center"/>
    </xf>
    <xf numFmtId="0" fontId="3" fillId="8" borderId="90" xfId="0" applyFont="1" applyFill="1" applyBorder="1" applyAlignment="1">
      <alignment vertical="center"/>
    </xf>
    <xf numFmtId="0" fontId="3" fillId="8" borderId="40" xfId="0" applyFont="1" applyFill="1" applyBorder="1" applyAlignment="1">
      <alignment horizontal="left" vertical="center"/>
    </xf>
    <xf numFmtId="0" fontId="3" fillId="8" borderId="62" xfId="0" applyFont="1" applyFill="1" applyBorder="1" applyAlignment="1">
      <alignment horizontal="right" vertical="center"/>
    </xf>
    <xf numFmtId="0" fontId="3" fillId="12" borderId="35" xfId="0" applyFont="1" applyFill="1" applyBorder="1" applyAlignment="1">
      <alignment horizontal="right" vertical="center"/>
    </xf>
    <xf numFmtId="0" fontId="3" fillId="12" borderId="35" xfId="0" applyFont="1" applyFill="1" applyBorder="1" applyAlignment="1">
      <alignment vertical="center"/>
    </xf>
    <xf numFmtId="0" fontId="3" fillId="12" borderId="35" xfId="0" applyFont="1" applyFill="1" applyBorder="1"/>
    <xf numFmtId="0" fontId="3" fillId="8" borderId="22" xfId="0" applyFont="1" applyFill="1" applyBorder="1" applyAlignment="1">
      <alignment horizontal="right" vertical="center"/>
    </xf>
    <xf numFmtId="0" fontId="3" fillId="8" borderId="90" xfId="0" applyFont="1" applyFill="1" applyBorder="1"/>
    <xf numFmtId="165" fontId="17" fillId="8" borderId="39" xfId="0" applyNumberFormat="1" applyFont="1" applyFill="1" applyBorder="1"/>
    <xf numFmtId="2" fontId="3" fillId="8" borderId="39" xfId="0" applyNumberFormat="1" applyFont="1" applyFill="1" applyBorder="1"/>
    <xf numFmtId="166" fontId="3" fillId="8" borderId="39" xfId="0" applyNumberFormat="1" applyFont="1" applyFill="1" applyBorder="1" applyAlignment="1">
      <alignment horizontal="right" vertical="center"/>
    </xf>
    <xf numFmtId="0" fontId="3" fillId="8" borderId="76" xfId="0" applyFont="1" applyFill="1" applyBorder="1"/>
    <xf numFmtId="0" fontId="3" fillId="8" borderId="77" xfId="0" applyFont="1" applyFill="1" applyBorder="1"/>
    <xf numFmtId="0" fontId="3" fillId="15" borderId="0" xfId="0" applyFont="1" applyFill="1" applyAlignment="1" applyProtection="1">
      <alignment horizontal="right" vertical="center"/>
      <protection locked="0"/>
    </xf>
    <xf numFmtId="166" fontId="0" fillId="30" borderId="0" xfId="0" applyNumberFormat="1" applyFill="1"/>
    <xf numFmtId="176" fontId="0" fillId="0" borderId="0" xfId="0" applyNumberFormat="1"/>
    <xf numFmtId="0" fontId="3" fillId="15" borderId="35" xfId="0" applyFont="1" applyFill="1" applyBorder="1" applyAlignment="1" applyProtection="1">
      <alignment horizontal="right" vertical="center"/>
      <protection locked="0"/>
    </xf>
    <xf numFmtId="0" fontId="4" fillId="8" borderId="64" xfId="0" applyFont="1" applyFill="1" applyBorder="1" applyAlignment="1">
      <alignment horizontal="left" vertical="center"/>
    </xf>
    <xf numFmtId="0" fontId="4" fillId="8" borderId="90" xfId="0" applyFont="1" applyFill="1" applyBorder="1" applyAlignment="1">
      <alignment horizontal="left" vertical="center"/>
    </xf>
    <xf numFmtId="0" fontId="18" fillId="8" borderId="64" xfId="0" applyFont="1" applyFill="1" applyBorder="1"/>
    <xf numFmtId="0" fontId="18" fillId="8" borderId="90" xfId="0" applyFont="1" applyFill="1" applyBorder="1"/>
    <xf numFmtId="0" fontId="17" fillId="8" borderId="90" xfId="0" applyFont="1" applyFill="1" applyBorder="1"/>
    <xf numFmtId="0" fontId="3" fillId="8" borderId="38" xfId="0" applyFont="1" applyFill="1" applyBorder="1" applyAlignment="1">
      <alignment horizontal="right" vertical="center"/>
    </xf>
    <xf numFmtId="0" fontId="3" fillId="12" borderId="39" xfId="0" applyFont="1" applyFill="1" applyBorder="1" applyAlignment="1">
      <alignment horizontal="right" vertical="center"/>
    </xf>
    <xf numFmtId="0" fontId="3" fillId="12" borderId="39" xfId="0" applyFont="1" applyFill="1" applyBorder="1" applyAlignment="1">
      <alignment vertical="center"/>
    </xf>
    <xf numFmtId="0" fontId="3" fillId="8" borderId="75" xfId="0" applyFont="1" applyFill="1" applyBorder="1"/>
    <xf numFmtId="0" fontId="3" fillId="15" borderId="35" xfId="0" applyFont="1" applyFill="1" applyBorder="1" applyProtection="1">
      <protection locked="0"/>
    </xf>
    <xf numFmtId="0" fontId="3" fillId="15" borderId="0" xfId="0" applyFont="1" applyFill="1" applyProtection="1">
      <protection locked="0"/>
    </xf>
    <xf numFmtId="0" fontId="65" fillId="8" borderId="0" xfId="0" applyFont="1" applyFill="1" applyAlignment="1">
      <alignment horizontal="right"/>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8" fillId="8" borderId="0" xfId="0" applyFont="1" applyFill="1"/>
    <xf numFmtId="0" fontId="58" fillId="8" borderId="0" xfId="0" applyFont="1" applyFill="1"/>
    <xf numFmtId="174" fontId="3" fillId="12" borderId="8" xfId="4" applyNumberFormat="1" applyFill="1" applyBorder="1" applyAlignment="1">
      <alignment horizontal="left" vertical="center"/>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 fontId="3" fillId="17" borderId="11" xfId="4" applyNumberFormat="1" applyFill="1" applyBorder="1" applyAlignment="1">
      <alignment horizontal="center" vertical="center"/>
    </xf>
    <xf numFmtId="181" fontId="3" fillId="12" borderId="11" xfId="4" applyNumberFormat="1" applyFill="1" applyBorder="1" applyAlignment="1">
      <alignment horizontal="center" vertical="center"/>
    </xf>
    <xf numFmtId="182" fontId="3" fillId="12" borderId="9" xfId="4" applyNumberFormat="1" applyFill="1" applyBorder="1" applyAlignment="1">
      <alignment horizontal="left" vertical="center"/>
    </xf>
    <xf numFmtId="172" fontId="3" fillId="17" borderId="11" xfId="4" applyNumberFormat="1" applyFill="1" applyBorder="1" applyAlignment="1">
      <alignment horizontal="center" vertical="center"/>
    </xf>
    <xf numFmtId="11" fontId="0" fillId="0" borderId="0" xfId="0" applyNumberFormat="1"/>
    <xf numFmtId="0" fontId="3" fillId="12" borderId="23" xfId="0" applyFont="1" applyFill="1" applyBorder="1" applyAlignment="1">
      <alignment vertical="center"/>
    </xf>
    <xf numFmtId="167" fontId="49" fillId="12" borderId="0" xfId="0" applyNumberFormat="1" applyFont="1" applyFill="1" applyAlignment="1">
      <alignment horizontal="right" vertical="center"/>
    </xf>
    <xf numFmtId="167" fontId="3" fillId="8" borderId="0" xfId="0" applyNumberFormat="1" applyFont="1" applyFill="1" applyAlignment="1">
      <alignment horizontal="right" vertical="center"/>
    </xf>
    <xf numFmtId="0" fontId="81"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1" fillId="4" borderId="76" xfId="4" applyFont="1" applyFill="1" applyBorder="1" applyAlignment="1">
      <alignment horizontal="center" vertical="top"/>
    </xf>
    <xf numFmtId="0" fontId="81" fillId="4" borderId="82" xfId="4" applyFont="1" applyFill="1" applyBorder="1" applyAlignment="1">
      <alignment horizontal="center" vertical="top"/>
    </xf>
    <xf numFmtId="0" fontId="81" fillId="4" borderId="65" xfId="4" applyFont="1" applyFill="1" applyBorder="1" applyAlignment="1">
      <alignment horizontal="center"/>
    </xf>
    <xf numFmtId="0" fontId="81" fillId="4" borderId="78" xfId="4" applyFont="1" applyFill="1" applyBorder="1" applyAlignment="1">
      <alignment horizontal="center"/>
    </xf>
    <xf numFmtId="0" fontId="81" fillId="4" borderId="66" xfId="4" applyFont="1" applyFill="1" applyBorder="1" applyAlignment="1">
      <alignment horizontal="center"/>
    </xf>
    <xf numFmtId="0" fontId="81" fillId="4" borderId="43" xfId="4" applyFont="1" applyFill="1" applyBorder="1" applyAlignment="1">
      <alignment horizontal="center"/>
    </xf>
    <xf numFmtId="0" fontId="81" fillId="4" borderId="81" xfId="4" applyFont="1" applyFill="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Border="1" applyAlignment="1">
      <alignment horizontal="center"/>
    </xf>
    <xf numFmtId="0" fontId="3" fillId="0" borderId="66" xfId="4" applyBorder="1" applyAlignment="1">
      <alignment horizontal="center"/>
    </xf>
    <xf numFmtId="0" fontId="4" fillId="0" borderId="66" xfId="4" applyFont="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xf numFmtId="0" fontId="4" fillId="4" borderId="81" xfId="4" applyFont="1" applyFill="1" applyBorder="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0" xfId="0" applyFont="1" applyAlignment="1">
      <alignment horizontal="center"/>
    </xf>
    <xf numFmtId="0" fontId="5" fillId="3" borderId="0" xfId="0" applyFont="1" applyFill="1" applyAlignment="1">
      <alignment horizontal="left"/>
    </xf>
    <xf numFmtId="0" fontId="13" fillId="3" borderId="0" xfId="4" applyFont="1" applyFill="1" applyAlignment="1">
      <alignment horizontal="left" vertical="center"/>
    </xf>
    <xf numFmtId="0" fontId="23" fillId="21" borderId="0" xfId="4" applyFont="1" applyFill="1" applyAlignment="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66" xfId="4" applyFont="1" applyFill="1" applyBorder="1" applyAlignment="1">
      <alignment horizontal="left"/>
    </xf>
    <xf numFmtId="0" fontId="4" fillId="4" borderId="78" xfId="4" applyFont="1" applyFill="1" applyBorder="1" applyAlignment="1">
      <alignment horizontal="left"/>
    </xf>
    <xf numFmtId="182" fontId="3" fillId="12" borderId="8" xfId="4" applyNumberFormat="1" applyFill="1" applyBorder="1" applyAlignment="1">
      <alignment horizontal="left" vertical="center"/>
    </xf>
    <xf numFmtId="182" fontId="3" fillId="12" borderId="9" xfId="4" applyNumberFormat="1" applyFill="1" applyBorder="1" applyAlignment="1">
      <alignment horizontal="left" vertical="center"/>
    </xf>
    <xf numFmtId="0" fontId="75"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173" fontId="3" fillId="17" borderId="8" xfId="4" applyNumberFormat="1" applyFill="1" applyBorder="1" applyAlignment="1">
      <alignment horizontal="left" vertical="center" wrapText="1"/>
    </xf>
    <xf numFmtId="173" fontId="3" fillId="17" borderId="9" xfId="4" applyNumberFormat="1" applyFill="1" applyBorder="1" applyAlignment="1">
      <alignment horizontal="left" vertical="center" wrapText="1"/>
    </xf>
    <xf numFmtId="173" fontId="3" fillId="17" borderId="15" xfId="4" applyNumberFormat="1" applyFill="1" applyBorder="1" applyAlignment="1">
      <alignment horizontal="left" vertical="center" wrapText="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82" fontId="3" fillId="12" borderId="8" xfId="4" quotePrefix="1" applyNumberFormat="1" applyFill="1" applyBorder="1" applyAlignment="1">
      <alignment horizontal="left" vertical="center"/>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0" fillId="12" borderId="22" xfId="0" applyFont="1" applyFill="1" applyBorder="1" applyAlignment="1">
      <alignment horizontal="left" vertical="center"/>
    </xf>
    <xf numFmtId="0" fontId="40" fillId="12" borderId="0" xfId="0" applyFont="1" applyFill="1" applyAlignment="1">
      <alignment horizontal="left" vertical="center"/>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71">
    <dxf>
      <border>
        <left style="thin">
          <color indexed="64"/>
        </left>
        <right style="thin">
          <color indexed="64"/>
        </right>
        <top style="thin">
          <color indexed="64"/>
        </top>
        <bottom style="thin">
          <color indexed="64"/>
        </bottom>
      </border>
    </dxf>
    <dxf>
      <font>
        <color theme="0"/>
      </font>
    </dxf>
    <dxf>
      <font>
        <color rgb="FFFFFF99"/>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ndense val="0"/>
        <extend val="0"/>
        <color indexed="10"/>
      </font>
    </dxf>
    <dxf>
      <font>
        <strike/>
        <color rgb="FFFF0000"/>
      </font>
    </dxf>
    <dxf>
      <font>
        <color theme="0"/>
      </font>
      <fill>
        <patternFill>
          <bgColor theme="0"/>
        </patternFill>
      </fill>
      <border>
        <right/>
        <top/>
        <bottom/>
        <vertical/>
        <horizontal/>
      </border>
    </dxf>
    <dxf>
      <font>
        <color rgb="FFFF0000"/>
      </font>
    </dxf>
    <dxf>
      <font>
        <b/>
        <i val="0"/>
        <color theme="0"/>
      </font>
      <fill>
        <patternFill patternType="solid">
          <fgColor auto="1"/>
          <bgColor rgb="FFFF0000"/>
        </patternFill>
      </fill>
    </dxf>
    <dxf>
      <font>
        <strike val="0"/>
        <color theme="0"/>
      </font>
      <fill>
        <patternFill>
          <bgColor rgb="FFFF0000"/>
        </patternFill>
      </fill>
    </dxf>
    <dxf>
      <font>
        <strike val="0"/>
        <color theme="0"/>
      </font>
      <fill>
        <patternFill>
          <bgColor rgb="FFFF0000"/>
        </patternFill>
      </fill>
    </dxf>
    <dxf>
      <font>
        <strike/>
        <color rgb="FFFF0000"/>
      </font>
    </dxf>
    <dxf>
      <font>
        <color rgb="FFFF0000"/>
      </font>
    </dxf>
    <dxf>
      <font>
        <color rgb="FFFF0000"/>
      </font>
    </dxf>
    <dxf>
      <font>
        <color rgb="FFFF0000"/>
      </font>
    </dxf>
    <dxf>
      <font>
        <color rgb="FFFF0000"/>
      </font>
    </dxf>
    <dxf>
      <font>
        <b/>
        <i val="0"/>
        <color rgb="FFFF0000"/>
      </font>
    </dxf>
    <dxf>
      <font>
        <color rgb="FFFF0000"/>
      </font>
    </dxf>
    <dxf>
      <font>
        <color theme="0"/>
      </font>
      <fill>
        <patternFill>
          <bgColor theme="0"/>
        </patternFill>
      </fill>
    </dxf>
    <dxf>
      <font>
        <strike/>
        <color rgb="FFFF0000"/>
      </font>
    </dxf>
    <dxf>
      <font>
        <color theme="0"/>
      </font>
      <fill>
        <patternFill>
          <bgColor theme="0"/>
        </patternFill>
      </fill>
      <border>
        <right/>
        <top/>
        <bottom/>
      </border>
    </dxf>
    <dxf>
      <font>
        <b/>
        <i val="0"/>
        <condense val="0"/>
        <extend val="0"/>
        <color indexed="10"/>
      </font>
    </dxf>
    <dxf>
      <font>
        <b/>
        <i val="0"/>
        <condense val="0"/>
        <extend val="0"/>
        <color indexed="12"/>
      </font>
    </dxf>
    <dxf>
      <border>
        <left/>
        <right/>
        <top/>
        <bottom/>
        <vertical/>
        <horizontal/>
      </border>
    </dxf>
    <dxf>
      <font>
        <color theme="0"/>
      </font>
      <fill>
        <patternFill>
          <bgColor theme="0"/>
        </patternFill>
      </fill>
      <border>
        <right/>
        <top/>
        <bottom/>
        <vertical/>
        <horizontal/>
      </border>
    </dxf>
    <dxf>
      <font>
        <color theme="0"/>
      </font>
      <fill>
        <patternFill>
          <bgColor theme="0"/>
        </patternFill>
      </fill>
      <border>
        <right/>
        <top/>
        <bottom/>
        <vertical/>
        <horizontal/>
      </border>
    </dxf>
    <dxf>
      <border>
        <top/>
        <bottom/>
        <vertical/>
        <horizontal/>
      </border>
    </dxf>
    <dxf>
      <font>
        <color theme="0"/>
      </font>
      <fill>
        <patternFill>
          <bgColor theme="0"/>
        </patternFill>
      </fill>
      <border>
        <right style="thin">
          <color auto="1"/>
        </right>
        <vertical/>
        <horizontal/>
      </border>
    </dxf>
    <dxf>
      <font>
        <color rgb="FFFF0000"/>
      </font>
    </dxf>
    <dxf>
      <font>
        <color rgb="FFFF0000"/>
      </font>
    </dxf>
    <dxf>
      <border>
        <right/>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rgb="FFFF0000"/>
      </font>
    </dxf>
    <dxf>
      <font>
        <color rgb="FFFF0000"/>
      </font>
    </dxf>
    <dxf>
      <font>
        <strike/>
        <color rgb="FFFF0000"/>
      </font>
    </dxf>
    <dxf>
      <font>
        <strike/>
        <color rgb="FFFF5050"/>
      </font>
    </dxf>
    <dxf>
      <font>
        <strike/>
        <color rgb="FFFF0000"/>
      </font>
    </dxf>
    <dxf>
      <font>
        <color rgb="FFFF0000"/>
      </font>
    </dxf>
    <dxf>
      <font>
        <color rgb="FFFF0000"/>
      </font>
    </dxf>
    <dxf>
      <font>
        <strike/>
        <color rgb="FFFF0000"/>
      </font>
    </dxf>
    <dxf>
      <font>
        <color rgb="FFFF0000"/>
      </font>
    </dxf>
    <dxf>
      <font>
        <color rgb="FFFF0000"/>
      </font>
    </dxf>
    <dxf>
      <font>
        <color rgb="FFFF0000"/>
      </font>
    </dxf>
    <dxf>
      <font>
        <color rgb="FFFF0000"/>
      </font>
    </dxf>
    <dxf>
      <font>
        <strike/>
        <color rgb="FFFF0000"/>
      </font>
    </dxf>
    <dxf>
      <font>
        <strike/>
        <color rgb="FFFF0000"/>
      </font>
    </dxf>
    <dxf>
      <font>
        <strike/>
        <color rgb="FFFF0000"/>
      </font>
    </dxf>
    <dxf>
      <font>
        <strike val="0"/>
        <color theme="0"/>
      </font>
      <fill>
        <patternFill>
          <bgColor theme="0"/>
        </patternFill>
      </fill>
    </dxf>
    <dxf>
      <font>
        <b/>
        <i val="0"/>
        <color rgb="FFFF0000"/>
      </font>
    </dxf>
    <dxf>
      <font>
        <b/>
        <i val="0"/>
        <color rgb="FFFF0000"/>
      </font>
    </dxf>
    <dxf>
      <font>
        <strike/>
        <color rgb="FFFF0000"/>
      </font>
    </dxf>
    <dxf>
      <font>
        <strike/>
        <color rgb="FFFF0000"/>
      </font>
    </dxf>
    <dxf>
      <font>
        <strike/>
        <color rgb="FFFF0000"/>
      </font>
    </dxf>
    <dxf>
      <font>
        <color theme="0"/>
      </font>
    </dxf>
    <dxf>
      <font>
        <b/>
        <i val="0"/>
        <color rgb="FFC00000"/>
      </font>
    </dxf>
    <dxf>
      <font>
        <b/>
        <i val="0"/>
        <color rgb="FFC00000"/>
      </font>
    </dxf>
    <dxf>
      <font>
        <b/>
        <i val="0"/>
        <color rgb="FFC00000"/>
      </font>
    </dxf>
    <dxf>
      <font>
        <color theme="0"/>
      </font>
      <border>
        <bottom style="thin">
          <color auto="1"/>
        </bottom>
        <vertical/>
        <horizontal/>
      </border>
    </dxf>
    <dxf>
      <font>
        <color theme="0"/>
      </font>
    </dxf>
    <dxf>
      <border>
        <bottom/>
        <vertical/>
        <horizontal/>
      </border>
    </dxf>
    <dxf>
      <border>
        <bottom/>
        <vertical/>
        <horizontal/>
      </border>
    </dxf>
  </dxfs>
  <tableStyles count="0" defaultTableStyle="TableStyleMedium9" defaultPivotStyle="PivotStyleLight16"/>
  <colors>
    <mruColors>
      <color rgb="FFFF5050"/>
      <color rgb="FF0000FF"/>
      <color rgb="FFFFFF99"/>
      <color rgb="FF33CC33"/>
      <color rgb="FFFF9900"/>
      <color rgb="FFCCFFFF"/>
      <color rgb="FF66FFFF"/>
      <color rgb="FF00FFFF"/>
      <color rgb="FFEE6112"/>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400" b="1" i="0" u="none" strike="noStrike" baseline="0">
                <a:solidFill>
                  <a:srgbClr val="000000"/>
                </a:solidFill>
                <a:latin typeface="Arial"/>
                <a:ea typeface="Arial"/>
                <a:cs typeface="Arial"/>
              </a:defRPr>
            </a:pPr>
            <a:r>
              <a:rPr lang="en-US" sz="1400"/>
              <a:t>Bode Plot, V</a:t>
            </a:r>
            <a:r>
              <a:rPr lang="en-US" sz="1400" baseline="-25000"/>
              <a:t>IN</a:t>
            </a:r>
            <a:r>
              <a:rPr lang="en-US" sz="1400"/>
              <a:t> = V</a:t>
            </a:r>
            <a:r>
              <a:rPr lang="en-US" sz="1400" baseline="-25000"/>
              <a:t>IN(nom)</a:t>
            </a:r>
          </a:p>
        </c:rich>
      </c:tx>
      <c:layout>
        <c:manualLayout>
          <c:xMode val="edge"/>
          <c:yMode val="edge"/>
          <c:x val="4.6802568469568491E-2"/>
          <c:y val="1.6752897184919666E-2"/>
        </c:manualLayout>
      </c:layout>
      <c:overlay val="0"/>
      <c:spPr>
        <a:noFill/>
        <a:ln w="25400">
          <a:noFill/>
        </a:ln>
      </c:spPr>
    </c:title>
    <c:autoTitleDeleted val="0"/>
    <c:plotArea>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81.865691913977869</c:v>
                </c:pt>
                <c:pt idx="1">
                  <c:v>81.067534370192334</c:v>
                </c:pt>
                <c:pt idx="2">
                  <c:v>80.26911334845515</c:v>
                </c:pt>
                <c:pt idx="3">
                  <c:v>79.470452862361213</c:v>
                </c:pt>
                <c:pt idx="4">
                  <c:v>78.672094636435119</c:v>
                </c:pt>
                <c:pt idx="5">
                  <c:v>77.872725860845392</c:v>
                </c:pt>
                <c:pt idx="6">
                  <c:v>77.073493906772413</c:v>
                </c:pt>
                <c:pt idx="7">
                  <c:v>76.273881545949763</c:v>
                </c:pt>
                <c:pt idx="8">
                  <c:v>75.474478601601305</c:v>
                </c:pt>
                <c:pt idx="9">
                  <c:v>74.67468444783259</c:v>
                </c:pt>
                <c:pt idx="10">
                  <c:v>73.874961313031079</c:v>
                </c:pt>
                <c:pt idx="11">
                  <c:v>73.075195535781049</c:v>
                </c:pt>
                <c:pt idx="12">
                  <c:v>72.274961865114321</c:v>
                </c:pt>
                <c:pt idx="13">
                  <c:v>71.475024644789457</c:v>
                </c:pt>
                <c:pt idx="14">
                  <c:v>70.674738353737766</c:v>
                </c:pt>
                <c:pt idx="15">
                  <c:v>69.874400886928356</c:v>
                </c:pt>
                <c:pt idx="16">
                  <c:v>69.073934540514927</c:v>
                </c:pt>
                <c:pt idx="17">
                  <c:v>68.273436113989717</c:v>
                </c:pt>
                <c:pt idx="18">
                  <c:v>67.472651548208077</c:v>
                </c:pt>
                <c:pt idx="19">
                  <c:v>66.671769050825361</c:v>
                </c:pt>
                <c:pt idx="20">
                  <c:v>65.870595677507467</c:v>
                </c:pt>
                <c:pt idx="21">
                  <c:v>65.069254248408399</c:v>
                </c:pt>
                <c:pt idx="22">
                  <c:v>64.267524442309664</c:v>
                </c:pt>
                <c:pt idx="23">
                  <c:v>63.465545504567871</c:v>
                </c:pt>
                <c:pt idx="24">
                  <c:v>62.663042378751967</c:v>
                </c:pt>
                <c:pt idx="25">
                  <c:v>61.860054258289281</c:v>
                </c:pt>
                <c:pt idx="26">
                  <c:v>61.056292264419298</c:v>
                </c:pt>
                <c:pt idx="27">
                  <c:v>60.251890715229763</c:v>
                </c:pt>
                <c:pt idx="28">
                  <c:v>59.446673502472677</c:v>
                </c:pt>
                <c:pt idx="29">
                  <c:v>58.640969048240024</c:v>
                </c:pt>
                <c:pt idx="30">
                  <c:v>57.833208330576873</c:v>
                </c:pt>
                <c:pt idx="31">
                  <c:v>57.024273623041466</c:v>
                </c:pt>
                <c:pt idx="32">
                  <c:v>56.213324679301628</c:v>
                </c:pt>
                <c:pt idx="33">
                  <c:v>55.400593735490133</c:v>
                </c:pt>
                <c:pt idx="34">
                  <c:v>54.585044485040385</c:v>
                </c:pt>
                <c:pt idx="35">
                  <c:v>53.766651661617004</c:v>
                </c:pt>
                <c:pt idx="36">
                  <c:v>52.944722042742505</c:v>
                </c:pt>
                <c:pt idx="37">
                  <c:v>52.118143179820287</c:v>
                </c:pt>
                <c:pt idx="38">
                  <c:v>51.286924129399686</c:v>
                </c:pt>
                <c:pt idx="39">
                  <c:v>50.449494175029272</c:v>
                </c:pt>
                <c:pt idx="40">
                  <c:v>49.605129574714041</c:v>
                </c:pt>
                <c:pt idx="41">
                  <c:v>48.752574152032089</c:v>
                </c:pt>
                <c:pt idx="42">
                  <c:v>47.890611449151635</c:v>
                </c:pt>
                <c:pt idx="43">
                  <c:v>47.017501086763538</c:v>
                </c:pt>
                <c:pt idx="44">
                  <c:v>46.131846734910297</c:v>
                </c:pt>
                <c:pt idx="45">
                  <c:v>45.231723193474387</c:v>
                </c:pt>
                <c:pt idx="46">
                  <c:v>44.315484963533045</c:v>
                </c:pt>
                <c:pt idx="47">
                  <c:v>43.381082345051809</c:v>
                </c:pt>
                <c:pt idx="48">
                  <c:v>42.426946520932631</c:v>
                </c:pt>
                <c:pt idx="49">
                  <c:v>41.451184855469243</c:v>
                </c:pt>
                <c:pt idx="50">
                  <c:v>40.452562135161649</c:v>
                </c:pt>
                <c:pt idx="51">
                  <c:v>39.429851297989806</c:v>
                </c:pt>
                <c:pt idx="52">
                  <c:v>38.382912704003942</c:v>
                </c:pt>
                <c:pt idx="53">
                  <c:v>37.311897906478549</c:v>
                </c:pt>
                <c:pt idx="54">
                  <c:v>36.218428134243638</c:v>
                </c:pt>
                <c:pt idx="55">
                  <c:v>35.102375604487754</c:v>
                </c:pt>
                <c:pt idx="56">
                  <c:v>33.967823954276959</c:v>
                </c:pt>
                <c:pt idx="57">
                  <c:v>32.817317952883748</c:v>
                </c:pt>
                <c:pt idx="58">
                  <c:v>31.655653953827859</c:v>
                </c:pt>
                <c:pt idx="59">
                  <c:v>30.486425125060414</c:v>
                </c:pt>
                <c:pt idx="60">
                  <c:v>29.315096705105432</c:v>
                </c:pt>
                <c:pt idx="61">
                  <c:v>28.146404769726207</c:v>
                </c:pt>
                <c:pt idx="62">
                  <c:v>26.984522664059241</c:v>
                </c:pt>
                <c:pt idx="63">
                  <c:v>25.835023953745008</c:v>
                </c:pt>
                <c:pt idx="64">
                  <c:v>24.70092742277226</c:v>
                </c:pt>
                <c:pt idx="65">
                  <c:v>23.585945001500189</c:v>
                </c:pt>
                <c:pt idx="66">
                  <c:v>22.492486335477363</c:v>
                </c:pt>
                <c:pt idx="67">
                  <c:v>21.422390857849738</c:v>
                </c:pt>
                <c:pt idx="68">
                  <c:v>20.376235177316765</c:v>
                </c:pt>
                <c:pt idx="69">
                  <c:v>19.354446662083792</c:v>
                </c:pt>
                <c:pt idx="70">
                  <c:v>18.356320868189581</c:v>
                </c:pt>
                <c:pt idx="71">
                  <c:v>17.381037374739186</c:v>
                </c:pt>
                <c:pt idx="72">
                  <c:v>16.426971366788941</c:v>
                </c:pt>
                <c:pt idx="73">
                  <c:v>15.492676368862808</c:v>
                </c:pt>
                <c:pt idx="74">
                  <c:v>14.576081453891906</c:v>
                </c:pt>
                <c:pt idx="75">
                  <c:v>13.675443492833633</c:v>
                </c:pt>
                <c:pt idx="76">
                  <c:v>12.788689001672713</c:v>
                </c:pt>
                <c:pt idx="77">
                  <c:v>11.9143091545837</c:v>
                </c:pt>
                <c:pt idx="78">
                  <c:v>11.050583849115945</c:v>
                </c:pt>
                <c:pt idx="79">
                  <c:v>10.196486597014784</c:v>
                </c:pt>
                <c:pt idx="80">
                  <c:v>9.3491613056172724</c:v>
                </c:pt>
                <c:pt idx="81">
                  <c:v>8.5085174324143615</c:v>
                </c:pt>
                <c:pt idx="82">
                  <c:v>7.672826902781253</c:v>
                </c:pt>
                <c:pt idx="83">
                  <c:v>6.841639724646055</c:v>
                </c:pt>
                <c:pt idx="84">
                  <c:v>6.0133647257086684</c:v>
                </c:pt>
                <c:pt idx="85">
                  <c:v>5.1875958970257816</c:v>
                </c:pt>
                <c:pt idx="86">
                  <c:v>4.3633903962285165</c:v>
                </c:pt>
                <c:pt idx="87">
                  <c:v>3.5395263626561975</c:v>
                </c:pt>
                <c:pt idx="88">
                  <c:v>2.716026336300434</c:v>
                </c:pt>
                <c:pt idx="89">
                  <c:v>1.8914600680566331</c:v>
                </c:pt>
                <c:pt idx="90">
                  <c:v>1.065346120507261</c:v>
                </c:pt>
                <c:pt idx="91">
                  <c:v>0.23677191917858162</c:v>
                </c:pt>
                <c:pt idx="92">
                  <c:v>-0.59506113024349738</c:v>
                </c:pt>
                <c:pt idx="93">
                  <c:v>-1.4314068806792974</c:v>
                </c:pt>
                <c:pt idx="94">
                  <c:v>-1.6412209610734987</c:v>
                </c:pt>
                <c:pt idx="95">
                  <c:v>-1.7469132845662187</c:v>
                </c:pt>
                <c:pt idx="96">
                  <c:v>-1.8514882363536951</c:v>
                </c:pt>
                <c:pt idx="97">
                  <c:v>-1.9573586389020181</c:v>
                </c:pt>
                <c:pt idx="98">
                  <c:v>-2.0621146867791702</c:v>
                </c:pt>
                <c:pt idx="99">
                  <c:v>-2.1681998530170485</c:v>
                </c:pt>
                <c:pt idx="100">
                  <c:v>-2.2731731669018052</c:v>
                </c:pt>
                <c:pt idx="101">
                  <c:v>-2.3794277890196494</c:v>
                </c:pt>
                <c:pt idx="102">
                  <c:v>-2.4845742638912531</c:v>
                </c:pt>
                <c:pt idx="103">
                  <c:v>-2.5911111910477995</c:v>
                </c:pt>
                <c:pt idx="104">
                  <c:v>-2.6965416066188213</c:v>
                </c:pt>
                <c:pt idx="105">
                  <c:v>-2.8033131418675028</c:v>
                </c:pt>
                <c:pt idx="106">
                  <c:v>-2.9089810736020656</c:v>
                </c:pt>
                <c:pt idx="107">
                  <c:v>-3.0159433282414678</c:v>
                </c:pt>
                <c:pt idx="108">
                  <c:v>-3.1218060699149754</c:v>
                </c:pt>
                <c:pt idx="109">
                  <c:v>-3.2289913682085087</c:v>
                </c:pt>
                <c:pt idx="110">
                  <c:v>-3.3350808656978135</c:v>
                </c:pt>
                <c:pt idx="111">
                  <c:v>-3.4425902037376761</c:v>
                </c:pt>
                <c:pt idx="112">
                  <c:v>-3.5490057050554658</c:v>
                </c:pt>
                <c:pt idx="113">
                  <c:v>-3.6567927411033905</c:v>
                </c:pt>
                <c:pt idx="114">
                  <c:v>-3.7634891621101758</c:v>
                </c:pt>
                <c:pt idx="115">
                  <c:v>-3.8715796091146908</c:v>
                </c:pt>
                <c:pt idx="116">
                  <c:v>-3.9785824660704079</c:v>
                </c:pt>
                <c:pt idx="117">
                  <c:v>-4.087000176087499</c:v>
                </c:pt>
                <c:pt idx="118">
                  <c:v>-4.194333176071174</c:v>
                </c:pt>
                <c:pt idx="119">
                  <c:v>-4.3030347243528393</c:v>
                </c:pt>
                <c:pt idx="120">
                  <c:v>-4.4106556398643875</c:v>
                </c:pt>
                <c:pt idx="121">
                  <c:v>-4.519665546910538</c:v>
                </c:pt>
                <c:pt idx="122">
                  <c:v>-4.6275987452708351</c:v>
                </c:pt>
                <c:pt idx="123">
                  <c:v>-4.7370029949859704</c:v>
                </c:pt>
                <c:pt idx="124">
                  <c:v>-4.845333122325103</c:v>
                </c:pt>
                <c:pt idx="125">
                  <c:v>-4.9550877521568539</c:v>
                </c:pt>
                <c:pt idx="126">
                  <c:v>-5.0637720663086476</c:v>
                </c:pt>
                <c:pt idx="127">
                  <c:v>-5.1738974194192169</c:v>
                </c:pt>
                <c:pt idx="128">
                  <c:v>-5.2829562269402501</c:v>
                </c:pt>
                <c:pt idx="129">
                  <c:v>-5.3934714956674776</c:v>
                </c:pt>
                <c:pt idx="130">
                  <c:v>-5.5029239841727318</c:v>
                </c:pt>
                <c:pt idx="131">
                  <c:v>-5.6138473330409955</c:v>
                </c:pt>
                <c:pt idx="132">
                  <c:v>-5.6689102530802113</c:v>
                </c:pt>
                <c:pt idx="133">
                  <c:v>-5.7237116905755547</c:v>
                </c:pt>
                <c:pt idx="134">
                  <c:v>-5.7795483102434995</c:v>
                </c:pt>
                <c:pt idx="135">
                  <c:v>-5.8351175807833391</c:v>
                </c:pt>
                <c:pt idx="136">
                  <c:v>-5.8904228083428958</c:v>
                </c:pt>
                <c:pt idx="137">
                  <c:v>-5.9454672405136391</c:v>
                </c:pt>
                <c:pt idx="138">
                  <c:v>-6.0014949717838642</c:v>
                </c:pt>
                <c:pt idx="139">
                  <c:v>-6.0572566199741873</c:v>
                </c:pt>
                <c:pt idx="140">
                  <c:v>-6.1127554775117465</c:v>
                </c:pt>
                <c:pt idx="141">
                  <c:v>-6.1679947784488842</c:v>
                </c:pt>
                <c:pt idx="142">
                  <c:v>-6.2242784467124448</c:v>
                </c:pt>
                <c:pt idx="143">
                  <c:v>-6.2802967796471778</c:v>
                </c:pt>
                <c:pt idx="144">
                  <c:v>-6.3360530653859017</c:v>
                </c:pt>
                <c:pt idx="145">
                  <c:v>-6.3915505336362957</c:v>
                </c:pt>
                <c:pt idx="146">
                  <c:v>-6.4480689807937992</c:v>
                </c:pt>
                <c:pt idx="147">
                  <c:v>-6.5043231399123949</c:v>
                </c:pt>
                <c:pt idx="148">
                  <c:v>-6.5603162890750983</c:v>
                </c:pt>
                <c:pt idx="149">
                  <c:v>-6.6160516480152545</c:v>
                </c:pt>
                <c:pt idx="150">
                  <c:v>-6.6728121840882162</c:v>
                </c:pt>
                <c:pt idx="151">
                  <c:v>-6.7293095084898873</c:v>
                </c:pt>
                <c:pt idx="152">
                  <c:v>-6.7855468884474588</c:v>
                </c:pt>
                <c:pt idx="153">
                  <c:v>-6.8415275329230028</c:v>
                </c:pt>
                <c:pt idx="154">
                  <c:v>-6.8985634065187194</c:v>
                </c:pt>
                <c:pt idx="155">
                  <c:v>-6.9553369365186608</c:v>
                </c:pt>
                <c:pt idx="156">
                  <c:v>-7.0118513828427789</c:v>
                </c:pt>
                <c:pt idx="157">
                  <c:v>-7.0681099471359135</c:v>
                </c:pt>
                <c:pt idx="158">
                  <c:v>-7.1254266093350269</c:v>
                </c:pt>
                <c:pt idx="159">
                  <c:v>-7.1824818478424906</c:v>
                </c:pt>
                <c:pt idx="160">
                  <c:v>-7.2392789139352445</c:v>
                </c:pt>
                <c:pt idx="161">
                  <c:v>-7.2958210006257298</c:v>
                </c:pt>
                <c:pt idx="162">
                  <c:v>-7.3533985642769748</c:v>
                </c:pt>
                <c:pt idx="163">
                  <c:v>-7.4107159033908063</c:v>
                </c:pt>
                <c:pt idx="164">
                  <c:v>-7.4677762549657523</c:v>
                </c:pt>
                <c:pt idx="165">
                  <c:v>-7.5245827978699955</c:v>
                </c:pt>
                <c:pt idx="166">
                  <c:v>-7.5824774698760855</c:v>
                </c:pt>
                <c:pt idx="167">
                  <c:v>-7.6401127077997106</c:v>
                </c:pt>
                <c:pt idx="168">
                  <c:v>-7.6974917414557211</c:v>
                </c:pt>
                <c:pt idx="169">
                  <c:v>-7.7546177424823179</c:v>
                </c:pt>
                <c:pt idx="170">
                  <c:v>-7.8127116261076566</c:v>
                </c:pt>
                <c:pt idx="171">
                  <c:v>-7.8705480103473153</c:v>
                </c:pt>
                <c:pt idx="172">
                  <c:v>-7.9281300959629739</c:v>
                </c:pt>
                <c:pt idx="173">
                  <c:v>-7.9854610260063295</c:v>
                </c:pt>
                <c:pt idx="174">
                  <c:v>-8.0439797716803305</c:v>
                </c:pt>
                <c:pt idx="175">
                  <c:v>-8.1022410487977652</c:v>
                </c:pt>
                <c:pt idx="176">
                  <c:v>-8.1602480638319292</c:v>
                </c:pt>
                <c:pt idx="177">
                  <c:v>-8.2180039651674548</c:v>
                </c:pt>
                <c:pt idx="178">
                  <c:v>-8.2769228741004586</c:v>
                </c:pt>
                <c:pt idx="179">
                  <c:v>-8.3355846779312355</c:v>
                </c:pt>
                <c:pt idx="180">
                  <c:v>-8.3939925819509558</c:v>
                </c:pt>
                <c:pt idx="181">
                  <c:v>-8.4521497331353039</c:v>
                </c:pt>
                <c:pt idx="182">
                  <c:v>-8.5112149060248168</c:v>
                </c:pt>
                <c:pt idx="183">
                  <c:v>-8.5700256297886632</c:v>
                </c:pt>
                <c:pt idx="184">
                  <c:v>-8.6285850650475879</c:v>
                </c:pt>
                <c:pt idx="185">
                  <c:v>-8.6868963149210465</c:v>
                </c:pt>
                <c:pt idx="186">
                  <c:v>-8.7465529696668192</c:v>
                </c:pt>
                <c:pt idx="187">
                  <c:v>-8.8059540868612203</c:v>
                </c:pt>
                <c:pt idx="188">
                  <c:v>-8.8651028512240551</c:v>
                </c:pt>
                <c:pt idx="189">
                  <c:v>-8.9240023891099991</c:v>
                </c:pt>
                <c:pt idx="190">
                  <c:v>-8.9837727353414802</c:v>
                </c:pt>
                <c:pt idx="191">
                  <c:v>-9.0432906282142529</c:v>
                </c:pt>
                <c:pt idx="192">
                  <c:v>-9.1025591979689402</c:v>
                </c:pt>
                <c:pt idx="193">
                  <c:v>-9.1615815175171758</c:v>
                </c:pt>
                <c:pt idx="194">
                  <c:v>-9.221898383483266</c:v>
                </c:pt>
                <c:pt idx="195">
                  <c:v>-9.2819622954588041</c:v>
                </c:pt>
                <c:pt idx="196">
                  <c:v>-9.341776394725624</c:v>
                </c:pt>
                <c:pt idx="197">
                  <c:v>-9.4013437646656648</c:v>
                </c:pt>
                <c:pt idx="198">
                  <c:v>-9.4619637863138664</c:v>
                </c:pt>
                <c:pt idx="199">
                  <c:v>-9.5223324857292084</c:v>
                </c:pt>
                <c:pt idx="200">
                  <c:v>-9.5824529745053688</c:v>
                </c:pt>
                <c:pt idx="201">
                  <c:v>-9.6423283067505619</c:v>
                </c:pt>
                <c:pt idx="202">
                  <c:v>-9.7032367057851374</c:v>
                </c:pt>
                <c:pt idx="203">
                  <c:v>-9.7638955923734851</c:v>
                </c:pt>
                <c:pt idx="204">
                  <c:v>-9.8243080439506816</c:v>
                </c:pt>
                <c:pt idx="205">
                  <c:v>-9.8844770809842419</c:v>
                </c:pt>
                <c:pt idx="206">
                  <c:v>-9.9458694620446444</c:v>
                </c:pt>
                <c:pt idx="207">
                  <c:v>-10.007012607563837</c:v>
                </c:pt>
                <c:pt idx="208">
                  <c:v>-10.067909587784014</c:v>
                </c:pt>
                <c:pt idx="209">
                  <c:v>-10.128563415825964</c:v>
                </c:pt>
                <c:pt idx="210">
                  <c:v>-10.190623227002398</c:v>
                </c:pt>
                <c:pt idx="211">
                  <c:v>-10.2524326939097</c:v>
                </c:pt>
                <c:pt idx="212">
                  <c:v>-10.313994903627632</c:v>
                </c:pt>
                <c:pt idx="213">
                  <c:v>-10.375312885351759</c:v>
                </c:pt>
                <c:pt idx="214">
                  <c:v>-10.437604655609869</c:v>
                </c:pt>
                <c:pt idx="215">
                  <c:v>-10.499648551171481</c:v>
                </c:pt>
                <c:pt idx="216">
                  <c:v>-10.561447608532115</c:v>
                </c:pt>
                <c:pt idx="217">
                  <c:v>-10.623004807210561</c:v>
                </c:pt>
                <c:pt idx="218">
                  <c:v>-10.685718443929353</c:v>
                </c:pt>
                <c:pt idx="219">
                  <c:v>-10.748185195014182</c:v>
                </c:pt>
                <c:pt idx="220">
                  <c:v>-10.810408072053683</c:v>
                </c:pt>
                <c:pt idx="221">
                  <c:v>-10.872390029924453</c:v>
                </c:pt>
                <c:pt idx="222">
                  <c:v>-10.935507735064803</c:v>
                </c:pt>
                <c:pt idx="223">
                  <c:v>-10.998379729021522</c:v>
                </c:pt>
                <c:pt idx="224">
                  <c:v>-11.061008993449599</c:v>
                </c:pt>
                <c:pt idx="225">
                  <c:v>-11.123398453679961</c:v>
                </c:pt>
                <c:pt idx="226">
                  <c:v>-11.187096951023808</c:v>
                </c:pt>
                <c:pt idx="227">
                  <c:v>-11.250549589094712</c:v>
                </c:pt>
                <c:pt idx="228">
                  <c:v>-11.313759341809819</c:v>
                </c:pt>
                <c:pt idx="229">
                  <c:v>-11.37672912658951</c:v>
                </c:pt>
                <c:pt idx="230">
                  <c:v>-11.504993696407944</c:v>
                </c:pt>
                <c:pt idx="231">
                  <c:v>-11.568760301773233</c:v>
                </c:pt>
                <c:pt idx="232">
                  <c:v>-11.632287010531375</c:v>
                </c:pt>
                <c:pt idx="233">
                  <c:v>-11.697076238451364</c:v>
                </c:pt>
                <c:pt idx="234">
                  <c:v>-11.76162002666616</c:v>
                </c:pt>
                <c:pt idx="235">
                  <c:v>-11.825921314652437</c:v>
                </c:pt>
                <c:pt idx="236">
                  <c:v>-11.889982985515799</c:v>
                </c:pt>
                <c:pt idx="237">
                  <c:v>-11.955100433414747</c:v>
                </c:pt>
                <c:pt idx="238">
                  <c:v>-12.019974331869559</c:v>
                </c:pt>
                <c:pt idx="239">
                  <c:v>-12.084607570163355</c:v>
                </c:pt>
                <c:pt idx="240">
                  <c:v>-12.149002982115819</c:v>
                </c:pt>
                <c:pt idx="241">
                  <c:v>-12.214800753853979</c:v>
                </c:pt>
                <c:pt idx="242">
                  <c:v>-12.280354246258838</c:v>
                </c:pt>
                <c:pt idx="243">
                  <c:v>-12.345666342929128</c:v>
                </c:pt>
                <c:pt idx="244">
                  <c:v>-12.410739871776769</c:v>
                </c:pt>
                <c:pt idx="245">
                  <c:v>-12.477011803955078</c:v>
                </c:pt>
                <c:pt idx="246">
                  <c:v>-12.54304027994722</c:v>
                </c:pt>
                <c:pt idx="247">
                  <c:v>-12.608828148039057</c:v>
                </c:pt>
                <c:pt idx="248">
                  <c:v>-12.674378201372495</c:v>
                </c:pt>
                <c:pt idx="249">
                  <c:v>-12.741283313575023</c:v>
                </c:pt>
                <c:pt idx="250">
                  <c:v>-12.807944630734605</c:v>
                </c:pt>
                <c:pt idx="251">
                  <c:v>-12.874364983975031</c:v>
                </c:pt>
                <c:pt idx="252">
                  <c:v>-12.940547149361885</c:v>
                </c:pt>
                <c:pt idx="253">
                  <c:v>-13.007887021683864</c:v>
                </c:pt>
                <c:pt idx="254">
                  <c:v>-13.074984198499099</c:v>
                </c:pt>
                <c:pt idx="255">
                  <c:v>-13.141841466656675</c:v>
                </c:pt>
                <c:pt idx="256">
                  <c:v>-13.208461558746681</c:v>
                </c:pt>
                <c:pt idx="257">
                  <c:v>-13.276563895987161</c:v>
                </c:pt>
                <c:pt idx="258">
                  <c:v>-13.344422265981111</c:v>
                </c:pt>
                <c:pt idx="259">
                  <c:v>-13.412039449782773</c:v>
                </c:pt>
                <c:pt idx="260">
                  <c:v>-13.479418174004977</c:v>
                </c:pt>
                <c:pt idx="261">
                  <c:v>-13.548084368377557</c:v>
                </c:pt>
                <c:pt idx="262">
                  <c:v>-13.616506741048113</c:v>
                </c:pt>
                <c:pt idx="263">
                  <c:v>-13.684688040655502</c:v>
                </c:pt>
                <c:pt idx="264">
                  <c:v>-13.752630961922979</c:v>
                </c:pt>
                <c:pt idx="265">
                  <c:v>-13.821840093529875</c:v>
                </c:pt>
                <c:pt idx="266">
                  <c:v>-13.890805661981112</c:v>
                </c:pt>
                <c:pt idx="267">
                  <c:v>-13.959530379486118</c:v>
                </c:pt>
                <c:pt idx="268">
                  <c:v>-14.028016904991196</c:v>
                </c:pt>
                <c:pt idx="269">
                  <c:v>-14.097913526419067</c:v>
                </c:pt>
                <c:pt idx="270">
                  <c:v>-14.167565789704344</c:v>
                </c:pt>
                <c:pt idx="271">
                  <c:v>-14.236976385944804</c:v>
                </c:pt>
                <c:pt idx="272">
                  <c:v>-14.306147953251347</c:v>
                </c:pt>
                <c:pt idx="273">
                  <c:v>-14.376706073232091</c:v>
                </c:pt>
                <c:pt idx="274">
                  <c:v>-14.447019185180366</c:v>
                </c:pt>
                <c:pt idx="275">
                  <c:v>-14.517089954317541</c:v>
                </c:pt>
                <c:pt idx="276">
                  <c:v>-14.58692099330522</c:v>
                </c:pt>
                <c:pt idx="277">
                  <c:v>-14.657955562290839</c:v>
                </c:pt>
                <c:pt idx="278">
                  <c:v>-14.728745694301288</c:v>
                </c:pt>
                <c:pt idx="279">
                  <c:v>-14.79929400689066</c:v>
                </c:pt>
                <c:pt idx="280">
                  <c:v>-14.869603066080895</c:v>
                </c:pt>
                <c:pt idx="281">
                  <c:v>-14.941570239298974</c:v>
                </c:pt>
                <c:pt idx="282">
                  <c:v>-15.013290347490795</c:v>
                </c:pt>
                <c:pt idx="283">
                  <c:v>-15.084766009592293</c:v>
                </c:pt>
                <c:pt idx="284">
                  <c:v>-15.15599979278177</c:v>
                </c:pt>
                <c:pt idx="285">
                  <c:v>-15.228396101736193</c:v>
                </c:pt>
                <c:pt idx="286">
                  <c:v>-15.30054610182296</c:v>
                </c:pt>
                <c:pt idx="287">
                  <c:v>-15.372452357635735</c:v>
                </c:pt>
                <c:pt idx="288">
                  <c:v>-15.444117383280645</c:v>
                </c:pt>
                <c:pt idx="289">
                  <c:v>-15.517387728956532</c:v>
                </c:pt>
                <c:pt idx="290">
                  <c:v>-15.590409408231897</c:v>
                </c:pt>
                <c:pt idx="291">
                  <c:v>-15.663184978078055</c:v>
                </c:pt>
                <c:pt idx="292">
                  <c:v>-15.735716945062126</c:v>
                </c:pt>
                <c:pt idx="293">
                  <c:v>-15.809675521421125</c:v>
                </c:pt>
                <c:pt idx="294">
                  <c:v>-15.883384257990869</c:v>
                </c:pt>
                <c:pt idx="295">
                  <c:v>-15.956845683669563</c:v>
                </c:pt>
                <c:pt idx="296">
                  <c:v>-16.030062277610252</c:v>
                </c:pt>
                <c:pt idx="297">
                  <c:v>-16.104681977452465</c:v>
                </c:pt>
                <c:pt idx="298">
                  <c:v>-16.179050750142181</c:v>
                </c:pt>
                <c:pt idx="299">
                  <c:v>-16.25317109350863</c:v>
                </c:pt>
                <c:pt idx="300">
                  <c:v>-16.327045456414627</c:v>
                </c:pt>
                <c:pt idx="301">
                  <c:v>-16.402299891245249</c:v>
                </c:pt>
                <c:pt idx="302">
                  <c:v>-16.477302380906256</c:v>
                </c:pt>
                <c:pt idx="303">
                  <c:v>-16.552055389700495</c:v>
                </c:pt>
                <c:pt idx="304">
                  <c:v>-16.626561333849708</c:v>
                </c:pt>
                <c:pt idx="305">
                  <c:v>-16.702716051514294</c:v>
                </c:pt>
                <c:pt idx="306">
                  <c:v>-16.778615920742112</c:v>
                </c:pt>
                <c:pt idx="307">
                  <c:v>-16.854263398220869</c:v>
                </c:pt>
                <c:pt idx="308">
                  <c:v>-16.929660892815974</c:v>
                </c:pt>
                <c:pt idx="309">
                  <c:v>-17.006391737724407</c:v>
                </c:pt>
                <c:pt idx="310">
                  <c:v>-17.082866881841454</c:v>
                </c:pt>
                <c:pt idx="311">
                  <c:v>-17.159088743219314</c:v>
                </c:pt>
                <c:pt idx="312">
                  <c:v>-17.235059693194955</c:v>
                </c:pt>
                <c:pt idx="313">
                  <c:v>-17.312625858409504</c:v>
                </c:pt>
                <c:pt idx="314">
                  <c:v>-17.389933615920562</c:v>
                </c:pt>
                <c:pt idx="315">
                  <c:v>-17.466985370298872</c:v>
                </c:pt>
                <c:pt idx="316">
                  <c:v>-17.543783479906626</c:v>
                </c:pt>
                <c:pt idx="317">
                  <c:v>-17.622149755927616</c:v>
                </c:pt>
                <c:pt idx="318">
                  <c:v>-17.700255024768271</c:v>
                </c:pt>
                <c:pt idx="319">
                  <c:v>-17.7781016746356</c:v>
                </c:pt>
                <c:pt idx="320">
                  <c:v>-17.85569204815852</c:v>
                </c:pt>
                <c:pt idx="321">
                  <c:v>-17.934823960689982</c:v>
                </c:pt>
                <c:pt idx="322">
                  <c:v>-18.013692360235321</c:v>
                </c:pt>
                <c:pt idx="323">
                  <c:v>-18.092299616285462</c:v>
                </c:pt>
                <c:pt idx="324">
                  <c:v>-18.170648053492073</c:v>
                </c:pt>
                <c:pt idx="325">
                  <c:v>-18.250511804922976</c:v>
                </c:pt>
                <c:pt idx="326">
                  <c:v>-18.330109619174813</c:v>
                </c:pt>
                <c:pt idx="327">
                  <c:v>-18.409443845169857</c:v>
                </c:pt>
                <c:pt idx="328">
                  <c:v>-18.488516787823322</c:v>
                </c:pt>
                <c:pt idx="329">
                  <c:v>-18.569213699211048</c:v>
                </c:pt>
                <c:pt idx="330">
                  <c:v>-18.649641426353767</c:v>
                </c:pt>
                <c:pt idx="331">
                  <c:v>-18.72980230780103</c:v>
                </c:pt>
                <c:pt idx="332">
                  <c:v>-18.809698638720928</c:v>
                </c:pt>
                <c:pt idx="333">
                  <c:v>-18.891058065119974</c:v>
                </c:pt>
                <c:pt idx="334">
                  <c:v>-18.972146043592023</c:v>
                </c:pt>
                <c:pt idx="335">
                  <c:v>-19.05296488913115</c:v>
                </c:pt>
                <c:pt idx="336">
                  <c:v>-19.133516874344394</c:v>
                </c:pt>
                <c:pt idx="337">
                  <c:v>-19.215768754107643</c:v>
                </c:pt>
                <c:pt idx="338">
                  <c:v>-19.297745229541487</c:v>
                </c:pt>
                <c:pt idx="339">
                  <c:v>-19.37944861340749</c:v>
                </c:pt>
                <c:pt idx="340">
                  <c:v>-19.460881176599191</c:v>
                </c:pt>
                <c:pt idx="341">
                  <c:v>-19.543983599613256</c:v>
                </c:pt>
                <c:pt idx="342">
                  <c:v>-19.626806777996617</c:v>
                </c:pt>
                <c:pt idx="343">
                  <c:v>-19.709353020351706</c:v>
                </c:pt>
                <c:pt idx="344">
                  <c:v>-19.791624594025325</c:v>
                </c:pt>
                <c:pt idx="345">
                  <c:v>-19.875408850462996</c:v>
                </c:pt>
                <c:pt idx="346">
                  <c:v>-19.958910987506155</c:v>
                </c:pt>
                <c:pt idx="347">
                  <c:v>-20.042133297691361</c:v>
                </c:pt>
                <c:pt idx="348">
                  <c:v>-20.12507803323291</c:v>
                </c:pt>
                <c:pt idx="349">
                  <c:v>-20.209760311732911</c:v>
                </c:pt>
                <c:pt idx="350">
                  <c:v>-20.294155969645079</c:v>
                </c:pt>
                <c:pt idx="351">
                  <c:v>-20.378267303381513</c:v>
                </c:pt>
                <c:pt idx="352">
                  <c:v>-20.462096569536254</c:v>
                </c:pt>
                <c:pt idx="353">
                  <c:v>-20.547631864903664</c:v>
                </c:pt>
                <c:pt idx="354">
                  <c:v>-20.632876164661855</c:v>
                </c:pt>
                <c:pt idx="355">
                  <c:v>-20.717831767600043</c:v>
                </c:pt>
                <c:pt idx="356">
                  <c:v>-20.802500933268149</c:v>
                </c:pt>
                <c:pt idx="357">
                  <c:v>-20.888722521802919</c:v>
                </c:pt>
                <c:pt idx="358">
                  <c:v>-20.974649695804541</c:v>
                </c:pt>
                <c:pt idx="359">
                  <c:v>-21.060284745591144</c:v>
                </c:pt>
                <c:pt idx="360">
                  <c:v>-21.145629923096489</c:v>
                </c:pt>
                <c:pt idx="361">
                  <c:v>-21.232740766450895</c:v>
                </c:pt>
                <c:pt idx="362">
                  <c:v>-21.319552210999177</c:v>
                </c:pt>
                <c:pt idx="363">
                  <c:v>-21.406066557383273</c:v>
                </c:pt>
                <c:pt idx="364">
                  <c:v>-21.492286068324855</c:v>
                </c:pt>
                <c:pt idx="365">
                  <c:v>-21.580119149687341</c:v>
                </c:pt>
                <c:pt idx="366">
                  <c:v>-21.66764881059472</c:v>
                </c:pt>
                <c:pt idx="367">
                  <c:v>-21.754877351533853</c:v>
                </c:pt>
                <c:pt idx="368">
                  <c:v>-21.841807035791451</c:v>
                </c:pt>
                <c:pt idx="369">
                  <c:v>-21.930555136239093</c:v>
                </c:pt>
                <c:pt idx="370">
                  <c:v>-22.018994276539487</c:v>
                </c:pt>
                <c:pt idx="371">
                  <c:v>-22.107126774961191</c:v>
                </c:pt>
                <c:pt idx="372">
                  <c:v>-22.194954912931379</c:v>
                </c:pt>
                <c:pt idx="373">
                  <c:v>-22.284450869045198</c:v>
                </c:pt>
                <c:pt idx="374">
                  <c:v>-22.373633296418213</c:v>
                </c:pt>
                <c:pt idx="375">
                  <c:v>-22.462504520937209</c:v>
                </c:pt>
                <c:pt idx="376">
                  <c:v>-22.551066832243635</c:v>
                </c:pt>
                <c:pt idx="377">
                  <c:v>-22.641493544308386</c:v>
                </c:pt>
                <c:pt idx="378">
                  <c:v>-22.731600684601144</c:v>
                </c:pt>
                <c:pt idx="379">
                  <c:v>-22.82139060386023</c:v>
                </c:pt>
                <c:pt idx="380">
                  <c:v>-22.910865616837803</c:v>
                </c:pt>
                <c:pt idx="381">
                  <c:v>-23.001943268088787</c:v>
                </c:pt>
                <c:pt idx="382">
                  <c:v>-23.09269708626767</c:v>
                </c:pt>
                <c:pt idx="383">
                  <c:v>-23.183129428351421</c:v>
                </c:pt>
                <c:pt idx="384">
                  <c:v>-23.273242615983534</c:v>
                </c:pt>
                <c:pt idx="385">
                  <c:v>-23.365260367406261</c:v>
                </c:pt>
                <c:pt idx="386">
                  <c:v>-23.45694777580804</c:v>
                </c:pt>
                <c:pt idx="387">
                  <c:v>-23.548307230031035</c:v>
                </c:pt>
                <c:pt idx="388">
                  <c:v>-23.639341083738511</c:v>
                </c:pt>
                <c:pt idx="389">
                  <c:v>-23.732131915281229</c:v>
                </c:pt>
                <c:pt idx="390">
                  <c:v>-23.824586887100942</c:v>
                </c:pt>
                <c:pt idx="391">
                  <c:v>-23.916708410205541</c:v>
                </c:pt>
                <c:pt idx="392">
                  <c:v>-24.008498860783952</c:v>
                </c:pt>
                <c:pt idx="393">
                  <c:v>-24.102010929510172</c:v>
                </c:pt>
                <c:pt idx="394">
                  <c:v>-24.195181804150497</c:v>
                </c:pt>
                <c:pt idx="395">
                  <c:v>-24.288013917210755</c:v>
                </c:pt>
                <c:pt idx="396">
                  <c:v>-24.380509666757554</c:v>
                </c:pt>
                <c:pt idx="397">
                  <c:v>-24.474904737035182</c:v>
                </c:pt>
                <c:pt idx="398">
                  <c:v>-24.568951899211179</c:v>
                </c:pt>
                <c:pt idx="399">
                  <c:v>-24.66265362331724</c:v>
                </c:pt>
                <c:pt idx="400">
                  <c:v>-24.756012345033298</c:v>
                </c:pt>
                <c:pt idx="401">
                  <c:v>-24.851126285850217</c:v>
                </c:pt>
                <c:pt idx="402">
                  <c:v>-24.945886608911504</c:v>
                </c:pt>
                <c:pt idx="403">
                  <c:v>-25.040295812449536</c:v>
                </c:pt>
                <c:pt idx="404">
                  <c:v>-25.134356360614035</c:v>
                </c:pt>
                <c:pt idx="405">
                  <c:v>-25.230238784291288</c:v>
                </c:pt>
                <c:pt idx="406">
                  <c:v>-25.325761315842577</c:v>
                </c:pt>
                <c:pt idx="407">
                  <c:v>-25.420926489163275</c:v>
                </c:pt>
                <c:pt idx="408">
                  <c:v>-25.515736804205211</c:v>
                </c:pt>
                <c:pt idx="409">
                  <c:v>-25.612432186853344</c:v>
                </c:pt>
                <c:pt idx="410">
                  <c:v>-25.708760864658039</c:v>
                </c:pt>
                <c:pt idx="411">
                  <c:v>-25.804725414374499</c:v>
                </c:pt>
                <c:pt idx="412">
                  <c:v>-25.900328378833983</c:v>
                </c:pt>
                <c:pt idx="413">
                  <c:v>-25.997776001151614</c:v>
                </c:pt>
                <c:pt idx="414">
                  <c:v>-26.094850359628122</c:v>
                </c:pt>
                <c:pt idx="415">
                  <c:v>-26.191554072817198</c:v>
                </c:pt>
                <c:pt idx="416">
                  <c:v>-26.287889725395921</c:v>
                </c:pt>
                <c:pt idx="417">
                  <c:v>-26.386128695351072</c:v>
                </c:pt>
                <c:pt idx="418">
                  <c:v>-26.483987337585418</c:v>
                </c:pt>
                <c:pt idx="419">
                  <c:v>-26.581468319470499</c:v>
                </c:pt>
                <c:pt idx="420">
                  <c:v>-26.678574274437196</c:v>
                </c:pt>
                <c:pt idx="421">
                  <c:v>-26.777444593257233</c:v>
                </c:pt>
                <c:pt idx="422">
                  <c:v>-26.875928558892056</c:v>
                </c:pt>
                <c:pt idx="423">
                  <c:v>-26.974028878459752</c:v>
                </c:pt>
                <c:pt idx="424">
                  <c:v>-27.07174822523481</c:v>
                </c:pt>
                <c:pt idx="425">
                  <c:v>-27.171479694550346</c:v>
                </c:pt>
                <c:pt idx="426">
                  <c:v>-27.270816787979868</c:v>
                </c:pt>
                <c:pt idx="427">
                  <c:v>-27.369762275308052</c:v>
                </c:pt>
                <c:pt idx="428">
                  <c:v>-27.468318892203133</c:v>
                </c:pt>
                <c:pt idx="429">
                  <c:v>-27.568748103769515</c:v>
                </c:pt>
                <c:pt idx="430">
                  <c:v>-27.668775993972186</c:v>
                </c:pt>
                <c:pt idx="431">
                  <c:v>-27.768405386014642</c:v>
                </c:pt>
                <c:pt idx="432">
                  <c:v>-27.867639068878027</c:v>
                </c:pt>
                <c:pt idx="433">
                  <c:v>-27.968702688557457</c:v>
                </c:pt>
                <c:pt idx="434">
                  <c:v>-28.069358354869458</c:v>
                </c:pt>
                <c:pt idx="435">
                  <c:v>-28.169608943353811</c:v>
                </c:pt>
                <c:pt idx="436">
                  <c:v>-28.269457295251502</c:v>
                </c:pt>
                <c:pt idx="437">
                  <c:v>-28.371275713583696</c:v>
                </c:pt>
                <c:pt idx="438">
                  <c:v>-28.472678380283568</c:v>
                </c:pt>
                <c:pt idx="439">
                  <c:v>-28.573668237936044</c:v>
                </c:pt>
                <c:pt idx="440">
                  <c:v>-28.674248194533366</c:v>
                </c:pt>
                <c:pt idx="441">
                  <c:v>-28.776752161868178</c:v>
                </c:pt>
                <c:pt idx="442">
                  <c:v>-28.878832942370209</c:v>
                </c:pt>
                <c:pt idx="443">
                  <c:v>-28.980493544419659</c:v>
                </c:pt>
                <c:pt idx="444">
                  <c:v>-29.081736941550375</c:v>
                </c:pt>
                <c:pt idx="445">
                  <c:v>-29.184858864916066</c:v>
                </c:pt>
                <c:pt idx="446">
                  <c:v>-29.287550536587421</c:v>
                </c:pt>
                <c:pt idx="447">
                  <c:v>-29.389815029572979</c:v>
                </c:pt>
                <c:pt idx="448">
                  <c:v>-29.491655381819328</c:v>
                </c:pt>
                <c:pt idx="449">
                  <c:v>-29.595502814109214</c:v>
                </c:pt>
                <c:pt idx="450">
                  <c:v>-29.698911846366602</c:v>
                </c:pt>
                <c:pt idx="451">
                  <c:v>-29.801885630859864</c:v>
                </c:pt>
                <c:pt idx="452">
                  <c:v>-29.904427284381949</c:v>
                </c:pt>
                <c:pt idx="453">
                  <c:v>-30.008842102981998</c:v>
                </c:pt>
                <c:pt idx="454">
                  <c:v>-30.112811524396363</c:v>
                </c:pt>
                <c:pt idx="455">
                  <c:v>-30.216338771049635</c:v>
                </c:pt>
                <c:pt idx="456">
                  <c:v>-30.319427029640668</c:v>
                </c:pt>
                <c:pt idx="457">
                  <c:v>-30.424510288150199</c:v>
                </c:pt>
                <c:pt idx="458">
                  <c:v>-30.529140122728254</c:v>
                </c:pt>
                <c:pt idx="459">
                  <c:v>-30.633319840680766</c:v>
                </c:pt>
                <c:pt idx="460">
                  <c:v>-30.737052713149847</c:v>
                </c:pt>
                <c:pt idx="461">
                  <c:v>-30.842731135930972</c:v>
                </c:pt>
                <c:pt idx="462">
                  <c:v>-30.947948571718406</c:v>
                </c:pt>
                <c:pt idx="463">
                  <c:v>-31.052708411568549</c:v>
                </c:pt>
                <c:pt idx="464">
                  <c:v>-31.157014009985808</c:v>
                </c:pt>
                <c:pt idx="465">
                  <c:v>-31.263297398140306</c:v>
                </c:pt>
                <c:pt idx="466">
                  <c:v>-31.3691119981521</c:v>
                </c:pt>
                <c:pt idx="467">
                  <c:v>-31.474461291725916</c:v>
                </c:pt>
                <c:pt idx="468">
                  <c:v>-31.579348723564252</c:v>
                </c:pt>
                <c:pt idx="469">
                  <c:v>-31.686163862448037</c:v>
                </c:pt>
                <c:pt idx="470">
                  <c:v>-31.792502919106216</c:v>
                </c:pt>
                <c:pt idx="471">
                  <c:v>-31.898369464901318</c:v>
                </c:pt>
                <c:pt idx="472">
                  <c:v>-32.00376703379662</c:v>
                </c:pt>
                <c:pt idx="473">
                  <c:v>-32.111199301955857</c:v>
                </c:pt>
                <c:pt idx="474">
                  <c:v>-32.218147307890334</c:v>
                </c:pt>
                <c:pt idx="475">
                  <c:v>-32.324614727720316</c:v>
                </c:pt>
                <c:pt idx="476">
                  <c:v>-32.430605199604258</c:v>
                </c:pt>
                <c:pt idx="477">
                  <c:v>-32.538577745225069</c:v>
                </c:pt>
                <c:pt idx="478">
                  <c:v>-32.646058425132026</c:v>
                </c:pt>
                <c:pt idx="479">
                  <c:v>-32.7530510193601</c:v>
                </c:pt>
                <c:pt idx="480">
                  <c:v>-32.859559269482411</c:v>
                </c:pt>
                <c:pt idx="481">
                  <c:v>-32.967997889726789</c:v>
                </c:pt>
                <c:pt idx="482">
                  <c:v>-33.07593763329119</c:v>
                </c:pt>
                <c:pt idx="483">
                  <c:v>-33.183382383422533</c:v>
                </c:pt>
                <c:pt idx="484">
                  <c:v>-33.290335984468499</c:v>
                </c:pt>
                <c:pt idx="485">
                  <c:v>-33.39924319219547</c:v>
                </c:pt>
                <c:pt idx="486">
                  <c:v>-33.507644434943209</c:v>
                </c:pt>
                <c:pt idx="487">
                  <c:v>-33.615543706737931</c:v>
                </c:pt>
                <c:pt idx="488">
                  <c:v>-33.722944962226585</c:v>
                </c:pt>
                <c:pt idx="489">
                  <c:v>-33.832393264239442</c:v>
                </c:pt>
                <c:pt idx="490">
                  <c:v>-33.941327802275083</c:v>
                </c:pt>
                <c:pt idx="491">
                  <c:v>-34.049752697079704</c:v>
                </c:pt>
                <c:pt idx="492">
                  <c:v>-34.15767202939972</c:v>
                </c:pt>
                <c:pt idx="493">
                  <c:v>-34.267583651259372</c:v>
                </c:pt>
                <c:pt idx="494">
                  <c:v>-34.376974426939945</c:v>
                </c:pt>
                <c:pt idx="495">
                  <c:v>-34.48584860370169</c:v>
                </c:pt>
                <c:pt idx="496">
                  <c:v>-34.594210388264798</c:v>
                </c:pt>
                <c:pt idx="497">
                  <c:v>-34.704580788075887</c:v>
                </c:pt>
                <c:pt idx="498">
                  <c:v>-34.81442333180496</c:v>
                </c:pt>
                <c:pt idx="499">
                  <c:v>-34.923742401550115</c:v>
                </c:pt>
                <c:pt idx="500">
                  <c:v>-35.032542338311487</c:v>
                </c:pt>
                <c:pt idx="501">
                  <c:v>-35.143365128674816</c:v>
                </c:pt>
                <c:pt idx="502">
                  <c:v>-35.253653181649959</c:v>
                </c:pt>
                <c:pt idx="503">
                  <c:v>-35.363411022860511</c:v>
                </c:pt>
                <c:pt idx="504">
                  <c:v>-35.472643136266015</c:v>
                </c:pt>
                <c:pt idx="505">
                  <c:v>-35.583843103848949</c:v>
                </c:pt>
                <c:pt idx="506">
                  <c:v>-35.694502294792883</c:v>
                </c:pt>
                <c:pt idx="507">
                  <c:v>-35.804625378907375</c:v>
                </c:pt>
                <c:pt idx="508">
                  <c:v>-35.914216983878674</c:v>
                </c:pt>
                <c:pt idx="509">
                  <c:v>-36.025788838083969</c:v>
                </c:pt>
                <c:pt idx="510">
                  <c:v>-36.136814102870801</c:v>
                </c:pt>
                <c:pt idx="511">
                  <c:v>-36.247297601807176</c:v>
                </c:pt>
                <c:pt idx="512">
                  <c:v>-36.357244115895391</c:v>
                </c:pt>
                <c:pt idx="513">
                  <c:v>-36.469246255475525</c:v>
                </c:pt>
                <c:pt idx="514">
                  <c:v>-36.580695650342932</c:v>
                </c:pt>
                <c:pt idx="515">
                  <c:v>-36.691597296628885</c:v>
                </c:pt>
                <c:pt idx="516">
                  <c:v>-36.801956147393199</c:v>
                </c:pt>
                <c:pt idx="517">
                  <c:v>-36.914314403096064</c:v>
                </c:pt>
                <c:pt idx="518">
                  <c:v>-37.026114784232441</c:v>
                </c:pt>
                <c:pt idx="519">
                  <c:v>-37.137362461750854</c:v>
                </c:pt>
                <c:pt idx="520">
                  <c:v>-37.248062563182003</c:v>
                </c:pt>
                <c:pt idx="521">
                  <c:v>-37.360769779885807</c:v>
                </c:pt>
                <c:pt idx="522">
                  <c:v>-37.472914440433456</c:v>
                </c:pt>
                <c:pt idx="523">
                  <c:v>-37.584501902360749</c:v>
                </c:pt>
                <c:pt idx="524">
                  <c:v>-37.695537479524987</c:v>
                </c:pt>
                <c:pt idx="525">
                  <c:v>-37.808586657014096</c:v>
                </c:pt>
                <c:pt idx="526">
                  <c:v>-37.921069131712173</c:v>
                </c:pt>
                <c:pt idx="527">
                  <c:v>-38.032990460563305</c:v>
                </c:pt>
                <c:pt idx="528">
                  <c:v>-38.144356156692822</c:v>
                </c:pt>
                <c:pt idx="529">
                  <c:v>-38.257740904016693</c:v>
                </c:pt>
                <c:pt idx="530">
                  <c:v>-38.370555431681296</c:v>
                </c:pt>
                <c:pt idx="531">
                  <c:v>-38.482805510134177</c:v>
                </c:pt>
                <c:pt idx="532">
                  <c:v>-38.594496866024038</c:v>
                </c:pt>
                <c:pt idx="533">
                  <c:v>-38.708270456832537</c:v>
                </c:pt>
                <c:pt idx="534">
                  <c:v>-38.821470456427697</c:v>
                </c:pt>
                <c:pt idx="535">
                  <c:v>-38.934102873661949</c:v>
                </c:pt>
                <c:pt idx="536">
                  <c:v>-39.046173673733946</c:v>
                </c:pt>
                <c:pt idx="537">
                  <c:v>-39.160214192675255</c:v>
                </c:pt>
                <c:pt idx="538">
                  <c:v>-39.273679788080116</c:v>
                </c:pt>
                <c:pt idx="539">
                  <c:v>-39.386576706108791</c:v>
                </c:pt>
                <c:pt idx="540">
                  <c:v>-39.498911149868967</c:v>
                </c:pt>
                <c:pt idx="541">
                  <c:v>-39.613333220148462</c:v>
                </c:pt>
                <c:pt idx="542">
                  <c:v>-39.727178845939264</c:v>
                </c:pt>
                <c:pt idx="543">
                  <c:v>-39.840454549473407</c:v>
                </c:pt>
                <c:pt idx="544">
                  <c:v>-39.953166810713199</c:v>
                </c:pt>
                <c:pt idx="545">
                  <c:v>-40.067913496996148</c:v>
                </c:pt>
                <c:pt idx="546">
                  <c:v>-40.182083929581637</c:v>
                </c:pt>
                <c:pt idx="547">
                  <c:v>-40.295684919879662</c:v>
                </c:pt>
                <c:pt idx="548">
                  <c:v>-40.408723238354298</c:v>
                </c:pt>
                <c:pt idx="549">
                  <c:v>-40.523799842254711</c:v>
                </c:pt>
                <c:pt idx="550">
                  <c:v>-40.638301666689898</c:v>
                </c:pt>
                <c:pt idx="551">
                  <c:v>-40.752235838283404</c:v>
                </c:pt>
                <c:pt idx="552">
                  <c:v>-40.865609444610207</c:v>
                </c:pt>
                <c:pt idx="553">
                  <c:v>-40.981078764513171</c:v>
                </c:pt>
                <c:pt idx="554">
                  <c:v>-41.095975722636254</c:v>
                </c:pt>
                <c:pt idx="555">
                  <c:v>-41.210307801330252</c:v>
                </c:pt>
                <c:pt idx="556">
                  <c:v>-41.324082446451925</c:v>
                </c:pt>
                <c:pt idx="557">
                  <c:v>-41.555262669400143</c:v>
                </c:pt>
                <c:pt idx="558">
                  <c:v>-41.78420146413778</c:v>
                </c:pt>
                <c:pt idx="559">
                  <c:v>-42.016134029959879</c:v>
                </c:pt>
                <c:pt idx="560">
                  <c:v>-42.245853244683985</c:v>
                </c:pt>
                <c:pt idx="561">
                  <c:v>-42.47879895066287</c:v>
                </c:pt>
                <c:pt idx="562">
                  <c:v>-42.709564689427481</c:v>
                </c:pt>
                <c:pt idx="563">
                  <c:v>-42.943104714733742</c:v>
                </c:pt>
                <c:pt idx="564">
                  <c:v>-43.174517720152494</c:v>
                </c:pt>
                <c:pt idx="565">
                  <c:v>-43.409634173956007</c:v>
                </c:pt>
                <c:pt idx="566">
                  <c:v>-43.642672717791058</c:v>
                </c:pt>
                <c:pt idx="567">
                  <c:v>-43.879369871376916</c:v>
                </c:pt>
                <c:pt idx="568">
                  <c:v>-44.11405508719313</c:v>
                </c:pt>
                <c:pt idx="569">
                  <c:v>-44.35145040350362</c:v>
                </c:pt>
                <c:pt idx="570">
                  <c:v>-44.586933333865922</c:v>
                </c:pt>
                <c:pt idx="571">
                  <c:v>-44.826985220586053</c:v>
                </c:pt>
                <c:pt idx="572">
                  <c:v>-45.065215539495007</c:v>
                </c:pt>
                <c:pt idx="573">
                  <c:v>-45.306222816476833</c:v>
                </c:pt>
                <c:pt idx="574">
                  <c:v>-45.545551235798534</c:v>
                </c:pt>
                <c:pt idx="575">
                  <c:v>-45.789523232955588</c:v>
                </c:pt>
                <c:pt idx="576">
                  <c:v>-46.031961714648205</c:v>
                </c:pt>
                <c:pt idx="577">
                  <c:v>-47.044189087023227</c:v>
                </c:pt>
                <c:pt idx="578">
                  <c:v>-48.040868314275258</c:v>
                </c:pt>
                <c:pt idx="579">
                  <c:v>-50.225705360615962</c:v>
                </c:pt>
                <c:pt idx="580">
                  <c:v>-52.778723477792191</c:v>
                </c:pt>
                <c:pt idx="581">
                  <c:v>-56.150487222314631</c:v>
                </c:pt>
                <c:pt idx="582">
                  <c:v>-61.701064224236845</c:v>
                </c:pt>
                <c:pt idx="583">
                  <c:v>-79.925019618743306</c:v>
                </c:pt>
                <c:pt idx="584">
                  <c:v>-66.126657838300261</c:v>
                </c:pt>
                <c:pt idx="585">
                  <c:v>-61.518551224450981</c:v>
                </c:pt>
                <c:pt idx="586">
                  <c:v>-60.424937363957397</c:v>
                </c:pt>
                <c:pt idx="587">
                  <c:v>-60.697241680545432</c:v>
                </c:pt>
                <c:pt idx="588">
                  <c:v>-61.793855375646473</c:v>
                </c:pt>
                <c:pt idx="589">
                  <c:v>-64.008592656011587</c:v>
                </c:pt>
                <c:pt idx="590">
                  <c:v>-70.090352463491769</c:v>
                </c:pt>
                <c:pt idx="591">
                  <c:v>-76.514493114270721</c:v>
                </c:pt>
                <c:pt idx="592">
                  <c:v>-67.449101769449925</c:v>
                </c:pt>
                <c:pt idx="593">
                  <c:v>-66.791006345059799</c:v>
                </c:pt>
                <c:pt idx="594">
                  <c:v>-68.960524245501546</c:v>
                </c:pt>
                <c:pt idx="595">
                  <c:v>-89.188964152484147</c:v>
                </c:pt>
                <c:pt idx="596">
                  <c:v>-71.023122754078145</c:v>
                </c:pt>
                <c:pt idx="597">
                  <c:v>-70.533955151897231</c:v>
                </c:pt>
                <c:pt idx="598">
                  <c:v>-81.359685622027257</c:v>
                </c:pt>
                <c:pt idx="599">
                  <c:v>-73.075790856236821</c:v>
                </c:pt>
                <c:pt idx="600">
                  <c:v>-74.262605909467339</c:v>
                </c:pt>
              </c:numCache>
            </c:numRef>
          </c:yVal>
          <c:smooth val="1"/>
          <c:extLst>
            <c:ext xmlns:c16="http://schemas.microsoft.com/office/drawing/2014/chart" uri="{C3380CC4-5D6E-409C-BE32-E72D297353CC}">
              <c16:uniqueId val="{00000000-09BC-4E96-93F9-6DC345568360}"/>
            </c:ext>
          </c:extLst>
        </c:ser>
        <c:dLbls>
          <c:dLblPos val="r"/>
          <c:showLegendKey val="0"/>
          <c:showVal val="1"/>
          <c:showCatName val="1"/>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92.782329891254307</c:v>
                </c:pt>
                <c:pt idx="1">
                  <c:v>92.490952667171072</c:v>
                </c:pt>
                <c:pt idx="2">
                  <c:v>92.220612460215008</c:v>
                </c:pt>
                <c:pt idx="3">
                  <c:v>91.969033066176976</c:v>
                </c:pt>
                <c:pt idx="4">
                  <c:v>91.734243026514591</c:v>
                </c:pt>
                <c:pt idx="5">
                  <c:v>91.513878999504684</c:v>
                </c:pt>
                <c:pt idx="6">
                  <c:v>91.306408070393871</c:v>
                </c:pt>
                <c:pt idx="7">
                  <c:v>91.109937448357954</c:v>
                </c:pt>
                <c:pt idx="8">
                  <c:v>90.922947261147627</c:v>
                </c:pt>
                <c:pt idx="9">
                  <c:v>90.743711969175322</c:v>
                </c:pt>
                <c:pt idx="10">
                  <c:v>90.570819269779264</c:v>
                </c:pt>
                <c:pt idx="11">
                  <c:v>90.402778367913498</c:v>
                </c:pt>
                <c:pt idx="12">
                  <c:v>90.238079783776513</c:v>
                </c:pt>
                <c:pt idx="13">
                  <c:v>90.075488177782574</c:v>
                </c:pt>
                <c:pt idx="14">
                  <c:v>89.913497104920964</c:v>
                </c:pt>
                <c:pt idx="15">
                  <c:v>89.750799474953993</c:v>
                </c:pt>
                <c:pt idx="16">
                  <c:v>89.58600773464677</c:v>
                </c:pt>
                <c:pt idx="17">
                  <c:v>89.417755588431831</c:v>
                </c:pt>
                <c:pt idx="18">
                  <c:v>89.244576527085385</c:v>
                </c:pt>
                <c:pt idx="19">
                  <c:v>89.065061010335214</c:v>
                </c:pt>
                <c:pt idx="20">
                  <c:v>88.877667875419519</c:v>
                </c:pt>
                <c:pt idx="21">
                  <c:v>88.680869305714538</c:v>
                </c:pt>
                <c:pt idx="22">
                  <c:v>88.472984501198667</c:v>
                </c:pt>
                <c:pt idx="23">
                  <c:v>88.252343210199257</c:v>
                </c:pt>
                <c:pt idx="24">
                  <c:v>88.017072094122227</c:v>
                </c:pt>
                <c:pt idx="25">
                  <c:v>87.765281901505674</c:v>
                </c:pt>
                <c:pt idx="26">
                  <c:v>87.494868222069741</c:v>
                </c:pt>
                <c:pt idx="27">
                  <c:v>87.203746203293804</c:v>
                </c:pt>
                <c:pt idx="28">
                  <c:v>86.889606376277854</c:v>
                </c:pt>
                <c:pt idx="29">
                  <c:v>86.550226862670172</c:v>
                </c:pt>
                <c:pt idx="30">
                  <c:v>86.18242831980163</c:v>
                </c:pt>
                <c:pt idx="31">
                  <c:v>85.783957876118436</c:v>
                </c:pt>
                <c:pt idx="32">
                  <c:v>85.351663715278264</c:v>
                </c:pt>
                <c:pt idx="33">
                  <c:v>84.882843592190483</c:v>
                </c:pt>
                <c:pt idx="34">
                  <c:v>84.374009088952832</c:v>
                </c:pt>
                <c:pt idx="35">
                  <c:v>83.822227439611297</c:v>
                </c:pt>
                <c:pt idx="36">
                  <c:v>83.224187566072445</c:v>
                </c:pt>
                <c:pt idx="37">
                  <c:v>82.576324167858161</c:v>
                </c:pt>
                <c:pt idx="38">
                  <c:v>81.876164028645647</c:v>
                </c:pt>
                <c:pt idx="39">
                  <c:v>81.120305445017522</c:v>
                </c:pt>
                <c:pt idx="40">
                  <c:v>80.306557457555883</c:v>
                </c:pt>
                <c:pt idx="41">
                  <c:v>79.432986138061338</c:v>
                </c:pt>
                <c:pt idx="42">
                  <c:v>78.498677948063602</c:v>
                </c:pt>
                <c:pt idx="43">
                  <c:v>77.503416090328912</c:v>
                </c:pt>
                <c:pt idx="44">
                  <c:v>76.448949335516687</c:v>
                </c:pt>
                <c:pt idx="45">
                  <c:v>75.338340400117758</c:v>
                </c:pt>
                <c:pt idx="46">
                  <c:v>74.177245209573215</c:v>
                </c:pt>
                <c:pt idx="47">
                  <c:v>72.973361753401662</c:v>
                </c:pt>
                <c:pt idx="48">
                  <c:v>71.737759505095269</c:v>
                </c:pt>
                <c:pt idx="49">
                  <c:v>70.483930709121211</c:v>
                </c:pt>
                <c:pt idx="50">
                  <c:v>69.228961613598301</c:v>
                </c:pt>
                <c:pt idx="51">
                  <c:v>67.992395739128682</c:v>
                </c:pt>
                <c:pt idx="52">
                  <c:v>66.796992845629163</c:v>
                </c:pt>
                <c:pt idx="53">
                  <c:v>65.666903567827774</c:v>
                </c:pt>
                <c:pt idx="54">
                  <c:v>64.627836728489598</c:v>
                </c:pt>
                <c:pt idx="55">
                  <c:v>63.702941428578839</c:v>
                </c:pt>
                <c:pt idx="56">
                  <c:v>62.916939170544552</c:v>
                </c:pt>
                <c:pt idx="57">
                  <c:v>62.289756444823084</c:v>
                </c:pt>
                <c:pt idx="58">
                  <c:v>61.838195336784636</c:v>
                </c:pt>
                <c:pt idx="59">
                  <c:v>61.573171441216914</c:v>
                </c:pt>
                <c:pt idx="60">
                  <c:v>61.500305533568138</c:v>
                </c:pt>
                <c:pt idx="61">
                  <c:v>61.618711718374925</c:v>
                </c:pt>
                <c:pt idx="62">
                  <c:v>61.921546611450282</c:v>
                </c:pt>
                <c:pt idx="63">
                  <c:v>62.395661751810934</c:v>
                </c:pt>
                <c:pt idx="64">
                  <c:v>63.023438564621259</c:v>
                </c:pt>
                <c:pt idx="65">
                  <c:v>63.782671645079873</c:v>
                </c:pt>
                <c:pt idx="66">
                  <c:v>64.648542139824741</c:v>
                </c:pt>
                <c:pt idx="67">
                  <c:v>65.594503080876294</c:v>
                </c:pt>
                <c:pt idx="68">
                  <c:v>66.594151583697879</c:v>
                </c:pt>
                <c:pt idx="69">
                  <c:v>67.621407194493855</c:v>
                </c:pt>
                <c:pt idx="70">
                  <c:v>68.652432968725051</c:v>
                </c:pt>
                <c:pt idx="71">
                  <c:v>69.665411624526399</c:v>
                </c:pt>
                <c:pt idx="72">
                  <c:v>70.641759947277777</c:v>
                </c:pt>
                <c:pt idx="73">
                  <c:v>71.565379953138333</c:v>
                </c:pt>
                <c:pt idx="74">
                  <c:v>72.423506566008058</c:v>
                </c:pt>
                <c:pt idx="75">
                  <c:v>73.205622547046914</c:v>
                </c:pt>
                <c:pt idx="76">
                  <c:v>73.903805366997048</c:v>
                </c:pt>
                <c:pt idx="77">
                  <c:v>74.511648162940958</c:v>
                </c:pt>
                <c:pt idx="78">
                  <c:v>75.024543641169387</c:v>
                </c:pt>
                <c:pt idx="79">
                  <c:v>75.438766597737924</c:v>
                </c:pt>
                <c:pt idx="80">
                  <c:v>75.752239941113004</c:v>
                </c:pt>
                <c:pt idx="81">
                  <c:v>75.962182425747812</c:v>
                </c:pt>
                <c:pt idx="82">
                  <c:v>76.06671706875629</c:v>
                </c:pt>
                <c:pt idx="83">
                  <c:v>76.063750164313888</c:v>
                </c:pt>
                <c:pt idx="84">
                  <c:v>75.951059343820447</c:v>
                </c:pt>
                <c:pt idx="85">
                  <c:v>75.726112966701137</c:v>
                </c:pt>
                <c:pt idx="86">
                  <c:v>75.385887432209458</c:v>
                </c:pt>
                <c:pt idx="87">
                  <c:v>74.926529026350309</c:v>
                </c:pt>
                <c:pt idx="88">
                  <c:v>74.344241576642901</c:v>
                </c:pt>
                <c:pt idx="89">
                  <c:v>73.633653395626183</c:v>
                </c:pt>
                <c:pt idx="90">
                  <c:v>72.789314209313858</c:v>
                </c:pt>
                <c:pt idx="91">
                  <c:v>71.804728685724029</c:v>
                </c:pt>
                <c:pt idx="92">
                  <c:v>70.672857131988522</c:v>
                </c:pt>
                <c:pt idx="93">
                  <c:v>69.385405497177757</c:v>
                </c:pt>
                <c:pt idx="94">
                  <c:v>69.038402945278889</c:v>
                </c:pt>
                <c:pt idx="95">
                  <c:v>68.859909781873128</c:v>
                </c:pt>
                <c:pt idx="96">
                  <c:v>68.680858432666099</c:v>
                </c:pt>
                <c:pt idx="97">
                  <c:v>68.497104092424593</c:v>
                </c:pt>
                <c:pt idx="98">
                  <c:v>68.312815918434012</c:v>
                </c:pt>
                <c:pt idx="99">
                  <c:v>68.12368072991228</c:v>
                </c:pt>
                <c:pt idx="100">
                  <c:v>67.934036064043113</c:v>
                </c:pt>
                <c:pt idx="101">
                  <c:v>67.739545825736784</c:v>
                </c:pt>
                <c:pt idx="102">
                  <c:v>67.544571292405791</c:v>
                </c:pt>
                <c:pt idx="103">
                  <c:v>67.344463019162816</c:v>
                </c:pt>
                <c:pt idx="104">
                  <c:v>67.143895071230887</c:v>
                </c:pt>
                <c:pt idx="105">
                  <c:v>66.938197038846965</c:v>
                </c:pt>
                <c:pt idx="106">
                  <c:v>66.732064891666269</c:v>
                </c:pt>
                <c:pt idx="107">
                  <c:v>66.520808866760987</c:v>
                </c:pt>
                <c:pt idx="108">
                  <c:v>66.309145144364194</c:v>
                </c:pt>
                <c:pt idx="109">
                  <c:v>66.092218386604372</c:v>
                </c:pt>
                <c:pt idx="110">
                  <c:v>65.874910627746914</c:v>
                </c:pt>
                <c:pt idx="111">
                  <c:v>65.652053244642289</c:v>
                </c:pt>
                <c:pt idx="112">
                  <c:v>65.428841482841634</c:v>
                </c:pt>
                <c:pt idx="113">
                  <c:v>65.200090738754042</c:v>
                </c:pt>
                <c:pt idx="114">
                  <c:v>64.971013250604045</c:v>
                </c:pt>
                <c:pt idx="115">
                  <c:v>64.736260882651848</c:v>
                </c:pt>
                <c:pt idx="116">
                  <c:v>64.501209978375599</c:v>
                </c:pt>
                <c:pt idx="117">
                  <c:v>64.260349751170878</c:v>
                </c:pt>
                <c:pt idx="118">
                  <c:v>64.019219859757342</c:v>
                </c:pt>
                <c:pt idx="119">
                  <c:v>63.772297660170764</c:v>
                </c:pt>
                <c:pt idx="120">
                  <c:v>63.525135699365805</c:v>
                </c:pt>
                <c:pt idx="121">
                  <c:v>63.272050977243708</c:v>
                </c:pt>
                <c:pt idx="122">
                  <c:v>63.018757125585594</c:v>
                </c:pt>
                <c:pt idx="123">
                  <c:v>62.759261611065924</c:v>
                </c:pt>
                <c:pt idx="124">
                  <c:v>62.499588220351455</c:v>
                </c:pt>
                <c:pt idx="125">
                  <c:v>62.233736765922743</c:v>
                </c:pt>
                <c:pt idx="126">
                  <c:v>61.967739846917524</c:v>
                </c:pt>
                <c:pt idx="127">
                  <c:v>61.695440601662597</c:v>
                </c:pt>
                <c:pt idx="128">
                  <c:v>61.423029283604635</c:v>
                </c:pt>
                <c:pt idx="129">
                  <c:v>61.144193775942924</c:v>
                </c:pt>
                <c:pt idx="130">
                  <c:v>60.865280646887001</c:v>
                </c:pt>
                <c:pt idx="131">
                  <c:v>60.579824038010855</c:v>
                </c:pt>
                <c:pt idx="132">
                  <c:v>60.437078786074608</c:v>
                </c:pt>
                <c:pt idx="133">
                  <c:v>60.294325395847707</c:v>
                </c:pt>
                <c:pt idx="134">
                  <c:v>60.148172484034205</c:v>
                </c:pt>
                <c:pt idx="135">
                  <c:v>60.002015895024229</c:v>
                </c:pt>
                <c:pt idx="136">
                  <c:v>59.855858010503198</c:v>
                </c:pt>
                <c:pt idx="137">
                  <c:v>59.709701164683807</c:v>
                </c:pt>
                <c:pt idx="138">
                  <c:v>59.560229458864868</c:v>
                </c:pt>
                <c:pt idx="139">
                  <c:v>59.410763631027734</c:v>
                </c:pt>
                <c:pt idx="140">
                  <c:v>59.2613060319254</c:v>
                </c:pt>
                <c:pt idx="141">
                  <c:v>59.111858965620698</c:v>
                </c:pt>
                <c:pt idx="142">
                  <c:v>58.958881266340356</c:v>
                </c:pt>
                <c:pt idx="143">
                  <c:v>58.80591934714549</c:v>
                </c:pt>
                <c:pt idx="144">
                  <c:v>58.65297553569836</c:v>
                </c:pt>
                <c:pt idx="145">
                  <c:v>58.500052113522656</c:v>
                </c:pt>
                <c:pt idx="146">
                  <c:v>58.343609790497382</c:v>
                </c:pt>
                <c:pt idx="147">
                  <c:v>58.187193501698758</c:v>
                </c:pt>
                <c:pt idx="148">
                  <c:v>58.030805548583686</c:v>
                </c:pt>
                <c:pt idx="149">
                  <c:v>57.874448187075842</c:v>
                </c:pt>
                <c:pt idx="150">
                  <c:v>57.714509593451879</c:v>
                </c:pt>
                <c:pt idx="151">
                  <c:v>57.554607658970539</c:v>
                </c:pt>
                <c:pt idx="152">
                  <c:v>57.394744659186799</c:v>
                </c:pt>
                <c:pt idx="153">
                  <c:v>57.234922824685398</c:v>
                </c:pt>
                <c:pt idx="154">
                  <c:v>57.071383618292671</c:v>
                </c:pt>
                <c:pt idx="155">
                  <c:v>56.907892127356135</c:v>
                </c:pt>
                <c:pt idx="156">
                  <c:v>56.744450604699551</c:v>
                </c:pt>
                <c:pt idx="157">
                  <c:v>56.581061258616202</c:v>
                </c:pt>
                <c:pt idx="158">
                  <c:v>56.413895237669323</c:v>
                </c:pt>
                <c:pt idx="159">
                  <c:v>56.246788412456482</c:v>
                </c:pt>
                <c:pt idx="160">
                  <c:v>56.079743012662718</c:v>
                </c:pt>
                <c:pt idx="161">
                  <c:v>55.912761223846061</c:v>
                </c:pt>
                <c:pt idx="162">
                  <c:v>55.742020035489986</c:v>
                </c:pt>
                <c:pt idx="163">
                  <c:v>55.571349897179644</c:v>
                </c:pt>
                <c:pt idx="164">
                  <c:v>55.400753011963616</c:v>
                </c:pt>
                <c:pt idx="165">
                  <c:v>55.230231539207452</c:v>
                </c:pt>
                <c:pt idx="166">
                  <c:v>55.05574462944908</c:v>
                </c:pt>
                <c:pt idx="167">
                  <c:v>54.881341197183559</c:v>
                </c:pt>
                <c:pt idx="168">
                  <c:v>54.707023423803108</c:v>
                </c:pt>
                <c:pt idx="169">
                  <c:v>54.532793447270848</c:v>
                </c:pt>
                <c:pt idx="170">
                  <c:v>54.354917451954904</c:v>
                </c:pt>
                <c:pt idx="171">
                  <c:v>54.177137437248675</c:v>
                </c:pt>
                <c:pt idx="172">
                  <c:v>53.99945554812389</c:v>
                </c:pt>
                <c:pt idx="173">
                  <c:v>53.821873886701496</c:v>
                </c:pt>
                <c:pt idx="174">
                  <c:v>53.639921582913971</c:v>
                </c:pt>
                <c:pt idx="175">
                  <c:v>53.45807896487878</c:v>
                </c:pt>
                <c:pt idx="176">
                  <c:v>53.276348164130056</c:v>
                </c:pt>
                <c:pt idx="177">
                  <c:v>53.094731269243781</c:v>
                </c:pt>
                <c:pt idx="178">
                  <c:v>52.908768666768339</c:v>
                </c:pt>
                <c:pt idx="179">
                  <c:v>52.722929946097622</c:v>
                </c:pt>
                <c:pt idx="180">
                  <c:v>52.537217219965939</c:v>
                </c:pt>
                <c:pt idx="181">
                  <c:v>52.351632558097222</c:v>
                </c:pt>
                <c:pt idx="182">
                  <c:v>52.162470237466877</c:v>
                </c:pt>
                <c:pt idx="183">
                  <c:v>51.973445372267747</c:v>
                </c:pt>
                <c:pt idx="184">
                  <c:v>51.78456002700878</c:v>
                </c:pt>
                <c:pt idx="185">
                  <c:v>51.595816223843201</c:v>
                </c:pt>
                <c:pt idx="186">
                  <c:v>51.402040723531172</c:v>
                </c:pt>
                <c:pt idx="187">
                  <c:v>51.208418837699185</c:v>
                </c:pt>
                <c:pt idx="188">
                  <c:v>51.014952626306012</c:v>
                </c:pt>
                <c:pt idx="189">
                  <c:v>50.82164410631168</c:v>
                </c:pt>
                <c:pt idx="190">
                  <c:v>50.624810771163624</c:v>
                </c:pt>
                <c:pt idx="191">
                  <c:v>50.428145300818841</c:v>
                </c:pt>
                <c:pt idx="192">
                  <c:v>50.231649698309042</c:v>
                </c:pt>
                <c:pt idx="193">
                  <c:v>50.035325924361644</c:v>
                </c:pt>
                <c:pt idx="194">
                  <c:v>49.834035742769629</c:v>
                </c:pt>
                <c:pt idx="195">
                  <c:v>49.632930568788936</c:v>
                </c:pt>
                <c:pt idx="196">
                  <c:v>49.4320123886462</c:v>
                </c:pt>
                <c:pt idx="197">
                  <c:v>49.231283145710535</c:v>
                </c:pt>
                <c:pt idx="198">
                  <c:v>49.026355538859178</c:v>
                </c:pt>
                <c:pt idx="199">
                  <c:v>48.821629204849188</c:v>
                </c:pt>
                <c:pt idx="200">
                  <c:v>48.617106084897955</c:v>
                </c:pt>
                <c:pt idx="201">
                  <c:v>48.412788077479348</c:v>
                </c:pt>
                <c:pt idx="202">
                  <c:v>48.20430550980268</c:v>
                </c:pt>
                <c:pt idx="203">
                  <c:v>47.996040810857352</c:v>
                </c:pt>
                <c:pt idx="204">
                  <c:v>47.7879958716332</c:v>
                </c:pt>
                <c:pt idx="205">
                  <c:v>47.58017254050867</c:v>
                </c:pt>
                <c:pt idx="206">
                  <c:v>47.367494323371432</c:v>
                </c:pt>
                <c:pt idx="207">
                  <c:v>47.155052489273373</c:v>
                </c:pt>
                <c:pt idx="208">
                  <c:v>46.942848892440963</c:v>
                </c:pt>
                <c:pt idx="209">
                  <c:v>46.730885344059828</c:v>
                </c:pt>
                <c:pt idx="210">
                  <c:v>46.513386222943495</c:v>
                </c:pt>
                <c:pt idx="211">
                  <c:v>46.296144177105049</c:v>
                </c:pt>
                <c:pt idx="212">
                  <c:v>46.079161034238496</c:v>
                </c:pt>
                <c:pt idx="213">
                  <c:v>45.862438578040269</c:v>
                </c:pt>
                <c:pt idx="214">
                  <c:v>45.641666410670211</c:v>
                </c:pt>
                <c:pt idx="215">
                  <c:v>45.421169038560407</c:v>
                </c:pt>
                <c:pt idx="216">
                  <c:v>45.200948218657089</c:v>
                </c:pt>
                <c:pt idx="217">
                  <c:v>44.98100566416494</c:v>
                </c:pt>
                <c:pt idx="218">
                  <c:v>44.756337728643956</c:v>
                </c:pt>
                <c:pt idx="219">
                  <c:v>44.531964381939332</c:v>
                </c:pt>
                <c:pt idx="220">
                  <c:v>44.307887320959367</c:v>
                </c:pt>
                <c:pt idx="221">
                  <c:v>44.084108198586648</c:v>
                </c:pt>
                <c:pt idx="222">
                  <c:v>43.855650021330177</c:v>
                </c:pt>
                <c:pt idx="223">
                  <c:v>43.627506571015516</c:v>
                </c:pt>
                <c:pt idx="224">
                  <c:v>43.399679476667444</c:v>
                </c:pt>
                <c:pt idx="225">
                  <c:v>43.172170323049698</c:v>
                </c:pt>
                <c:pt idx="226">
                  <c:v>42.939322696989592</c:v>
                </c:pt>
                <c:pt idx="227">
                  <c:v>42.706812288894611</c:v>
                </c:pt>
                <c:pt idx="228">
                  <c:v>42.474640666087311</c:v>
                </c:pt>
                <c:pt idx="229">
                  <c:v>42.242809350905986</c:v>
                </c:pt>
                <c:pt idx="230">
                  <c:v>41.768941131535229</c:v>
                </c:pt>
                <c:pt idx="231">
                  <c:v>41.532548744113058</c:v>
                </c:pt>
                <c:pt idx="232">
                  <c:v>41.296519452840897</c:v>
                </c:pt>
                <c:pt idx="233">
                  <c:v>41.055264686567</c:v>
                </c:pt>
                <c:pt idx="234">
                  <c:v>40.814393391975358</c:v>
                </c:pt>
                <c:pt idx="235">
                  <c:v>40.573906981678846</c:v>
                </c:pt>
                <c:pt idx="236">
                  <c:v>40.333806822103384</c:v>
                </c:pt>
                <c:pt idx="237">
                  <c:v>40.089234521394303</c:v>
                </c:pt>
                <c:pt idx="238">
                  <c:v>39.845067035180477</c:v>
                </c:pt>
                <c:pt idx="239">
                  <c:v>39.601305672029355</c:v>
                </c:pt>
                <c:pt idx="240">
                  <c:v>39.357951694372417</c:v>
                </c:pt>
                <c:pt idx="241">
                  <c:v>39.108800015562593</c:v>
                </c:pt>
                <c:pt idx="242">
                  <c:v>38.860079365445586</c:v>
                </c:pt>
                <c:pt idx="243">
                  <c:v>38.611790960609738</c:v>
                </c:pt>
                <c:pt idx="244">
                  <c:v>38.36393597060237</c:v>
                </c:pt>
                <c:pt idx="245">
                  <c:v>38.111037447021602</c:v>
                </c:pt>
                <c:pt idx="246">
                  <c:v>37.858594085314962</c:v>
                </c:pt>
                <c:pt idx="247">
                  <c:v>37.606606988239605</c:v>
                </c:pt>
                <c:pt idx="248">
                  <c:v>37.355077211240314</c:v>
                </c:pt>
                <c:pt idx="249">
                  <c:v>37.097887803481655</c:v>
                </c:pt>
                <c:pt idx="250">
                  <c:v>36.841180390208393</c:v>
                </c:pt>
                <c:pt idx="251">
                  <c:v>36.58495595778075</c:v>
                </c:pt>
                <c:pt idx="252">
                  <c:v>36.329215444585685</c:v>
                </c:pt>
                <c:pt idx="253">
                  <c:v>36.068562750012916</c:v>
                </c:pt>
                <c:pt idx="254">
                  <c:v>35.808416503815295</c:v>
                </c:pt>
                <c:pt idx="255">
                  <c:v>35.54877755665845</c:v>
                </c:pt>
                <c:pt idx="256">
                  <c:v>35.289646711213152</c:v>
                </c:pt>
                <c:pt idx="257">
                  <c:v>35.02433144029078</c:v>
                </c:pt>
                <c:pt idx="258">
                  <c:v>34.759552499330937</c:v>
                </c:pt>
                <c:pt idx="259">
                  <c:v>34.495310604022904</c:v>
                </c:pt>
                <c:pt idx="260">
                  <c:v>34.231606421196489</c:v>
                </c:pt>
                <c:pt idx="261">
                  <c:v>33.962465788782055</c:v>
                </c:pt>
                <c:pt idx="262">
                  <c:v>33.693888846859352</c:v>
                </c:pt>
                <c:pt idx="263">
                  <c:v>33.425876156821914</c:v>
                </c:pt>
                <c:pt idx="264">
                  <c:v>33.158428231009253</c:v>
                </c:pt>
                <c:pt idx="265">
                  <c:v>32.885621230315337</c:v>
                </c:pt>
                <c:pt idx="266">
                  <c:v>32.61340530365905</c:v>
                </c:pt>
                <c:pt idx="267">
                  <c:v>32.341780846136771</c:v>
                </c:pt>
                <c:pt idx="268">
                  <c:v>32.070748203773491</c:v>
                </c:pt>
                <c:pt idx="269">
                  <c:v>31.793782620712022</c:v>
                </c:pt>
                <c:pt idx="270">
                  <c:v>31.517438369723578</c:v>
                </c:pt>
                <c:pt idx="271">
                  <c:v>31.241715669435536</c:v>
                </c:pt>
                <c:pt idx="272">
                  <c:v>30.966614689113925</c:v>
                </c:pt>
                <c:pt idx="273">
                  <c:v>30.685669491836137</c:v>
                </c:pt>
                <c:pt idx="274">
                  <c:v>30.405375891966855</c:v>
                </c:pt>
                <c:pt idx="275">
                  <c:v>30.125733917524968</c:v>
                </c:pt>
                <c:pt idx="276">
                  <c:v>29.846743547105888</c:v>
                </c:pt>
                <c:pt idx="277">
                  <c:v>29.562639602389794</c:v>
                </c:pt>
                <c:pt idx="278">
                  <c:v>29.279214369400336</c:v>
                </c:pt>
                <c:pt idx="279">
                  <c:v>28.996467673362673</c:v>
                </c:pt>
                <c:pt idx="280">
                  <c:v>28.714399290694843</c:v>
                </c:pt>
                <c:pt idx="281">
                  <c:v>28.425396067752558</c:v>
                </c:pt>
                <c:pt idx="282">
                  <c:v>28.137107772969017</c:v>
                </c:pt>
                <c:pt idx="283">
                  <c:v>27.849534010913885</c:v>
                </c:pt>
                <c:pt idx="284">
                  <c:v>27.562674336905218</c:v>
                </c:pt>
                <c:pt idx="285">
                  <c:v>27.270875419447947</c:v>
                </c:pt>
                <c:pt idx="286">
                  <c:v>26.979818033801166</c:v>
                </c:pt>
                <c:pt idx="287">
                  <c:v>26.68950155788383</c:v>
                </c:pt>
                <c:pt idx="288">
                  <c:v>26.39992532148986</c:v>
                </c:pt>
                <c:pt idx="289">
                  <c:v>26.103628495868719</c:v>
                </c:pt>
                <c:pt idx="290">
                  <c:v>25.808109114102791</c:v>
                </c:pt>
                <c:pt idx="291">
                  <c:v>25.513366302780327</c:v>
                </c:pt>
                <c:pt idx="292">
                  <c:v>25.219399140528822</c:v>
                </c:pt>
                <c:pt idx="293">
                  <c:v>24.919440352804259</c:v>
                </c:pt>
                <c:pt idx="294">
                  <c:v>24.620291378280058</c:v>
                </c:pt>
                <c:pt idx="295">
                  <c:v>24.321951082629425</c:v>
                </c:pt>
                <c:pt idx="296">
                  <c:v>24.024418284467941</c:v>
                </c:pt>
                <c:pt idx="297">
                  <c:v>23.720998816345201</c:v>
                </c:pt>
                <c:pt idx="298">
                  <c:v>23.418421092412274</c:v>
                </c:pt>
                <c:pt idx="299">
                  <c:v>23.116683705230315</c:v>
                </c:pt>
                <c:pt idx="300">
                  <c:v>22.815785201528428</c:v>
                </c:pt>
                <c:pt idx="301">
                  <c:v>22.509105668398064</c:v>
                </c:pt>
                <c:pt idx="302">
                  <c:v>22.203299276515423</c:v>
                </c:pt>
                <c:pt idx="303">
                  <c:v>21.898364334391886</c:v>
                </c:pt>
                <c:pt idx="304">
                  <c:v>21.594299106257807</c:v>
                </c:pt>
                <c:pt idx="305">
                  <c:v>21.283369421904183</c:v>
                </c:pt>
                <c:pt idx="306">
                  <c:v>20.973350609572634</c:v>
                </c:pt>
                <c:pt idx="307">
                  <c:v>20.664240660892034</c:v>
                </c:pt>
                <c:pt idx="308">
                  <c:v>20.356037524439131</c:v>
                </c:pt>
                <c:pt idx="309">
                  <c:v>20.042273187975667</c:v>
                </c:pt>
                <c:pt idx="310">
                  <c:v>19.729449830738361</c:v>
                </c:pt>
                <c:pt idx="311">
                  <c:v>19.417565139000288</c:v>
                </c:pt>
                <c:pt idx="312">
                  <c:v>19.106616758244542</c:v>
                </c:pt>
                <c:pt idx="313">
                  <c:v>18.789052612807069</c:v>
                </c:pt>
                <c:pt idx="314">
                  <c:v>18.472465882178824</c:v>
                </c:pt>
                <c:pt idx="315">
                  <c:v>18.156853911454021</c:v>
                </c:pt>
                <c:pt idx="316">
                  <c:v>17.842214006956965</c:v>
                </c:pt>
                <c:pt idx="317">
                  <c:v>17.521086882598041</c:v>
                </c:pt>
                <c:pt idx="318">
                  <c:v>17.200972831984416</c:v>
                </c:pt>
                <c:pt idx="319">
                  <c:v>16.88186884758062</c:v>
                </c:pt>
                <c:pt idx="320">
                  <c:v>16.563771885522385</c:v>
                </c:pt>
                <c:pt idx="321">
                  <c:v>16.239316531199222</c:v>
                </c:pt>
                <c:pt idx="322">
                  <c:v>15.915909023692194</c:v>
                </c:pt>
                <c:pt idx="323">
                  <c:v>15.593545993275029</c:v>
                </c:pt>
                <c:pt idx="324">
                  <c:v>15.272224036744404</c:v>
                </c:pt>
                <c:pt idx="325">
                  <c:v>14.944672562118342</c:v>
                </c:pt>
                <c:pt idx="326">
                  <c:v>14.618202719706204</c:v>
                </c:pt>
                <c:pt idx="327">
                  <c:v>14.292810769985948</c:v>
                </c:pt>
                <c:pt idx="328">
                  <c:v>13.968492943209668</c:v>
                </c:pt>
                <c:pt idx="329">
                  <c:v>13.637522685483901</c:v>
                </c:pt>
                <c:pt idx="330">
                  <c:v>13.307670486998603</c:v>
                </c:pt>
                <c:pt idx="331">
                  <c:v>12.978932212086761</c:v>
                </c:pt>
                <c:pt idx="332">
                  <c:v>12.65130369830888</c:v>
                </c:pt>
                <c:pt idx="333">
                  <c:v>12.317706509462994</c:v>
                </c:pt>
                <c:pt idx="334">
                  <c:v>11.985258910955707</c:v>
                </c:pt>
                <c:pt idx="335">
                  <c:v>11.653956386564772</c:v>
                </c:pt>
                <c:pt idx="336">
                  <c:v>11.323794397315339</c:v>
                </c:pt>
                <c:pt idx="337">
                  <c:v>10.986718243594396</c:v>
                </c:pt>
                <c:pt idx="338">
                  <c:v>10.650829506841319</c:v>
                </c:pt>
                <c:pt idx="339">
                  <c:v>10.316123241536786</c:v>
                </c:pt>
                <c:pt idx="340">
                  <c:v>9.9825944835253893</c:v>
                </c:pt>
                <c:pt idx="341">
                  <c:v>9.6423014652016832</c:v>
                </c:pt>
                <c:pt idx="342">
                  <c:v>9.3032323811997628</c:v>
                </c:pt>
                <c:pt idx="343">
                  <c:v>8.9653818514736656</c:v>
                </c:pt>
                <c:pt idx="344">
                  <c:v>8.6287444818904362</c:v>
                </c:pt>
                <c:pt idx="345">
                  <c:v>8.2860136163539835</c:v>
                </c:pt>
                <c:pt idx="346">
                  <c:v>7.9445379729170327</c:v>
                </c:pt>
                <c:pt idx="347">
                  <c:v>7.6043117607727027</c:v>
                </c:pt>
                <c:pt idx="348">
                  <c:v>7.2653291800258728</c:v>
                </c:pt>
                <c:pt idx="349">
                  <c:v>6.9193621607479088</c:v>
                </c:pt>
                <c:pt idx="350">
                  <c:v>6.5746878336556449</c:v>
                </c:pt>
                <c:pt idx="351">
                  <c:v>6.2312999437542089</c:v>
                </c:pt>
                <c:pt idx="352">
                  <c:v>5.889192232206824</c:v>
                </c:pt>
                <c:pt idx="353">
                  <c:v>5.5402588226947387</c:v>
                </c:pt>
                <c:pt idx="354">
                  <c:v>5.1926539948457275</c:v>
                </c:pt>
                <c:pt idx="355">
                  <c:v>4.8463710286834498</c:v>
                </c:pt>
                <c:pt idx="356">
                  <c:v>4.5014032060207683</c:v>
                </c:pt>
                <c:pt idx="357">
                  <c:v>4.1502657618267733</c:v>
                </c:pt>
                <c:pt idx="358">
                  <c:v>3.8004872626640633</c:v>
                </c:pt>
                <c:pt idx="359">
                  <c:v>3.4520605558815305</c:v>
                </c:pt>
                <c:pt idx="360">
                  <c:v>3.1049784965412357</c:v>
                </c:pt>
                <c:pt idx="361">
                  <c:v>2.750889630936399</c:v>
                </c:pt>
                <c:pt idx="362">
                  <c:v>2.3981960916657385</c:v>
                </c:pt>
                <c:pt idx="363">
                  <c:v>2.0468902364284247</c:v>
                </c:pt>
                <c:pt idx="364">
                  <c:v>1.6969644369331434</c:v>
                </c:pt>
                <c:pt idx="365">
                  <c:v>1.3406809800496546</c:v>
                </c:pt>
                <c:pt idx="366">
                  <c:v>0.98582352703073184</c:v>
                </c:pt>
                <c:pt idx="367">
                  <c:v>0.63238398302434007</c:v>
                </c:pt>
                <c:pt idx="368">
                  <c:v>0.28035427367467491</c:v>
                </c:pt>
                <c:pt idx="369">
                  <c:v>-7.8831300589740749E-2</c:v>
                </c:pt>
                <c:pt idx="370">
                  <c:v>-0.43655432218676538</c:v>
                </c:pt>
                <c:pt idx="371">
                  <c:v>-0.79282339807065227</c:v>
                </c:pt>
                <c:pt idx="372">
                  <c:v>-1.1476471077439498</c:v>
                </c:pt>
                <c:pt idx="373">
                  <c:v>-1.5089851147575075</c:v>
                </c:pt>
                <c:pt idx="374">
                  <c:v>-1.8688298964158889</c:v>
                </c:pt>
                <c:pt idx="375">
                  <c:v>-2.2271905297630212</c:v>
                </c:pt>
                <c:pt idx="376">
                  <c:v>-2.58407605735934</c:v>
                </c:pt>
                <c:pt idx="377">
                  <c:v>-2.9482357677127879</c:v>
                </c:pt>
                <c:pt idx="378">
                  <c:v>-3.3108658796874124</c:v>
                </c:pt>
                <c:pt idx="379">
                  <c:v>-3.6719760020286856</c:v>
                </c:pt>
                <c:pt idx="380">
                  <c:v>-4.0315757014179496</c:v>
                </c:pt>
                <c:pt idx="381">
                  <c:v>-4.3973639990034314</c:v>
                </c:pt>
                <c:pt idx="382">
                  <c:v>-4.761596211230767</c:v>
                </c:pt>
                <c:pt idx="383">
                  <c:v>-5.1242823942686471</c:v>
                </c:pt>
                <c:pt idx="384">
                  <c:v>-5.4854325549390239</c:v>
                </c:pt>
                <c:pt idx="385">
                  <c:v>-5.85394997293335</c:v>
                </c:pt>
                <c:pt idx="386">
                  <c:v>-6.2208754064496361</c:v>
                </c:pt>
                <c:pt idx="387">
                  <c:v>-6.5862194588419527</c:v>
                </c:pt>
                <c:pt idx="388">
                  <c:v>-6.9499926760081507</c:v>
                </c:pt>
                <c:pt idx="389">
                  <c:v>-7.3205089908653918</c:v>
                </c:pt>
                <c:pt idx="390">
                  <c:v>-7.6894036015971494</c:v>
                </c:pt>
                <c:pt idx="391">
                  <c:v>-8.0566876072294065</c:v>
                </c:pt>
                <c:pt idx="392">
                  <c:v>-8.4223720414038894</c:v>
                </c:pt>
                <c:pt idx="393">
                  <c:v>-8.7946268099471183</c:v>
                </c:pt>
                <c:pt idx="394">
                  <c:v>-9.1652324693086484</c:v>
                </c:pt>
                <c:pt idx="395">
                  <c:v>-9.5342005983422382</c:v>
                </c:pt>
                <c:pt idx="396">
                  <c:v>-9.9015427025989311</c:v>
                </c:pt>
                <c:pt idx="397">
                  <c:v>-10.276129168311058</c:v>
                </c:pt>
                <c:pt idx="398">
                  <c:v>-10.649033897273057</c:v>
                </c:pt>
                <c:pt idx="399">
                  <c:v>-11.020269012312411</c:v>
                </c:pt>
                <c:pt idx="400">
                  <c:v>-11.389846554370422</c:v>
                </c:pt>
                <c:pt idx="401">
                  <c:v>-11.766065043230043</c:v>
                </c:pt>
                <c:pt idx="402">
                  <c:v>-12.140575483287506</c:v>
                </c:pt>
                <c:pt idx="403">
                  <c:v>-12.513390482809825</c:v>
                </c:pt>
                <c:pt idx="404">
                  <c:v>-12.884522560015171</c:v>
                </c:pt>
                <c:pt idx="405">
                  <c:v>-13.262528112202148</c:v>
                </c:pt>
                <c:pt idx="406">
                  <c:v>-13.638798047228505</c:v>
                </c:pt>
                <c:pt idx="407">
                  <c:v>-14.013345481467724</c:v>
                </c:pt>
                <c:pt idx="408">
                  <c:v>-14.386183432799697</c:v>
                </c:pt>
                <c:pt idx="409">
                  <c:v>-14.76611241841249</c:v>
                </c:pt>
                <c:pt idx="410">
                  <c:v>-15.144277112252212</c:v>
                </c:pt>
                <c:pt idx="411">
                  <c:v>-15.520691161621016</c:v>
                </c:pt>
                <c:pt idx="412">
                  <c:v>-15.895368106583248</c:v>
                </c:pt>
                <c:pt idx="413">
                  <c:v>-16.276946958218645</c:v>
                </c:pt>
                <c:pt idx="414">
                  <c:v>-16.656735568314787</c:v>
                </c:pt>
                <c:pt idx="415">
                  <c:v>-17.034748094358065</c:v>
                </c:pt>
                <c:pt idx="416">
                  <c:v>-17.41099857801774</c:v>
                </c:pt>
                <c:pt idx="417">
                  <c:v>-17.794350672585352</c:v>
                </c:pt>
                <c:pt idx="418">
                  <c:v>-18.17588566994894</c:v>
                </c:pt>
                <c:pt idx="419">
                  <c:v>-18.555618259824882</c:v>
                </c:pt>
                <c:pt idx="420">
                  <c:v>-18.933563007258527</c:v>
                </c:pt>
                <c:pt idx="421">
                  <c:v>-19.318040127157957</c:v>
                </c:pt>
                <c:pt idx="422">
                  <c:v>-19.700679764130172</c:v>
                </c:pt>
                <c:pt idx="423">
                  <c:v>-20.081497072823595</c:v>
                </c:pt>
                <c:pt idx="424">
                  <c:v>-20.46050707511904</c:v>
                </c:pt>
                <c:pt idx="425">
                  <c:v>-20.846984120653616</c:v>
                </c:pt>
                <c:pt idx="426">
                  <c:v>-21.231595328388011</c:v>
                </c:pt>
                <c:pt idx="427">
                  <c:v>-21.614356428949804</c:v>
                </c:pt>
                <c:pt idx="428">
                  <c:v>-21.995283010803973</c:v>
                </c:pt>
                <c:pt idx="429">
                  <c:v>-22.38310942159751</c:v>
                </c:pt>
                <c:pt idx="430">
                  <c:v>-22.769048306248095</c:v>
                </c:pt>
                <c:pt idx="431">
                  <c:v>-23.153115901827505</c:v>
                </c:pt>
                <c:pt idx="432">
                  <c:v>-23.535328294683524</c:v>
                </c:pt>
                <c:pt idx="433">
                  <c:v>-23.924252142298485</c:v>
                </c:pt>
                <c:pt idx="434">
                  <c:v>-24.311269771704275</c:v>
                </c:pt>
                <c:pt idx="435">
                  <c:v>-24.696397901180973</c:v>
                </c:pt>
                <c:pt idx="436">
                  <c:v>-25.079653090078125</c:v>
                </c:pt>
                <c:pt idx="437">
                  <c:v>-25.470135119469091</c:v>
                </c:pt>
                <c:pt idx="438">
                  <c:v>-25.858688336778329</c:v>
                </c:pt>
                <c:pt idx="439">
                  <c:v>-26.245330008009091</c:v>
                </c:pt>
                <c:pt idx="440">
                  <c:v>-26.630077231224647</c:v>
                </c:pt>
                <c:pt idx="441">
                  <c:v>-27.021852576218379</c:v>
                </c:pt>
                <c:pt idx="442">
                  <c:v>-27.411679787982678</c:v>
                </c:pt>
                <c:pt idx="443">
                  <c:v>-27.799576653846998</c:v>
                </c:pt>
                <c:pt idx="444">
                  <c:v>-28.185560784578541</c:v>
                </c:pt>
                <c:pt idx="445">
                  <c:v>-28.578379909406237</c:v>
                </c:pt>
                <c:pt idx="446">
                  <c:v>-28.969234842478755</c:v>
                </c:pt>
                <c:pt idx="447">
                  <c:v>-29.358143865455531</c:v>
                </c:pt>
                <c:pt idx="448">
                  <c:v>-29.745125075234938</c:v>
                </c:pt>
                <c:pt idx="449">
                  <c:v>-30.139412143158467</c:v>
                </c:pt>
                <c:pt idx="450">
                  <c:v>-30.531715601696959</c:v>
                </c:pt>
                <c:pt idx="451">
                  <c:v>-30.922054293476606</c:v>
                </c:pt>
                <c:pt idx="452">
                  <c:v>-31.310446867338698</c:v>
                </c:pt>
                <c:pt idx="453">
                  <c:v>-31.705621497593881</c:v>
                </c:pt>
                <c:pt idx="454">
                  <c:v>-32.098799907284587</c:v>
                </c:pt>
                <c:pt idx="455">
                  <c:v>-32.49000142461793</c:v>
                </c:pt>
                <c:pt idx="456">
                  <c:v>-32.87924517610702</c:v>
                </c:pt>
                <c:pt idx="457">
                  <c:v>-33.275718051612472</c:v>
                </c:pt>
                <c:pt idx="458">
                  <c:v>-33.670179066091777</c:v>
                </c:pt>
                <c:pt idx="459">
                  <c:v>-34.062648100000558</c:v>
                </c:pt>
                <c:pt idx="460">
                  <c:v>-34.453144823366614</c:v>
                </c:pt>
                <c:pt idx="461">
                  <c:v>-34.850672705603017</c:v>
                </c:pt>
                <c:pt idx="462">
                  <c:v>-35.246176775050372</c:v>
                </c:pt>
                <c:pt idx="463">
                  <c:v>-35.639677435474027</c:v>
                </c:pt>
                <c:pt idx="464">
                  <c:v>-36.031194871990579</c:v>
                </c:pt>
                <c:pt idx="465">
                  <c:v>-36.429855844280951</c:v>
                </c:pt>
                <c:pt idx="466">
                  <c:v>-36.826481631150671</c:v>
                </c:pt>
                <c:pt idx="467">
                  <c:v>-37.221093178343722</c:v>
                </c:pt>
                <c:pt idx="468">
                  <c:v>-37.613711204593528</c:v>
                </c:pt>
                <c:pt idx="469">
                  <c:v>-38.013279324761157</c:v>
                </c:pt>
                <c:pt idx="470">
                  <c:v>-38.410804712134876</c:v>
                </c:pt>
                <c:pt idx="471">
                  <c:v>-38.806308825014952</c:v>
                </c:pt>
                <c:pt idx="472">
                  <c:v>-39.199812886897632</c:v>
                </c:pt>
                <c:pt idx="473">
                  <c:v>-39.600663717494172</c:v>
                </c:pt>
                <c:pt idx="474">
                  <c:v>-39.999462121756864</c:v>
                </c:pt>
                <c:pt idx="475">
                  <c:v>-40.396230137066283</c:v>
                </c:pt>
                <c:pt idx="476">
                  <c:v>-40.790989557398149</c:v>
                </c:pt>
                <c:pt idx="477">
                  <c:v>-41.192899267811526</c:v>
                </c:pt>
                <c:pt idx="478">
                  <c:v>-41.592751007164281</c:v>
                </c:pt>
                <c:pt idx="479">
                  <c:v>-41.990567361853294</c:v>
                </c:pt>
                <c:pt idx="480">
                  <c:v>-42.38637066688932</c:v>
                </c:pt>
                <c:pt idx="481">
                  <c:v>-42.789135755554042</c:v>
                </c:pt>
                <c:pt idx="482">
                  <c:v>-43.18984145911989</c:v>
                </c:pt>
                <c:pt idx="483">
                  <c:v>-43.588510883319515</c:v>
                </c:pt>
                <c:pt idx="484">
                  <c:v>-43.985166875175935</c:v>
                </c:pt>
                <c:pt idx="485">
                  <c:v>-44.388878406690026</c:v>
                </c:pt>
                <c:pt idx="486">
                  <c:v>-44.790530459161971</c:v>
                </c:pt>
                <c:pt idx="487">
                  <c:v>-45.190146676654962</c:v>
                </c:pt>
                <c:pt idx="488">
                  <c:v>-45.587750437165852</c:v>
                </c:pt>
                <c:pt idx="489">
                  <c:v>-45.992766585071109</c:v>
                </c:pt>
                <c:pt idx="490">
                  <c:v>-46.395721994966152</c:v>
                </c:pt>
                <c:pt idx="491">
                  <c:v>-46.796640916432438</c:v>
                </c:pt>
                <c:pt idx="492">
                  <c:v>-47.195547324903174</c:v>
                </c:pt>
                <c:pt idx="493">
                  <c:v>-47.601678214542119</c:v>
                </c:pt>
                <c:pt idx="494">
                  <c:v>-48.005751766488345</c:v>
                </c:pt>
                <c:pt idx="495">
                  <c:v>-48.407792806473594</c:v>
                </c:pt>
                <c:pt idx="496">
                  <c:v>-48.807825878772718</c:v>
                </c:pt>
                <c:pt idx="497">
                  <c:v>-49.215162797614568</c:v>
                </c:pt>
                <c:pt idx="498">
                  <c:v>-49.620447840371099</c:v>
                </c:pt>
                <c:pt idx="499">
                  <c:v>-50.023706428818372</c:v>
                </c:pt>
                <c:pt idx="500">
                  <c:v>-50.424963696050725</c:v>
                </c:pt>
                <c:pt idx="501">
                  <c:v>-50.833600859828664</c:v>
                </c:pt>
                <c:pt idx="502">
                  <c:v>-51.240193936305758</c:v>
                </c:pt>
                <c:pt idx="503">
                  <c:v>-51.64476896391875</c:v>
                </c:pt>
                <c:pt idx="504">
                  <c:v>-52.047351685337048</c:v>
                </c:pt>
                <c:pt idx="505">
                  <c:v>-52.45713993911113</c:v>
                </c:pt>
                <c:pt idx="506">
                  <c:v>-52.864896947337996</c:v>
                </c:pt>
                <c:pt idx="507">
                  <c:v>-53.270649338541148</c:v>
                </c:pt>
                <c:pt idx="508">
                  <c:v>-53.674423439318275</c:v>
                </c:pt>
                <c:pt idx="509">
                  <c:v>-54.085482162910836</c:v>
                </c:pt>
                <c:pt idx="510">
                  <c:v>-54.494525167051734</c:v>
                </c:pt>
                <c:pt idx="511">
                  <c:v>-54.901579694007751</c:v>
                </c:pt>
                <c:pt idx="512">
                  <c:v>-55.306672678210219</c:v>
                </c:pt>
                <c:pt idx="513">
                  <c:v>-55.719366656876815</c:v>
                </c:pt>
                <c:pt idx="514">
                  <c:v>-56.130061129203625</c:v>
                </c:pt>
                <c:pt idx="515">
                  <c:v>-56.538784024771076</c:v>
                </c:pt>
                <c:pt idx="516">
                  <c:v>-56.94556295902234</c:v>
                </c:pt>
                <c:pt idx="517">
                  <c:v>-57.359779983657319</c:v>
                </c:pt>
                <c:pt idx="518">
                  <c:v>-57.772019460189398</c:v>
                </c:pt>
                <c:pt idx="519">
                  <c:v>-58.182309984116017</c:v>
                </c:pt>
                <c:pt idx="520">
                  <c:v>-58.590679831644934</c:v>
                </c:pt>
                <c:pt idx="521">
                  <c:v>-59.006566277464003</c:v>
                </c:pt>
                <c:pt idx="522">
                  <c:v>-59.420500777646765</c:v>
                </c:pt>
                <c:pt idx="523">
                  <c:v>-59.83251262383709</c:v>
                </c:pt>
                <c:pt idx="524">
                  <c:v>-60.242630783746023</c:v>
                </c:pt>
                <c:pt idx="525">
                  <c:v>-60.660345725678297</c:v>
                </c:pt>
                <c:pt idx="526">
                  <c:v>-61.076138329724216</c:v>
                </c:pt>
                <c:pt idx="527">
                  <c:v>-61.490038617209279</c:v>
                </c:pt>
                <c:pt idx="528">
                  <c:v>-61.902076281503298</c:v>
                </c:pt>
                <c:pt idx="529">
                  <c:v>-62.321793608614513</c:v>
                </c:pt>
                <c:pt idx="530">
                  <c:v>-62.739622598147434</c:v>
                </c:pt>
                <c:pt idx="531">
                  <c:v>-63.155594038660183</c:v>
                </c:pt>
                <c:pt idx="532">
                  <c:v>-63.569738387472171</c:v>
                </c:pt>
                <c:pt idx="533">
                  <c:v>-63.991866392568937</c:v>
                </c:pt>
                <c:pt idx="534">
                  <c:v>-64.412142976697396</c:v>
                </c:pt>
                <c:pt idx="535">
                  <c:v>-64.830599786732336</c:v>
                </c:pt>
                <c:pt idx="536">
                  <c:v>-65.24726813521994</c:v>
                </c:pt>
                <c:pt idx="537">
                  <c:v>-65.671578905574563</c:v>
                </c:pt>
                <c:pt idx="538">
                  <c:v>-66.094084287508082</c:v>
                </c:pt>
                <c:pt idx="539">
                  <c:v>-66.514816736261878</c:v>
                </c:pt>
                <c:pt idx="540">
                  <c:v>-66.933808372073514</c:v>
                </c:pt>
                <c:pt idx="541">
                  <c:v>-67.360965700297356</c:v>
                </c:pt>
                <c:pt idx="542">
                  <c:v>-67.786365753274424</c:v>
                </c:pt>
                <c:pt idx="543">
                  <c:v>-68.210041948121329</c:v>
                </c:pt>
                <c:pt idx="544">
                  <c:v>-68.63202736612547</c:v>
                </c:pt>
                <c:pt idx="545">
                  <c:v>-69.062071886467123</c:v>
                </c:pt>
                <c:pt idx="546">
                  <c:v>-69.490415414221474</c:v>
                </c:pt>
                <c:pt idx="547">
                  <c:v>-69.917092341903782</c:v>
                </c:pt>
                <c:pt idx="548">
                  <c:v>-70.342136727459746</c:v>
                </c:pt>
                <c:pt idx="549">
                  <c:v>-70.775354307891803</c:v>
                </c:pt>
                <c:pt idx="550">
                  <c:v>-71.2069340689402</c:v>
                </c:pt>
                <c:pt idx="551">
                  <c:v>-71.636911451055909</c:v>
                </c:pt>
                <c:pt idx="552">
                  <c:v>-72.065321562991187</c:v>
                </c:pt>
                <c:pt idx="553">
                  <c:v>-72.502229916985442</c:v>
                </c:pt>
                <c:pt idx="554">
                  <c:v>-72.937569743618923</c:v>
                </c:pt>
                <c:pt idx="555">
                  <c:v>-73.371377665091131</c:v>
                </c:pt>
                <c:pt idx="556">
                  <c:v>-73.803689976026249</c:v>
                </c:pt>
                <c:pt idx="557">
                  <c:v>-74.684084970235944</c:v>
                </c:pt>
                <c:pt idx="558">
                  <c:v>-75.558668481512029</c:v>
                </c:pt>
                <c:pt idx="559">
                  <c:v>-76.447597922147736</c:v>
                </c:pt>
                <c:pt idx="560">
                  <c:v>-77.33107490524435</c:v>
                </c:pt>
                <c:pt idx="561">
                  <c:v>-78.230188950123704</c:v>
                </c:pt>
                <c:pt idx="562">
                  <c:v>-79.124241602881852</c:v>
                </c:pt>
                <c:pt idx="563">
                  <c:v>-80.032590225342574</c:v>
                </c:pt>
                <c:pt idx="564">
                  <c:v>-80.936334168013673</c:v>
                </c:pt>
                <c:pt idx="565">
                  <c:v>-81.858431748367877</c:v>
                </c:pt>
                <c:pt idx="566">
                  <c:v>-82.77639756739984</c:v>
                </c:pt>
                <c:pt idx="567">
                  <c:v>-83.713018808332038</c:v>
                </c:pt>
                <c:pt idx="568">
                  <c:v>-84.646046100003673</c:v>
                </c:pt>
                <c:pt idx="569">
                  <c:v>-85.594415342265449</c:v>
                </c:pt>
                <c:pt idx="570">
                  <c:v>-86.539819559732564</c:v>
                </c:pt>
                <c:pt idx="571">
                  <c:v>-87.50849296696299</c:v>
                </c:pt>
                <c:pt idx="572">
                  <c:v>-88.474857912988114</c:v>
                </c:pt>
                <c:pt idx="573">
                  <c:v>-89.457716099204504</c:v>
                </c:pt>
                <c:pt idx="574">
                  <c:v>-90.439037056147129</c:v>
                </c:pt>
                <c:pt idx="575">
                  <c:v>-91.444938552173994</c:v>
                </c:pt>
                <c:pt idx="576">
                  <c:v>-92.450137017547775</c:v>
                </c:pt>
                <c:pt idx="577">
                  <c:v>-96.708518300145442</c:v>
                </c:pt>
                <c:pt idx="578">
                  <c:v>-100.99731955276792</c:v>
                </c:pt>
                <c:pt idx="579">
                  <c:v>-110.67234581645261</c:v>
                </c:pt>
                <c:pt idx="580">
                  <c:v>-122.09200594400448</c:v>
                </c:pt>
                <c:pt idx="581">
                  <c:v>-136.11343984907688</c:v>
                </c:pt>
                <c:pt idx="582">
                  <c:v>-153.7721813064818</c:v>
                </c:pt>
                <c:pt idx="583">
                  <c:v>-175.45653882991348</c:v>
                </c:pt>
                <c:pt idx="584">
                  <c:v>-19.491383602441971</c:v>
                </c:pt>
                <c:pt idx="585">
                  <c:v>-42.500038177782614</c:v>
                </c:pt>
                <c:pt idx="586">
                  <c:v>-62.632497183504711</c:v>
                </c:pt>
                <c:pt idx="587">
                  <c:v>-80.60939593530918</c:v>
                </c:pt>
                <c:pt idx="588">
                  <c:v>-98.591136605250995</c:v>
                </c:pt>
                <c:pt idx="589">
                  <c:v>-120.15411352497614</c:v>
                </c:pt>
                <c:pt idx="590">
                  <c:v>-151.47064896610624</c:v>
                </c:pt>
                <c:pt idx="591">
                  <c:v>-15.778537932486159</c:v>
                </c:pt>
                <c:pt idx="592">
                  <c:v>-56.736829890133066</c:v>
                </c:pt>
                <c:pt idx="593">
                  <c:v>-87.779609484975367</c:v>
                </c:pt>
                <c:pt idx="594">
                  <c:v>-120.68658348391955</c:v>
                </c:pt>
                <c:pt idx="595">
                  <c:v>-175.26627110488147</c:v>
                </c:pt>
                <c:pt idx="596">
                  <c:v>-57.755976076856427</c:v>
                </c:pt>
                <c:pt idx="597">
                  <c:v>-101.12156057536714</c:v>
                </c:pt>
                <c:pt idx="598">
                  <c:v>-162.34999568788731</c:v>
                </c:pt>
                <c:pt idx="599">
                  <c:v>-63.921922144334587</c:v>
                </c:pt>
                <c:pt idx="600">
                  <c:v>-121.18839582735586</c:v>
                </c:pt>
              </c:numCache>
            </c:numRef>
          </c:yVal>
          <c:smooth val="0"/>
          <c:extLst>
            <c:ext xmlns:c16="http://schemas.microsoft.com/office/drawing/2014/chart" uri="{C3380CC4-5D6E-409C-BE32-E72D297353CC}">
              <c16:uniqueId val="{00000001-09BC-4E96-93F9-6DC345568360}"/>
            </c:ext>
          </c:extLst>
        </c:ser>
        <c:ser>
          <c:idx val="2"/>
          <c:order val="2"/>
          <c:tx>
            <c:v>PM (Deg) =</c:v>
          </c:tx>
          <c:marker>
            <c:symbol val="circle"/>
            <c:size val="5"/>
            <c:spPr>
              <a:solidFill>
                <a:schemeClr val="bg1"/>
              </a:solidFill>
              <a:ln>
                <a:solidFill>
                  <a:srgbClr val="FF0000"/>
                </a:solidFill>
              </a:ln>
            </c:spPr>
          </c:marker>
          <c:dLbls>
            <c:dLbl>
              <c:idx val="0"/>
              <c:layout>
                <c:manualLayout>
                  <c:x val="3.2895277882859918E-2"/>
                  <c:y val="-5.3973971795837287E-2"/>
                </c:manualLayout>
              </c:layout>
              <c:spPr>
                <a:noFill/>
                <a:ln>
                  <a:noFill/>
                </a:ln>
                <a:effectLst/>
              </c:spPr>
              <c:txPr>
                <a:bodyPr wrap="square" lIns="38100" tIns="19050" rIns="38100" bIns="19050" anchor="ctr" anchorCtr="0">
                  <a:noAutofit/>
                </a:bodyPr>
                <a:lstStyle/>
                <a:p>
                  <a:pPr algn="l">
                    <a:defRPr sz="1000" b="1">
                      <a:solidFill>
                        <a:srgbClr val="33CC33"/>
                      </a:solidFill>
                    </a:defRPr>
                  </a:pPr>
                  <a:endParaRPr lang="en-US"/>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23551374200233557"/>
                      <c:h val="7.5563560514172207E-2"/>
                    </c:manualLayout>
                  </c15:layout>
                </c:ext>
                <c:ext xmlns:c16="http://schemas.microsoft.com/office/drawing/2014/chart" uri="{C3380CC4-5D6E-409C-BE32-E72D297353CC}">
                  <c16:uniqueId val="{00000006-09BC-4E96-93F9-6DC345568360}"/>
                </c:ext>
              </c:extLst>
            </c:dLbl>
            <c:spPr>
              <a:noFill/>
              <a:ln>
                <a:noFill/>
              </a:ln>
              <a:effectLst/>
            </c:spPr>
            <c:txPr>
              <a:bodyPr wrap="square" lIns="38100" tIns="19050" rIns="38100" bIns="19050" anchor="ctr" anchorCtr="0">
                <a:spAutoFit/>
              </a:bodyPr>
              <a:lstStyle/>
              <a:p>
                <a:pPr algn="l">
                  <a:defRPr sz="1000" b="0">
                    <a:solidFill>
                      <a:srgbClr val="33CC33"/>
                    </a:solidFill>
                  </a:defRPr>
                </a:pPr>
                <a:endParaRPr lang="en-US"/>
              </a:p>
            </c:txPr>
            <c:dLblPos val="r"/>
            <c:showLegendKey val="0"/>
            <c:showVal val="1"/>
            <c:showCatName val="1"/>
            <c:showSerName val="0"/>
            <c:showPercent val="0"/>
            <c:showBubbleSize val="0"/>
            <c:separator>  (space) "deg"</c:separator>
            <c:showLeaderLines val="0"/>
            <c:extLst>
              <c:ext xmlns:c15="http://schemas.microsoft.com/office/drawing/2012/chart" uri="{CE6537A1-D6FC-4f65-9D91-7224C49458BB}">
                <c15:showLeaderLines val="1"/>
              </c:ext>
            </c:extLst>
          </c:dLbls>
          <c:xVal>
            <c:numRef>
              <c:f>'Stability Calculations'!$AL$7</c:f>
              <c:numCache>
                <c:formatCode>0</c:formatCode>
                <c:ptCount val="1"/>
                <c:pt idx="0">
                  <c:v>4365.2</c:v>
                </c:pt>
              </c:numCache>
            </c:numRef>
          </c:xVal>
          <c:yVal>
            <c:numRef>
              <c:f>'Stability Calculations'!$AL$9</c:f>
              <c:numCache>
                <c:formatCode>0.0</c:formatCode>
                <c:ptCount val="1"/>
                <c:pt idx="0">
                  <c:v>71.804728685724029</c:v>
                </c:pt>
              </c:numCache>
            </c:numRef>
          </c:yVal>
          <c:smooth val="0"/>
          <c:extLst>
            <c:ext xmlns:c16="http://schemas.microsoft.com/office/drawing/2014/chart" uri="{C3380CC4-5D6E-409C-BE32-E72D297353CC}">
              <c16:uniqueId val="{00000004-09BC-4E96-93F9-6DC345568360}"/>
            </c:ext>
          </c:extLst>
        </c:ser>
        <c:ser>
          <c:idx val="3"/>
          <c:order val="3"/>
          <c:tx>
            <c:v>Fco (Hz)=</c:v>
          </c:tx>
          <c:marker>
            <c:symbol val="none"/>
          </c:marker>
          <c:dPt>
            <c:idx val="0"/>
            <c:marker>
              <c:symbol val="circle"/>
              <c:size val="5"/>
              <c:spPr>
                <a:solidFill>
                  <a:schemeClr val="bg1"/>
                </a:solidFill>
                <a:ln>
                  <a:solidFill>
                    <a:schemeClr val="tx1"/>
                  </a:solidFill>
                </a:ln>
              </c:spPr>
            </c:marker>
            <c:bubble3D val="0"/>
            <c:extLst>
              <c:ext xmlns:c16="http://schemas.microsoft.com/office/drawing/2014/chart" uri="{C3380CC4-5D6E-409C-BE32-E72D297353CC}">
                <c16:uniqueId val="{00000008-09BC-4E96-93F9-6DC345568360}"/>
              </c:ext>
            </c:extLst>
          </c:dPt>
          <c:dLbls>
            <c:dLbl>
              <c:idx val="0"/>
              <c:layout>
                <c:manualLayout>
                  <c:x val="3.6176644338231929E-2"/>
                  <c:y val="-5.1275211005060661E-2"/>
                </c:manualLayout>
              </c:layout>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24163848119031853"/>
                      <c:h val="7.3223374089614143E-2"/>
                    </c:manualLayout>
                  </c15:layout>
                </c:ext>
                <c:ext xmlns:c16="http://schemas.microsoft.com/office/drawing/2014/chart" uri="{C3380CC4-5D6E-409C-BE32-E72D297353CC}">
                  <c16:uniqueId val="{00000008-09BC-4E96-93F9-6DC345568360}"/>
                </c:ext>
              </c:extLst>
            </c:dLbl>
            <c:spPr>
              <a:noFill/>
              <a:ln>
                <a:noFill/>
              </a:ln>
              <a:effectLst/>
            </c:spPr>
            <c:txPr>
              <a:bodyPr wrap="square" lIns="38100" tIns="19050" rIns="38100" bIns="19050" anchor="ctr" anchorCtr="0">
                <a:spAutoFit/>
              </a:bodyPr>
              <a:lstStyle/>
              <a:p>
                <a:pPr algn="l">
                  <a:defRPr sz="1000" b="1">
                    <a:solidFill>
                      <a:srgbClr val="33CC33"/>
                    </a:solidFill>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xVal>
            <c:numRef>
              <c:f>'Stability Calculations'!$AL$7</c:f>
              <c:numCache>
                <c:formatCode>0</c:formatCode>
                <c:ptCount val="1"/>
                <c:pt idx="0">
                  <c:v>4365.2</c:v>
                </c:pt>
              </c:numCache>
            </c:numRef>
          </c:xVal>
          <c:yVal>
            <c:numRef>
              <c:f>'Stability Calculations'!$AL$8</c:f>
              <c:numCache>
                <c:formatCode>General</c:formatCode>
                <c:ptCount val="1"/>
                <c:pt idx="0">
                  <c:v>0</c:v>
                </c:pt>
              </c:numCache>
            </c:numRef>
          </c:yVal>
          <c:smooth val="0"/>
          <c:extLst>
            <c:ext xmlns:c16="http://schemas.microsoft.com/office/drawing/2014/chart" uri="{C3380CC4-5D6E-409C-BE32-E72D297353CC}">
              <c16:uniqueId val="{00000007-09BC-4E96-93F9-6DC345568360}"/>
            </c:ext>
          </c:extLst>
        </c:ser>
        <c:dLbls>
          <c:dLblPos val="r"/>
          <c:showLegendKey val="0"/>
          <c:showVal val="1"/>
          <c:showCatName val="1"/>
          <c:showSerName val="0"/>
          <c:showPercent val="0"/>
          <c:showBubbleSize val="0"/>
        </c:dLbls>
        <c:axId val="446584704"/>
        <c:axId val="446586240"/>
      </c:scatterChart>
      <c:valAx>
        <c:axId val="446572416"/>
        <c:scaling>
          <c:logBase val="10"/>
          <c:orientation val="minMax"/>
          <c:max val="1000000"/>
          <c:min val="100"/>
        </c:scaling>
        <c:delete val="0"/>
        <c:axPos val="b"/>
        <c:majorGridlines>
          <c:spPr>
            <a:ln w="3175">
              <a:solidFill>
                <a:srgbClr val="000000"/>
              </a:solidFill>
              <a:prstDash val="solid"/>
            </a:ln>
          </c:spPr>
        </c:majorGridlines>
        <c:title>
          <c:tx>
            <c:rich>
              <a:bodyPr/>
              <a:lstStyle/>
              <a:p>
                <a:pPr>
                  <a:defRPr sz="1000" b="1"/>
                </a:pPr>
                <a:r>
                  <a:rPr lang="en-US" sz="1000" b="1"/>
                  <a:t>Frequency (Hz)</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sz="1000" b="1">
                    <a:solidFill>
                      <a:srgbClr val="FF0000"/>
                    </a:solidFill>
                  </a:defRPr>
                </a:pPr>
                <a:r>
                  <a:rPr lang="en-US" sz="1000" b="1">
                    <a:solidFill>
                      <a:srgbClr val="FF0000"/>
                    </a:solidFill>
                  </a:rPr>
                  <a:t>Gain (dB)</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000" b="1" i="0" u="none" strike="noStrike" baseline="0">
                    <a:solidFill>
                      <a:srgbClr val="0000FF"/>
                    </a:solidFill>
                    <a:latin typeface="Arial"/>
                    <a:ea typeface="Arial"/>
                    <a:cs typeface="Arial"/>
                  </a:defRPr>
                </a:pPr>
                <a:r>
                  <a:rPr lang="en-US" sz="1000"/>
                  <a:t>Phase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Single'!$AN$110:$AN$210</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346.46747517119354</c:v>
                </c:pt>
                <c:pt idx="35">
                  <c:v>337.20497458530429</c:v>
                </c:pt>
                <c:pt idx="36">
                  <c:v>328.37054089960293</c:v>
                </c:pt>
                <c:pt idx="37">
                  <c:v>320.00004808775134</c:v>
                </c:pt>
                <c:pt idx="38">
                  <c:v>312.05526468283392</c:v>
                </c:pt>
                <c:pt idx="39">
                  <c:v>304.4929246772827</c:v>
                </c:pt>
                <c:pt idx="40">
                  <c:v>297.28606206998995</c:v>
                </c:pt>
                <c:pt idx="41">
                  <c:v>290.41018779832172</c:v>
                </c:pt>
                <c:pt idx="42">
                  <c:v>283.84301172614255</c:v>
                </c:pt>
                <c:pt idx="43">
                  <c:v>277.56420125463723</c:v>
                </c:pt>
                <c:pt idx="44">
                  <c:v>271.55517104843642</c:v>
                </c:pt>
                <c:pt idx="45">
                  <c:v>265.79889929620032</c:v>
                </c:pt>
                <c:pt idx="46">
                  <c:v>260.27976667968454</c:v>
                </c:pt>
                <c:pt idx="47">
                  <c:v>254.98341484305598</c:v>
                </c:pt>
                <c:pt idx="48">
                  <c:v>249.89662166198761</c:v>
                </c:pt>
                <c:pt idx="49">
                  <c:v>245.00719103116529</c:v>
                </c:pt>
                <c:pt idx="50">
                  <c:v>240.30385523616329</c:v>
                </c:pt>
                <c:pt idx="51">
                  <c:v>235.77618826458934</c:v>
                </c:pt>
                <c:pt idx="52">
                  <c:v>231.41452865267959</c:v>
                </c:pt>
                <c:pt idx="53">
                  <c:v>227.20991066569363</c:v>
                </c:pt>
                <c:pt idx="54">
                  <c:v>223.15400278047301</c:v>
                </c:pt>
                <c:pt idx="55">
                  <c:v>219.23905258193187</c:v>
                </c:pt>
                <c:pt idx="56">
                  <c:v>215.45783730662248</c:v>
                </c:pt>
                <c:pt idx="57">
                  <c:v>211.80361936954233</c:v>
                </c:pt>
                <c:pt idx="58">
                  <c:v>208.27010629805895</c:v>
                </c:pt>
                <c:pt idx="59">
                  <c:v>204.85141457171704</c:v>
                </c:pt>
                <c:pt idx="60">
                  <c:v>201.54203693079668</c:v>
                </c:pt>
                <c:pt idx="61">
                  <c:v>198.33681277152988</c:v>
                </c:pt>
                <c:pt idx="62">
                  <c:v>195.23090129322989</c:v>
                </c:pt>
                <c:pt idx="63">
                  <c:v>192.21975710345265</c:v>
                </c:pt>
                <c:pt idx="64">
                  <c:v>189.29910802263061</c:v>
                </c:pt>
                <c:pt idx="65">
                  <c:v>186.46493486024735</c:v>
                </c:pt>
                <c:pt idx="66">
                  <c:v>183.71345296121973</c:v>
                </c:pt>
                <c:pt idx="67">
                  <c:v>181.04109534431453</c:v>
                </c:pt>
                <c:pt idx="68">
                  <c:v>178.44449727463251</c:v>
                </c:pt>
                <c:pt idx="69">
                  <c:v>175.92048212985256</c:v>
                </c:pt>
                <c:pt idx="70">
                  <c:v>173.46604843540362</c:v>
                </c:pt>
                <c:pt idx="71">
                  <c:v>171.07835795731046</c:v>
                </c:pt>
                <c:pt idx="72">
                  <c:v>168.75472475339549</c:v>
                </c:pt>
                <c:pt idx="73">
                  <c:v>166.49260509403976</c:v>
                </c:pt>
                <c:pt idx="74">
                  <c:v>164.28958817298454</c:v>
                </c:pt>
                <c:pt idx="75">
                  <c:v>162.14338753685695</c:v>
                </c:pt>
                <c:pt idx="76">
                  <c:v>160.05183316937115</c:v>
                </c:pt>
                <c:pt idx="77">
                  <c:v>158.01286417259163</c:v>
                </c:pt>
                <c:pt idx="78">
                  <c:v>156.0245219933733</c:v>
                </c:pt>
                <c:pt idx="79">
                  <c:v>154.08494414817895</c:v>
                </c:pt>
                <c:pt idx="80">
                  <c:v>152.1923584040124</c:v>
                </c:pt>
                <c:pt idx="81">
                  <c:v>150.3450773772517</c:v>
                </c:pt>
                <c:pt idx="82">
                  <c:v>148.54149351578246</c:v>
                </c:pt>
                <c:pt idx="83">
                  <c:v>146.78007443306808</c:v>
                </c:pt>
                <c:pt idx="84">
                  <c:v>145.05935856569062</c:v>
                </c:pt>
                <c:pt idx="85">
                  <c:v>143.37795112850054</c:v>
                </c:pt>
                <c:pt idx="86">
                  <c:v>141.73452034384667</c:v>
                </c:pt>
                <c:pt idx="87">
                  <c:v>140.12779392346167</c:v>
                </c:pt>
                <c:pt idx="88">
                  <c:v>138.55655578347117</c:v>
                </c:pt>
                <c:pt idx="89">
                  <c:v>137.01964297470099</c:v>
                </c:pt>
                <c:pt idx="90">
                  <c:v>135.51594281199746</c:v>
                </c:pt>
                <c:pt idx="91">
                  <c:v>134.0443901876699</c:v>
                </c:pt>
                <c:pt idx="92">
                  <c:v>132.60396505542255</c:v>
                </c:pt>
                <c:pt idx="93">
                  <c:v>131.19369007228619</c:v>
                </c:pt>
                <c:pt idx="94">
                  <c:v>129.81262838709318</c:v>
                </c:pt>
                <c:pt idx="95">
                  <c:v>128.45988156498098</c:v>
                </c:pt>
                <c:pt idx="96">
                  <c:v>127.1345876382608</c:v>
                </c:pt>
                <c:pt idx="97">
                  <c:v>125.83591927476601</c:v>
                </c:pt>
                <c:pt idx="98">
                  <c:v>124.56308205550195</c:v>
                </c:pt>
                <c:pt idx="99">
                  <c:v>123.31531285406146</c:v>
                </c:pt>
                <c:pt idx="100">
                  <c:v>122.09187831086084</c:v>
                </c:pt>
              </c:numCache>
            </c:numRef>
          </c:val>
          <c:smooth val="0"/>
          <c:extLst>
            <c:ext xmlns:c16="http://schemas.microsoft.com/office/drawing/2014/chart" uri="{C3380CC4-5D6E-409C-BE32-E72D297353CC}">
              <c16:uniqueId val="{00000000-3709-4335-91FB-31DC56900586}"/>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Single'!$AN$5:$AN$105</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348.28891711774043</c:v>
                </c:pt>
                <c:pt idx="61">
                  <c:v>342.96218299059115</c:v>
                </c:pt>
                <c:pt idx="62">
                  <c:v>337.79260904768194</c:v>
                </c:pt>
                <c:pt idx="63">
                  <c:v>332.76820975991694</c:v>
                </c:pt>
                <c:pt idx="64">
                  <c:v>327.89030228150142</c:v>
                </c:pt>
                <c:pt idx="65">
                  <c:v>323.15801258334147</c:v>
                </c:pt>
                <c:pt idx="66">
                  <c:v>318.55403839220327</c:v>
                </c:pt>
                <c:pt idx="67">
                  <c:v>314.08251131674348</c:v>
                </c:pt>
                <c:pt idx="68">
                  <c:v>309.73432154006559</c:v>
                </c:pt>
                <c:pt idx="69">
                  <c:v>305.5044354389513</c:v>
                </c:pt>
                <c:pt idx="70">
                  <c:v>301.3880896225586</c:v>
                </c:pt>
                <c:pt idx="71">
                  <c:v>297.38077303815373</c:v>
                </c:pt>
                <c:pt idx="72">
                  <c:v>293.47821048016527</c:v>
                </c:pt>
                <c:pt idx="73">
                  <c:v>289.67634737582347</c:v>
                </c:pt>
                <c:pt idx="74">
                  <c:v>285.97133573356177</c:v>
                </c:pt>
                <c:pt idx="75">
                  <c:v>282.35952115180766</c:v>
                </c:pt>
                <c:pt idx="76">
                  <c:v>278.83743079596576</c:v>
                </c:pt>
                <c:pt idx="77">
                  <c:v>275.40176226044258</c:v>
                </c:pt>
                <c:pt idx="78">
                  <c:v>272.04937324062712</c:v>
                </c:pt>
                <c:pt idx="79">
                  <c:v>268.7772719469325</c:v>
                </c:pt>
                <c:pt idx="80">
                  <c:v>265.58260819943172</c:v>
                </c:pt>
                <c:pt idx="81">
                  <c:v>262.46266514737374</c:v>
                </c:pt>
                <c:pt idx="82">
                  <c:v>259.41485156301297</c:v>
                </c:pt>
                <c:pt idx="83">
                  <c:v>256.43669466381391</c:v>
                </c:pt>
                <c:pt idx="84">
                  <c:v>253.52583342124203</c:v>
                </c:pt>
                <c:pt idx="85">
                  <c:v>250.6800123180858</c:v>
                </c:pt>
                <c:pt idx="86">
                  <c:v>247.89707551962215</c:v>
                </c:pt>
                <c:pt idx="87">
                  <c:v>245.17496142696547</c:v>
                </c:pt>
                <c:pt idx="88">
                  <c:v>242.51169758368374</c:v>
                </c:pt>
                <c:pt idx="89">
                  <c:v>239.90539590923296</c:v>
                </c:pt>
                <c:pt idx="90">
                  <c:v>237.35424823500568</c:v>
                </c:pt>
                <c:pt idx="91">
                  <c:v>234.85652212081362</c:v>
                </c:pt>
                <c:pt idx="92">
                  <c:v>232.41055693146342</c:v>
                </c:pt>
                <c:pt idx="93">
                  <c:v>230.01476015475316</c:v>
                </c:pt>
                <c:pt idx="94">
                  <c:v>227.66760394373628</c:v>
                </c:pt>
                <c:pt idx="95">
                  <c:v>225.3676218674745</c:v>
                </c:pt>
                <c:pt idx="96">
                  <c:v>223.11340585575991</c:v>
                </c:pt>
                <c:pt idx="97">
                  <c:v>220.90360332443095</c:v>
                </c:pt>
                <c:pt idx="98">
                  <c:v>218.73691446894856</c:v>
                </c:pt>
                <c:pt idx="99">
                  <c:v>216.61208971485496</c:v>
                </c:pt>
                <c:pt idx="100">
                  <c:v>214.52792731460568</c:v>
                </c:pt>
              </c:numCache>
            </c:numRef>
          </c:val>
          <c:smooth val="0"/>
          <c:extLst>
            <c:ext xmlns:c16="http://schemas.microsoft.com/office/drawing/2014/chart" uri="{C3380CC4-5D6E-409C-BE32-E72D297353CC}">
              <c16:uniqueId val="{00000001-3709-4335-91FB-31DC56900586}"/>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Single'!$AN$216:$AN$316</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348.67518023010695</c:v>
                </c:pt>
                <c:pt idx="83">
                  <c:v>344.76521497147121</c:v>
                </c:pt>
                <c:pt idx="84">
                  <c:v>340.93974913408539</c:v>
                </c:pt>
                <c:pt idx="85">
                  <c:v>337.19817906938408</c:v>
                </c:pt>
                <c:pt idx="86">
                  <c:v>333.5377735248203</c:v>
                </c:pt>
                <c:pt idx="87">
                  <c:v>329.9577270815509</c:v>
                </c:pt>
                <c:pt idx="88">
                  <c:v>326.45545910217623</c:v>
                </c:pt>
                <c:pt idx="89">
                  <c:v>323.02712285481641</c:v>
                </c:pt>
                <c:pt idx="90">
                  <c:v>319.67010372641846</c:v>
                </c:pt>
                <c:pt idx="91">
                  <c:v>316.38219925007644</c:v>
                </c:pt>
                <c:pt idx="92">
                  <c:v>313.16129672570213</c:v>
                </c:pt>
                <c:pt idx="93">
                  <c:v>310.0053686928278</c:v>
                </c:pt>
                <c:pt idx="94">
                  <c:v>306.91246867465452</c:v>
                </c:pt>
                <c:pt idx="95">
                  <c:v>303.8807271745772</c:v>
                </c:pt>
                <c:pt idx="96">
                  <c:v>300.90834790788062</c:v>
                </c:pt>
                <c:pt idx="97">
                  <c:v>297.99360425264581</c:v>
                </c:pt>
                <c:pt idx="98">
                  <c:v>295.13483590513465</c:v>
                </c:pt>
                <c:pt idx="99">
                  <c:v>292.33044572603751</c:v>
                </c:pt>
                <c:pt idx="100">
                  <c:v>289.57889676499565</c:v>
                </c:pt>
              </c:numCache>
            </c:numRef>
          </c:val>
          <c:smooth val="0"/>
          <c:extLst>
            <c:ext xmlns:c16="http://schemas.microsoft.com/office/drawing/2014/chart" uri="{C3380CC4-5D6E-409C-BE32-E72D297353CC}">
              <c16:uniqueId val="{00000002-3709-4335-91FB-31DC56900586}"/>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709-4335-91FB-31DC56900586}"/>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709-4335-91FB-31DC56900586}"/>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709-4335-91FB-31DC56900586}"/>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1.0053479900589052E-2</c:v>
                </c:pt>
                <c:pt idx="1">
                  <c:v>1.1845984204777999E-2</c:v>
                </c:pt>
                <c:pt idx="2">
                  <c:v>2.3691968409555998E-2</c:v>
                </c:pt>
                <c:pt idx="3">
                  <c:v>3.5537952614333991E-2</c:v>
                </c:pt>
                <c:pt idx="4">
                  <c:v>4.7383936819111995E-2</c:v>
                </c:pt>
                <c:pt idx="5">
                  <c:v>5.9229921023889978E-2</c:v>
                </c:pt>
                <c:pt idx="6">
                  <c:v>7.1075905228667982E-2</c:v>
                </c:pt>
                <c:pt idx="7">
                  <c:v>8.2921889433445986E-2</c:v>
                </c:pt>
                <c:pt idx="8">
                  <c:v>9.476787363822399E-2</c:v>
                </c:pt>
                <c:pt idx="9">
                  <c:v>0.10661385784300198</c:v>
                </c:pt>
                <c:pt idx="10">
                  <c:v>0.11845984204777996</c:v>
                </c:pt>
                <c:pt idx="11">
                  <c:v>0.13030582625255796</c:v>
                </c:pt>
                <c:pt idx="12">
                  <c:v>0.14215181045733596</c:v>
                </c:pt>
                <c:pt idx="13">
                  <c:v>0.15399779466211397</c:v>
                </c:pt>
                <c:pt idx="14">
                  <c:v>0.16584377886689197</c:v>
                </c:pt>
                <c:pt idx="15">
                  <c:v>0.17768976307166995</c:v>
                </c:pt>
                <c:pt idx="16">
                  <c:v>0.18953574727644798</c:v>
                </c:pt>
                <c:pt idx="17">
                  <c:v>0.20138173148122598</c:v>
                </c:pt>
                <c:pt idx="18">
                  <c:v>0.21322771568600396</c:v>
                </c:pt>
                <c:pt idx="19">
                  <c:v>0.22507369989078191</c:v>
                </c:pt>
                <c:pt idx="20">
                  <c:v>0.23691968409555991</c:v>
                </c:pt>
                <c:pt idx="21">
                  <c:v>0.24876566830033794</c:v>
                </c:pt>
                <c:pt idx="22">
                  <c:v>0.26061165250511592</c:v>
                </c:pt>
                <c:pt idx="23">
                  <c:v>0.27245763670989398</c:v>
                </c:pt>
                <c:pt idx="24">
                  <c:v>0.28430362091467193</c:v>
                </c:pt>
                <c:pt idx="25">
                  <c:v>0.29502689699889445</c:v>
                </c:pt>
                <c:pt idx="26">
                  <c:v>0.30088750984178608</c:v>
                </c:pt>
                <c:pt idx="27">
                  <c:v>0.30663713940548004</c:v>
                </c:pt>
                <c:pt idx="28">
                  <c:v>0.31228189759362757</c:v>
                </c:pt>
                <c:pt idx="29">
                  <c:v>0.31782735512107718</c:v>
                </c:pt>
                <c:pt idx="30">
                  <c:v>0.323278606317005</c:v>
                </c:pt>
                <c:pt idx="31">
                  <c:v>0.32864032428004758</c:v>
                </c:pt>
                <c:pt idx="32">
                  <c:v>0.33391680808504276</c:v>
                </c:pt>
                <c:pt idx="33">
                  <c:v>0.33911202339808294</c:v>
                </c:pt>
                <c:pt idx="34">
                  <c:v>0.34422963759111047</c:v>
                </c:pt>
                <c:pt idx="35">
                  <c:v>0.34927305024001148</c:v>
                </c:pt>
                <c:pt idx="36">
                  <c:v>0.35424541972702517</c:v>
                </c:pt>
                <c:pt idx="37">
                  <c:v>0.35914968653893486</c:v>
                </c:pt>
                <c:pt idx="38">
                  <c:v>0.36398859374922327</c:v>
                </c:pt>
                <c:pt idx="39">
                  <c:v>0.36876470508935283</c:v>
                </c:pt>
                <c:pt idx="40">
                  <c:v>0.37348042094719575</c:v>
                </c:pt>
                <c:pt idx="41">
                  <c:v>0.3781379925760126</c:v>
                </c:pt>
                <c:pt idx="42">
                  <c:v>0.38273953475269429</c:v>
                </c:pt>
                <c:pt idx="43">
                  <c:v>0.38728703708723844</c:v>
                </c:pt>
                <c:pt idx="44">
                  <c:v>0.39178237415505962</c:v>
                </c:pt>
                <c:pt idx="45">
                  <c:v>0.39622731459851135</c:v>
                </c:pt>
                <c:pt idx="46">
                  <c:v>0.40062352932296419</c:v>
                </c:pt>
                <c:pt idx="47">
                  <c:v>0.40497259889515536</c:v>
                </c:pt>
                <c:pt idx="48">
                  <c:v>0.40927602023670617</c:v>
                </c:pt>
                <c:pt idx="49">
                  <c:v>0.41353521269317833</c:v>
                </c:pt>
                <c:pt idx="50">
                  <c:v>0.41775152354843237</c:v>
                </c:pt>
                <c:pt idx="51">
                  <c:v>0.42192623304502025</c:v>
                </c:pt>
                <c:pt idx="52">
                  <c:v>0.42606055896364292</c:v>
                </c:pt>
                <c:pt idx="53">
                  <c:v>0.43015566080809958</c:v>
                </c:pt>
                <c:pt idx="54">
                  <c:v>0.43421264363648937</c:v>
                </c:pt>
                <c:pt idx="55">
                  <c:v>0.43823256157454032</c:v>
                </c:pt>
                <c:pt idx="56">
                  <c:v>0.44221642104271536</c:v>
                </c:pt>
                <c:pt idx="57">
                  <c:v>0.44616518372509328</c:v>
                </c:pt>
                <c:pt idx="58">
                  <c:v>0.45007976930483518</c:v>
                </c:pt>
                <c:pt idx="59">
                  <c:v>0.45396105798828218</c:v>
                </c:pt>
                <c:pt idx="60">
                  <c:v>0.45557174806313155</c:v>
                </c:pt>
                <c:pt idx="61">
                  <c:v>0.45234466212976232</c:v>
                </c:pt>
                <c:pt idx="62">
                  <c:v>0.44918971662473028</c:v>
                </c:pt>
                <c:pt idx="63">
                  <c:v>0.44611256304316038</c:v>
                </c:pt>
                <c:pt idx="64">
                  <c:v>0.44309823742193538</c:v>
                </c:pt>
                <c:pt idx="65">
                  <c:v>0.44299146713695348</c:v>
                </c:pt>
                <c:pt idx="66">
                  <c:v>0.44345449945295479</c:v>
                </c:pt>
                <c:pt idx="67">
                  <c:v>0.44389976834445732</c:v>
                </c:pt>
                <c:pt idx="68">
                  <c:v>0.44433339562108864</c:v>
                </c:pt>
                <c:pt idx="69">
                  <c:v>0.44475585642441784</c:v>
                </c:pt>
                <c:pt idx="70">
                  <c:v>0.445167600387883</c:v>
                </c:pt>
                <c:pt idx="71">
                  <c:v>0.44556905332588598</c:v>
                </c:pt>
                <c:pt idx="72">
                  <c:v>0.44596061879042448</c:v>
                </c:pt>
                <c:pt idx="73">
                  <c:v>0.44634267950722223</c:v>
                </c:pt>
                <c:pt idx="74">
                  <c:v>0.4467155987021042</c:v>
                </c:pt>
                <c:pt idx="75">
                  <c:v>0.44707972132727725</c:v>
                </c:pt>
                <c:pt idx="76">
                  <c:v>0.44743537519622123</c:v>
                </c:pt>
                <c:pt idx="77">
                  <c:v>0.44778287203503825</c:v>
                </c:pt>
                <c:pt idx="78">
                  <c:v>0.4481225084573478</c:v>
                </c:pt>
                <c:pt idx="79">
                  <c:v>0.44845456686913521</c:v>
                </c:pt>
                <c:pt idx="80">
                  <c:v>0.44877931630935952</c:v>
                </c:pt>
                <c:pt idx="81">
                  <c:v>0.44909701323157414</c:v>
                </c:pt>
                <c:pt idx="82">
                  <c:v>0.44940790223133886</c:v>
                </c:pt>
                <c:pt idx="83">
                  <c:v>0.44971221672375417</c:v>
                </c:pt>
                <c:pt idx="84">
                  <c:v>0.45001017957506778</c:v>
                </c:pt>
                <c:pt idx="85">
                  <c:v>0.45030200369194151</c:v>
                </c:pt>
                <c:pt idx="86">
                  <c:v>0.45058789257165371</c:v>
                </c:pt>
                <c:pt idx="87">
                  <c:v>0.45086804081622844</c:v>
                </c:pt>
                <c:pt idx="88">
                  <c:v>0.45114263461321596</c:v>
                </c:pt>
                <c:pt idx="89">
                  <c:v>0.45141185218562507</c:v>
                </c:pt>
                <c:pt idx="90">
                  <c:v>0.45167586421329114</c:v>
                </c:pt>
                <c:pt idx="91">
                  <c:v>0.45193483422777242</c:v>
                </c:pt>
                <c:pt idx="92">
                  <c:v>0.4521889189826952</c:v>
                </c:pt>
                <c:pt idx="93">
                  <c:v>0.45243826880131116</c:v>
                </c:pt>
                <c:pt idx="94">
                  <c:v>0.45268302790288434</c:v>
                </c:pt>
                <c:pt idx="95">
                  <c:v>0.45292333470939972</c:v>
                </c:pt>
                <c:pt idx="96">
                  <c:v>0.4531593221339606</c:v>
                </c:pt>
                <c:pt idx="97">
                  <c:v>0.45339111785214092</c:v>
                </c:pt>
                <c:pt idx="98">
                  <c:v>0.45361884455745294</c:v>
                </c:pt>
                <c:pt idx="99">
                  <c:v>0.45384262020200844</c:v>
                </c:pt>
                <c:pt idx="100">
                  <c:v>0.45406255822336128</c:v>
                </c:pt>
              </c:numCache>
            </c:numRef>
          </c:val>
          <c:smooth val="0"/>
          <c:extLst>
            <c:ext xmlns:c16="http://schemas.microsoft.com/office/drawing/2014/chart" uri="{C3380CC4-5D6E-409C-BE32-E72D297353CC}">
              <c16:uniqueId val="{00000006-3709-4335-91FB-31DC56900586}"/>
            </c:ext>
          </c:extLst>
        </c:ser>
        <c:ser>
          <c:idx val="7"/>
          <c:order val="7"/>
          <c:spPr>
            <a:ln w="31750">
              <a:solidFill>
                <a:srgbClr val="00B050"/>
              </a:solidFill>
            </a:ln>
          </c:spPr>
          <c:marker>
            <c:symbol val="none"/>
          </c:marker>
          <c:val>
            <c:numRef>
              <c:f>'Calculations - Single'!$AW$110:$AW$210</c:f>
              <c:numCache>
                <c:formatCode>0.000</c:formatCode>
                <c:ptCount val="101"/>
                <c:pt idx="0">
                  <c:v>1.7090920549069168E-2</c:v>
                </c:pt>
                <c:pt idx="1">
                  <c:v>2.0170751216882436E-2</c:v>
                </c:pt>
                <c:pt idx="2">
                  <c:v>4.0341502433764873E-2</c:v>
                </c:pt>
                <c:pt idx="3">
                  <c:v>6.0512253650647295E-2</c:v>
                </c:pt>
                <c:pt idx="4">
                  <c:v>8.0683004867529745E-2</c:v>
                </c:pt>
                <c:pt idx="5">
                  <c:v>0.10085375608441216</c:v>
                </c:pt>
                <c:pt idx="6">
                  <c:v>0.12102450730129459</c:v>
                </c:pt>
                <c:pt idx="7">
                  <c:v>0.14119525851817705</c:v>
                </c:pt>
                <c:pt idx="8">
                  <c:v>0.16136600973505949</c:v>
                </c:pt>
                <c:pt idx="9">
                  <c:v>0.18153676095194191</c:v>
                </c:pt>
                <c:pt idx="10">
                  <c:v>0.20170751216882432</c:v>
                </c:pt>
                <c:pt idx="11">
                  <c:v>0.22187826338570676</c:v>
                </c:pt>
                <c:pt idx="12">
                  <c:v>0.24204901460258918</c:v>
                </c:pt>
                <c:pt idx="13">
                  <c:v>0.26221976581947165</c:v>
                </c:pt>
                <c:pt idx="14">
                  <c:v>0.28239051703635409</c:v>
                </c:pt>
                <c:pt idx="15">
                  <c:v>0.30256126825323648</c:v>
                </c:pt>
                <c:pt idx="16">
                  <c:v>0.32273201947011898</c:v>
                </c:pt>
                <c:pt idx="17">
                  <c:v>0.34290277068700142</c:v>
                </c:pt>
                <c:pt idx="18">
                  <c:v>0.36307352190388381</c:v>
                </c:pt>
                <c:pt idx="19">
                  <c:v>0.38324427312076614</c:v>
                </c:pt>
                <c:pt idx="20">
                  <c:v>0.40341502433764864</c:v>
                </c:pt>
                <c:pt idx="21">
                  <c:v>0.42358577555453114</c:v>
                </c:pt>
                <c:pt idx="22">
                  <c:v>0.44375652677141353</c:v>
                </c:pt>
                <c:pt idx="23">
                  <c:v>0.46392727798829603</c:v>
                </c:pt>
                <c:pt idx="24">
                  <c:v>0.48409802920517836</c:v>
                </c:pt>
                <c:pt idx="25">
                  <c:v>0.5023596302490031</c:v>
                </c:pt>
                <c:pt idx="26">
                  <c:v>0.51235534481098088</c:v>
                </c:pt>
                <c:pt idx="27">
                  <c:v>0.52216239447854951</c:v>
                </c:pt>
                <c:pt idx="28">
                  <c:v>0.53179116936466442</c:v>
                </c:pt>
                <c:pt idx="29">
                  <c:v>0.54125113956798432</c:v>
                </c:pt>
                <c:pt idx="30">
                  <c:v>0.5505509653376115</c:v>
                </c:pt>
                <c:pt idx="31">
                  <c:v>0.55969859083630624</c:v>
                </c:pt>
                <c:pt idx="32">
                  <c:v>0.56870132439149268</c:v>
                </c:pt>
                <c:pt idx="33">
                  <c:v>0.57756590754044523</c:v>
                </c:pt>
                <c:pt idx="34">
                  <c:v>0.58038110537528664</c:v>
                </c:pt>
                <c:pt idx="35">
                  <c:v>0.57316498712890496</c:v>
                </c:pt>
                <c:pt idx="36">
                  <c:v>0.56622535027113641</c:v>
                </c:pt>
                <c:pt idx="37">
                  <c:v>0.56611148776558173</c:v>
                </c:pt>
                <c:pt idx="38">
                  <c:v>0.56711233880505585</c:v>
                </c:pt>
                <c:pt idx="39">
                  <c:v>0.56806706273341434</c:v>
                </c:pt>
                <c:pt idx="40">
                  <c:v>0.56897891209371743</c:v>
                </c:pt>
                <c:pt idx="41">
                  <c:v>0.56985084067092351</c:v>
                </c:pt>
                <c:pt idx="42">
                  <c:v>0.57068553702437796</c:v>
                </c:pt>
                <c:pt idx="43">
                  <c:v>0.57148545360306002</c:v>
                </c:pt>
                <c:pt idx="44">
                  <c:v>0.57225283210786237</c:v>
                </c:pt>
                <c:pt idx="45">
                  <c:v>0.57298972565342221</c:v>
                </c:pt>
                <c:pt idx="46">
                  <c:v>0.57369801819096844</c:v>
                </c:pt>
                <c:pt idx="47">
                  <c:v>0.57437944157914667</c:v>
                </c:pt>
                <c:pt idx="48">
                  <c:v>0.57503559062853393</c:v>
                </c:pt>
                <c:pt idx="49">
                  <c:v>0.57566793639501268</c:v>
                </c:pt>
                <c:pt idx="50">
                  <c:v>0.57627783795527476</c:v>
                </c:pt>
                <c:pt idx="51">
                  <c:v>0.5768665528628858</c:v>
                </c:pt>
                <c:pt idx="52">
                  <c:v>0.57743524645421984</c:v>
                </c:pt>
                <c:pt idx="53">
                  <c:v>0.57798500014921217</c:v>
                </c:pt>
                <c:pt idx="54">
                  <c:v>0.57851681887135653</c:v>
                </c:pt>
                <c:pt idx="55">
                  <c:v>0.57903163769408028</c:v>
                </c:pt>
                <c:pt idx="56">
                  <c:v>0.57953032780599389</c:v>
                </c:pt>
                <c:pt idx="57">
                  <c:v>0.58001370187508206</c:v>
                </c:pt>
                <c:pt idx="58">
                  <c:v>0.58048251888132807</c:v>
                </c:pt>
                <c:pt idx="59">
                  <c:v>0.58093748847822313</c:v>
                </c:pt>
                <c:pt idx="60">
                  <c:v>0.58137927493589303</c:v>
                </c:pt>
                <c:pt idx="61">
                  <c:v>0.58180850071192169</c:v>
                </c:pt>
                <c:pt idx="62">
                  <c:v>0.58222574969024854</c:v>
                </c:pt>
                <c:pt idx="63">
                  <c:v>0.58263157012359224</c:v>
                </c:pt>
                <c:pt idx="64">
                  <c:v>0.58302647731057644</c:v>
                </c:pt>
                <c:pt idx="65">
                  <c:v>0.58341095603506143</c:v>
                </c:pt>
                <c:pt idx="66">
                  <c:v>0.58378546279195553</c:v>
                </c:pt>
                <c:pt idx="67">
                  <c:v>0.5841504278210029</c:v>
                </c:pt>
                <c:pt idx="68">
                  <c:v>0.58450625696760083</c:v>
                </c:pt>
                <c:pt idx="69">
                  <c:v>0.58485333338756607</c:v>
                </c:pt>
                <c:pt idx="70">
                  <c:v>0.58519201911090968</c:v>
                </c:pt>
                <c:pt idx="71">
                  <c:v>0.58552265647804058</c:v>
                </c:pt>
                <c:pt idx="72">
                  <c:v>0.58584556946037392</c:v>
                </c:pt>
                <c:pt idx="73">
                  <c:v>0.58616106487605635</c:v>
                </c:pt>
                <c:pt idx="74">
                  <c:v>0.58646943351040171</c:v>
                </c:pt>
                <c:pt idx="75">
                  <c:v>0.58677095114963207</c:v>
                </c:pt>
                <c:pt idx="76">
                  <c:v>0.58706587953565958</c:v>
                </c:pt>
                <c:pt idx="77">
                  <c:v>0.58735446724884732</c:v>
                </c:pt>
                <c:pt idx="78">
                  <c:v>0.58763695052501752</c:v>
                </c:pt>
                <c:pt idx="79">
                  <c:v>0.58791355401234324</c:v>
                </c:pt>
                <c:pt idx="80">
                  <c:v>0.58818449147322782</c:v>
                </c:pt>
                <c:pt idx="81">
                  <c:v>0.58844996643577674</c:v>
                </c:pt>
                <c:pt idx="82">
                  <c:v>0.58871017279903803</c:v>
                </c:pt>
                <c:pt idx="83">
                  <c:v>0.58896529539579268</c:v>
                </c:pt>
                <c:pt idx="84">
                  <c:v>0.58921551051632937</c:v>
                </c:pt>
                <c:pt idx="85">
                  <c:v>0.58946098639632194</c:v>
                </c:pt>
                <c:pt idx="86">
                  <c:v>0.58970188367164933</c:v>
                </c:pt>
                <c:pt idx="87">
                  <c:v>0.58993835580274046</c:v>
                </c:pt>
                <c:pt idx="88">
                  <c:v>0.59017054947079928</c:v>
                </c:pt>
                <c:pt idx="89">
                  <c:v>0.59039860494806373</c:v>
                </c:pt>
                <c:pt idx="90">
                  <c:v>0.59062265644405765</c:v>
                </c:pt>
                <c:pt idx="91">
                  <c:v>0.59084283242963642</c:v>
                </c:pt>
                <c:pt idx="92">
                  <c:v>0.59105925594046782</c:v>
                </c:pt>
                <c:pt idx="93">
                  <c:v>0.59127204486145568</c:v>
                </c:pt>
                <c:pt idx="94">
                  <c:v>0.59148131219348776</c:v>
                </c:pt>
                <c:pt idx="95">
                  <c:v>0.59168716630377627</c:v>
                </c:pt>
                <c:pt idx="96">
                  <c:v>0.59188971116095668</c:v>
                </c:pt>
                <c:pt idx="97">
                  <c:v>0.59208904655601713</c:v>
                </c:pt>
                <c:pt idx="98">
                  <c:v>0.59228526831004202</c:v>
                </c:pt>
                <c:pt idx="99">
                  <c:v>0.59247846846968455</c:v>
                </c:pt>
                <c:pt idx="100">
                  <c:v>0.5926687354911977</c:v>
                </c:pt>
              </c:numCache>
            </c:numRef>
          </c:val>
          <c:smooth val="0"/>
          <c:extLst>
            <c:ext xmlns:c16="http://schemas.microsoft.com/office/drawing/2014/chart" uri="{C3380CC4-5D6E-409C-BE32-E72D297353CC}">
              <c16:uniqueId val="{00000007-3709-4335-91FB-31DC56900586}"/>
            </c:ext>
          </c:extLst>
        </c:ser>
        <c:ser>
          <c:idx val="8"/>
          <c:order val="8"/>
          <c:spPr>
            <a:ln w="31750">
              <a:solidFill>
                <a:srgbClr val="0000FF"/>
              </a:solidFill>
            </a:ln>
          </c:spPr>
          <c:marker>
            <c:symbol val="none"/>
          </c:marker>
          <c:val>
            <c:numRef>
              <c:f>'Calculations - Single'!$AW$216:$AW$316</c:f>
              <c:numCache>
                <c:formatCode>0.000</c:formatCode>
                <c:ptCount val="101"/>
                <c:pt idx="0">
                  <c:v>7.1212141104752451E-3</c:v>
                </c:pt>
                <c:pt idx="1">
                  <c:v>8.3852624961434606E-3</c:v>
                </c:pt>
                <c:pt idx="2">
                  <c:v>1.6770524992286921E-2</c:v>
                </c:pt>
                <c:pt idx="3">
                  <c:v>2.5155787488430378E-2</c:v>
                </c:pt>
                <c:pt idx="4">
                  <c:v>3.3541049984573842E-2</c:v>
                </c:pt>
                <c:pt idx="5">
                  <c:v>4.19263124807173E-2</c:v>
                </c:pt>
                <c:pt idx="6">
                  <c:v>5.0311574976860757E-2</c:v>
                </c:pt>
                <c:pt idx="7">
                  <c:v>5.8696837473004228E-2</c:v>
                </c:pt>
                <c:pt idx="8">
                  <c:v>6.7082099969147685E-2</c:v>
                </c:pt>
                <c:pt idx="9">
                  <c:v>7.5467362465291149E-2</c:v>
                </c:pt>
                <c:pt idx="10">
                  <c:v>8.3852624961434599E-2</c:v>
                </c:pt>
                <c:pt idx="11">
                  <c:v>9.2237887457578063E-2</c:v>
                </c:pt>
                <c:pt idx="12">
                  <c:v>0.10062314995372151</c:v>
                </c:pt>
                <c:pt idx="13">
                  <c:v>0.10900841244986499</c:v>
                </c:pt>
                <c:pt idx="14">
                  <c:v>0.11739367494600846</c:v>
                </c:pt>
                <c:pt idx="15">
                  <c:v>0.12577893744215191</c:v>
                </c:pt>
                <c:pt idx="16">
                  <c:v>0.13416419993829537</c:v>
                </c:pt>
                <c:pt idx="17">
                  <c:v>0.14254946243443886</c:v>
                </c:pt>
                <c:pt idx="18">
                  <c:v>0.1509347249305823</c:v>
                </c:pt>
                <c:pt idx="19">
                  <c:v>0.15931998742672571</c:v>
                </c:pt>
                <c:pt idx="20">
                  <c:v>0.1677052499228692</c:v>
                </c:pt>
                <c:pt idx="21">
                  <c:v>0.17609051241901269</c:v>
                </c:pt>
                <c:pt idx="22">
                  <c:v>0.18447577491515613</c:v>
                </c:pt>
                <c:pt idx="23">
                  <c:v>0.19286103741129962</c:v>
                </c:pt>
                <c:pt idx="24">
                  <c:v>0.20124629990744303</c:v>
                </c:pt>
                <c:pt idx="25">
                  <c:v>0.20883640646650534</c:v>
                </c:pt>
                <c:pt idx="26">
                  <c:v>0.21298202124602358</c:v>
                </c:pt>
                <c:pt idx="27">
                  <c:v>0.21704902209673557</c:v>
                </c:pt>
                <c:pt idx="28">
                  <c:v>0.22104173829805585</c:v>
                </c:pt>
                <c:pt idx="29">
                  <c:v>0.22496411578655537</c:v>
                </c:pt>
                <c:pt idx="30">
                  <c:v>0.22881976305824614</c:v>
                </c:pt>
                <c:pt idx="31">
                  <c:v>0.23261199023685988</c:v>
                </c:pt>
                <c:pt idx="32">
                  <c:v>0.23634384251200902</c:v>
                </c:pt>
                <c:pt idx="33">
                  <c:v>0.24001812890822927</c:v>
                </c:pt>
                <c:pt idx="34">
                  <c:v>0.24363744715786032</c:v>
                </c:pt>
                <c:pt idx="35">
                  <c:v>0.24720420530389967</c:v>
                </c:pt>
                <c:pt idx="36">
                  <c:v>0.25072064054340976</c:v>
                </c:pt>
                <c:pt idx="37">
                  <c:v>0.2541888357304336</c:v>
                </c:pt>
                <c:pt idx="38">
                  <c:v>0.25761073388421563</c:v>
                </c:pt>
                <c:pt idx="39">
                  <c:v>0.26098815098971712</c:v>
                </c:pt>
                <c:pt idx="40">
                  <c:v>0.26432278732986009</c:v>
                </c:pt>
                <c:pt idx="41">
                  <c:v>0.26761623755024122</c:v>
                </c:pt>
                <c:pt idx="42">
                  <c:v>0.27086999962540542</c:v>
                </c:pt>
                <c:pt idx="43">
                  <c:v>0.27408548286974266</c:v>
                </c:pt>
                <c:pt idx="44">
                  <c:v>0.27726401511455645</c:v>
                </c:pt>
                <c:pt idx="45">
                  <c:v>0.28040684915499026</c:v>
                </c:pt>
                <c:pt idx="46">
                  <c:v>0.2835151685555965</c:v>
                </c:pt>
                <c:pt idx="47">
                  <c:v>0.28659009289084619</c:v>
                </c:pt>
                <c:pt idx="48">
                  <c:v>0.28963268248638252</c:v>
                </c:pt>
                <c:pt idx="49">
                  <c:v>0.29264394271794597</c:v>
                </c:pt>
                <c:pt idx="50">
                  <c:v>0.29562482791738853</c:v>
                </c:pt>
                <c:pt idx="51">
                  <c:v>0.29857624492879403</c:v>
                </c:pt>
                <c:pt idx="52">
                  <c:v>0.30149905635226937</c:v>
                </c:pt>
                <c:pt idx="53">
                  <c:v>0.30439408350829161</c:v>
                </c:pt>
                <c:pt idx="54">
                  <c:v>0.30726210915148322</c:v>
                </c:pt>
                <c:pt idx="55">
                  <c:v>0.310103879959227</c:v>
                </c:pt>
                <c:pt idx="56">
                  <c:v>0.31292010881753984</c:v>
                </c:pt>
                <c:pt idx="57">
                  <c:v>0.31571147692403534</c:v>
                </c:pt>
                <c:pt idx="58">
                  <c:v>0.31847863572555257</c:v>
                </c:pt>
                <c:pt idx="59">
                  <c:v>0.32122220870606355</c:v>
                </c:pt>
                <c:pt idx="60">
                  <c:v>0.32394279303876383</c:v>
                </c:pt>
                <c:pt idx="61">
                  <c:v>0.32664096111474533</c:v>
                </c:pt>
                <c:pt idx="62">
                  <c:v>0.32931726195933758</c:v>
                </c:pt>
                <c:pt idx="63">
                  <c:v>0.33197222254604308</c:v>
                </c:pt>
                <c:pt idx="64">
                  <c:v>0.33460634901697534</c:v>
                </c:pt>
                <c:pt idx="65">
                  <c:v>0.33722012781780303</c:v>
                </c:pt>
                <c:pt idx="66">
                  <c:v>0.33981402675441008</c:v>
                </c:pt>
                <c:pt idx="67">
                  <c:v>0.34238849597776927</c:v>
                </c:pt>
                <c:pt idx="68">
                  <c:v>0.34494396890290463</c:v>
                </c:pt>
                <c:pt idx="69">
                  <c:v>0.34748086306725307</c:v>
                </c:pt>
                <c:pt idx="70">
                  <c:v>0.34999958093323913</c:v>
                </c:pt>
                <c:pt idx="71">
                  <c:v>0.35250051063943272</c:v>
                </c:pt>
                <c:pt idx="72">
                  <c:v>0.35498402670425816</c:v>
                </c:pt>
                <c:pt idx="73">
                  <c:v>0.35745049068586737</c:v>
                </c:pt>
                <c:pt idx="74">
                  <c:v>0.35990025180146989</c:v>
                </c:pt>
                <c:pt idx="75">
                  <c:v>0.36233364750912234</c:v>
                </c:pt>
                <c:pt idx="76">
                  <c:v>0.36475100405472266</c:v>
                </c:pt>
                <c:pt idx="77">
                  <c:v>0.36715263698671824</c:v>
                </c:pt>
                <c:pt idx="78">
                  <c:v>0.36953885164082817</c:v>
                </c:pt>
                <c:pt idx="79">
                  <c:v>0.37190994359688562</c:v>
                </c:pt>
                <c:pt idx="80">
                  <c:v>0.3742661991097378</c:v>
                </c:pt>
                <c:pt idx="81">
                  <c:v>0.37660789551598084</c:v>
                </c:pt>
                <c:pt idx="82">
                  <c:v>0.37750095596360861</c:v>
                </c:pt>
                <c:pt idx="83">
                  <c:v>0.37554793398447495</c:v>
                </c:pt>
                <c:pt idx="84">
                  <c:v>0.37363671612080462</c:v>
                </c:pt>
                <c:pt idx="85">
                  <c:v>0.37175473395453562</c:v>
                </c:pt>
                <c:pt idx="86">
                  <c:v>0.36990126380660232</c:v>
                </c:pt>
                <c:pt idx="87">
                  <c:v>0.36346081165069422</c:v>
                </c:pt>
                <c:pt idx="88">
                  <c:v>0.36375543036687313</c:v>
                </c:pt>
                <c:pt idx="89">
                  <c:v>0.3640368217579304</c:v>
                </c:pt>
                <c:pt idx="90">
                  <c:v>0.36431268380020515</c:v>
                </c:pt>
                <c:pt idx="91">
                  <c:v>0.36458318726443328</c:v>
                </c:pt>
                <c:pt idx="92">
                  <c:v>0.36484849596119157</c:v>
                </c:pt>
                <c:pt idx="93">
                  <c:v>0.36510876709191875</c:v>
                </c:pt>
                <c:pt idx="94">
                  <c:v>0.36536415157890367</c:v>
                </c:pt>
                <c:pt idx="95">
                  <c:v>0.36561479437569844</c:v>
                </c:pt>
                <c:pt idx="96">
                  <c:v>0.36586083475929754</c:v>
                </c:pt>
                <c:pt idx="97">
                  <c:v>0.36610240660531862</c:v>
                </c:pt>
                <c:pt idx="98">
                  <c:v>0.3663396386473321</c:v>
                </c:pt>
                <c:pt idx="99">
                  <c:v>0.36657265472138856</c:v>
                </c:pt>
                <c:pt idx="100">
                  <c:v>0.3668015739967258</c:v>
                </c:pt>
              </c:numCache>
            </c:numRef>
          </c:val>
          <c:smooth val="0"/>
          <c:extLst>
            <c:ext xmlns:c16="http://schemas.microsoft.com/office/drawing/2014/chart" uri="{C3380CC4-5D6E-409C-BE32-E72D297353CC}">
              <c16:uniqueId val="{00000008-3709-4335-91FB-31DC56900586}"/>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7.1993082168755951</c:v>
                </c:pt>
                <c:pt idx="36">
                  <c:v>7.3017386442389647</c:v>
                </c:pt>
                <c:pt idx="37">
                  <c:v>7.4899001431552525</c:v>
                </c:pt>
                <c:pt idx="38">
                  <c:v>7.6931570715753299</c:v>
                </c:pt>
                <c:pt idx="39">
                  <c:v>7.8964578289486846</c:v>
                </c:pt>
                <c:pt idx="40">
                  <c:v>8.0998024323759221</c:v>
                </c:pt>
                <c:pt idx="41">
                  <c:v>8.3031908989894205</c:v>
                </c:pt>
                <c:pt idx="42">
                  <c:v>8.506623245950518</c:v>
                </c:pt>
                <c:pt idx="43">
                  <c:v>8.7100994904471385</c:v>
                </c:pt>
                <c:pt idx="44">
                  <c:v>8.913619649691725</c:v>
                </c:pt>
                <c:pt idx="45">
                  <c:v>9.1171837409194882</c:v>
                </c:pt>
                <c:pt idx="46">
                  <c:v>9.3207917813868697</c:v>
                </c:pt>
                <c:pt idx="47">
                  <c:v>9.5244437883702151</c:v>
                </c:pt>
                <c:pt idx="48">
                  <c:v>9.7281397791646356</c:v>
                </c:pt>
                <c:pt idx="49">
                  <c:v>9.9318797710829916</c:v>
                </c:pt>
                <c:pt idx="50">
                  <c:v>10.135663781455003</c:v>
                </c:pt>
                <c:pt idx="51">
                  <c:v>10.33949182762651</c:v>
                </c:pt>
                <c:pt idx="52">
                  <c:v>10.543363926958754</c:v>
                </c:pt>
                <c:pt idx="53">
                  <c:v>10.74728009682781</c:v>
                </c:pt>
                <c:pt idx="54">
                  <c:v>10.951240354624034</c:v>
                </c:pt>
                <c:pt idx="55">
                  <c:v>11.155244717751605</c:v>
                </c:pt>
                <c:pt idx="56">
                  <c:v>11.359293203628107</c:v>
                </c:pt>
                <c:pt idx="57">
                  <c:v>11.563385829684151</c:v>
                </c:pt>
                <c:pt idx="58">
                  <c:v>11.767522613363063</c:v>
                </c:pt>
                <c:pt idx="59">
                  <c:v>11.971703572120544</c:v>
                </c:pt>
                <c:pt idx="60">
                  <c:v>12.175928723424468</c:v>
                </c:pt>
                <c:pt idx="61">
                  <c:v>12.380198084754586</c:v>
                </c:pt>
                <c:pt idx="62">
                  <c:v>12.584511673602346</c:v>
                </c:pt>
                <c:pt idx="63">
                  <c:v>12.788869507470698</c:v>
                </c:pt>
                <c:pt idx="64">
                  <c:v>12.993271603873911</c:v>
                </c:pt>
                <c:pt idx="65">
                  <c:v>13.197717980337421</c:v>
                </c:pt>
                <c:pt idx="66">
                  <c:v>13.402208654397691</c:v>
                </c:pt>
                <c:pt idx="67">
                  <c:v>13.606743643602094</c:v>
                </c:pt>
                <c:pt idx="68">
                  <c:v>13.811322965508772</c:v>
                </c:pt>
                <c:pt idx="69">
                  <c:v>14.01594663768655</c:v>
                </c:pt>
                <c:pt idx="70">
                  <c:v>14.220614677714856</c:v>
                </c:pt>
                <c:pt idx="71">
                  <c:v>14.4253271031836</c:v>
                </c:pt>
                <c:pt idx="72">
                  <c:v>14.630083931693122</c:v>
                </c:pt>
                <c:pt idx="73">
                  <c:v>14.834885180854108</c:v>
                </c:pt>
                <c:pt idx="74">
                  <c:v>15.039730868287531</c:v>
                </c:pt>
                <c:pt idx="75">
                  <c:v>15.244621011624597</c:v>
                </c:pt>
                <c:pt idx="76">
                  <c:v>15.44955562850668</c:v>
                </c:pt>
                <c:pt idx="77">
                  <c:v>15.654534736585282</c:v>
                </c:pt>
                <c:pt idx="78">
                  <c:v>15.859558353521981</c:v>
                </c:pt>
                <c:pt idx="79">
                  <c:v>16.064626496988396</c:v>
                </c:pt>
                <c:pt idx="80">
                  <c:v>16.269739184666154</c:v>
                </c:pt>
                <c:pt idx="81">
                  <c:v>16.474896434246848</c:v>
                </c:pt>
                <c:pt idx="82">
                  <c:v>16.680098263432008</c:v>
                </c:pt>
                <c:pt idx="83">
                  <c:v>16.885344689933074</c:v>
                </c:pt>
                <c:pt idx="84">
                  <c:v>17.09063573147138</c:v>
                </c:pt>
                <c:pt idx="85">
                  <c:v>17.295971405778108</c:v>
                </c:pt>
                <c:pt idx="86">
                  <c:v>17.501351730594291</c:v>
                </c:pt>
                <c:pt idx="87">
                  <c:v>17.706776723670778</c:v>
                </c:pt>
                <c:pt idx="88">
                  <c:v>17.912246402768226</c:v>
                </c:pt>
                <c:pt idx="89">
                  <c:v>18.117760785657076</c:v>
                </c:pt>
                <c:pt idx="90">
                  <c:v>18.323319890117549</c:v>
                </c:pt>
                <c:pt idx="91">
                  <c:v>18.528923733939621</c:v>
                </c:pt>
                <c:pt idx="92">
                  <c:v>18.734572334923026</c:v>
                </c:pt>
                <c:pt idx="93">
                  <c:v>18.940265710877224</c:v>
                </c:pt>
                <c:pt idx="94">
                  <c:v>19.146003879621418</c:v>
                </c:pt>
                <c:pt idx="95">
                  <c:v>19.351786858984525</c:v>
                </c:pt>
                <c:pt idx="96">
                  <c:v>19.557614666805172</c:v>
                </c:pt>
                <c:pt idx="97">
                  <c:v>19.763487320931713</c:v>
                </c:pt>
                <c:pt idx="98">
                  <c:v>19.969404839222175</c:v>
                </c:pt>
                <c:pt idx="99">
                  <c:v>20.175367239544315</c:v>
                </c:pt>
                <c:pt idx="100">
                  <c:v>20.381374539775546</c:v>
                </c:pt>
              </c:numCache>
            </c:numRef>
          </c:val>
          <c:smooth val="0"/>
          <c:extLst>
            <c:ext xmlns:c16="http://schemas.microsoft.com/office/drawing/2014/chart" uri="{C3380CC4-5D6E-409C-BE32-E72D297353CC}">
              <c16:uniqueId val="{00000000-447A-452D-BA63-8F5F5DADC23C}"/>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Single'!$AJ$5:$AJ$105</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7.1992932598847865</c:v>
                </c:pt>
                <c:pt idx="36">
                  <c:v>7.3015010651331407</c:v>
                </c:pt>
                <c:pt idx="37">
                  <c:v>7.4023012346130468</c:v>
                </c:pt>
                <c:pt idx="38">
                  <c:v>7.5017504646422228</c:v>
                </c:pt>
                <c:pt idx="39">
                  <c:v>7.5999017447504142</c:v>
                </c:pt>
                <c:pt idx="40">
                  <c:v>7.6968046883475019</c:v>
                </c:pt>
                <c:pt idx="41">
                  <c:v>7.7925058264058533</c:v>
                </c:pt>
                <c:pt idx="42">
                  <c:v>7.8870488690908793</c:v>
                </c:pt>
                <c:pt idx="43">
                  <c:v>7.9804749395142496</c:v>
                </c:pt>
                <c:pt idx="44">
                  <c:v>8.0728227831565338</c:v>
                </c:pt>
                <c:pt idx="45">
                  <c:v>8.164128955984717</c:v>
                </c:pt>
                <c:pt idx="46">
                  <c:v>8.2544279938552929</c:v>
                </c:pt>
                <c:pt idx="47">
                  <c:v>8.3437525654292983</c:v>
                </c:pt>
                <c:pt idx="48">
                  <c:v>8.4321336105193154</c:v>
                </c:pt>
                <c:pt idx="49">
                  <c:v>8.5196004655296171</c:v>
                </c:pt>
                <c:pt idx="50">
                  <c:v>8.6061809774314018</c:v>
                </c:pt>
                <c:pt idx="51">
                  <c:v>8.691901607528342</c:v>
                </c:pt>
                <c:pt idx="52">
                  <c:v>8.7767875261085457</c:v>
                </c:pt>
                <c:pt idx="53">
                  <c:v>8.8608626989425048</c:v>
                </c:pt>
                <c:pt idx="54">
                  <c:v>8.9441499664695101</c:v>
                </c:pt>
                <c:pt idx="55">
                  <c:v>9.0266711164140183</c:v>
                </c:pt>
                <c:pt idx="56">
                  <c:v>9.108446950486158</c:v>
                </c:pt>
                <c:pt idx="57">
                  <c:v>9.1894973457449929</c:v>
                </c:pt>
                <c:pt idx="58">
                  <c:v>9.2698413111374212</c:v>
                </c:pt>
                <c:pt idx="59">
                  <c:v>9.3494970396683339</c:v>
                </c:pt>
                <c:pt idx="60">
                  <c:v>9.4284819566076816</c:v>
                </c:pt>
                <c:pt idx="61">
                  <c:v>9.5068127640963027</c:v>
                </c:pt>
                <c:pt idx="62">
                  <c:v>9.584550344553266</c:v>
                </c:pt>
                <c:pt idx="63">
                  <c:v>9.6617846481294354</c:v>
                </c:pt>
                <c:pt idx="64">
                  <c:v>9.738417268977491</c:v>
                </c:pt>
                <c:pt idx="65">
                  <c:v>9.878078960248855</c:v>
                </c:pt>
                <c:pt idx="66">
                  <c:v>10.030593965014587</c:v>
                </c:pt>
                <c:pt idx="67">
                  <c:v>10.183020769212497</c:v>
                </c:pt>
                <c:pt idx="68">
                  <c:v>10.335461012393184</c:v>
                </c:pt>
                <c:pt idx="69">
                  <c:v>10.487914696888311</c:v>
                </c:pt>
                <c:pt idx="70">
                  <c:v>10.640381825030914</c:v>
                </c:pt>
                <c:pt idx="71">
                  <c:v>10.792862399155323</c:v>
                </c:pt>
                <c:pt idx="72">
                  <c:v>10.945356421597113</c:v>
                </c:pt>
                <c:pt idx="73">
                  <c:v>11.097863894693065</c:v>
                </c:pt>
                <c:pt idx="74">
                  <c:v>11.250384820781104</c:v>
                </c:pt>
                <c:pt idx="75">
                  <c:v>11.402919202200279</c:v>
                </c:pt>
                <c:pt idx="76">
                  <c:v>11.555467041290699</c:v>
                </c:pt>
                <c:pt idx="77">
                  <c:v>11.70802834039352</c:v>
                </c:pt>
                <c:pt idx="78">
                  <c:v>11.860603101850909</c:v>
                </c:pt>
                <c:pt idx="79">
                  <c:v>12.013191328005991</c:v>
                </c:pt>
                <c:pt idx="80">
                  <c:v>12.16579302120287</c:v>
                </c:pt>
                <c:pt idx="81">
                  <c:v>12.318408183786534</c:v>
                </c:pt>
                <c:pt idx="82">
                  <c:v>12.471036818102908</c:v>
                </c:pt>
                <c:pt idx="83">
                  <c:v>12.62367892649878</c:v>
                </c:pt>
                <c:pt idx="84">
                  <c:v>12.776334511321796</c:v>
                </c:pt>
                <c:pt idx="85">
                  <c:v>12.929003574920451</c:v>
                </c:pt>
                <c:pt idx="86">
                  <c:v>13.08168611964404</c:v>
                </c:pt>
                <c:pt idx="87">
                  <c:v>13.234382147842698</c:v>
                </c:pt>
                <c:pt idx="88">
                  <c:v>13.387091661867327</c:v>
                </c:pt>
                <c:pt idx="89">
                  <c:v>13.539814664069613</c:v>
                </c:pt>
                <c:pt idx="90">
                  <c:v>13.692551156802017</c:v>
                </c:pt>
                <c:pt idx="91">
                  <c:v>13.845301142417739</c:v>
                </c:pt>
                <c:pt idx="92">
                  <c:v>13.99806462327073</c:v>
                </c:pt>
                <c:pt idx="93">
                  <c:v>14.150841601715674</c:v>
                </c:pt>
                <c:pt idx="94">
                  <c:v>14.303632080107969</c:v>
                </c:pt>
                <c:pt idx="95">
                  <c:v>14.456436060803728</c:v>
                </c:pt>
                <c:pt idx="96">
                  <c:v>14.609253546159778</c:v>
                </c:pt>
                <c:pt idx="97">
                  <c:v>14.762084538533626</c:v>
                </c:pt>
                <c:pt idx="98">
                  <c:v>14.914929040283482</c:v>
                </c:pt>
                <c:pt idx="99">
                  <c:v>15.067787053768232</c:v>
                </c:pt>
                <c:pt idx="100">
                  <c:v>15.220658581347431</c:v>
                </c:pt>
              </c:numCache>
            </c:numRef>
          </c:val>
          <c:smooth val="0"/>
          <c:extLst>
            <c:ext xmlns:c16="http://schemas.microsoft.com/office/drawing/2014/chart" uri="{C3380CC4-5D6E-409C-BE32-E72D297353CC}">
              <c16:uniqueId val="{00000001-447A-452D-BA63-8F5F5DADC23C}"/>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7.1992932598847865</c:v>
                </c:pt>
                <c:pt idx="36">
                  <c:v>7.3015010651331407</c:v>
                </c:pt>
                <c:pt idx="37">
                  <c:v>7.4023012346130468</c:v>
                </c:pt>
                <c:pt idx="38">
                  <c:v>7.5017504646422228</c:v>
                </c:pt>
                <c:pt idx="39">
                  <c:v>7.5999017447504142</c:v>
                </c:pt>
                <c:pt idx="40">
                  <c:v>7.6968046883475019</c:v>
                </c:pt>
                <c:pt idx="41">
                  <c:v>7.7925058264058533</c:v>
                </c:pt>
                <c:pt idx="42">
                  <c:v>7.8870488690908793</c:v>
                </c:pt>
                <c:pt idx="43">
                  <c:v>7.9804749395142496</c:v>
                </c:pt>
                <c:pt idx="44">
                  <c:v>8.0728227831565338</c:v>
                </c:pt>
                <c:pt idx="45">
                  <c:v>8.164128955984717</c:v>
                </c:pt>
                <c:pt idx="46">
                  <c:v>8.2544279938552929</c:v>
                </c:pt>
                <c:pt idx="47">
                  <c:v>8.3437525654292983</c:v>
                </c:pt>
                <c:pt idx="48">
                  <c:v>8.4321336105193154</c:v>
                </c:pt>
                <c:pt idx="49">
                  <c:v>8.5196004655296171</c:v>
                </c:pt>
                <c:pt idx="50">
                  <c:v>8.6061809774314018</c:v>
                </c:pt>
                <c:pt idx="51">
                  <c:v>8.691901607528342</c:v>
                </c:pt>
                <c:pt idx="52">
                  <c:v>8.7767875261085457</c:v>
                </c:pt>
                <c:pt idx="53">
                  <c:v>8.8608626989425048</c:v>
                </c:pt>
                <c:pt idx="54">
                  <c:v>8.9441499664695101</c:v>
                </c:pt>
                <c:pt idx="55">
                  <c:v>9.0266711164140183</c:v>
                </c:pt>
                <c:pt idx="56">
                  <c:v>9.108446950486158</c:v>
                </c:pt>
                <c:pt idx="57">
                  <c:v>9.1894973457449929</c:v>
                </c:pt>
                <c:pt idx="58">
                  <c:v>9.2698413111374212</c:v>
                </c:pt>
                <c:pt idx="59">
                  <c:v>9.3494970396683339</c:v>
                </c:pt>
                <c:pt idx="60">
                  <c:v>9.4284819566076816</c:v>
                </c:pt>
                <c:pt idx="61">
                  <c:v>9.5068127640963027</c:v>
                </c:pt>
                <c:pt idx="62">
                  <c:v>9.5845054824739684</c:v>
                </c:pt>
                <c:pt idx="63">
                  <c:v>9.6615754886192935</c:v>
                </c:pt>
                <c:pt idx="64">
                  <c:v>9.7380375515614475</c:v>
                </c:pt>
                <c:pt idx="65">
                  <c:v>9.813905865597194</c:v>
                </c:pt>
                <c:pt idx="66">
                  <c:v>9.8891940811236569</c:v>
                </c:pt>
                <c:pt idx="67">
                  <c:v>9.9639153333764003</c:v>
                </c:pt>
                <c:pt idx="68">
                  <c:v>10.038082269244246</c:v>
                </c:pt>
                <c:pt idx="69">
                  <c:v>10.111707072315793</c:v>
                </c:pt>
                <c:pt idx="70">
                  <c:v>10.184801486298136</c:v>
                </c:pt>
                <c:pt idx="71">
                  <c:v>10.257376836935224</c:v>
                </c:pt>
                <c:pt idx="72">
                  <c:v>10.329444052541719</c:v>
                </c:pt>
                <c:pt idx="73">
                  <c:v>10.401013683257748</c:v>
                </c:pt>
                <c:pt idx="74">
                  <c:v>10.472095919120616</c:v>
                </c:pt>
                <c:pt idx="75">
                  <c:v>10.542700607041127</c:v>
                </c:pt>
                <c:pt idx="76">
                  <c:v>10.612837266764565</c:v>
                </c:pt>
                <c:pt idx="77">
                  <c:v>10.68251510588963</c:v>
                </c:pt>
                <c:pt idx="78">
                  <c:v>10.751743034012353</c:v>
                </c:pt>
                <c:pt idx="79">
                  <c:v>10.820529676056546</c:v>
                </c:pt>
                <c:pt idx="80">
                  <c:v>10.888883384847222</c:v>
                </c:pt>
                <c:pt idx="81">
                  <c:v>10.956812252978898</c:v>
                </c:pt>
                <c:pt idx="82">
                  <c:v>11.024324124026489</c:v>
                </c:pt>
                <c:pt idx="83">
                  <c:v>11.091439000837012</c:v>
                </c:pt>
                <c:pt idx="84">
                  <c:v>11.158279112268863</c:v>
                </c:pt>
                <c:pt idx="85">
                  <c:v>11.224727912373329</c:v>
                </c:pt>
                <c:pt idx="86">
                  <c:v>11.290792365072184</c:v>
                </c:pt>
                <c:pt idx="87">
                  <c:v>11.21428568321128</c:v>
                </c:pt>
                <c:pt idx="88">
                  <c:v>11.343172236809478</c:v>
                </c:pt>
                <c:pt idx="89">
                  <c:v>11.472020002722035</c:v>
                </c:pt>
                <c:pt idx="90">
                  <c:v>11.600866629165591</c:v>
                </c:pt>
                <c:pt idx="91">
                  <c:v>11.729712116942054</c:v>
                </c:pt>
                <c:pt idx="92">
                  <c:v>11.858556466853473</c:v>
                </c:pt>
                <c:pt idx="93">
                  <c:v>11.987399679702007</c:v>
                </c:pt>
                <c:pt idx="94">
                  <c:v>12.116241756289956</c:v>
                </c:pt>
                <c:pt idx="95">
                  <c:v>12.24508269741972</c:v>
                </c:pt>
                <c:pt idx="96">
                  <c:v>12.373922503893811</c:v>
                </c:pt>
                <c:pt idx="97">
                  <c:v>12.50276117651484</c:v>
                </c:pt>
                <c:pt idx="98">
                  <c:v>12.631598716085527</c:v>
                </c:pt>
                <c:pt idx="99">
                  <c:v>12.760435123408664</c:v>
                </c:pt>
                <c:pt idx="100">
                  <c:v>12.889270399287151</c:v>
                </c:pt>
              </c:numCache>
            </c:numRef>
          </c:val>
          <c:smooth val="0"/>
          <c:extLst>
            <c:ext xmlns:c16="http://schemas.microsoft.com/office/drawing/2014/chart" uri="{C3380CC4-5D6E-409C-BE32-E72D297353CC}">
              <c16:uniqueId val="{00000002-447A-452D-BA63-8F5F5DADC23C}"/>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1.0080611538106194</c:v>
                </c:pt>
                <c:pt idx="2">
                  <c:v>1.0161223076212389</c:v>
                </c:pt>
                <c:pt idx="3">
                  <c:v>1.0241834614318581</c:v>
                </c:pt>
                <c:pt idx="4">
                  <c:v>1.0322446152424776</c:v>
                </c:pt>
                <c:pt idx="5">
                  <c:v>1.040305769053097</c:v>
                </c:pt>
                <c:pt idx="6">
                  <c:v>1.0483669228637165</c:v>
                </c:pt>
                <c:pt idx="7">
                  <c:v>1.0564280766743359</c:v>
                </c:pt>
                <c:pt idx="8">
                  <c:v>1.0644892304849551</c:v>
                </c:pt>
                <c:pt idx="9">
                  <c:v>1.0725503842955746</c:v>
                </c:pt>
                <c:pt idx="10">
                  <c:v>1.080611538106194</c:v>
                </c:pt>
                <c:pt idx="11">
                  <c:v>1.0886726919168135</c:v>
                </c:pt>
                <c:pt idx="12">
                  <c:v>1.0967338457274329</c:v>
                </c:pt>
                <c:pt idx="13">
                  <c:v>1.1047949995380524</c:v>
                </c:pt>
                <c:pt idx="14">
                  <c:v>1.1128561533486716</c:v>
                </c:pt>
                <c:pt idx="15">
                  <c:v>1.1209173071592911</c:v>
                </c:pt>
                <c:pt idx="16">
                  <c:v>1.1289784609699105</c:v>
                </c:pt>
                <c:pt idx="17">
                  <c:v>1.13703961478053</c:v>
                </c:pt>
                <c:pt idx="18">
                  <c:v>1.1451007685911492</c:v>
                </c:pt>
                <c:pt idx="19">
                  <c:v>1.1531619224017686</c:v>
                </c:pt>
                <c:pt idx="20">
                  <c:v>1.1612230762123881</c:v>
                </c:pt>
                <c:pt idx="21">
                  <c:v>1.1692842300230075</c:v>
                </c:pt>
                <c:pt idx="22">
                  <c:v>1.177345383833627</c:v>
                </c:pt>
                <c:pt idx="23">
                  <c:v>1.1854065376442464</c:v>
                </c:pt>
                <c:pt idx="24">
                  <c:v>1.1934676914548656</c:v>
                </c:pt>
                <c:pt idx="25">
                  <c:v>1.2171358222627291</c:v>
                </c:pt>
                <c:pt idx="26">
                  <c:v>1.3064447832492752</c:v>
                </c:pt>
                <c:pt idx="27">
                  <c:v>1.3940545373723043</c:v>
                </c:pt>
                <c:pt idx="28">
                  <c:v>1.4800586594380649</c:v>
                </c:pt>
                <c:pt idx="29">
                  <c:v>1.564542438537678</c:v>
                </c:pt>
                <c:pt idx="30">
                  <c:v>1.6475838701955547</c:v>
                </c:pt>
                <c:pt idx="31">
                  <c:v>1.7292545008052262</c:v>
                </c:pt>
                <c:pt idx="32">
                  <c:v>1.8096201503738238</c:v>
                </c:pt>
                <c:pt idx="33">
                  <c:v>1.8887415343465987</c:v>
                </c:pt>
                <c:pt idx="34">
                  <c:v>1.9666748012184143</c:v>
                </c:pt>
                <c:pt idx="35">
                  <c:v>2.0434830787181735</c:v>
                </c:pt>
                <c:pt idx="36">
                  <c:v>2.1193574693577069</c:v>
                </c:pt>
                <c:pt idx="37">
                  <c:v>2.2587363574438459</c:v>
                </c:pt>
                <c:pt idx="38">
                  <c:v>2.4092970451624218</c:v>
                </c:pt>
                <c:pt idx="39">
                  <c:v>2.5598901987723144</c:v>
                </c:pt>
                <c:pt idx="40">
                  <c:v>2.7105158309406381</c:v>
                </c:pt>
                <c:pt idx="41">
                  <c:v>2.8611739543580446</c:v>
                </c:pt>
                <c:pt idx="42">
                  <c:v>3.011864581736635</c:v>
                </c:pt>
                <c:pt idx="43">
                  <c:v>3.1625877258082058</c:v>
                </c:pt>
                <c:pt idx="44">
                  <c:v>3.3133433993227142</c:v>
                </c:pt>
                <c:pt idx="45">
                  <c:v>3.4641316150469832</c:v>
                </c:pt>
                <c:pt idx="46">
                  <c:v>3.6149523857635621</c:v>
                </c:pt>
                <c:pt idx="47">
                  <c:v>3.765805724269744</c:v>
                </c:pt>
                <c:pt idx="48">
                  <c:v>3.9166916433767218</c:v>
                </c:pt>
                <c:pt idx="49">
                  <c:v>4.067610155908838</c:v>
                </c:pt>
                <c:pt idx="50">
                  <c:v>4.2185612747029202</c:v>
                </c:pt>
                <c:pt idx="51">
                  <c:v>4.3695450126077402</c:v>
                </c:pt>
                <c:pt idx="52">
                  <c:v>4.5205613824834776</c:v>
                </c:pt>
                <c:pt idx="53">
                  <c:v>4.6716103972012952</c:v>
                </c:pt>
                <c:pt idx="54">
                  <c:v>4.8226920696429429</c:v>
                </c:pt>
                <c:pt idx="55">
                  <c:v>4.9738064127004042</c:v>
                </c:pt>
                <c:pt idx="56">
                  <c:v>5.1249534392755898</c:v>
                </c:pt>
                <c:pt idx="57">
                  <c:v>5.2761331622800673</c:v>
                </c:pt>
                <c:pt idx="58">
                  <c:v>5.4273455946348168</c:v>
                </c:pt>
                <c:pt idx="59">
                  <c:v>5.5785907492699884</c:v>
                </c:pt>
                <c:pt idx="60">
                  <c:v>5.7298686391247458</c:v>
                </c:pt>
                <c:pt idx="61">
                  <c:v>5.881179277147055</c:v>
                </c:pt>
                <c:pt idx="62">
                  <c:v>6.0325226762935458</c:v>
                </c:pt>
                <c:pt idx="63">
                  <c:v>6.1838988495293616</c:v>
                </c:pt>
                <c:pt idx="64">
                  <c:v>6.3353078098280378</c:v>
                </c:pt>
                <c:pt idx="65">
                  <c:v>6.4867495701713782</c:v>
                </c:pt>
                <c:pt idx="66">
                  <c:v>6.6382241435493565</c:v>
                </c:pt>
                <c:pt idx="67">
                  <c:v>6.7897315429600251</c:v>
                </c:pt>
                <c:pt idx="68">
                  <c:v>6.9412717814094167</c:v>
                </c:pt>
                <c:pt idx="69">
                  <c:v>7.0928448719114741</c:v>
                </c:pt>
                <c:pt idx="70">
                  <c:v>7.2444508274879968</c:v>
                </c:pt>
                <c:pt idx="71">
                  <c:v>7.3960896611685474</c:v>
                </c:pt>
                <c:pt idx="72">
                  <c:v>7.547761385990416</c:v>
                </c:pt>
                <c:pt idx="73">
                  <c:v>7.6994660149985537</c:v>
                </c:pt>
                <c:pt idx="74">
                  <c:v>7.8512035612455344</c:v>
                </c:pt>
                <c:pt idx="75">
                  <c:v>8.0029740377915068</c:v>
                </c:pt>
                <c:pt idx="76">
                  <c:v>8.1547774577041618</c:v>
                </c:pt>
                <c:pt idx="77">
                  <c:v>8.3066138340586821</c:v>
                </c:pt>
                <c:pt idx="78">
                  <c:v>8.4584831799377191</c:v>
                </c:pt>
                <c:pt idx="79">
                  <c:v>8.6103855084313601</c:v>
                </c:pt>
                <c:pt idx="80">
                  <c:v>8.7623208326371049</c:v>
                </c:pt>
                <c:pt idx="81">
                  <c:v>8.9142891656598415</c:v>
                </c:pt>
                <c:pt idx="82">
                  <c:v>9.0662905206118118</c:v>
                </c:pt>
                <c:pt idx="83">
                  <c:v>9.2183249106126031</c:v>
                </c:pt>
                <c:pt idx="84">
                  <c:v>9.3703923487891245</c:v>
                </c:pt>
                <c:pt idx="85">
                  <c:v>9.5224928482755899</c:v>
                </c:pt>
                <c:pt idx="86">
                  <c:v>9.6746264222135014</c:v>
                </c:pt>
                <c:pt idx="87">
                  <c:v>9.8267930837516406</c:v>
                </c:pt>
                <c:pt idx="88">
                  <c:v>9.9789928460460473</c:v>
                </c:pt>
                <c:pt idx="89">
                  <c:v>10.131225722260011</c:v>
                </c:pt>
                <c:pt idx="90">
                  <c:v>10.283491725564064</c:v>
                </c:pt>
                <c:pt idx="91">
                  <c:v>10.435790869135969</c:v>
                </c:pt>
                <c:pt idx="92">
                  <c:v>10.588123166160715</c:v>
                </c:pt>
                <c:pt idx="93">
                  <c:v>10.740488629830489</c:v>
                </c:pt>
                <c:pt idx="94">
                  <c:v>10.892887273344709</c:v>
                </c:pt>
                <c:pt idx="95">
                  <c:v>11.045319109909972</c:v>
                </c:pt>
                <c:pt idx="96">
                  <c:v>11.197784152740081</c:v>
                </c:pt>
                <c:pt idx="97">
                  <c:v>11.350282415056039</c:v>
                </c:pt>
                <c:pt idx="98">
                  <c:v>11.50281391008601</c:v>
                </c:pt>
                <c:pt idx="99">
                  <c:v>11.655378651065373</c:v>
                </c:pt>
                <c:pt idx="100">
                  <c:v>11.807976651236654</c:v>
                </c:pt>
              </c:numCache>
            </c:numRef>
          </c:val>
          <c:smooth val="0"/>
          <c:extLst>
            <c:ext xmlns:c16="http://schemas.microsoft.com/office/drawing/2014/chart" uri="{C3380CC4-5D6E-409C-BE32-E72D297353CC}">
              <c16:uniqueId val="{00000000-745B-46F7-8EAC-D410ADA60268}"/>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Single'!$AK$5:$AK$105</c:f>
              <c:numCache>
                <c:formatCode>0.000</c:formatCode>
                <c:ptCount val="101"/>
                <c:pt idx="0">
                  <c:v>1.0068571428571429</c:v>
                </c:pt>
                <c:pt idx="1">
                  <c:v>1.0080611538106194</c:v>
                </c:pt>
                <c:pt idx="2">
                  <c:v>1.0161223076212389</c:v>
                </c:pt>
                <c:pt idx="3">
                  <c:v>1.0241834614318581</c:v>
                </c:pt>
                <c:pt idx="4">
                  <c:v>1.0322446152424776</c:v>
                </c:pt>
                <c:pt idx="5">
                  <c:v>1.040305769053097</c:v>
                </c:pt>
                <c:pt idx="6">
                  <c:v>1.0483669228637165</c:v>
                </c:pt>
                <c:pt idx="7">
                  <c:v>1.0564280766743359</c:v>
                </c:pt>
                <c:pt idx="8">
                  <c:v>1.0644892304849551</c:v>
                </c:pt>
                <c:pt idx="9">
                  <c:v>1.0725503842955746</c:v>
                </c:pt>
                <c:pt idx="10">
                  <c:v>1.080611538106194</c:v>
                </c:pt>
                <c:pt idx="11">
                  <c:v>1.0886726919168135</c:v>
                </c:pt>
                <c:pt idx="12">
                  <c:v>1.0967338457274329</c:v>
                </c:pt>
                <c:pt idx="13">
                  <c:v>1.1047949995380524</c:v>
                </c:pt>
                <c:pt idx="14">
                  <c:v>1.1128561533486716</c:v>
                </c:pt>
                <c:pt idx="15">
                  <c:v>1.1209173071592911</c:v>
                </c:pt>
                <c:pt idx="16">
                  <c:v>1.1289784609699105</c:v>
                </c:pt>
                <c:pt idx="17">
                  <c:v>1.13703961478053</c:v>
                </c:pt>
                <c:pt idx="18">
                  <c:v>1.1451007685911492</c:v>
                </c:pt>
                <c:pt idx="19">
                  <c:v>1.1531619224017686</c:v>
                </c:pt>
                <c:pt idx="20">
                  <c:v>1.1612230762123881</c:v>
                </c:pt>
                <c:pt idx="21">
                  <c:v>1.1692842300230075</c:v>
                </c:pt>
                <c:pt idx="22">
                  <c:v>1.177345383833627</c:v>
                </c:pt>
                <c:pt idx="23">
                  <c:v>1.1854065376442464</c:v>
                </c:pt>
                <c:pt idx="24">
                  <c:v>1.1934676914548656</c:v>
                </c:pt>
                <c:pt idx="25">
                  <c:v>1.2171358222627291</c:v>
                </c:pt>
                <c:pt idx="26">
                  <c:v>1.3064447832492752</c:v>
                </c:pt>
                <c:pt idx="27">
                  <c:v>1.3940545373723043</c:v>
                </c:pt>
                <c:pt idx="28">
                  <c:v>1.4800586594380649</c:v>
                </c:pt>
                <c:pt idx="29">
                  <c:v>1.564542438537678</c:v>
                </c:pt>
                <c:pt idx="30">
                  <c:v>1.6475838701955547</c:v>
                </c:pt>
                <c:pt idx="31">
                  <c:v>1.7292545008052262</c:v>
                </c:pt>
                <c:pt idx="32">
                  <c:v>1.8096201503738238</c:v>
                </c:pt>
                <c:pt idx="33">
                  <c:v>1.8887415343465987</c:v>
                </c:pt>
                <c:pt idx="34">
                  <c:v>1.9666748012184143</c:v>
                </c:pt>
                <c:pt idx="35">
                  <c:v>2.0434719994657229</c:v>
                </c:pt>
                <c:pt idx="36">
                  <c:v>2.1191814848348742</c:v>
                </c:pt>
                <c:pt idx="37">
                  <c:v>2.1938482770422119</c:v>
                </c:pt>
                <c:pt idx="38">
                  <c:v>2.26751437336012</c:v>
                </c:pt>
                <c:pt idx="39">
                  <c:v>2.3402190252921136</c:v>
                </c:pt>
                <c:pt idx="40">
                  <c:v>2.4119989835121789</c:v>
                </c:pt>
                <c:pt idx="41">
                  <c:v>2.4828887154072539</c:v>
                </c:pt>
                <c:pt idx="42">
                  <c:v>2.5529205988776438</c:v>
                </c:pt>
                <c:pt idx="43">
                  <c:v>2.6221250954875472</c:v>
                </c:pt>
                <c:pt idx="44">
                  <c:v>2.6905309055929432</c:v>
                </c:pt>
                <c:pt idx="45">
                  <c:v>2.7581651076878937</c:v>
                </c:pt>
                <c:pt idx="46">
                  <c:v>2.8250532838883204</c:v>
                </c:pt>
                <c:pt idx="47">
                  <c:v>2.8912196332023985</c:v>
                </c:pt>
                <c:pt idx="48">
                  <c:v>2.9566870740098183</c:v>
                </c:pt>
                <c:pt idx="49">
                  <c:v>3.0214773369804124</c:v>
                </c:pt>
                <c:pt idx="50">
                  <c:v>3.0856110495002529</c:v>
                </c:pt>
                <c:pt idx="51">
                  <c:v>3.1491078125350231</c:v>
                </c:pt>
                <c:pt idx="52">
                  <c:v>3.2119862707425817</c:v>
                </c:pt>
                <c:pt idx="53">
                  <c:v>3.2742641765455138</c:v>
                </c:pt>
                <c:pt idx="54">
                  <c:v>3.3359584487877401</c:v>
                </c:pt>
                <c:pt idx="55">
                  <c:v>3.3970852265244131</c:v>
                </c:pt>
                <c:pt idx="56">
                  <c:v>3.4576599184297017</c:v>
                </c:pt>
                <c:pt idx="57">
                  <c:v>3.5176972482510607</c:v>
                </c:pt>
                <c:pt idx="58">
                  <c:v>3.5772112966898968</c:v>
                </c:pt>
                <c:pt idx="59">
                  <c:v>3.6362155400461287</c:v>
                </c:pt>
                <c:pt idx="60">
                  <c:v>3.6947228859271268</c:v>
                </c:pt>
                <c:pt idx="61">
                  <c:v>3.7527457062890681</c:v>
                </c:pt>
                <c:pt idx="62">
                  <c:v>3.8103290992201524</c:v>
                </c:pt>
                <c:pt idx="63">
                  <c:v>3.867539694461759</c:v>
                </c:pt>
                <c:pt idx="64">
                  <c:v>3.9243045987936522</c:v>
                </c:pt>
                <c:pt idx="65">
                  <c:v>4.0277577034391072</c:v>
                </c:pt>
                <c:pt idx="66">
                  <c:v>4.1407317810433524</c:v>
                </c:pt>
                <c:pt idx="67">
                  <c:v>4.2536405248936573</c:v>
                </c:pt>
                <c:pt idx="68">
                  <c:v>4.3665592235460169</c:v>
                </c:pt>
                <c:pt idx="69">
                  <c:v>4.4794878787275927</c:v>
                </c:pt>
                <c:pt idx="70">
                  <c:v>4.5924264921665587</c:v>
                </c:pt>
                <c:pt idx="71">
                  <c:v>4.7053750655920465</c:v>
                </c:pt>
                <c:pt idx="72">
                  <c:v>4.8183336007341131</c:v>
                </c:pt>
                <c:pt idx="73">
                  <c:v>4.9313020993237071</c:v>
                </c:pt>
                <c:pt idx="74">
                  <c:v>5.0442805630926246</c:v>
                </c:pt>
                <c:pt idx="75">
                  <c:v>5.1572689937734948</c:v>
                </c:pt>
                <c:pt idx="76">
                  <c:v>5.2702673930997328</c:v>
                </c:pt>
                <c:pt idx="77">
                  <c:v>5.3832757628055257</c:v>
                </c:pt>
                <c:pt idx="78">
                  <c:v>5.4962941046258145</c:v>
                </c:pt>
                <c:pt idx="79">
                  <c:v>5.6093224202962446</c:v>
                </c:pt>
                <c:pt idx="80">
                  <c:v>5.7223607115531916</c:v>
                </c:pt>
                <c:pt idx="81">
                  <c:v>5.8354089801336846</c:v>
                </c:pt>
                <c:pt idx="82">
                  <c:v>5.948467227775442</c:v>
                </c:pt>
                <c:pt idx="83">
                  <c:v>6.0615354562168289</c:v>
                </c:pt>
                <c:pt idx="84">
                  <c:v>6.1746136671968417</c:v>
                </c:pt>
                <c:pt idx="85">
                  <c:v>6.287701862455104</c:v>
                </c:pt>
                <c:pt idx="86">
                  <c:v>6.4008000437318371</c:v>
                </c:pt>
                <c:pt idx="87">
                  <c:v>6.5139082127678796</c:v>
                </c:pt>
                <c:pt idx="88">
                  <c:v>6.627026371304642</c:v>
                </c:pt>
                <c:pt idx="89">
                  <c:v>6.7401545210841132</c:v>
                </c:pt>
                <c:pt idx="90">
                  <c:v>6.8532926638488565</c:v>
                </c:pt>
                <c:pt idx="91">
                  <c:v>6.9664408013419843</c:v>
                </c:pt>
                <c:pt idx="92">
                  <c:v>7.0795989353071631</c:v>
                </c:pt>
                <c:pt idx="93">
                  <c:v>7.1927670674886031</c:v>
                </c:pt>
                <c:pt idx="94">
                  <c:v>7.3059451996310436</c:v>
                </c:pt>
                <c:pt idx="95">
                  <c:v>7.4191333334797536</c:v>
                </c:pt>
                <c:pt idx="96">
                  <c:v>7.5323314707805311</c:v>
                </c:pt>
                <c:pt idx="97">
                  <c:v>7.645539613279678</c:v>
                </c:pt>
                <c:pt idx="98">
                  <c:v>7.7587577627240156</c:v>
                </c:pt>
                <c:pt idx="99">
                  <c:v>7.8719859208608671</c:v>
                </c:pt>
                <c:pt idx="100">
                  <c:v>7.9852240894380522</c:v>
                </c:pt>
              </c:numCache>
            </c:numRef>
          </c:val>
          <c:smooth val="0"/>
          <c:extLst>
            <c:ext xmlns:c16="http://schemas.microsoft.com/office/drawing/2014/chart" uri="{C3380CC4-5D6E-409C-BE32-E72D297353CC}">
              <c16:uniqueId val="{00000001-745B-46F7-8EAC-D410ADA60268}"/>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1.0080611538106194</c:v>
                </c:pt>
                <c:pt idx="2">
                  <c:v>1.0161223076212389</c:v>
                </c:pt>
                <c:pt idx="3">
                  <c:v>1.0241834614318581</c:v>
                </c:pt>
                <c:pt idx="4">
                  <c:v>1.0322446152424776</c:v>
                </c:pt>
                <c:pt idx="5">
                  <c:v>1.040305769053097</c:v>
                </c:pt>
                <c:pt idx="6">
                  <c:v>1.0483669228637165</c:v>
                </c:pt>
                <c:pt idx="7">
                  <c:v>1.0564280766743359</c:v>
                </c:pt>
                <c:pt idx="8">
                  <c:v>1.0644892304849551</c:v>
                </c:pt>
                <c:pt idx="9">
                  <c:v>1.0725503842955746</c:v>
                </c:pt>
                <c:pt idx="10">
                  <c:v>1.080611538106194</c:v>
                </c:pt>
                <c:pt idx="11">
                  <c:v>1.0886726919168135</c:v>
                </c:pt>
                <c:pt idx="12">
                  <c:v>1.0967338457274329</c:v>
                </c:pt>
                <c:pt idx="13">
                  <c:v>1.1047949995380524</c:v>
                </c:pt>
                <c:pt idx="14">
                  <c:v>1.1128561533486716</c:v>
                </c:pt>
                <c:pt idx="15">
                  <c:v>1.1209173071592911</c:v>
                </c:pt>
                <c:pt idx="16">
                  <c:v>1.1289784609699105</c:v>
                </c:pt>
                <c:pt idx="17">
                  <c:v>1.13703961478053</c:v>
                </c:pt>
                <c:pt idx="18">
                  <c:v>1.1451007685911492</c:v>
                </c:pt>
                <c:pt idx="19">
                  <c:v>1.1531619224017686</c:v>
                </c:pt>
                <c:pt idx="20">
                  <c:v>1.1612230762123881</c:v>
                </c:pt>
                <c:pt idx="21">
                  <c:v>1.1692842300230075</c:v>
                </c:pt>
                <c:pt idx="22">
                  <c:v>1.177345383833627</c:v>
                </c:pt>
                <c:pt idx="23">
                  <c:v>1.1854065376442464</c:v>
                </c:pt>
                <c:pt idx="24">
                  <c:v>1.1934676914548656</c:v>
                </c:pt>
                <c:pt idx="25">
                  <c:v>1.2171358222627291</c:v>
                </c:pt>
                <c:pt idx="26">
                  <c:v>1.3064447832492752</c:v>
                </c:pt>
                <c:pt idx="27">
                  <c:v>1.3940545373723043</c:v>
                </c:pt>
                <c:pt idx="28">
                  <c:v>1.4800586594380649</c:v>
                </c:pt>
                <c:pt idx="29">
                  <c:v>1.564542438537678</c:v>
                </c:pt>
                <c:pt idx="30">
                  <c:v>1.6475838701955547</c:v>
                </c:pt>
                <c:pt idx="31">
                  <c:v>1.7292545008052262</c:v>
                </c:pt>
                <c:pt idx="32">
                  <c:v>1.8096201503738238</c:v>
                </c:pt>
                <c:pt idx="33">
                  <c:v>1.8887415343465987</c:v>
                </c:pt>
                <c:pt idx="34">
                  <c:v>1.9666748012184143</c:v>
                </c:pt>
                <c:pt idx="35">
                  <c:v>2.0434719994657229</c:v>
                </c:pt>
                <c:pt idx="36">
                  <c:v>2.1191814848348742</c:v>
                </c:pt>
                <c:pt idx="37">
                  <c:v>2.1938482770422119</c:v>
                </c:pt>
                <c:pt idx="38">
                  <c:v>2.26751437336012</c:v>
                </c:pt>
                <c:pt idx="39">
                  <c:v>2.3402190252921136</c:v>
                </c:pt>
                <c:pt idx="40">
                  <c:v>2.4119989835121789</c:v>
                </c:pt>
                <c:pt idx="41">
                  <c:v>2.4828887154072539</c:v>
                </c:pt>
                <c:pt idx="42">
                  <c:v>2.5529205988776438</c:v>
                </c:pt>
                <c:pt idx="43">
                  <c:v>2.6221250954875472</c:v>
                </c:pt>
                <c:pt idx="44">
                  <c:v>2.6905309055929432</c:v>
                </c:pt>
                <c:pt idx="45">
                  <c:v>2.7581651076878937</c:v>
                </c:pt>
                <c:pt idx="46">
                  <c:v>2.8250532838883204</c:v>
                </c:pt>
                <c:pt idx="47">
                  <c:v>2.8912196332023985</c:v>
                </c:pt>
                <c:pt idx="48">
                  <c:v>2.9566870740098183</c:v>
                </c:pt>
                <c:pt idx="49">
                  <c:v>3.0214773369804124</c:v>
                </c:pt>
                <c:pt idx="50">
                  <c:v>3.0856110495002529</c:v>
                </c:pt>
                <c:pt idx="51">
                  <c:v>3.1491078125350231</c:v>
                </c:pt>
                <c:pt idx="52">
                  <c:v>3.2119862707425817</c:v>
                </c:pt>
                <c:pt idx="53">
                  <c:v>3.2742641765455138</c:v>
                </c:pt>
                <c:pt idx="54">
                  <c:v>3.3359584487877401</c:v>
                </c:pt>
                <c:pt idx="55">
                  <c:v>3.3970852265244131</c:v>
                </c:pt>
                <c:pt idx="56">
                  <c:v>3.4576599184297017</c:v>
                </c:pt>
                <c:pt idx="57">
                  <c:v>3.5176972482510607</c:v>
                </c:pt>
                <c:pt idx="58">
                  <c:v>3.5772112966898968</c:v>
                </c:pt>
                <c:pt idx="59">
                  <c:v>3.6362155400461287</c:v>
                </c:pt>
                <c:pt idx="60">
                  <c:v>3.6947228859271268</c:v>
                </c:pt>
                <c:pt idx="61">
                  <c:v>3.7527457062890681</c:v>
                </c:pt>
                <c:pt idx="62">
                  <c:v>3.8102958680503018</c:v>
                </c:pt>
                <c:pt idx="63">
                  <c:v>3.8673847614912837</c:v>
                </c:pt>
                <c:pt idx="64">
                  <c:v>3.9240233266336197</c:v>
                </c:pt>
                <c:pt idx="65">
                  <c:v>3.9802220777712103</c:v>
                </c:pt>
                <c:pt idx="66">
                  <c:v>4.0359911263093311</c:v>
                </c:pt>
                <c:pt idx="67">
                  <c:v>4.0913402020521037</c:v>
                </c:pt>
                <c:pt idx="68">
                  <c:v>4.1462786730653223</c:v>
                </c:pt>
                <c:pt idx="69">
                  <c:v>4.2008155642294316</c:v>
                </c:pt>
                <c:pt idx="70">
                  <c:v>4.2549595745867226</c:v>
                </c:pt>
                <c:pt idx="71">
                  <c:v>4.3087190935771584</c:v>
                </c:pt>
                <c:pt idx="72">
                  <c:v>4.362102216248636</c:v>
                </c:pt>
                <c:pt idx="73">
                  <c:v>4.4151167575197681</c:v>
                </c:pt>
                <c:pt idx="74">
                  <c:v>4.4677702655663367</c:v>
                </c:pt>
                <c:pt idx="75">
                  <c:v>4.5200700343963449</c:v>
                </c:pt>
                <c:pt idx="76">
                  <c:v>4.572023115672966</c:v>
                </c:pt>
                <c:pt idx="77">
                  <c:v>4.6236363298396812</c:v>
                </c:pt>
                <c:pt idx="78">
                  <c:v>4.6749162765972541</c:v>
                </c:pt>
                <c:pt idx="79">
                  <c:v>4.7258693447781379</c:v>
                </c:pt>
                <c:pt idx="80">
                  <c:v>4.7765017216601198</c:v>
                </c:pt>
                <c:pt idx="81">
                  <c:v>4.8268194017576569</c:v>
                </c:pt>
                <c:pt idx="82">
                  <c:v>4.8768281951262429</c:v>
                </c:pt>
                <c:pt idx="83">
                  <c:v>4.9265429186895933</c:v>
                </c:pt>
                <c:pt idx="84">
                  <c:v>4.9760541123428164</c:v>
                </c:pt>
                <c:pt idx="85">
                  <c:v>5.0252754457535316</c:v>
                </c:pt>
                <c:pt idx="86">
                  <c:v>5.0742120773823132</c:v>
                </c:pt>
                <c:pt idx="87">
                  <c:v>5.0175404611890517</c:v>
                </c:pt>
                <c:pt idx="88">
                  <c:v>5.1130119823729014</c:v>
                </c:pt>
                <c:pt idx="89">
                  <c:v>5.2084547719377587</c:v>
                </c:pt>
                <c:pt idx="90">
                  <c:v>5.3038967174515044</c:v>
                </c:pt>
                <c:pt idx="91">
                  <c:v>5.3993378195081432</c:v>
                </c:pt>
                <c:pt idx="92">
                  <c:v>5.4947780787017875</c:v>
                </c:pt>
                <c:pt idx="93">
                  <c:v>5.5902174956266268</c:v>
                </c:pt>
                <c:pt idx="94">
                  <c:v>5.6856560708769592</c:v>
                </c:pt>
                <c:pt idx="95">
                  <c:v>5.7810938050471554</c:v>
                </c:pt>
                <c:pt idx="96">
                  <c:v>5.876530698731667</c:v>
                </c:pt>
                <c:pt idx="97">
                  <c:v>5.9719667525250211</c:v>
                </c:pt>
                <c:pt idx="98">
                  <c:v>6.0674019670218273</c:v>
                </c:pt>
                <c:pt idx="99">
                  <c:v>6.1628363428167434</c:v>
                </c:pt>
                <c:pt idx="100">
                  <c:v>6.2582698805045114</c:v>
                </c:pt>
              </c:numCache>
            </c:numRef>
          </c:val>
          <c:smooth val="0"/>
          <c:extLst>
            <c:ext xmlns:c16="http://schemas.microsoft.com/office/drawing/2014/chart" uri="{C3380CC4-5D6E-409C-BE32-E72D297353CC}">
              <c16:uniqueId val="{00000002-745B-46F7-8EAC-D410ADA60268}"/>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Single'!$CB$5:$CB$105</c:f>
              <c:numCache>
                <c:formatCode>0.00</c:formatCode>
                <c:ptCount val="101"/>
                <c:pt idx="0">
                  <c:v>7.6590027474257143E-6</c:v>
                </c:pt>
                <c:pt idx="1">
                  <c:v>72.833576011909344</c:v>
                </c:pt>
                <c:pt idx="2">
                  <c:v>77.996679753169872</c:v>
                </c:pt>
                <c:pt idx="3">
                  <c:v>79.563279359503881</c:v>
                </c:pt>
                <c:pt idx="4">
                  <c:v>80.07125830166963</c:v>
                </c:pt>
                <c:pt idx="5">
                  <c:v>80.102577415680116</c:v>
                </c:pt>
                <c:pt idx="6">
                  <c:v>79.867337178555985</c:v>
                </c:pt>
                <c:pt idx="7">
                  <c:v>79.462157480692426</c:v>
                </c:pt>
                <c:pt idx="8">
                  <c:v>78.939044502237891</c:v>
                </c:pt>
                <c:pt idx="9">
                  <c:v>78.329338534719014</c:v>
                </c:pt>
                <c:pt idx="10">
                  <c:v>77.653612618499608</c:v>
                </c:pt>
                <c:pt idx="11">
                  <c:v>76.926301145697224</c:v>
                </c:pt>
                <c:pt idx="12">
                  <c:v>76.158076221101339</c:v>
                </c:pt>
                <c:pt idx="13">
                  <c:v>75.357161346495928</c:v>
                </c:pt>
                <c:pt idx="14">
                  <c:v>74.530102971306462</c:v>
                </c:pt>
                <c:pt idx="15">
                  <c:v>73.682247348803514</c:v>
                </c:pt>
                <c:pt idx="16">
                  <c:v>72.818048519233074</c:v>
                </c:pt>
                <c:pt idx="17">
                  <c:v>71.941275089454322</c:v>
                </c:pt>
                <c:pt idx="18">
                  <c:v>71.055153971747529</c:v>
                </c:pt>
                <c:pt idx="19">
                  <c:v>70.162473498194771</c:v>
                </c:pt>
                <c:pt idx="20">
                  <c:v>69.265659551781738</c:v>
                </c:pt>
                <c:pt idx="21">
                  <c:v>68.366833277132983</c:v>
                </c:pt>
                <c:pt idx="22">
                  <c:v>67.467855896201627</c:v>
                </c:pt>
                <c:pt idx="23">
                  <c:v>66.570364283344745</c:v>
                </c:pt>
                <c:pt idx="24">
                  <c:v>65.675799771512118</c:v>
                </c:pt>
                <c:pt idx="25">
                  <c:v>64.94530199376652</c:v>
                </c:pt>
                <c:pt idx="26">
                  <c:v>64.897765444814596</c:v>
                </c:pt>
                <c:pt idx="27">
                  <c:v>64.847282828298418</c:v>
                </c:pt>
                <c:pt idx="28">
                  <c:v>64.794294634472621</c:v>
                </c:pt>
                <c:pt idx="29">
                  <c:v>64.739175354428724</c:v>
                </c:pt>
                <c:pt idx="30">
                  <c:v>64.682244701725295</c:v>
                </c:pt>
                <c:pt idx="31">
                  <c:v>64.623776669225649</c:v>
                </c:pt>
                <c:pt idx="32">
                  <c:v>64.564006888321998</c:v>
                </c:pt>
                <c:pt idx="33">
                  <c:v>64.503138646538787</c:v>
                </c:pt>
                <c:pt idx="34">
                  <c:v>64.441347837145955</c:v>
                </c:pt>
                <c:pt idx="35">
                  <c:v>64.378787052819959</c:v>
                </c:pt>
                <c:pt idx="36">
                  <c:v>64.315588988916488</c:v>
                </c:pt>
                <c:pt idx="37">
                  <c:v>64.25186928655593</c:v>
                </c:pt>
                <c:pt idx="38">
                  <c:v>64.187728918604435</c:v>
                </c:pt>
                <c:pt idx="39">
                  <c:v>64.123256200680672</c:v>
                </c:pt>
                <c:pt idx="40">
                  <c:v>64.05852849301732</c:v>
                </c:pt>
                <c:pt idx="41">
                  <c:v>63.993613646239034</c:v>
                </c:pt>
                <c:pt idx="42">
                  <c:v>63.928571234058239</c:v>
                </c:pt>
                <c:pt idx="43">
                  <c:v>63.863453607912604</c:v>
                </c:pt>
                <c:pt idx="44">
                  <c:v>63.798306802209581</c:v>
                </c:pt>
                <c:pt idx="45">
                  <c:v>63.733171313746631</c:v>
                </c:pt>
                <c:pt idx="46">
                  <c:v>63.668082774769388</c:v>
                </c:pt>
                <c:pt idx="47">
                  <c:v>63.603072535806845</c:v>
                </c:pt>
                <c:pt idx="48">
                  <c:v>63.538168171718603</c:v>
                </c:pt>
                <c:pt idx="49">
                  <c:v>63.473393922182588</c:v>
                </c:pt>
                <c:pt idx="50">
                  <c:v>63.408771076039258</c:v>
                </c:pt>
                <c:pt idx="51">
                  <c:v>63.34431830741751</c:v>
                </c:pt>
                <c:pt idx="52">
                  <c:v>63.280051970333751</c:v>
                </c:pt>
                <c:pt idx="53">
                  <c:v>63.215986357432676</c:v>
                </c:pt>
                <c:pt idx="54">
                  <c:v>63.152133927685348</c:v>
                </c:pt>
                <c:pt idx="55">
                  <c:v>63.088505507148852</c:v>
                </c:pt>
                <c:pt idx="56">
                  <c:v>63.025110466293754</c:v>
                </c:pt>
                <c:pt idx="57">
                  <c:v>62.961956876904736</c:v>
                </c:pt>
                <c:pt idx="58">
                  <c:v>62.899051651134776</c:v>
                </c:pt>
                <c:pt idx="59">
                  <c:v>62.836400664936406</c:v>
                </c:pt>
                <c:pt idx="60">
                  <c:v>63.012978535856767</c:v>
                </c:pt>
                <c:pt idx="61">
                  <c:v>63.697999451507414</c:v>
                </c:pt>
                <c:pt idx="62">
                  <c:v>64.365507937065274</c:v>
                </c:pt>
                <c:pt idx="63">
                  <c:v>65.016225973803643</c:v>
                </c:pt>
                <c:pt idx="64">
                  <c:v>65.650119084179465</c:v>
                </c:pt>
                <c:pt idx="65">
                  <c:v>65.944829293165967</c:v>
                </c:pt>
                <c:pt idx="66">
                  <c:v>66.169051380569641</c:v>
                </c:pt>
                <c:pt idx="67">
                  <c:v>66.38823299970413</c:v>
                </c:pt>
                <c:pt idx="68">
                  <c:v>66.602521257468624</c:v>
                </c:pt>
                <c:pt idx="69">
                  <c:v>66.812046109232156</c:v>
                </c:pt>
                <c:pt idx="70">
                  <c:v>67.016932698129551</c:v>
                </c:pt>
                <c:pt idx="71">
                  <c:v>67.217301569096037</c:v>
                </c:pt>
                <c:pt idx="72">
                  <c:v>67.413268871482174</c:v>
                </c:pt>
                <c:pt idx="73">
                  <c:v>67.604946550952576</c:v>
                </c:pt>
                <c:pt idx="74">
                  <c:v>67.792442531320788</c:v>
                </c:pt>
                <c:pt idx="75">
                  <c:v>67.975860886929567</c:v>
                </c:pt>
                <c:pt idx="76">
                  <c:v>68.155302006141255</c:v>
                </c:pt>
                <c:pt idx="77">
                  <c:v>68.330862746466309</c:v>
                </c:pt>
                <c:pt idx="78">
                  <c:v>68.502636581821179</c:v>
                </c:pt>
                <c:pt idx="79">
                  <c:v>68.670713742374375</c:v>
                </c:pt>
                <c:pt idx="80">
                  <c:v>68.835181347408493</c:v>
                </c:pt>
                <c:pt idx="81">
                  <c:v>68.996123531598855</c:v>
                </c:pt>
                <c:pt idx="82">
                  <c:v>69.153621565081423</c:v>
                </c:pt>
                <c:pt idx="83">
                  <c:v>69.307753967660872</c:v>
                </c:pt>
                <c:pt idx="84">
                  <c:v>69.458596617485327</c:v>
                </c:pt>
                <c:pt idx="85">
                  <c:v>69.606222854493808</c:v>
                </c:pt>
                <c:pt idx="86">
                  <c:v>69.750703578924671</c:v>
                </c:pt>
                <c:pt idx="87">
                  <c:v>69.892107345152183</c:v>
                </c:pt>
                <c:pt idx="88">
                  <c:v>70.030500451105638</c:v>
                </c:pt>
                <c:pt idx="89">
                  <c:v>70.165947023505879</c:v>
                </c:pt>
                <c:pt idx="90">
                  <c:v>70.29850909914299</c:v>
                </c:pt>
                <c:pt idx="91">
                  <c:v>70.428246702402674</c:v>
                </c:pt>
                <c:pt idx="92">
                  <c:v>70.555217919238515</c:v>
                </c:pt>
                <c:pt idx="93">
                  <c:v>70.679478967774116</c:v>
                </c:pt>
                <c:pt idx="94">
                  <c:v>70.801084265708099</c:v>
                </c:pt>
                <c:pt idx="95">
                  <c:v>70.920086494686259</c:v>
                </c:pt>
                <c:pt idx="96">
                  <c:v>71.03653666179342</c:v>
                </c:pt>
                <c:pt idx="97">
                  <c:v>71.150484158310462</c:v>
                </c:pt>
                <c:pt idx="98">
                  <c:v>71.261976815872671</c:v>
                </c:pt>
                <c:pt idx="99">
                  <c:v>71.371060960157564</c:v>
                </c:pt>
                <c:pt idx="100">
                  <c:v>71.477781462223859</c:v>
                </c:pt>
              </c:numCache>
            </c:numRef>
          </c:val>
          <c:smooth val="0"/>
          <c:extLst>
            <c:ext xmlns:c16="http://schemas.microsoft.com/office/drawing/2014/chart" uri="{C3380CC4-5D6E-409C-BE32-E72D297353CC}">
              <c16:uniqueId val="{00000000-8093-4275-A0A4-629DC5917466}"/>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6.7059999999999998E-7</c:v>
                </c:pt>
                <c:pt idx="1">
                  <c:v>26.823999999999998</c:v>
                </c:pt>
                <c:pt idx="2">
                  <c:v>53.647999999999996</c:v>
                </c:pt>
                <c:pt idx="3">
                  <c:v>80.471999999999994</c:v>
                </c:pt>
                <c:pt idx="4">
                  <c:v>107.29599999999999</c:v>
                </c:pt>
                <c:pt idx="5">
                  <c:v>134.11999999999998</c:v>
                </c:pt>
                <c:pt idx="6">
                  <c:v>160.94399999999999</c:v>
                </c:pt>
                <c:pt idx="7">
                  <c:v>187.768</c:v>
                </c:pt>
                <c:pt idx="8">
                  <c:v>214.59199999999998</c:v>
                </c:pt>
                <c:pt idx="9">
                  <c:v>241.416</c:v>
                </c:pt>
                <c:pt idx="10">
                  <c:v>268.23999999999995</c:v>
                </c:pt>
                <c:pt idx="11">
                  <c:v>295.06399999999996</c:v>
                </c:pt>
                <c:pt idx="12">
                  <c:v>321.88799999999998</c:v>
                </c:pt>
                <c:pt idx="13">
                  <c:v>348.71199999999999</c:v>
                </c:pt>
                <c:pt idx="14">
                  <c:v>375.536</c:v>
                </c:pt>
                <c:pt idx="15">
                  <c:v>402.36</c:v>
                </c:pt>
                <c:pt idx="16">
                  <c:v>429.18399999999997</c:v>
                </c:pt>
                <c:pt idx="17">
                  <c:v>456.00799999999998</c:v>
                </c:pt>
                <c:pt idx="18">
                  <c:v>482.83199999999999</c:v>
                </c:pt>
                <c:pt idx="19">
                  <c:v>509.65599999999989</c:v>
                </c:pt>
                <c:pt idx="20">
                  <c:v>536.4799999999999</c:v>
                </c:pt>
                <c:pt idx="21">
                  <c:v>563.30399999999986</c:v>
                </c:pt>
                <c:pt idx="22">
                  <c:v>590.12799999999993</c:v>
                </c:pt>
                <c:pt idx="23">
                  <c:v>616.952</c:v>
                </c:pt>
                <c:pt idx="24">
                  <c:v>643.77599999999995</c:v>
                </c:pt>
                <c:pt idx="25">
                  <c:v>670.6</c:v>
                </c:pt>
                <c:pt idx="26">
                  <c:v>697.42399999999998</c:v>
                </c:pt>
                <c:pt idx="27">
                  <c:v>724.24800000000005</c:v>
                </c:pt>
                <c:pt idx="28">
                  <c:v>751.072</c:v>
                </c:pt>
                <c:pt idx="29">
                  <c:v>777.89599999999996</c:v>
                </c:pt>
                <c:pt idx="30">
                  <c:v>804.72</c:v>
                </c:pt>
                <c:pt idx="31">
                  <c:v>831.54399999999998</c:v>
                </c:pt>
                <c:pt idx="32">
                  <c:v>858.36799999999994</c:v>
                </c:pt>
                <c:pt idx="33">
                  <c:v>885.19199999999989</c:v>
                </c:pt>
                <c:pt idx="34">
                  <c:v>912.01599999999996</c:v>
                </c:pt>
                <c:pt idx="35">
                  <c:v>938.8399999999998</c:v>
                </c:pt>
                <c:pt idx="36">
                  <c:v>965.66399999999999</c:v>
                </c:pt>
                <c:pt idx="37">
                  <c:v>992.48800000000006</c:v>
                </c:pt>
                <c:pt idx="38">
                  <c:v>1019.3119999999998</c:v>
                </c:pt>
                <c:pt idx="39">
                  <c:v>1046.1359999999997</c:v>
                </c:pt>
                <c:pt idx="40">
                  <c:v>1072.9599999999998</c:v>
                </c:pt>
                <c:pt idx="41">
                  <c:v>1099.7839999999999</c:v>
                </c:pt>
                <c:pt idx="42">
                  <c:v>1126.6079999999997</c:v>
                </c:pt>
                <c:pt idx="43">
                  <c:v>1153.432</c:v>
                </c:pt>
                <c:pt idx="44">
                  <c:v>1180.2559999999999</c:v>
                </c:pt>
                <c:pt idx="45">
                  <c:v>1207.08</c:v>
                </c:pt>
                <c:pt idx="46">
                  <c:v>1233.904</c:v>
                </c:pt>
                <c:pt idx="47">
                  <c:v>1260.7279999999998</c:v>
                </c:pt>
                <c:pt idx="48">
                  <c:v>1287.5519999999999</c:v>
                </c:pt>
                <c:pt idx="49">
                  <c:v>1314.3759999999997</c:v>
                </c:pt>
                <c:pt idx="50">
                  <c:v>1341.2</c:v>
                </c:pt>
                <c:pt idx="51">
                  <c:v>1368.0239999999999</c:v>
                </c:pt>
                <c:pt idx="52">
                  <c:v>1394.848</c:v>
                </c:pt>
                <c:pt idx="53">
                  <c:v>1421.6719999999998</c:v>
                </c:pt>
                <c:pt idx="54">
                  <c:v>1448.4960000000001</c:v>
                </c:pt>
                <c:pt idx="55">
                  <c:v>1475.32</c:v>
                </c:pt>
                <c:pt idx="56">
                  <c:v>1502.144</c:v>
                </c:pt>
                <c:pt idx="57">
                  <c:v>1528.9679999999998</c:v>
                </c:pt>
                <c:pt idx="58">
                  <c:v>1555.7919999999999</c:v>
                </c:pt>
                <c:pt idx="59">
                  <c:v>1582.6159999999998</c:v>
                </c:pt>
                <c:pt idx="60">
                  <c:v>1609.44</c:v>
                </c:pt>
                <c:pt idx="61">
                  <c:v>1636.2639999999999</c:v>
                </c:pt>
                <c:pt idx="62">
                  <c:v>1663.088</c:v>
                </c:pt>
                <c:pt idx="63">
                  <c:v>1689.9119999999996</c:v>
                </c:pt>
                <c:pt idx="64">
                  <c:v>1716.7359999999999</c:v>
                </c:pt>
                <c:pt idx="65">
                  <c:v>1743.5599999999997</c:v>
                </c:pt>
                <c:pt idx="66">
                  <c:v>1770.3839999999998</c:v>
                </c:pt>
                <c:pt idx="67">
                  <c:v>1797.2079999999999</c:v>
                </c:pt>
                <c:pt idx="68">
                  <c:v>1824.0319999999999</c:v>
                </c:pt>
                <c:pt idx="69">
                  <c:v>1850.8559999999995</c:v>
                </c:pt>
                <c:pt idx="70">
                  <c:v>1877.6799999999996</c:v>
                </c:pt>
                <c:pt idx="71">
                  <c:v>1904.5039999999997</c:v>
                </c:pt>
                <c:pt idx="72">
                  <c:v>1931.328</c:v>
                </c:pt>
                <c:pt idx="73">
                  <c:v>1958.1519999999998</c:v>
                </c:pt>
                <c:pt idx="74">
                  <c:v>1984.9760000000001</c:v>
                </c:pt>
                <c:pt idx="75">
                  <c:v>2011.7999999999995</c:v>
                </c:pt>
                <c:pt idx="76">
                  <c:v>2038.6239999999996</c:v>
                </c:pt>
                <c:pt idx="77">
                  <c:v>2065.4479999999994</c:v>
                </c:pt>
                <c:pt idx="78">
                  <c:v>2092.2719999999995</c:v>
                </c:pt>
                <c:pt idx="79">
                  <c:v>2119.096</c:v>
                </c:pt>
                <c:pt idx="80">
                  <c:v>2145.9199999999996</c:v>
                </c:pt>
                <c:pt idx="81">
                  <c:v>2172.7439999999997</c:v>
                </c:pt>
                <c:pt idx="82">
                  <c:v>2199.5679999999998</c:v>
                </c:pt>
                <c:pt idx="83">
                  <c:v>2226.3919999999998</c:v>
                </c:pt>
                <c:pt idx="84">
                  <c:v>2253.2159999999994</c:v>
                </c:pt>
                <c:pt idx="85">
                  <c:v>2280.0399999999995</c:v>
                </c:pt>
                <c:pt idx="86">
                  <c:v>2306.864</c:v>
                </c:pt>
                <c:pt idx="87">
                  <c:v>2333.6880000000001</c:v>
                </c:pt>
                <c:pt idx="88">
                  <c:v>2360.5119999999997</c:v>
                </c:pt>
                <c:pt idx="89">
                  <c:v>2387.3359999999998</c:v>
                </c:pt>
                <c:pt idx="90">
                  <c:v>2414.16</c:v>
                </c:pt>
                <c:pt idx="91">
                  <c:v>2440.9839999999999</c:v>
                </c:pt>
                <c:pt idx="92">
                  <c:v>2467.808</c:v>
                </c:pt>
                <c:pt idx="93">
                  <c:v>2494.6320000000001</c:v>
                </c:pt>
                <c:pt idx="94">
                  <c:v>2521.4559999999997</c:v>
                </c:pt>
                <c:pt idx="95">
                  <c:v>2548.2799999999997</c:v>
                </c:pt>
                <c:pt idx="96">
                  <c:v>2575.1039999999998</c:v>
                </c:pt>
                <c:pt idx="97">
                  <c:v>2601.9279999999994</c:v>
                </c:pt>
                <c:pt idx="98">
                  <c:v>2628.7519999999995</c:v>
                </c:pt>
                <c:pt idx="99">
                  <c:v>2655.5759999999996</c:v>
                </c:pt>
                <c:pt idx="100">
                  <c:v>2682.4</c:v>
                </c:pt>
              </c:numCache>
            </c:numRef>
          </c:val>
          <c:smooth val="0"/>
          <c:extLst>
            <c:ext xmlns:c16="http://schemas.microsoft.com/office/drawing/2014/chart" uri="{C3380CC4-5D6E-409C-BE32-E72D297353CC}">
              <c16:uniqueId val="{00000001-8093-4275-A0A4-629DC5917466}"/>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113.14710549203468</c:v>
                </c:pt>
                <c:pt idx="1">
                  <c:v>133.13287323528562</c:v>
                </c:pt>
                <c:pt idx="2">
                  <c:v>266.37594716403959</c:v>
                </c:pt>
                <c:pt idx="3">
                  <c:v>399.72935867079832</c:v>
                </c:pt>
                <c:pt idx="4">
                  <c:v>533.19324486689868</c:v>
                </c:pt>
                <c:pt idx="5">
                  <c:v>666.76774309094628</c:v>
                </c:pt>
                <c:pt idx="6">
                  <c:v>800.45299090928961</c:v>
                </c:pt>
                <c:pt idx="7">
                  <c:v>934.24912611648881</c:v>
                </c:pt>
                <c:pt idx="8">
                  <c:v>1068.1562867357911</c:v>
                </c:pt>
                <c:pt idx="9">
                  <c:v>1202.1746110196052</c:v>
                </c:pt>
                <c:pt idx="10">
                  <c:v>1336.3042374499769</c:v>
                </c:pt>
                <c:pt idx="11">
                  <c:v>1470.545304739067</c:v>
                </c:pt>
                <c:pt idx="12">
                  <c:v>1604.897951829626</c:v>
                </c:pt>
                <c:pt idx="13">
                  <c:v>1739.3623178954792</c:v>
                </c:pt>
                <c:pt idx="14">
                  <c:v>1873.938542342001</c:v>
                </c:pt>
                <c:pt idx="15">
                  <c:v>2008.6267648066025</c:v>
                </c:pt>
                <c:pt idx="16">
                  <c:v>2143.4271251592095</c:v>
                </c:pt>
                <c:pt idx="17">
                  <c:v>2278.3397635027513</c:v>
                </c:pt>
                <c:pt idx="18">
                  <c:v>2413.3648201736391</c:v>
                </c:pt>
                <c:pt idx="19">
                  <c:v>2548.5024357422635</c:v>
                </c:pt>
                <c:pt idx="20">
                  <c:v>2683.7527510134723</c:v>
                </c:pt>
                <c:pt idx="21">
                  <c:v>2819.1159070270628</c:v>
                </c:pt>
                <c:pt idx="22">
                  <c:v>2954.5920450582739</c:v>
                </c:pt>
                <c:pt idx="23">
                  <c:v>3090.1813066182735</c:v>
                </c:pt>
                <c:pt idx="24">
                  <c:v>3225.8838334546572</c:v>
                </c:pt>
                <c:pt idx="25">
                  <c:v>3346.598319486086</c:v>
                </c:pt>
                <c:pt idx="26">
                  <c:v>3402.3675711228593</c:v>
                </c:pt>
                <c:pt idx="27">
                  <c:v>3457.3623854110901</c:v>
                </c:pt>
                <c:pt idx="28">
                  <c:v>3511.6339015030367</c:v>
                </c:pt>
                <c:pt idx="29">
                  <c:v>3565.2287368391949</c:v>
                </c:pt>
                <c:pt idx="30">
                  <c:v>3618.1895318133443</c:v>
                </c:pt>
                <c:pt idx="31">
                  <c:v>3670.5554131477134</c:v>
                </c:pt>
                <c:pt idx="32">
                  <c:v>3722.3623903215321</c:v>
                </c:pt>
                <c:pt idx="33">
                  <c:v>3773.6436964992481</c:v>
                </c:pt>
                <c:pt idx="34">
                  <c:v>3824.4300831623577</c:v>
                </c:pt>
                <c:pt idx="35">
                  <c:v>3874.7500758984429</c:v>
                </c:pt>
                <c:pt idx="36">
                  <c:v>3924.630197423734</c:v>
                </c:pt>
                <c:pt idx="37">
                  <c:v>3974.0951628237053</c:v>
                </c:pt>
                <c:pt idx="38">
                  <c:v>4023.1680511246682</c:v>
                </c:pt>
                <c:pt idx="39">
                  <c:v>4071.87045660888</c:v>
                </c:pt>
                <c:pt idx="40">
                  <c:v>4120.2226227194506</c:v>
                </c:pt>
                <c:pt idx="41">
                  <c:v>4168.2435609406666</c:v>
                </c:pt>
                <c:pt idx="42">
                  <c:v>4215.9511566627052</c:v>
                </c:pt>
                <c:pt idx="43">
                  <c:v>4263.3622637298968</c:v>
                </c:pt>
                <c:pt idx="44">
                  <c:v>4310.4927891158986</c:v>
                </c:pt>
                <c:pt idx="45">
                  <c:v>4357.3577689565618</c:v>
                </c:pt>
                <c:pt idx="46">
                  <c:v>4403.9714369941767</c:v>
                </c:pt>
                <c:pt idx="47">
                  <c:v>4450.3472863382995</c:v>
                </c:pt>
                <c:pt idx="48">
                  <c:v>4496.4981253236447</c:v>
                </c:pt>
                <c:pt idx="49">
                  <c:v>4542.4361281400415</c:v>
                </c:pt>
                <c:pt idx="50">
                  <c:v>4588.1728808202906</c:v>
                </c:pt>
                <c:pt idx="51">
                  <c:v>4633.7194230957202</c:v>
                </c:pt>
                <c:pt idx="52">
                  <c:v>4679.0862865644185</c:v>
                </c:pt>
                <c:pt idx="53">
                  <c:v>4724.2835295617315</c:v>
                </c:pt>
                <c:pt idx="54">
                  <c:v>4769.3207690748523</c:v>
                </c:pt>
                <c:pt idx="55">
                  <c:v>4814.2072100023033</c:v>
                </c:pt>
                <c:pt idx="56">
                  <c:v>4858.9516720236816</c:v>
                </c:pt>
                <c:pt idx="57">
                  <c:v>4903.5626143142063</c:v>
                </c:pt>
                <c:pt idx="58">
                  <c:v>4948.0481583120227</c:v>
                </c:pt>
                <c:pt idx="59">
                  <c:v>4992.4161087228586</c:v>
                </c:pt>
                <c:pt idx="60">
                  <c:v>5011.0649510925359</c:v>
                </c:pt>
                <c:pt idx="61">
                  <c:v>4974.5333156983306</c:v>
                </c:pt>
                <c:pt idx="62">
                  <c:v>4938.9002324305402</c:v>
                </c:pt>
                <c:pt idx="63">
                  <c:v>4904.1446855068898</c:v>
                </c:pt>
                <c:pt idx="64">
                  <c:v>4870.214499579768</c:v>
                </c:pt>
                <c:pt idx="65">
                  <c:v>4870.7033793751862</c:v>
                </c:pt>
                <c:pt idx="66">
                  <c:v>4878.3975413179223</c:v>
                </c:pt>
                <c:pt idx="67">
                  <c:v>4886.4981207688033</c:v>
                </c:pt>
                <c:pt idx="68">
                  <c:v>4895.0219626207427</c:v>
                </c:pt>
                <c:pt idx="69">
                  <c:v>4903.9644535346479</c:v>
                </c:pt>
                <c:pt idx="70">
                  <c:v>4913.3213909507112</c:v>
                </c:pt>
                <c:pt idx="71">
                  <c:v>4923.088959902705</c:v>
                </c:pt>
                <c:pt idx="72">
                  <c:v>4933.2637117423264</c:v>
                </c:pt>
                <c:pt idx="73">
                  <c:v>4943.8425446039473</c:v>
                </c:pt>
                <c:pt idx="74">
                  <c:v>4954.8226854575287</c:v>
                </c:pt>
                <c:pt idx="75">
                  <c:v>4966.2016736128808</c:v>
                </c:pt>
                <c:pt idx="76">
                  <c:v>4977.9773455520972</c:v>
                </c:pt>
                <c:pt idx="77">
                  <c:v>4990.1478209792376</c:v>
                </c:pt>
                <c:pt idx="78">
                  <c:v>5002.7114899871849</c:v>
                </c:pt>
                <c:pt idx="79">
                  <c:v>5015.6670012512423</c:v>
                </c:pt>
                <c:pt idx="80">
                  <c:v>5029.0132511677821</c:v>
                </c:pt>
                <c:pt idx="81">
                  <c:v>5042.749373863965</c:v>
                </c:pt>
                <c:pt idx="82">
                  <c:v>5056.8747320115408</c:v>
                </c:pt>
                <c:pt idx="83">
                  <c:v>5071.3889083839149</c:v>
                </c:pt>
                <c:pt idx="84">
                  <c:v>5086.2916981014105</c:v>
                </c:pt>
                <c:pt idx="85">
                  <c:v>5101.5831015145768</c:v>
                </c:pt>
                <c:pt idx="86">
                  <c:v>5117.2633176800173</c:v>
                </c:pt>
                <c:pt idx="87">
                  <c:v>5133.3327383873748</c:v>
                </c:pt>
                <c:pt idx="88">
                  <c:v>5149.7919426996841</c:v>
                </c:pt>
                <c:pt idx="89">
                  <c:v>5166.641691972849</c:v>
                </c:pt>
                <c:pt idx="90">
                  <c:v>5183.8829253229242</c:v>
                </c:pt>
                <c:pt idx="91">
                  <c:v>5201.5167555127064</c:v>
                </c:pt>
                <c:pt idx="92">
                  <c:v>5219.5444652316737</c:v>
                </c:pt>
                <c:pt idx="93">
                  <c:v>5237.9675037455227</c:v>
                </c:pt>
                <c:pt idx="94">
                  <c:v>5256.7874838937878</c:v>
                </c:pt>
                <c:pt idx="95">
                  <c:v>5276.0061794157946</c:v>
                </c:pt>
                <c:pt idx="96">
                  <c:v>5295.62552258701</c:v>
                </c:pt>
                <c:pt idx="97">
                  <c:v>5315.6476021494582</c:v>
                </c:pt>
                <c:pt idx="98">
                  <c:v>5336.0746615213038</c:v>
                </c:pt>
                <c:pt idx="99">
                  <c:v>5356.9090972720987</c:v>
                </c:pt>
                <c:pt idx="100">
                  <c:v>5378.1534578513429</c:v>
                </c:pt>
              </c:numCache>
            </c:numRef>
          </c:val>
          <c:smooth val="0"/>
          <c:extLst>
            <c:ext xmlns:c16="http://schemas.microsoft.com/office/drawing/2014/chart" uri="{C3380CC4-5D6E-409C-BE32-E72D297353CC}">
              <c16:uniqueId val="{00000002-8093-4275-A0A4-629DC5917466}"/>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261.86877323253276</c:v>
                </c:pt>
                <c:pt idx="1">
                  <c:v>270.74780435593379</c:v>
                </c:pt>
                <c:pt idx="2">
                  <c:v>338.52071765161088</c:v>
                </c:pt>
                <c:pt idx="3">
                  <c:v>424.36731581146648</c:v>
                </c:pt>
                <c:pt idx="4">
                  <c:v>532.41713035984549</c:v>
                </c:pt>
                <c:pt idx="5">
                  <c:v>666.13162351296285</c:v>
                </c:pt>
                <c:pt idx="6">
                  <c:v>828.55374409599403</c:v>
                </c:pt>
                <c:pt idx="7">
                  <c:v>1022.4315780191923</c:v>
                </c:pt>
                <c:pt idx="8">
                  <c:v>1250.2907168119605</c:v>
                </c:pt>
                <c:pt idx="9">
                  <c:v>1514.4810365632363</c:v>
                </c:pt>
                <c:pt idx="10">
                  <c:v>1817.2090357549941</c:v>
                </c:pt>
                <c:pt idx="11">
                  <c:v>2160.5613070964573</c:v>
                </c:pt>
                <c:pt idx="12">
                  <c:v>2546.5222189177885</c:v>
                </c:pt>
                <c:pt idx="13">
                  <c:v>2976.9876306909264</c:v>
                </c:pt>
                <c:pt idx="14">
                  <c:v>3453.7757877597105</c:v>
                </c:pt>
                <c:pt idx="15">
                  <c:v>3978.6361470023353</c:v>
                </c:pt>
                <c:pt idx="16">
                  <c:v>4553.2566454563575</c:v>
                </c:pt>
                <c:pt idx="17">
                  <c:v>5179.2697715859777</c:v>
                </c:pt>
                <c:pt idx="18">
                  <c:v>5858.2576985472206</c:v>
                </c:pt>
                <c:pt idx="19">
                  <c:v>6591.7566707196202</c:v>
                </c:pt>
                <c:pt idx="20">
                  <c:v>7381.2607873465458</c:v>
                </c:pt>
                <c:pt idx="21">
                  <c:v>8228.2252933334894</c:v>
                </c:pt>
                <c:pt idx="22">
                  <c:v>9134.0694626884597</c:v>
                </c:pt>
                <c:pt idx="23">
                  <c:v>10100.179141913575</c:v>
                </c:pt>
                <c:pt idx="24">
                  <c:v>11127.909006994019</c:v>
                </c:pt>
                <c:pt idx="25">
                  <c:v>12120.004696449758</c:v>
                </c:pt>
                <c:pt idx="26">
                  <c:v>12720.309676448451</c:v>
                </c:pt>
                <c:pt idx="27">
                  <c:v>13326.419268949814</c:v>
                </c:pt>
                <c:pt idx="28">
                  <c:v>13938.199078449563</c:v>
                </c:pt>
                <c:pt idx="29">
                  <c:v>14555.523465460008</c:v>
                </c:pt>
                <c:pt idx="30">
                  <c:v>15178.274707488337</c:v>
                </c:pt>
                <c:pt idx="31">
                  <c:v>15806.342265744335</c:v>
                </c:pt>
                <c:pt idx="32">
                  <c:v>16439.622141264626</c:v>
                </c:pt>
                <c:pt idx="33">
                  <c:v>17078.016307090515</c:v>
                </c:pt>
                <c:pt idx="34">
                  <c:v>17721.432205479377</c:v>
                </c:pt>
                <c:pt idx="35">
                  <c:v>18369.782301004529</c:v>
                </c:pt>
                <c:pt idx="36">
                  <c:v>19022.983681909835</c:v>
                </c:pt>
                <c:pt idx="37">
                  <c:v>19680.957703311593</c:v>
                </c:pt>
                <c:pt idx="38">
                  <c:v>20343.62966684176</c:v>
                </c:pt>
                <c:pt idx="39">
                  <c:v>21010.92853214913</c:v>
                </c:pt>
                <c:pt idx="40">
                  <c:v>21682.786656354267</c:v>
                </c:pt>
                <c:pt idx="41">
                  <c:v>22359.139558119019</c:v>
                </c:pt>
                <c:pt idx="42">
                  <c:v>23039.925703461202</c:v>
                </c:pt>
                <c:pt idx="43">
                  <c:v>23725.086310840667</c:v>
                </c:pt>
                <c:pt idx="44">
                  <c:v>24414.565173375329</c:v>
                </c:pt>
                <c:pt idx="45">
                  <c:v>25108.308496326965</c:v>
                </c:pt>
                <c:pt idx="46">
                  <c:v>25806.264748235386</c:v>
                </c:pt>
                <c:pt idx="47">
                  <c:v>26508.384524283232</c:v>
                </c:pt>
                <c:pt idx="48">
                  <c:v>27214.620420648738</c:v>
                </c:pt>
                <c:pt idx="49">
                  <c:v>27924.926918751731</c:v>
                </c:pt>
                <c:pt idx="50">
                  <c:v>28639.26027842945</c:v>
                </c:pt>
                <c:pt idx="51">
                  <c:v>29357.578439187797</c:v>
                </c:pt>
                <c:pt idx="52">
                  <c:v>30079.840928772457</c:v>
                </c:pt>
                <c:pt idx="53">
                  <c:v>30806.008778386673</c:v>
                </c:pt>
                <c:pt idx="54">
                  <c:v>31536.044443957038</c:v>
                </c:pt>
                <c:pt idx="55">
                  <c:v>32269.911732911743</c:v>
                </c:pt>
                <c:pt idx="56">
                  <c:v>33007.575735993218</c:v>
                </c:pt>
                <c:pt idx="57">
                  <c:v>33749.002763674413</c:v>
                </c:pt>
                <c:pt idx="58">
                  <c:v>34494.160286794388</c:v>
                </c:pt>
                <c:pt idx="59">
                  <c:v>35243.016881064112</c:v>
                </c:pt>
                <c:pt idx="60">
                  <c:v>35586.371862783213</c:v>
                </c:pt>
                <c:pt idx="61">
                  <c:v>35051.784058859201</c:v>
                </c:pt>
                <c:pt idx="62">
                  <c:v>34533.780697639675</c:v>
                </c:pt>
                <c:pt idx="63">
                  <c:v>34031.097779887059</c:v>
                </c:pt>
                <c:pt idx="64">
                  <c:v>33543.894523127208</c:v>
                </c:pt>
                <c:pt idx="65">
                  <c:v>33614.02419000995</c:v>
                </c:pt>
                <c:pt idx="66">
                  <c:v>33792.764356890977</c:v>
                </c:pt>
                <c:pt idx="67">
                  <c:v>33970.734738959203</c:v>
                </c:pt>
                <c:pt idx="68">
                  <c:v>34147.97324635103</c:v>
                </c:pt>
                <c:pt idx="69">
                  <c:v>34324.557116419353</c:v>
                </c:pt>
                <c:pt idx="70">
                  <c:v>34500.560186543698</c:v>
                </c:pt>
                <c:pt idx="71">
                  <c:v>34676.053119125478</c:v>
                </c:pt>
                <c:pt idx="72">
                  <c:v>34851.103610166014</c:v>
                </c:pt>
                <c:pt idx="73">
                  <c:v>35025.776582829778</c:v>
                </c:pt>
                <c:pt idx="74">
                  <c:v>35200.134367264436</c:v>
                </c:pt>
                <c:pt idx="75">
                  <c:v>35374.236867823813</c:v>
                </c:pt>
                <c:pt idx="76">
                  <c:v>35548.14171873853</c:v>
                </c:pt>
                <c:pt idx="77">
                  <c:v>35721.904429178467</c:v>
                </c:pt>
                <c:pt idx="78">
                  <c:v>35895.578518566937</c:v>
                </c:pt>
                <c:pt idx="79">
                  <c:v>36069.215642927855</c:v>
                </c:pt>
                <c:pt idx="80">
                  <c:v>36242.865712978579</c:v>
                </c:pt>
                <c:pt idx="81">
                  <c:v>36416.577004616687</c:v>
                </c:pt>
                <c:pt idx="82">
                  <c:v>36590.396262394621</c:v>
                </c:pt>
                <c:pt idx="83">
                  <c:v>36764.368796521849</c:v>
                </c:pt>
                <c:pt idx="84">
                  <c:v>36938.53857389091</c:v>
                </c:pt>
                <c:pt idx="85">
                  <c:v>37112.948303580546</c:v>
                </c:pt>
                <c:pt idx="86">
                  <c:v>37287.639517250827</c:v>
                </c:pt>
                <c:pt idx="87">
                  <c:v>37462.652644813206</c:v>
                </c:pt>
                <c:pt idx="88">
                  <c:v>37638.027085722708</c:v>
                </c:pt>
                <c:pt idx="89">
                  <c:v>37813.801276217724</c:v>
                </c:pt>
                <c:pt idx="90">
                  <c:v>37990.012752800336</c:v>
                </c:pt>
                <c:pt idx="91">
                  <c:v>38166.698212232739</c:v>
                </c:pt>
                <c:pt idx="92">
                  <c:v>38343.893568298969</c:v>
                </c:pt>
                <c:pt idx="93">
                  <c:v>38521.634005565276</c:v>
                </c:pt>
                <c:pt idx="94">
                  <c:v>38699.954030354143</c:v>
                </c:pt>
                <c:pt idx="95">
                  <c:v>38878.887519128533</c:v>
                </c:pt>
                <c:pt idx="96">
                  <c:v>39058.467764471287</c:v>
                </c:pt>
                <c:pt idx="97">
                  <c:v>39238.727518829335</c:v>
                </c:pt>
                <c:pt idx="98">
                  <c:v>39419.699036179758</c:v>
                </c:pt>
                <c:pt idx="99">
                  <c:v>39601.414111764869</c:v>
                </c:pt>
                <c:pt idx="100">
                  <c:v>39783.904120031861</c:v>
                </c:pt>
              </c:numCache>
            </c:numRef>
          </c:val>
          <c:smooth val="0"/>
          <c:extLst>
            <c:ext xmlns:c16="http://schemas.microsoft.com/office/drawing/2014/chart" uri="{C3380CC4-5D6E-409C-BE32-E72D297353CC}">
              <c16:uniqueId val="{00000003-8093-4275-A0A4-629DC5917466}"/>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Single'!$AN$110:$AN$210</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346.46747517119354</c:v>
                </c:pt>
                <c:pt idx="35">
                  <c:v>337.20497458530429</c:v>
                </c:pt>
                <c:pt idx="36">
                  <c:v>328.37054089960293</c:v>
                </c:pt>
                <c:pt idx="37">
                  <c:v>320.00004808775134</c:v>
                </c:pt>
                <c:pt idx="38">
                  <c:v>312.05526468283392</c:v>
                </c:pt>
                <c:pt idx="39">
                  <c:v>304.4929246772827</c:v>
                </c:pt>
                <c:pt idx="40">
                  <c:v>297.28606206998995</c:v>
                </c:pt>
                <c:pt idx="41">
                  <c:v>290.41018779832172</c:v>
                </c:pt>
                <c:pt idx="42">
                  <c:v>283.84301172614255</c:v>
                </c:pt>
                <c:pt idx="43">
                  <c:v>277.56420125463723</c:v>
                </c:pt>
                <c:pt idx="44">
                  <c:v>271.55517104843642</c:v>
                </c:pt>
                <c:pt idx="45">
                  <c:v>265.79889929620032</c:v>
                </c:pt>
                <c:pt idx="46">
                  <c:v>260.27976667968454</c:v>
                </c:pt>
                <c:pt idx="47">
                  <c:v>254.98341484305598</c:v>
                </c:pt>
                <c:pt idx="48">
                  <c:v>249.89662166198761</c:v>
                </c:pt>
                <c:pt idx="49">
                  <c:v>245.00719103116529</c:v>
                </c:pt>
                <c:pt idx="50">
                  <c:v>240.30385523616329</c:v>
                </c:pt>
                <c:pt idx="51">
                  <c:v>235.77618826458934</c:v>
                </c:pt>
                <c:pt idx="52">
                  <c:v>231.41452865267959</c:v>
                </c:pt>
                <c:pt idx="53">
                  <c:v>227.20991066569363</c:v>
                </c:pt>
                <c:pt idx="54">
                  <c:v>223.15400278047301</c:v>
                </c:pt>
                <c:pt idx="55">
                  <c:v>219.23905258193187</c:v>
                </c:pt>
                <c:pt idx="56">
                  <c:v>215.45783730662248</c:v>
                </c:pt>
                <c:pt idx="57">
                  <c:v>211.80361936954233</c:v>
                </c:pt>
                <c:pt idx="58">
                  <c:v>208.27010629805895</c:v>
                </c:pt>
                <c:pt idx="59">
                  <c:v>204.85141457171704</c:v>
                </c:pt>
                <c:pt idx="60">
                  <c:v>201.54203693079668</c:v>
                </c:pt>
                <c:pt idx="61">
                  <c:v>198.33681277152988</c:v>
                </c:pt>
                <c:pt idx="62">
                  <c:v>195.23090129322989</c:v>
                </c:pt>
                <c:pt idx="63">
                  <c:v>192.21975710345265</c:v>
                </c:pt>
                <c:pt idx="64">
                  <c:v>189.29910802263061</c:v>
                </c:pt>
                <c:pt idx="65">
                  <c:v>186.46493486024735</c:v>
                </c:pt>
                <c:pt idx="66">
                  <c:v>183.71345296121973</c:v>
                </c:pt>
                <c:pt idx="67">
                  <c:v>181.04109534431453</c:v>
                </c:pt>
                <c:pt idx="68">
                  <c:v>178.44449727463251</c:v>
                </c:pt>
                <c:pt idx="69">
                  <c:v>175.92048212985256</c:v>
                </c:pt>
                <c:pt idx="70">
                  <c:v>173.46604843540362</c:v>
                </c:pt>
                <c:pt idx="71">
                  <c:v>171.07835795731046</c:v>
                </c:pt>
                <c:pt idx="72">
                  <c:v>168.75472475339549</c:v>
                </c:pt>
                <c:pt idx="73">
                  <c:v>166.49260509403976</c:v>
                </c:pt>
                <c:pt idx="74">
                  <c:v>164.28958817298454</c:v>
                </c:pt>
                <c:pt idx="75">
                  <c:v>162.14338753685695</c:v>
                </c:pt>
                <c:pt idx="76">
                  <c:v>160.05183316937115</c:v>
                </c:pt>
                <c:pt idx="77">
                  <c:v>158.01286417259163</c:v>
                </c:pt>
                <c:pt idx="78">
                  <c:v>156.0245219933733</c:v>
                </c:pt>
                <c:pt idx="79">
                  <c:v>154.08494414817895</c:v>
                </c:pt>
                <c:pt idx="80">
                  <c:v>152.1923584040124</c:v>
                </c:pt>
                <c:pt idx="81">
                  <c:v>150.3450773772517</c:v>
                </c:pt>
                <c:pt idx="82">
                  <c:v>148.54149351578246</c:v>
                </c:pt>
                <c:pt idx="83">
                  <c:v>146.78007443306808</c:v>
                </c:pt>
                <c:pt idx="84">
                  <c:v>145.05935856569062</c:v>
                </c:pt>
                <c:pt idx="85">
                  <c:v>143.37795112850054</c:v>
                </c:pt>
                <c:pt idx="86">
                  <c:v>141.73452034384667</c:v>
                </c:pt>
                <c:pt idx="87">
                  <c:v>140.12779392346167</c:v>
                </c:pt>
                <c:pt idx="88">
                  <c:v>138.55655578347117</c:v>
                </c:pt>
                <c:pt idx="89">
                  <c:v>137.01964297470099</c:v>
                </c:pt>
                <c:pt idx="90">
                  <c:v>135.51594281199746</c:v>
                </c:pt>
                <c:pt idx="91">
                  <c:v>134.0443901876699</c:v>
                </c:pt>
                <c:pt idx="92">
                  <c:v>132.60396505542255</c:v>
                </c:pt>
                <c:pt idx="93">
                  <c:v>131.19369007228619</c:v>
                </c:pt>
                <c:pt idx="94">
                  <c:v>129.81262838709318</c:v>
                </c:pt>
                <c:pt idx="95">
                  <c:v>128.45988156498098</c:v>
                </c:pt>
                <c:pt idx="96">
                  <c:v>127.1345876382608</c:v>
                </c:pt>
                <c:pt idx="97">
                  <c:v>125.83591927476601</c:v>
                </c:pt>
                <c:pt idx="98">
                  <c:v>124.56308205550195</c:v>
                </c:pt>
                <c:pt idx="99">
                  <c:v>123.31531285406146</c:v>
                </c:pt>
                <c:pt idx="100">
                  <c:v>122.09187831086084</c:v>
                </c:pt>
              </c:numCache>
            </c:numRef>
          </c:val>
          <c:smooth val="0"/>
          <c:extLst>
            <c:ext xmlns:c16="http://schemas.microsoft.com/office/drawing/2014/chart" uri="{C3380CC4-5D6E-409C-BE32-E72D297353CC}">
              <c16:uniqueId val="{00000000-7DBB-40A7-A5BB-CF5E7DC777D9}"/>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Single'!$AN$5:$AN$105</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348.28891711774043</c:v>
                </c:pt>
                <c:pt idx="61">
                  <c:v>342.96218299059115</c:v>
                </c:pt>
                <c:pt idx="62">
                  <c:v>337.79260904768194</c:v>
                </c:pt>
                <c:pt idx="63">
                  <c:v>332.76820975991694</c:v>
                </c:pt>
                <c:pt idx="64">
                  <c:v>327.89030228150142</c:v>
                </c:pt>
                <c:pt idx="65">
                  <c:v>323.15801258334147</c:v>
                </c:pt>
                <c:pt idx="66">
                  <c:v>318.55403839220327</c:v>
                </c:pt>
                <c:pt idx="67">
                  <c:v>314.08251131674348</c:v>
                </c:pt>
                <c:pt idx="68">
                  <c:v>309.73432154006559</c:v>
                </c:pt>
                <c:pt idx="69">
                  <c:v>305.5044354389513</c:v>
                </c:pt>
                <c:pt idx="70">
                  <c:v>301.3880896225586</c:v>
                </c:pt>
                <c:pt idx="71">
                  <c:v>297.38077303815373</c:v>
                </c:pt>
                <c:pt idx="72">
                  <c:v>293.47821048016527</c:v>
                </c:pt>
                <c:pt idx="73">
                  <c:v>289.67634737582347</c:v>
                </c:pt>
                <c:pt idx="74">
                  <c:v>285.97133573356177</c:v>
                </c:pt>
                <c:pt idx="75">
                  <c:v>282.35952115180766</c:v>
                </c:pt>
                <c:pt idx="76">
                  <c:v>278.83743079596576</c:v>
                </c:pt>
                <c:pt idx="77">
                  <c:v>275.40176226044258</c:v>
                </c:pt>
                <c:pt idx="78">
                  <c:v>272.04937324062712</c:v>
                </c:pt>
                <c:pt idx="79">
                  <c:v>268.7772719469325</c:v>
                </c:pt>
                <c:pt idx="80">
                  <c:v>265.58260819943172</c:v>
                </c:pt>
                <c:pt idx="81">
                  <c:v>262.46266514737374</c:v>
                </c:pt>
                <c:pt idx="82">
                  <c:v>259.41485156301297</c:v>
                </c:pt>
                <c:pt idx="83">
                  <c:v>256.43669466381391</c:v>
                </c:pt>
                <c:pt idx="84">
                  <c:v>253.52583342124203</c:v>
                </c:pt>
                <c:pt idx="85">
                  <c:v>250.6800123180858</c:v>
                </c:pt>
                <c:pt idx="86">
                  <c:v>247.89707551962215</c:v>
                </c:pt>
                <c:pt idx="87">
                  <c:v>245.17496142696547</c:v>
                </c:pt>
                <c:pt idx="88">
                  <c:v>242.51169758368374</c:v>
                </c:pt>
                <c:pt idx="89">
                  <c:v>239.90539590923296</c:v>
                </c:pt>
                <c:pt idx="90">
                  <c:v>237.35424823500568</c:v>
                </c:pt>
                <c:pt idx="91">
                  <c:v>234.85652212081362</c:v>
                </c:pt>
                <c:pt idx="92">
                  <c:v>232.41055693146342</c:v>
                </c:pt>
                <c:pt idx="93">
                  <c:v>230.01476015475316</c:v>
                </c:pt>
                <c:pt idx="94">
                  <c:v>227.66760394373628</c:v>
                </c:pt>
                <c:pt idx="95">
                  <c:v>225.3676218674745</c:v>
                </c:pt>
                <c:pt idx="96">
                  <c:v>223.11340585575991</c:v>
                </c:pt>
                <c:pt idx="97">
                  <c:v>220.90360332443095</c:v>
                </c:pt>
                <c:pt idx="98">
                  <c:v>218.73691446894856</c:v>
                </c:pt>
                <c:pt idx="99">
                  <c:v>216.61208971485496</c:v>
                </c:pt>
                <c:pt idx="100">
                  <c:v>214.52792731460568</c:v>
                </c:pt>
              </c:numCache>
            </c:numRef>
          </c:val>
          <c:smooth val="0"/>
          <c:extLst>
            <c:ext xmlns:c16="http://schemas.microsoft.com/office/drawing/2014/chart" uri="{C3380CC4-5D6E-409C-BE32-E72D297353CC}">
              <c16:uniqueId val="{00000001-7DBB-40A7-A5BB-CF5E7DC777D9}"/>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Single'!$AN$216:$AN$316</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348.67518023010695</c:v>
                </c:pt>
                <c:pt idx="83">
                  <c:v>344.76521497147121</c:v>
                </c:pt>
                <c:pt idx="84">
                  <c:v>340.93974913408539</c:v>
                </c:pt>
                <c:pt idx="85">
                  <c:v>337.19817906938408</c:v>
                </c:pt>
                <c:pt idx="86">
                  <c:v>333.5377735248203</c:v>
                </c:pt>
                <c:pt idx="87">
                  <c:v>329.9577270815509</c:v>
                </c:pt>
                <c:pt idx="88">
                  <c:v>326.45545910217623</c:v>
                </c:pt>
                <c:pt idx="89">
                  <c:v>323.02712285481641</c:v>
                </c:pt>
                <c:pt idx="90">
                  <c:v>319.67010372641846</c:v>
                </c:pt>
                <c:pt idx="91">
                  <c:v>316.38219925007644</c:v>
                </c:pt>
                <c:pt idx="92">
                  <c:v>313.16129672570213</c:v>
                </c:pt>
                <c:pt idx="93">
                  <c:v>310.0053686928278</c:v>
                </c:pt>
                <c:pt idx="94">
                  <c:v>306.91246867465452</c:v>
                </c:pt>
                <c:pt idx="95">
                  <c:v>303.8807271745772</c:v>
                </c:pt>
                <c:pt idx="96">
                  <c:v>300.90834790788062</c:v>
                </c:pt>
                <c:pt idx="97">
                  <c:v>297.99360425264581</c:v>
                </c:pt>
                <c:pt idx="98">
                  <c:v>295.13483590513465</c:v>
                </c:pt>
                <c:pt idx="99">
                  <c:v>292.33044572603751</c:v>
                </c:pt>
                <c:pt idx="100">
                  <c:v>289.57889676499565</c:v>
                </c:pt>
              </c:numCache>
            </c:numRef>
          </c:val>
          <c:smooth val="0"/>
          <c:extLst>
            <c:ext xmlns:c16="http://schemas.microsoft.com/office/drawing/2014/chart" uri="{C3380CC4-5D6E-409C-BE32-E72D297353CC}">
              <c16:uniqueId val="{00000002-7DBB-40A7-A5BB-CF5E7DC777D9}"/>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7DBB-40A7-A5BB-CF5E7DC777D9}"/>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7DBB-40A7-A5BB-CF5E7DC777D9}"/>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7DBB-40A7-A5BB-CF5E7DC777D9}"/>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7.1993082168755951</c:v>
                </c:pt>
                <c:pt idx="36">
                  <c:v>7.3017386442389647</c:v>
                </c:pt>
                <c:pt idx="37">
                  <c:v>7.4899001431552525</c:v>
                </c:pt>
                <c:pt idx="38">
                  <c:v>7.6931570715753299</c:v>
                </c:pt>
                <c:pt idx="39">
                  <c:v>7.8964578289486846</c:v>
                </c:pt>
                <c:pt idx="40">
                  <c:v>8.0998024323759221</c:v>
                </c:pt>
                <c:pt idx="41">
                  <c:v>8.3031908989894205</c:v>
                </c:pt>
                <c:pt idx="42">
                  <c:v>8.506623245950518</c:v>
                </c:pt>
                <c:pt idx="43">
                  <c:v>8.7100994904471385</c:v>
                </c:pt>
                <c:pt idx="44">
                  <c:v>8.913619649691725</c:v>
                </c:pt>
                <c:pt idx="45">
                  <c:v>9.1171837409194882</c:v>
                </c:pt>
                <c:pt idx="46">
                  <c:v>9.3207917813868697</c:v>
                </c:pt>
                <c:pt idx="47">
                  <c:v>9.5244437883702151</c:v>
                </c:pt>
                <c:pt idx="48">
                  <c:v>9.7281397791646356</c:v>
                </c:pt>
                <c:pt idx="49">
                  <c:v>9.9318797710829916</c:v>
                </c:pt>
                <c:pt idx="50">
                  <c:v>10.135663781455003</c:v>
                </c:pt>
                <c:pt idx="51">
                  <c:v>10.33949182762651</c:v>
                </c:pt>
                <c:pt idx="52">
                  <c:v>10.543363926958754</c:v>
                </c:pt>
                <c:pt idx="53">
                  <c:v>10.74728009682781</c:v>
                </c:pt>
                <c:pt idx="54">
                  <c:v>10.951240354624034</c:v>
                </c:pt>
                <c:pt idx="55">
                  <c:v>11.155244717751605</c:v>
                </c:pt>
                <c:pt idx="56">
                  <c:v>11.359293203628107</c:v>
                </c:pt>
                <c:pt idx="57">
                  <c:v>11.563385829684151</c:v>
                </c:pt>
                <c:pt idx="58">
                  <c:v>11.767522613363063</c:v>
                </c:pt>
                <c:pt idx="59">
                  <c:v>11.971703572120544</c:v>
                </c:pt>
                <c:pt idx="60">
                  <c:v>12.175928723424468</c:v>
                </c:pt>
                <c:pt idx="61">
                  <c:v>12.380198084754586</c:v>
                </c:pt>
                <c:pt idx="62">
                  <c:v>12.584511673602346</c:v>
                </c:pt>
                <c:pt idx="63">
                  <c:v>12.788869507470698</c:v>
                </c:pt>
                <c:pt idx="64">
                  <c:v>12.993271603873911</c:v>
                </c:pt>
                <c:pt idx="65">
                  <c:v>13.197717980337421</c:v>
                </c:pt>
                <c:pt idx="66">
                  <c:v>13.402208654397691</c:v>
                </c:pt>
                <c:pt idx="67">
                  <c:v>13.606743643602094</c:v>
                </c:pt>
                <c:pt idx="68">
                  <c:v>13.811322965508772</c:v>
                </c:pt>
                <c:pt idx="69">
                  <c:v>14.01594663768655</c:v>
                </c:pt>
                <c:pt idx="70">
                  <c:v>14.220614677714856</c:v>
                </c:pt>
                <c:pt idx="71">
                  <c:v>14.4253271031836</c:v>
                </c:pt>
                <c:pt idx="72">
                  <c:v>14.630083931693122</c:v>
                </c:pt>
                <c:pt idx="73">
                  <c:v>14.834885180854108</c:v>
                </c:pt>
                <c:pt idx="74">
                  <c:v>15.039730868287531</c:v>
                </c:pt>
                <c:pt idx="75">
                  <c:v>15.244621011624597</c:v>
                </c:pt>
                <c:pt idx="76">
                  <c:v>15.44955562850668</c:v>
                </c:pt>
                <c:pt idx="77">
                  <c:v>15.654534736585282</c:v>
                </c:pt>
                <c:pt idx="78">
                  <c:v>15.859558353521981</c:v>
                </c:pt>
                <c:pt idx="79">
                  <c:v>16.064626496988396</c:v>
                </c:pt>
                <c:pt idx="80">
                  <c:v>16.269739184666154</c:v>
                </c:pt>
                <c:pt idx="81">
                  <c:v>16.474896434246848</c:v>
                </c:pt>
                <c:pt idx="82">
                  <c:v>16.680098263432008</c:v>
                </c:pt>
                <c:pt idx="83">
                  <c:v>16.885344689933074</c:v>
                </c:pt>
                <c:pt idx="84">
                  <c:v>17.09063573147138</c:v>
                </c:pt>
                <c:pt idx="85">
                  <c:v>17.295971405778108</c:v>
                </c:pt>
                <c:pt idx="86">
                  <c:v>17.501351730594291</c:v>
                </c:pt>
                <c:pt idx="87">
                  <c:v>17.706776723670778</c:v>
                </c:pt>
                <c:pt idx="88">
                  <c:v>17.912246402768226</c:v>
                </c:pt>
                <c:pt idx="89">
                  <c:v>18.117760785657076</c:v>
                </c:pt>
                <c:pt idx="90">
                  <c:v>18.323319890117549</c:v>
                </c:pt>
                <c:pt idx="91">
                  <c:v>18.528923733939621</c:v>
                </c:pt>
                <c:pt idx="92">
                  <c:v>18.734572334923026</c:v>
                </c:pt>
                <c:pt idx="93">
                  <c:v>18.940265710877224</c:v>
                </c:pt>
                <c:pt idx="94">
                  <c:v>19.146003879621418</c:v>
                </c:pt>
                <c:pt idx="95">
                  <c:v>19.351786858984525</c:v>
                </c:pt>
                <c:pt idx="96">
                  <c:v>19.557614666805172</c:v>
                </c:pt>
                <c:pt idx="97">
                  <c:v>19.763487320931713</c:v>
                </c:pt>
                <c:pt idx="98">
                  <c:v>19.969404839222175</c:v>
                </c:pt>
                <c:pt idx="99">
                  <c:v>20.175367239544315</c:v>
                </c:pt>
                <c:pt idx="100">
                  <c:v>20.381374539775546</c:v>
                </c:pt>
              </c:numCache>
            </c:numRef>
          </c:val>
          <c:smooth val="0"/>
          <c:extLst>
            <c:ext xmlns:c16="http://schemas.microsoft.com/office/drawing/2014/chart" uri="{C3380CC4-5D6E-409C-BE32-E72D297353CC}">
              <c16:uniqueId val="{00000000-DE5E-470B-BC83-CF3F840E873B}"/>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Single'!$AJ$5:$AJ$105</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7.1992932598847865</c:v>
                </c:pt>
                <c:pt idx="36">
                  <c:v>7.3015010651331407</c:v>
                </c:pt>
                <c:pt idx="37">
                  <c:v>7.4023012346130468</c:v>
                </c:pt>
                <c:pt idx="38">
                  <c:v>7.5017504646422228</c:v>
                </c:pt>
                <c:pt idx="39">
                  <c:v>7.5999017447504142</c:v>
                </c:pt>
                <c:pt idx="40">
                  <c:v>7.6968046883475019</c:v>
                </c:pt>
                <c:pt idx="41">
                  <c:v>7.7925058264058533</c:v>
                </c:pt>
                <c:pt idx="42">
                  <c:v>7.8870488690908793</c:v>
                </c:pt>
                <c:pt idx="43">
                  <c:v>7.9804749395142496</c:v>
                </c:pt>
                <c:pt idx="44">
                  <c:v>8.0728227831565338</c:v>
                </c:pt>
                <c:pt idx="45">
                  <c:v>8.164128955984717</c:v>
                </c:pt>
                <c:pt idx="46">
                  <c:v>8.2544279938552929</c:v>
                </c:pt>
                <c:pt idx="47">
                  <c:v>8.3437525654292983</c:v>
                </c:pt>
                <c:pt idx="48">
                  <c:v>8.4321336105193154</c:v>
                </c:pt>
                <c:pt idx="49">
                  <c:v>8.5196004655296171</c:v>
                </c:pt>
                <c:pt idx="50">
                  <c:v>8.6061809774314018</c:v>
                </c:pt>
                <c:pt idx="51">
                  <c:v>8.691901607528342</c:v>
                </c:pt>
                <c:pt idx="52">
                  <c:v>8.7767875261085457</c:v>
                </c:pt>
                <c:pt idx="53">
                  <c:v>8.8608626989425048</c:v>
                </c:pt>
                <c:pt idx="54">
                  <c:v>8.9441499664695101</c:v>
                </c:pt>
                <c:pt idx="55">
                  <c:v>9.0266711164140183</c:v>
                </c:pt>
                <c:pt idx="56">
                  <c:v>9.108446950486158</c:v>
                </c:pt>
                <c:pt idx="57">
                  <c:v>9.1894973457449929</c:v>
                </c:pt>
                <c:pt idx="58">
                  <c:v>9.2698413111374212</c:v>
                </c:pt>
                <c:pt idx="59">
                  <c:v>9.3494970396683339</c:v>
                </c:pt>
                <c:pt idx="60">
                  <c:v>9.4284819566076816</c:v>
                </c:pt>
                <c:pt idx="61">
                  <c:v>9.5068127640963027</c:v>
                </c:pt>
                <c:pt idx="62">
                  <c:v>9.584550344553266</c:v>
                </c:pt>
                <c:pt idx="63">
                  <c:v>9.6617846481294354</c:v>
                </c:pt>
                <c:pt idx="64">
                  <c:v>9.738417268977491</c:v>
                </c:pt>
                <c:pt idx="65">
                  <c:v>9.878078960248855</c:v>
                </c:pt>
                <c:pt idx="66">
                  <c:v>10.030593965014587</c:v>
                </c:pt>
                <c:pt idx="67">
                  <c:v>10.183020769212497</c:v>
                </c:pt>
                <c:pt idx="68">
                  <c:v>10.335461012393184</c:v>
                </c:pt>
                <c:pt idx="69">
                  <c:v>10.487914696888311</c:v>
                </c:pt>
                <c:pt idx="70">
                  <c:v>10.640381825030914</c:v>
                </c:pt>
                <c:pt idx="71">
                  <c:v>10.792862399155323</c:v>
                </c:pt>
                <c:pt idx="72">
                  <c:v>10.945356421597113</c:v>
                </c:pt>
                <c:pt idx="73">
                  <c:v>11.097863894693065</c:v>
                </c:pt>
                <c:pt idx="74">
                  <c:v>11.250384820781104</c:v>
                </c:pt>
                <c:pt idx="75">
                  <c:v>11.402919202200279</c:v>
                </c:pt>
                <c:pt idx="76">
                  <c:v>11.555467041290699</c:v>
                </c:pt>
                <c:pt idx="77">
                  <c:v>11.70802834039352</c:v>
                </c:pt>
                <c:pt idx="78">
                  <c:v>11.860603101850909</c:v>
                </c:pt>
                <c:pt idx="79">
                  <c:v>12.013191328005991</c:v>
                </c:pt>
                <c:pt idx="80">
                  <c:v>12.16579302120287</c:v>
                </c:pt>
                <c:pt idx="81">
                  <c:v>12.318408183786534</c:v>
                </c:pt>
                <c:pt idx="82">
                  <c:v>12.471036818102908</c:v>
                </c:pt>
                <c:pt idx="83">
                  <c:v>12.62367892649878</c:v>
                </c:pt>
                <c:pt idx="84">
                  <c:v>12.776334511321796</c:v>
                </c:pt>
                <c:pt idx="85">
                  <c:v>12.929003574920451</c:v>
                </c:pt>
                <c:pt idx="86">
                  <c:v>13.08168611964404</c:v>
                </c:pt>
                <c:pt idx="87">
                  <c:v>13.234382147842698</c:v>
                </c:pt>
                <c:pt idx="88">
                  <c:v>13.387091661867327</c:v>
                </c:pt>
                <c:pt idx="89">
                  <c:v>13.539814664069613</c:v>
                </c:pt>
                <c:pt idx="90">
                  <c:v>13.692551156802017</c:v>
                </c:pt>
                <c:pt idx="91">
                  <c:v>13.845301142417739</c:v>
                </c:pt>
                <c:pt idx="92">
                  <c:v>13.99806462327073</c:v>
                </c:pt>
                <c:pt idx="93">
                  <c:v>14.150841601715674</c:v>
                </c:pt>
                <c:pt idx="94">
                  <c:v>14.303632080107969</c:v>
                </c:pt>
                <c:pt idx="95">
                  <c:v>14.456436060803728</c:v>
                </c:pt>
                <c:pt idx="96">
                  <c:v>14.609253546159778</c:v>
                </c:pt>
                <c:pt idx="97">
                  <c:v>14.762084538533626</c:v>
                </c:pt>
                <c:pt idx="98">
                  <c:v>14.914929040283482</c:v>
                </c:pt>
                <c:pt idx="99">
                  <c:v>15.067787053768232</c:v>
                </c:pt>
                <c:pt idx="100">
                  <c:v>15.220658581347431</c:v>
                </c:pt>
              </c:numCache>
            </c:numRef>
          </c:val>
          <c:smooth val="1"/>
          <c:extLst>
            <c:ext xmlns:c16="http://schemas.microsoft.com/office/drawing/2014/chart" uri="{C3380CC4-5D6E-409C-BE32-E72D297353CC}">
              <c16:uniqueId val="{00000001-DE5E-470B-BC83-CF3F840E873B}"/>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7.1992932598847865</c:v>
                </c:pt>
                <c:pt idx="36">
                  <c:v>7.3015010651331407</c:v>
                </c:pt>
                <c:pt idx="37">
                  <c:v>7.4023012346130468</c:v>
                </c:pt>
                <c:pt idx="38">
                  <c:v>7.5017504646422228</c:v>
                </c:pt>
                <c:pt idx="39">
                  <c:v>7.5999017447504142</c:v>
                </c:pt>
                <c:pt idx="40">
                  <c:v>7.6968046883475019</c:v>
                </c:pt>
                <c:pt idx="41">
                  <c:v>7.7925058264058533</c:v>
                </c:pt>
                <c:pt idx="42">
                  <c:v>7.8870488690908793</c:v>
                </c:pt>
                <c:pt idx="43">
                  <c:v>7.9804749395142496</c:v>
                </c:pt>
                <c:pt idx="44">
                  <c:v>8.0728227831565338</c:v>
                </c:pt>
                <c:pt idx="45">
                  <c:v>8.164128955984717</c:v>
                </c:pt>
                <c:pt idx="46">
                  <c:v>8.2544279938552929</c:v>
                </c:pt>
                <c:pt idx="47">
                  <c:v>8.3437525654292983</c:v>
                </c:pt>
                <c:pt idx="48">
                  <c:v>8.4321336105193154</c:v>
                </c:pt>
                <c:pt idx="49">
                  <c:v>8.5196004655296171</c:v>
                </c:pt>
                <c:pt idx="50">
                  <c:v>8.6061809774314018</c:v>
                </c:pt>
                <c:pt idx="51">
                  <c:v>8.691901607528342</c:v>
                </c:pt>
                <c:pt idx="52">
                  <c:v>8.7767875261085457</c:v>
                </c:pt>
                <c:pt idx="53">
                  <c:v>8.8608626989425048</c:v>
                </c:pt>
                <c:pt idx="54">
                  <c:v>8.9441499664695101</c:v>
                </c:pt>
                <c:pt idx="55">
                  <c:v>9.0266711164140183</c:v>
                </c:pt>
                <c:pt idx="56">
                  <c:v>9.108446950486158</c:v>
                </c:pt>
                <c:pt idx="57">
                  <c:v>9.1894973457449929</c:v>
                </c:pt>
                <c:pt idx="58">
                  <c:v>9.2698413111374212</c:v>
                </c:pt>
                <c:pt idx="59">
                  <c:v>9.3494970396683339</c:v>
                </c:pt>
                <c:pt idx="60">
                  <c:v>9.4284819566076816</c:v>
                </c:pt>
                <c:pt idx="61">
                  <c:v>9.5068127640963027</c:v>
                </c:pt>
                <c:pt idx="62">
                  <c:v>9.5845054824739684</c:v>
                </c:pt>
                <c:pt idx="63">
                  <c:v>9.6615754886192935</c:v>
                </c:pt>
                <c:pt idx="64">
                  <c:v>9.7380375515614475</c:v>
                </c:pt>
                <c:pt idx="65">
                  <c:v>9.813905865597194</c:v>
                </c:pt>
                <c:pt idx="66">
                  <c:v>9.8891940811236569</c:v>
                </c:pt>
                <c:pt idx="67">
                  <c:v>9.9639153333764003</c:v>
                </c:pt>
                <c:pt idx="68">
                  <c:v>10.038082269244246</c:v>
                </c:pt>
                <c:pt idx="69">
                  <c:v>10.111707072315793</c:v>
                </c:pt>
                <c:pt idx="70">
                  <c:v>10.184801486298136</c:v>
                </c:pt>
                <c:pt idx="71">
                  <c:v>10.257376836935224</c:v>
                </c:pt>
                <c:pt idx="72">
                  <c:v>10.329444052541719</c:v>
                </c:pt>
                <c:pt idx="73">
                  <c:v>10.401013683257748</c:v>
                </c:pt>
                <c:pt idx="74">
                  <c:v>10.472095919120616</c:v>
                </c:pt>
                <c:pt idx="75">
                  <c:v>10.542700607041127</c:v>
                </c:pt>
                <c:pt idx="76">
                  <c:v>10.612837266764565</c:v>
                </c:pt>
                <c:pt idx="77">
                  <c:v>10.68251510588963</c:v>
                </c:pt>
                <c:pt idx="78">
                  <c:v>10.751743034012353</c:v>
                </c:pt>
                <c:pt idx="79">
                  <c:v>10.820529676056546</c:v>
                </c:pt>
                <c:pt idx="80">
                  <c:v>10.888883384847222</c:v>
                </c:pt>
                <c:pt idx="81">
                  <c:v>10.956812252978898</c:v>
                </c:pt>
                <c:pt idx="82">
                  <c:v>11.024324124026489</c:v>
                </c:pt>
                <c:pt idx="83">
                  <c:v>11.091439000837012</c:v>
                </c:pt>
                <c:pt idx="84">
                  <c:v>11.158279112268863</c:v>
                </c:pt>
                <c:pt idx="85">
                  <c:v>11.224727912373329</c:v>
                </c:pt>
                <c:pt idx="86">
                  <c:v>11.290792365072184</c:v>
                </c:pt>
                <c:pt idx="87">
                  <c:v>11.21428568321128</c:v>
                </c:pt>
                <c:pt idx="88">
                  <c:v>11.343172236809478</c:v>
                </c:pt>
                <c:pt idx="89">
                  <c:v>11.472020002722035</c:v>
                </c:pt>
                <c:pt idx="90">
                  <c:v>11.600866629165591</c:v>
                </c:pt>
                <c:pt idx="91">
                  <c:v>11.729712116942054</c:v>
                </c:pt>
                <c:pt idx="92">
                  <c:v>11.858556466853473</c:v>
                </c:pt>
                <c:pt idx="93">
                  <c:v>11.987399679702007</c:v>
                </c:pt>
                <c:pt idx="94">
                  <c:v>12.116241756289956</c:v>
                </c:pt>
                <c:pt idx="95">
                  <c:v>12.24508269741972</c:v>
                </c:pt>
                <c:pt idx="96">
                  <c:v>12.373922503893811</c:v>
                </c:pt>
                <c:pt idx="97">
                  <c:v>12.50276117651484</c:v>
                </c:pt>
                <c:pt idx="98">
                  <c:v>12.631598716085527</c:v>
                </c:pt>
                <c:pt idx="99">
                  <c:v>12.760435123408664</c:v>
                </c:pt>
                <c:pt idx="100">
                  <c:v>12.889270399287151</c:v>
                </c:pt>
              </c:numCache>
            </c:numRef>
          </c:val>
          <c:smooth val="1"/>
          <c:extLst>
            <c:ext xmlns:c16="http://schemas.microsoft.com/office/drawing/2014/chart" uri="{C3380CC4-5D6E-409C-BE32-E72D297353CC}">
              <c16:uniqueId val="{00000002-DE5E-470B-BC83-CF3F840E873B}"/>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Single'!$AN$110:$AN$210</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346.46747517119354</c:v>
                </c:pt>
                <c:pt idx="35">
                  <c:v>337.20497458530429</c:v>
                </c:pt>
                <c:pt idx="36">
                  <c:v>328.37054089960293</c:v>
                </c:pt>
                <c:pt idx="37">
                  <c:v>320.00004808775134</c:v>
                </c:pt>
                <c:pt idx="38">
                  <c:v>312.05526468283392</c:v>
                </c:pt>
                <c:pt idx="39">
                  <c:v>304.4929246772827</c:v>
                </c:pt>
                <c:pt idx="40">
                  <c:v>297.28606206998995</c:v>
                </c:pt>
                <c:pt idx="41">
                  <c:v>290.41018779832172</c:v>
                </c:pt>
                <c:pt idx="42">
                  <c:v>283.84301172614255</c:v>
                </c:pt>
                <c:pt idx="43">
                  <c:v>277.56420125463723</c:v>
                </c:pt>
                <c:pt idx="44">
                  <c:v>271.55517104843642</c:v>
                </c:pt>
                <c:pt idx="45">
                  <c:v>265.79889929620032</c:v>
                </c:pt>
                <c:pt idx="46">
                  <c:v>260.27976667968454</c:v>
                </c:pt>
                <c:pt idx="47">
                  <c:v>254.98341484305598</c:v>
                </c:pt>
                <c:pt idx="48">
                  <c:v>249.89662166198761</c:v>
                </c:pt>
                <c:pt idx="49">
                  <c:v>245.00719103116529</c:v>
                </c:pt>
                <c:pt idx="50">
                  <c:v>240.30385523616329</c:v>
                </c:pt>
                <c:pt idx="51">
                  <c:v>235.77618826458934</c:v>
                </c:pt>
                <c:pt idx="52">
                  <c:v>231.41452865267959</c:v>
                </c:pt>
                <c:pt idx="53">
                  <c:v>227.20991066569363</c:v>
                </c:pt>
                <c:pt idx="54">
                  <c:v>223.15400278047301</c:v>
                </c:pt>
                <c:pt idx="55">
                  <c:v>219.23905258193187</c:v>
                </c:pt>
                <c:pt idx="56">
                  <c:v>215.45783730662248</c:v>
                </c:pt>
                <c:pt idx="57">
                  <c:v>211.80361936954233</c:v>
                </c:pt>
                <c:pt idx="58">
                  <c:v>208.27010629805895</c:v>
                </c:pt>
                <c:pt idx="59">
                  <c:v>204.85141457171704</c:v>
                </c:pt>
                <c:pt idx="60">
                  <c:v>201.54203693079668</c:v>
                </c:pt>
                <c:pt idx="61">
                  <c:v>198.33681277152988</c:v>
                </c:pt>
                <c:pt idx="62">
                  <c:v>195.23090129322989</c:v>
                </c:pt>
                <c:pt idx="63">
                  <c:v>192.21975710345265</c:v>
                </c:pt>
                <c:pt idx="64">
                  <c:v>189.29910802263061</c:v>
                </c:pt>
                <c:pt idx="65">
                  <c:v>186.46493486024735</c:v>
                </c:pt>
                <c:pt idx="66">
                  <c:v>183.71345296121973</c:v>
                </c:pt>
                <c:pt idx="67">
                  <c:v>181.04109534431453</c:v>
                </c:pt>
                <c:pt idx="68">
                  <c:v>178.44449727463251</c:v>
                </c:pt>
                <c:pt idx="69">
                  <c:v>175.92048212985256</c:v>
                </c:pt>
                <c:pt idx="70">
                  <c:v>173.46604843540362</c:v>
                </c:pt>
                <c:pt idx="71">
                  <c:v>171.07835795731046</c:v>
                </c:pt>
                <c:pt idx="72">
                  <c:v>168.75472475339549</c:v>
                </c:pt>
                <c:pt idx="73">
                  <c:v>166.49260509403976</c:v>
                </c:pt>
                <c:pt idx="74">
                  <c:v>164.28958817298454</c:v>
                </c:pt>
                <c:pt idx="75">
                  <c:v>162.14338753685695</c:v>
                </c:pt>
                <c:pt idx="76">
                  <c:v>160.05183316937115</c:v>
                </c:pt>
                <c:pt idx="77">
                  <c:v>158.01286417259163</c:v>
                </c:pt>
                <c:pt idx="78">
                  <c:v>156.0245219933733</c:v>
                </c:pt>
                <c:pt idx="79">
                  <c:v>154.08494414817895</c:v>
                </c:pt>
                <c:pt idx="80">
                  <c:v>152.1923584040124</c:v>
                </c:pt>
                <c:pt idx="81">
                  <c:v>150.3450773772517</c:v>
                </c:pt>
                <c:pt idx="82">
                  <c:v>148.54149351578246</c:v>
                </c:pt>
                <c:pt idx="83">
                  <c:v>146.78007443306808</c:v>
                </c:pt>
                <c:pt idx="84">
                  <c:v>145.05935856569062</c:v>
                </c:pt>
                <c:pt idx="85">
                  <c:v>143.37795112850054</c:v>
                </c:pt>
                <c:pt idx="86">
                  <c:v>141.73452034384667</c:v>
                </c:pt>
                <c:pt idx="87">
                  <c:v>140.12779392346167</c:v>
                </c:pt>
                <c:pt idx="88">
                  <c:v>138.55655578347117</c:v>
                </c:pt>
                <c:pt idx="89">
                  <c:v>137.01964297470099</c:v>
                </c:pt>
                <c:pt idx="90">
                  <c:v>135.51594281199746</c:v>
                </c:pt>
                <c:pt idx="91">
                  <c:v>134.0443901876699</c:v>
                </c:pt>
                <c:pt idx="92">
                  <c:v>132.60396505542255</c:v>
                </c:pt>
                <c:pt idx="93">
                  <c:v>131.19369007228619</c:v>
                </c:pt>
                <c:pt idx="94">
                  <c:v>129.81262838709318</c:v>
                </c:pt>
                <c:pt idx="95">
                  <c:v>128.45988156498098</c:v>
                </c:pt>
                <c:pt idx="96">
                  <c:v>127.1345876382608</c:v>
                </c:pt>
                <c:pt idx="97">
                  <c:v>125.83591927476601</c:v>
                </c:pt>
                <c:pt idx="98">
                  <c:v>124.56308205550195</c:v>
                </c:pt>
                <c:pt idx="99">
                  <c:v>123.31531285406146</c:v>
                </c:pt>
                <c:pt idx="100">
                  <c:v>122.09187831086084</c:v>
                </c:pt>
              </c:numCache>
            </c:numRef>
          </c:val>
          <c:smooth val="0"/>
          <c:extLst>
            <c:ext xmlns:c16="http://schemas.microsoft.com/office/drawing/2014/chart" uri="{C3380CC4-5D6E-409C-BE32-E72D297353CC}">
              <c16:uniqueId val="{00000000-33CF-4CE8-9C2E-6191AB4D2064}"/>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Single'!$AN$5:$AN$105</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348.28891711774043</c:v>
                </c:pt>
                <c:pt idx="61">
                  <c:v>342.96218299059115</c:v>
                </c:pt>
                <c:pt idx="62">
                  <c:v>337.79260904768194</c:v>
                </c:pt>
                <c:pt idx="63">
                  <c:v>332.76820975991694</c:v>
                </c:pt>
                <c:pt idx="64">
                  <c:v>327.89030228150142</c:v>
                </c:pt>
                <c:pt idx="65">
                  <c:v>323.15801258334147</c:v>
                </c:pt>
                <c:pt idx="66">
                  <c:v>318.55403839220327</c:v>
                </c:pt>
                <c:pt idx="67">
                  <c:v>314.08251131674348</c:v>
                </c:pt>
                <c:pt idx="68">
                  <c:v>309.73432154006559</c:v>
                </c:pt>
                <c:pt idx="69">
                  <c:v>305.5044354389513</c:v>
                </c:pt>
                <c:pt idx="70">
                  <c:v>301.3880896225586</c:v>
                </c:pt>
                <c:pt idx="71">
                  <c:v>297.38077303815373</c:v>
                </c:pt>
                <c:pt idx="72">
                  <c:v>293.47821048016527</c:v>
                </c:pt>
                <c:pt idx="73">
                  <c:v>289.67634737582347</c:v>
                </c:pt>
                <c:pt idx="74">
                  <c:v>285.97133573356177</c:v>
                </c:pt>
                <c:pt idx="75">
                  <c:v>282.35952115180766</c:v>
                </c:pt>
                <c:pt idx="76">
                  <c:v>278.83743079596576</c:v>
                </c:pt>
                <c:pt idx="77">
                  <c:v>275.40176226044258</c:v>
                </c:pt>
                <c:pt idx="78">
                  <c:v>272.04937324062712</c:v>
                </c:pt>
                <c:pt idx="79">
                  <c:v>268.7772719469325</c:v>
                </c:pt>
                <c:pt idx="80">
                  <c:v>265.58260819943172</c:v>
                </c:pt>
                <c:pt idx="81">
                  <c:v>262.46266514737374</c:v>
                </c:pt>
                <c:pt idx="82">
                  <c:v>259.41485156301297</c:v>
                </c:pt>
                <c:pt idx="83">
                  <c:v>256.43669466381391</c:v>
                </c:pt>
                <c:pt idx="84">
                  <c:v>253.52583342124203</c:v>
                </c:pt>
                <c:pt idx="85">
                  <c:v>250.6800123180858</c:v>
                </c:pt>
                <c:pt idx="86">
                  <c:v>247.89707551962215</c:v>
                </c:pt>
                <c:pt idx="87">
                  <c:v>245.17496142696547</c:v>
                </c:pt>
                <c:pt idx="88">
                  <c:v>242.51169758368374</c:v>
                </c:pt>
                <c:pt idx="89">
                  <c:v>239.90539590923296</c:v>
                </c:pt>
                <c:pt idx="90">
                  <c:v>237.35424823500568</c:v>
                </c:pt>
                <c:pt idx="91">
                  <c:v>234.85652212081362</c:v>
                </c:pt>
                <c:pt idx="92">
                  <c:v>232.41055693146342</c:v>
                </c:pt>
                <c:pt idx="93">
                  <c:v>230.01476015475316</c:v>
                </c:pt>
                <c:pt idx="94">
                  <c:v>227.66760394373628</c:v>
                </c:pt>
                <c:pt idx="95">
                  <c:v>225.3676218674745</c:v>
                </c:pt>
                <c:pt idx="96">
                  <c:v>223.11340585575991</c:v>
                </c:pt>
                <c:pt idx="97">
                  <c:v>220.90360332443095</c:v>
                </c:pt>
                <c:pt idx="98">
                  <c:v>218.73691446894856</c:v>
                </c:pt>
                <c:pt idx="99">
                  <c:v>216.61208971485496</c:v>
                </c:pt>
                <c:pt idx="100">
                  <c:v>214.52792731460568</c:v>
                </c:pt>
              </c:numCache>
            </c:numRef>
          </c:val>
          <c:smooth val="0"/>
          <c:extLst>
            <c:ext xmlns:c16="http://schemas.microsoft.com/office/drawing/2014/chart" uri="{C3380CC4-5D6E-409C-BE32-E72D297353CC}">
              <c16:uniqueId val="{00000001-33CF-4CE8-9C2E-6191AB4D2064}"/>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Single'!$AN$216:$AN$316</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348.67518023010695</c:v>
                </c:pt>
                <c:pt idx="83">
                  <c:v>344.76521497147121</c:v>
                </c:pt>
                <c:pt idx="84">
                  <c:v>340.93974913408539</c:v>
                </c:pt>
                <c:pt idx="85">
                  <c:v>337.19817906938408</c:v>
                </c:pt>
                <c:pt idx="86">
                  <c:v>333.5377735248203</c:v>
                </c:pt>
                <c:pt idx="87">
                  <c:v>329.9577270815509</c:v>
                </c:pt>
                <c:pt idx="88">
                  <c:v>326.45545910217623</c:v>
                </c:pt>
                <c:pt idx="89">
                  <c:v>323.02712285481641</c:v>
                </c:pt>
                <c:pt idx="90">
                  <c:v>319.67010372641846</c:v>
                </c:pt>
                <c:pt idx="91">
                  <c:v>316.38219925007644</c:v>
                </c:pt>
                <c:pt idx="92">
                  <c:v>313.16129672570213</c:v>
                </c:pt>
                <c:pt idx="93">
                  <c:v>310.0053686928278</c:v>
                </c:pt>
                <c:pt idx="94">
                  <c:v>306.91246867465452</c:v>
                </c:pt>
                <c:pt idx="95">
                  <c:v>303.8807271745772</c:v>
                </c:pt>
                <c:pt idx="96">
                  <c:v>300.90834790788062</c:v>
                </c:pt>
                <c:pt idx="97">
                  <c:v>297.99360425264581</c:v>
                </c:pt>
                <c:pt idx="98">
                  <c:v>295.13483590513465</c:v>
                </c:pt>
                <c:pt idx="99">
                  <c:v>292.33044572603751</c:v>
                </c:pt>
                <c:pt idx="100">
                  <c:v>289.57889676499565</c:v>
                </c:pt>
              </c:numCache>
            </c:numRef>
          </c:val>
          <c:smooth val="0"/>
          <c:extLst>
            <c:ext xmlns:c16="http://schemas.microsoft.com/office/drawing/2014/chart" uri="{C3380CC4-5D6E-409C-BE32-E72D297353CC}">
              <c16:uniqueId val="{00000002-33CF-4CE8-9C2E-6191AB4D206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3CF-4CE8-9C2E-6191AB4D2064}"/>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3CF-4CE8-9C2E-6191AB4D2064}"/>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3CF-4CE8-9C2E-6191AB4D2064}"/>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1.0053479900589052E-2</c:v>
                </c:pt>
                <c:pt idx="1">
                  <c:v>1.1845984204777999E-2</c:v>
                </c:pt>
                <c:pt idx="2">
                  <c:v>2.3691968409555998E-2</c:v>
                </c:pt>
                <c:pt idx="3">
                  <c:v>3.5537952614333991E-2</c:v>
                </c:pt>
                <c:pt idx="4">
                  <c:v>4.7383936819111995E-2</c:v>
                </c:pt>
                <c:pt idx="5">
                  <c:v>5.9229921023889978E-2</c:v>
                </c:pt>
                <c:pt idx="6">
                  <c:v>7.1075905228667982E-2</c:v>
                </c:pt>
                <c:pt idx="7">
                  <c:v>8.2921889433445986E-2</c:v>
                </c:pt>
                <c:pt idx="8">
                  <c:v>9.476787363822399E-2</c:v>
                </c:pt>
                <c:pt idx="9">
                  <c:v>0.10661385784300198</c:v>
                </c:pt>
                <c:pt idx="10">
                  <c:v>0.11845984204777996</c:v>
                </c:pt>
                <c:pt idx="11">
                  <c:v>0.13030582625255796</c:v>
                </c:pt>
                <c:pt idx="12">
                  <c:v>0.14215181045733596</c:v>
                </c:pt>
                <c:pt idx="13">
                  <c:v>0.15399779466211397</c:v>
                </c:pt>
                <c:pt idx="14">
                  <c:v>0.16584377886689197</c:v>
                </c:pt>
                <c:pt idx="15">
                  <c:v>0.17768976307166995</c:v>
                </c:pt>
                <c:pt idx="16">
                  <c:v>0.18953574727644798</c:v>
                </c:pt>
                <c:pt idx="17">
                  <c:v>0.20138173148122598</c:v>
                </c:pt>
                <c:pt idx="18">
                  <c:v>0.21322771568600396</c:v>
                </c:pt>
                <c:pt idx="19">
                  <c:v>0.22507369989078191</c:v>
                </c:pt>
                <c:pt idx="20">
                  <c:v>0.23691968409555991</c:v>
                </c:pt>
                <c:pt idx="21">
                  <c:v>0.24876566830033794</c:v>
                </c:pt>
                <c:pt idx="22">
                  <c:v>0.26061165250511592</c:v>
                </c:pt>
                <c:pt idx="23">
                  <c:v>0.27245763670989398</c:v>
                </c:pt>
                <c:pt idx="24">
                  <c:v>0.28430362091467193</c:v>
                </c:pt>
                <c:pt idx="25">
                  <c:v>0.29502689699889445</c:v>
                </c:pt>
                <c:pt idx="26">
                  <c:v>0.30088750984178608</c:v>
                </c:pt>
                <c:pt idx="27">
                  <c:v>0.30663713940548004</c:v>
                </c:pt>
                <c:pt idx="28">
                  <c:v>0.31228189759362757</c:v>
                </c:pt>
                <c:pt idx="29">
                  <c:v>0.31782735512107718</c:v>
                </c:pt>
                <c:pt idx="30">
                  <c:v>0.323278606317005</c:v>
                </c:pt>
                <c:pt idx="31">
                  <c:v>0.32864032428004758</c:v>
                </c:pt>
                <c:pt idx="32">
                  <c:v>0.33391680808504276</c:v>
                </c:pt>
                <c:pt idx="33">
                  <c:v>0.33911202339808294</c:v>
                </c:pt>
                <c:pt idx="34">
                  <c:v>0.34422963759111047</c:v>
                </c:pt>
                <c:pt idx="35">
                  <c:v>0.34927305024001148</c:v>
                </c:pt>
                <c:pt idx="36">
                  <c:v>0.35424541972702517</c:v>
                </c:pt>
                <c:pt idx="37">
                  <c:v>0.35914968653893486</c:v>
                </c:pt>
                <c:pt idx="38">
                  <c:v>0.36398859374922327</c:v>
                </c:pt>
                <c:pt idx="39">
                  <c:v>0.36876470508935283</c:v>
                </c:pt>
                <c:pt idx="40">
                  <c:v>0.37348042094719575</c:v>
                </c:pt>
                <c:pt idx="41">
                  <c:v>0.3781379925760126</c:v>
                </c:pt>
                <c:pt idx="42">
                  <c:v>0.38273953475269429</c:v>
                </c:pt>
                <c:pt idx="43">
                  <c:v>0.38728703708723844</c:v>
                </c:pt>
                <c:pt idx="44">
                  <c:v>0.39178237415505962</c:v>
                </c:pt>
                <c:pt idx="45">
                  <c:v>0.39622731459851135</c:v>
                </c:pt>
                <c:pt idx="46">
                  <c:v>0.40062352932296419</c:v>
                </c:pt>
                <c:pt idx="47">
                  <c:v>0.40497259889515536</c:v>
                </c:pt>
                <c:pt idx="48">
                  <c:v>0.40927602023670617</c:v>
                </c:pt>
                <c:pt idx="49">
                  <c:v>0.41353521269317833</c:v>
                </c:pt>
                <c:pt idx="50">
                  <c:v>0.41775152354843237</c:v>
                </c:pt>
                <c:pt idx="51">
                  <c:v>0.42192623304502025</c:v>
                </c:pt>
                <c:pt idx="52">
                  <c:v>0.42606055896364292</c:v>
                </c:pt>
                <c:pt idx="53">
                  <c:v>0.43015566080809958</c:v>
                </c:pt>
                <c:pt idx="54">
                  <c:v>0.43421264363648937</c:v>
                </c:pt>
                <c:pt idx="55">
                  <c:v>0.43823256157454032</c:v>
                </c:pt>
                <c:pt idx="56">
                  <c:v>0.44221642104271536</c:v>
                </c:pt>
                <c:pt idx="57">
                  <c:v>0.44616518372509328</c:v>
                </c:pt>
                <c:pt idx="58">
                  <c:v>0.45007976930483518</c:v>
                </c:pt>
                <c:pt idx="59">
                  <c:v>0.45396105798828218</c:v>
                </c:pt>
                <c:pt idx="60">
                  <c:v>0.45557174806313155</c:v>
                </c:pt>
                <c:pt idx="61">
                  <c:v>0.45234466212976232</c:v>
                </c:pt>
                <c:pt idx="62">
                  <c:v>0.44918971662473028</c:v>
                </c:pt>
                <c:pt idx="63">
                  <c:v>0.44611256304316038</c:v>
                </c:pt>
                <c:pt idx="64">
                  <c:v>0.44309823742193538</c:v>
                </c:pt>
                <c:pt idx="65">
                  <c:v>0.44299146713695348</c:v>
                </c:pt>
                <c:pt idx="66">
                  <c:v>0.44345449945295479</c:v>
                </c:pt>
                <c:pt idx="67">
                  <c:v>0.44389976834445732</c:v>
                </c:pt>
                <c:pt idx="68">
                  <c:v>0.44433339562108864</c:v>
                </c:pt>
                <c:pt idx="69">
                  <c:v>0.44475585642441784</c:v>
                </c:pt>
                <c:pt idx="70">
                  <c:v>0.445167600387883</c:v>
                </c:pt>
                <c:pt idx="71">
                  <c:v>0.44556905332588598</c:v>
                </c:pt>
                <c:pt idx="72">
                  <c:v>0.44596061879042448</c:v>
                </c:pt>
                <c:pt idx="73">
                  <c:v>0.44634267950722223</c:v>
                </c:pt>
                <c:pt idx="74">
                  <c:v>0.4467155987021042</c:v>
                </c:pt>
                <c:pt idx="75">
                  <c:v>0.44707972132727725</c:v>
                </c:pt>
                <c:pt idx="76">
                  <c:v>0.44743537519622123</c:v>
                </c:pt>
                <c:pt idx="77">
                  <c:v>0.44778287203503825</c:v>
                </c:pt>
                <c:pt idx="78">
                  <c:v>0.4481225084573478</c:v>
                </c:pt>
                <c:pt idx="79">
                  <c:v>0.44845456686913521</c:v>
                </c:pt>
                <c:pt idx="80">
                  <c:v>0.44877931630935952</c:v>
                </c:pt>
                <c:pt idx="81">
                  <c:v>0.44909701323157414</c:v>
                </c:pt>
                <c:pt idx="82">
                  <c:v>0.44940790223133886</c:v>
                </c:pt>
                <c:pt idx="83">
                  <c:v>0.44971221672375417</c:v>
                </c:pt>
                <c:pt idx="84">
                  <c:v>0.45001017957506778</c:v>
                </c:pt>
                <c:pt idx="85">
                  <c:v>0.45030200369194151</c:v>
                </c:pt>
                <c:pt idx="86">
                  <c:v>0.45058789257165371</c:v>
                </c:pt>
                <c:pt idx="87">
                  <c:v>0.45086804081622844</c:v>
                </c:pt>
                <c:pt idx="88">
                  <c:v>0.45114263461321596</c:v>
                </c:pt>
                <c:pt idx="89">
                  <c:v>0.45141185218562507</c:v>
                </c:pt>
                <c:pt idx="90">
                  <c:v>0.45167586421329114</c:v>
                </c:pt>
                <c:pt idx="91">
                  <c:v>0.45193483422777242</c:v>
                </c:pt>
                <c:pt idx="92">
                  <c:v>0.4521889189826952</c:v>
                </c:pt>
                <c:pt idx="93">
                  <c:v>0.45243826880131116</c:v>
                </c:pt>
                <c:pt idx="94">
                  <c:v>0.45268302790288434</c:v>
                </c:pt>
                <c:pt idx="95">
                  <c:v>0.45292333470939972</c:v>
                </c:pt>
                <c:pt idx="96">
                  <c:v>0.4531593221339606</c:v>
                </c:pt>
                <c:pt idx="97">
                  <c:v>0.45339111785214092</c:v>
                </c:pt>
                <c:pt idx="98">
                  <c:v>0.45361884455745294</c:v>
                </c:pt>
                <c:pt idx="99">
                  <c:v>0.45384262020200844</c:v>
                </c:pt>
                <c:pt idx="100">
                  <c:v>0.45406255822336128</c:v>
                </c:pt>
              </c:numCache>
            </c:numRef>
          </c:val>
          <c:smooth val="0"/>
          <c:extLst>
            <c:ext xmlns:c16="http://schemas.microsoft.com/office/drawing/2014/chart" uri="{C3380CC4-5D6E-409C-BE32-E72D297353CC}">
              <c16:uniqueId val="{00000006-33CF-4CE8-9C2E-6191AB4D2064}"/>
            </c:ext>
          </c:extLst>
        </c:ser>
        <c:ser>
          <c:idx val="7"/>
          <c:order val="7"/>
          <c:spPr>
            <a:ln w="31750">
              <a:solidFill>
                <a:srgbClr val="00B050"/>
              </a:solidFill>
            </a:ln>
          </c:spPr>
          <c:marker>
            <c:symbol val="none"/>
          </c:marker>
          <c:val>
            <c:numRef>
              <c:f>'Calculations - Single'!$AW$110:$AW$210</c:f>
              <c:numCache>
                <c:formatCode>0.000</c:formatCode>
                <c:ptCount val="101"/>
                <c:pt idx="0">
                  <c:v>1.7090920549069168E-2</c:v>
                </c:pt>
                <c:pt idx="1">
                  <c:v>2.0170751216882436E-2</c:v>
                </c:pt>
                <c:pt idx="2">
                  <c:v>4.0341502433764873E-2</c:v>
                </c:pt>
                <c:pt idx="3">
                  <c:v>6.0512253650647295E-2</c:v>
                </c:pt>
                <c:pt idx="4">
                  <c:v>8.0683004867529745E-2</c:v>
                </c:pt>
                <c:pt idx="5">
                  <c:v>0.10085375608441216</c:v>
                </c:pt>
                <c:pt idx="6">
                  <c:v>0.12102450730129459</c:v>
                </c:pt>
                <c:pt idx="7">
                  <c:v>0.14119525851817705</c:v>
                </c:pt>
                <c:pt idx="8">
                  <c:v>0.16136600973505949</c:v>
                </c:pt>
                <c:pt idx="9">
                  <c:v>0.18153676095194191</c:v>
                </c:pt>
                <c:pt idx="10">
                  <c:v>0.20170751216882432</c:v>
                </c:pt>
                <c:pt idx="11">
                  <c:v>0.22187826338570676</c:v>
                </c:pt>
                <c:pt idx="12">
                  <c:v>0.24204901460258918</c:v>
                </c:pt>
                <c:pt idx="13">
                  <c:v>0.26221976581947165</c:v>
                </c:pt>
                <c:pt idx="14">
                  <c:v>0.28239051703635409</c:v>
                </c:pt>
                <c:pt idx="15">
                  <c:v>0.30256126825323648</c:v>
                </c:pt>
                <c:pt idx="16">
                  <c:v>0.32273201947011898</c:v>
                </c:pt>
                <c:pt idx="17">
                  <c:v>0.34290277068700142</c:v>
                </c:pt>
                <c:pt idx="18">
                  <c:v>0.36307352190388381</c:v>
                </c:pt>
                <c:pt idx="19">
                  <c:v>0.38324427312076614</c:v>
                </c:pt>
                <c:pt idx="20">
                  <c:v>0.40341502433764864</c:v>
                </c:pt>
                <c:pt idx="21">
                  <c:v>0.42358577555453114</c:v>
                </c:pt>
                <c:pt idx="22">
                  <c:v>0.44375652677141353</c:v>
                </c:pt>
                <c:pt idx="23">
                  <c:v>0.46392727798829603</c:v>
                </c:pt>
                <c:pt idx="24">
                  <c:v>0.48409802920517836</c:v>
                </c:pt>
                <c:pt idx="25">
                  <c:v>0.5023596302490031</c:v>
                </c:pt>
                <c:pt idx="26">
                  <c:v>0.51235534481098088</c:v>
                </c:pt>
                <c:pt idx="27">
                  <c:v>0.52216239447854951</c:v>
                </c:pt>
                <c:pt idx="28">
                  <c:v>0.53179116936466442</c:v>
                </c:pt>
                <c:pt idx="29">
                  <c:v>0.54125113956798432</c:v>
                </c:pt>
                <c:pt idx="30">
                  <c:v>0.5505509653376115</c:v>
                </c:pt>
                <c:pt idx="31">
                  <c:v>0.55969859083630624</c:v>
                </c:pt>
                <c:pt idx="32">
                  <c:v>0.56870132439149268</c:v>
                </c:pt>
                <c:pt idx="33">
                  <c:v>0.57756590754044523</c:v>
                </c:pt>
                <c:pt idx="34">
                  <c:v>0.58038110537528664</c:v>
                </c:pt>
                <c:pt idx="35">
                  <c:v>0.57316498712890496</c:v>
                </c:pt>
                <c:pt idx="36">
                  <c:v>0.56622535027113641</c:v>
                </c:pt>
                <c:pt idx="37">
                  <c:v>0.56611148776558173</c:v>
                </c:pt>
                <c:pt idx="38">
                  <c:v>0.56711233880505585</c:v>
                </c:pt>
                <c:pt idx="39">
                  <c:v>0.56806706273341434</c:v>
                </c:pt>
                <c:pt idx="40">
                  <c:v>0.56897891209371743</c:v>
                </c:pt>
                <c:pt idx="41">
                  <c:v>0.56985084067092351</c:v>
                </c:pt>
                <c:pt idx="42">
                  <c:v>0.57068553702437796</c:v>
                </c:pt>
                <c:pt idx="43">
                  <c:v>0.57148545360306002</c:v>
                </c:pt>
                <c:pt idx="44">
                  <c:v>0.57225283210786237</c:v>
                </c:pt>
                <c:pt idx="45">
                  <c:v>0.57298972565342221</c:v>
                </c:pt>
                <c:pt idx="46">
                  <c:v>0.57369801819096844</c:v>
                </c:pt>
                <c:pt idx="47">
                  <c:v>0.57437944157914667</c:v>
                </c:pt>
                <c:pt idx="48">
                  <c:v>0.57503559062853393</c:v>
                </c:pt>
                <c:pt idx="49">
                  <c:v>0.57566793639501268</c:v>
                </c:pt>
                <c:pt idx="50">
                  <c:v>0.57627783795527476</c:v>
                </c:pt>
                <c:pt idx="51">
                  <c:v>0.5768665528628858</c:v>
                </c:pt>
                <c:pt idx="52">
                  <c:v>0.57743524645421984</c:v>
                </c:pt>
                <c:pt idx="53">
                  <c:v>0.57798500014921217</c:v>
                </c:pt>
                <c:pt idx="54">
                  <c:v>0.57851681887135653</c:v>
                </c:pt>
                <c:pt idx="55">
                  <c:v>0.57903163769408028</c:v>
                </c:pt>
                <c:pt idx="56">
                  <c:v>0.57953032780599389</c:v>
                </c:pt>
                <c:pt idx="57">
                  <c:v>0.58001370187508206</c:v>
                </c:pt>
                <c:pt idx="58">
                  <c:v>0.58048251888132807</c:v>
                </c:pt>
                <c:pt idx="59">
                  <c:v>0.58093748847822313</c:v>
                </c:pt>
                <c:pt idx="60">
                  <c:v>0.58137927493589303</c:v>
                </c:pt>
                <c:pt idx="61">
                  <c:v>0.58180850071192169</c:v>
                </c:pt>
                <c:pt idx="62">
                  <c:v>0.58222574969024854</c:v>
                </c:pt>
                <c:pt idx="63">
                  <c:v>0.58263157012359224</c:v>
                </c:pt>
                <c:pt idx="64">
                  <c:v>0.58302647731057644</c:v>
                </c:pt>
                <c:pt idx="65">
                  <c:v>0.58341095603506143</c:v>
                </c:pt>
                <c:pt idx="66">
                  <c:v>0.58378546279195553</c:v>
                </c:pt>
                <c:pt idx="67">
                  <c:v>0.5841504278210029</c:v>
                </c:pt>
                <c:pt idx="68">
                  <c:v>0.58450625696760083</c:v>
                </c:pt>
                <c:pt idx="69">
                  <c:v>0.58485333338756607</c:v>
                </c:pt>
                <c:pt idx="70">
                  <c:v>0.58519201911090968</c:v>
                </c:pt>
                <c:pt idx="71">
                  <c:v>0.58552265647804058</c:v>
                </c:pt>
                <c:pt idx="72">
                  <c:v>0.58584556946037392</c:v>
                </c:pt>
                <c:pt idx="73">
                  <c:v>0.58616106487605635</c:v>
                </c:pt>
                <c:pt idx="74">
                  <c:v>0.58646943351040171</c:v>
                </c:pt>
                <c:pt idx="75">
                  <c:v>0.58677095114963207</c:v>
                </c:pt>
                <c:pt idx="76">
                  <c:v>0.58706587953565958</c:v>
                </c:pt>
                <c:pt idx="77">
                  <c:v>0.58735446724884732</c:v>
                </c:pt>
                <c:pt idx="78">
                  <c:v>0.58763695052501752</c:v>
                </c:pt>
                <c:pt idx="79">
                  <c:v>0.58791355401234324</c:v>
                </c:pt>
                <c:pt idx="80">
                  <c:v>0.58818449147322782</c:v>
                </c:pt>
                <c:pt idx="81">
                  <c:v>0.58844996643577674</c:v>
                </c:pt>
                <c:pt idx="82">
                  <c:v>0.58871017279903803</c:v>
                </c:pt>
                <c:pt idx="83">
                  <c:v>0.58896529539579268</c:v>
                </c:pt>
                <c:pt idx="84">
                  <c:v>0.58921551051632937</c:v>
                </c:pt>
                <c:pt idx="85">
                  <c:v>0.58946098639632194</c:v>
                </c:pt>
                <c:pt idx="86">
                  <c:v>0.58970188367164933</c:v>
                </c:pt>
                <c:pt idx="87">
                  <c:v>0.58993835580274046</c:v>
                </c:pt>
                <c:pt idx="88">
                  <c:v>0.59017054947079928</c:v>
                </c:pt>
                <c:pt idx="89">
                  <c:v>0.59039860494806373</c:v>
                </c:pt>
                <c:pt idx="90">
                  <c:v>0.59062265644405765</c:v>
                </c:pt>
                <c:pt idx="91">
                  <c:v>0.59084283242963642</c:v>
                </c:pt>
                <c:pt idx="92">
                  <c:v>0.59105925594046782</c:v>
                </c:pt>
                <c:pt idx="93">
                  <c:v>0.59127204486145568</c:v>
                </c:pt>
                <c:pt idx="94">
                  <c:v>0.59148131219348776</c:v>
                </c:pt>
                <c:pt idx="95">
                  <c:v>0.59168716630377627</c:v>
                </c:pt>
                <c:pt idx="96">
                  <c:v>0.59188971116095668</c:v>
                </c:pt>
                <c:pt idx="97">
                  <c:v>0.59208904655601713</c:v>
                </c:pt>
                <c:pt idx="98">
                  <c:v>0.59228526831004202</c:v>
                </c:pt>
                <c:pt idx="99">
                  <c:v>0.59247846846968455</c:v>
                </c:pt>
                <c:pt idx="100">
                  <c:v>0.5926687354911977</c:v>
                </c:pt>
              </c:numCache>
            </c:numRef>
          </c:val>
          <c:smooth val="0"/>
          <c:extLst>
            <c:ext xmlns:c16="http://schemas.microsoft.com/office/drawing/2014/chart" uri="{C3380CC4-5D6E-409C-BE32-E72D297353CC}">
              <c16:uniqueId val="{00000007-33CF-4CE8-9C2E-6191AB4D2064}"/>
            </c:ext>
          </c:extLst>
        </c:ser>
        <c:ser>
          <c:idx val="8"/>
          <c:order val="8"/>
          <c:spPr>
            <a:ln w="31750">
              <a:solidFill>
                <a:srgbClr val="0000FF"/>
              </a:solidFill>
            </a:ln>
          </c:spPr>
          <c:marker>
            <c:symbol val="none"/>
          </c:marker>
          <c:val>
            <c:numRef>
              <c:f>'Calculations - Single'!$AW$216:$AW$316</c:f>
              <c:numCache>
                <c:formatCode>0.000</c:formatCode>
                <c:ptCount val="101"/>
                <c:pt idx="0">
                  <c:v>7.1212141104752451E-3</c:v>
                </c:pt>
                <c:pt idx="1">
                  <c:v>8.3852624961434606E-3</c:v>
                </c:pt>
                <c:pt idx="2">
                  <c:v>1.6770524992286921E-2</c:v>
                </c:pt>
                <c:pt idx="3">
                  <c:v>2.5155787488430378E-2</c:v>
                </c:pt>
                <c:pt idx="4">
                  <c:v>3.3541049984573842E-2</c:v>
                </c:pt>
                <c:pt idx="5">
                  <c:v>4.19263124807173E-2</c:v>
                </c:pt>
                <c:pt idx="6">
                  <c:v>5.0311574976860757E-2</c:v>
                </c:pt>
                <c:pt idx="7">
                  <c:v>5.8696837473004228E-2</c:v>
                </c:pt>
                <c:pt idx="8">
                  <c:v>6.7082099969147685E-2</c:v>
                </c:pt>
                <c:pt idx="9">
                  <c:v>7.5467362465291149E-2</c:v>
                </c:pt>
                <c:pt idx="10">
                  <c:v>8.3852624961434599E-2</c:v>
                </c:pt>
                <c:pt idx="11">
                  <c:v>9.2237887457578063E-2</c:v>
                </c:pt>
                <c:pt idx="12">
                  <c:v>0.10062314995372151</c:v>
                </c:pt>
                <c:pt idx="13">
                  <c:v>0.10900841244986499</c:v>
                </c:pt>
                <c:pt idx="14">
                  <c:v>0.11739367494600846</c:v>
                </c:pt>
                <c:pt idx="15">
                  <c:v>0.12577893744215191</c:v>
                </c:pt>
                <c:pt idx="16">
                  <c:v>0.13416419993829537</c:v>
                </c:pt>
                <c:pt idx="17">
                  <c:v>0.14254946243443886</c:v>
                </c:pt>
                <c:pt idx="18">
                  <c:v>0.1509347249305823</c:v>
                </c:pt>
                <c:pt idx="19">
                  <c:v>0.15931998742672571</c:v>
                </c:pt>
                <c:pt idx="20">
                  <c:v>0.1677052499228692</c:v>
                </c:pt>
                <c:pt idx="21">
                  <c:v>0.17609051241901269</c:v>
                </c:pt>
                <c:pt idx="22">
                  <c:v>0.18447577491515613</c:v>
                </c:pt>
                <c:pt idx="23">
                  <c:v>0.19286103741129962</c:v>
                </c:pt>
                <c:pt idx="24">
                  <c:v>0.20124629990744303</c:v>
                </c:pt>
                <c:pt idx="25">
                  <c:v>0.20883640646650534</c:v>
                </c:pt>
                <c:pt idx="26">
                  <c:v>0.21298202124602358</c:v>
                </c:pt>
                <c:pt idx="27">
                  <c:v>0.21704902209673557</c:v>
                </c:pt>
                <c:pt idx="28">
                  <c:v>0.22104173829805585</c:v>
                </c:pt>
                <c:pt idx="29">
                  <c:v>0.22496411578655537</c:v>
                </c:pt>
                <c:pt idx="30">
                  <c:v>0.22881976305824614</c:v>
                </c:pt>
                <c:pt idx="31">
                  <c:v>0.23261199023685988</c:v>
                </c:pt>
                <c:pt idx="32">
                  <c:v>0.23634384251200902</c:v>
                </c:pt>
                <c:pt idx="33">
                  <c:v>0.24001812890822927</c:v>
                </c:pt>
                <c:pt idx="34">
                  <c:v>0.24363744715786032</c:v>
                </c:pt>
                <c:pt idx="35">
                  <c:v>0.24720420530389967</c:v>
                </c:pt>
                <c:pt idx="36">
                  <c:v>0.25072064054340976</c:v>
                </c:pt>
                <c:pt idx="37">
                  <c:v>0.2541888357304336</c:v>
                </c:pt>
                <c:pt idx="38">
                  <c:v>0.25761073388421563</c:v>
                </c:pt>
                <c:pt idx="39">
                  <c:v>0.26098815098971712</c:v>
                </c:pt>
                <c:pt idx="40">
                  <c:v>0.26432278732986009</c:v>
                </c:pt>
                <c:pt idx="41">
                  <c:v>0.26761623755024122</c:v>
                </c:pt>
                <c:pt idx="42">
                  <c:v>0.27086999962540542</c:v>
                </c:pt>
                <c:pt idx="43">
                  <c:v>0.27408548286974266</c:v>
                </c:pt>
                <c:pt idx="44">
                  <c:v>0.27726401511455645</c:v>
                </c:pt>
                <c:pt idx="45">
                  <c:v>0.28040684915499026</c:v>
                </c:pt>
                <c:pt idx="46">
                  <c:v>0.2835151685555965</c:v>
                </c:pt>
                <c:pt idx="47">
                  <c:v>0.28659009289084619</c:v>
                </c:pt>
                <c:pt idx="48">
                  <c:v>0.28963268248638252</c:v>
                </c:pt>
                <c:pt idx="49">
                  <c:v>0.29264394271794597</c:v>
                </c:pt>
                <c:pt idx="50">
                  <c:v>0.29562482791738853</c:v>
                </c:pt>
                <c:pt idx="51">
                  <c:v>0.29857624492879403</c:v>
                </c:pt>
                <c:pt idx="52">
                  <c:v>0.30149905635226937</c:v>
                </c:pt>
                <c:pt idx="53">
                  <c:v>0.30439408350829161</c:v>
                </c:pt>
                <c:pt idx="54">
                  <c:v>0.30726210915148322</c:v>
                </c:pt>
                <c:pt idx="55">
                  <c:v>0.310103879959227</c:v>
                </c:pt>
                <c:pt idx="56">
                  <c:v>0.31292010881753984</c:v>
                </c:pt>
                <c:pt idx="57">
                  <c:v>0.31571147692403534</c:v>
                </c:pt>
                <c:pt idx="58">
                  <c:v>0.31847863572555257</c:v>
                </c:pt>
                <c:pt idx="59">
                  <c:v>0.32122220870606355</c:v>
                </c:pt>
                <c:pt idx="60">
                  <c:v>0.32394279303876383</c:v>
                </c:pt>
                <c:pt idx="61">
                  <c:v>0.32664096111474533</c:v>
                </c:pt>
                <c:pt idx="62">
                  <c:v>0.32931726195933758</c:v>
                </c:pt>
                <c:pt idx="63">
                  <c:v>0.33197222254604308</c:v>
                </c:pt>
                <c:pt idx="64">
                  <c:v>0.33460634901697534</c:v>
                </c:pt>
                <c:pt idx="65">
                  <c:v>0.33722012781780303</c:v>
                </c:pt>
                <c:pt idx="66">
                  <c:v>0.33981402675441008</c:v>
                </c:pt>
                <c:pt idx="67">
                  <c:v>0.34238849597776927</c:v>
                </c:pt>
                <c:pt idx="68">
                  <c:v>0.34494396890290463</c:v>
                </c:pt>
                <c:pt idx="69">
                  <c:v>0.34748086306725307</c:v>
                </c:pt>
                <c:pt idx="70">
                  <c:v>0.34999958093323913</c:v>
                </c:pt>
                <c:pt idx="71">
                  <c:v>0.35250051063943272</c:v>
                </c:pt>
                <c:pt idx="72">
                  <c:v>0.35498402670425816</c:v>
                </c:pt>
                <c:pt idx="73">
                  <c:v>0.35745049068586737</c:v>
                </c:pt>
                <c:pt idx="74">
                  <c:v>0.35990025180146989</c:v>
                </c:pt>
                <c:pt idx="75">
                  <c:v>0.36233364750912234</c:v>
                </c:pt>
                <c:pt idx="76">
                  <c:v>0.36475100405472266</c:v>
                </c:pt>
                <c:pt idx="77">
                  <c:v>0.36715263698671824</c:v>
                </c:pt>
                <c:pt idx="78">
                  <c:v>0.36953885164082817</c:v>
                </c:pt>
                <c:pt idx="79">
                  <c:v>0.37190994359688562</c:v>
                </c:pt>
                <c:pt idx="80">
                  <c:v>0.3742661991097378</c:v>
                </c:pt>
                <c:pt idx="81">
                  <c:v>0.37660789551598084</c:v>
                </c:pt>
                <c:pt idx="82">
                  <c:v>0.37750095596360861</c:v>
                </c:pt>
                <c:pt idx="83">
                  <c:v>0.37554793398447495</c:v>
                </c:pt>
                <c:pt idx="84">
                  <c:v>0.37363671612080462</c:v>
                </c:pt>
                <c:pt idx="85">
                  <c:v>0.37175473395453562</c:v>
                </c:pt>
                <c:pt idx="86">
                  <c:v>0.36990126380660232</c:v>
                </c:pt>
                <c:pt idx="87">
                  <c:v>0.36346081165069422</c:v>
                </c:pt>
                <c:pt idx="88">
                  <c:v>0.36375543036687313</c:v>
                </c:pt>
                <c:pt idx="89">
                  <c:v>0.3640368217579304</c:v>
                </c:pt>
                <c:pt idx="90">
                  <c:v>0.36431268380020515</c:v>
                </c:pt>
                <c:pt idx="91">
                  <c:v>0.36458318726443328</c:v>
                </c:pt>
                <c:pt idx="92">
                  <c:v>0.36484849596119157</c:v>
                </c:pt>
                <c:pt idx="93">
                  <c:v>0.36510876709191875</c:v>
                </c:pt>
                <c:pt idx="94">
                  <c:v>0.36536415157890367</c:v>
                </c:pt>
                <c:pt idx="95">
                  <c:v>0.36561479437569844</c:v>
                </c:pt>
                <c:pt idx="96">
                  <c:v>0.36586083475929754</c:v>
                </c:pt>
                <c:pt idx="97">
                  <c:v>0.36610240660531862</c:v>
                </c:pt>
                <c:pt idx="98">
                  <c:v>0.3663396386473321</c:v>
                </c:pt>
                <c:pt idx="99">
                  <c:v>0.36657265472138856</c:v>
                </c:pt>
                <c:pt idx="100">
                  <c:v>0.3668015739967258</c:v>
                </c:pt>
              </c:numCache>
            </c:numRef>
          </c:val>
          <c:smooth val="0"/>
          <c:extLst>
            <c:ext xmlns:c16="http://schemas.microsoft.com/office/drawing/2014/chart" uri="{C3380CC4-5D6E-409C-BE32-E72D297353CC}">
              <c16:uniqueId val="{00000008-33CF-4CE8-9C2E-6191AB4D2064}"/>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7.1993082168755951</c:v>
                </c:pt>
                <c:pt idx="36">
                  <c:v>7.3017386442389647</c:v>
                </c:pt>
                <c:pt idx="37">
                  <c:v>7.4899001431552525</c:v>
                </c:pt>
                <c:pt idx="38">
                  <c:v>7.6931570715753299</c:v>
                </c:pt>
                <c:pt idx="39">
                  <c:v>7.8964578289486846</c:v>
                </c:pt>
                <c:pt idx="40">
                  <c:v>8.0998024323759221</c:v>
                </c:pt>
                <c:pt idx="41">
                  <c:v>8.3031908989894205</c:v>
                </c:pt>
                <c:pt idx="42">
                  <c:v>8.506623245950518</c:v>
                </c:pt>
                <c:pt idx="43">
                  <c:v>8.7100994904471385</c:v>
                </c:pt>
                <c:pt idx="44">
                  <c:v>8.913619649691725</c:v>
                </c:pt>
                <c:pt idx="45">
                  <c:v>9.1171837409194882</c:v>
                </c:pt>
                <c:pt idx="46">
                  <c:v>9.3207917813868697</c:v>
                </c:pt>
                <c:pt idx="47">
                  <c:v>9.5244437883702151</c:v>
                </c:pt>
                <c:pt idx="48">
                  <c:v>9.7281397791646356</c:v>
                </c:pt>
                <c:pt idx="49">
                  <c:v>9.9318797710829916</c:v>
                </c:pt>
                <c:pt idx="50">
                  <c:v>10.135663781455003</c:v>
                </c:pt>
                <c:pt idx="51">
                  <c:v>10.33949182762651</c:v>
                </c:pt>
                <c:pt idx="52">
                  <c:v>10.543363926958754</c:v>
                </c:pt>
                <c:pt idx="53">
                  <c:v>10.74728009682781</c:v>
                </c:pt>
                <c:pt idx="54">
                  <c:v>10.951240354624034</c:v>
                </c:pt>
                <c:pt idx="55">
                  <c:v>11.155244717751605</c:v>
                </c:pt>
                <c:pt idx="56">
                  <c:v>11.359293203628107</c:v>
                </c:pt>
                <c:pt idx="57">
                  <c:v>11.563385829684151</c:v>
                </c:pt>
                <c:pt idx="58">
                  <c:v>11.767522613363063</c:v>
                </c:pt>
                <c:pt idx="59">
                  <c:v>11.971703572120544</c:v>
                </c:pt>
                <c:pt idx="60">
                  <c:v>12.175928723424468</c:v>
                </c:pt>
                <c:pt idx="61">
                  <c:v>12.380198084754586</c:v>
                </c:pt>
                <c:pt idx="62">
                  <c:v>12.584511673602346</c:v>
                </c:pt>
                <c:pt idx="63">
                  <c:v>12.788869507470698</c:v>
                </c:pt>
                <c:pt idx="64">
                  <c:v>12.993271603873911</c:v>
                </c:pt>
                <c:pt idx="65">
                  <c:v>13.197717980337421</c:v>
                </c:pt>
                <c:pt idx="66">
                  <c:v>13.402208654397691</c:v>
                </c:pt>
                <c:pt idx="67">
                  <c:v>13.606743643602094</c:v>
                </c:pt>
                <c:pt idx="68">
                  <c:v>13.811322965508772</c:v>
                </c:pt>
                <c:pt idx="69">
                  <c:v>14.01594663768655</c:v>
                </c:pt>
                <c:pt idx="70">
                  <c:v>14.220614677714856</c:v>
                </c:pt>
                <c:pt idx="71">
                  <c:v>14.4253271031836</c:v>
                </c:pt>
                <c:pt idx="72">
                  <c:v>14.630083931693122</c:v>
                </c:pt>
                <c:pt idx="73">
                  <c:v>14.834885180854108</c:v>
                </c:pt>
                <c:pt idx="74">
                  <c:v>15.039730868287531</c:v>
                </c:pt>
                <c:pt idx="75">
                  <c:v>15.244621011624597</c:v>
                </c:pt>
                <c:pt idx="76">
                  <c:v>15.44955562850668</c:v>
                </c:pt>
                <c:pt idx="77">
                  <c:v>15.654534736585282</c:v>
                </c:pt>
                <c:pt idx="78">
                  <c:v>15.859558353521981</c:v>
                </c:pt>
                <c:pt idx="79">
                  <c:v>16.064626496988396</c:v>
                </c:pt>
                <c:pt idx="80">
                  <c:v>16.269739184666154</c:v>
                </c:pt>
                <c:pt idx="81">
                  <c:v>16.474896434246848</c:v>
                </c:pt>
                <c:pt idx="82">
                  <c:v>16.680098263432008</c:v>
                </c:pt>
                <c:pt idx="83">
                  <c:v>16.885344689933074</c:v>
                </c:pt>
                <c:pt idx="84">
                  <c:v>17.09063573147138</c:v>
                </c:pt>
                <c:pt idx="85">
                  <c:v>17.295971405778108</c:v>
                </c:pt>
                <c:pt idx="86">
                  <c:v>17.501351730594291</c:v>
                </c:pt>
                <c:pt idx="87">
                  <c:v>17.706776723670778</c:v>
                </c:pt>
                <c:pt idx="88">
                  <c:v>17.912246402768226</c:v>
                </c:pt>
                <c:pt idx="89">
                  <c:v>18.117760785657076</c:v>
                </c:pt>
                <c:pt idx="90">
                  <c:v>18.323319890117549</c:v>
                </c:pt>
                <c:pt idx="91">
                  <c:v>18.528923733939621</c:v>
                </c:pt>
                <c:pt idx="92">
                  <c:v>18.734572334923026</c:v>
                </c:pt>
                <c:pt idx="93">
                  <c:v>18.940265710877224</c:v>
                </c:pt>
                <c:pt idx="94">
                  <c:v>19.146003879621418</c:v>
                </c:pt>
                <c:pt idx="95">
                  <c:v>19.351786858984525</c:v>
                </c:pt>
                <c:pt idx="96">
                  <c:v>19.557614666805172</c:v>
                </c:pt>
                <c:pt idx="97">
                  <c:v>19.763487320931713</c:v>
                </c:pt>
                <c:pt idx="98">
                  <c:v>19.969404839222175</c:v>
                </c:pt>
                <c:pt idx="99">
                  <c:v>20.175367239544315</c:v>
                </c:pt>
                <c:pt idx="100">
                  <c:v>20.381374539775546</c:v>
                </c:pt>
              </c:numCache>
            </c:numRef>
          </c:val>
          <c:smooth val="0"/>
          <c:extLst>
            <c:ext xmlns:c16="http://schemas.microsoft.com/office/drawing/2014/chart" uri="{C3380CC4-5D6E-409C-BE32-E72D297353CC}">
              <c16:uniqueId val="{00000000-6477-4C46-89EF-E7A1D5DEFAE7}"/>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Single'!$AJ$5:$AJ$105</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7.1992932598847865</c:v>
                </c:pt>
                <c:pt idx="36">
                  <c:v>7.3015010651331407</c:v>
                </c:pt>
                <c:pt idx="37">
                  <c:v>7.4023012346130468</c:v>
                </c:pt>
                <c:pt idx="38">
                  <c:v>7.5017504646422228</c:v>
                </c:pt>
                <c:pt idx="39">
                  <c:v>7.5999017447504142</c:v>
                </c:pt>
                <c:pt idx="40">
                  <c:v>7.6968046883475019</c:v>
                </c:pt>
                <c:pt idx="41">
                  <c:v>7.7925058264058533</c:v>
                </c:pt>
                <c:pt idx="42">
                  <c:v>7.8870488690908793</c:v>
                </c:pt>
                <c:pt idx="43">
                  <c:v>7.9804749395142496</c:v>
                </c:pt>
                <c:pt idx="44">
                  <c:v>8.0728227831565338</c:v>
                </c:pt>
                <c:pt idx="45">
                  <c:v>8.164128955984717</c:v>
                </c:pt>
                <c:pt idx="46">
                  <c:v>8.2544279938552929</c:v>
                </c:pt>
                <c:pt idx="47">
                  <c:v>8.3437525654292983</c:v>
                </c:pt>
                <c:pt idx="48">
                  <c:v>8.4321336105193154</c:v>
                </c:pt>
                <c:pt idx="49">
                  <c:v>8.5196004655296171</c:v>
                </c:pt>
                <c:pt idx="50">
                  <c:v>8.6061809774314018</c:v>
                </c:pt>
                <c:pt idx="51">
                  <c:v>8.691901607528342</c:v>
                </c:pt>
                <c:pt idx="52">
                  <c:v>8.7767875261085457</c:v>
                </c:pt>
                <c:pt idx="53">
                  <c:v>8.8608626989425048</c:v>
                </c:pt>
                <c:pt idx="54">
                  <c:v>8.9441499664695101</c:v>
                </c:pt>
                <c:pt idx="55">
                  <c:v>9.0266711164140183</c:v>
                </c:pt>
                <c:pt idx="56">
                  <c:v>9.108446950486158</c:v>
                </c:pt>
                <c:pt idx="57">
                  <c:v>9.1894973457449929</c:v>
                </c:pt>
                <c:pt idx="58">
                  <c:v>9.2698413111374212</c:v>
                </c:pt>
                <c:pt idx="59">
                  <c:v>9.3494970396683339</c:v>
                </c:pt>
                <c:pt idx="60">
                  <c:v>9.4284819566076816</c:v>
                </c:pt>
                <c:pt idx="61">
                  <c:v>9.5068127640963027</c:v>
                </c:pt>
                <c:pt idx="62">
                  <c:v>9.584550344553266</c:v>
                </c:pt>
                <c:pt idx="63">
                  <c:v>9.6617846481294354</c:v>
                </c:pt>
                <c:pt idx="64">
                  <c:v>9.738417268977491</c:v>
                </c:pt>
                <c:pt idx="65">
                  <c:v>9.878078960248855</c:v>
                </c:pt>
                <c:pt idx="66">
                  <c:v>10.030593965014587</c:v>
                </c:pt>
                <c:pt idx="67">
                  <c:v>10.183020769212497</c:v>
                </c:pt>
                <c:pt idx="68">
                  <c:v>10.335461012393184</c:v>
                </c:pt>
                <c:pt idx="69">
                  <c:v>10.487914696888311</c:v>
                </c:pt>
                <c:pt idx="70">
                  <c:v>10.640381825030914</c:v>
                </c:pt>
                <c:pt idx="71">
                  <c:v>10.792862399155323</c:v>
                </c:pt>
                <c:pt idx="72">
                  <c:v>10.945356421597113</c:v>
                </c:pt>
                <c:pt idx="73">
                  <c:v>11.097863894693065</c:v>
                </c:pt>
                <c:pt idx="74">
                  <c:v>11.250384820781104</c:v>
                </c:pt>
                <c:pt idx="75">
                  <c:v>11.402919202200279</c:v>
                </c:pt>
                <c:pt idx="76">
                  <c:v>11.555467041290699</c:v>
                </c:pt>
                <c:pt idx="77">
                  <c:v>11.70802834039352</c:v>
                </c:pt>
                <c:pt idx="78">
                  <c:v>11.860603101850909</c:v>
                </c:pt>
                <c:pt idx="79">
                  <c:v>12.013191328005991</c:v>
                </c:pt>
                <c:pt idx="80">
                  <c:v>12.16579302120287</c:v>
                </c:pt>
                <c:pt idx="81">
                  <c:v>12.318408183786534</c:v>
                </c:pt>
                <c:pt idx="82">
                  <c:v>12.471036818102908</c:v>
                </c:pt>
                <c:pt idx="83">
                  <c:v>12.62367892649878</c:v>
                </c:pt>
                <c:pt idx="84">
                  <c:v>12.776334511321796</c:v>
                </c:pt>
                <c:pt idx="85">
                  <c:v>12.929003574920451</c:v>
                </c:pt>
                <c:pt idx="86">
                  <c:v>13.08168611964404</c:v>
                </c:pt>
                <c:pt idx="87">
                  <c:v>13.234382147842698</c:v>
                </c:pt>
                <c:pt idx="88">
                  <c:v>13.387091661867327</c:v>
                </c:pt>
                <c:pt idx="89">
                  <c:v>13.539814664069613</c:v>
                </c:pt>
                <c:pt idx="90">
                  <c:v>13.692551156802017</c:v>
                </c:pt>
                <c:pt idx="91">
                  <c:v>13.845301142417739</c:v>
                </c:pt>
                <c:pt idx="92">
                  <c:v>13.99806462327073</c:v>
                </c:pt>
                <c:pt idx="93">
                  <c:v>14.150841601715674</c:v>
                </c:pt>
                <c:pt idx="94">
                  <c:v>14.303632080107969</c:v>
                </c:pt>
                <c:pt idx="95">
                  <c:v>14.456436060803728</c:v>
                </c:pt>
                <c:pt idx="96">
                  <c:v>14.609253546159778</c:v>
                </c:pt>
                <c:pt idx="97">
                  <c:v>14.762084538533626</c:v>
                </c:pt>
                <c:pt idx="98">
                  <c:v>14.914929040283482</c:v>
                </c:pt>
                <c:pt idx="99">
                  <c:v>15.067787053768232</c:v>
                </c:pt>
                <c:pt idx="100">
                  <c:v>15.220658581347431</c:v>
                </c:pt>
              </c:numCache>
            </c:numRef>
          </c:val>
          <c:smooth val="0"/>
          <c:extLst>
            <c:ext xmlns:c16="http://schemas.microsoft.com/office/drawing/2014/chart" uri="{C3380CC4-5D6E-409C-BE32-E72D297353CC}">
              <c16:uniqueId val="{00000001-6477-4C46-89EF-E7A1D5DEFAE7}"/>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7.1992932598847865</c:v>
                </c:pt>
                <c:pt idx="36">
                  <c:v>7.3015010651331407</c:v>
                </c:pt>
                <c:pt idx="37">
                  <c:v>7.4023012346130468</c:v>
                </c:pt>
                <c:pt idx="38">
                  <c:v>7.5017504646422228</c:v>
                </c:pt>
                <c:pt idx="39">
                  <c:v>7.5999017447504142</c:v>
                </c:pt>
                <c:pt idx="40">
                  <c:v>7.6968046883475019</c:v>
                </c:pt>
                <c:pt idx="41">
                  <c:v>7.7925058264058533</c:v>
                </c:pt>
                <c:pt idx="42">
                  <c:v>7.8870488690908793</c:v>
                </c:pt>
                <c:pt idx="43">
                  <c:v>7.9804749395142496</c:v>
                </c:pt>
                <c:pt idx="44">
                  <c:v>8.0728227831565338</c:v>
                </c:pt>
                <c:pt idx="45">
                  <c:v>8.164128955984717</c:v>
                </c:pt>
                <c:pt idx="46">
                  <c:v>8.2544279938552929</c:v>
                </c:pt>
                <c:pt idx="47">
                  <c:v>8.3437525654292983</c:v>
                </c:pt>
                <c:pt idx="48">
                  <c:v>8.4321336105193154</c:v>
                </c:pt>
                <c:pt idx="49">
                  <c:v>8.5196004655296171</c:v>
                </c:pt>
                <c:pt idx="50">
                  <c:v>8.6061809774314018</c:v>
                </c:pt>
                <c:pt idx="51">
                  <c:v>8.691901607528342</c:v>
                </c:pt>
                <c:pt idx="52">
                  <c:v>8.7767875261085457</c:v>
                </c:pt>
                <c:pt idx="53">
                  <c:v>8.8608626989425048</c:v>
                </c:pt>
                <c:pt idx="54">
                  <c:v>8.9441499664695101</c:v>
                </c:pt>
                <c:pt idx="55">
                  <c:v>9.0266711164140183</c:v>
                </c:pt>
                <c:pt idx="56">
                  <c:v>9.108446950486158</c:v>
                </c:pt>
                <c:pt idx="57">
                  <c:v>9.1894973457449929</c:v>
                </c:pt>
                <c:pt idx="58">
                  <c:v>9.2698413111374212</c:v>
                </c:pt>
                <c:pt idx="59">
                  <c:v>9.3494970396683339</c:v>
                </c:pt>
                <c:pt idx="60">
                  <c:v>9.4284819566076816</c:v>
                </c:pt>
                <c:pt idx="61">
                  <c:v>9.5068127640963027</c:v>
                </c:pt>
                <c:pt idx="62">
                  <c:v>9.5845054824739684</c:v>
                </c:pt>
                <c:pt idx="63">
                  <c:v>9.6615754886192935</c:v>
                </c:pt>
                <c:pt idx="64">
                  <c:v>9.7380375515614475</c:v>
                </c:pt>
                <c:pt idx="65">
                  <c:v>9.813905865597194</c:v>
                </c:pt>
                <c:pt idx="66">
                  <c:v>9.8891940811236569</c:v>
                </c:pt>
                <c:pt idx="67">
                  <c:v>9.9639153333764003</c:v>
                </c:pt>
                <c:pt idx="68">
                  <c:v>10.038082269244246</c:v>
                </c:pt>
                <c:pt idx="69">
                  <c:v>10.111707072315793</c:v>
                </c:pt>
                <c:pt idx="70">
                  <c:v>10.184801486298136</c:v>
                </c:pt>
                <c:pt idx="71">
                  <c:v>10.257376836935224</c:v>
                </c:pt>
                <c:pt idx="72">
                  <c:v>10.329444052541719</c:v>
                </c:pt>
                <c:pt idx="73">
                  <c:v>10.401013683257748</c:v>
                </c:pt>
                <c:pt idx="74">
                  <c:v>10.472095919120616</c:v>
                </c:pt>
                <c:pt idx="75">
                  <c:v>10.542700607041127</c:v>
                </c:pt>
                <c:pt idx="76">
                  <c:v>10.612837266764565</c:v>
                </c:pt>
                <c:pt idx="77">
                  <c:v>10.68251510588963</c:v>
                </c:pt>
                <c:pt idx="78">
                  <c:v>10.751743034012353</c:v>
                </c:pt>
                <c:pt idx="79">
                  <c:v>10.820529676056546</c:v>
                </c:pt>
                <c:pt idx="80">
                  <c:v>10.888883384847222</c:v>
                </c:pt>
                <c:pt idx="81">
                  <c:v>10.956812252978898</c:v>
                </c:pt>
                <c:pt idx="82">
                  <c:v>11.024324124026489</c:v>
                </c:pt>
                <c:pt idx="83">
                  <c:v>11.091439000837012</c:v>
                </c:pt>
                <c:pt idx="84">
                  <c:v>11.158279112268863</c:v>
                </c:pt>
                <c:pt idx="85">
                  <c:v>11.224727912373329</c:v>
                </c:pt>
                <c:pt idx="86">
                  <c:v>11.290792365072184</c:v>
                </c:pt>
                <c:pt idx="87">
                  <c:v>11.21428568321128</c:v>
                </c:pt>
                <c:pt idx="88">
                  <c:v>11.343172236809478</c:v>
                </c:pt>
                <c:pt idx="89">
                  <c:v>11.472020002722035</c:v>
                </c:pt>
                <c:pt idx="90">
                  <c:v>11.600866629165591</c:v>
                </c:pt>
                <c:pt idx="91">
                  <c:v>11.729712116942054</c:v>
                </c:pt>
                <c:pt idx="92">
                  <c:v>11.858556466853473</c:v>
                </c:pt>
                <c:pt idx="93">
                  <c:v>11.987399679702007</c:v>
                </c:pt>
                <c:pt idx="94">
                  <c:v>12.116241756289956</c:v>
                </c:pt>
                <c:pt idx="95">
                  <c:v>12.24508269741972</c:v>
                </c:pt>
                <c:pt idx="96">
                  <c:v>12.373922503893811</c:v>
                </c:pt>
                <c:pt idx="97">
                  <c:v>12.50276117651484</c:v>
                </c:pt>
                <c:pt idx="98">
                  <c:v>12.631598716085527</c:v>
                </c:pt>
                <c:pt idx="99">
                  <c:v>12.760435123408664</c:v>
                </c:pt>
                <c:pt idx="100">
                  <c:v>12.889270399287151</c:v>
                </c:pt>
              </c:numCache>
            </c:numRef>
          </c:val>
          <c:smooth val="0"/>
          <c:extLst>
            <c:ext xmlns:c16="http://schemas.microsoft.com/office/drawing/2014/chart" uri="{C3380CC4-5D6E-409C-BE32-E72D297353CC}">
              <c16:uniqueId val="{00000002-6477-4C46-89EF-E7A1D5DEFAE7}"/>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1.0080611538106194</c:v>
                </c:pt>
                <c:pt idx="2">
                  <c:v>1.0161223076212389</c:v>
                </c:pt>
                <c:pt idx="3">
                  <c:v>1.0241834614318581</c:v>
                </c:pt>
                <c:pt idx="4">
                  <c:v>1.0322446152424776</c:v>
                </c:pt>
                <c:pt idx="5">
                  <c:v>1.040305769053097</c:v>
                </c:pt>
                <c:pt idx="6">
                  <c:v>1.0483669228637165</c:v>
                </c:pt>
                <c:pt idx="7">
                  <c:v>1.0564280766743359</c:v>
                </c:pt>
                <c:pt idx="8">
                  <c:v>1.0644892304849551</c:v>
                </c:pt>
                <c:pt idx="9">
                  <c:v>1.0725503842955746</c:v>
                </c:pt>
                <c:pt idx="10">
                  <c:v>1.080611538106194</c:v>
                </c:pt>
                <c:pt idx="11">
                  <c:v>1.0886726919168135</c:v>
                </c:pt>
                <c:pt idx="12">
                  <c:v>1.0967338457274329</c:v>
                </c:pt>
                <c:pt idx="13">
                  <c:v>1.1047949995380524</c:v>
                </c:pt>
                <c:pt idx="14">
                  <c:v>1.1128561533486716</c:v>
                </c:pt>
                <c:pt idx="15">
                  <c:v>1.1209173071592911</c:v>
                </c:pt>
                <c:pt idx="16">
                  <c:v>1.1289784609699105</c:v>
                </c:pt>
                <c:pt idx="17">
                  <c:v>1.13703961478053</c:v>
                </c:pt>
                <c:pt idx="18">
                  <c:v>1.1451007685911492</c:v>
                </c:pt>
                <c:pt idx="19">
                  <c:v>1.1531619224017686</c:v>
                </c:pt>
                <c:pt idx="20">
                  <c:v>1.1612230762123881</c:v>
                </c:pt>
                <c:pt idx="21">
                  <c:v>1.1692842300230075</c:v>
                </c:pt>
                <c:pt idx="22">
                  <c:v>1.177345383833627</c:v>
                </c:pt>
                <c:pt idx="23">
                  <c:v>1.1854065376442464</c:v>
                </c:pt>
                <c:pt idx="24">
                  <c:v>1.1934676914548656</c:v>
                </c:pt>
                <c:pt idx="25">
                  <c:v>1.2171358222627291</c:v>
                </c:pt>
                <c:pt idx="26">
                  <c:v>1.3064447832492752</c:v>
                </c:pt>
                <c:pt idx="27">
                  <c:v>1.3940545373723043</c:v>
                </c:pt>
                <c:pt idx="28">
                  <c:v>1.4800586594380649</c:v>
                </c:pt>
                <c:pt idx="29">
                  <c:v>1.564542438537678</c:v>
                </c:pt>
                <c:pt idx="30">
                  <c:v>1.6475838701955547</c:v>
                </c:pt>
                <c:pt idx="31">
                  <c:v>1.7292545008052262</c:v>
                </c:pt>
                <c:pt idx="32">
                  <c:v>1.8096201503738238</c:v>
                </c:pt>
                <c:pt idx="33">
                  <c:v>1.8887415343465987</c:v>
                </c:pt>
                <c:pt idx="34">
                  <c:v>1.9666748012184143</c:v>
                </c:pt>
                <c:pt idx="35">
                  <c:v>2.0434830787181735</c:v>
                </c:pt>
                <c:pt idx="36">
                  <c:v>2.1193574693577069</c:v>
                </c:pt>
                <c:pt idx="37">
                  <c:v>2.2587363574438459</c:v>
                </c:pt>
                <c:pt idx="38">
                  <c:v>2.4092970451624218</c:v>
                </c:pt>
                <c:pt idx="39">
                  <c:v>2.5598901987723144</c:v>
                </c:pt>
                <c:pt idx="40">
                  <c:v>2.7105158309406381</c:v>
                </c:pt>
                <c:pt idx="41">
                  <c:v>2.8611739543580446</c:v>
                </c:pt>
                <c:pt idx="42">
                  <c:v>3.011864581736635</c:v>
                </c:pt>
                <c:pt idx="43">
                  <c:v>3.1625877258082058</c:v>
                </c:pt>
                <c:pt idx="44">
                  <c:v>3.3133433993227142</c:v>
                </c:pt>
                <c:pt idx="45">
                  <c:v>3.4641316150469832</c:v>
                </c:pt>
                <c:pt idx="46">
                  <c:v>3.6149523857635621</c:v>
                </c:pt>
                <c:pt idx="47">
                  <c:v>3.765805724269744</c:v>
                </c:pt>
                <c:pt idx="48">
                  <c:v>3.9166916433767218</c:v>
                </c:pt>
                <c:pt idx="49">
                  <c:v>4.067610155908838</c:v>
                </c:pt>
                <c:pt idx="50">
                  <c:v>4.2185612747029202</c:v>
                </c:pt>
                <c:pt idx="51">
                  <c:v>4.3695450126077402</c:v>
                </c:pt>
                <c:pt idx="52">
                  <c:v>4.5205613824834776</c:v>
                </c:pt>
                <c:pt idx="53">
                  <c:v>4.6716103972012952</c:v>
                </c:pt>
                <c:pt idx="54">
                  <c:v>4.8226920696429429</c:v>
                </c:pt>
                <c:pt idx="55">
                  <c:v>4.9738064127004042</c:v>
                </c:pt>
                <c:pt idx="56">
                  <c:v>5.1249534392755898</c:v>
                </c:pt>
                <c:pt idx="57">
                  <c:v>5.2761331622800673</c:v>
                </c:pt>
                <c:pt idx="58">
                  <c:v>5.4273455946348168</c:v>
                </c:pt>
                <c:pt idx="59">
                  <c:v>5.5785907492699884</c:v>
                </c:pt>
                <c:pt idx="60">
                  <c:v>5.7298686391247458</c:v>
                </c:pt>
                <c:pt idx="61">
                  <c:v>5.881179277147055</c:v>
                </c:pt>
                <c:pt idx="62">
                  <c:v>6.0325226762935458</c:v>
                </c:pt>
                <c:pt idx="63">
                  <c:v>6.1838988495293616</c:v>
                </c:pt>
                <c:pt idx="64">
                  <c:v>6.3353078098280378</c:v>
                </c:pt>
                <c:pt idx="65">
                  <c:v>6.4867495701713782</c:v>
                </c:pt>
                <c:pt idx="66">
                  <c:v>6.6382241435493565</c:v>
                </c:pt>
                <c:pt idx="67">
                  <c:v>6.7897315429600251</c:v>
                </c:pt>
                <c:pt idx="68">
                  <c:v>6.9412717814094167</c:v>
                </c:pt>
                <c:pt idx="69">
                  <c:v>7.0928448719114741</c:v>
                </c:pt>
                <c:pt idx="70">
                  <c:v>7.2444508274879968</c:v>
                </c:pt>
                <c:pt idx="71">
                  <c:v>7.3960896611685474</c:v>
                </c:pt>
                <c:pt idx="72">
                  <c:v>7.547761385990416</c:v>
                </c:pt>
                <c:pt idx="73">
                  <c:v>7.6994660149985537</c:v>
                </c:pt>
                <c:pt idx="74">
                  <c:v>7.8512035612455344</c:v>
                </c:pt>
                <c:pt idx="75">
                  <c:v>8.0029740377915068</c:v>
                </c:pt>
                <c:pt idx="76">
                  <c:v>8.1547774577041618</c:v>
                </c:pt>
                <c:pt idx="77">
                  <c:v>8.3066138340586821</c:v>
                </c:pt>
                <c:pt idx="78">
                  <c:v>8.4584831799377191</c:v>
                </c:pt>
                <c:pt idx="79">
                  <c:v>8.6103855084313601</c:v>
                </c:pt>
                <c:pt idx="80">
                  <c:v>8.7623208326371049</c:v>
                </c:pt>
                <c:pt idx="81">
                  <c:v>8.9142891656598415</c:v>
                </c:pt>
                <c:pt idx="82">
                  <c:v>9.0662905206118118</c:v>
                </c:pt>
                <c:pt idx="83">
                  <c:v>9.2183249106126031</c:v>
                </c:pt>
                <c:pt idx="84">
                  <c:v>9.3703923487891245</c:v>
                </c:pt>
                <c:pt idx="85">
                  <c:v>9.5224928482755899</c:v>
                </c:pt>
                <c:pt idx="86">
                  <c:v>9.6746264222135014</c:v>
                </c:pt>
                <c:pt idx="87">
                  <c:v>9.8267930837516406</c:v>
                </c:pt>
                <c:pt idx="88">
                  <c:v>9.9789928460460473</c:v>
                </c:pt>
                <c:pt idx="89">
                  <c:v>10.131225722260011</c:v>
                </c:pt>
                <c:pt idx="90">
                  <c:v>10.283491725564064</c:v>
                </c:pt>
                <c:pt idx="91">
                  <c:v>10.435790869135969</c:v>
                </c:pt>
                <c:pt idx="92">
                  <c:v>10.588123166160715</c:v>
                </c:pt>
                <c:pt idx="93">
                  <c:v>10.740488629830489</c:v>
                </c:pt>
                <c:pt idx="94">
                  <c:v>10.892887273344709</c:v>
                </c:pt>
                <c:pt idx="95">
                  <c:v>11.045319109909972</c:v>
                </c:pt>
                <c:pt idx="96">
                  <c:v>11.197784152740081</c:v>
                </c:pt>
                <c:pt idx="97">
                  <c:v>11.350282415056039</c:v>
                </c:pt>
                <c:pt idx="98">
                  <c:v>11.50281391008601</c:v>
                </c:pt>
                <c:pt idx="99">
                  <c:v>11.655378651065373</c:v>
                </c:pt>
                <c:pt idx="100">
                  <c:v>11.807976651236654</c:v>
                </c:pt>
              </c:numCache>
            </c:numRef>
          </c:val>
          <c:smooth val="0"/>
          <c:extLst>
            <c:ext xmlns:c16="http://schemas.microsoft.com/office/drawing/2014/chart" uri="{C3380CC4-5D6E-409C-BE32-E72D297353CC}">
              <c16:uniqueId val="{00000000-B28B-4852-801F-8278A9821D6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Single'!$AK$5:$AK$105</c:f>
              <c:numCache>
                <c:formatCode>0.000</c:formatCode>
                <c:ptCount val="101"/>
                <c:pt idx="0">
                  <c:v>1.0068571428571429</c:v>
                </c:pt>
                <c:pt idx="1">
                  <c:v>1.0080611538106194</c:v>
                </c:pt>
                <c:pt idx="2">
                  <c:v>1.0161223076212389</c:v>
                </c:pt>
                <c:pt idx="3">
                  <c:v>1.0241834614318581</c:v>
                </c:pt>
                <c:pt idx="4">
                  <c:v>1.0322446152424776</c:v>
                </c:pt>
                <c:pt idx="5">
                  <c:v>1.040305769053097</c:v>
                </c:pt>
                <c:pt idx="6">
                  <c:v>1.0483669228637165</c:v>
                </c:pt>
                <c:pt idx="7">
                  <c:v>1.0564280766743359</c:v>
                </c:pt>
                <c:pt idx="8">
                  <c:v>1.0644892304849551</c:v>
                </c:pt>
                <c:pt idx="9">
                  <c:v>1.0725503842955746</c:v>
                </c:pt>
                <c:pt idx="10">
                  <c:v>1.080611538106194</c:v>
                </c:pt>
                <c:pt idx="11">
                  <c:v>1.0886726919168135</c:v>
                </c:pt>
                <c:pt idx="12">
                  <c:v>1.0967338457274329</c:v>
                </c:pt>
                <c:pt idx="13">
                  <c:v>1.1047949995380524</c:v>
                </c:pt>
                <c:pt idx="14">
                  <c:v>1.1128561533486716</c:v>
                </c:pt>
                <c:pt idx="15">
                  <c:v>1.1209173071592911</c:v>
                </c:pt>
                <c:pt idx="16">
                  <c:v>1.1289784609699105</c:v>
                </c:pt>
                <c:pt idx="17">
                  <c:v>1.13703961478053</c:v>
                </c:pt>
                <c:pt idx="18">
                  <c:v>1.1451007685911492</c:v>
                </c:pt>
                <c:pt idx="19">
                  <c:v>1.1531619224017686</c:v>
                </c:pt>
                <c:pt idx="20">
                  <c:v>1.1612230762123881</c:v>
                </c:pt>
                <c:pt idx="21">
                  <c:v>1.1692842300230075</c:v>
                </c:pt>
                <c:pt idx="22">
                  <c:v>1.177345383833627</c:v>
                </c:pt>
                <c:pt idx="23">
                  <c:v>1.1854065376442464</c:v>
                </c:pt>
                <c:pt idx="24">
                  <c:v>1.1934676914548656</c:v>
                </c:pt>
                <c:pt idx="25">
                  <c:v>1.2171358222627291</c:v>
                </c:pt>
                <c:pt idx="26">
                  <c:v>1.3064447832492752</c:v>
                </c:pt>
                <c:pt idx="27">
                  <c:v>1.3940545373723043</c:v>
                </c:pt>
                <c:pt idx="28">
                  <c:v>1.4800586594380649</c:v>
                </c:pt>
                <c:pt idx="29">
                  <c:v>1.564542438537678</c:v>
                </c:pt>
                <c:pt idx="30">
                  <c:v>1.6475838701955547</c:v>
                </c:pt>
                <c:pt idx="31">
                  <c:v>1.7292545008052262</c:v>
                </c:pt>
                <c:pt idx="32">
                  <c:v>1.8096201503738238</c:v>
                </c:pt>
                <c:pt idx="33">
                  <c:v>1.8887415343465987</c:v>
                </c:pt>
                <c:pt idx="34">
                  <c:v>1.9666748012184143</c:v>
                </c:pt>
                <c:pt idx="35">
                  <c:v>2.0434719994657229</c:v>
                </c:pt>
                <c:pt idx="36">
                  <c:v>2.1191814848348742</c:v>
                </c:pt>
                <c:pt idx="37">
                  <c:v>2.1938482770422119</c:v>
                </c:pt>
                <c:pt idx="38">
                  <c:v>2.26751437336012</c:v>
                </c:pt>
                <c:pt idx="39">
                  <c:v>2.3402190252921136</c:v>
                </c:pt>
                <c:pt idx="40">
                  <c:v>2.4119989835121789</c:v>
                </c:pt>
                <c:pt idx="41">
                  <c:v>2.4828887154072539</c:v>
                </c:pt>
                <c:pt idx="42">
                  <c:v>2.5529205988776438</c:v>
                </c:pt>
                <c:pt idx="43">
                  <c:v>2.6221250954875472</c:v>
                </c:pt>
                <c:pt idx="44">
                  <c:v>2.6905309055929432</c:v>
                </c:pt>
                <c:pt idx="45">
                  <c:v>2.7581651076878937</c:v>
                </c:pt>
                <c:pt idx="46">
                  <c:v>2.8250532838883204</c:v>
                </c:pt>
                <c:pt idx="47">
                  <c:v>2.8912196332023985</c:v>
                </c:pt>
                <c:pt idx="48">
                  <c:v>2.9566870740098183</c:v>
                </c:pt>
                <c:pt idx="49">
                  <c:v>3.0214773369804124</c:v>
                </c:pt>
                <c:pt idx="50">
                  <c:v>3.0856110495002529</c:v>
                </c:pt>
                <c:pt idx="51">
                  <c:v>3.1491078125350231</c:v>
                </c:pt>
                <c:pt idx="52">
                  <c:v>3.2119862707425817</c:v>
                </c:pt>
                <c:pt idx="53">
                  <c:v>3.2742641765455138</c:v>
                </c:pt>
                <c:pt idx="54">
                  <c:v>3.3359584487877401</c:v>
                </c:pt>
                <c:pt idx="55">
                  <c:v>3.3970852265244131</c:v>
                </c:pt>
                <c:pt idx="56">
                  <c:v>3.4576599184297017</c:v>
                </c:pt>
                <c:pt idx="57">
                  <c:v>3.5176972482510607</c:v>
                </c:pt>
                <c:pt idx="58">
                  <c:v>3.5772112966898968</c:v>
                </c:pt>
                <c:pt idx="59">
                  <c:v>3.6362155400461287</c:v>
                </c:pt>
                <c:pt idx="60">
                  <c:v>3.6947228859271268</c:v>
                </c:pt>
                <c:pt idx="61">
                  <c:v>3.7527457062890681</c:v>
                </c:pt>
                <c:pt idx="62">
                  <c:v>3.8103290992201524</c:v>
                </c:pt>
                <c:pt idx="63">
                  <c:v>3.867539694461759</c:v>
                </c:pt>
                <c:pt idx="64">
                  <c:v>3.9243045987936522</c:v>
                </c:pt>
                <c:pt idx="65">
                  <c:v>4.0277577034391072</c:v>
                </c:pt>
                <c:pt idx="66">
                  <c:v>4.1407317810433524</c:v>
                </c:pt>
                <c:pt idx="67">
                  <c:v>4.2536405248936573</c:v>
                </c:pt>
                <c:pt idx="68">
                  <c:v>4.3665592235460169</c:v>
                </c:pt>
                <c:pt idx="69">
                  <c:v>4.4794878787275927</c:v>
                </c:pt>
                <c:pt idx="70">
                  <c:v>4.5924264921665587</c:v>
                </c:pt>
                <c:pt idx="71">
                  <c:v>4.7053750655920465</c:v>
                </c:pt>
                <c:pt idx="72">
                  <c:v>4.8183336007341131</c:v>
                </c:pt>
                <c:pt idx="73">
                  <c:v>4.9313020993237071</c:v>
                </c:pt>
                <c:pt idx="74">
                  <c:v>5.0442805630926246</c:v>
                </c:pt>
                <c:pt idx="75">
                  <c:v>5.1572689937734948</c:v>
                </c:pt>
                <c:pt idx="76">
                  <c:v>5.2702673930997328</c:v>
                </c:pt>
                <c:pt idx="77">
                  <c:v>5.3832757628055257</c:v>
                </c:pt>
                <c:pt idx="78">
                  <c:v>5.4962941046258145</c:v>
                </c:pt>
                <c:pt idx="79">
                  <c:v>5.6093224202962446</c:v>
                </c:pt>
                <c:pt idx="80">
                  <c:v>5.7223607115531916</c:v>
                </c:pt>
                <c:pt idx="81">
                  <c:v>5.8354089801336846</c:v>
                </c:pt>
                <c:pt idx="82">
                  <c:v>5.948467227775442</c:v>
                </c:pt>
                <c:pt idx="83">
                  <c:v>6.0615354562168289</c:v>
                </c:pt>
                <c:pt idx="84">
                  <c:v>6.1746136671968417</c:v>
                </c:pt>
                <c:pt idx="85">
                  <c:v>6.287701862455104</c:v>
                </c:pt>
                <c:pt idx="86">
                  <c:v>6.4008000437318371</c:v>
                </c:pt>
                <c:pt idx="87">
                  <c:v>6.5139082127678796</c:v>
                </c:pt>
                <c:pt idx="88">
                  <c:v>6.627026371304642</c:v>
                </c:pt>
                <c:pt idx="89">
                  <c:v>6.7401545210841132</c:v>
                </c:pt>
                <c:pt idx="90">
                  <c:v>6.8532926638488565</c:v>
                </c:pt>
                <c:pt idx="91">
                  <c:v>6.9664408013419843</c:v>
                </c:pt>
                <c:pt idx="92">
                  <c:v>7.0795989353071631</c:v>
                </c:pt>
                <c:pt idx="93">
                  <c:v>7.1927670674886031</c:v>
                </c:pt>
                <c:pt idx="94">
                  <c:v>7.3059451996310436</c:v>
                </c:pt>
                <c:pt idx="95">
                  <c:v>7.4191333334797536</c:v>
                </c:pt>
                <c:pt idx="96">
                  <c:v>7.5323314707805311</c:v>
                </c:pt>
                <c:pt idx="97">
                  <c:v>7.645539613279678</c:v>
                </c:pt>
                <c:pt idx="98">
                  <c:v>7.7587577627240156</c:v>
                </c:pt>
                <c:pt idx="99">
                  <c:v>7.8719859208608671</c:v>
                </c:pt>
                <c:pt idx="100">
                  <c:v>7.9852240894380522</c:v>
                </c:pt>
              </c:numCache>
            </c:numRef>
          </c:val>
          <c:smooth val="0"/>
          <c:extLst>
            <c:ext xmlns:c16="http://schemas.microsoft.com/office/drawing/2014/chart" uri="{C3380CC4-5D6E-409C-BE32-E72D297353CC}">
              <c16:uniqueId val="{00000001-B28B-4852-801F-8278A9821D6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1.0080611538106194</c:v>
                </c:pt>
                <c:pt idx="2">
                  <c:v>1.0161223076212389</c:v>
                </c:pt>
                <c:pt idx="3">
                  <c:v>1.0241834614318581</c:v>
                </c:pt>
                <c:pt idx="4">
                  <c:v>1.0322446152424776</c:v>
                </c:pt>
                <c:pt idx="5">
                  <c:v>1.040305769053097</c:v>
                </c:pt>
                <c:pt idx="6">
                  <c:v>1.0483669228637165</c:v>
                </c:pt>
                <c:pt idx="7">
                  <c:v>1.0564280766743359</c:v>
                </c:pt>
                <c:pt idx="8">
                  <c:v>1.0644892304849551</c:v>
                </c:pt>
                <c:pt idx="9">
                  <c:v>1.0725503842955746</c:v>
                </c:pt>
                <c:pt idx="10">
                  <c:v>1.080611538106194</c:v>
                </c:pt>
                <c:pt idx="11">
                  <c:v>1.0886726919168135</c:v>
                </c:pt>
                <c:pt idx="12">
                  <c:v>1.0967338457274329</c:v>
                </c:pt>
                <c:pt idx="13">
                  <c:v>1.1047949995380524</c:v>
                </c:pt>
                <c:pt idx="14">
                  <c:v>1.1128561533486716</c:v>
                </c:pt>
                <c:pt idx="15">
                  <c:v>1.1209173071592911</c:v>
                </c:pt>
                <c:pt idx="16">
                  <c:v>1.1289784609699105</c:v>
                </c:pt>
                <c:pt idx="17">
                  <c:v>1.13703961478053</c:v>
                </c:pt>
                <c:pt idx="18">
                  <c:v>1.1451007685911492</c:v>
                </c:pt>
                <c:pt idx="19">
                  <c:v>1.1531619224017686</c:v>
                </c:pt>
                <c:pt idx="20">
                  <c:v>1.1612230762123881</c:v>
                </c:pt>
                <c:pt idx="21">
                  <c:v>1.1692842300230075</c:v>
                </c:pt>
                <c:pt idx="22">
                  <c:v>1.177345383833627</c:v>
                </c:pt>
                <c:pt idx="23">
                  <c:v>1.1854065376442464</c:v>
                </c:pt>
                <c:pt idx="24">
                  <c:v>1.1934676914548656</c:v>
                </c:pt>
                <c:pt idx="25">
                  <c:v>1.2171358222627291</c:v>
                </c:pt>
                <c:pt idx="26">
                  <c:v>1.3064447832492752</c:v>
                </c:pt>
                <c:pt idx="27">
                  <c:v>1.3940545373723043</c:v>
                </c:pt>
                <c:pt idx="28">
                  <c:v>1.4800586594380649</c:v>
                </c:pt>
                <c:pt idx="29">
                  <c:v>1.564542438537678</c:v>
                </c:pt>
                <c:pt idx="30">
                  <c:v>1.6475838701955547</c:v>
                </c:pt>
                <c:pt idx="31">
                  <c:v>1.7292545008052262</c:v>
                </c:pt>
                <c:pt idx="32">
                  <c:v>1.8096201503738238</c:v>
                </c:pt>
                <c:pt idx="33">
                  <c:v>1.8887415343465987</c:v>
                </c:pt>
                <c:pt idx="34">
                  <c:v>1.9666748012184143</c:v>
                </c:pt>
                <c:pt idx="35">
                  <c:v>2.0434719994657229</c:v>
                </c:pt>
                <c:pt idx="36">
                  <c:v>2.1191814848348742</c:v>
                </c:pt>
                <c:pt idx="37">
                  <c:v>2.1938482770422119</c:v>
                </c:pt>
                <c:pt idx="38">
                  <c:v>2.26751437336012</c:v>
                </c:pt>
                <c:pt idx="39">
                  <c:v>2.3402190252921136</c:v>
                </c:pt>
                <c:pt idx="40">
                  <c:v>2.4119989835121789</c:v>
                </c:pt>
                <c:pt idx="41">
                  <c:v>2.4828887154072539</c:v>
                </c:pt>
                <c:pt idx="42">
                  <c:v>2.5529205988776438</c:v>
                </c:pt>
                <c:pt idx="43">
                  <c:v>2.6221250954875472</c:v>
                </c:pt>
                <c:pt idx="44">
                  <c:v>2.6905309055929432</c:v>
                </c:pt>
                <c:pt idx="45">
                  <c:v>2.7581651076878937</c:v>
                </c:pt>
                <c:pt idx="46">
                  <c:v>2.8250532838883204</c:v>
                </c:pt>
                <c:pt idx="47">
                  <c:v>2.8912196332023985</c:v>
                </c:pt>
                <c:pt idx="48">
                  <c:v>2.9566870740098183</c:v>
                </c:pt>
                <c:pt idx="49">
                  <c:v>3.0214773369804124</c:v>
                </c:pt>
                <c:pt idx="50">
                  <c:v>3.0856110495002529</c:v>
                </c:pt>
                <c:pt idx="51">
                  <c:v>3.1491078125350231</c:v>
                </c:pt>
                <c:pt idx="52">
                  <c:v>3.2119862707425817</c:v>
                </c:pt>
                <c:pt idx="53">
                  <c:v>3.2742641765455138</c:v>
                </c:pt>
                <c:pt idx="54">
                  <c:v>3.3359584487877401</c:v>
                </c:pt>
                <c:pt idx="55">
                  <c:v>3.3970852265244131</c:v>
                </c:pt>
                <c:pt idx="56">
                  <c:v>3.4576599184297017</c:v>
                </c:pt>
                <c:pt idx="57">
                  <c:v>3.5176972482510607</c:v>
                </c:pt>
                <c:pt idx="58">
                  <c:v>3.5772112966898968</c:v>
                </c:pt>
                <c:pt idx="59">
                  <c:v>3.6362155400461287</c:v>
                </c:pt>
                <c:pt idx="60">
                  <c:v>3.6947228859271268</c:v>
                </c:pt>
                <c:pt idx="61">
                  <c:v>3.7527457062890681</c:v>
                </c:pt>
                <c:pt idx="62">
                  <c:v>3.8102958680503018</c:v>
                </c:pt>
                <c:pt idx="63">
                  <c:v>3.8673847614912837</c:v>
                </c:pt>
                <c:pt idx="64">
                  <c:v>3.9240233266336197</c:v>
                </c:pt>
                <c:pt idx="65">
                  <c:v>3.9802220777712103</c:v>
                </c:pt>
                <c:pt idx="66">
                  <c:v>4.0359911263093311</c:v>
                </c:pt>
                <c:pt idx="67">
                  <c:v>4.0913402020521037</c:v>
                </c:pt>
                <c:pt idx="68">
                  <c:v>4.1462786730653223</c:v>
                </c:pt>
                <c:pt idx="69">
                  <c:v>4.2008155642294316</c:v>
                </c:pt>
                <c:pt idx="70">
                  <c:v>4.2549595745867226</c:v>
                </c:pt>
                <c:pt idx="71">
                  <c:v>4.3087190935771584</c:v>
                </c:pt>
                <c:pt idx="72">
                  <c:v>4.362102216248636</c:v>
                </c:pt>
                <c:pt idx="73">
                  <c:v>4.4151167575197681</c:v>
                </c:pt>
                <c:pt idx="74">
                  <c:v>4.4677702655663367</c:v>
                </c:pt>
                <c:pt idx="75">
                  <c:v>4.5200700343963449</c:v>
                </c:pt>
                <c:pt idx="76">
                  <c:v>4.572023115672966</c:v>
                </c:pt>
                <c:pt idx="77">
                  <c:v>4.6236363298396812</c:v>
                </c:pt>
                <c:pt idx="78">
                  <c:v>4.6749162765972541</c:v>
                </c:pt>
                <c:pt idx="79">
                  <c:v>4.7258693447781379</c:v>
                </c:pt>
                <c:pt idx="80">
                  <c:v>4.7765017216601198</c:v>
                </c:pt>
                <c:pt idx="81">
                  <c:v>4.8268194017576569</c:v>
                </c:pt>
                <c:pt idx="82">
                  <c:v>4.8768281951262429</c:v>
                </c:pt>
                <c:pt idx="83">
                  <c:v>4.9265429186895933</c:v>
                </c:pt>
                <c:pt idx="84">
                  <c:v>4.9760541123428164</c:v>
                </c:pt>
                <c:pt idx="85">
                  <c:v>5.0252754457535316</c:v>
                </c:pt>
                <c:pt idx="86">
                  <c:v>5.0742120773823132</c:v>
                </c:pt>
                <c:pt idx="87">
                  <c:v>5.0175404611890517</c:v>
                </c:pt>
                <c:pt idx="88">
                  <c:v>5.1130119823729014</c:v>
                </c:pt>
                <c:pt idx="89">
                  <c:v>5.2084547719377587</c:v>
                </c:pt>
                <c:pt idx="90">
                  <c:v>5.3038967174515044</c:v>
                </c:pt>
                <c:pt idx="91">
                  <c:v>5.3993378195081432</c:v>
                </c:pt>
                <c:pt idx="92">
                  <c:v>5.4947780787017875</c:v>
                </c:pt>
                <c:pt idx="93">
                  <c:v>5.5902174956266268</c:v>
                </c:pt>
                <c:pt idx="94">
                  <c:v>5.6856560708769592</c:v>
                </c:pt>
                <c:pt idx="95">
                  <c:v>5.7810938050471554</c:v>
                </c:pt>
                <c:pt idx="96">
                  <c:v>5.876530698731667</c:v>
                </c:pt>
                <c:pt idx="97">
                  <c:v>5.9719667525250211</c:v>
                </c:pt>
                <c:pt idx="98">
                  <c:v>6.0674019670218273</c:v>
                </c:pt>
                <c:pt idx="99">
                  <c:v>6.1628363428167434</c:v>
                </c:pt>
                <c:pt idx="100">
                  <c:v>6.2582698805045114</c:v>
                </c:pt>
              </c:numCache>
            </c:numRef>
          </c:val>
          <c:smooth val="0"/>
          <c:extLst>
            <c:ext xmlns:c16="http://schemas.microsoft.com/office/drawing/2014/chart" uri="{C3380CC4-5D6E-409C-BE32-E72D297353CC}">
              <c16:uniqueId val="{00000002-B28B-4852-801F-8278A9821D66}"/>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Single'!$CB$5:$CB$105</c:f>
              <c:numCache>
                <c:formatCode>0.00</c:formatCode>
                <c:ptCount val="101"/>
                <c:pt idx="0">
                  <c:v>7.6590027474257143E-6</c:v>
                </c:pt>
                <c:pt idx="1">
                  <c:v>72.833576011909344</c:v>
                </c:pt>
                <c:pt idx="2">
                  <c:v>77.996679753169872</c:v>
                </c:pt>
                <c:pt idx="3">
                  <c:v>79.563279359503881</c:v>
                </c:pt>
                <c:pt idx="4">
                  <c:v>80.07125830166963</c:v>
                </c:pt>
                <c:pt idx="5">
                  <c:v>80.102577415680116</c:v>
                </c:pt>
                <c:pt idx="6">
                  <c:v>79.867337178555985</c:v>
                </c:pt>
                <c:pt idx="7">
                  <c:v>79.462157480692426</c:v>
                </c:pt>
                <c:pt idx="8">
                  <c:v>78.939044502237891</c:v>
                </c:pt>
                <c:pt idx="9">
                  <c:v>78.329338534719014</c:v>
                </c:pt>
                <c:pt idx="10">
                  <c:v>77.653612618499608</c:v>
                </c:pt>
                <c:pt idx="11">
                  <c:v>76.926301145697224</c:v>
                </c:pt>
                <c:pt idx="12">
                  <c:v>76.158076221101339</c:v>
                </c:pt>
                <c:pt idx="13">
                  <c:v>75.357161346495928</c:v>
                </c:pt>
                <c:pt idx="14">
                  <c:v>74.530102971306462</c:v>
                </c:pt>
                <c:pt idx="15">
                  <c:v>73.682247348803514</c:v>
                </c:pt>
                <c:pt idx="16">
                  <c:v>72.818048519233074</c:v>
                </c:pt>
                <c:pt idx="17">
                  <c:v>71.941275089454322</c:v>
                </c:pt>
                <c:pt idx="18">
                  <c:v>71.055153971747529</c:v>
                </c:pt>
                <c:pt idx="19">
                  <c:v>70.162473498194771</c:v>
                </c:pt>
                <c:pt idx="20">
                  <c:v>69.265659551781738</c:v>
                </c:pt>
                <c:pt idx="21">
                  <c:v>68.366833277132983</c:v>
                </c:pt>
                <c:pt idx="22">
                  <c:v>67.467855896201627</c:v>
                </c:pt>
                <c:pt idx="23">
                  <c:v>66.570364283344745</c:v>
                </c:pt>
                <c:pt idx="24">
                  <c:v>65.675799771512118</c:v>
                </c:pt>
                <c:pt idx="25">
                  <c:v>64.94530199376652</c:v>
                </c:pt>
                <c:pt idx="26">
                  <c:v>64.897765444814596</c:v>
                </c:pt>
                <c:pt idx="27">
                  <c:v>64.847282828298418</c:v>
                </c:pt>
                <c:pt idx="28">
                  <c:v>64.794294634472621</c:v>
                </c:pt>
                <c:pt idx="29">
                  <c:v>64.739175354428724</c:v>
                </c:pt>
                <c:pt idx="30">
                  <c:v>64.682244701725295</c:v>
                </c:pt>
                <c:pt idx="31">
                  <c:v>64.623776669225649</c:v>
                </c:pt>
                <c:pt idx="32">
                  <c:v>64.564006888321998</c:v>
                </c:pt>
                <c:pt idx="33">
                  <c:v>64.503138646538787</c:v>
                </c:pt>
                <c:pt idx="34">
                  <c:v>64.441347837145955</c:v>
                </c:pt>
                <c:pt idx="35">
                  <c:v>64.378787052819959</c:v>
                </c:pt>
                <c:pt idx="36">
                  <c:v>64.315588988916488</c:v>
                </c:pt>
                <c:pt idx="37">
                  <c:v>64.25186928655593</c:v>
                </c:pt>
                <c:pt idx="38">
                  <c:v>64.187728918604435</c:v>
                </c:pt>
                <c:pt idx="39">
                  <c:v>64.123256200680672</c:v>
                </c:pt>
                <c:pt idx="40">
                  <c:v>64.05852849301732</c:v>
                </c:pt>
                <c:pt idx="41">
                  <c:v>63.993613646239034</c:v>
                </c:pt>
                <c:pt idx="42">
                  <c:v>63.928571234058239</c:v>
                </c:pt>
                <c:pt idx="43">
                  <c:v>63.863453607912604</c:v>
                </c:pt>
                <c:pt idx="44">
                  <c:v>63.798306802209581</c:v>
                </c:pt>
                <c:pt idx="45">
                  <c:v>63.733171313746631</c:v>
                </c:pt>
                <c:pt idx="46">
                  <c:v>63.668082774769388</c:v>
                </c:pt>
                <c:pt idx="47">
                  <c:v>63.603072535806845</c:v>
                </c:pt>
                <c:pt idx="48">
                  <c:v>63.538168171718603</c:v>
                </c:pt>
                <c:pt idx="49">
                  <c:v>63.473393922182588</c:v>
                </c:pt>
                <c:pt idx="50">
                  <c:v>63.408771076039258</c:v>
                </c:pt>
                <c:pt idx="51">
                  <c:v>63.34431830741751</c:v>
                </c:pt>
                <c:pt idx="52">
                  <c:v>63.280051970333751</c:v>
                </c:pt>
                <c:pt idx="53">
                  <c:v>63.215986357432676</c:v>
                </c:pt>
                <c:pt idx="54">
                  <c:v>63.152133927685348</c:v>
                </c:pt>
                <c:pt idx="55">
                  <c:v>63.088505507148852</c:v>
                </c:pt>
                <c:pt idx="56">
                  <c:v>63.025110466293754</c:v>
                </c:pt>
                <c:pt idx="57">
                  <c:v>62.961956876904736</c:v>
                </c:pt>
                <c:pt idx="58">
                  <c:v>62.899051651134776</c:v>
                </c:pt>
                <c:pt idx="59">
                  <c:v>62.836400664936406</c:v>
                </c:pt>
                <c:pt idx="60">
                  <c:v>63.012978535856767</c:v>
                </c:pt>
                <c:pt idx="61">
                  <c:v>63.697999451507414</c:v>
                </c:pt>
                <c:pt idx="62">
                  <c:v>64.365507937065274</c:v>
                </c:pt>
                <c:pt idx="63">
                  <c:v>65.016225973803643</c:v>
                </c:pt>
                <c:pt idx="64">
                  <c:v>65.650119084179465</c:v>
                </c:pt>
                <c:pt idx="65">
                  <c:v>65.944829293165967</c:v>
                </c:pt>
                <c:pt idx="66">
                  <c:v>66.169051380569641</c:v>
                </c:pt>
                <c:pt idx="67">
                  <c:v>66.38823299970413</c:v>
                </c:pt>
                <c:pt idx="68">
                  <c:v>66.602521257468624</c:v>
                </c:pt>
                <c:pt idx="69">
                  <c:v>66.812046109232156</c:v>
                </c:pt>
                <c:pt idx="70">
                  <c:v>67.016932698129551</c:v>
                </c:pt>
                <c:pt idx="71">
                  <c:v>67.217301569096037</c:v>
                </c:pt>
                <c:pt idx="72">
                  <c:v>67.413268871482174</c:v>
                </c:pt>
                <c:pt idx="73">
                  <c:v>67.604946550952576</c:v>
                </c:pt>
                <c:pt idx="74">
                  <c:v>67.792442531320788</c:v>
                </c:pt>
                <c:pt idx="75">
                  <c:v>67.975860886929567</c:v>
                </c:pt>
                <c:pt idx="76">
                  <c:v>68.155302006141255</c:v>
                </c:pt>
                <c:pt idx="77">
                  <c:v>68.330862746466309</c:v>
                </c:pt>
                <c:pt idx="78">
                  <c:v>68.502636581821179</c:v>
                </c:pt>
                <c:pt idx="79">
                  <c:v>68.670713742374375</c:v>
                </c:pt>
                <c:pt idx="80">
                  <c:v>68.835181347408493</c:v>
                </c:pt>
                <c:pt idx="81">
                  <c:v>68.996123531598855</c:v>
                </c:pt>
                <c:pt idx="82">
                  <c:v>69.153621565081423</c:v>
                </c:pt>
                <c:pt idx="83">
                  <c:v>69.307753967660872</c:v>
                </c:pt>
                <c:pt idx="84">
                  <c:v>69.458596617485327</c:v>
                </c:pt>
                <c:pt idx="85">
                  <c:v>69.606222854493808</c:v>
                </c:pt>
                <c:pt idx="86">
                  <c:v>69.750703578924671</c:v>
                </c:pt>
                <c:pt idx="87">
                  <c:v>69.892107345152183</c:v>
                </c:pt>
                <c:pt idx="88">
                  <c:v>70.030500451105638</c:v>
                </c:pt>
                <c:pt idx="89">
                  <c:v>70.165947023505879</c:v>
                </c:pt>
                <c:pt idx="90">
                  <c:v>70.29850909914299</c:v>
                </c:pt>
                <c:pt idx="91">
                  <c:v>70.428246702402674</c:v>
                </c:pt>
                <c:pt idx="92">
                  <c:v>70.555217919238515</c:v>
                </c:pt>
                <c:pt idx="93">
                  <c:v>70.679478967774116</c:v>
                </c:pt>
                <c:pt idx="94">
                  <c:v>70.801084265708099</c:v>
                </c:pt>
                <c:pt idx="95">
                  <c:v>70.920086494686259</c:v>
                </c:pt>
                <c:pt idx="96">
                  <c:v>71.03653666179342</c:v>
                </c:pt>
                <c:pt idx="97">
                  <c:v>71.150484158310462</c:v>
                </c:pt>
                <c:pt idx="98">
                  <c:v>71.261976815872671</c:v>
                </c:pt>
                <c:pt idx="99">
                  <c:v>71.371060960157564</c:v>
                </c:pt>
                <c:pt idx="100">
                  <c:v>71.477781462223859</c:v>
                </c:pt>
              </c:numCache>
            </c:numRef>
          </c:val>
          <c:smooth val="0"/>
          <c:extLst>
            <c:ext xmlns:c16="http://schemas.microsoft.com/office/drawing/2014/chart" uri="{C3380CC4-5D6E-409C-BE32-E72D297353CC}">
              <c16:uniqueId val="{00000000-1E04-4A6B-B26C-C435E097FB7E}"/>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val>
            <c:numRef>
              <c:f>'Calculations - Single'!$BR$5:$BR$105</c:f>
              <c:numCache>
                <c:formatCode>0.0</c:formatCode>
                <c:ptCount val="101"/>
                <c:pt idx="0">
                  <c:v>6.7059999999999998E-7</c:v>
                </c:pt>
                <c:pt idx="1">
                  <c:v>26.823999999999998</c:v>
                </c:pt>
                <c:pt idx="2">
                  <c:v>53.647999999999996</c:v>
                </c:pt>
                <c:pt idx="3">
                  <c:v>80.471999999999994</c:v>
                </c:pt>
                <c:pt idx="4">
                  <c:v>107.29599999999999</c:v>
                </c:pt>
                <c:pt idx="5">
                  <c:v>134.11999999999998</c:v>
                </c:pt>
                <c:pt idx="6">
                  <c:v>160.94399999999999</c:v>
                </c:pt>
                <c:pt idx="7">
                  <c:v>187.768</c:v>
                </c:pt>
                <c:pt idx="8">
                  <c:v>214.59199999999998</c:v>
                </c:pt>
                <c:pt idx="9">
                  <c:v>241.416</c:v>
                </c:pt>
                <c:pt idx="10">
                  <c:v>268.23999999999995</c:v>
                </c:pt>
                <c:pt idx="11">
                  <c:v>295.06399999999996</c:v>
                </c:pt>
                <c:pt idx="12">
                  <c:v>321.88799999999998</c:v>
                </c:pt>
                <c:pt idx="13">
                  <c:v>348.71199999999999</c:v>
                </c:pt>
                <c:pt idx="14">
                  <c:v>375.536</c:v>
                </c:pt>
                <c:pt idx="15">
                  <c:v>402.36</c:v>
                </c:pt>
                <c:pt idx="16">
                  <c:v>429.18399999999997</c:v>
                </c:pt>
                <c:pt idx="17">
                  <c:v>456.00799999999998</c:v>
                </c:pt>
                <c:pt idx="18">
                  <c:v>482.83199999999999</c:v>
                </c:pt>
                <c:pt idx="19">
                  <c:v>509.65599999999989</c:v>
                </c:pt>
                <c:pt idx="20">
                  <c:v>536.4799999999999</c:v>
                </c:pt>
                <c:pt idx="21">
                  <c:v>563.30399999999986</c:v>
                </c:pt>
                <c:pt idx="22">
                  <c:v>590.12799999999993</c:v>
                </c:pt>
                <c:pt idx="23">
                  <c:v>616.952</c:v>
                </c:pt>
                <c:pt idx="24">
                  <c:v>643.77599999999995</c:v>
                </c:pt>
                <c:pt idx="25">
                  <c:v>670.6</c:v>
                </c:pt>
                <c:pt idx="26">
                  <c:v>697.42399999999998</c:v>
                </c:pt>
                <c:pt idx="27">
                  <c:v>724.24800000000005</c:v>
                </c:pt>
                <c:pt idx="28">
                  <c:v>751.072</c:v>
                </c:pt>
                <c:pt idx="29">
                  <c:v>777.89599999999996</c:v>
                </c:pt>
                <c:pt idx="30">
                  <c:v>804.72</c:v>
                </c:pt>
                <c:pt idx="31">
                  <c:v>831.54399999999998</c:v>
                </c:pt>
                <c:pt idx="32">
                  <c:v>858.36799999999994</c:v>
                </c:pt>
                <c:pt idx="33">
                  <c:v>885.19199999999989</c:v>
                </c:pt>
                <c:pt idx="34">
                  <c:v>912.01599999999996</c:v>
                </c:pt>
                <c:pt idx="35">
                  <c:v>938.8399999999998</c:v>
                </c:pt>
                <c:pt idx="36">
                  <c:v>965.66399999999999</c:v>
                </c:pt>
                <c:pt idx="37">
                  <c:v>992.48800000000006</c:v>
                </c:pt>
                <c:pt idx="38">
                  <c:v>1019.3119999999998</c:v>
                </c:pt>
                <c:pt idx="39">
                  <c:v>1046.1359999999997</c:v>
                </c:pt>
                <c:pt idx="40">
                  <c:v>1072.9599999999998</c:v>
                </c:pt>
                <c:pt idx="41">
                  <c:v>1099.7839999999999</c:v>
                </c:pt>
                <c:pt idx="42">
                  <c:v>1126.6079999999997</c:v>
                </c:pt>
                <c:pt idx="43">
                  <c:v>1153.432</c:v>
                </c:pt>
                <c:pt idx="44">
                  <c:v>1180.2559999999999</c:v>
                </c:pt>
                <c:pt idx="45">
                  <c:v>1207.08</c:v>
                </c:pt>
                <c:pt idx="46">
                  <c:v>1233.904</c:v>
                </c:pt>
                <c:pt idx="47">
                  <c:v>1260.7279999999998</c:v>
                </c:pt>
                <c:pt idx="48">
                  <c:v>1287.5519999999999</c:v>
                </c:pt>
                <c:pt idx="49">
                  <c:v>1314.3759999999997</c:v>
                </c:pt>
                <c:pt idx="50">
                  <c:v>1341.2</c:v>
                </c:pt>
                <c:pt idx="51">
                  <c:v>1368.0239999999999</c:v>
                </c:pt>
                <c:pt idx="52">
                  <c:v>1394.848</c:v>
                </c:pt>
                <c:pt idx="53">
                  <c:v>1421.6719999999998</c:v>
                </c:pt>
                <c:pt idx="54">
                  <c:v>1448.4960000000001</c:v>
                </c:pt>
                <c:pt idx="55">
                  <c:v>1475.32</c:v>
                </c:pt>
                <c:pt idx="56">
                  <c:v>1502.144</c:v>
                </c:pt>
                <c:pt idx="57">
                  <c:v>1528.9679999999998</c:v>
                </c:pt>
                <c:pt idx="58">
                  <c:v>1555.7919999999999</c:v>
                </c:pt>
                <c:pt idx="59">
                  <c:v>1582.6159999999998</c:v>
                </c:pt>
                <c:pt idx="60">
                  <c:v>1609.44</c:v>
                </c:pt>
                <c:pt idx="61">
                  <c:v>1636.2639999999999</c:v>
                </c:pt>
                <c:pt idx="62">
                  <c:v>1663.088</c:v>
                </c:pt>
                <c:pt idx="63">
                  <c:v>1689.9119999999996</c:v>
                </c:pt>
                <c:pt idx="64">
                  <c:v>1716.7359999999999</c:v>
                </c:pt>
                <c:pt idx="65">
                  <c:v>1743.5599999999997</c:v>
                </c:pt>
                <c:pt idx="66">
                  <c:v>1770.3839999999998</c:v>
                </c:pt>
                <c:pt idx="67">
                  <c:v>1797.2079999999999</c:v>
                </c:pt>
                <c:pt idx="68">
                  <c:v>1824.0319999999999</c:v>
                </c:pt>
                <c:pt idx="69">
                  <c:v>1850.8559999999995</c:v>
                </c:pt>
                <c:pt idx="70">
                  <c:v>1877.6799999999996</c:v>
                </c:pt>
                <c:pt idx="71">
                  <c:v>1904.5039999999997</c:v>
                </c:pt>
                <c:pt idx="72">
                  <c:v>1931.328</c:v>
                </c:pt>
                <c:pt idx="73">
                  <c:v>1958.1519999999998</c:v>
                </c:pt>
                <c:pt idx="74">
                  <c:v>1984.9760000000001</c:v>
                </c:pt>
                <c:pt idx="75">
                  <c:v>2011.7999999999995</c:v>
                </c:pt>
                <c:pt idx="76">
                  <c:v>2038.6239999999996</c:v>
                </c:pt>
                <c:pt idx="77">
                  <c:v>2065.4479999999994</c:v>
                </c:pt>
                <c:pt idx="78">
                  <c:v>2092.2719999999995</c:v>
                </c:pt>
                <c:pt idx="79">
                  <c:v>2119.096</c:v>
                </c:pt>
                <c:pt idx="80">
                  <c:v>2145.9199999999996</c:v>
                </c:pt>
                <c:pt idx="81">
                  <c:v>2172.7439999999997</c:v>
                </c:pt>
                <c:pt idx="82">
                  <c:v>2199.5679999999998</c:v>
                </c:pt>
                <c:pt idx="83">
                  <c:v>2226.3919999999998</c:v>
                </c:pt>
                <c:pt idx="84">
                  <c:v>2253.2159999999994</c:v>
                </c:pt>
                <c:pt idx="85">
                  <c:v>2280.0399999999995</c:v>
                </c:pt>
                <c:pt idx="86">
                  <c:v>2306.864</c:v>
                </c:pt>
                <c:pt idx="87">
                  <c:v>2333.6880000000001</c:v>
                </c:pt>
                <c:pt idx="88">
                  <c:v>2360.5119999999997</c:v>
                </c:pt>
                <c:pt idx="89">
                  <c:v>2387.3359999999998</c:v>
                </c:pt>
                <c:pt idx="90">
                  <c:v>2414.16</c:v>
                </c:pt>
                <c:pt idx="91">
                  <c:v>2440.9839999999999</c:v>
                </c:pt>
                <c:pt idx="92">
                  <c:v>2467.808</c:v>
                </c:pt>
                <c:pt idx="93">
                  <c:v>2494.6320000000001</c:v>
                </c:pt>
                <c:pt idx="94">
                  <c:v>2521.4559999999997</c:v>
                </c:pt>
                <c:pt idx="95">
                  <c:v>2548.2799999999997</c:v>
                </c:pt>
                <c:pt idx="96">
                  <c:v>2575.1039999999998</c:v>
                </c:pt>
                <c:pt idx="97">
                  <c:v>2601.9279999999994</c:v>
                </c:pt>
                <c:pt idx="98">
                  <c:v>2628.7519999999995</c:v>
                </c:pt>
                <c:pt idx="99">
                  <c:v>2655.5759999999996</c:v>
                </c:pt>
                <c:pt idx="100">
                  <c:v>2682.4</c:v>
                </c:pt>
              </c:numCache>
            </c:numRef>
          </c:val>
          <c:smooth val="0"/>
          <c:extLst>
            <c:ext xmlns:c16="http://schemas.microsoft.com/office/drawing/2014/chart" uri="{C3380CC4-5D6E-409C-BE32-E72D297353CC}">
              <c16:uniqueId val="{00000001-1E04-4A6B-B26C-C435E097FB7E}"/>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val>
            <c:numRef>
              <c:f>'Calculations - Single'!$BM$5:$BM$105</c:f>
              <c:numCache>
                <c:formatCode>0.0000</c:formatCode>
                <c:ptCount val="101"/>
                <c:pt idx="0">
                  <c:v>0.11314710549203469</c:v>
                </c:pt>
                <c:pt idx="1">
                  <c:v>0.13313287323528561</c:v>
                </c:pt>
                <c:pt idx="2">
                  <c:v>0.26637594716403956</c:v>
                </c:pt>
                <c:pt idx="3">
                  <c:v>0.39972935867079834</c:v>
                </c:pt>
                <c:pt idx="4">
                  <c:v>0.53319324486689867</c:v>
                </c:pt>
                <c:pt idx="5">
                  <c:v>0.66676774309094633</c:v>
                </c:pt>
                <c:pt idx="6">
                  <c:v>0.80045299090928956</c:v>
                </c:pt>
                <c:pt idx="7">
                  <c:v>0.9342491261164888</c:v>
                </c:pt>
                <c:pt idx="8">
                  <c:v>1.0681562867357912</c:v>
                </c:pt>
                <c:pt idx="9">
                  <c:v>1.2021746110196052</c:v>
                </c:pt>
                <c:pt idx="10">
                  <c:v>1.336304237449977</c:v>
                </c:pt>
                <c:pt idx="11">
                  <c:v>1.4705453047390671</c:v>
                </c:pt>
                <c:pt idx="12">
                  <c:v>1.604897951829626</c:v>
                </c:pt>
                <c:pt idx="13">
                  <c:v>1.7393623178954791</c:v>
                </c:pt>
                <c:pt idx="14">
                  <c:v>1.873938542342001</c:v>
                </c:pt>
                <c:pt idx="15">
                  <c:v>2.0086267648066025</c:v>
                </c:pt>
                <c:pt idx="16">
                  <c:v>2.1434271251592096</c:v>
                </c:pt>
                <c:pt idx="17">
                  <c:v>2.2783397635027511</c:v>
                </c:pt>
                <c:pt idx="18">
                  <c:v>2.4133648201736393</c:v>
                </c:pt>
                <c:pt idx="19">
                  <c:v>2.5485024357422636</c:v>
                </c:pt>
                <c:pt idx="20">
                  <c:v>2.6837527510134724</c:v>
                </c:pt>
                <c:pt idx="21">
                  <c:v>2.8191159070270628</c:v>
                </c:pt>
                <c:pt idx="22">
                  <c:v>2.9545920450582739</c:v>
                </c:pt>
                <c:pt idx="23">
                  <c:v>3.0901813066182737</c:v>
                </c:pt>
                <c:pt idx="24">
                  <c:v>3.2258838334546573</c:v>
                </c:pt>
                <c:pt idx="25">
                  <c:v>3.3465983194860858</c:v>
                </c:pt>
                <c:pt idx="26">
                  <c:v>3.4023675711228591</c:v>
                </c:pt>
                <c:pt idx="27">
                  <c:v>3.45736238541109</c:v>
                </c:pt>
                <c:pt idx="28">
                  <c:v>3.5116339015030369</c:v>
                </c:pt>
                <c:pt idx="29">
                  <c:v>3.5652287368391948</c:v>
                </c:pt>
                <c:pt idx="30">
                  <c:v>3.6181895318133441</c:v>
                </c:pt>
                <c:pt idx="31">
                  <c:v>3.6705554131477132</c:v>
                </c:pt>
                <c:pt idx="32">
                  <c:v>3.7223623903215319</c:v>
                </c:pt>
                <c:pt idx="33">
                  <c:v>3.7736436964992479</c:v>
                </c:pt>
                <c:pt idx="34">
                  <c:v>3.8244300831623579</c:v>
                </c:pt>
                <c:pt idx="35">
                  <c:v>3.8747500758984428</c:v>
                </c:pt>
                <c:pt idx="36">
                  <c:v>3.9246301974237339</c:v>
                </c:pt>
                <c:pt idx="37">
                  <c:v>3.9740951628237053</c:v>
                </c:pt>
                <c:pt idx="38">
                  <c:v>4.0231680511246681</c:v>
                </c:pt>
                <c:pt idx="39">
                  <c:v>4.0718704566088801</c:v>
                </c:pt>
                <c:pt idx="40">
                  <c:v>4.1202226227194503</c:v>
                </c:pt>
                <c:pt idx="41">
                  <c:v>4.1682435609406667</c:v>
                </c:pt>
                <c:pt idx="42">
                  <c:v>4.2159511566627055</c:v>
                </c:pt>
                <c:pt idx="43">
                  <c:v>4.2633622637298965</c:v>
                </c:pt>
                <c:pt idx="44">
                  <c:v>4.3104927891158988</c:v>
                </c:pt>
                <c:pt idx="45">
                  <c:v>4.3573577689565619</c:v>
                </c:pt>
                <c:pt idx="46">
                  <c:v>4.4039714369941763</c:v>
                </c:pt>
                <c:pt idx="47">
                  <c:v>4.4503472863382996</c:v>
                </c:pt>
                <c:pt idx="48">
                  <c:v>4.4964981253236447</c:v>
                </c:pt>
                <c:pt idx="49">
                  <c:v>4.5424361281400412</c:v>
                </c:pt>
                <c:pt idx="50">
                  <c:v>4.5881728808202906</c:v>
                </c:pt>
                <c:pt idx="51">
                  <c:v>4.6337194230957204</c:v>
                </c:pt>
                <c:pt idx="52">
                  <c:v>4.6790862865644183</c:v>
                </c:pt>
                <c:pt idx="53">
                  <c:v>4.7242835295617311</c:v>
                </c:pt>
                <c:pt idx="54">
                  <c:v>4.7693207690748523</c:v>
                </c:pt>
                <c:pt idx="55">
                  <c:v>4.8142072100023032</c:v>
                </c:pt>
                <c:pt idx="56">
                  <c:v>4.8589516720236814</c:v>
                </c:pt>
                <c:pt idx="57">
                  <c:v>4.9035626143142066</c:v>
                </c:pt>
                <c:pt idx="58">
                  <c:v>4.948048158312023</c:v>
                </c:pt>
                <c:pt idx="59">
                  <c:v>4.9924161087228587</c:v>
                </c:pt>
                <c:pt idx="60">
                  <c:v>5.0110649510925356</c:v>
                </c:pt>
                <c:pt idx="61">
                  <c:v>4.9745333156983307</c:v>
                </c:pt>
                <c:pt idx="62">
                  <c:v>4.93890023243054</c:v>
                </c:pt>
                <c:pt idx="63">
                  <c:v>4.90414468550689</c:v>
                </c:pt>
                <c:pt idx="64">
                  <c:v>4.8702144995797676</c:v>
                </c:pt>
                <c:pt idx="65">
                  <c:v>4.8707033793751862</c:v>
                </c:pt>
                <c:pt idx="66">
                  <c:v>4.8783975413179226</c:v>
                </c:pt>
                <c:pt idx="67">
                  <c:v>4.8864981207688034</c:v>
                </c:pt>
                <c:pt idx="68">
                  <c:v>4.895021962620743</c:v>
                </c:pt>
                <c:pt idx="69">
                  <c:v>4.9039644535346483</c:v>
                </c:pt>
                <c:pt idx="70">
                  <c:v>4.9133213909507116</c:v>
                </c:pt>
                <c:pt idx="71">
                  <c:v>4.9230889599027048</c:v>
                </c:pt>
                <c:pt idx="72">
                  <c:v>4.9332637117423266</c:v>
                </c:pt>
                <c:pt idx="73">
                  <c:v>4.9438425446039469</c:v>
                </c:pt>
                <c:pt idx="74">
                  <c:v>4.954822685457529</c:v>
                </c:pt>
                <c:pt idx="75">
                  <c:v>4.9662016736128809</c:v>
                </c:pt>
                <c:pt idx="76">
                  <c:v>4.9779773455520973</c:v>
                </c:pt>
                <c:pt idx="77">
                  <c:v>4.9901478209792378</c:v>
                </c:pt>
                <c:pt idx="78">
                  <c:v>5.0027114899871847</c:v>
                </c:pt>
                <c:pt idx="79">
                  <c:v>5.0156670012512423</c:v>
                </c:pt>
                <c:pt idx="80">
                  <c:v>5.0290132511677816</c:v>
                </c:pt>
                <c:pt idx="81">
                  <c:v>5.0427493738639653</c:v>
                </c:pt>
                <c:pt idx="82">
                  <c:v>5.0568747320115408</c:v>
                </c:pt>
                <c:pt idx="83">
                  <c:v>5.0713889083839145</c:v>
                </c:pt>
                <c:pt idx="84">
                  <c:v>5.0862916981014106</c:v>
                </c:pt>
                <c:pt idx="85">
                  <c:v>5.1015831015145769</c:v>
                </c:pt>
                <c:pt idx="86">
                  <c:v>5.1172633176800169</c:v>
                </c:pt>
                <c:pt idx="87">
                  <c:v>5.1333327383873746</c:v>
                </c:pt>
                <c:pt idx="88">
                  <c:v>5.1497919426996841</c:v>
                </c:pt>
                <c:pt idx="89">
                  <c:v>5.1666416919728491</c:v>
                </c:pt>
                <c:pt idx="90">
                  <c:v>5.1838829253229237</c:v>
                </c:pt>
                <c:pt idx="91">
                  <c:v>5.2015167555127064</c:v>
                </c:pt>
                <c:pt idx="92">
                  <c:v>5.2195444652316736</c:v>
                </c:pt>
                <c:pt idx="93">
                  <c:v>5.2379675037455229</c:v>
                </c:pt>
                <c:pt idx="94">
                  <c:v>5.2567874838937882</c:v>
                </c:pt>
                <c:pt idx="95">
                  <c:v>5.2760061794157949</c:v>
                </c:pt>
                <c:pt idx="96">
                  <c:v>5.2956255225870104</c:v>
                </c:pt>
                <c:pt idx="97">
                  <c:v>5.3156476021494585</c:v>
                </c:pt>
                <c:pt idx="98">
                  <c:v>5.3360746615213035</c:v>
                </c:pt>
                <c:pt idx="99">
                  <c:v>5.3569090972720987</c:v>
                </c:pt>
                <c:pt idx="100">
                  <c:v>5.3781534578513428</c:v>
                </c:pt>
              </c:numCache>
            </c:numRef>
          </c:val>
          <c:smooth val="0"/>
          <c:extLst>
            <c:ext xmlns:c16="http://schemas.microsoft.com/office/drawing/2014/chart" uri="{C3380CC4-5D6E-409C-BE32-E72D297353CC}">
              <c16:uniqueId val="{00000002-1E04-4A6B-B26C-C435E097FB7E}"/>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val>
            <c:numRef>
              <c:f>'Calculations - Single'!$BX$5:$BX$105</c:f>
              <c:numCache>
                <c:formatCode>0.0</c:formatCode>
                <c:ptCount val="101"/>
                <c:pt idx="0">
                  <c:v>261.86877323253276</c:v>
                </c:pt>
                <c:pt idx="1">
                  <c:v>270.74780435593379</c:v>
                </c:pt>
                <c:pt idx="2">
                  <c:v>338.52071765161088</c:v>
                </c:pt>
                <c:pt idx="3">
                  <c:v>424.36731581146648</c:v>
                </c:pt>
                <c:pt idx="4">
                  <c:v>532.41713035984549</c:v>
                </c:pt>
                <c:pt idx="5">
                  <c:v>666.13162351296285</c:v>
                </c:pt>
                <c:pt idx="6">
                  <c:v>828.55374409599403</c:v>
                </c:pt>
                <c:pt idx="7">
                  <c:v>1022.4315780191923</c:v>
                </c:pt>
                <c:pt idx="8">
                  <c:v>1250.2907168119605</c:v>
                </c:pt>
                <c:pt idx="9">
                  <c:v>1514.4810365632363</c:v>
                </c:pt>
                <c:pt idx="10">
                  <c:v>1817.2090357549941</c:v>
                </c:pt>
                <c:pt idx="11">
                  <c:v>2160.5613070964573</c:v>
                </c:pt>
                <c:pt idx="12">
                  <c:v>2546.5222189177885</c:v>
                </c:pt>
                <c:pt idx="13">
                  <c:v>2976.9876306909264</c:v>
                </c:pt>
                <c:pt idx="14">
                  <c:v>3453.7757877597105</c:v>
                </c:pt>
                <c:pt idx="15">
                  <c:v>3978.6361470023353</c:v>
                </c:pt>
                <c:pt idx="16">
                  <c:v>4553.2566454563575</c:v>
                </c:pt>
                <c:pt idx="17">
                  <c:v>5179.2697715859777</c:v>
                </c:pt>
                <c:pt idx="18">
                  <c:v>5858.2576985472206</c:v>
                </c:pt>
                <c:pt idx="19">
                  <c:v>6591.7566707196202</c:v>
                </c:pt>
                <c:pt idx="20">
                  <c:v>7381.2607873465458</c:v>
                </c:pt>
                <c:pt idx="21">
                  <c:v>8228.2252933334894</c:v>
                </c:pt>
                <c:pt idx="22">
                  <c:v>9134.0694626884597</c:v>
                </c:pt>
                <c:pt idx="23">
                  <c:v>10100.179141913575</c:v>
                </c:pt>
                <c:pt idx="24">
                  <c:v>11127.909006994019</c:v>
                </c:pt>
                <c:pt idx="25">
                  <c:v>12120.004696449758</c:v>
                </c:pt>
                <c:pt idx="26">
                  <c:v>12720.309676448451</c:v>
                </c:pt>
                <c:pt idx="27">
                  <c:v>13326.419268949814</c:v>
                </c:pt>
                <c:pt idx="28">
                  <c:v>13938.199078449563</c:v>
                </c:pt>
                <c:pt idx="29">
                  <c:v>14555.523465460008</c:v>
                </c:pt>
                <c:pt idx="30">
                  <c:v>15178.274707488337</c:v>
                </c:pt>
                <c:pt idx="31">
                  <c:v>15806.342265744335</c:v>
                </c:pt>
                <c:pt idx="32">
                  <c:v>16439.622141264626</c:v>
                </c:pt>
                <c:pt idx="33">
                  <c:v>17078.016307090515</c:v>
                </c:pt>
                <c:pt idx="34">
                  <c:v>17721.432205479377</c:v>
                </c:pt>
                <c:pt idx="35">
                  <c:v>18369.782301004529</c:v>
                </c:pt>
                <c:pt idx="36">
                  <c:v>19022.983681909835</c:v>
                </c:pt>
                <c:pt idx="37">
                  <c:v>19680.957703311593</c:v>
                </c:pt>
                <c:pt idx="38">
                  <c:v>20343.62966684176</c:v>
                </c:pt>
                <c:pt idx="39">
                  <c:v>21010.92853214913</c:v>
                </c:pt>
                <c:pt idx="40">
                  <c:v>21682.786656354267</c:v>
                </c:pt>
                <c:pt idx="41">
                  <c:v>22359.139558119019</c:v>
                </c:pt>
                <c:pt idx="42">
                  <c:v>23039.925703461202</c:v>
                </c:pt>
                <c:pt idx="43">
                  <c:v>23725.086310840667</c:v>
                </c:pt>
                <c:pt idx="44">
                  <c:v>24414.565173375329</c:v>
                </c:pt>
                <c:pt idx="45">
                  <c:v>25108.308496326965</c:v>
                </c:pt>
                <c:pt idx="46">
                  <c:v>25806.264748235386</c:v>
                </c:pt>
                <c:pt idx="47">
                  <c:v>26508.384524283232</c:v>
                </c:pt>
                <c:pt idx="48">
                  <c:v>27214.620420648738</c:v>
                </c:pt>
                <c:pt idx="49">
                  <c:v>27924.926918751731</c:v>
                </c:pt>
                <c:pt idx="50">
                  <c:v>28639.26027842945</c:v>
                </c:pt>
                <c:pt idx="51">
                  <c:v>29357.578439187797</c:v>
                </c:pt>
                <c:pt idx="52">
                  <c:v>30079.840928772457</c:v>
                </c:pt>
                <c:pt idx="53">
                  <c:v>30806.008778386673</c:v>
                </c:pt>
                <c:pt idx="54">
                  <c:v>31536.044443957038</c:v>
                </c:pt>
                <c:pt idx="55">
                  <c:v>32269.911732911743</c:v>
                </c:pt>
                <c:pt idx="56">
                  <c:v>33007.575735993218</c:v>
                </c:pt>
                <c:pt idx="57">
                  <c:v>33749.002763674413</c:v>
                </c:pt>
                <c:pt idx="58">
                  <c:v>34494.160286794388</c:v>
                </c:pt>
                <c:pt idx="59">
                  <c:v>35243.016881064112</c:v>
                </c:pt>
                <c:pt idx="60">
                  <c:v>35586.371862783213</c:v>
                </c:pt>
                <c:pt idx="61">
                  <c:v>35051.784058859201</c:v>
                </c:pt>
                <c:pt idx="62">
                  <c:v>34533.780697639675</c:v>
                </c:pt>
                <c:pt idx="63">
                  <c:v>34031.097779887059</c:v>
                </c:pt>
                <c:pt idx="64">
                  <c:v>33543.894523127208</c:v>
                </c:pt>
                <c:pt idx="65">
                  <c:v>33614.02419000995</c:v>
                </c:pt>
                <c:pt idx="66">
                  <c:v>33792.764356890977</c:v>
                </c:pt>
                <c:pt idx="67">
                  <c:v>33970.734738959203</c:v>
                </c:pt>
                <c:pt idx="68">
                  <c:v>34147.97324635103</c:v>
                </c:pt>
                <c:pt idx="69">
                  <c:v>34324.557116419353</c:v>
                </c:pt>
                <c:pt idx="70">
                  <c:v>34500.560186543698</c:v>
                </c:pt>
                <c:pt idx="71">
                  <c:v>34676.053119125478</c:v>
                </c:pt>
                <c:pt idx="72">
                  <c:v>34851.103610166014</c:v>
                </c:pt>
                <c:pt idx="73">
                  <c:v>35025.776582829778</c:v>
                </c:pt>
                <c:pt idx="74">
                  <c:v>35200.134367264436</c:v>
                </c:pt>
                <c:pt idx="75">
                  <c:v>35374.236867823813</c:v>
                </c:pt>
                <c:pt idx="76">
                  <c:v>35548.14171873853</c:v>
                </c:pt>
                <c:pt idx="77">
                  <c:v>35721.904429178467</c:v>
                </c:pt>
                <c:pt idx="78">
                  <c:v>35895.578518566937</c:v>
                </c:pt>
                <c:pt idx="79">
                  <c:v>36069.215642927855</c:v>
                </c:pt>
                <c:pt idx="80">
                  <c:v>36242.865712978579</c:v>
                </c:pt>
                <c:pt idx="81">
                  <c:v>36416.577004616687</c:v>
                </c:pt>
                <c:pt idx="82">
                  <c:v>36590.396262394621</c:v>
                </c:pt>
                <c:pt idx="83">
                  <c:v>36764.368796521849</c:v>
                </c:pt>
                <c:pt idx="84">
                  <c:v>36938.53857389091</c:v>
                </c:pt>
                <c:pt idx="85">
                  <c:v>37112.948303580546</c:v>
                </c:pt>
                <c:pt idx="86">
                  <c:v>37287.639517250827</c:v>
                </c:pt>
                <c:pt idx="87">
                  <c:v>37462.652644813206</c:v>
                </c:pt>
                <c:pt idx="88">
                  <c:v>37638.027085722708</c:v>
                </c:pt>
                <c:pt idx="89">
                  <c:v>37813.801276217724</c:v>
                </c:pt>
                <c:pt idx="90">
                  <c:v>37990.012752800336</c:v>
                </c:pt>
                <c:pt idx="91">
                  <c:v>38166.698212232739</c:v>
                </c:pt>
                <c:pt idx="92">
                  <c:v>38343.893568298969</c:v>
                </c:pt>
                <c:pt idx="93">
                  <c:v>38521.634005565276</c:v>
                </c:pt>
                <c:pt idx="94">
                  <c:v>38699.954030354143</c:v>
                </c:pt>
                <c:pt idx="95">
                  <c:v>38878.887519128533</c:v>
                </c:pt>
                <c:pt idx="96">
                  <c:v>39058.467764471287</c:v>
                </c:pt>
                <c:pt idx="97">
                  <c:v>39238.727518829335</c:v>
                </c:pt>
                <c:pt idx="98">
                  <c:v>39419.699036179758</c:v>
                </c:pt>
                <c:pt idx="99">
                  <c:v>39601.414111764869</c:v>
                </c:pt>
                <c:pt idx="100">
                  <c:v>39783.904120031861</c:v>
                </c:pt>
              </c:numCache>
            </c:numRef>
          </c:val>
          <c:smooth val="0"/>
          <c:extLst>
            <c:ext xmlns:c16="http://schemas.microsoft.com/office/drawing/2014/chart" uri="{C3380CC4-5D6E-409C-BE32-E72D297353CC}">
              <c16:uniqueId val="{00000003-1E04-4A6B-B26C-C435E097FB7E}"/>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81.865691913977869</c:v>
                </c:pt>
                <c:pt idx="1">
                  <c:v>81.067534370192334</c:v>
                </c:pt>
                <c:pt idx="2">
                  <c:v>80.26911334845515</c:v>
                </c:pt>
                <c:pt idx="3">
                  <c:v>79.470452862361213</c:v>
                </c:pt>
                <c:pt idx="4">
                  <c:v>78.672094636435119</c:v>
                </c:pt>
                <c:pt idx="5">
                  <c:v>77.872725860845392</c:v>
                </c:pt>
                <c:pt idx="6">
                  <c:v>77.073493906772413</c:v>
                </c:pt>
                <c:pt idx="7">
                  <c:v>76.273881545949763</c:v>
                </c:pt>
                <c:pt idx="8">
                  <c:v>75.474478601601305</c:v>
                </c:pt>
                <c:pt idx="9">
                  <c:v>74.67468444783259</c:v>
                </c:pt>
                <c:pt idx="10">
                  <c:v>73.874961313031079</c:v>
                </c:pt>
                <c:pt idx="11">
                  <c:v>73.075195535781049</c:v>
                </c:pt>
                <c:pt idx="12">
                  <c:v>72.274961865114321</c:v>
                </c:pt>
                <c:pt idx="13">
                  <c:v>71.475024644789457</c:v>
                </c:pt>
                <c:pt idx="14">
                  <c:v>70.674738353737766</c:v>
                </c:pt>
                <c:pt idx="15">
                  <c:v>69.874400886928356</c:v>
                </c:pt>
                <c:pt idx="16">
                  <c:v>69.073934540514927</c:v>
                </c:pt>
                <c:pt idx="17">
                  <c:v>68.273436113989717</c:v>
                </c:pt>
                <c:pt idx="18">
                  <c:v>67.472651548208077</c:v>
                </c:pt>
                <c:pt idx="19">
                  <c:v>66.671769050825361</c:v>
                </c:pt>
                <c:pt idx="20">
                  <c:v>65.870595677507467</c:v>
                </c:pt>
                <c:pt idx="21">
                  <c:v>65.069254248408399</c:v>
                </c:pt>
                <c:pt idx="22">
                  <c:v>64.267524442309664</c:v>
                </c:pt>
                <c:pt idx="23">
                  <c:v>63.465545504567871</c:v>
                </c:pt>
                <c:pt idx="24">
                  <c:v>62.663042378751967</c:v>
                </c:pt>
                <c:pt idx="25">
                  <c:v>61.860054258289281</c:v>
                </c:pt>
                <c:pt idx="26">
                  <c:v>61.056292264419298</c:v>
                </c:pt>
                <c:pt idx="27">
                  <c:v>60.251890715229763</c:v>
                </c:pt>
                <c:pt idx="28">
                  <c:v>59.446673502472677</c:v>
                </c:pt>
                <c:pt idx="29">
                  <c:v>58.640969048240024</c:v>
                </c:pt>
                <c:pt idx="30">
                  <c:v>57.833208330576873</c:v>
                </c:pt>
                <c:pt idx="31">
                  <c:v>57.024273623041466</c:v>
                </c:pt>
                <c:pt idx="32">
                  <c:v>56.213324679301628</c:v>
                </c:pt>
                <c:pt idx="33">
                  <c:v>55.400593735490133</c:v>
                </c:pt>
                <c:pt idx="34">
                  <c:v>54.585044485040385</c:v>
                </c:pt>
                <c:pt idx="35">
                  <c:v>53.766651661617004</c:v>
                </c:pt>
                <c:pt idx="36">
                  <c:v>52.944722042742505</c:v>
                </c:pt>
                <c:pt idx="37">
                  <c:v>52.118143179820287</c:v>
                </c:pt>
                <c:pt idx="38">
                  <c:v>51.286924129399686</c:v>
                </c:pt>
                <c:pt idx="39">
                  <c:v>50.449494175029272</c:v>
                </c:pt>
                <c:pt idx="40">
                  <c:v>49.605129574714041</c:v>
                </c:pt>
                <c:pt idx="41">
                  <c:v>48.752574152032089</c:v>
                </c:pt>
                <c:pt idx="42">
                  <c:v>47.890611449151635</c:v>
                </c:pt>
                <c:pt idx="43">
                  <c:v>47.017501086763538</c:v>
                </c:pt>
                <c:pt idx="44">
                  <c:v>46.131846734910297</c:v>
                </c:pt>
                <c:pt idx="45">
                  <c:v>45.231723193474387</c:v>
                </c:pt>
                <c:pt idx="46">
                  <c:v>44.315484963533045</c:v>
                </c:pt>
                <c:pt idx="47">
                  <c:v>43.381082345051809</c:v>
                </c:pt>
                <c:pt idx="48">
                  <c:v>42.426946520932631</c:v>
                </c:pt>
                <c:pt idx="49">
                  <c:v>41.451184855469243</c:v>
                </c:pt>
                <c:pt idx="50">
                  <c:v>40.452562135161649</c:v>
                </c:pt>
                <c:pt idx="51">
                  <c:v>39.429851297989806</c:v>
                </c:pt>
                <c:pt idx="52">
                  <c:v>38.382912704003942</c:v>
                </c:pt>
                <c:pt idx="53">
                  <c:v>37.311897906478549</c:v>
                </c:pt>
                <c:pt idx="54">
                  <c:v>36.218428134243638</c:v>
                </c:pt>
                <c:pt idx="55">
                  <c:v>35.102375604487754</c:v>
                </c:pt>
                <c:pt idx="56">
                  <c:v>33.967823954276959</c:v>
                </c:pt>
                <c:pt idx="57">
                  <c:v>32.817317952883748</c:v>
                </c:pt>
                <c:pt idx="58">
                  <c:v>31.655653953827859</c:v>
                </c:pt>
                <c:pt idx="59">
                  <c:v>30.486425125060414</c:v>
                </c:pt>
                <c:pt idx="60">
                  <c:v>29.315096705105432</c:v>
                </c:pt>
                <c:pt idx="61">
                  <c:v>28.146404769726207</c:v>
                </c:pt>
                <c:pt idx="62">
                  <c:v>26.984522664059241</c:v>
                </c:pt>
                <c:pt idx="63">
                  <c:v>25.835023953745008</c:v>
                </c:pt>
                <c:pt idx="64">
                  <c:v>24.70092742277226</c:v>
                </c:pt>
                <c:pt idx="65">
                  <c:v>23.585945001500189</c:v>
                </c:pt>
                <c:pt idx="66">
                  <c:v>22.492486335477363</c:v>
                </c:pt>
                <c:pt idx="67">
                  <c:v>21.422390857849738</c:v>
                </c:pt>
                <c:pt idx="68">
                  <c:v>20.376235177316765</c:v>
                </c:pt>
                <c:pt idx="69">
                  <c:v>19.354446662083792</c:v>
                </c:pt>
                <c:pt idx="70">
                  <c:v>18.356320868189581</c:v>
                </c:pt>
                <c:pt idx="71">
                  <c:v>17.381037374739186</c:v>
                </c:pt>
                <c:pt idx="72">
                  <c:v>16.426971366788941</c:v>
                </c:pt>
                <c:pt idx="73">
                  <c:v>15.492676368862808</c:v>
                </c:pt>
                <c:pt idx="74">
                  <c:v>14.576081453891906</c:v>
                </c:pt>
                <c:pt idx="75">
                  <c:v>13.675443492833633</c:v>
                </c:pt>
                <c:pt idx="76">
                  <c:v>12.788689001672713</c:v>
                </c:pt>
                <c:pt idx="77">
                  <c:v>11.9143091545837</c:v>
                </c:pt>
                <c:pt idx="78">
                  <c:v>11.050583849115945</c:v>
                </c:pt>
                <c:pt idx="79">
                  <c:v>10.196486597014784</c:v>
                </c:pt>
                <c:pt idx="80">
                  <c:v>9.3491613056172724</c:v>
                </c:pt>
                <c:pt idx="81">
                  <c:v>8.5085174324143615</c:v>
                </c:pt>
                <c:pt idx="82">
                  <c:v>7.672826902781253</c:v>
                </c:pt>
                <c:pt idx="83">
                  <c:v>6.841639724646055</c:v>
                </c:pt>
                <c:pt idx="84">
                  <c:v>6.0133647257086684</c:v>
                </c:pt>
                <c:pt idx="85">
                  <c:v>5.1875958970257816</c:v>
                </c:pt>
                <c:pt idx="86">
                  <c:v>4.3633903962285165</c:v>
                </c:pt>
                <c:pt idx="87">
                  <c:v>3.5395263626561975</c:v>
                </c:pt>
                <c:pt idx="88">
                  <c:v>2.716026336300434</c:v>
                </c:pt>
                <c:pt idx="89">
                  <c:v>1.8914600680566331</c:v>
                </c:pt>
                <c:pt idx="90">
                  <c:v>1.065346120507261</c:v>
                </c:pt>
                <c:pt idx="91">
                  <c:v>0.23677191917858162</c:v>
                </c:pt>
                <c:pt idx="92">
                  <c:v>-0.59506113024349738</c:v>
                </c:pt>
                <c:pt idx="93">
                  <c:v>-1.4314068806792974</c:v>
                </c:pt>
                <c:pt idx="94">
                  <c:v>-1.6412209610734987</c:v>
                </c:pt>
                <c:pt idx="95">
                  <c:v>-1.7469132845662187</c:v>
                </c:pt>
                <c:pt idx="96">
                  <c:v>-1.8514882363536951</c:v>
                </c:pt>
                <c:pt idx="97">
                  <c:v>-1.9573586389020181</c:v>
                </c:pt>
                <c:pt idx="98">
                  <c:v>-2.0621146867791702</c:v>
                </c:pt>
                <c:pt idx="99">
                  <c:v>-2.1681998530170485</c:v>
                </c:pt>
                <c:pt idx="100">
                  <c:v>-2.2731731669018052</c:v>
                </c:pt>
                <c:pt idx="101">
                  <c:v>-2.3794277890196494</c:v>
                </c:pt>
                <c:pt idx="102">
                  <c:v>-2.4845742638912531</c:v>
                </c:pt>
                <c:pt idx="103">
                  <c:v>-2.5911111910477995</c:v>
                </c:pt>
                <c:pt idx="104">
                  <c:v>-2.6965416066188213</c:v>
                </c:pt>
                <c:pt idx="105">
                  <c:v>-2.8033131418675028</c:v>
                </c:pt>
                <c:pt idx="106">
                  <c:v>-2.9089810736020656</c:v>
                </c:pt>
                <c:pt idx="107">
                  <c:v>-3.0159433282414678</c:v>
                </c:pt>
                <c:pt idx="108">
                  <c:v>-3.1218060699149754</c:v>
                </c:pt>
                <c:pt idx="109">
                  <c:v>-3.2289913682085087</c:v>
                </c:pt>
                <c:pt idx="110">
                  <c:v>-3.3350808656978135</c:v>
                </c:pt>
                <c:pt idx="111">
                  <c:v>-3.4425902037376761</c:v>
                </c:pt>
                <c:pt idx="112">
                  <c:v>-3.5490057050554658</c:v>
                </c:pt>
                <c:pt idx="113">
                  <c:v>-3.6567927411033905</c:v>
                </c:pt>
                <c:pt idx="114">
                  <c:v>-3.7634891621101758</c:v>
                </c:pt>
                <c:pt idx="115">
                  <c:v>-3.8715796091146908</c:v>
                </c:pt>
                <c:pt idx="116">
                  <c:v>-3.9785824660704079</c:v>
                </c:pt>
                <c:pt idx="117">
                  <c:v>-4.087000176087499</c:v>
                </c:pt>
                <c:pt idx="118">
                  <c:v>-4.194333176071174</c:v>
                </c:pt>
                <c:pt idx="119">
                  <c:v>-4.3030347243528393</c:v>
                </c:pt>
                <c:pt idx="120">
                  <c:v>-4.4106556398643875</c:v>
                </c:pt>
                <c:pt idx="121">
                  <c:v>-4.519665546910538</c:v>
                </c:pt>
                <c:pt idx="122">
                  <c:v>-4.6275987452708351</c:v>
                </c:pt>
                <c:pt idx="123">
                  <c:v>-4.7370029949859704</c:v>
                </c:pt>
                <c:pt idx="124">
                  <c:v>-4.845333122325103</c:v>
                </c:pt>
                <c:pt idx="125">
                  <c:v>-4.9550877521568539</c:v>
                </c:pt>
                <c:pt idx="126">
                  <c:v>-5.0637720663086476</c:v>
                </c:pt>
                <c:pt idx="127">
                  <c:v>-5.1738974194192169</c:v>
                </c:pt>
                <c:pt idx="128">
                  <c:v>-5.2829562269402501</c:v>
                </c:pt>
                <c:pt idx="129">
                  <c:v>-5.3934714956674776</c:v>
                </c:pt>
                <c:pt idx="130">
                  <c:v>-5.5029239841727318</c:v>
                </c:pt>
                <c:pt idx="131">
                  <c:v>-5.6138473330409955</c:v>
                </c:pt>
                <c:pt idx="132">
                  <c:v>-5.6689102530802113</c:v>
                </c:pt>
                <c:pt idx="133">
                  <c:v>-5.7237116905755547</c:v>
                </c:pt>
                <c:pt idx="134">
                  <c:v>-5.7795483102434995</c:v>
                </c:pt>
                <c:pt idx="135">
                  <c:v>-5.8351175807833391</c:v>
                </c:pt>
                <c:pt idx="136">
                  <c:v>-5.8904228083428958</c:v>
                </c:pt>
                <c:pt idx="137">
                  <c:v>-5.9454672405136391</c:v>
                </c:pt>
                <c:pt idx="138">
                  <c:v>-6.0014949717838642</c:v>
                </c:pt>
                <c:pt idx="139">
                  <c:v>-6.0572566199741873</c:v>
                </c:pt>
                <c:pt idx="140">
                  <c:v>-6.1127554775117465</c:v>
                </c:pt>
                <c:pt idx="141">
                  <c:v>-6.1679947784488842</c:v>
                </c:pt>
                <c:pt idx="142">
                  <c:v>-6.2242784467124448</c:v>
                </c:pt>
                <c:pt idx="143">
                  <c:v>-6.2802967796471778</c:v>
                </c:pt>
                <c:pt idx="144">
                  <c:v>-6.3360530653859017</c:v>
                </c:pt>
                <c:pt idx="145">
                  <c:v>-6.3915505336362957</c:v>
                </c:pt>
                <c:pt idx="146">
                  <c:v>-6.4480689807937992</c:v>
                </c:pt>
                <c:pt idx="147">
                  <c:v>-6.5043231399123949</c:v>
                </c:pt>
                <c:pt idx="148">
                  <c:v>-6.5603162890750983</c:v>
                </c:pt>
                <c:pt idx="149">
                  <c:v>-6.6160516480152545</c:v>
                </c:pt>
                <c:pt idx="150">
                  <c:v>-6.6728121840882162</c:v>
                </c:pt>
                <c:pt idx="151">
                  <c:v>-6.7293095084898873</c:v>
                </c:pt>
                <c:pt idx="152">
                  <c:v>-6.7855468884474588</c:v>
                </c:pt>
                <c:pt idx="153">
                  <c:v>-6.8415275329230028</c:v>
                </c:pt>
                <c:pt idx="154">
                  <c:v>-6.8985634065187194</c:v>
                </c:pt>
                <c:pt idx="155">
                  <c:v>-6.9553369365186608</c:v>
                </c:pt>
                <c:pt idx="156">
                  <c:v>-7.0118513828427789</c:v>
                </c:pt>
                <c:pt idx="157">
                  <c:v>-7.0681099471359135</c:v>
                </c:pt>
                <c:pt idx="158">
                  <c:v>-7.1254266093350269</c:v>
                </c:pt>
                <c:pt idx="159">
                  <c:v>-7.1824818478424906</c:v>
                </c:pt>
                <c:pt idx="160">
                  <c:v>-7.2392789139352445</c:v>
                </c:pt>
                <c:pt idx="161">
                  <c:v>-7.2958210006257298</c:v>
                </c:pt>
                <c:pt idx="162">
                  <c:v>-7.3533985642769748</c:v>
                </c:pt>
                <c:pt idx="163">
                  <c:v>-7.4107159033908063</c:v>
                </c:pt>
                <c:pt idx="164">
                  <c:v>-7.4677762549657523</c:v>
                </c:pt>
                <c:pt idx="165">
                  <c:v>-7.5245827978699955</c:v>
                </c:pt>
                <c:pt idx="166">
                  <c:v>-7.5824774698760855</c:v>
                </c:pt>
                <c:pt idx="167">
                  <c:v>-7.6401127077997106</c:v>
                </c:pt>
                <c:pt idx="168">
                  <c:v>-7.6974917414557211</c:v>
                </c:pt>
                <c:pt idx="169">
                  <c:v>-7.7546177424823179</c:v>
                </c:pt>
                <c:pt idx="170">
                  <c:v>-7.8127116261076566</c:v>
                </c:pt>
                <c:pt idx="171">
                  <c:v>-7.8705480103473153</c:v>
                </c:pt>
                <c:pt idx="172">
                  <c:v>-7.9281300959629739</c:v>
                </c:pt>
                <c:pt idx="173">
                  <c:v>-7.9854610260063295</c:v>
                </c:pt>
                <c:pt idx="174">
                  <c:v>-8.0439797716803305</c:v>
                </c:pt>
                <c:pt idx="175">
                  <c:v>-8.1022410487977652</c:v>
                </c:pt>
                <c:pt idx="176">
                  <c:v>-8.1602480638319292</c:v>
                </c:pt>
                <c:pt idx="177">
                  <c:v>-8.2180039651674548</c:v>
                </c:pt>
                <c:pt idx="178">
                  <c:v>-8.2769228741004586</c:v>
                </c:pt>
                <c:pt idx="179">
                  <c:v>-8.3355846779312355</c:v>
                </c:pt>
                <c:pt idx="180">
                  <c:v>-8.3939925819509558</c:v>
                </c:pt>
                <c:pt idx="181">
                  <c:v>-8.4521497331353039</c:v>
                </c:pt>
                <c:pt idx="182">
                  <c:v>-8.5112149060248168</c:v>
                </c:pt>
                <c:pt idx="183">
                  <c:v>-8.5700256297886632</c:v>
                </c:pt>
                <c:pt idx="184">
                  <c:v>-8.6285850650475879</c:v>
                </c:pt>
                <c:pt idx="185">
                  <c:v>-8.6868963149210465</c:v>
                </c:pt>
                <c:pt idx="186">
                  <c:v>-8.7465529696668192</c:v>
                </c:pt>
                <c:pt idx="187">
                  <c:v>-8.8059540868612203</c:v>
                </c:pt>
                <c:pt idx="188">
                  <c:v>-8.8651028512240551</c:v>
                </c:pt>
                <c:pt idx="189">
                  <c:v>-8.9240023891099991</c:v>
                </c:pt>
                <c:pt idx="190">
                  <c:v>-8.9837727353414802</c:v>
                </c:pt>
                <c:pt idx="191">
                  <c:v>-9.0432906282142529</c:v>
                </c:pt>
                <c:pt idx="192">
                  <c:v>-9.1025591979689402</c:v>
                </c:pt>
                <c:pt idx="193">
                  <c:v>-9.1615815175171758</c:v>
                </c:pt>
                <c:pt idx="194">
                  <c:v>-9.221898383483266</c:v>
                </c:pt>
                <c:pt idx="195">
                  <c:v>-9.2819622954588041</c:v>
                </c:pt>
                <c:pt idx="196">
                  <c:v>-9.341776394725624</c:v>
                </c:pt>
                <c:pt idx="197">
                  <c:v>-9.4013437646656648</c:v>
                </c:pt>
                <c:pt idx="198">
                  <c:v>-9.4619637863138664</c:v>
                </c:pt>
                <c:pt idx="199">
                  <c:v>-9.5223324857292084</c:v>
                </c:pt>
                <c:pt idx="200">
                  <c:v>-9.5824529745053688</c:v>
                </c:pt>
                <c:pt idx="201">
                  <c:v>-9.6423283067505619</c:v>
                </c:pt>
                <c:pt idx="202">
                  <c:v>-9.7032367057851374</c:v>
                </c:pt>
                <c:pt idx="203">
                  <c:v>-9.7638955923734851</c:v>
                </c:pt>
                <c:pt idx="204">
                  <c:v>-9.8243080439506816</c:v>
                </c:pt>
                <c:pt idx="205">
                  <c:v>-9.8844770809842419</c:v>
                </c:pt>
                <c:pt idx="206">
                  <c:v>-9.9458694620446444</c:v>
                </c:pt>
                <c:pt idx="207">
                  <c:v>-10.007012607563837</c:v>
                </c:pt>
                <c:pt idx="208">
                  <c:v>-10.067909587784014</c:v>
                </c:pt>
                <c:pt idx="209">
                  <c:v>-10.128563415825964</c:v>
                </c:pt>
                <c:pt idx="210">
                  <c:v>-10.190623227002398</c:v>
                </c:pt>
                <c:pt idx="211">
                  <c:v>-10.2524326939097</c:v>
                </c:pt>
                <c:pt idx="212">
                  <c:v>-10.313994903627632</c:v>
                </c:pt>
                <c:pt idx="213">
                  <c:v>-10.375312885351759</c:v>
                </c:pt>
                <c:pt idx="214">
                  <c:v>-10.437604655609869</c:v>
                </c:pt>
                <c:pt idx="215">
                  <c:v>-10.499648551171481</c:v>
                </c:pt>
                <c:pt idx="216">
                  <c:v>-10.561447608532115</c:v>
                </c:pt>
                <c:pt idx="217">
                  <c:v>-10.623004807210561</c:v>
                </c:pt>
                <c:pt idx="218">
                  <c:v>-10.685718443929353</c:v>
                </c:pt>
                <c:pt idx="219">
                  <c:v>-10.748185195014182</c:v>
                </c:pt>
                <c:pt idx="220">
                  <c:v>-10.810408072053683</c:v>
                </c:pt>
                <c:pt idx="221">
                  <c:v>-10.872390029924453</c:v>
                </c:pt>
                <c:pt idx="222">
                  <c:v>-10.935507735064803</c:v>
                </c:pt>
                <c:pt idx="223">
                  <c:v>-10.998379729021522</c:v>
                </c:pt>
                <c:pt idx="224">
                  <c:v>-11.061008993449599</c:v>
                </c:pt>
                <c:pt idx="225">
                  <c:v>-11.123398453679961</c:v>
                </c:pt>
                <c:pt idx="226">
                  <c:v>-11.187096951023808</c:v>
                </c:pt>
                <c:pt idx="227">
                  <c:v>-11.250549589094712</c:v>
                </c:pt>
                <c:pt idx="228">
                  <c:v>-11.313759341809819</c:v>
                </c:pt>
                <c:pt idx="229">
                  <c:v>-11.37672912658951</c:v>
                </c:pt>
                <c:pt idx="230">
                  <c:v>-11.504993696407944</c:v>
                </c:pt>
                <c:pt idx="231">
                  <c:v>-11.568760301773233</c:v>
                </c:pt>
                <c:pt idx="232">
                  <c:v>-11.632287010531375</c:v>
                </c:pt>
                <c:pt idx="233">
                  <c:v>-11.697076238451364</c:v>
                </c:pt>
                <c:pt idx="234">
                  <c:v>-11.76162002666616</c:v>
                </c:pt>
                <c:pt idx="235">
                  <c:v>-11.825921314652437</c:v>
                </c:pt>
                <c:pt idx="236">
                  <c:v>-11.889982985515799</c:v>
                </c:pt>
                <c:pt idx="237">
                  <c:v>-11.955100433414747</c:v>
                </c:pt>
                <c:pt idx="238">
                  <c:v>-12.019974331869559</c:v>
                </c:pt>
                <c:pt idx="239">
                  <c:v>-12.084607570163355</c:v>
                </c:pt>
                <c:pt idx="240">
                  <c:v>-12.149002982115819</c:v>
                </c:pt>
                <c:pt idx="241">
                  <c:v>-12.214800753853979</c:v>
                </c:pt>
                <c:pt idx="242">
                  <c:v>-12.280354246258838</c:v>
                </c:pt>
                <c:pt idx="243">
                  <c:v>-12.345666342929128</c:v>
                </c:pt>
                <c:pt idx="244">
                  <c:v>-12.410739871776769</c:v>
                </c:pt>
                <c:pt idx="245">
                  <c:v>-12.477011803955078</c:v>
                </c:pt>
                <c:pt idx="246">
                  <c:v>-12.54304027994722</c:v>
                </c:pt>
                <c:pt idx="247">
                  <c:v>-12.608828148039057</c:v>
                </c:pt>
                <c:pt idx="248">
                  <c:v>-12.674378201372495</c:v>
                </c:pt>
                <c:pt idx="249">
                  <c:v>-12.741283313575023</c:v>
                </c:pt>
                <c:pt idx="250">
                  <c:v>-12.807944630734605</c:v>
                </c:pt>
                <c:pt idx="251">
                  <c:v>-12.874364983975031</c:v>
                </c:pt>
                <c:pt idx="252">
                  <c:v>-12.940547149361885</c:v>
                </c:pt>
                <c:pt idx="253">
                  <c:v>-13.007887021683864</c:v>
                </c:pt>
                <c:pt idx="254">
                  <c:v>-13.074984198499099</c:v>
                </c:pt>
                <c:pt idx="255">
                  <c:v>-13.141841466656675</c:v>
                </c:pt>
                <c:pt idx="256">
                  <c:v>-13.208461558746681</c:v>
                </c:pt>
                <c:pt idx="257">
                  <c:v>-13.276563895987161</c:v>
                </c:pt>
                <c:pt idx="258">
                  <c:v>-13.344422265981111</c:v>
                </c:pt>
                <c:pt idx="259">
                  <c:v>-13.412039449782773</c:v>
                </c:pt>
                <c:pt idx="260">
                  <c:v>-13.479418174004977</c:v>
                </c:pt>
                <c:pt idx="261">
                  <c:v>-13.548084368377557</c:v>
                </c:pt>
                <c:pt idx="262">
                  <c:v>-13.616506741048113</c:v>
                </c:pt>
                <c:pt idx="263">
                  <c:v>-13.684688040655502</c:v>
                </c:pt>
                <c:pt idx="264">
                  <c:v>-13.752630961922979</c:v>
                </c:pt>
                <c:pt idx="265">
                  <c:v>-13.821840093529875</c:v>
                </c:pt>
                <c:pt idx="266">
                  <c:v>-13.890805661981112</c:v>
                </c:pt>
                <c:pt idx="267">
                  <c:v>-13.959530379486118</c:v>
                </c:pt>
                <c:pt idx="268">
                  <c:v>-14.028016904991196</c:v>
                </c:pt>
                <c:pt idx="269">
                  <c:v>-14.097913526419067</c:v>
                </c:pt>
                <c:pt idx="270">
                  <c:v>-14.167565789704344</c:v>
                </c:pt>
                <c:pt idx="271">
                  <c:v>-14.236976385944804</c:v>
                </c:pt>
                <c:pt idx="272">
                  <c:v>-14.306147953251347</c:v>
                </c:pt>
                <c:pt idx="273">
                  <c:v>-14.376706073232091</c:v>
                </c:pt>
                <c:pt idx="274">
                  <c:v>-14.447019185180366</c:v>
                </c:pt>
                <c:pt idx="275">
                  <c:v>-14.517089954317541</c:v>
                </c:pt>
                <c:pt idx="276">
                  <c:v>-14.58692099330522</c:v>
                </c:pt>
                <c:pt idx="277">
                  <c:v>-14.657955562290839</c:v>
                </c:pt>
                <c:pt idx="278">
                  <c:v>-14.728745694301288</c:v>
                </c:pt>
                <c:pt idx="279">
                  <c:v>-14.79929400689066</c:v>
                </c:pt>
                <c:pt idx="280">
                  <c:v>-14.869603066080895</c:v>
                </c:pt>
                <c:pt idx="281">
                  <c:v>-14.941570239298974</c:v>
                </c:pt>
                <c:pt idx="282">
                  <c:v>-15.013290347490795</c:v>
                </c:pt>
                <c:pt idx="283">
                  <c:v>-15.084766009592293</c:v>
                </c:pt>
                <c:pt idx="284">
                  <c:v>-15.15599979278177</c:v>
                </c:pt>
                <c:pt idx="285">
                  <c:v>-15.228396101736193</c:v>
                </c:pt>
                <c:pt idx="286">
                  <c:v>-15.30054610182296</c:v>
                </c:pt>
                <c:pt idx="287">
                  <c:v>-15.372452357635735</c:v>
                </c:pt>
                <c:pt idx="288">
                  <c:v>-15.444117383280645</c:v>
                </c:pt>
                <c:pt idx="289">
                  <c:v>-15.517387728956532</c:v>
                </c:pt>
                <c:pt idx="290">
                  <c:v>-15.590409408231897</c:v>
                </c:pt>
                <c:pt idx="291">
                  <c:v>-15.663184978078055</c:v>
                </c:pt>
                <c:pt idx="292">
                  <c:v>-15.735716945062126</c:v>
                </c:pt>
                <c:pt idx="293">
                  <c:v>-15.809675521421125</c:v>
                </c:pt>
                <c:pt idx="294">
                  <c:v>-15.883384257990869</c:v>
                </c:pt>
                <c:pt idx="295">
                  <c:v>-15.956845683669563</c:v>
                </c:pt>
                <c:pt idx="296">
                  <c:v>-16.030062277610252</c:v>
                </c:pt>
                <c:pt idx="297">
                  <c:v>-16.104681977452465</c:v>
                </c:pt>
                <c:pt idx="298">
                  <c:v>-16.179050750142181</c:v>
                </c:pt>
                <c:pt idx="299">
                  <c:v>-16.25317109350863</c:v>
                </c:pt>
                <c:pt idx="300">
                  <c:v>-16.327045456414627</c:v>
                </c:pt>
                <c:pt idx="301">
                  <c:v>-16.402299891245249</c:v>
                </c:pt>
                <c:pt idx="302">
                  <c:v>-16.477302380906256</c:v>
                </c:pt>
                <c:pt idx="303">
                  <c:v>-16.552055389700495</c:v>
                </c:pt>
                <c:pt idx="304">
                  <c:v>-16.626561333849708</c:v>
                </c:pt>
                <c:pt idx="305">
                  <c:v>-16.702716051514294</c:v>
                </c:pt>
                <c:pt idx="306">
                  <c:v>-16.778615920742112</c:v>
                </c:pt>
                <c:pt idx="307">
                  <c:v>-16.854263398220869</c:v>
                </c:pt>
                <c:pt idx="308">
                  <c:v>-16.929660892815974</c:v>
                </c:pt>
                <c:pt idx="309">
                  <c:v>-17.006391737724407</c:v>
                </c:pt>
                <c:pt idx="310">
                  <c:v>-17.082866881841454</c:v>
                </c:pt>
                <c:pt idx="311">
                  <c:v>-17.159088743219314</c:v>
                </c:pt>
                <c:pt idx="312">
                  <c:v>-17.235059693194955</c:v>
                </c:pt>
                <c:pt idx="313">
                  <c:v>-17.312625858409504</c:v>
                </c:pt>
                <c:pt idx="314">
                  <c:v>-17.389933615920562</c:v>
                </c:pt>
                <c:pt idx="315">
                  <c:v>-17.466985370298872</c:v>
                </c:pt>
                <c:pt idx="316">
                  <c:v>-17.543783479906626</c:v>
                </c:pt>
                <c:pt idx="317">
                  <c:v>-17.622149755927616</c:v>
                </c:pt>
                <c:pt idx="318">
                  <c:v>-17.700255024768271</c:v>
                </c:pt>
                <c:pt idx="319">
                  <c:v>-17.7781016746356</c:v>
                </c:pt>
                <c:pt idx="320">
                  <c:v>-17.85569204815852</c:v>
                </c:pt>
                <c:pt idx="321">
                  <c:v>-17.934823960689982</c:v>
                </c:pt>
                <c:pt idx="322">
                  <c:v>-18.013692360235321</c:v>
                </c:pt>
                <c:pt idx="323">
                  <c:v>-18.092299616285462</c:v>
                </c:pt>
                <c:pt idx="324">
                  <c:v>-18.170648053492073</c:v>
                </c:pt>
                <c:pt idx="325">
                  <c:v>-18.250511804922976</c:v>
                </c:pt>
                <c:pt idx="326">
                  <c:v>-18.330109619174813</c:v>
                </c:pt>
                <c:pt idx="327">
                  <c:v>-18.409443845169857</c:v>
                </c:pt>
                <c:pt idx="328">
                  <c:v>-18.488516787823322</c:v>
                </c:pt>
                <c:pt idx="329">
                  <c:v>-18.569213699211048</c:v>
                </c:pt>
                <c:pt idx="330">
                  <c:v>-18.649641426353767</c:v>
                </c:pt>
                <c:pt idx="331">
                  <c:v>-18.72980230780103</c:v>
                </c:pt>
                <c:pt idx="332">
                  <c:v>-18.809698638720928</c:v>
                </c:pt>
                <c:pt idx="333">
                  <c:v>-18.891058065119974</c:v>
                </c:pt>
                <c:pt idx="334">
                  <c:v>-18.972146043592023</c:v>
                </c:pt>
                <c:pt idx="335">
                  <c:v>-19.05296488913115</c:v>
                </c:pt>
                <c:pt idx="336">
                  <c:v>-19.133516874344394</c:v>
                </c:pt>
                <c:pt idx="337">
                  <c:v>-19.215768754107643</c:v>
                </c:pt>
                <c:pt idx="338">
                  <c:v>-19.297745229541487</c:v>
                </c:pt>
                <c:pt idx="339">
                  <c:v>-19.37944861340749</c:v>
                </c:pt>
                <c:pt idx="340">
                  <c:v>-19.460881176599191</c:v>
                </c:pt>
                <c:pt idx="341">
                  <c:v>-19.543983599613256</c:v>
                </c:pt>
                <c:pt idx="342">
                  <c:v>-19.626806777996617</c:v>
                </c:pt>
                <c:pt idx="343">
                  <c:v>-19.709353020351706</c:v>
                </c:pt>
                <c:pt idx="344">
                  <c:v>-19.791624594025325</c:v>
                </c:pt>
                <c:pt idx="345">
                  <c:v>-19.875408850462996</c:v>
                </c:pt>
                <c:pt idx="346">
                  <c:v>-19.958910987506155</c:v>
                </c:pt>
                <c:pt idx="347">
                  <c:v>-20.042133297691361</c:v>
                </c:pt>
                <c:pt idx="348">
                  <c:v>-20.12507803323291</c:v>
                </c:pt>
                <c:pt idx="349">
                  <c:v>-20.209760311732911</c:v>
                </c:pt>
                <c:pt idx="350">
                  <c:v>-20.294155969645079</c:v>
                </c:pt>
                <c:pt idx="351">
                  <c:v>-20.378267303381513</c:v>
                </c:pt>
                <c:pt idx="352">
                  <c:v>-20.462096569536254</c:v>
                </c:pt>
                <c:pt idx="353">
                  <c:v>-20.547631864903664</c:v>
                </c:pt>
                <c:pt idx="354">
                  <c:v>-20.632876164661855</c:v>
                </c:pt>
                <c:pt idx="355">
                  <c:v>-20.717831767600043</c:v>
                </c:pt>
                <c:pt idx="356">
                  <c:v>-20.802500933268149</c:v>
                </c:pt>
                <c:pt idx="357">
                  <c:v>-20.888722521802919</c:v>
                </c:pt>
                <c:pt idx="358">
                  <c:v>-20.974649695804541</c:v>
                </c:pt>
                <c:pt idx="359">
                  <c:v>-21.060284745591144</c:v>
                </c:pt>
                <c:pt idx="360">
                  <c:v>-21.145629923096489</c:v>
                </c:pt>
                <c:pt idx="361">
                  <c:v>-21.232740766450895</c:v>
                </c:pt>
                <c:pt idx="362">
                  <c:v>-21.319552210999177</c:v>
                </c:pt>
                <c:pt idx="363">
                  <c:v>-21.406066557383273</c:v>
                </c:pt>
                <c:pt idx="364">
                  <c:v>-21.492286068324855</c:v>
                </c:pt>
                <c:pt idx="365">
                  <c:v>-21.580119149687341</c:v>
                </c:pt>
                <c:pt idx="366">
                  <c:v>-21.66764881059472</c:v>
                </c:pt>
                <c:pt idx="367">
                  <c:v>-21.754877351533853</c:v>
                </c:pt>
                <c:pt idx="368">
                  <c:v>-21.841807035791451</c:v>
                </c:pt>
                <c:pt idx="369">
                  <c:v>-21.930555136239093</c:v>
                </c:pt>
                <c:pt idx="370">
                  <c:v>-22.018994276539487</c:v>
                </c:pt>
                <c:pt idx="371">
                  <c:v>-22.107126774961191</c:v>
                </c:pt>
                <c:pt idx="372">
                  <c:v>-22.194954912931379</c:v>
                </c:pt>
                <c:pt idx="373">
                  <c:v>-22.284450869045198</c:v>
                </c:pt>
                <c:pt idx="374">
                  <c:v>-22.373633296418213</c:v>
                </c:pt>
                <c:pt idx="375">
                  <c:v>-22.462504520937209</c:v>
                </c:pt>
                <c:pt idx="376">
                  <c:v>-22.551066832243635</c:v>
                </c:pt>
                <c:pt idx="377">
                  <c:v>-22.641493544308386</c:v>
                </c:pt>
                <c:pt idx="378">
                  <c:v>-22.731600684601144</c:v>
                </c:pt>
                <c:pt idx="379">
                  <c:v>-22.82139060386023</c:v>
                </c:pt>
                <c:pt idx="380">
                  <c:v>-22.910865616837803</c:v>
                </c:pt>
                <c:pt idx="381">
                  <c:v>-23.001943268088787</c:v>
                </c:pt>
                <c:pt idx="382">
                  <c:v>-23.09269708626767</c:v>
                </c:pt>
                <c:pt idx="383">
                  <c:v>-23.183129428351421</c:v>
                </c:pt>
                <c:pt idx="384">
                  <c:v>-23.273242615983534</c:v>
                </c:pt>
                <c:pt idx="385">
                  <c:v>-23.365260367406261</c:v>
                </c:pt>
                <c:pt idx="386">
                  <c:v>-23.45694777580804</c:v>
                </c:pt>
                <c:pt idx="387">
                  <c:v>-23.548307230031035</c:v>
                </c:pt>
                <c:pt idx="388">
                  <c:v>-23.639341083738511</c:v>
                </c:pt>
                <c:pt idx="389">
                  <c:v>-23.732131915281229</c:v>
                </c:pt>
                <c:pt idx="390">
                  <c:v>-23.824586887100942</c:v>
                </c:pt>
                <c:pt idx="391">
                  <c:v>-23.916708410205541</c:v>
                </c:pt>
                <c:pt idx="392">
                  <c:v>-24.008498860783952</c:v>
                </c:pt>
                <c:pt idx="393">
                  <c:v>-24.102010929510172</c:v>
                </c:pt>
                <c:pt idx="394">
                  <c:v>-24.195181804150497</c:v>
                </c:pt>
                <c:pt idx="395">
                  <c:v>-24.288013917210755</c:v>
                </c:pt>
                <c:pt idx="396">
                  <c:v>-24.380509666757554</c:v>
                </c:pt>
                <c:pt idx="397">
                  <c:v>-24.474904737035182</c:v>
                </c:pt>
                <c:pt idx="398">
                  <c:v>-24.568951899211179</c:v>
                </c:pt>
                <c:pt idx="399">
                  <c:v>-24.66265362331724</c:v>
                </c:pt>
                <c:pt idx="400">
                  <c:v>-24.756012345033298</c:v>
                </c:pt>
                <c:pt idx="401">
                  <c:v>-24.851126285850217</c:v>
                </c:pt>
                <c:pt idx="402">
                  <c:v>-24.945886608911504</c:v>
                </c:pt>
                <c:pt idx="403">
                  <c:v>-25.040295812449536</c:v>
                </c:pt>
                <c:pt idx="404">
                  <c:v>-25.134356360614035</c:v>
                </c:pt>
                <c:pt idx="405">
                  <c:v>-25.230238784291288</c:v>
                </c:pt>
                <c:pt idx="406">
                  <c:v>-25.325761315842577</c:v>
                </c:pt>
                <c:pt idx="407">
                  <c:v>-25.420926489163275</c:v>
                </c:pt>
                <c:pt idx="408">
                  <c:v>-25.515736804205211</c:v>
                </c:pt>
                <c:pt idx="409">
                  <c:v>-25.612432186853344</c:v>
                </c:pt>
                <c:pt idx="410">
                  <c:v>-25.708760864658039</c:v>
                </c:pt>
                <c:pt idx="411">
                  <c:v>-25.804725414374499</c:v>
                </c:pt>
                <c:pt idx="412">
                  <c:v>-25.900328378833983</c:v>
                </c:pt>
                <c:pt idx="413">
                  <c:v>-25.997776001151614</c:v>
                </c:pt>
                <c:pt idx="414">
                  <c:v>-26.094850359628122</c:v>
                </c:pt>
                <c:pt idx="415">
                  <c:v>-26.191554072817198</c:v>
                </c:pt>
                <c:pt idx="416">
                  <c:v>-26.287889725395921</c:v>
                </c:pt>
                <c:pt idx="417">
                  <c:v>-26.386128695351072</c:v>
                </c:pt>
                <c:pt idx="418">
                  <c:v>-26.483987337585418</c:v>
                </c:pt>
                <c:pt idx="419">
                  <c:v>-26.581468319470499</c:v>
                </c:pt>
                <c:pt idx="420">
                  <c:v>-26.678574274437196</c:v>
                </c:pt>
                <c:pt idx="421">
                  <c:v>-26.777444593257233</c:v>
                </c:pt>
                <c:pt idx="422">
                  <c:v>-26.875928558892056</c:v>
                </c:pt>
                <c:pt idx="423">
                  <c:v>-26.974028878459752</c:v>
                </c:pt>
                <c:pt idx="424">
                  <c:v>-27.07174822523481</c:v>
                </c:pt>
                <c:pt idx="425">
                  <c:v>-27.171479694550346</c:v>
                </c:pt>
                <c:pt idx="426">
                  <c:v>-27.270816787979868</c:v>
                </c:pt>
                <c:pt idx="427">
                  <c:v>-27.369762275308052</c:v>
                </c:pt>
                <c:pt idx="428">
                  <c:v>-27.468318892203133</c:v>
                </c:pt>
                <c:pt idx="429">
                  <c:v>-27.568748103769515</c:v>
                </c:pt>
                <c:pt idx="430">
                  <c:v>-27.668775993972186</c:v>
                </c:pt>
                <c:pt idx="431">
                  <c:v>-27.768405386014642</c:v>
                </c:pt>
                <c:pt idx="432">
                  <c:v>-27.867639068878027</c:v>
                </c:pt>
                <c:pt idx="433">
                  <c:v>-27.968702688557457</c:v>
                </c:pt>
                <c:pt idx="434">
                  <c:v>-28.069358354869458</c:v>
                </c:pt>
                <c:pt idx="435">
                  <c:v>-28.169608943353811</c:v>
                </c:pt>
                <c:pt idx="436">
                  <c:v>-28.269457295251502</c:v>
                </c:pt>
                <c:pt idx="437">
                  <c:v>-28.371275713583696</c:v>
                </c:pt>
                <c:pt idx="438">
                  <c:v>-28.472678380283568</c:v>
                </c:pt>
                <c:pt idx="439">
                  <c:v>-28.573668237936044</c:v>
                </c:pt>
                <c:pt idx="440">
                  <c:v>-28.674248194533366</c:v>
                </c:pt>
                <c:pt idx="441">
                  <c:v>-28.776752161868178</c:v>
                </c:pt>
                <c:pt idx="442">
                  <c:v>-28.878832942370209</c:v>
                </c:pt>
                <c:pt idx="443">
                  <c:v>-28.980493544419659</c:v>
                </c:pt>
                <c:pt idx="444">
                  <c:v>-29.081736941550375</c:v>
                </c:pt>
                <c:pt idx="445">
                  <c:v>-29.184858864916066</c:v>
                </c:pt>
                <c:pt idx="446">
                  <c:v>-29.287550536587421</c:v>
                </c:pt>
                <c:pt idx="447">
                  <c:v>-29.389815029572979</c:v>
                </c:pt>
                <c:pt idx="448">
                  <c:v>-29.491655381819328</c:v>
                </c:pt>
                <c:pt idx="449">
                  <c:v>-29.595502814109214</c:v>
                </c:pt>
                <c:pt idx="450">
                  <c:v>-29.698911846366602</c:v>
                </c:pt>
                <c:pt idx="451">
                  <c:v>-29.801885630859864</c:v>
                </c:pt>
                <c:pt idx="452">
                  <c:v>-29.904427284381949</c:v>
                </c:pt>
                <c:pt idx="453">
                  <c:v>-30.008842102981998</c:v>
                </c:pt>
                <c:pt idx="454">
                  <c:v>-30.112811524396363</c:v>
                </c:pt>
                <c:pt idx="455">
                  <c:v>-30.216338771049635</c:v>
                </c:pt>
                <c:pt idx="456">
                  <c:v>-30.319427029640668</c:v>
                </c:pt>
                <c:pt idx="457">
                  <c:v>-30.424510288150199</c:v>
                </c:pt>
                <c:pt idx="458">
                  <c:v>-30.529140122728254</c:v>
                </c:pt>
                <c:pt idx="459">
                  <c:v>-30.633319840680766</c:v>
                </c:pt>
                <c:pt idx="460">
                  <c:v>-30.737052713149847</c:v>
                </c:pt>
                <c:pt idx="461">
                  <c:v>-30.842731135930972</c:v>
                </c:pt>
                <c:pt idx="462">
                  <c:v>-30.947948571718406</c:v>
                </c:pt>
                <c:pt idx="463">
                  <c:v>-31.052708411568549</c:v>
                </c:pt>
                <c:pt idx="464">
                  <c:v>-31.157014009985808</c:v>
                </c:pt>
                <c:pt idx="465">
                  <c:v>-31.263297398140306</c:v>
                </c:pt>
                <c:pt idx="466">
                  <c:v>-31.3691119981521</c:v>
                </c:pt>
                <c:pt idx="467">
                  <c:v>-31.474461291725916</c:v>
                </c:pt>
                <c:pt idx="468">
                  <c:v>-31.579348723564252</c:v>
                </c:pt>
                <c:pt idx="469">
                  <c:v>-31.686163862448037</c:v>
                </c:pt>
                <c:pt idx="470">
                  <c:v>-31.792502919106216</c:v>
                </c:pt>
                <c:pt idx="471">
                  <c:v>-31.898369464901318</c:v>
                </c:pt>
                <c:pt idx="472">
                  <c:v>-32.00376703379662</c:v>
                </c:pt>
                <c:pt idx="473">
                  <c:v>-32.111199301955857</c:v>
                </c:pt>
                <c:pt idx="474">
                  <c:v>-32.218147307890334</c:v>
                </c:pt>
                <c:pt idx="475">
                  <c:v>-32.324614727720316</c:v>
                </c:pt>
                <c:pt idx="476">
                  <c:v>-32.430605199604258</c:v>
                </c:pt>
                <c:pt idx="477">
                  <c:v>-32.538577745225069</c:v>
                </c:pt>
                <c:pt idx="478">
                  <c:v>-32.646058425132026</c:v>
                </c:pt>
                <c:pt idx="479">
                  <c:v>-32.7530510193601</c:v>
                </c:pt>
                <c:pt idx="480">
                  <c:v>-32.859559269482411</c:v>
                </c:pt>
                <c:pt idx="481">
                  <c:v>-32.967997889726789</c:v>
                </c:pt>
                <c:pt idx="482">
                  <c:v>-33.07593763329119</c:v>
                </c:pt>
                <c:pt idx="483">
                  <c:v>-33.183382383422533</c:v>
                </c:pt>
                <c:pt idx="484">
                  <c:v>-33.290335984468499</c:v>
                </c:pt>
                <c:pt idx="485">
                  <c:v>-33.39924319219547</c:v>
                </c:pt>
                <c:pt idx="486">
                  <c:v>-33.507644434943209</c:v>
                </c:pt>
                <c:pt idx="487">
                  <c:v>-33.615543706737931</c:v>
                </c:pt>
                <c:pt idx="488">
                  <c:v>-33.722944962226585</c:v>
                </c:pt>
                <c:pt idx="489">
                  <c:v>-33.832393264239442</c:v>
                </c:pt>
                <c:pt idx="490">
                  <c:v>-33.941327802275083</c:v>
                </c:pt>
                <c:pt idx="491">
                  <c:v>-34.049752697079704</c:v>
                </c:pt>
                <c:pt idx="492">
                  <c:v>-34.15767202939972</c:v>
                </c:pt>
                <c:pt idx="493">
                  <c:v>-34.267583651259372</c:v>
                </c:pt>
                <c:pt idx="494">
                  <c:v>-34.376974426939945</c:v>
                </c:pt>
                <c:pt idx="495">
                  <c:v>-34.48584860370169</c:v>
                </c:pt>
                <c:pt idx="496">
                  <c:v>-34.594210388264798</c:v>
                </c:pt>
                <c:pt idx="497">
                  <c:v>-34.704580788075887</c:v>
                </c:pt>
                <c:pt idx="498">
                  <c:v>-34.81442333180496</c:v>
                </c:pt>
                <c:pt idx="499">
                  <c:v>-34.923742401550115</c:v>
                </c:pt>
                <c:pt idx="500">
                  <c:v>-35.032542338311487</c:v>
                </c:pt>
                <c:pt idx="501">
                  <c:v>-35.143365128674816</c:v>
                </c:pt>
                <c:pt idx="502">
                  <c:v>-35.253653181649959</c:v>
                </c:pt>
                <c:pt idx="503">
                  <c:v>-35.363411022860511</c:v>
                </c:pt>
                <c:pt idx="504">
                  <c:v>-35.472643136266015</c:v>
                </c:pt>
                <c:pt idx="505">
                  <c:v>-35.583843103848949</c:v>
                </c:pt>
                <c:pt idx="506">
                  <c:v>-35.694502294792883</c:v>
                </c:pt>
                <c:pt idx="507">
                  <c:v>-35.804625378907375</c:v>
                </c:pt>
                <c:pt idx="508">
                  <c:v>-35.914216983878674</c:v>
                </c:pt>
                <c:pt idx="509">
                  <c:v>-36.025788838083969</c:v>
                </c:pt>
                <c:pt idx="510">
                  <c:v>-36.136814102870801</c:v>
                </c:pt>
                <c:pt idx="511">
                  <c:v>-36.247297601807176</c:v>
                </c:pt>
                <c:pt idx="512">
                  <c:v>-36.357244115895391</c:v>
                </c:pt>
                <c:pt idx="513">
                  <c:v>-36.469246255475525</c:v>
                </c:pt>
                <c:pt idx="514">
                  <c:v>-36.580695650342932</c:v>
                </c:pt>
                <c:pt idx="515">
                  <c:v>-36.691597296628885</c:v>
                </c:pt>
                <c:pt idx="516">
                  <c:v>-36.801956147393199</c:v>
                </c:pt>
                <c:pt idx="517">
                  <c:v>-36.914314403096064</c:v>
                </c:pt>
                <c:pt idx="518">
                  <c:v>-37.026114784232441</c:v>
                </c:pt>
                <c:pt idx="519">
                  <c:v>-37.137362461750854</c:v>
                </c:pt>
                <c:pt idx="520">
                  <c:v>-37.248062563182003</c:v>
                </c:pt>
                <c:pt idx="521">
                  <c:v>-37.360769779885807</c:v>
                </c:pt>
                <c:pt idx="522">
                  <c:v>-37.472914440433456</c:v>
                </c:pt>
                <c:pt idx="523">
                  <c:v>-37.584501902360749</c:v>
                </c:pt>
                <c:pt idx="524">
                  <c:v>-37.695537479524987</c:v>
                </c:pt>
                <c:pt idx="525">
                  <c:v>-37.808586657014096</c:v>
                </c:pt>
                <c:pt idx="526">
                  <c:v>-37.921069131712173</c:v>
                </c:pt>
                <c:pt idx="527">
                  <c:v>-38.032990460563305</c:v>
                </c:pt>
                <c:pt idx="528">
                  <c:v>-38.144356156692822</c:v>
                </c:pt>
                <c:pt idx="529">
                  <c:v>-38.257740904016693</c:v>
                </c:pt>
                <c:pt idx="530">
                  <c:v>-38.370555431681296</c:v>
                </c:pt>
                <c:pt idx="531">
                  <c:v>-38.482805510134177</c:v>
                </c:pt>
                <c:pt idx="532">
                  <c:v>-38.594496866024038</c:v>
                </c:pt>
                <c:pt idx="533">
                  <c:v>-38.708270456832537</c:v>
                </c:pt>
                <c:pt idx="534">
                  <c:v>-38.821470456427697</c:v>
                </c:pt>
                <c:pt idx="535">
                  <c:v>-38.934102873661949</c:v>
                </c:pt>
                <c:pt idx="536">
                  <c:v>-39.046173673733946</c:v>
                </c:pt>
                <c:pt idx="537">
                  <c:v>-39.160214192675255</c:v>
                </c:pt>
                <c:pt idx="538">
                  <c:v>-39.273679788080116</c:v>
                </c:pt>
                <c:pt idx="539">
                  <c:v>-39.386576706108791</c:v>
                </c:pt>
                <c:pt idx="540">
                  <c:v>-39.498911149868967</c:v>
                </c:pt>
                <c:pt idx="541">
                  <c:v>-39.613333220148462</c:v>
                </c:pt>
                <c:pt idx="542">
                  <c:v>-39.727178845939264</c:v>
                </c:pt>
                <c:pt idx="543">
                  <c:v>-39.840454549473407</c:v>
                </c:pt>
                <c:pt idx="544">
                  <c:v>-39.953166810713199</c:v>
                </c:pt>
                <c:pt idx="545">
                  <c:v>-40.067913496996148</c:v>
                </c:pt>
                <c:pt idx="546">
                  <c:v>-40.182083929581637</c:v>
                </c:pt>
                <c:pt idx="547">
                  <c:v>-40.295684919879662</c:v>
                </c:pt>
                <c:pt idx="548">
                  <c:v>-40.408723238354298</c:v>
                </c:pt>
                <c:pt idx="549">
                  <c:v>-40.523799842254711</c:v>
                </c:pt>
                <c:pt idx="550">
                  <c:v>-40.638301666689898</c:v>
                </c:pt>
                <c:pt idx="551">
                  <c:v>-40.752235838283404</c:v>
                </c:pt>
                <c:pt idx="552">
                  <c:v>-40.865609444610207</c:v>
                </c:pt>
                <c:pt idx="553">
                  <c:v>-40.981078764513171</c:v>
                </c:pt>
                <c:pt idx="554">
                  <c:v>-41.095975722636254</c:v>
                </c:pt>
                <c:pt idx="555">
                  <c:v>-41.210307801330252</c:v>
                </c:pt>
                <c:pt idx="556">
                  <c:v>-41.324082446451925</c:v>
                </c:pt>
                <c:pt idx="557">
                  <c:v>-41.555262669400143</c:v>
                </c:pt>
                <c:pt idx="558">
                  <c:v>-41.78420146413778</c:v>
                </c:pt>
                <c:pt idx="559">
                  <c:v>-42.016134029959879</c:v>
                </c:pt>
                <c:pt idx="560">
                  <c:v>-42.245853244683985</c:v>
                </c:pt>
                <c:pt idx="561">
                  <c:v>-42.47879895066287</c:v>
                </c:pt>
                <c:pt idx="562">
                  <c:v>-42.709564689427481</c:v>
                </c:pt>
                <c:pt idx="563">
                  <c:v>-42.943104714733742</c:v>
                </c:pt>
                <c:pt idx="564">
                  <c:v>-43.174517720152494</c:v>
                </c:pt>
                <c:pt idx="565">
                  <c:v>-43.409634173956007</c:v>
                </c:pt>
                <c:pt idx="566">
                  <c:v>-43.642672717791058</c:v>
                </c:pt>
                <c:pt idx="567">
                  <c:v>-43.879369871376916</c:v>
                </c:pt>
                <c:pt idx="568">
                  <c:v>-44.11405508719313</c:v>
                </c:pt>
                <c:pt idx="569">
                  <c:v>-44.35145040350362</c:v>
                </c:pt>
                <c:pt idx="570">
                  <c:v>-44.586933333865922</c:v>
                </c:pt>
                <c:pt idx="571">
                  <c:v>-44.826985220586053</c:v>
                </c:pt>
                <c:pt idx="572">
                  <c:v>-45.065215539495007</c:v>
                </c:pt>
                <c:pt idx="573">
                  <c:v>-45.306222816476833</c:v>
                </c:pt>
                <c:pt idx="574">
                  <c:v>-45.545551235798534</c:v>
                </c:pt>
                <c:pt idx="575">
                  <c:v>-45.789523232955588</c:v>
                </c:pt>
                <c:pt idx="576">
                  <c:v>-46.031961714648205</c:v>
                </c:pt>
                <c:pt idx="577">
                  <c:v>-47.044189087023227</c:v>
                </c:pt>
                <c:pt idx="578">
                  <c:v>-48.040868314275258</c:v>
                </c:pt>
                <c:pt idx="579">
                  <c:v>-50.225705360615962</c:v>
                </c:pt>
                <c:pt idx="580">
                  <c:v>-52.778723477792191</c:v>
                </c:pt>
                <c:pt idx="581">
                  <c:v>-56.150487222314631</c:v>
                </c:pt>
                <c:pt idx="582">
                  <c:v>-61.701064224236845</c:v>
                </c:pt>
                <c:pt idx="583">
                  <c:v>-79.925019618743306</c:v>
                </c:pt>
                <c:pt idx="584">
                  <c:v>-66.126657838300261</c:v>
                </c:pt>
                <c:pt idx="585">
                  <c:v>-61.518551224450981</c:v>
                </c:pt>
                <c:pt idx="586">
                  <c:v>-60.424937363957397</c:v>
                </c:pt>
                <c:pt idx="587">
                  <c:v>-60.697241680545432</c:v>
                </c:pt>
                <c:pt idx="588">
                  <c:v>-61.793855375646473</c:v>
                </c:pt>
                <c:pt idx="589">
                  <c:v>-64.008592656011587</c:v>
                </c:pt>
                <c:pt idx="590">
                  <c:v>-70.090352463491769</c:v>
                </c:pt>
                <c:pt idx="591">
                  <c:v>-76.514493114270721</c:v>
                </c:pt>
                <c:pt idx="592">
                  <c:v>-67.449101769449925</c:v>
                </c:pt>
                <c:pt idx="593">
                  <c:v>-66.791006345059799</c:v>
                </c:pt>
                <c:pt idx="594">
                  <c:v>-68.960524245501546</c:v>
                </c:pt>
                <c:pt idx="595">
                  <c:v>-89.188964152484147</c:v>
                </c:pt>
                <c:pt idx="596">
                  <c:v>-71.023122754078145</c:v>
                </c:pt>
                <c:pt idx="597">
                  <c:v>-70.533955151897231</c:v>
                </c:pt>
                <c:pt idx="598">
                  <c:v>-81.359685622027257</c:v>
                </c:pt>
                <c:pt idx="599">
                  <c:v>-73.075790856236821</c:v>
                </c:pt>
                <c:pt idx="600">
                  <c:v>-74.262605909467339</c:v>
                </c:pt>
              </c:numCache>
            </c:numRef>
          </c:yVal>
          <c:smooth val="0"/>
          <c:extLst>
            <c:ext xmlns:c16="http://schemas.microsoft.com/office/drawing/2014/chart" uri="{C3380CC4-5D6E-409C-BE32-E72D297353CC}">
              <c16:uniqueId val="{00000000-52E8-40C0-BDC9-E7AD10D908CE}"/>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92.782329891254307</c:v>
                </c:pt>
                <c:pt idx="1">
                  <c:v>92.490952667171072</c:v>
                </c:pt>
                <c:pt idx="2">
                  <c:v>92.220612460215008</c:v>
                </c:pt>
                <c:pt idx="3">
                  <c:v>91.969033066176976</c:v>
                </c:pt>
                <c:pt idx="4">
                  <c:v>91.734243026514591</c:v>
                </c:pt>
                <c:pt idx="5">
                  <c:v>91.513878999504684</c:v>
                </c:pt>
                <c:pt idx="6">
                  <c:v>91.306408070393871</c:v>
                </c:pt>
                <c:pt idx="7">
                  <c:v>91.109937448357954</c:v>
                </c:pt>
                <c:pt idx="8">
                  <c:v>90.922947261147627</c:v>
                </c:pt>
                <c:pt idx="9">
                  <c:v>90.743711969175322</c:v>
                </c:pt>
                <c:pt idx="10">
                  <c:v>90.570819269779264</c:v>
                </c:pt>
                <c:pt idx="11">
                  <c:v>90.402778367913498</c:v>
                </c:pt>
                <c:pt idx="12">
                  <c:v>90.238079783776513</c:v>
                </c:pt>
                <c:pt idx="13">
                  <c:v>90.075488177782574</c:v>
                </c:pt>
                <c:pt idx="14">
                  <c:v>89.913497104920964</c:v>
                </c:pt>
                <c:pt idx="15">
                  <c:v>89.750799474953993</c:v>
                </c:pt>
                <c:pt idx="16">
                  <c:v>89.58600773464677</c:v>
                </c:pt>
                <c:pt idx="17">
                  <c:v>89.417755588431831</c:v>
                </c:pt>
                <c:pt idx="18">
                  <c:v>89.244576527085385</c:v>
                </c:pt>
                <c:pt idx="19">
                  <c:v>89.065061010335214</c:v>
                </c:pt>
                <c:pt idx="20">
                  <c:v>88.877667875419519</c:v>
                </c:pt>
                <c:pt idx="21">
                  <c:v>88.680869305714538</c:v>
                </c:pt>
                <c:pt idx="22">
                  <c:v>88.472984501198667</c:v>
                </c:pt>
                <c:pt idx="23">
                  <c:v>88.252343210199257</c:v>
                </c:pt>
                <c:pt idx="24">
                  <c:v>88.017072094122227</c:v>
                </c:pt>
                <c:pt idx="25">
                  <c:v>87.765281901505674</c:v>
                </c:pt>
                <c:pt idx="26">
                  <c:v>87.494868222069741</c:v>
                </c:pt>
                <c:pt idx="27">
                  <c:v>87.203746203293804</c:v>
                </c:pt>
                <c:pt idx="28">
                  <c:v>86.889606376277854</c:v>
                </c:pt>
                <c:pt idx="29">
                  <c:v>86.550226862670172</c:v>
                </c:pt>
                <c:pt idx="30">
                  <c:v>86.18242831980163</c:v>
                </c:pt>
                <c:pt idx="31">
                  <c:v>85.783957876118436</c:v>
                </c:pt>
                <c:pt idx="32">
                  <c:v>85.351663715278264</c:v>
                </c:pt>
                <c:pt idx="33">
                  <c:v>84.882843592190483</c:v>
                </c:pt>
                <c:pt idx="34">
                  <c:v>84.374009088952832</c:v>
                </c:pt>
                <c:pt idx="35">
                  <c:v>83.822227439611297</c:v>
                </c:pt>
                <c:pt idx="36">
                  <c:v>83.224187566072445</c:v>
                </c:pt>
                <c:pt idx="37">
                  <c:v>82.576324167858161</c:v>
                </c:pt>
                <c:pt idx="38">
                  <c:v>81.876164028645647</c:v>
                </c:pt>
                <c:pt idx="39">
                  <c:v>81.120305445017522</c:v>
                </c:pt>
                <c:pt idx="40">
                  <c:v>80.306557457555883</c:v>
                </c:pt>
                <c:pt idx="41">
                  <c:v>79.432986138061338</c:v>
                </c:pt>
                <c:pt idx="42">
                  <c:v>78.498677948063602</c:v>
                </c:pt>
                <c:pt idx="43">
                  <c:v>77.503416090328912</c:v>
                </c:pt>
                <c:pt idx="44">
                  <c:v>76.448949335516687</c:v>
                </c:pt>
                <c:pt idx="45">
                  <c:v>75.338340400117758</c:v>
                </c:pt>
                <c:pt idx="46">
                  <c:v>74.177245209573215</c:v>
                </c:pt>
                <c:pt idx="47">
                  <c:v>72.973361753401662</c:v>
                </c:pt>
                <c:pt idx="48">
                  <c:v>71.737759505095269</c:v>
                </c:pt>
                <c:pt idx="49">
                  <c:v>70.483930709121211</c:v>
                </c:pt>
                <c:pt idx="50">
                  <c:v>69.228961613598301</c:v>
                </c:pt>
                <c:pt idx="51">
                  <c:v>67.992395739128682</c:v>
                </c:pt>
                <c:pt idx="52">
                  <c:v>66.796992845629163</c:v>
                </c:pt>
                <c:pt idx="53">
                  <c:v>65.666903567827774</c:v>
                </c:pt>
                <c:pt idx="54">
                  <c:v>64.627836728489598</c:v>
                </c:pt>
                <c:pt idx="55">
                  <c:v>63.702941428578839</c:v>
                </c:pt>
                <c:pt idx="56">
                  <c:v>62.916939170544552</c:v>
                </c:pt>
                <c:pt idx="57">
                  <c:v>62.289756444823084</c:v>
                </c:pt>
                <c:pt idx="58">
                  <c:v>61.838195336784636</c:v>
                </c:pt>
                <c:pt idx="59">
                  <c:v>61.573171441216914</c:v>
                </c:pt>
                <c:pt idx="60">
                  <c:v>61.500305533568138</c:v>
                </c:pt>
                <c:pt idx="61">
                  <c:v>61.618711718374925</c:v>
                </c:pt>
                <c:pt idx="62">
                  <c:v>61.921546611450282</c:v>
                </c:pt>
                <c:pt idx="63">
                  <c:v>62.395661751810934</c:v>
                </c:pt>
                <c:pt idx="64">
                  <c:v>63.023438564621259</c:v>
                </c:pt>
                <c:pt idx="65">
                  <c:v>63.782671645079873</c:v>
                </c:pt>
                <c:pt idx="66">
                  <c:v>64.648542139824741</c:v>
                </c:pt>
                <c:pt idx="67">
                  <c:v>65.594503080876294</c:v>
                </c:pt>
                <c:pt idx="68">
                  <c:v>66.594151583697879</c:v>
                </c:pt>
                <c:pt idx="69">
                  <c:v>67.621407194493855</c:v>
                </c:pt>
                <c:pt idx="70">
                  <c:v>68.652432968725051</c:v>
                </c:pt>
                <c:pt idx="71">
                  <c:v>69.665411624526399</c:v>
                </c:pt>
                <c:pt idx="72">
                  <c:v>70.641759947277777</c:v>
                </c:pt>
                <c:pt idx="73">
                  <c:v>71.565379953138333</c:v>
                </c:pt>
                <c:pt idx="74">
                  <c:v>72.423506566008058</c:v>
                </c:pt>
                <c:pt idx="75">
                  <c:v>73.205622547046914</c:v>
                </c:pt>
                <c:pt idx="76">
                  <c:v>73.903805366997048</c:v>
                </c:pt>
                <c:pt idx="77">
                  <c:v>74.511648162940958</c:v>
                </c:pt>
                <c:pt idx="78">
                  <c:v>75.024543641169387</c:v>
                </c:pt>
                <c:pt idx="79">
                  <c:v>75.438766597737924</c:v>
                </c:pt>
                <c:pt idx="80">
                  <c:v>75.752239941113004</c:v>
                </c:pt>
                <c:pt idx="81">
                  <c:v>75.962182425747812</c:v>
                </c:pt>
                <c:pt idx="82">
                  <c:v>76.06671706875629</c:v>
                </c:pt>
                <c:pt idx="83">
                  <c:v>76.063750164313888</c:v>
                </c:pt>
                <c:pt idx="84">
                  <c:v>75.951059343820447</c:v>
                </c:pt>
                <c:pt idx="85">
                  <c:v>75.726112966701137</c:v>
                </c:pt>
                <c:pt idx="86">
                  <c:v>75.385887432209458</c:v>
                </c:pt>
                <c:pt idx="87">
                  <c:v>74.926529026350309</c:v>
                </c:pt>
                <c:pt idx="88">
                  <c:v>74.344241576642901</c:v>
                </c:pt>
                <c:pt idx="89">
                  <c:v>73.633653395626183</c:v>
                </c:pt>
                <c:pt idx="90">
                  <c:v>72.789314209313858</c:v>
                </c:pt>
                <c:pt idx="91">
                  <c:v>71.804728685724029</c:v>
                </c:pt>
                <c:pt idx="92">
                  <c:v>70.672857131988522</c:v>
                </c:pt>
                <c:pt idx="93">
                  <c:v>69.385405497177757</c:v>
                </c:pt>
                <c:pt idx="94">
                  <c:v>69.038402945278889</c:v>
                </c:pt>
                <c:pt idx="95">
                  <c:v>68.859909781873128</c:v>
                </c:pt>
                <c:pt idx="96">
                  <c:v>68.680858432666099</c:v>
                </c:pt>
                <c:pt idx="97">
                  <c:v>68.497104092424593</c:v>
                </c:pt>
                <c:pt idx="98">
                  <c:v>68.312815918434012</c:v>
                </c:pt>
                <c:pt idx="99">
                  <c:v>68.12368072991228</c:v>
                </c:pt>
                <c:pt idx="100">
                  <c:v>67.934036064043113</c:v>
                </c:pt>
                <c:pt idx="101">
                  <c:v>67.739545825736784</c:v>
                </c:pt>
                <c:pt idx="102">
                  <c:v>67.544571292405791</c:v>
                </c:pt>
                <c:pt idx="103">
                  <c:v>67.344463019162816</c:v>
                </c:pt>
                <c:pt idx="104">
                  <c:v>67.143895071230887</c:v>
                </c:pt>
                <c:pt idx="105">
                  <c:v>66.938197038846965</c:v>
                </c:pt>
                <c:pt idx="106">
                  <c:v>66.732064891666269</c:v>
                </c:pt>
                <c:pt idx="107">
                  <c:v>66.520808866760987</c:v>
                </c:pt>
                <c:pt idx="108">
                  <c:v>66.309145144364194</c:v>
                </c:pt>
                <c:pt idx="109">
                  <c:v>66.092218386604372</c:v>
                </c:pt>
                <c:pt idx="110">
                  <c:v>65.874910627746914</c:v>
                </c:pt>
                <c:pt idx="111">
                  <c:v>65.652053244642289</c:v>
                </c:pt>
                <c:pt idx="112">
                  <c:v>65.428841482841634</c:v>
                </c:pt>
                <c:pt idx="113">
                  <c:v>65.200090738754042</c:v>
                </c:pt>
                <c:pt idx="114">
                  <c:v>64.971013250604045</c:v>
                </c:pt>
                <c:pt idx="115">
                  <c:v>64.736260882651848</c:v>
                </c:pt>
                <c:pt idx="116">
                  <c:v>64.501209978375599</c:v>
                </c:pt>
                <c:pt idx="117">
                  <c:v>64.260349751170878</c:v>
                </c:pt>
                <c:pt idx="118">
                  <c:v>64.019219859757342</c:v>
                </c:pt>
                <c:pt idx="119">
                  <c:v>63.772297660170764</c:v>
                </c:pt>
                <c:pt idx="120">
                  <c:v>63.525135699365805</c:v>
                </c:pt>
                <c:pt idx="121">
                  <c:v>63.272050977243708</c:v>
                </c:pt>
                <c:pt idx="122">
                  <c:v>63.018757125585594</c:v>
                </c:pt>
                <c:pt idx="123">
                  <c:v>62.759261611065924</c:v>
                </c:pt>
                <c:pt idx="124">
                  <c:v>62.499588220351455</c:v>
                </c:pt>
                <c:pt idx="125">
                  <c:v>62.233736765922743</c:v>
                </c:pt>
                <c:pt idx="126">
                  <c:v>61.967739846917524</c:v>
                </c:pt>
                <c:pt idx="127">
                  <c:v>61.695440601662597</c:v>
                </c:pt>
                <c:pt idx="128">
                  <c:v>61.423029283604635</c:v>
                </c:pt>
                <c:pt idx="129">
                  <c:v>61.144193775942924</c:v>
                </c:pt>
                <c:pt idx="130">
                  <c:v>60.865280646887001</c:v>
                </c:pt>
                <c:pt idx="131">
                  <c:v>60.579824038010855</c:v>
                </c:pt>
                <c:pt idx="132">
                  <c:v>60.437078786074608</c:v>
                </c:pt>
                <c:pt idx="133">
                  <c:v>60.294325395847707</c:v>
                </c:pt>
                <c:pt idx="134">
                  <c:v>60.148172484034205</c:v>
                </c:pt>
                <c:pt idx="135">
                  <c:v>60.002015895024229</c:v>
                </c:pt>
                <c:pt idx="136">
                  <c:v>59.855858010503198</c:v>
                </c:pt>
                <c:pt idx="137">
                  <c:v>59.709701164683807</c:v>
                </c:pt>
                <c:pt idx="138">
                  <c:v>59.560229458864868</c:v>
                </c:pt>
                <c:pt idx="139">
                  <c:v>59.410763631027734</c:v>
                </c:pt>
                <c:pt idx="140">
                  <c:v>59.2613060319254</c:v>
                </c:pt>
                <c:pt idx="141">
                  <c:v>59.111858965620698</c:v>
                </c:pt>
                <c:pt idx="142">
                  <c:v>58.958881266340356</c:v>
                </c:pt>
                <c:pt idx="143">
                  <c:v>58.80591934714549</c:v>
                </c:pt>
                <c:pt idx="144">
                  <c:v>58.65297553569836</c:v>
                </c:pt>
                <c:pt idx="145">
                  <c:v>58.500052113522656</c:v>
                </c:pt>
                <c:pt idx="146">
                  <c:v>58.343609790497382</c:v>
                </c:pt>
                <c:pt idx="147">
                  <c:v>58.187193501698758</c:v>
                </c:pt>
                <c:pt idx="148">
                  <c:v>58.030805548583686</c:v>
                </c:pt>
                <c:pt idx="149">
                  <c:v>57.874448187075842</c:v>
                </c:pt>
                <c:pt idx="150">
                  <c:v>57.714509593451879</c:v>
                </c:pt>
                <c:pt idx="151">
                  <c:v>57.554607658970539</c:v>
                </c:pt>
                <c:pt idx="152">
                  <c:v>57.394744659186799</c:v>
                </c:pt>
                <c:pt idx="153">
                  <c:v>57.234922824685398</c:v>
                </c:pt>
                <c:pt idx="154">
                  <c:v>57.071383618292671</c:v>
                </c:pt>
                <c:pt idx="155">
                  <c:v>56.907892127356135</c:v>
                </c:pt>
                <c:pt idx="156">
                  <c:v>56.744450604699551</c:v>
                </c:pt>
                <c:pt idx="157">
                  <c:v>56.581061258616202</c:v>
                </c:pt>
                <c:pt idx="158">
                  <c:v>56.413895237669323</c:v>
                </c:pt>
                <c:pt idx="159">
                  <c:v>56.246788412456482</c:v>
                </c:pt>
                <c:pt idx="160">
                  <c:v>56.079743012662718</c:v>
                </c:pt>
                <c:pt idx="161">
                  <c:v>55.912761223846061</c:v>
                </c:pt>
                <c:pt idx="162">
                  <c:v>55.742020035489986</c:v>
                </c:pt>
                <c:pt idx="163">
                  <c:v>55.571349897179644</c:v>
                </c:pt>
                <c:pt idx="164">
                  <c:v>55.400753011963616</c:v>
                </c:pt>
                <c:pt idx="165">
                  <c:v>55.230231539207452</c:v>
                </c:pt>
                <c:pt idx="166">
                  <c:v>55.05574462944908</c:v>
                </c:pt>
                <c:pt idx="167">
                  <c:v>54.881341197183559</c:v>
                </c:pt>
                <c:pt idx="168">
                  <c:v>54.707023423803108</c:v>
                </c:pt>
                <c:pt idx="169">
                  <c:v>54.532793447270848</c:v>
                </c:pt>
                <c:pt idx="170">
                  <c:v>54.354917451954904</c:v>
                </c:pt>
                <c:pt idx="171">
                  <c:v>54.177137437248675</c:v>
                </c:pt>
                <c:pt idx="172">
                  <c:v>53.99945554812389</c:v>
                </c:pt>
                <c:pt idx="173">
                  <c:v>53.821873886701496</c:v>
                </c:pt>
                <c:pt idx="174">
                  <c:v>53.639921582913971</c:v>
                </c:pt>
                <c:pt idx="175">
                  <c:v>53.45807896487878</c:v>
                </c:pt>
                <c:pt idx="176">
                  <c:v>53.276348164130056</c:v>
                </c:pt>
                <c:pt idx="177">
                  <c:v>53.094731269243781</c:v>
                </c:pt>
                <c:pt idx="178">
                  <c:v>52.908768666768339</c:v>
                </c:pt>
                <c:pt idx="179">
                  <c:v>52.722929946097622</c:v>
                </c:pt>
                <c:pt idx="180">
                  <c:v>52.537217219965939</c:v>
                </c:pt>
                <c:pt idx="181">
                  <c:v>52.351632558097222</c:v>
                </c:pt>
                <c:pt idx="182">
                  <c:v>52.162470237466877</c:v>
                </c:pt>
                <c:pt idx="183">
                  <c:v>51.973445372267747</c:v>
                </c:pt>
                <c:pt idx="184">
                  <c:v>51.78456002700878</c:v>
                </c:pt>
                <c:pt idx="185">
                  <c:v>51.595816223843201</c:v>
                </c:pt>
                <c:pt idx="186">
                  <c:v>51.402040723531172</c:v>
                </c:pt>
                <c:pt idx="187">
                  <c:v>51.208418837699185</c:v>
                </c:pt>
                <c:pt idx="188">
                  <c:v>51.014952626306012</c:v>
                </c:pt>
                <c:pt idx="189">
                  <c:v>50.82164410631168</c:v>
                </c:pt>
                <c:pt idx="190">
                  <c:v>50.624810771163624</c:v>
                </c:pt>
                <c:pt idx="191">
                  <c:v>50.428145300818841</c:v>
                </c:pt>
                <c:pt idx="192">
                  <c:v>50.231649698309042</c:v>
                </c:pt>
                <c:pt idx="193">
                  <c:v>50.035325924361644</c:v>
                </c:pt>
                <c:pt idx="194">
                  <c:v>49.834035742769629</c:v>
                </c:pt>
                <c:pt idx="195">
                  <c:v>49.632930568788936</c:v>
                </c:pt>
                <c:pt idx="196">
                  <c:v>49.4320123886462</c:v>
                </c:pt>
                <c:pt idx="197">
                  <c:v>49.231283145710535</c:v>
                </c:pt>
                <c:pt idx="198">
                  <c:v>49.026355538859178</c:v>
                </c:pt>
                <c:pt idx="199">
                  <c:v>48.821629204849188</c:v>
                </c:pt>
                <c:pt idx="200">
                  <c:v>48.617106084897955</c:v>
                </c:pt>
                <c:pt idx="201">
                  <c:v>48.412788077479348</c:v>
                </c:pt>
                <c:pt idx="202">
                  <c:v>48.20430550980268</c:v>
                </c:pt>
                <c:pt idx="203">
                  <c:v>47.996040810857352</c:v>
                </c:pt>
                <c:pt idx="204">
                  <c:v>47.7879958716332</c:v>
                </c:pt>
                <c:pt idx="205">
                  <c:v>47.58017254050867</c:v>
                </c:pt>
                <c:pt idx="206">
                  <c:v>47.367494323371432</c:v>
                </c:pt>
                <c:pt idx="207">
                  <c:v>47.155052489273373</c:v>
                </c:pt>
                <c:pt idx="208">
                  <c:v>46.942848892440963</c:v>
                </c:pt>
                <c:pt idx="209">
                  <c:v>46.730885344059828</c:v>
                </c:pt>
                <c:pt idx="210">
                  <c:v>46.513386222943495</c:v>
                </c:pt>
                <c:pt idx="211">
                  <c:v>46.296144177105049</c:v>
                </c:pt>
                <c:pt idx="212">
                  <c:v>46.079161034238496</c:v>
                </c:pt>
                <c:pt idx="213">
                  <c:v>45.862438578040269</c:v>
                </c:pt>
                <c:pt idx="214">
                  <c:v>45.641666410670211</c:v>
                </c:pt>
                <c:pt idx="215">
                  <c:v>45.421169038560407</c:v>
                </c:pt>
                <c:pt idx="216">
                  <c:v>45.200948218657089</c:v>
                </c:pt>
                <c:pt idx="217">
                  <c:v>44.98100566416494</c:v>
                </c:pt>
                <c:pt idx="218">
                  <c:v>44.756337728643956</c:v>
                </c:pt>
                <c:pt idx="219">
                  <c:v>44.531964381939332</c:v>
                </c:pt>
                <c:pt idx="220">
                  <c:v>44.307887320959367</c:v>
                </c:pt>
                <c:pt idx="221">
                  <c:v>44.084108198586648</c:v>
                </c:pt>
                <c:pt idx="222">
                  <c:v>43.855650021330177</c:v>
                </c:pt>
                <c:pt idx="223">
                  <c:v>43.627506571015516</c:v>
                </c:pt>
                <c:pt idx="224">
                  <c:v>43.399679476667444</c:v>
                </c:pt>
                <c:pt idx="225">
                  <c:v>43.172170323049698</c:v>
                </c:pt>
                <c:pt idx="226">
                  <c:v>42.939322696989592</c:v>
                </c:pt>
                <c:pt idx="227">
                  <c:v>42.706812288894611</c:v>
                </c:pt>
                <c:pt idx="228">
                  <c:v>42.474640666087311</c:v>
                </c:pt>
                <c:pt idx="229">
                  <c:v>42.242809350905986</c:v>
                </c:pt>
                <c:pt idx="230">
                  <c:v>41.768941131535229</c:v>
                </c:pt>
                <c:pt idx="231">
                  <c:v>41.532548744113058</c:v>
                </c:pt>
                <c:pt idx="232">
                  <c:v>41.296519452840897</c:v>
                </c:pt>
                <c:pt idx="233">
                  <c:v>41.055264686567</c:v>
                </c:pt>
                <c:pt idx="234">
                  <c:v>40.814393391975358</c:v>
                </c:pt>
                <c:pt idx="235">
                  <c:v>40.573906981678846</c:v>
                </c:pt>
                <c:pt idx="236">
                  <c:v>40.333806822103384</c:v>
                </c:pt>
                <c:pt idx="237">
                  <c:v>40.089234521394303</c:v>
                </c:pt>
                <c:pt idx="238">
                  <c:v>39.845067035180477</c:v>
                </c:pt>
                <c:pt idx="239">
                  <c:v>39.601305672029355</c:v>
                </c:pt>
                <c:pt idx="240">
                  <c:v>39.357951694372417</c:v>
                </c:pt>
                <c:pt idx="241">
                  <c:v>39.108800015562593</c:v>
                </c:pt>
                <c:pt idx="242">
                  <c:v>38.860079365445586</c:v>
                </c:pt>
                <c:pt idx="243">
                  <c:v>38.611790960609738</c:v>
                </c:pt>
                <c:pt idx="244">
                  <c:v>38.36393597060237</c:v>
                </c:pt>
                <c:pt idx="245">
                  <c:v>38.111037447021602</c:v>
                </c:pt>
                <c:pt idx="246">
                  <c:v>37.858594085314962</c:v>
                </c:pt>
                <c:pt idx="247">
                  <c:v>37.606606988239605</c:v>
                </c:pt>
                <c:pt idx="248">
                  <c:v>37.355077211240314</c:v>
                </c:pt>
                <c:pt idx="249">
                  <c:v>37.097887803481655</c:v>
                </c:pt>
                <c:pt idx="250">
                  <c:v>36.841180390208393</c:v>
                </c:pt>
                <c:pt idx="251">
                  <c:v>36.58495595778075</c:v>
                </c:pt>
                <c:pt idx="252">
                  <c:v>36.329215444585685</c:v>
                </c:pt>
                <c:pt idx="253">
                  <c:v>36.068562750012916</c:v>
                </c:pt>
                <c:pt idx="254">
                  <c:v>35.808416503815295</c:v>
                </c:pt>
                <c:pt idx="255">
                  <c:v>35.54877755665845</c:v>
                </c:pt>
                <c:pt idx="256">
                  <c:v>35.289646711213152</c:v>
                </c:pt>
                <c:pt idx="257">
                  <c:v>35.02433144029078</c:v>
                </c:pt>
                <c:pt idx="258">
                  <c:v>34.759552499330937</c:v>
                </c:pt>
                <c:pt idx="259">
                  <c:v>34.495310604022904</c:v>
                </c:pt>
                <c:pt idx="260">
                  <c:v>34.231606421196489</c:v>
                </c:pt>
                <c:pt idx="261">
                  <c:v>33.962465788782055</c:v>
                </c:pt>
                <c:pt idx="262">
                  <c:v>33.693888846859352</c:v>
                </c:pt>
                <c:pt idx="263">
                  <c:v>33.425876156821914</c:v>
                </c:pt>
                <c:pt idx="264">
                  <c:v>33.158428231009253</c:v>
                </c:pt>
                <c:pt idx="265">
                  <c:v>32.885621230315337</c:v>
                </c:pt>
                <c:pt idx="266">
                  <c:v>32.61340530365905</c:v>
                </c:pt>
                <c:pt idx="267">
                  <c:v>32.341780846136771</c:v>
                </c:pt>
                <c:pt idx="268">
                  <c:v>32.070748203773491</c:v>
                </c:pt>
                <c:pt idx="269">
                  <c:v>31.793782620712022</c:v>
                </c:pt>
                <c:pt idx="270">
                  <c:v>31.517438369723578</c:v>
                </c:pt>
                <c:pt idx="271">
                  <c:v>31.241715669435536</c:v>
                </c:pt>
                <c:pt idx="272">
                  <c:v>30.966614689113925</c:v>
                </c:pt>
                <c:pt idx="273">
                  <c:v>30.685669491836137</c:v>
                </c:pt>
                <c:pt idx="274">
                  <c:v>30.405375891966855</c:v>
                </c:pt>
                <c:pt idx="275">
                  <c:v>30.125733917524968</c:v>
                </c:pt>
                <c:pt idx="276">
                  <c:v>29.846743547105888</c:v>
                </c:pt>
                <c:pt idx="277">
                  <c:v>29.562639602389794</c:v>
                </c:pt>
                <c:pt idx="278">
                  <c:v>29.279214369400336</c:v>
                </c:pt>
                <c:pt idx="279">
                  <c:v>28.996467673362673</c:v>
                </c:pt>
                <c:pt idx="280">
                  <c:v>28.714399290694843</c:v>
                </c:pt>
                <c:pt idx="281">
                  <c:v>28.425396067752558</c:v>
                </c:pt>
                <c:pt idx="282">
                  <c:v>28.137107772969017</c:v>
                </c:pt>
                <c:pt idx="283">
                  <c:v>27.849534010913885</c:v>
                </c:pt>
                <c:pt idx="284">
                  <c:v>27.562674336905218</c:v>
                </c:pt>
                <c:pt idx="285">
                  <c:v>27.270875419447947</c:v>
                </c:pt>
                <c:pt idx="286">
                  <c:v>26.979818033801166</c:v>
                </c:pt>
                <c:pt idx="287">
                  <c:v>26.68950155788383</c:v>
                </c:pt>
                <c:pt idx="288">
                  <c:v>26.39992532148986</c:v>
                </c:pt>
                <c:pt idx="289">
                  <c:v>26.103628495868719</c:v>
                </c:pt>
                <c:pt idx="290">
                  <c:v>25.808109114102791</c:v>
                </c:pt>
                <c:pt idx="291">
                  <c:v>25.513366302780327</c:v>
                </c:pt>
                <c:pt idx="292">
                  <c:v>25.219399140528822</c:v>
                </c:pt>
                <c:pt idx="293">
                  <c:v>24.919440352804259</c:v>
                </c:pt>
                <c:pt idx="294">
                  <c:v>24.620291378280058</c:v>
                </c:pt>
                <c:pt idx="295">
                  <c:v>24.321951082629425</c:v>
                </c:pt>
                <c:pt idx="296">
                  <c:v>24.024418284467941</c:v>
                </c:pt>
                <c:pt idx="297">
                  <c:v>23.720998816345201</c:v>
                </c:pt>
                <c:pt idx="298">
                  <c:v>23.418421092412274</c:v>
                </c:pt>
                <c:pt idx="299">
                  <c:v>23.116683705230315</c:v>
                </c:pt>
                <c:pt idx="300">
                  <c:v>22.815785201528428</c:v>
                </c:pt>
                <c:pt idx="301">
                  <c:v>22.509105668398064</c:v>
                </c:pt>
                <c:pt idx="302">
                  <c:v>22.203299276515423</c:v>
                </c:pt>
                <c:pt idx="303">
                  <c:v>21.898364334391886</c:v>
                </c:pt>
                <c:pt idx="304">
                  <c:v>21.594299106257807</c:v>
                </c:pt>
                <c:pt idx="305">
                  <c:v>21.283369421904183</c:v>
                </c:pt>
                <c:pt idx="306">
                  <c:v>20.973350609572634</c:v>
                </c:pt>
                <c:pt idx="307">
                  <c:v>20.664240660892034</c:v>
                </c:pt>
                <c:pt idx="308">
                  <c:v>20.356037524439131</c:v>
                </c:pt>
                <c:pt idx="309">
                  <c:v>20.042273187975667</c:v>
                </c:pt>
                <c:pt idx="310">
                  <c:v>19.729449830738361</c:v>
                </c:pt>
                <c:pt idx="311">
                  <c:v>19.417565139000288</c:v>
                </c:pt>
                <c:pt idx="312">
                  <c:v>19.106616758244542</c:v>
                </c:pt>
                <c:pt idx="313">
                  <c:v>18.789052612807069</c:v>
                </c:pt>
                <c:pt idx="314">
                  <c:v>18.472465882178824</c:v>
                </c:pt>
                <c:pt idx="315">
                  <c:v>18.156853911454021</c:v>
                </c:pt>
                <c:pt idx="316">
                  <c:v>17.842214006956965</c:v>
                </c:pt>
                <c:pt idx="317">
                  <c:v>17.521086882598041</c:v>
                </c:pt>
                <c:pt idx="318">
                  <c:v>17.200972831984416</c:v>
                </c:pt>
                <c:pt idx="319">
                  <c:v>16.88186884758062</c:v>
                </c:pt>
                <c:pt idx="320">
                  <c:v>16.563771885522385</c:v>
                </c:pt>
                <c:pt idx="321">
                  <c:v>16.239316531199222</c:v>
                </c:pt>
                <c:pt idx="322">
                  <c:v>15.915909023692194</c:v>
                </c:pt>
                <c:pt idx="323">
                  <c:v>15.593545993275029</c:v>
                </c:pt>
                <c:pt idx="324">
                  <c:v>15.272224036744404</c:v>
                </c:pt>
                <c:pt idx="325">
                  <c:v>14.944672562118342</c:v>
                </c:pt>
                <c:pt idx="326">
                  <c:v>14.618202719706204</c:v>
                </c:pt>
                <c:pt idx="327">
                  <c:v>14.292810769985948</c:v>
                </c:pt>
                <c:pt idx="328">
                  <c:v>13.968492943209668</c:v>
                </c:pt>
                <c:pt idx="329">
                  <c:v>13.637522685483901</c:v>
                </c:pt>
                <c:pt idx="330">
                  <c:v>13.307670486998603</c:v>
                </c:pt>
                <c:pt idx="331">
                  <c:v>12.978932212086761</c:v>
                </c:pt>
                <c:pt idx="332">
                  <c:v>12.65130369830888</c:v>
                </c:pt>
                <c:pt idx="333">
                  <c:v>12.317706509462994</c:v>
                </c:pt>
                <c:pt idx="334">
                  <c:v>11.985258910955707</c:v>
                </c:pt>
                <c:pt idx="335">
                  <c:v>11.653956386564772</c:v>
                </c:pt>
                <c:pt idx="336">
                  <c:v>11.323794397315339</c:v>
                </c:pt>
                <c:pt idx="337">
                  <c:v>10.986718243594396</c:v>
                </c:pt>
                <c:pt idx="338">
                  <c:v>10.650829506841319</c:v>
                </c:pt>
                <c:pt idx="339">
                  <c:v>10.316123241536786</c:v>
                </c:pt>
                <c:pt idx="340">
                  <c:v>9.9825944835253893</c:v>
                </c:pt>
                <c:pt idx="341">
                  <c:v>9.6423014652016832</c:v>
                </c:pt>
                <c:pt idx="342">
                  <c:v>9.3032323811997628</c:v>
                </c:pt>
                <c:pt idx="343">
                  <c:v>8.9653818514736656</c:v>
                </c:pt>
                <c:pt idx="344">
                  <c:v>8.6287444818904362</c:v>
                </c:pt>
                <c:pt idx="345">
                  <c:v>8.2860136163539835</c:v>
                </c:pt>
                <c:pt idx="346">
                  <c:v>7.9445379729170327</c:v>
                </c:pt>
                <c:pt idx="347">
                  <c:v>7.6043117607727027</c:v>
                </c:pt>
                <c:pt idx="348">
                  <c:v>7.2653291800258728</c:v>
                </c:pt>
                <c:pt idx="349">
                  <c:v>6.9193621607479088</c:v>
                </c:pt>
                <c:pt idx="350">
                  <c:v>6.5746878336556449</c:v>
                </c:pt>
                <c:pt idx="351">
                  <c:v>6.2312999437542089</c:v>
                </c:pt>
                <c:pt idx="352">
                  <c:v>5.889192232206824</c:v>
                </c:pt>
                <c:pt idx="353">
                  <c:v>5.5402588226947387</c:v>
                </c:pt>
                <c:pt idx="354">
                  <c:v>5.1926539948457275</c:v>
                </c:pt>
                <c:pt idx="355">
                  <c:v>4.8463710286834498</c:v>
                </c:pt>
                <c:pt idx="356">
                  <c:v>4.5014032060207683</c:v>
                </c:pt>
                <c:pt idx="357">
                  <c:v>4.1502657618267733</c:v>
                </c:pt>
                <c:pt idx="358">
                  <c:v>3.8004872626640633</c:v>
                </c:pt>
                <c:pt idx="359">
                  <c:v>3.4520605558815305</c:v>
                </c:pt>
                <c:pt idx="360">
                  <c:v>3.1049784965412357</c:v>
                </c:pt>
                <c:pt idx="361">
                  <c:v>2.750889630936399</c:v>
                </c:pt>
                <c:pt idx="362">
                  <c:v>2.3981960916657385</c:v>
                </c:pt>
                <c:pt idx="363">
                  <c:v>2.0468902364284247</c:v>
                </c:pt>
                <c:pt idx="364">
                  <c:v>1.6969644369331434</c:v>
                </c:pt>
                <c:pt idx="365">
                  <c:v>1.3406809800496546</c:v>
                </c:pt>
                <c:pt idx="366">
                  <c:v>0.98582352703073184</c:v>
                </c:pt>
                <c:pt idx="367">
                  <c:v>0.63238398302434007</c:v>
                </c:pt>
                <c:pt idx="368">
                  <c:v>0.28035427367467491</c:v>
                </c:pt>
                <c:pt idx="369">
                  <c:v>-7.8831300589740749E-2</c:v>
                </c:pt>
                <c:pt idx="370">
                  <c:v>-0.43655432218676538</c:v>
                </c:pt>
                <c:pt idx="371">
                  <c:v>-0.79282339807065227</c:v>
                </c:pt>
                <c:pt idx="372">
                  <c:v>-1.1476471077439498</c:v>
                </c:pt>
                <c:pt idx="373">
                  <c:v>-1.5089851147575075</c:v>
                </c:pt>
                <c:pt idx="374">
                  <c:v>-1.8688298964158889</c:v>
                </c:pt>
                <c:pt idx="375">
                  <c:v>-2.2271905297630212</c:v>
                </c:pt>
                <c:pt idx="376">
                  <c:v>-2.58407605735934</c:v>
                </c:pt>
                <c:pt idx="377">
                  <c:v>-2.9482357677127879</c:v>
                </c:pt>
                <c:pt idx="378">
                  <c:v>-3.3108658796874124</c:v>
                </c:pt>
                <c:pt idx="379">
                  <c:v>-3.6719760020286856</c:v>
                </c:pt>
                <c:pt idx="380">
                  <c:v>-4.0315757014179496</c:v>
                </c:pt>
                <c:pt idx="381">
                  <c:v>-4.3973639990034314</c:v>
                </c:pt>
                <c:pt idx="382">
                  <c:v>-4.761596211230767</c:v>
                </c:pt>
                <c:pt idx="383">
                  <c:v>-5.1242823942686471</c:v>
                </c:pt>
                <c:pt idx="384">
                  <c:v>-5.4854325549390239</c:v>
                </c:pt>
                <c:pt idx="385">
                  <c:v>-5.85394997293335</c:v>
                </c:pt>
                <c:pt idx="386">
                  <c:v>-6.2208754064496361</c:v>
                </c:pt>
                <c:pt idx="387">
                  <c:v>-6.5862194588419527</c:v>
                </c:pt>
                <c:pt idx="388">
                  <c:v>-6.9499926760081507</c:v>
                </c:pt>
                <c:pt idx="389">
                  <c:v>-7.3205089908653918</c:v>
                </c:pt>
                <c:pt idx="390">
                  <c:v>-7.6894036015971494</c:v>
                </c:pt>
                <c:pt idx="391">
                  <c:v>-8.0566876072294065</c:v>
                </c:pt>
                <c:pt idx="392">
                  <c:v>-8.4223720414038894</c:v>
                </c:pt>
                <c:pt idx="393">
                  <c:v>-8.7946268099471183</c:v>
                </c:pt>
                <c:pt idx="394">
                  <c:v>-9.1652324693086484</c:v>
                </c:pt>
                <c:pt idx="395">
                  <c:v>-9.5342005983422382</c:v>
                </c:pt>
                <c:pt idx="396">
                  <c:v>-9.9015427025989311</c:v>
                </c:pt>
                <c:pt idx="397">
                  <c:v>-10.276129168311058</c:v>
                </c:pt>
                <c:pt idx="398">
                  <c:v>-10.649033897273057</c:v>
                </c:pt>
                <c:pt idx="399">
                  <c:v>-11.020269012312411</c:v>
                </c:pt>
                <c:pt idx="400">
                  <c:v>-11.389846554370422</c:v>
                </c:pt>
                <c:pt idx="401">
                  <c:v>-11.766065043230043</c:v>
                </c:pt>
                <c:pt idx="402">
                  <c:v>-12.140575483287506</c:v>
                </c:pt>
                <c:pt idx="403">
                  <c:v>-12.513390482809825</c:v>
                </c:pt>
                <c:pt idx="404">
                  <c:v>-12.884522560015171</c:v>
                </c:pt>
                <c:pt idx="405">
                  <c:v>-13.262528112202148</c:v>
                </c:pt>
                <c:pt idx="406">
                  <c:v>-13.638798047228505</c:v>
                </c:pt>
                <c:pt idx="407">
                  <c:v>-14.013345481467724</c:v>
                </c:pt>
                <c:pt idx="408">
                  <c:v>-14.386183432799697</c:v>
                </c:pt>
                <c:pt idx="409">
                  <c:v>-14.76611241841249</c:v>
                </c:pt>
                <c:pt idx="410">
                  <c:v>-15.144277112252212</c:v>
                </c:pt>
                <c:pt idx="411">
                  <c:v>-15.520691161621016</c:v>
                </c:pt>
                <c:pt idx="412">
                  <c:v>-15.895368106583248</c:v>
                </c:pt>
                <c:pt idx="413">
                  <c:v>-16.276946958218645</c:v>
                </c:pt>
                <c:pt idx="414">
                  <c:v>-16.656735568314787</c:v>
                </c:pt>
                <c:pt idx="415">
                  <c:v>-17.034748094358065</c:v>
                </c:pt>
                <c:pt idx="416">
                  <c:v>-17.41099857801774</c:v>
                </c:pt>
                <c:pt idx="417">
                  <c:v>-17.794350672585352</c:v>
                </c:pt>
                <c:pt idx="418">
                  <c:v>-18.17588566994894</c:v>
                </c:pt>
                <c:pt idx="419">
                  <c:v>-18.555618259824882</c:v>
                </c:pt>
                <c:pt idx="420">
                  <c:v>-18.933563007258527</c:v>
                </c:pt>
                <c:pt idx="421">
                  <c:v>-19.318040127157957</c:v>
                </c:pt>
                <c:pt idx="422">
                  <c:v>-19.700679764130172</c:v>
                </c:pt>
                <c:pt idx="423">
                  <c:v>-20.081497072823595</c:v>
                </c:pt>
                <c:pt idx="424">
                  <c:v>-20.46050707511904</c:v>
                </c:pt>
                <c:pt idx="425">
                  <c:v>-20.846984120653616</c:v>
                </c:pt>
                <c:pt idx="426">
                  <c:v>-21.231595328388011</c:v>
                </c:pt>
                <c:pt idx="427">
                  <c:v>-21.614356428949804</c:v>
                </c:pt>
                <c:pt idx="428">
                  <c:v>-21.995283010803973</c:v>
                </c:pt>
                <c:pt idx="429">
                  <c:v>-22.38310942159751</c:v>
                </c:pt>
                <c:pt idx="430">
                  <c:v>-22.769048306248095</c:v>
                </c:pt>
                <c:pt idx="431">
                  <c:v>-23.153115901827505</c:v>
                </c:pt>
                <c:pt idx="432">
                  <c:v>-23.535328294683524</c:v>
                </c:pt>
                <c:pt idx="433">
                  <c:v>-23.924252142298485</c:v>
                </c:pt>
                <c:pt idx="434">
                  <c:v>-24.311269771704275</c:v>
                </c:pt>
                <c:pt idx="435">
                  <c:v>-24.696397901180973</c:v>
                </c:pt>
                <c:pt idx="436">
                  <c:v>-25.079653090078125</c:v>
                </c:pt>
                <c:pt idx="437">
                  <c:v>-25.470135119469091</c:v>
                </c:pt>
                <c:pt idx="438">
                  <c:v>-25.858688336778329</c:v>
                </c:pt>
                <c:pt idx="439">
                  <c:v>-26.245330008009091</c:v>
                </c:pt>
                <c:pt idx="440">
                  <c:v>-26.630077231224647</c:v>
                </c:pt>
                <c:pt idx="441">
                  <c:v>-27.021852576218379</c:v>
                </c:pt>
                <c:pt idx="442">
                  <c:v>-27.411679787982678</c:v>
                </c:pt>
                <c:pt idx="443">
                  <c:v>-27.799576653846998</c:v>
                </c:pt>
                <c:pt idx="444">
                  <c:v>-28.185560784578541</c:v>
                </c:pt>
                <c:pt idx="445">
                  <c:v>-28.578379909406237</c:v>
                </c:pt>
                <c:pt idx="446">
                  <c:v>-28.969234842478755</c:v>
                </c:pt>
                <c:pt idx="447">
                  <c:v>-29.358143865455531</c:v>
                </c:pt>
                <c:pt idx="448">
                  <c:v>-29.745125075234938</c:v>
                </c:pt>
                <c:pt idx="449">
                  <c:v>-30.139412143158467</c:v>
                </c:pt>
                <c:pt idx="450">
                  <c:v>-30.531715601696959</c:v>
                </c:pt>
                <c:pt idx="451">
                  <c:v>-30.922054293476606</c:v>
                </c:pt>
                <c:pt idx="452">
                  <c:v>-31.310446867338698</c:v>
                </c:pt>
                <c:pt idx="453">
                  <c:v>-31.705621497593881</c:v>
                </c:pt>
                <c:pt idx="454">
                  <c:v>-32.098799907284587</c:v>
                </c:pt>
                <c:pt idx="455">
                  <c:v>-32.49000142461793</c:v>
                </c:pt>
                <c:pt idx="456">
                  <c:v>-32.87924517610702</c:v>
                </c:pt>
                <c:pt idx="457">
                  <c:v>-33.275718051612472</c:v>
                </c:pt>
                <c:pt idx="458">
                  <c:v>-33.670179066091777</c:v>
                </c:pt>
                <c:pt idx="459">
                  <c:v>-34.062648100000558</c:v>
                </c:pt>
                <c:pt idx="460">
                  <c:v>-34.453144823366614</c:v>
                </c:pt>
                <c:pt idx="461">
                  <c:v>-34.850672705603017</c:v>
                </c:pt>
                <c:pt idx="462">
                  <c:v>-35.246176775050372</c:v>
                </c:pt>
                <c:pt idx="463">
                  <c:v>-35.639677435474027</c:v>
                </c:pt>
                <c:pt idx="464">
                  <c:v>-36.031194871990579</c:v>
                </c:pt>
                <c:pt idx="465">
                  <c:v>-36.429855844280951</c:v>
                </c:pt>
                <c:pt idx="466">
                  <c:v>-36.826481631150671</c:v>
                </c:pt>
                <c:pt idx="467">
                  <c:v>-37.221093178343722</c:v>
                </c:pt>
                <c:pt idx="468">
                  <c:v>-37.613711204593528</c:v>
                </c:pt>
                <c:pt idx="469">
                  <c:v>-38.013279324761157</c:v>
                </c:pt>
                <c:pt idx="470">
                  <c:v>-38.410804712134876</c:v>
                </c:pt>
                <c:pt idx="471">
                  <c:v>-38.806308825014952</c:v>
                </c:pt>
                <c:pt idx="472">
                  <c:v>-39.199812886897632</c:v>
                </c:pt>
                <c:pt idx="473">
                  <c:v>-39.600663717494172</c:v>
                </c:pt>
                <c:pt idx="474">
                  <c:v>-39.999462121756864</c:v>
                </c:pt>
                <c:pt idx="475">
                  <c:v>-40.396230137066283</c:v>
                </c:pt>
                <c:pt idx="476">
                  <c:v>-40.790989557398149</c:v>
                </c:pt>
                <c:pt idx="477">
                  <c:v>-41.192899267811526</c:v>
                </c:pt>
                <c:pt idx="478">
                  <c:v>-41.592751007164281</c:v>
                </c:pt>
                <c:pt idx="479">
                  <c:v>-41.990567361853294</c:v>
                </c:pt>
                <c:pt idx="480">
                  <c:v>-42.38637066688932</c:v>
                </c:pt>
                <c:pt idx="481">
                  <c:v>-42.789135755554042</c:v>
                </c:pt>
                <c:pt idx="482">
                  <c:v>-43.18984145911989</c:v>
                </c:pt>
                <c:pt idx="483">
                  <c:v>-43.588510883319515</c:v>
                </c:pt>
                <c:pt idx="484">
                  <c:v>-43.985166875175935</c:v>
                </c:pt>
                <c:pt idx="485">
                  <c:v>-44.388878406690026</c:v>
                </c:pt>
                <c:pt idx="486">
                  <c:v>-44.790530459161971</c:v>
                </c:pt>
                <c:pt idx="487">
                  <c:v>-45.190146676654962</c:v>
                </c:pt>
                <c:pt idx="488">
                  <c:v>-45.587750437165852</c:v>
                </c:pt>
                <c:pt idx="489">
                  <c:v>-45.992766585071109</c:v>
                </c:pt>
                <c:pt idx="490">
                  <c:v>-46.395721994966152</c:v>
                </c:pt>
                <c:pt idx="491">
                  <c:v>-46.796640916432438</c:v>
                </c:pt>
                <c:pt idx="492">
                  <c:v>-47.195547324903174</c:v>
                </c:pt>
                <c:pt idx="493">
                  <c:v>-47.601678214542119</c:v>
                </c:pt>
                <c:pt idx="494">
                  <c:v>-48.005751766488345</c:v>
                </c:pt>
                <c:pt idx="495">
                  <c:v>-48.407792806473594</c:v>
                </c:pt>
                <c:pt idx="496">
                  <c:v>-48.807825878772718</c:v>
                </c:pt>
                <c:pt idx="497">
                  <c:v>-49.215162797614568</c:v>
                </c:pt>
                <c:pt idx="498">
                  <c:v>-49.620447840371099</c:v>
                </c:pt>
                <c:pt idx="499">
                  <c:v>-50.023706428818372</c:v>
                </c:pt>
                <c:pt idx="500">
                  <c:v>-50.424963696050725</c:v>
                </c:pt>
                <c:pt idx="501">
                  <c:v>-50.833600859828664</c:v>
                </c:pt>
                <c:pt idx="502">
                  <c:v>-51.240193936305758</c:v>
                </c:pt>
                <c:pt idx="503">
                  <c:v>-51.64476896391875</c:v>
                </c:pt>
                <c:pt idx="504">
                  <c:v>-52.047351685337048</c:v>
                </c:pt>
                <c:pt idx="505">
                  <c:v>-52.45713993911113</c:v>
                </c:pt>
                <c:pt idx="506">
                  <c:v>-52.864896947337996</c:v>
                </c:pt>
                <c:pt idx="507">
                  <c:v>-53.270649338541148</c:v>
                </c:pt>
                <c:pt idx="508">
                  <c:v>-53.674423439318275</c:v>
                </c:pt>
                <c:pt idx="509">
                  <c:v>-54.085482162910836</c:v>
                </c:pt>
                <c:pt idx="510">
                  <c:v>-54.494525167051734</c:v>
                </c:pt>
                <c:pt idx="511">
                  <c:v>-54.901579694007751</c:v>
                </c:pt>
                <c:pt idx="512">
                  <c:v>-55.306672678210219</c:v>
                </c:pt>
                <c:pt idx="513">
                  <c:v>-55.719366656876815</c:v>
                </c:pt>
                <c:pt idx="514">
                  <c:v>-56.130061129203625</c:v>
                </c:pt>
                <c:pt idx="515">
                  <c:v>-56.538784024771076</c:v>
                </c:pt>
                <c:pt idx="516">
                  <c:v>-56.94556295902234</c:v>
                </c:pt>
                <c:pt idx="517">
                  <c:v>-57.359779983657319</c:v>
                </c:pt>
                <c:pt idx="518">
                  <c:v>-57.772019460189398</c:v>
                </c:pt>
                <c:pt idx="519">
                  <c:v>-58.182309984116017</c:v>
                </c:pt>
                <c:pt idx="520">
                  <c:v>-58.590679831644934</c:v>
                </c:pt>
                <c:pt idx="521">
                  <c:v>-59.006566277464003</c:v>
                </c:pt>
                <c:pt idx="522">
                  <c:v>-59.420500777646765</c:v>
                </c:pt>
                <c:pt idx="523">
                  <c:v>-59.83251262383709</c:v>
                </c:pt>
                <c:pt idx="524">
                  <c:v>-60.242630783746023</c:v>
                </c:pt>
                <c:pt idx="525">
                  <c:v>-60.660345725678297</c:v>
                </c:pt>
                <c:pt idx="526">
                  <c:v>-61.076138329724216</c:v>
                </c:pt>
                <c:pt idx="527">
                  <c:v>-61.490038617209279</c:v>
                </c:pt>
                <c:pt idx="528">
                  <c:v>-61.902076281503298</c:v>
                </c:pt>
                <c:pt idx="529">
                  <c:v>-62.321793608614513</c:v>
                </c:pt>
                <c:pt idx="530">
                  <c:v>-62.739622598147434</c:v>
                </c:pt>
                <c:pt idx="531">
                  <c:v>-63.155594038660183</c:v>
                </c:pt>
                <c:pt idx="532">
                  <c:v>-63.569738387472171</c:v>
                </c:pt>
                <c:pt idx="533">
                  <c:v>-63.991866392568937</c:v>
                </c:pt>
                <c:pt idx="534">
                  <c:v>-64.412142976697396</c:v>
                </c:pt>
                <c:pt idx="535">
                  <c:v>-64.830599786732336</c:v>
                </c:pt>
                <c:pt idx="536">
                  <c:v>-65.24726813521994</c:v>
                </c:pt>
                <c:pt idx="537">
                  <c:v>-65.671578905574563</c:v>
                </c:pt>
                <c:pt idx="538">
                  <c:v>-66.094084287508082</c:v>
                </c:pt>
                <c:pt idx="539">
                  <c:v>-66.514816736261878</c:v>
                </c:pt>
                <c:pt idx="540">
                  <c:v>-66.933808372073514</c:v>
                </c:pt>
                <c:pt idx="541">
                  <c:v>-67.360965700297356</c:v>
                </c:pt>
                <c:pt idx="542">
                  <c:v>-67.786365753274424</c:v>
                </c:pt>
                <c:pt idx="543">
                  <c:v>-68.210041948121329</c:v>
                </c:pt>
                <c:pt idx="544">
                  <c:v>-68.63202736612547</c:v>
                </c:pt>
                <c:pt idx="545">
                  <c:v>-69.062071886467123</c:v>
                </c:pt>
                <c:pt idx="546">
                  <c:v>-69.490415414221474</c:v>
                </c:pt>
                <c:pt idx="547">
                  <c:v>-69.917092341903782</c:v>
                </c:pt>
                <c:pt idx="548">
                  <c:v>-70.342136727459746</c:v>
                </c:pt>
                <c:pt idx="549">
                  <c:v>-70.775354307891803</c:v>
                </c:pt>
                <c:pt idx="550">
                  <c:v>-71.2069340689402</c:v>
                </c:pt>
                <c:pt idx="551">
                  <c:v>-71.636911451055909</c:v>
                </c:pt>
                <c:pt idx="552">
                  <c:v>-72.065321562991187</c:v>
                </c:pt>
                <c:pt idx="553">
                  <c:v>-72.502229916985442</c:v>
                </c:pt>
                <c:pt idx="554">
                  <c:v>-72.937569743618923</c:v>
                </c:pt>
                <c:pt idx="555">
                  <c:v>-73.371377665091131</c:v>
                </c:pt>
                <c:pt idx="556">
                  <c:v>-73.803689976026249</c:v>
                </c:pt>
                <c:pt idx="557">
                  <c:v>-74.684084970235944</c:v>
                </c:pt>
                <c:pt idx="558">
                  <c:v>-75.558668481512029</c:v>
                </c:pt>
                <c:pt idx="559">
                  <c:v>-76.447597922147736</c:v>
                </c:pt>
                <c:pt idx="560">
                  <c:v>-77.33107490524435</c:v>
                </c:pt>
                <c:pt idx="561">
                  <c:v>-78.230188950123704</c:v>
                </c:pt>
                <c:pt idx="562">
                  <c:v>-79.124241602881852</c:v>
                </c:pt>
                <c:pt idx="563">
                  <c:v>-80.032590225342574</c:v>
                </c:pt>
                <c:pt idx="564">
                  <c:v>-80.936334168013673</c:v>
                </c:pt>
                <c:pt idx="565">
                  <c:v>-81.858431748367877</c:v>
                </c:pt>
                <c:pt idx="566">
                  <c:v>-82.77639756739984</c:v>
                </c:pt>
                <c:pt idx="567">
                  <c:v>-83.713018808332038</c:v>
                </c:pt>
                <c:pt idx="568">
                  <c:v>-84.646046100003673</c:v>
                </c:pt>
                <c:pt idx="569">
                  <c:v>-85.594415342265449</c:v>
                </c:pt>
                <c:pt idx="570">
                  <c:v>-86.539819559732564</c:v>
                </c:pt>
                <c:pt idx="571">
                  <c:v>-87.50849296696299</c:v>
                </c:pt>
                <c:pt idx="572">
                  <c:v>-88.474857912988114</c:v>
                </c:pt>
                <c:pt idx="573">
                  <c:v>-89.457716099204504</c:v>
                </c:pt>
                <c:pt idx="574">
                  <c:v>-90.439037056147129</c:v>
                </c:pt>
                <c:pt idx="575">
                  <c:v>-91.444938552173994</c:v>
                </c:pt>
                <c:pt idx="576">
                  <c:v>-92.450137017547775</c:v>
                </c:pt>
                <c:pt idx="577">
                  <c:v>-96.708518300145442</c:v>
                </c:pt>
                <c:pt idx="578">
                  <c:v>-100.99731955276792</c:v>
                </c:pt>
                <c:pt idx="579">
                  <c:v>-110.67234581645261</c:v>
                </c:pt>
                <c:pt idx="580">
                  <c:v>-122.09200594400448</c:v>
                </c:pt>
                <c:pt idx="581">
                  <c:v>-136.11343984907688</c:v>
                </c:pt>
                <c:pt idx="582">
                  <c:v>-153.7721813064818</c:v>
                </c:pt>
                <c:pt idx="583">
                  <c:v>-175.45653882991348</c:v>
                </c:pt>
                <c:pt idx="584">
                  <c:v>-19.491383602441971</c:v>
                </c:pt>
                <c:pt idx="585">
                  <c:v>-42.500038177782614</c:v>
                </c:pt>
                <c:pt idx="586">
                  <c:v>-62.632497183504711</c:v>
                </c:pt>
                <c:pt idx="587">
                  <c:v>-80.60939593530918</c:v>
                </c:pt>
                <c:pt idx="588">
                  <c:v>-98.591136605250995</c:v>
                </c:pt>
                <c:pt idx="589">
                  <c:v>-120.15411352497614</c:v>
                </c:pt>
                <c:pt idx="590">
                  <c:v>-151.47064896610624</c:v>
                </c:pt>
                <c:pt idx="591">
                  <c:v>-15.778537932486159</c:v>
                </c:pt>
                <c:pt idx="592">
                  <c:v>-56.736829890133066</c:v>
                </c:pt>
                <c:pt idx="593">
                  <c:v>-87.779609484975367</c:v>
                </c:pt>
                <c:pt idx="594">
                  <c:v>-120.68658348391955</c:v>
                </c:pt>
                <c:pt idx="595">
                  <c:v>-175.26627110488147</c:v>
                </c:pt>
                <c:pt idx="596">
                  <c:v>-57.755976076856427</c:v>
                </c:pt>
                <c:pt idx="597">
                  <c:v>-101.12156057536714</c:v>
                </c:pt>
                <c:pt idx="598">
                  <c:v>-162.34999568788731</c:v>
                </c:pt>
                <c:pt idx="599">
                  <c:v>-63.921922144334587</c:v>
                </c:pt>
                <c:pt idx="600">
                  <c:v>-121.18839582735586</c:v>
                </c:pt>
              </c:numCache>
            </c:numRef>
          </c:yVal>
          <c:smooth val="0"/>
          <c:extLst>
            <c:ext xmlns:c16="http://schemas.microsoft.com/office/drawing/2014/chart" uri="{C3380CC4-5D6E-409C-BE32-E72D297353CC}">
              <c16:uniqueId val="{00000001-52E8-40C0-BDC9-E7AD10D908CE}"/>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Single'!$AN$110:$AN$210</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346.46747517119354</c:v>
                </c:pt>
                <c:pt idx="35">
                  <c:v>337.20497458530429</c:v>
                </c:pt>
                <c:pt idx="36">
                  <c:v>328.37054089960293</c:v>
                </c:pt>
                <c:pt idx="37">
                  <c:v>320.00004808775134</c:v>
                </c:pt>
                <c:pt idx="38">
                  <c:v>312.05526468283392</c:v>
                </c:pt>
                <c:pt idx="39">
                  <c:v>304.4929246772827</c:v>
                </c:pt>
                <c:pt idx="40">
                  <c:v>297.28606206998995</c:v>
                </c:pt>
                <c:pt idx="41">
                  <c:v>290.41018779832172</c:v>
                </c:pt>
                <c:pt idx="42">
                  <c:v>283.84301172614255</c:v>
                </c:pt>
                <c:pt idx="43">
                  <c:v>277.56420125463723</c:v>
                </c:pt>
                <c:pt idx="44">
                  <c:v>271.55517104843642</c:v>
                </c:pt>
                <c:pt idx="45">
                  <c:v>265.79889929620032</c:v>
                </c:pt>
                <c:pt idx="46">
                  <c:v>260.27976667968454</c:v>
                </c:pt>
                <c:pt idx="47">
                  <c:v>254.98341484305598</c:v>
                </c:pt>
                <c:pt idx="48">
                  <c:v>249.89662166198761</c:v>
                </c:pt>
                <c:pt idx="49">
                  <c:v>245.00719103116529</c:v>
                </c:pt>
                <c:pt idx="50">
                  <c:v>240.30385523616329</c:v>
                </c:pt>
                <c:pt idx="51">
                  <c:v>235.77618826458934</c:v>
                </c:pt>
                <c:pt idx="52">
                  <c:v>231.41452865267959</c:v>
                </c:pt>
                <c:pt idx="53">
                  <c:v>227.20991066569363</c:v>
                </c:pt>
                <c:pt idx="54">
                  <c:v>223.15400278047301</c:v>
                </c:pt>
                <c:pt idx="55">
                  <c:v>219.23905258193187</c:v>
                </c:pt>
                <c:pt idx="56">
                  <c:v>215.45783730662248</c:v>
                </c:pt>
                <c:pt idx="57">
                  <c:v>211.80361936954233</c:v>
                </c:pt>
                <c:pt idx="58">
                  <c:v>208.27010629805895</c:v>
                </c:pt>
                <c:pt idx="59">
                  <c:v>204.85141457171704</c:v>
                </c:pt>
                <c:pt idx="60">
                  <c:v>201.54203693079668</c:v>
                </c:pt>
                <c:pt idx="61">
                  <c:v>198.33681277152988</c:v>
                </c:pt>
                <c:pt idx="62">
                  <c:v>195.23090129322989</c:v>
                </c:pt>
                <c:pt idx="63">
                  <c:v>192.21975710345265</c:v>
                </c:pt>
                <c:pt idx="64">
                  <c:v>189.29910802263061</c:v>
                </c:pt>
                <c:pt idx="65">
                  <c:v>186.46493486024735</c:v>
                </c:pt>
                <c:pt idx="66">
                  <c:v>183.71345296121973</c:v>
                </c:pt>
                <c:pt idx="67">
                  <c:v>181.04109534431453</c:v>
                </c:pt>
                <c:pt idx="68">
                  <c:v>178.44449727463251</c:v>
                </c:pt>
                <c:pt idx="69">
                  <c:v>175.92048212985256</c:v>
                </c:pt>
                <c:pt idx="70">
                  <c:v>173.46604843540362</c:v>
                </c:pt>
                <c:pt idx="71">
                  <c:v>171.07835795731046</c:v>
                </c:pt>
                <c:pt idx="72">
                  <c:v>168.75472475339549</c:v>
                </c:pt>
                <c:pt idx="73">
                  <c:v>166.49260509403976</c:v>
                </c:pt>
                <c:pt idx="74">
                  <c:v>164.28958817298454</c:v>
                </c:pt>
                <c:pt idx="75">
                  <c:v>162.14338753685695</c:v>
                </c:pt>
                <c:pt idx="76">
                  <c:v>160.05183316937115</c:v>
                </c:pt>
                <c:pt idx="77">
                  <c:v>158.01286417259163</c:v>
                </c:pt>
                <c:pt idx="78">
                  <c:v>156.0245219933733</c:v>
                </c:pt>
                <c:pt idx="79">
                  <c:v>154.08494414817895</c:v>
                </c:pt>
                <c:pt idx="80">
                  <c:v>152.1923584040124</c:v>
                </c:pt>
                <c:pt idx="81">
                  <c:v>150.3450773772517</c:v>
                </c:pt>
                <c:pt idx="82">
                  <c:v>148.54149351578246</c:v>
                </c:pt>
                <c:pt idx="83">
                  <c:v>146.78007443306808</c:v>
                </c:pt>
                <c:pt idx="84">
                  <c:v>145.05935856569062</c:v>
                </c:pt>
                <c:pt idx="85">
                  <c:v>143.37795112850054</c:v>
                </c:pt>
                <c:pt idx="86">
                  <c:v>141.73452034384667</c:v>
                </c:pt>
                <c:pt idx="87">
                  <c:v>140.12779392346167</c:v>
                </c:pt>
                <c:pt idx="88">
                  <c:v>138.55655578347117</c:v>
                </c:pt>
                <c:pt idx="89">
                  <c:v>137.01964297470099</c:v>
                </c:pt>
                <c:pt idx="90">
                  <c:v>135.51594281199746</c:v>
                </c:pt>
                <c:pt idx="91">
                  <c:v>134.0443901876699</c:v>
                </c:pt>
                <c:pt idx="92">
                  <c:v>132.60396505542255</c:v>
                </c:pt>
                <c:pt idx="93">
                  <c:v>131.19369007228619</c:v>
                </c:pt>
                <c:pt idx="94">
                  <c:v>129.81262838709318</c:v>
                </c:pt>
                <c:pt idx="95">
                  <c:v>128.45988156498098</c:v>
                </c:pt>
                <c:pt idx="96">
                  <c:v>127.1345876382608</c:v>
                </c:pt>
                <c:pt idx="97">
                  <c:v>125.83591927476601</c:v>
                </c:pt>
                <c:pt idx="98">
                  <c:v>124.56308205550195</c:v>
                </c:pt>
                <c:pt idx="99">
                  <c:v>123.31531285406146</c:v>
                </c:pt>
                <c:pt idx="100">
                  <c:v>122.09187831086084</c:v>
                </c:pt>
              </c:numCache>
            </c:numRef>
          </c:val>
          <c:smooth val="0"/>
          <c:extLst>
            <c:ext xmlns:c16="http://schemas.microsoft.com/office/drawing/2014/chart" uri="{C3380CC4-5D6E-409C-BE32-E72D297353CC}">
              <c16:uniqueId val="{00000000-D9E7-4F5E-A983-604758A0F86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Single'!$AN$5:$AN$105</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348.28891711774043</c:v>
                </c:pt>
                <c:pt idx="61">
                  <c:v>342.96218299059115</c:v>
                </c:pt>
                <c:pt idx="62">
                  <c:v>337.79260904768194</c:v>
                </c:pt>
                <c:pt idx="63">
                  <c:v>332.76820975991694</c:v>
                </c:pt>
                <c:pt idx="64">
                  <c:v>327.89030228150142</c:v>
                </c:pt>
                <c:pt idx="65">
                  <c:v>323.15801258334147</c:v>
                </c:pt>
                <c:pt idx="66">
                  <c:v>318.55403839220327</c:v>
                </c:pt>
                <c:pt idx="67">
                  <c:v>314.08251131674348</c:v>
                </c:pt>
                <c:pt idx="68">
                  <c:v>309.73432154006559</c:v>
                </c:pt>
                <c:pt idx="69">
                  <c:v>305.5044354389513</c:v>
                </c:pt>
                <c:pt idx="70">
                  <c:v>301.3880896225586</c:v>
                </c:pt>
                <c:pt idx="71">
                  <c:v>297.38077303815373</c:v>
                </c:pt>
                <c:pt idx="72">
                  <c:v>293.47821048016527</c:v>
                </c:pt>
                <c:pt idx="73">
                  <c:v>289.67634737582347</c:v>
                </c:pt>
                <c:pt idx="74">
                  <c:v>285.97133573356177</c:v>
                </c:pt>
                <c:pt idx="75">
                  <c:v>282.35952115180766</c:v>
                </c:pt>
                <c:pt idx="76">
                  <c:v>278.83743079596576</c:v>
                </c:pt>
                <c:pt idx="77">
                  <c:v>275.40176226044258</c:v>
                </c:pt>
                <c:pt idx="78">
                  <c:v>272.04937324062712</c:v>
                </c:pt>
                <c:pt idx="79">
                  <c:v>268.7772719469325</c:v>
                </c:pt>
                <c:pt idx="80">
                  <c:v>265.58260819943172</c:v>
                </c:pt>
                <c:pt idx="81">
                  <c:v>262.46266514737374</c:v>
                </c:pt>
                <c:pt idx="82">
                  <c:v>259.41485156301297</c:v>
                </c:pt>
                <c:pt idx="83">
                  <c:v>256.43669466381391</c:v>
                </c:pt>
                <c:pt idx="84">
                  <c:v>253.52583342124203</c:v>
                </c:pt>
                <c:pt idx="85">
                  <c:v>250.6800123180858</c:v>
                </c:pt>
                <c:pt idx="86">
                  <c:v>247.89707551962215</c:v>
                </c:pt>
                <c:pt idx="87">
                  <c:v>245.17496142696547</c:v>
                </c:pt>
                <c:pt idx="88">
                  <c:v>242.51169758368374</c:v>
                </c:pt>
                <c:pt idx="89">
                  <c:v>239.90539590923296</c:v>
                </c:pt>
                <c:pt idx="90">
                  <c:v>237.35424823500568</c:v>
                </c:pt>
                <c:pt idx="91">
                  <c:v>234.85652212081362</c:v>
                </c:pt>
                <c:pt idx="92">
                  <c:v>232.41055693146342</c:v>
                </c:pt>
                <c:pt idx="93">
                  <c:v>230.01476015475316</c:v>
                </c:pt>
                <c:pt idx="94">
                  <c:v>227.66760394373628</c:v>
                </c:pt>
                <c:pt idx="95">
                  <c:v>225.3676218674745</c:v>
                </c:pt>
                <c:pt idx="96">
                  <c:v>223.11340585575991</c:v>
                </c:pt>
                <c:pt idx="97">
                  <c:v>220.90360332443095</c:v>
                </c:pt>
                <c:pt idx="98">
                  <c:v>218.73691446894856</c:v>
                </c:pt>
                <c:pt idx="99">
                  <c:v>216.61208971485496</c:v>
                </c:pt>
                <c:pt idx="100">
                  <c:v>214.52792731460568</c:v>
                </c:pt>
              </c:numCache>
            </c:numRef>
          </c:val>
          <c:smooth val="0"/>
          <c:extLst>
            <c:ext xmlns:c16="http://schemas.microsoft.com/office/drawing/2014/chart" uri="{C3380CC4-5D6E-409C-BE32-E72D297353CC}">
              <c16:uniqueId val="{00000001-D9E7-4F5E-A983-604758A0F86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Single'!$AN$216:$AN$316</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348.67518023010695</c:v>
                </c:pt>
                <c:pt idx="83">
                  <c:v>344.76521497147121</c:v>
                </c:pt>
                <c:pt idx="84">
                  <c:v>340.93974913408539</c:v>
                </c:pt>
                <c:pt idx="85">
                  <c:v>337.19817906938408</c:v>
                </c:pt>
                <c:pt idx="86">
                  <c:v>333.5377735248203</c:v>
                </c:pt>
                <c:pt idx="87">
                  <c:v>329.9577270815509</c:v>
                </c:pt>
                <c:pt idx="88">
                  <c:v>326.45545910217623</c:v>
                </c:pt>
                <c:pt idx="89">
                  <c:v>323.02712285481641</c:v>
                </c:pt>
                <c:pt idx="90">
                  <c:v>319.67010372641846</c:v>
                </c:pt>
                <c:pt idx="91">
                  <c:v>316.38219925007644</c:v>
                </c:pt>
                <c:pt idx="92">
                  <c:v>313.16129672570213</c:v>
                </c:pt>
                <c:pt idx="93">
                  <c:v>310.0053686928278</c:v>
                </c:pt>
                <c:pt idx="94">
                  <c:v>306.91246867465452</c:v>
                </c:pt>
                <c:pt idx="95">
                  <c:v>303.8807271745772</c:v>
                </c:pt>
                <c:pt idx="96">
                  <c:v>300.90834790788062</c:v>
                </c:pt>
                <c:pt idx="97">
                  <c:v>297.99360425264581</c:v>
                </c:pt>
                <c:pt idx="98">
                  <c:v>295.13483590513465</c:v>
                </c:pt>
                <c:pt idx="99">
                  <c:v>292.33044572603751</c:v>
                </c:pt>
                <c:pt idx="100">
                  <c:v>289.57889676499565</c:v>
                </c:pt>
              </c:numCache>
            </c:numRef>
          </c:val>
          <c:smooth val="0"/>
          <c:extLst>
            <c:ext xmlns:c16="http://schemas.microsoft.com/office/drawing/2014/chart" uri="{C3380CC4-5D6E-409C-BE32-E72D297353CC}">
              <c16:uniqueId val="{00000002-D9E7-4F5E-A983-604758A0F86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9E7-4F5E-A983-604758A0F86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9E7-4F5E-A983-604758A0F86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9E7-4F5E-A983-604758A0F86A}"/>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7.1993082168755951</c:v>
                </c:pt>
                <c:pt idx="36">
                  <c:v>7.3017386442389647</c:v>
                </c:pt>
                <c:pt idx="37">
                  <c:v>7.4899001431552525</c:v>
                </c:pt>
                <c:pt idx="38">
                  <c:v>7.6931570715753299</c:v>
                </c:pt>
                <c:pt idx="39">
                  <c:v>7.8964578289486846</c:v>
                </c:pt>
                <c:pt idx="40">
                  <c:v>8.0998024323759221</c:v>
                </c:pt>
                <c:pt idx="41">
                  <c:v>8.3031908989894205</c:v>
                </c:pt>
                <c:pt idx="42">
                  <c:v>8.506623245950518</c:v>
                </c:pt>
                <c:pt idx="43">
                  <c:v>8.7100994904471385</c:v>
                </c:pt>
                <c:pt idx="44">
                  <c:v>8.913619649691725</c:v>
                </c:pt>
                <c:pt idx="45">
                  <c:v>9.1171837409194882</c:v>
                </c:pt>
                <c:pt idx="46">
                  <c:v>9.3207917813868697</c:v>
                </c:pt>
                <c:pt idx="47">
                  <c:v>9.5244437883702151</c:v>
                </c:pt>
                <c:pt idx="48">
                  <c:v>9.7281397791646356</c:v>
                </c:pt>
                <c:pt idx="49">
                  <c:v>9.9318797710829916</c:v>
                </c:pt>
                <c:pt idx="50">
                  <c:v>10.135663781455003</c:v>
                </c:pt>
                <c:pt idx="51">
                  <c:v>10.33949182762651</c:v>
                </c:pt>
                <c:pt idx="52">
                  <c:v>10.543363926958754</c:v>
                </c:pt>
                <c:pt idx="53">
                  <c:v>10.74728009682781</c:v>
                </c:pt>
                <c:pt idx="54">
                  <c:v>10.951240354624034</c:v>
                </c:pt>
                <c:pt idx="55">
                  <c:v>11.155244717751605</c:v>
                </c:pt>
                <c:pt idx="56">
                  <c:v>11.359293203628107</c:v>
                </c:pt>
                <c:pt idx="57">
                  <c:v>11.563385829684151</c:v>
                </c:pt>
                <c:pt idx="58">
                  <c:v>11.767522613363063</c:v>
                </c:pt>
                <c:pt idx="59">
                  <c:v>11.971703572120544</c:v>
                </c:pt>
                <c:pt idx="60">
                  <c:v>12.175928723424468</c:v>
                </c:pt>
                <c:pt idx="61">
                  <c:v>12.380198084754586</c:v>
                </c:pt>
                <c:pt idx="62">
                  <c:v>12.584511673602346</c:v>
                </c:pt>
                <c:pt idx="63">
                  <c:v>12.788869507470698</c:v>
                </c:pt>
                <c:pt idx="64">
                  <c:v>12.993271603873911</c:v>
                </c:pt>
                <c:pt idx="65">
                  <c:v>13.197717980337421</c:v>
                </c:pt>
                <c:pt idx="66">
                  <c:v>13.402208654397691</c:v>
                </c:pt>
                <c:pt idx="67">
                  <c:v>13.606743643602094</c:v>
                </c:pt>
                <c:pt idx="68">
                  <c:v>13.811322965508772</c:v>
                </c:pt>
                <c:pt idx="69">
                  <c:v>14.01594663768655</c:v>
                </c:pt>
                <c:pt idx="70">
                  <c:v>14.220614677714856</c:v>
                </c:pt>
                <c:pt idx="71">
                  <c:v>14.4253271031836</c:v>
                </c:pt>
                <c:pt idx="72">
                  <c:v>14.630083931693122</c:v>
                </c:pt>
                <c:pt idx="73">
                  <c:v>14.834885180854108</c:v>
                </c:pt>
                <c:pt idx="74">
                  <c:v>15.039730868287531</c:v>
                </c:pt>
                <c:pt idx="75">
                  <c:v>15.244621011624597</c:v>
                </c:pt>
                <c:pt idx="76">
                  <c:v>15.44955562850668</c:v>
                </c:pt>
                <c:pt idx="77">
                  <c:v>15.654534736585282</c:v>
                </c:pt>
                <c:pt idx="78">
                  <c:v>15.859558353521981</c:v>
                </c:pt>
                <c:pt idx="79">
                  <c:v>16.064626496988396</c:v>
                </c:pt>
                <c:pt idx="80">
                  <c:v>16.269739184666154</c:v>
                </c:pt>
                <c:pt idx="81">
                  <c:v>16.474896434246848</c:v>
                </c:pt>
                <c:pt idx="82">
                  <c:v>16.680098263432008</c:v>
                </c:pt>
                <c:pt idx="83">
                  <c:v>16.885344689933074</c:v>
                </c:pt>
                <c:pt idx="84">
                  <c:v>17.09063573147138</c:v>
                </c:pt>
                <c:pt idx="85">
                  <c:v>17.295971405778108</c:v>
                </c:pt>
                <c:pt idx="86">
                  <c:v>17.501351730594291</c:v>
                </c:pt>
                <c:pt idx="87">
                  <c:v>17.706776723670778</c:v>
                </c:pt>
                <c:pt idx="88">
                  <c:v>17.912246402768226</c:v>
                </c:pt>
                <c:pt idx="89">
                  <c:v>18.117760785657076</c:v>
                </c:pt>
                <c:pt idx="90">
                  <c:v>18.323319890117549</c:v>
                </c:pt>
                <c:pt idx="91">
                  <c:v>18.528923733939621</c:v>
                </c:pt>
                <c:pt idx="92">
                  <c:v>18.734572334923026</c:v>
                </c:pt>
                <c:pt idx="93">
                  <c:v>18.940265710877224</c:v>
                </c:pt>
                <c:pt idx="94">
                  <c:v>19.146003879621418</c:v>
                </c:pt>
                <c:pt idx="95">
                  <c:v>19.351786858984525</c:v>
                </c:pt>
                <c:pt idx="96">
                  <c:v>19.557614666805172</c:v>
                </c:pt>
                <c:pt idx="97">
                  <c:v>19.763487320931713</c:v>
                </c:pt>
                <c:pt idx="98">
                  <c:v>19.969404839222175</c:v>
                </c:pt>
                <c:pt idx="99">
                  <c:v>20.175367239544315</c:v>
                </c:pt>
                <c:pt idx="100">
                  <c:v>20.381374539775546</c:v>
                </c:pt>
              </c:numCache>
            </c:numRef>
          </c:val>
          <c:smooth val="0"/>
          <c:extLst>
            <c:ext xmlns:c16="http://schemas.microsoft.com/office/drawing/2014/chart" uri="{C3380CC4-5D6E-409C-BE32-E72D297353CC}">
              <c16:uniqueId val="{00000000-B744-4C18-B26C-E1D454627484}"/>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Single'!$AJ$5:$AJ$105</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7.1992932598847865</c:v>
                </c:pt>
                <c:pt idx="36">
                  <c:v>7.3015010651331407</c:v>
                </c:pt>
                <c:pt idx="37">
                  <c:v>7.4023012346130468</c:v>
                </c:pt>
                <c:pt idx="38">
                  <c:v>7.5017504646422228</c:v>
                </c:pt>
                <c:pt idx="39">
                  <c:v>7.5999017447504142</c:v>
                </c:pt>
                <c:pt idx="40">
                  <c:v>7.6968046883475019</c:v>
                </c:pt>
                <c:pt idx="41">
                  <c:v>7.7925058264058533</c:v>
                </c:pt>
                <c:pt idx="42">
                  <c:v>7.8870488690908793</c:v>
                </c:pt>
                <c:pt idx="43">
                  <c:v>7.9804749395142496</c:v>
                </c:pt>
                <c:pt idx="44">
                  <c:v>8.0728227831565338</c:v>
                </c:pt>
                <c:pt idx="45">
                  <c:v>8.164128955984717</c:v>
                </c:pt>
                <c:pt idx="46">
                  <c:v>8.2544279938552929</c:v>
                </c:pt>
                <c:pt idx="47">
                  <c:v>8.3437525654292983</c:v>
                </c:pt>
                <c:pt idx="48">
                  <c:v>8.4321336105193154</c:v>
                </c:pt>
                <c:pt idx="49">
                  <c:v>8.5196004655296171</c:v>
                </c:pt>
                <c:pt idx="50">
                  <c:v>8.6061809774314018</c:v>
                </c:pt>
                <c:pt idx="51">
                  <c:v>8.691901607528342</c:v>
                </c:pt>
                <c:pt idx="52">
                  <c:v>8.7767875261085457</c:v>
                </c:pt>
                <c:pt idx="53">
                  <c:v>8.8608626989425048</c:v>
                </c:pt>
                <c:pt idx="54">
                  <c:v>8.9441499664695101</c:v>
                </c:pt>
                <c:pt idx="55">
                  <c:v>9.0266711164140183</c:v>
                </c:pt>
                <c:pt idx="56">
                  <c:v>9.108446950486158</c:v>
                </c:pt>
                <c:pt idx="57">
                  <c:v>9.1894973457449929</c:v>
                </c:pt>
                <c:pt idx="58">
                  <c:v>9.2698413111374212</c:v>
                </c:pt>
                <c:pt idx="59">
                  <c:v>9.3494970396683339</c:v>
                </c:pt>
                <c:pt idx="60">
                  <c:v>9.4284819566076816</c:v>
                </c:pt>
                <c:pt idx="61">
                  <c:v>9.5068127640963027</c:v>
                </c:pt>
                <c:pt idx="62">
                  <c:v>9.584550344553266</c:v>
                </c:pt>
                <c:pt idx="63">
                  <c:v>9.6617846481294354</c:v>
                </c:pt>
                <c:pt idx="64">
                  <c:v>9.738417268977491</c:v>
                </c:pt>
                <c:pt idx="65">
                  <c:v>9.878078960248855</c:v>
                </c:pt>
                <c:pt idx="66">
                  <c:v>10.030593965014587</c:v>
                </c:pt>
                <c:pt idx="67">
                  <c:v>10.183020769212497</c:v>
                </c:pt>
                <c:pt idx="68">
                  <c:v>10.335461012393184</c:v>
                </c:pt>
                <c:pt idx="69">
                  <c:v>10.487914696888311</c:v>
                </c:pt>
                <c:pt idx="70">
                  <c:v>10.640381825030914</c:v>
                </c:pt>
                <c:pt idx="71">
                  <c:v>10.792862399155323</c:v>
                </c:pt>
                <c:pt idx="72">
                  <c:v>10.945356421597113</c:v>
                </c:pt>
                <c:pt idx="73">
                  <c:v>11.097863894693065</c:v>
                </c:pt>
                <c:pt idx="74">
                  <c:v>11.250384820781104</c:v>
                </c:pt>
                <c:pt idx="75">
                  <c:v>11.402919202200279</c:v>
                </c:pt>
                <c:pt idx="76">
                  <c:v>11.555467041290699</c:v>
                </c:pt>
                <c:pt idx="77">
                  <c:v>11.70802834039352</c:v>
                </c:pt>
                <c:pt idx="78">
                  <c:v>11.860603101850909</c:v>
                </c:pt>
                <c:pt idx="79">
                  <c:v>12.013191328005991</c:v>
                </c:pt>
                <c:pt idx="80">
                  <c:v>12.16579302120287</c:v>
                </c:pt>
                <c:pt idx="81">
                  <c:v>12.318408183786534</c:v>
                </c:pt>
                <c:pt idx="82">
                  <c:v>12.471036818102908</c:v>
                </c:pt>
                <c:pt idx="83">
                  <c:v>12.62367892649878</c:v>
                </c:pt>
                <c:pt idx="84">
                  <c:v>12.776334511321796</c:v>
                </c:pt>
                <c:pt idx="85">
                  <c:v>12.929003574920451</c:v>
                </c:pt>
                <c:pt idx="86">
                  <c:v>13.08168611964404</c:v>
                </c:pt>
                <c:pt idx="87">
                  <c:v>13.234382147842698</c:v>
                </c:pt>
                <c:pt idx="88">
                  <c:v>13.387091661867327</c:v>
                </c:pt>
                <c:pt idx="89">
                  <c:v>13.539814664069613</c:v>
                </c:pt>
                <c:pt idx="90">
                  <c:v>13.692551156802017</c:v>
                </c:pt>
                <c:pt idx="91">
                  <c:v>13.845301142417739</c:v>
                </c:pt>
                <c:pt idx="92">
                  <c:v>13.99806462327073</c:v>
                </c:pt>
                <c:pt idx="93">
                  <c:v>14.150841601715674</c:v>
                </c:pt>
                <c:pt idx="94">
                  <c:v>14.303632080107969</c:v>
                </c:pt>
                <c:pt idx="95">
                  <c:v>14.456436060803728</c:v>
                </c:pt>
                <c:pt idx="96">
                  <c:v>14.609253546159778</c:v>
                </c:pt>
                <c:pt idx="97">
                  <c:v>14.762084538533626</c:v>
                </c:pt>
                <c:pt idx="98">
                  <c:v>14.914929040283482</c:v>
                </c:pt>
                <c:pt idx="99">
                  <c:v>15.067787053768232</c:v>
                </c:pt>
                <c:pt idx="100">
                  <c:v>15.220658581347431</c:v>
                </c:pt>
              </c:numCache>
            </c:numRef>
          </c:val>
          <c:smooth val="1"/>
          <c:extLst>
            <c:ext xmlns:c16="http://schemas.microsoft.com/office/drawing/2014/chart" uri="{C3380CC4-5D6E-409C-BE32-E72D297353CC}">
              <c16:uniqueId val="{00000001-B744-4C18-B26C-E1D454627484}"/>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6.0837394206607449</c:v>
                </c:pt>
                <c:pt idx="26">
                  <c:v>6.204306517992582</c:v>
                </c:pt>
                <c:pt idx="27">
                  <c:v>6.3225796860586714</c:v>
                </c:pt>
                <c:pt idx="28">
                  <c:v>6.4386852508474481</c:v>
                </c:pt>
                <c:pt idx="29">
                  <c:v>6.5527383526319261</c:v>
                </c:pt>
                <c:pt idx="30">
                  <c:v>6.6648442853700596</c:v>
                </c:pt>
                <c:pt idx="31">
                  <c:v>6.775099636693116</c:v>
                </c:pt>
                <c:pt idx="32">
                  <c:v>6.8835932636107229</c:v>
                </c:pt>
                <c:pt idx="33">
                  <c:v>6.9904071319739689</c:v>
                </c:pt>
                <c:pt idx="34">
                  <c:v>7.0956170422509199</c:v>
                </c:pt>
                <c:pt idx="35">
                  <c:v>7.1992932598847865</c:v>
                </c:pt>
                <c:pt idx="36">
                  <c:v>7.3015010651331407</c:v>
                </c:pt>
                <c:pt idx="37">
                  <c:v>7.4023012346130468</c:v>
                </c:pt>
                <c:pt idx="38">
                  <c:v>7.5017504646422228</c:v>
                </c:pt>
                <c:pt idx="39">
                  <c:v>7.5999017447504142</c:v>
                </c:pt>
                <c:pt idx="40">
                  <c:v>7.6968046883475019</c:v>
                </c:pt>
                <c:pt idx="41">
                  <c:v>7.7925058264058533</c:v>
                </c:pt>
                <c:pt idx="42">
                  <c:v>7.8870488690908793</c:v>
                </c:pt>
                <c:pt idx="43">
                  <c:v>7.9804749395142496</c:v>
                </c:pt>
                <c:pt idx="44">
                  <c:v>8.0728227831565338</c:v>
                </c:pt>
                <c:pt idx="45">
                  <c:v>8.164128955984717</c:v>
                </c:pt>
                <c:pt idx="46">
                  <c:v>8.2544279938552929</c:v>
                </c:pt>
                <c:pt idx="47">
                  <c:v>8.3437525654292983</c:v>
                </c:pt>
                <c:pt idx="48">
                  <c:v>8.4321336105193154</c:v>
                </c:pt>
                <c:pt idx="49">
                  <c:v>8.5196004655296171</c:v>
                </c:pt>
                <c:pt idx="50">
                  <c:v>8.6061809774314018</c:v>
                </c:pt>
                <c:pt idx="51">
                  <c:v>8.691901607528342</c:v>
                </c:pt>
                <c:pt idx="52">
                  <c:v>8.7767875261085457</c:v>
                </c:pt>
                <c:pt idx="53">
                  <c:v>8.8608626989425048</c:v>
                </c:pt>
                <c:pt idx="54">
                  <c:v>8.9441499664695101</c:v>
                </c:pt>
                <c:pt idx="55">
                  <c:v>9.0266711164140183</c:v>
                </c:pt>
                <c:pt idx="56">
                  <c:v>9.108446950486158</c:v>
                </c:pt>
                <c:pt idx="57">
                  <c:v>9.1894973457449929</c:v>
                </c:pt>
                <c:pt idx="58">
                  <c:v>9.2698413111374212</c:v>
                </c:pt>
                <c:pt idx="59">
                  <c:v>9.3494970396683339</c:v>
                </c:pt>
                <c:pt idx="60">
                  <c:v>9.4284819566076816</c:v>
                </c:pt>
                <c:pt idx="61">
                  <c:v>9.5068127640963027</c:v>
                </c:pt>
                <c:pt idx="62">
                  <c:v>9.5845054824739684</c:v>
                </c:pt>
                <c:pt idx="63">
                  <c:v>9.6615754886192935</c:v>
                </c:pt>
                <c:pt idx="64">
                  <c:v>9.7380375515614475</c:v>
                </c:pt>
                <c:pt idx="65">
                  <c:v>9.813905865597194</c:v>
                </c:pt>
                <c:pt idx="66">
                  <c:v>9.8891940811236569</c:v>
                </c:pt>
                <c:pt idx="67">
                  <c:v>9.9639153333764003</c:v>
                </c:pt>
                <c:pt idx="68">
                  <c:v>10.038082269244246</c:v>
                </c:pt>
                <c:pt idx="69">
                  <c:v>10.111707072315793</c:v>
                </c:pt>
                <c:pt idx="70">
                  <c:v>10.184801486298136</c:v>
                </c:pt>
                <c:pt idx="71">
                  <c:v>10.257376836935224</c:v>
                </c:pt>
                <c:pt idx="72">
                  <c:v>10.329444052541719</c:v>
                </c:pt>
                <c:pt idx="73">
                  <c:v>10.401013683257748</c:v>
                </c:pt>
                <c:pt idx="74">
                  <c:v>10.472095919120616</c:v>
                </c:pt>
                <c:pt idx="75">
                  <c:v>10.542700607041127</c:v>
                </c:pt>
                <c:pt idx="76">
                  <c:v>10.612837266764565</c:v>
                </c:pt>
                <c:pt idx="77">
                  <c:v>10.68251510588963</c:v>
                </c:pt>
                <c:pt idx="78">
                  <c:v>10.751743034012353</c:v>
                </c:pt>
                <c:pt idx="79">
                  <c:v>10.820529676056546</c:v>
                </c:pt>
                <c:pt idx="80">
                  <c:v>10.888883384847222</c:v>
                </c:pt>
                <c:pt idx="81">
                  <c:v>10.956812252978898</c:v>
                </c:pt>
                <c:pt idx="82">
                  <c:v>11.024324124026489</c:v>
                </c:pt>
                <c:pt idx="83">
                  <c:v>11.091439000837012</c:v>
                </c:pt>
                <c:pt idx="84">
                  <c:v>11.158279112268863</c:v>
                </c:pt>
                <c:pt idx="85">
                  <c:v>11.224727912373329</c:v>
                </c:pt>
                <c:pt idx="86">
                  <c:v>11.290792365072184</c:v>
                </c:pt>
                <c:pt idx="87">
                  <c:v>11.21428568321128</c:v>
                </c:pt>
                <c:pt idx="88">
                  <c:v>11.343172236809478</c:v>
                </c:pt>
                <c:pt idx="89">
                  <c:v>11.472020002722035</c:v>
                </c:pt>
                <c:pt idx="90">
                  <c:v>11.600866629165591</c:v>
                </c:pt>
                <c:pt idx="91">
                  <c:v>11.729712116942054</c:v>
                </c:pt>
                <c:pt idx="92">
                  <c:v>11.858556466853473</c:v>
                </c:pt>
                <c:pt idx="93">
                  <c:v>11.987399679702007</c:v>
                </c:pt>
                <c:pt idx="94">
                  <c:v>12.116241756289956</c:v>
                </c:pt>
                <c:pt idx="95">
                  <c:v>12.24508269741972</c:v>
                </c:pt>
                <c:pt idx="96">
                  <c:v>12.373922503893811</c:v>
                </c:pt>
                <c:pt idx="97">
                  <c:v>12.50276117651484</c:v>
                </c:pt>
                <c:pt idx="98">
                  <c:v>12.631598716085527</c:v>
                </c:pt>
                <c:pt idx="99">
                  <c:v>12.760435123408664</c:v>
                </c:pt>
                <c:pt idx="100">
                  <c:v>12.889270399287151</c:v>
                </c:pt>
              </c:numCache>
            </c:numRef>
          </c:val>
          <c:smooth val="1"/>
          <c:extLst>
            <c:ext xmlns:c16="http://schemas.microsoft.com/office/drawing/2014/chart" uri="{C3380CC4-5D6E-409C-BE32-E72D297353CC}">
              <c16:uniqueId val="{00000002-B744-4C18-B26C-E1D454627484}"/>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0-CEA8-405E-B5B3-AF38AAF3801C}"/>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1-CEA8-405E-B5B3-AF38AAF3801C}"/>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2-CEA8-405E-B5B3-AF38AAF3801C}"/>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CEA8-405E-B5B3-AF38AAF3801C}"/>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CEA8-405E-B5B3-AF38AAF3801C}"/>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CEA8-405E-B5B3-AF38AAF3801C}"/>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8.3779019412543124E-3</c:v>
                </c:pt>
                <c:pt idx="1">
                  <c:v>1.2488007640413848E-2</c:v>
                </c:pt>
                <c:pt idx="2">
                  <c:v>2.4976015280827695E-2</c:v>
                </c:pt>
                <c:pt idx="3">
                  <c:v>3.7464022921241548E-2</c:v>
                </c:pt>
                <c:pt idx="4">
                  <c:v>4.995203056165539E-2</c:v>
                </c:pt>
                <c:pt idx="5">
                  <c:v>6.244003820206926E-2</c:v>
                </c:pt>
                <c:pt idx="6">
                  <c:v>7.4928045842483096E-2</c:v>
                </c:pt>
                <c:pt idx="7">
                  <c:v>8.7416053482896966E-2</c:v>
                </c:pt>
                <c:pt idx="8">
                  <c:v>9.9904061123310781E-2</c:v>
                </c:pt>
                <c:pt idx="9">
                  <c:v>0.11239206876372462</c:v>
                </c:pt>
                <c:pt idx="10">
                  <c:v>0.12488007640413852</c:v>
                </c:pt>
                <c:pt idx="11">
                  <c:v>0.13736808404455234</c:v>
                </c:pt>
                <c:pt idx="12">
                  <c:v>0.14985609168496619</c:v>
                </c:pt>
                <c:pt idx="13">
                  <c:v>0.16234409932538005</c:v>
                </c:pt>
                <c:pt idx="14">
                  <c:v>0.17483210696579393</c:v>
                </c:pt>
                <c:pt idx="15">
                  <c:v>0.18732011460620773</c:v>
                </c:pt>
                <c:pt idx="16">
                  <c:v>0.19980812224662156</c:v>
                </c:pt>
                <c:pt idx="17">
                  <c:v>0.21229612988703547</c:v>
                </c:pt>
                <c:pt idx="18">
                  <c:v>0.22478413752744925</c:v>
                </c:pt>
                <c:pt idx="19">
                  <c:v>0.23727214516786316</c:v>
                </c:pt>
                <c:pt idx="20">
                  <c:v>0.24976015280827704</c:v>
                </c:pt>
                <c:pt idx="21">
                  <c:v>0.26224816044869081</c:v>
                </c:pt>
                <c:pt idx="22">
                  <c:v>0.27473616808910467</c:v>
                </c:pt>
                <c:pt idx="23">
                  <c:v>0.28722417572951853</c:v>
                </c:pt>
                <c:pt idx="24">
                  <c:v>0.29403882002003295</c:v>
                </c:pt>
                <c:pt idx="25">
                  <c:v>0.29918797535922698</c:v>
                </c:pt>
                <c:pt idx="26">
                  <c:v>0.30513015375825264</c:v>
                </c:pt>
                <c:pt idx="27">
                  <c:v>0.31095976344625725</c:v>
                </c:pt>
                <c:pt idx="28">
                  <c:v>0.31668300365380314</c:v>
                </c:pt>
                <c:pt idx="29">
                  <c:v>0.32230552468985774</c:v>
                </c:pt>
                <c:pt idx="30">
                  <c:v>0.32783249367087941</c:v>
                </c:pt>
                <c:pt idx="31">
                  <c:v>0.33326865046404747</c:v>
                </c:pt>
                <c:pt idx="32">
                  <c:v>0.33861835556852687</c:v>
                </c:pt>
                <c:pt idx="33">
                  <c:v>0.34388563131085648</c:v>
                </c:pt>
                <c:pt idx="34">
                  <c:v>0.34907419746128615</c:v>
                </c:pt>
                <c:pt idx="35">
                  <c:v>0.35418750216764661</c:v>
                </c:pt>
                <c:pt idx="36">
                  <c:v>0.35922874893787055</c:v>
                </c:pt>
                <c:pt idx="37">
                  <c:v>0.36420092027108264</c:v>
                </c:pt>
                <c:pt idx="38">
                  <c:v>0.36910679843241506</c:v>
                </c:pt>
                <c:pt idx="39">
                  <c:v>0.37394898378250091</c:v>
                </c:pt>
                <c:pt idx="40">
                  <c:v>0.37872991100449843</c:v>
                </c:pt>
                <c:pt idx="41">
                  <c:v>0.38345186351609423</c:v>
                </c:pt>
                <c:pt idx="42">
                  <c:v>0.38811698630861302</c:v>
                </c:pt>
                <c:pt idx="43">
                  <c:v>0.39272729741808887</c:v>
                </c:pt>
                <c:pt idx="44">
                  <c:v>0.39728469820235079</c:v>
                </c:pt>
                <c:pt idx="45">
                  <c:v>0.40179098257259055</c:v>
                </c:pt>
                <c:pt idx="46">
                  <c:v>0.40624784530655006</c:v>
                </c:pt>
                <c:pt idx="47">
                  <c:v>0.41065688955258123</c:v>
                </c:pt>
                <c:pt idx="48">
                  <c:v>0.41501963361880323</c:v>
                </c:pt>
                <c:pt idx="49">
                  <c:v>0.4193375171288754</c:v>
                </c:pt>
                <c:pt idx="50">
                  <c:v>0.42361190661514564</c:v>
                </c:pt>
                <c:pt idx="51">
                  <c:v>0.42784410061077754</c:v>
                </c:pt>
                <c:pt idx="52">
                  <c:v>0.43203533429463903</c:v>
                </c:pt>
                <c:pt idx="53">
                  <c:v>0.43618678373604797</c:v>
                </c:pt>
                <c:pt idx="54">
                  <c:v>0.44029956978071522</c:v>
                </c:pt>
                <c:pt idx="55">
                  <c:v>0.44437476161427114</c:v>
                </c:pt>
                <c:pt idx="56">
                  <c:v>0.44841338003548398</c:v>
                </c:pt>
                <c:pt idx="57">
                  <c:v>0.45241640046755743</c:v>
                </c:pt>
                <c:pt idx="58">
                  <c:v>0.4563847557326845</c:v>
                </c:pt>
                <c:pt idx="59">
                  <c:v>0.45879896714701857</c:v>
                </c:pt>
                <c:pt idx="60">
                  <c:v>0.45550461396425673</c:v>
                </c:pt>
                <c:pt idx="61">
                  <c:v>0.45227993741169942</c:v>
                </c:pt>
                <c:pt idx="62">
                  <c:v>0.44478545383394447</c:v>
                </c:pt>
                <c:pt idx="63">
                  <c:v>0.44527299429520378</c:v>
                </c:pt>
                <c:pt idx="64">
                  <c:v>0.44576071101689979</c:v>
                </c:pt>
                <c:pt idx="65">
                  <c:v>0.44623531726372351</c:v>
                </c:pt>
                <c:pt idx="66">
                  <c:v>0.44669737153451455</c:v>
                </c:pt>
                <c:pt idx="67">
                  <c:v>0.44714740105136142</c:v>
                </c:pt>
                <c:pt idx="68">
                  <c:v>0.44758590391880115</c:v>
                </c:pt>
                <c:pt idx="69">
                  <c:v>0.44801335110658319</c:v>
                </c:pt>
                <c:pt idx="70">
                  <c:v>0.44843018827258846</c:v>
                </c:pt>
                <c:pt idx="71">
                  <c:v>0.4488368374407416</c:v>
                </c:pt>
                <c:pt idx="72">
                  <c:v>0.44923369854719519</c:v>
                </c:pt>
                <c:pt idx="73">
                  <c:v>0.44962115086669674</c:v>
                </c:pt>
                <c:pt idx="74">
                  <c:v>0.44999955432983102</c:v>
                </c:pt>
                <c:pt idx="75">
                  <c:v>0.45036925074075679</c:v>
                </c:pt>
                <c:pt idx="76">
                  <c:v>0.45073056490409813</c:v>
                </c:pt>
                <c:pt idx="77">
                  <c:v>0.45108380566879991</c:v>
                </c:pt>
                <c:pt idx="78">
                  <c:v>0.45142926689599699</c:v>
                </c:pt>
                <c:pt idx="79">
                  <c:v>0.45176722835727801</c:v>
                </c:pt>
                <c:pt idx="80">
                  <c:v>0.45209795656910928</c:v>
                </c:pt>
                <c:pt idx="81">
                  <c:v>0.4524217055686533</c:v>
                </c:pt>
                <c:pt idx="82">
                  <c:v>0.45273871763572765</c:v>
                </c:pt>
                <c:pt idx="83">
                  <c:v>0.45304922396521624</c:v>
                </c:pt>
                <c:pt idx="84">
                  <c:v>0.45335344529385657</c:v>
                </c:pt>
                <c:pt idx="85">
                  <c:v>0.45365159248497189</c:v>
                </c:pt>
                <c:pt idx="86">
                  <c:v>0.45394386707440582</c:v>
                </c:pt>
                <c:pt idx="87">
                  <c:v>0.45423046178062981</c:v>
                </c:pt>
                <c:pt idx="88">
                  <c:v>0.45451156098173551</c:v>
                </c:pt>
                <c:pt idx="89">
                  <c:v>0.45478734116179415</c:v>
                </c:pt>
                <c:pt idx="90">
                  <c:v>0.45505797132885434</c:v>
                </c:pt>
                <c:pt idx="91">
                  <c:v>0.45532361340665628</c:v>
                </c:pt>
                <c:pt idx="92">
                  <c:v>0.45558442260197557</c:v>
                </c:pt>
                <c:pt idx="93">
                  <c:v>0.45584054774933941</c:v>
                </c:pt>
                <c:pt idx="94">
                  <c:v>0.45609213163473405</c:v>
                </c:pt>
                <c:pt idx="95">
                  <c:v>0.45633931129977395</c:v>
                </c:pt>
                <c:pt idx="96">
                  <c:v>0.45658221832770157</c:v>
                </c:pt>
                <c:pt idx="97">
                  <c:v>0.45682097911246594</c:v>
                </c:pt>
                <c:pt idx="98">
                  <c:v>0.45705571511204024</c:v>
                </c:pt>
                <c:pt idx="99">
                  <c:v>0.45728654308704397</c:v>
                </c:pt>
                <c:pt idx="100">
                  <c:v>0.45751357532565434</c:v>
                </c:pt>
              </c:numCache>
            </c:numRef>
          </c:val>
          <c:smooth val="0"/>
          <c:extLst>
            <c:ext xmlns:c16="http://schemas.microsoft.com/office/drawing/2014/chart" uri="{C3380CC4-5D6E-409C-BE32-E72D297353CC}">
              <c16:uniqueId val="{00000006-CEA8-405E-B5B3-AF38AAF3801C}"/>
            </c:ext>
          </c:extLst>
        </c:ser>
        <c:ser>
          <c:idx val="16"/>
          <c:order val="16"/>
          <c:spPr>
            <a:ln w="25400">
              <a:solidFill>
                <a:srgbClr val="00B050"/>
              </a:solidFill>
              <a:prstDash val="dash"/>
            </a:ln>
          </c:spPr>
          <c:marker>
            <c:symbol val="none"/>
          </c:marker>
          <c:val>
            <c:numRef>
              <c:f>'Calculations - Dual'!$AU$110:$AU$210</c:f>
              <c:numCache>
                <c:formatCode>0.000</c:formatCode>
                <c:ptCount val="101"/>
                <c:pt idx="0">
                  <c:v>1.424692498560008E-2</c:v>
                </c:pt>
                <c:pt idx="1">
                  <c:v>2.1270519713162711E-2</c:v>
                </c:pt>
                <c:pt idx="2">
                  <c:v>6.3811559139488147E-2</c:v>
                </c:pt>
                <c:pt idx="3">
                  <c:v>6.3811559139488147E-2</c:v>
                </c:pt>
                <c:pt idx="4">
                  <c:v>8.5082078852650844E-2</c:v>
                </c:pt>
                <c:pt idx="5">
                  <c:v>0.10635259856581358</c:v>
                </c:pt>
                <c:pt idx="6">
                  <c:v>0.12762311827897629</c:v>
                </c:pt>
                <c:pt idx="7">
                  <c:v>0.14889363799213903</c:v>
                </c:pt>
                <c:pt idx="8">
                  <c:v>0.17016415770530169</c:v>
                </c:pt>
                <c:pt idx="9">
                  <c:v>0.1914346774184644</c:v>
                </c:pt>
                <c:pt idx="10">
                  <c:v>0.21270519713162717</c:v>
                </c:pt>
                <c:pt idx="11">
                  <c:v>0.23397571684478982</c:v>
                </c:pt>
                <c:pt idx="12">
                  <c:v>0.25524623655795259</c:v>
                </c:pt>
                <c:pt idx="13">
                  <c:v>0.27651675627111527</c:v>
                </c:pt>
                <c:pt idx="14">
                  <c:v>0.29778727598427807</c:v>
                </c:pt>
                <c:pt idx="15">
                  <c:v>0.31905779569744069</c:v>
                </c:pt>
                <c:pt idx="16">
                  <c:v>0.34032831541060338</c:v>
                </c:pt>
                <c:pt idx="17">
                  <c:v>0.36159883512376617</c:v>
                </c:pt>
                <c:pt idx="18">
                  <c:v>0.3828693548369288</c:v>
                </c:pt>
                <c:pt idx="19">
                  <c:v>0.40413987455009159</c:v>
                </c:pt>
                <c:pt idx="20">
                  <c:v>0.42541039426325433</c:v>
                </c:pt>
                <c:pt idx="21">
                  <c:v>0.4466809139764169</c:v>
                </c:pt>
                <c:pt idx="22">
                  <c:v>0.46795143368957964</c:v>
                </c:pt>
                <c:pt idx="23">
                  <c:v>0.48922195340274238</c:v>
                </c:pt>
                <c:pt idx="24">
                  <c:v>0.50083735856707046</c:v>
                </c:pt>
                <c:pt idx="25">
                  <c:v>0.50962841219157462</c:v>
                </c:pt>
                <c:pt idx="26">
                  <c:v>0.51977062850443534</c:v>
                </c:pt>
                <c:pt idx="27">
                  <c:v>0.52972148712328815</c:v>
                </c:pt>
                <c:pt idx="28">
                  <c:v>0.53949152657236354</c:v>
                </c:pt>
                <c:pt idx="29">
                  <c:v>0.54909035221825397</c:v>
                </c:pt>
                <c:pt idx="30">
                  <c:v>0.55852674800857072</c:v>
                </c:pt>
                <c:pt idx="31">
                  <c:v>0.56780877157473764</c:v>
                </c:pt>
                <c:pt idx="32">
                  <c:v>0.57694383562952367</c:v>
                </c:pt>
                <c:pt idx="33">
                  <c:v>0.58575082244216581</c:v>
                </c:pt>
                <c:pt idx="34">
                  <c:v>0.57827349884422152</c:v>
                </c:pt>
                <c:pt idx="35">
                  <c:v>0.56730324928656006</c:v>
                </c:pt>
                <c:pt idx="36">
                  <c:v>0.56839306900883535</c:v>
                </c:pt>
                <c:pt idx="37">
                  <c:v>0.56944437202677078</c:v>
                </c:pt>
                <c:pt idx="38">
                  <c:v>0.57044659110207041</c:v>
                </c:pt>
                <c:pt idx="39">
                  <c:v>0.5714032750101784</c:v>
                </c:pt>
                <c:pt idx="40">
                  <c:v>0.57231763848659778</c:v>
                </c:pt>
                <c:pt idx="41">
                  <c:v>0.57319260062650546</c:v>
                </c:pt>
                <c:pt idx="42">
                  <c:v>0.57403081810633128</c:v>
                </c:pt>
                <c:pt idx="43">
                  <c:v>0.57483471402401343</c:v>
                </c:pt>
                <c:pt idx="44">
                  <c:v>0.57560650301754512</c:v>
                </c:pt>
                <c:pt idx="45">
                  <c:v>0.57634821321033458</c:v>
                </c:pt>
                <c:pt idx="46">
                  <c:v>0.57706170544140623</c:v>
                </c:pt>
                <c:pt idx="47">
                  <c:v>0.5777486901644463</c:v>
                </c:pt>
                <c:pt idx="48">
                  <c:v>0.57841074233884693</c:v>
                </c:pt>
                <c:pt idx="49">
                  <c:v>0.57904931458571429</c:v>
                </c:pt>
                <c:pt idx="50">
                  <c:v>0.5796657488401934</c:v>
                </c:pt>
                <c:pt idx="51">
                  <c:v>0.58026128669687438</c:v>
                </c:pt>
                <c:pt idx="52">
                  <c:v>0.58083707861615597</c:v>
                </c:pt>
                <c:pt idx="53">
                  <c:v>0.58139419213523902</c:v>
                </c:pt>
                <c:pt idx="54">
                  <c:v>0.58193361920708286</c:v>
                </c:pt>
                <c:pt idx="55">
                  <c:v>0.58245628277349604</c:v>
                </c:pt>
                <c:pt idx="56">
                  <c:v>0.58296304266400478</c:v>
                </c:pt>
                <c:pt idx="57">
                  <c:v>0.58345470089983342</c:v>
                </c:pt>
                <c:pt idx="58">
                  <c:v>0.58393200647182741</c:v>
                </c:pt>
                <c:pt idx="59">
                  <c:v>0.58439565965220031</c:v>
                </c:pt>
                <c:pt idx="60">
                  <c:v>0.58484631589232305</c:v>
                </c:pt>
                <c:pt idx="61">
                  <c:v>0.58528458935218974</c:v>
                </c:pt>
                <c:pt idx="62">
                  <c:v>0.58571105610153584</c:v>
                </c:pt>
                <c:pt idx="63">
                  <c:v>0.58612625702770493</c:v>
                </c:pt>
                <c:pt idx="64">
                  <c:v>0.58653070048113054</c:v>
                </c:pt>
                <c:pt idx="65">
                  <c:v>0.5869248646856482</c:v>
                </c:pt>
                <c:pt idx="66">
                  <c:v>0.58730919993767061</c:v>
                </c:pt>
                <c:pt idx="67">
                  <c:v>0.58768413061549374</c:v>
                </c:pt>
                <c:pt idx="68">
                  <c:v>0.58805005701758484</c:v>
                </c:pt>
                <c:pt idx="69">
                  <c:v>0.58840735704659886</c:v>
                </c:pt>
                <c:pt idx="70">
                  <c:v>0.58875638775401973</c:v>
                </c:pt>
                <c:pt idx="71">
                  <c:v>0.58909748675869966</c:v>
                </c:pt>
                <c:pt idx="72">
                  <c:v>0.5894309735511456</c:v>
                </c:pt>
                <c:pt idx="73">
                  <c:v>0.58975715069414814</c:v>
                </c:pt>
                <c:pt idx="74">
                  <c:v>0.59007630492923735</c:v>
                </c:pt>
                <c:pt idx="75">
                  <c:v>0.59038870819747269</c:v>
                </c:pt>
                <c:pt idx="76">
                  <c:v>0.5906946185822044</c:v>
                </c:pt>
                <c:pt idx="77">
                  <c:v>0.59099428118068109</c:v>
                </c:pt>
                <c:pt idx="78">
                  <c:v>0.59128792891068693</c:v>
                </c:pt>
                <c:pt idx="79">
                  <c:v>0.59157578325779236</c:v>
                </c:pt>
                <c:pt idx="80">
                  <c:v>0.5918580549682555</c:v>
                </c:pt>
                <c:pt idx="81">
                  <c:v>0.59213494469213135</c:v>
                </c:pt>
                <c:pt idx="82">
                  <c:v>0.59240664358071471</c:v>
                </c:pt>
                <c:pt idx="83">
                  <c:v>0.59267333384205323</c:v>
                </c:pt>
                <c:pt idx="84">
                  <c:v>0.59293518925792765</c:v>
                </c:pt>
                <c:pt idx="85">
                  <c:v>0.59319237566537852</c:v>
                </c:pt>
                <c:pt idx="86">
                  <c:v>0.59344505140558568</c:v>
                </c:pt>
                <c:pt idx="87">
                  <c:v>0.59369336774265447</c:v>
                </c:pt>
                <c:pt idx="88">
                  <c:v>0.59393746925463409</c:v>
                </c:pt>
                <c:pt idx="89">
                  <c:v>0.59417749419889587</c:v>
                </c:pt>
                <c:pt idx="90">
                  <c:v>0.59441357485380852</c:v>
                </c:pt>
                <c:pt idx="91">
                  <c:v>0.59464583783848723</c:v>
                </c:pt>
                <c:pt idx="92">
                  <c:v>0.5948744044122406</c:v>
                </c:pt>
                <c:pt idx="93">
                  <c:v>0.59509939075520246</c:v>
                </c:pt>
                <c:pt idx="94">
                  <c:v>0.59532090823151496</c:v>
                </c:pt>
                <c:pt idx="95">
                  <c:v>0.59553906363631393</c:v>
                </c:pt>
                <c:pt idx="96">
                  <c:v>0.59575395942767051</c:v>
                </c:pt>
                <c:pt idx="97">
                  <c:v>0.59596569394454346</c:v>
                </c:pt>
                <c:pt idx="98">
                  <c:v>0.59617436161172011</c:v>
                </c:pt>
                <c:pt idx="99">
                  <c:v>0.59638005313264253</c:v>
                </c:pt>
                <c:pt idx="100">
                  <c:v>0.59658285567094416</c:v>
                </c:pt>
              </c:numCache>
            </c:numRef>
          </c:val>
          <c:smooth val="0"/>
          <c:extLst>
            <c:ext xmlns:c16="http://schemas.microsoft.com/office/drawing/2014/chart" uri="{C3380CC4-5D6E-409C-BE32-E72D297353CC}">
              <c16:uniqueId val="{00000007-CEA8-405E-B5B3-AF38AAF3801C}"/>
            </c:ext>
          </c:extLst>
        </c:ser>
        <c:ser>
          <c:idx val="17"/>
          <c:order val="17"/>
          <c:spPr>
            <a:ln w="25400">
              <a:solidFill>
                <a:srgbClr val="FF0000"/>
              </a:solidFill>
            </a:ln>
          </c:spPr>
          <c:marker>
            <c:symbol val="none"/>
          </c:marker>
          <c:val>
            <c:numRef>
              <c:f>'Calculations - Dual'!$AU$216:$AU$316</c:f>
              <c:numCache>
                <c:formatCode>0.000</c:formatCode>
                <c:ptCount val="101"/>
                <c:pt idx="0">
                  <c:v>5.9350940764510314E-3</c:v>
                </c:pt>
                <c:pt idx="1">
                  <c:v>8.8375863363932602E-3</c:v>
                </c:pt>
                <c:pt idx="2">
                  <c:v>1.767517267278652E-2</c:v>
                </c:pt>
                <c:pt idx="3">
                  <c:v>2.6512759009179782E-2</c:v>
                </c:pt>
                <c:pt idx="4">
                  <c:v>3.5350345345573041E-2</c:v>
                </c:pt>
                <c:pt idx="5">
                  <c:v>4.4187931681966303E-2</c:v>
                </c:pt>
                <c:pt idx="6">
                  <c:v>5.3025518018359565E-2</c:v>
                </c:pt>
                <c:pt idx="7">
                  <c:v>6.186310435475284E-2</c:v>
                </c:pt>
                <c:pt idx="8">
                  <c:v>7.0700690691146081E-2</c:v>
                </c:pt>
                <c:pt idx="9">
                  <c:v>7.9538277027539336E-2</c:v>
                </c:pt>
                <c:pt idx="10">
                  <c:v>8.8375863363932605E-2</c:v>
                </c:pt>
                <c:pt idx="11">
                  <c:v>9.721344970032586E-2</c:v>
                </c:pt>
                <c:pt idx="12">
                  <c:v>0.10605103603671913</c:v>
                </c:pt>
                <c:pt idx="13">
                  <c:v>0.11488862237311241</c:v>
                </c:pt>
                <c:pt idx="14">
                  <c:v>0.12372620870950568</c:v>
                </c:pt>
                <c:pt idx="15">
                  <c:v>0.13256379504589891</c:v>
                </c:pt>
                <c:pt idx="16">
                  <c:v>0.14140138138229216</c:v>
                </c:pt>
                <c:pt idx="17">
                  <c:v>0.15023896771868545</c:v>
                </c:pt>
                <c:pt idx="18">
                  <c:v>0.15907655405507867</c:v>
                </c:pt>
                <c:pt idx="19">
                  <c:v>0.16791414039147196</c:v>
                </c:pt>
                <c:pt idx="20">
                  <c:v>0.17675172672786521</c:v>
                </c:pt>
                <c:pt idx="21">
                  <c:v>0.18558931306425847</c:v>
                </c:pt>
                <c:pt idx="22">
                  <c:v>0.19442689940065172</c:v>
                </c:pt>
                <c:pt idx="23">
                  <c:v>0.20326448573704503</c:v>
                </c:pt>
                <c:pt idx="24">
                  <c:v>0.20810428743303425</c:v>
                </c:pt>
                <c:pt idx="25">
                  <c:v>0.21174493112523651</c:v>
                </c:pt>
                <c:pt idx="26">
                  <c:v>0.21594676096522714</c:v>
                </c:pt>
                <c:pt idx="27">
                  <c:v>0.22006885361513223</c:v>
                </c:pt>
                <c:pt idx="28">
                  <c:v>0.2241156002154811</c:v>
                </c:pt>
                <c:pt idx="29">
                  <c:v>0.22809100308631841</c:v>
                </c:pt>
                <c:pt idx="30">
                  <c:v>0.23199872228539603</c:v>
                </c:pt>
                <c:pt idx="31">
                  <c:v>0.23584211523470563</c:v>
                </c:pt>
                <c:pt idx="32">
                  <c:v>0.23962427063644409</c:v>
                </c:pt>
                <c:pt idx="33">
                  <c:v>0.24334803765314242</c:v>
                </c:pt>
                <c:pt idx="34">
                  <c:v>0.24701605113595917</c:v>
                </c:pt>
                <c:pt idx="35">
                  <c:v>0.25063075353622133</c:v>
                </c:pt>
                <c:pt idx="36">
                  <c:v>0.25419441401808801</c:v>
                </c:pt>
                <c:pt idx="37">
                  <c:v>0.25770914519727928</c:v>
                </c:pt>
                <c:pt idx="38">
                  <c:v>0.26117691785660652</c:v>
                </c:pt>
                <c:pt idx="39">
                  <c:v>0.26459957392939698</c:v>
                </c:pt>
                <c:pt idx="40">
                  <c:v>0.26797883799366568</c:v>
                </c:pt>
                <c:pt idx="41">
                  <c:v>0.27131632748064499</c:v>
                </c:pt>
                <c:pt idx="42">
                  <c:v>0.27461356176917895</c:v>
                </c:pt>
                <c:pt idx="43">
                  <c:v>0.27787197031108873</c:v>
                </c:pt>
                <c:pt idx="44">
                  <c:v>0.28109289991079484</c:v>
                </c:pt>
                <c:pt idx="45">
                  <c:v>0.28427762126436518</c:v>
                </c:pt>
                <c:pt idx="46">
                  <c:v>0.28742733484803923</c:v>
                </c:pt>
                <c:pt idx="47">
                  <c:v>0.29054317623362114</c:v>
                </c:pt>
                <c:pt idx="48">
                  <c:v>0.29362622089748069</c:v>
                </c:pt>
                <c:pt idx="49">
                  <c:v>0.29667748858090703</c:v>
                </c:pt>
                <c:pt idx="50">
                  <c:v>0.29969794725193505</c:v>
                </c:pt>
                <c:pt idx="51">
                  <c:v>0.30268851671228053</c:v>
                </c:pt>
                <c:pt idx="52">
                  <c:v>0.30565007188748172</c:v>
                </c:pt>
                <c:pt idx="53">
                  <c:v>0.30858344583360403</c:v>
                </c:pt>
                <c:pt idx="54">
                  <c:v>0.31148943248979311</c:v>
                </c:pt>
                <c:pt idx="55">
                  <c:v>0.31436878920244893</c:v>
                </c:pt>
                <c:pt idx="56">
                  <c:v>0.31722223904376334</c:v>
                </c:pt>
                <c:pt idx="57">
                  <c:v>0.32005047294473182</c:v>
                </c:pt>
                <c:pt idx="58">
                  <c:v>0.3228541516604686</c:v>
                </c:pt>
                <c:pt idx="59">
                  <c:v>0.32563390758366223</c:v>
                </c:pt>
                <c:pt idx="60">
                  <c:v>0.32839034642027276</c:v>
                </c:pt>
                <c:pt idx="61">
                  <c:v>0.33112404874004753</c:v>
                </c:pt>
                <c:pt idx="62">
                  <c:v>0.33383557141310094</c:v>
                </c:pt>
                <c:pt idx="63">
                  <c:v>0.33652544894262448</c:v>
                </c:pt>
                <c:pt idx="64">
                  <c:v>0.33919419470276396</c:v>
                </c:pt>
                <c:pt idx="65">
                  <c:v>0.34184230208977984</c:v>
                </c:pt>
                <c:pt idx="66">
                  <c:v>0.34447024559380734</c:v>
                </c:pt>
                <c:pt idx="67">
                  <c:v>0.34707848179780182</c:v>
                </c:pt>
                <c:pt idx="68">
                  <c:v>0.34966745030963287</c:v>
                </c:pt>
                <c:pt idx="69">
                  <c:v>0.35223757463271049</c:v>
                </c:pt>
                <c:pt idx="70">
                  <c:v>0.35478926298002861</c:v>
                </c:pt>
                <c:pt idx="71">
                  <c:v>0.35732290903605524</c:v>
                </c:pt>
                <c:pt idx="72">
                  <c:v>0.35983889267049729</c:v>
                </c:pt>
                <c:pt idx="73">
                  <c:v>0.36233758060760257</c:v>
                </c:pt>
                <c:pt idx="74">
                  <c:v>0.364819327054339</c:v>
                </c:pt>
                <c:pt idx="75">
                  <c:v>0.36728447429049832</c:v>
                </c:pt>
                <c:pt idx="76">
                  <c:v>0.36973335322350476</c:v>
                </c:pt>
                <c:pt idx="77">
                  <c:v>0.37216628391047918</c:v>
                </c:pt>
                <c:pt idx="78">
                  <c:v>0.37458357604988651</c:v>
                </c:pt>
                <c:pt idx="79">
                  <c:v>0.37698552944490676</c:v>
                </c:pt>
                <c:pt idx="80">
                  <c:v>0.37668796372354818</c:v>
                </c:pt>
                <c:pt idx="81">
                  <c:v>0.37468989940218056</c:v>
                </c:pt>
                <c:pt idx="82">
                  <c:v>0.37272322856244816</c:v>
                </c:pt>
                <c:pt idx="83">
                  <c:v>0.37078714565019105</c:v>
                </c:pt>
                <c:pt idx="84">
                  <c:v>0.36590513799746555</c:v>
                </c:pt>
                <c:pt idx="85">
                  <c:v>0.36620445724553691</c:v>
                </c:pt>
                <c:pt idx="86">
                  <c:v>0.36650427238508226</c:v>
                </c:pt>
                <c:pt idx="87">
                  <c:v>0.36679810932545048</c:v>
                </c:pt>
                <c:pt idx="88">
                  <c:v>0.36708615894738494</c:v>
                </c:pt>
                <c:pt idx="89">
                  <c:v>0.3673686040913216</c:v>
                </c:pt>
                <c:pt idx="90">
                  <c:v>0.367645619976322</c:v>
                </c:pt>
                <c:pt idx="91">
                  <c:v>0.36791737459308188</c:v>
                </c:pt>
                <c:pt idx="92">
                  <c:v>0.36818402907286835</c:v>
                </c:pt>
                <c:pt idx="93">
                  <c:v>0.36844573803408887</c:v>
                </c:pt>
                <c:pt idx="94">
                  <c:v>0.36870264990805912</c:v>
                </c:pt>
                <c:pt idx="95">
                  <c:v>0.36895490724540947</c:v>
                </c:pt>
                <c:pt idx="96">
                  <c:v>0.36920264700446137</c:v>
                </c:pt>
                <c:pt idx="97">
                  <c:v>0.36944600082280021</c:v>
                </c:pt>
                <c:pt idx="98">
                  <c:v>0.36968509527317261</c:v>
                </c:pt>
                <c:pt idx="99">
                  <c:v>0.36992005210475642</c:v>
                </c:pt>
                <c:pt idx="100">
                  <c:v>0.37015098847077077</c:v>
                </c:pt>
              </c:numCache>
            </c:numRef>
          </c:val>
          <c:smooth val="0"/>
          <c:extLst>
            <c:ext xmlns:c16="http://schemas.microsoft.com/office/drawing/2014/chart" uri="{C3380CC4-5D6E-409C-BE32-E72D297353CC}">
              <c16:uniqueId val="{00000008-CEA8-405E-B5B3-AF38AAF3801C}"/>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9-CEA8-405E-B5B3-AF38AAF3801C}"/>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A-CEA8-405E-B5B3-AF38AAF3801C}"/>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B-CEA8-405E-B5B3-AF38AAF3801C}"/>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CEA8-405E-B5B3-AF38AAF3801C}"/>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CEA8-405E-B5B3-AF38AAF3801C}"/>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CEA8-405E-B5B3-AF38AAF3801C}"/>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8.3779019412543124E-3</c:v>
                </c:pt>
                <c:pt idx="1">
                  <c:v>1.2488007640413848E-2</c:v>
                </c:pt>
                <c:pt idx="2">
                  <c:v>2.4976015280827695E-2</c:v>
                </c:pt>
                <c:pt idx="3">
                  <c:v>3.7464022921241548E-2</c:v>
                </c:pt>
                <c:pt idx="4">
                  <c:v>4.995203056165539E-2</c:v>
                </c:pt>
                <c:pt idx="5">
                  <c:v>6.244003820206926E-2</c:v>
                </c:pt>
                <c:pt idx="6">
                  <c:v>7.4928045842483096E-2</c:v>
                </c:pt>
                <c:pt idx="7">
                  <c:v>8.7416053482896966E-2</c:v>
                </c:pt>
                <c:pt idx="8">
                  <c:v>9.9904061123310781E-2</c:v>
                </c:pt>
                <c:pt idx="9">
                  <c:v>0.11239206876372462</c:v>
                </c:pt>
                <c:pt idx="10">
                  <c:v>0.12488007640413852</c:v>
                </c:pt>
                <c:pt idx="11">
                  <c:v>0.13736808404455234</c:v>
                </c:pt>
                <c:pt idx="12">
                  <c:v>0.14985609168496619</c:v>
                </c:pt>
                <c:pt idx="13">
                  <c:v>0.16234409932538005</c:v>
                </c:pt>
                <c:pt idx="14">
                  <c:v>0.17483210696579393</c:v>
                </c:pt>
                <c:pt idx="15">
                  <c:v>0.18732011460620773</c:v>
                </c:pt>
                <c:pt idx="16">
                  <c:v>0.19980812224662156</c:v>
                </c:pt>
                <c:pt idx="17">
                  <c:v>0.21229612988703547</c:v>
                </c:pt>
                <c:pt idx="18">
                  <c:v>0.22478413752744925</c:v>
                </c:pt>
                <c:pt idx="19">
                  <c:v>0.23727214516786316</c:v>
                </c:pt>
                <c:pt idx="20">
                  <c:v>0.24976015280827704</c:v>
                </c:pt>
                <c:pt idx="21">
                  <c:v>0.26224816044869081</c:v>
                </c:pt>
                <c:pt idx="22">
                  <c:v>0.27473616808910467</c:v>
                </c:pt>
                <c:pt idx="23">
                  <c:v>0.28722417572951853</c:v>
                </c:pt>
                <c:pt idx="24">
                  <c:v>0.29403882002003295</c:v>
                </c:pt>
                <c:pt idx="25">
                  <c:v>0.29918797535922698</c:v>
                </c:pt>
                <c:pt idx="26">
                  <c:v>0.30513015375825264</c:v>
                </c:pt>
                <c:pt idx="27">
                  <c:v>0.31095976344625725</c:v>
                </c:pt>
                <c:pt idx="28">
                  <c:v>0.31668300365380314</c:v>
                </c:pt>
                <c:pt idx="29">
                  <c:v>0.32230552468985774</c:v>
                </c:pt>
                <c:pt idx="30">
                  <c:v>0.32783249367087941</c:v>
                </c:pt>
                <c:pt idx="31">
                  <c:v>0.33326865046404747</c:v>
                </c:pt>
                <c:pt idx="32">
                  <c:v>0.33861835556852687</c:v>
                </c:pt>
                <c:pt idx="33">
                  <c:v>0.34388563131085648</c:v>
                </c:pt>
                <c:pt idx="34">
                  <c:v>0.34907419746128615</c:v>
                </c:pt>
                <c:pt idx="35">
                  <c:v>0.35418750216764661</c:v>
                </c:pt>
                <c:pt idx="36">
                  <c:v>0.35922874893787055</c:v>
                </c:pt>
                <c:pt idx="37">
                  <c:v>0.36420092027108264</c:v>
                </c:pt>
                <c:pt idx="38">
                  <c:v>0.36910679843241506</c:v>
                </c:pt>
                <c:pt idx="39">
                  <c:v>0.37394898378250091</c:v>
                </c:pt>
                <c:pt idx="40">
                  <c:v>0.37872991100449843</c:v>
                </c:pt>
                <c:pt idx="41">
                  <c:v>0.38345186351609423</c:v>
                </c:pt>
                <c:pt idx="42">
                  <c:v>0.38811698630861302</c:v>
                </c:pt>
                <c:pt idx="43">
                  <c:v>0.39272729741808887</c:v>
                </c:pt>
                <c:pt idx="44">
                  <c:v>0.39728469820235079</c:v>
                </c:pt>
                <c:pt idx="45">
                  <c:v>0.40179098257259055</c:v>
                </c:pt>
                <c:pt idx="46">
                  <c:v>0.40624784530655006</c:v>
                </c:pt>
                <c:pt idx="47">
                  <c:v>0.41065688955258123</c:v>
                </c:pt>
                <c:pt idx="48">
                  <c:v>0.41501963361880323</c:v>
                </c:pt>
                <c:pt idx="49">
                  <c:v>0.4193375171288754</c:v>
                </c:pt>
                <c:pt idx="50">
                  <c:v>0.42361190661514564</c:v>
                </c:pt>
                <c:pt idx="51">
                  <c:v>0.42784410061077754</c:v>
                </c:pt>
                <c:pt idx="52">
                  <c:v>0.43203533429463903</c:v>
                </c:pt>
                <c:pt idx="53">
                  <c:v>0.43618678373604797</c:v>
                </c:pt>
                <c:pt idx="54">
                  <c:v>0.44029956978071522</c:v>
                </c:pt>
                <c:pt idx="55">
                  <c:v>0.44437476161427114</c:v>
                </c:pt>
                <c:pt idx="56">
                  <c:v>0.44841338003548398</c:v>
                </c:pt>
                <c:pt idx="57">
                  <c:v>0.45241640046755743</c:v>
                </c:pt>
                <c:pt idx="58">
                  <c:v>0.4563847557326845</c:v>
                </c:pt>
                <c:pt idx="59">
                  <c:v>0.45879896714701857</c:v>
                </c:pt>
                <c:pt idx="60">
                  <c:v>0.45550461396425673</c:v>
                </c:pt>
                <c:pt idx="61">
                  <c:v>0.45227993741169942</c:v>
                </c:pt>
                <c:pt idx="62">
                  <c:v>0.44478545383394447</c:v>
                </c:pt>
                <c:pt idx="63">
                  <c:v>0.44527299429520378</c:v>
                </c:pt>
                <c:pt idx="64">
                  <c:v>0.44576071101689979</c:v>
                </c:pt>
                <c:pt idx="65">
                  <c:v>0.44623531726372351</c:v>
                </c:pt>
                <c:pt idx="66">
                  <c:v>0.44669737153451455</c:v>
                </c:pt>
                <c:pt idx="67">
                  <c:v>0.44714740105136142</c:v>
                </c:pt>
                <c:pt idx="68">
                  <c:v>0.44758590391880115</c:v>
                </c:pt>
                <c:pt idx="69">
                  <c:v>0.44801335110658319</c:v>
                </c:pt>
                <c:pt idx="70">
                  <c:v>0.44843018827258846</c:v>
                </c:pt>
                <c:pt idx="71">
                  <c:v>0.4488368374407416</c:v>
                </c:pt>
                <c:pt idx="72">
                  <c:v>0.44923369854719519</c:v>
                </c:pt>
                <c:pt idx="73">
                  <c:v>0.44962115086669674</c:v>
                </c:pt>
                <c:pt idx="74">
                  <c:v>0.44999955432983102</c:v>
                </c:pt>
                <c:pt idx="75">
                  <c:v>0.45036925074075679</c:v>
                </c:pt>
                <c:pt idx="76">
                  <c:v>0.45073056490409813</c:v>
                </c:pt>
                <c:pt idx="77">
                  <c:v>0.45108380566879991</c:v>
                </c:pt>
                <c:pt idx="78">
                  <c:v>0.45142926689599699</c:v>
                </c:pt>
                <c:pt idx="79">
                  <c:v>0.45176722835727801</c:v>
                </c:pt>
                <c:pt idx="80">
                  <c:v>0.45209795656910928</c:v>
                </c:pt>
                <c:pt idx="81">
                  <c:v>0.4524217055686533</c:v>
                </c:pt>
                <c:pt idx="82">
                  <c:v>0.45273871763572765</c:v>
                </c:pt>
                <c:pt idx="83">
                  <c:v>0.45304922396521624</c:v>
                </c:pt>
                <c:pt idx="84">
                  <c:v>0.45335344529385657</c:v>
                </c:pt>
                <c:pt idx="85">
                  <c:v>0.45365159248497189</c:v>
                </c:pt>
                <c:pt idx="86">
                  <c:v>0.45394386707440582</c:v>
                </c:pt>
                <c:pt idx="87">
                  <c:v>0.45423046178062981</c:v>
                </c:pt>
                <c:pt idx="88">
                  <c:v>0.45451156098173551</c:v>
                </c:pt>
                <c:pt idx="89">
                  <c:v>0.45478734116179415</c:v>
                </c:pt>
                <c:pt idx="90">
                  <c:v>0.45505797132885434</c:v>
                </c:pt>
                <c:pt idx="91">
                  <c:v>0.45532361340665628</c:v>
                </c:pt>
                <c:pt idx="92">
                  <c:v>0.45558442260197557</c:v>
                </c:pt>
                <c:pt idx="93">
                  <c:v>0.45584054774933941</c:v>
                </c:pt>
                <c:pt idx="94">
                  <c:v>0.45609213163473405</c:v>
                </c:pt>
                <c:pt idx="95">
                  <c:v>0.45633931129977395</c:v>
                </c:pt>
                <c:pt idx="96">
                  <c:v>0.45658221832770157</c:v>
                </c:pt>
                <c:pt idx="97">
                  <c:v>0.45682097911246594</c:v>
                </c:pt>
                <c:pt idx="98">
                  <c:v>0.45705571511204024</c:v>
                </c:pt>
                <c:pt idx="99">
                  <c:v>0.45728654308704397</c:v>
                </c:pt>
                <c:pt idx="100">
                  <c:v>0.45751357532565434</c:v>
                </c:pt>
              </c:numCache>
            </c:numRef>
          </c:val>
          <c:smooth val="0"/>
          <c:extLst>
            <c:ext xmlns:c16="http://schemas.microsoft.com/office/drawing/2014/chart" uri="{C3380CC4-5D6E-409C-BE32-E72D297353CC}">
              <c16:uniqueId val="{0000000F-CEA8-405E-B5B3-AF38AAF3801C}"/>
            </c:ext>
          </c:extLst>
        </c:ser>
        <c:ser>
          <c:idx val="7"/>
          <c:order val="7"/>
          <c:spPr>
            <a:ln w="25400">
              <a:solidFill>
                <a:srgbClr val="00B050"/>
              </a:solidFill>
              <a:prstDash val="dash"/>
            </a:ln>
          </c:spPr>
          <c:marker>
            <c:symbol val="none"/>
          </c:marker>
          <c:val>
            <c:numRef>
              <c:f>'Calculations - Dual'!$AU$110:$AU$210</c:f>
              <c:numCache>
                <c:formatCode>0.000</c:formatCode>
                <c:ptCount val="101"/>
                <c:pt idx="0">
                  <c:v>1.424692498560008E-2</c:v>
                </c:pt>
                <c:pt idx="1">
                  <c:v>2.1270519713162711E-2</c:v>
                </c:pt>
                <c:pt idx="2">
                  <c:v>6.3811559139488147E-2</c:v>
                </c:pt>
                <c:pt idx="3">
                  <c:v>6.3811559139488147E-2</c:v>
                </c:pt>
                <c:pt idx="4">
                  <c:v>8.5082078852650844E-2</c:v>
                </c:pt>
                <c:pt idx="5">
                  <c:v>0.10635259856581358</c:v>
                </c:pt>
                <c:pt idx="6">
                  <c:v>0.12762311827897629</c:v>
                </c:pt>
                <c:pt idx="7">
                  <c:v>0.14889363799213903</c:v>
                </c:pt>
                <c:pt idx="8">
                  <c:v>0.17016415770530169</c:v>
                </c:pt>
                <c:pt idx="9">
                  <c:v>0.1914346774184644</c:v>
                </c:pt>
                <c:pt idx="10">
                  <c:v>0.21270519713162717</c:v>
                </c:pt>
                <c:pt idx="11">
                  <c:v>0.23397571684478982</c:v>
                </c:pt>
                <c:pt idx="12">
                  <c:v>0.25524623655795259</c:v>
                </c:pt>
                <c:pt idx="13">
                  <c:v>0.27651675627111527</c:v>
                </c:pt>
                <c:pt idx="14">
                  <c:v>0.29778727598427807</c:v>
                </c:pt>
                <c:pt idx="15">
                  <c:v>0.31905779569744069</c:v>
                </c:pt>
                <c:pt idx="16">
                  <c:v>0.34032831541060338</c:v>
                </c:pt>
                <c:pt idx="17">
                  <c:v>0.36159883512376617</c:v>
                </c:pt>
                <c:pt idx="18">
                  <c:v>0.3828693548369288</c:v>
                </c:pt>
                <c:pt idx="19">
                  <c:v>0.40413987455009159</c:v>
                </c:pt>
                <c:pt idx="20">
                  <c:v>0.42541039426325433</c:v>
                </c:pt>
                <c:pt idx="21">
                  <c:v>0.4466809139764169</c:v>
                </c:pt>
                <c:pt idx="22">
                  <c:v>0.46795143368957964</c:v>
                </c:pt>
                <c:pt idx="23">
                  <c:v>0.48922195340274238</c:v>
                </c:pt>
                <c:pt idx="24">
                  <c:v>0.50083735856707046</c:v>
                </c:pt>
                <c:pt idx="25">
                  <c:v>0.50962841219157462</c:v>
                </c:pt>
                <c:pt idx="26">
                  <c:v>0.51977062850443534</c:v>
                </c:pt>
                <c:pt idx="27">
                  <c:v>0.52972148712328815</c:v>
                </c:pt>
                <c:pt idx="28">
                  <c:v>0.53949152657236354</c:v>
                </c:pt>
                <c:pt idx="29">
                  <c:v>0.54909035221825397</c:v>
                </c:pt>
                <c:pt idx="30">
                  <c:v>0.55852674800857072</c:v>
                </c:pt>
                <c:pt idx="31">
                  <c:v>0.56780877157473764</c:v>
                </c:pt>
                <c:pt idx="32">
                  <c:v>0.57694383562952367</c:v>
                </c:pt>
                <c:pt idx="33">
                  <c:v>0.58575082244216581</c:v>
                </c:pt>
                <c:pt idx="34">
                  <c:v>0.57827349884422152</c:v>
                </c:pt>
                <c:pt idx="35">
                  <c:v>0.56730324928656006</c:v>
                </c:pt>
                <c:pt idx="36">
                  <c:v>0.56839306900883535</c:v>
                </c:pt>
                <c:pt idx="37">
                  <c:v>0.56944437202677078</c:v>
                </c:pt>
                <c:pt idx="38">
                  <c:v>0.57044659110207041</c:v>
                </c:pt>
                <c:pt idx="39">
                  <c:v>0.5714032750101784</c:v>
                </c:pt>
                <c:pt idx="40">
                  <c:v>0.57231763848659778</c:v>
                </c:pt>
                <c:pt idx="41">
                  <c:v>0.57319260062650546</c:v>
                </c:pt>
                <c:pt idx="42">
                  <c:v>0.57403081810633128</c:v>
                </c:pt>
                <c:pt idx="43">
                  <c:v>0.57483471402401343</c:v>
                </c:pt>
                <c:pt idx="44">
                  <c:v>0.57560650301754512</c:v>
                </c:pt>
                <c:pt idx="45">
                  <c:v>0.57634821321033458</c:v>
                </c:pt>
                <c:pt idx="46">
                  <c:v>0.57706170544140623</c:v>
                </c:pt>
                <c:pt idx="47">
                  <c:v>0.5777486901644463</c:v>
                </c:pt>
                <c:pt idx="48">
                  <c:v>0.57841074233884693</c:v>
                </c:pt>
                <c:pt idx="49">
                  <c:v>0.57904931458571429</c:v>
                </c:pt>
                <c:pt idx="50">
                  <c:v>0.5796657488401934</c:v>
                </c:pt>
                <c:pt idx="51">
                  <c:v>0.58026128669687438</c:v>
                </c:pt>
                <c:pt idx="52">
                  <c:v>0.58083707861615597</c:v>
                </c:pt>
                <c:pt idx="53">
                  <c:v>0.58139419213523902</c:v>
                </c:pt>
                <c:pt idx="54">
                  <c:v>0.58193361920708286</c:v>
                </c:pt>
                <c:pt idx="55">
                  <c:v>0.58245628277349604</c:v>
                </c:pt>
                <c:pt idx="56">
                  <c:v>0.58296304266400478</c:v>
                </c:pt>
                <c:pt idx="57">
                  <c:v>0.58345470089983342</c:v>
                </c:pt>
                <c:pt idx="58">
                  <c:v>0.58393200647182741</c:v>
                </c:pt>
                <c:pt idx="59">
                  <c:v>0.58439565965220031</c:v>
                </c:pt>
                <c:pt idx="60">
                  <c:v>0.58484631589232305</c:v>
                </c:pt>
                <c:pt idx="61">
                  <c:v>0.58528458935218974</c:v>
                </c:pt>
                <c:pt idx="62">
                  <c:v>0.58571105610153584</c:v>
                </c:pt>
                <c:pt idx="63">
                  <c:v>0.58612625702770493</c:v>
                </c:pt>
                <c:pt idx="64">
                  <c:v>0.58653070048113054</c:v>
                </c:pt>
                <c:pt idx="65">
                  <c:v>0.5869248646856482</c:v>
                </c:pt>
                <c:pt idx="66">
                  <c:v>0.58730919993767061</c:v>
                </c:pt>
                <c:pt idx="67">
                  <c:v>0.58768413061549374</c:v>
                </c:pt>
                <c:pt idx="68">
                  <c:v>0.58805005701758484</c:v>
                </c:pt>
                <c:pt idx="69">
                  <c:v>0.58840735704659886</c:v>
                </c:pt>
                <c:pt idx="70">
                  <c:v>0.58875638775401973</c:v>
                </c:pt>
                <c:pt idx="71">
                  <c:v>0.58909748675869966</c:v>
                </c:pt>
                <c:pt idx="72">
                  <c:v>0.5894309735511456</c:v>
                </c:pt>
                <c:pt idx="73">
                  <c:v>0.58975715069414814</c:v>
                </c:pt>
                <c:pt idx="74">
                  <c:v>0.59007630492923735</c:v>
                </c:pt>
                <c:pt idx="75">
                  <c:v>0.59038870819747269</c:v>
                </c:pt>
                <c:pt idx="76">
                  <c:v>0.5906946185822044</c:v>
                </c:pt>
                <c:pt idx="77">
                  <c:v>0.59099428118068109</c:v>
                </c:pt>
                <c:pt idx="78">
                  <c:v>0.59128792891068693</c:v>
                </c:pt>
                <c:pt idx="79">
                  <c:v>0.59157578325779236</c:v>
                </c:pt>
                <c:pt idx="80">
                  <c:v>0.5918580549682555</c:v>
                </c:pt>
                <c:pt idx="81">
                  <c:v>0.59213494469213135</c:v>
                </c:pt>
                <c:pt idx="82">
                  <c:v>0.59240664358071471</c:v>
                </c:pt>
                <c:pt idx="83">
                  <c:v>0.59267333384205323</c:v>
                </c:pt>
                <c:pt idx="84">
                  <c:v>0.59293518925792765</c:v>
                </c:pt>
                <c:pt idx="85">
                  <c:v>0.59319237566537852</c:v>
                </c:pt>
                <c:pt idx="86">
                  <c:v>0.59344505140558568</c:v>
                </c:pt>
                <c:pt idx="87">
                  <c:v>0.59369336774265447</c:v>
                </c:pt>
                <c:pt idx="88">
                  <c:v>0.59393746925463409</c:v>
                </c:pt>
                <c:pt idx="89">
                  <c:v>0.59417749419889587</c:v>
                </c:pt>
                <c:pt idx="90">
                  <c:v>0.59441357485380852</c:v>
                </c:pt>
                <c:pt idx="91">
                  <c:v>0.59464583783848723</c:v>
                </c:pt>
                <c:pt idx="92">
                  <c:v>0.5948744044122406</c:v>
                </c:pt>
                <c:pt idx="93">
                  <c:v>0.59509939075520246</c:v>
                </c:pt>
                <c:pt idx="94">
                  <c:v>0.59532090823151496</c:v>
                </c:pt>
                <c:pt idx="95">
                  <c:v>0.59553906363631393</c:v>
                </c:pt>
                <c:pt idx="96">
                  <c:v>0.59575395942767051</c:v>
                </c:pt>
                <c:pt idx="97">
                  <c:v>0.59596569394454346</c:v>
                </c:pt>
                <c:pt idx="98">
                  <c:v>0.59617436161172011</c:v>
                </c:pt>
                <c:pt idx="99">
                  <c:v>0.59638005313264253</c:v>
                </c:pt>
                <c:pt idx="100">
                  <c:v>0.59658285567094416</c:v>
                </c:pt>
              </c:numCache>
            </c:numRef>
          </c:val>
          <c:smooth val="0"/>
          <c:extLst>
            <c:ext xmlns:c16="http://schemas.microsoft.com/office/drawing/2014/chart" uri="{C3380CC4-5D6E-409C-BE32-E72D297353CC}">
              <c16:uniqueId val="{00000010-CEA8-405E-B5B3-AF38AAF3801C}"/>
            </c:ext>
          </c:extLst>
        </c:ser>
        <c:ser>
          <c:idx val="8"/>
          <c:order val="8"/>
          <c:spPr>
            <a:ln w="25400">
              <a:solidFill>
                <a:srgbClr val="FF0000"/>
              </a:solidFill>
            </a:ln>
          </c:spPr>
          <c:marker>
            <c:symbol val="none"/>
          </c:marker>
          <c:val>
            <c:numRef>
              <c:f>'Calculations - Dual'!$AU$216:$AU$316</c:f>
              <c:numCache>
                <c:formatCode>0.000</c:formatCode>
                <c:ptCount val="101"/>
                <c:pt idx="0">
                  <c:v>5.9350940764510314E-3</c:v>
                </c:pt>
                <c:pt idx="1">
                  <c:v>8.8375863363932602E-3</c:v>
                </c:pt>
                <c:pt idx="2">
                  <c:v>1.767517267278652E-2</c:v>
                </c:pt>
                <c:pt idx="3">
                  <c:v>2.6512759009179782E-2</c:v>
                </c:pt>
                <c:pt idx="4">
                  <c:v>3.5350345345573041E-2</c:v>
                </c:pt>
                <c:pt idx="5">
                  <c:v>4.4187931681966303E-2</c:v>
                </c:pt>
                <c:pt idx="6">
                  <c:v>5.3025518018359565E-2</c:v>
                </c:pt>
                <c:pt idx="7">
                  <c:v>6.186310435475284E-2</c:v>
                </c:pt>
                <c:pt idx="8">
                  <c:v>7.0700690691146081E-2</c:v>
                </c:pt>
                <c:pt idx="9">
                  <c:v>7.9538277027539336E-2</c:v>
                </c:pt>
                <c:pt idx="10">
                  <c:v>8.8375863363932605E-2</c:v>
                </c:pt>
                <c:pt idx="11">
                  <c:v>9.721344970032586E-2</c:v>
                </c:pt>
                <c:pt idx="12">
                  <c:v>0.10605103603671913</c:v>
                </c:pt>
                <c:pt idx="13">
                  <c:v>0.11488862237311241</c:v>
                </c:pt>
                <c:pt idx="14">
                  <c:v>0.12372620870950568</c:v>
                </c:pt>
                <c:pt idx="15">
                  <c:v>0.13256379504589891</c:v>
                </c:pt>
                <c:pt idx="16">
                  <c:v>0.14140138138229216</c:v>
                </c:pt>
                <c:pt idx="17">
                  <c:v>0.15023896771868545</c:v>
                </c:pt>
                <c:pt idx="18">
                  <c:v>0.15907655405507867</c:v>
                </c:pt>
                <c:pt idx="19">
                  <c:v>0.16791414039147196</c:v>
                </c:pt>
                <c:pt idx="20">
                  <c:v>0.17675172672786521</c:v>
                </c:pt>
                <c:pt idx="21">
                  <c:v>0.18558931306425847</c:v>
                </c:pt>
                <c:pt idx="22">
                  <c:v>0.19442689940065172</c:v>
                </c:pt>
                <c:pt idx="23">
                  <c:v>0.20326448573704503</c:v>
                </c:pt>
                <c:pt idx="24">
                  <c:v>0.20810428743303425</c:v>
                </c:pt>
                <c:pt idx="25">
                  <c:v>0.21174493112523651</c:v>
                </c:pt>
                <c:pt idx="26">
                  <c:v>0.21594676096522714</c:v>
                </c:pt>
                <c:pt idx="27">
                  <c:v>0.22006885361513223</c:v>
                </c:pt>
                <c:pt idx="28">
                  <c:v>0.2241156002154811</c:v>
                </c:pt>
                <c:pt idx="29">
                  <c:v>0.22809100308631841</c:v>
                </c:pt>
                <c:pt idx="30">
                  <c:v>0.23199872228539603</c:v>
                </c:pt>
                <c:pt idx="31">
                  <c:v>0.23584211523470563</c:v>
                </c:pt>
                <c:pt idx="32">
                  <c:v>0.23962427063644409</c:v>
                </c:pt>
                <c:pt idx="33">
                  <c:v>0.24334803765314242</c:v>
                </c:pt>
                <c:pt idx="34">
                  <c:v>0.24701605113595917</c:v>
                </c:pt>
                <c:pt idx="35">
                  <c:v>0.25063075353622133</c:v>
                </c:pt>
                <c:pt idx="36">
                  <c:v>0.25419441401808801</c:v>
                </c:pt>
                <c:pt idx="37">
                  <c:v>0.25770914519727928</c:v>
                </c:pt>
                <c:pt idx="38">
                  <c:v>0.26117691785660652</c:v>
                </c:pt>
                <c:pt idx="39">
                  <c:v>0.26459957392939698</c:v>
                </c:pt>
                <c:pt idx="40">
                  <c:v>0.26797883799366568</c:v>
                </c:pt>
                <c:pt idx="41">
                  <c:v>0.27131632748064499</c:v>
                </c:pt>
                <c:pt idx="42">
                  <c:v>0.27461356176917895</c:v>
                </c:pt>
                <c:pt idx="43">
                  <c:v>0.27787197031108873</c:v>
                </c:pt>
                <c:pt idx="44">
                  <c:v>0.28109289991079484</c:v>
                </c:pt>
                <c:pt idx="45">
                  <c:v>0.28427762126436518</c:v>
                </c:pt>
                <c:pt idx="46">
                  <c:v>0.28742733484803923</c:v>
                </c:pt>
                <c:pt idx="47">
                  <c:v>0.29054317623362114</c:v>
                </c:pt>
                <c:pt idx="48">
                  <c:v>0.29362622089748069</c:v>
                </c:pt>
                <c:pt idx="49">
                  <c:v>0.29667748858090703</c:v>
                </c:pt>
                <c:pt idx="50">
                  <c:v>0.29969794725193505</c:v>
                </c:pt>
                <c:pt idx="51">
                  <c:v>0.30268851671228053</c:v>
                </c:pt>
                <c:pt idx="52">
                  <c:v>0.30565007188748172</c:v>
                </c:pt>
                <c:pt idx="53">
                  <c:v>0.30858344583360403</c:v>
                </c:pt>
                <c:pt idx="54">
                  <c:v>0.31148943248979311</c:v>
                </c:pt>
                <c:pt idx="55">
                  <c:v>0.31436878920244893</c:v>
                </c:pt>
                <c:pt idx="56">
                  <c:v>0.31722223904376334</c:v>
                </c:pt>
                <c:pt idx="57">
                  <c:v>0.32005047294473182</c:v>
                </c:pt>
                <c:pt idx="58">
                  <c:v>0.3228541516604686</c:v>
                </c:pt>
                <c:pt idx="59">
                  <c:v>0.32563390758366223</c:v>
                </c:pt>
                <c:pt idx="60">
                  <c:v>0.32839034642027276</c:v>
                </c:pt>
                <c:pt idx="61">
                  <c:v>0.33112404874004753</c:v>
                </c:pt>
                <c:pt idx="62">
                  <c:v>0.33383557141310094</c:v>
                </c:pt>
                <c:pt idx="63">
                  <c:v>0.33652544894262448</c:v>
                </c:pt>
                <c:pt idx="64">
                  <c:v>0.33919419470276396</c:v>
                </c:pt>
                <c:pt idx="65">
                  <c:v>0.34184230208977984</c:v>
                </c:pt>
                <c:pt idx="66">
                  <c:v>0.34447024559380734</c:v>
                </c:pt>
                <c:pt idx="67">
                  <c:v>0.34707848179780182</c:v>
                </c:pt>
                <c:pt idx="68">
                  <c:v>0.34966745030963287</c:v>
                </c:pt>
                <c:pt idx="69">
                  <c:v>0.35223757463271049</c:v>
                </c:pt>
                <c:pt idx="70">
                  <c:v>0.35478926298002861</c:v>
                </c:pt>
                <c:pt idx="71">
                  <c:v>0.35732290903605524</c:v>
                </c:pt>
                <c:pt idx="72">
                  <c:v>0.35983889267049729</c:v>
                </c:pt>
                <c:pt idx="73">
                  <c:v>0.36233758060760257</c:v>
                </c:pt>
                <c:pt idx="74">
                  <c:v>0.364819327054339</c:v>
                </c:pt>
                <c:pt idx="75">
                  <c:v>0.36728447429049832</c:v>
                </c:pt>
                <c:pt idx="76">
                  <c:v>0.36973335322350476</c:v>
                </c:pt>
                <c:pt idx="77">
                  <c:v>0.37216628391047918</c:v>
                </c:pt>
                <c:pt idx="78">
                  <c:v>0.37458357604988651</c:v>
                </c:pt>
                <c:pt idx="79">
                  <c:v>0.37698552944490676</c:v>
                </c:pt>
                <c:pt idx="80">
                  <c:v>0.37668796372354818</c:v>
                </c:pt>
                <c:pt idx="81">
                  <c:v>0.37468989940218056</c:v>
                </c:pt>
                <c:pt idx="82">
                  <c:v>0.37272322856244816</c:v>
                </c:pt>
                <c:pt idx="83">
                  <c:v>0.37078714565019105</c:v>
                </c:pt>
                <c:pt idx="84">
                  <c:v>0.36590513799746555</c:v>
                </c:pt>
                <c:pt idx="85">
                  <c:v>0.36620445724553691</c:v>
                </c:pt>
                <c:pt idx="86">
                  <c:v>0.36650427238508226</c:v>
                </c:pt>
                <c:pt idx="87">
                  <c:v>0.36679810932545048</c:v>
                </c:pt>
                <c:pt idx="88">
                  <c:v>0.36708615894738494</c:v>
                </c:pt>
                <c:pt idx="89">
                  <c:v>0.3673686040913216</c:v>
                </c:pt>
                <c:pt idx="90">
                  <c:v>0.367645619976322</c:v>
                </c:pt>
                <c:pt idx="91">
                  <c:v>0.36791737459308188</c:v>
                </c:pt>
                <c:pt idx="92">
                  <c:v>0.36818402907286835</c:v>
                </c:pt>
                <c:pt idx="93">
                  <c:v>0.36844573803408887</c:v>
                </c:pt>
                <c:pt idx="94">
                  <c:v>0.36870264990805912</c:v>
                </c:pt>
                <c:pt idx="95">
                  <c:v>0.36895490724540947</c:v>
                </c:pt>
                <c:pt idx="96">
                  <c:v>0.36920264700446137</c:v>
                </c:pt>
                <c:pt idx="97">
                  <c:v>0.36944600082280021</c:v>
                </c:pt>
                <c:pt idx="98">
                  <c:v>0.36968509527317261</c:v>
                </c:pt>
                <c:pt idx="99">
                  <c:v>0.36992005210475642</c:v>
                </c:pt>
                <c:pt idx="100">
                  <c:v>0.37015098847077077</c:v>
                </c:pt>
              </c:numCache>
            </c:numRef>
          </c:val>
          <c:smooth val="0"/>
          <c:extLst>
            <c:ext xmlns:c16="http://schemas.microsoft.com/office/drawing/2014/chart" uri="{C3380CC4-5D6E-409C-BE32-E72D297353CC}">
              <c16:uniqueId val="{00000011-CEA8-405E-B5B3-AF38AAF3801C}"/>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6.1663859844663058</c:v>
                </c:pt>
                <c:pt idx="26">
                  <c:v>6.2885044926277498</c:v>
                </c:pt>
                <c:pt idx="27">
                  <c:v>6.4082962945057638</c:v>
                </c:pt>
                <c:pt idx="28">
                  <c:v>6.5258895211728181</c:v>
                </c:pt>
                <c:pt idx="29">
                  <c:v>6.6414009581510802</c:v>
                </c:pt>
                <c:pt idx="30">
                  <c:v>6.7549374039517938</c:v>
                </c:pt>
                <c:pt idx="31">
                  <c:v>6.866596826353204</c:v>
                </c:pt>
                <c:pt idx="32">
                  <c:v>6.9764693520476948</c:v>
                </c:pt>
                <c:pt idx="33">
                  <c:v>7.0846381181001536</c:v>
                </c:pt>
                <c:pt idx="34">
                  <c:v>7.1911800080942623</c:v>
                </c:pt>
                <c:pt idx="35">
                  <c:v>7.2479980162003947</c:v>
                </c:pt>
                <c:pt idx="36">
                  <c:v>7.4554620486989158</c:v>
                </c:pt>
                <c:pt idx="37">
                  <c:v>7.6630750218595827</c:v>
                </c:pt>
                <c:pt idx="38">
                  <c:v>7.8707162194615981</c:v>
                </c:pt>
                <c:pt idx="39">
                  <c:v>8.0783856644386809</c:v>
                </c:pt>
                <c:pt idx="40">
                  <c:v>8.2860833797365068</c:v>
                </c:pt>
                <c:pt idx="41">
                  <c:v>8.4938093883127159</c:v>
                </c:pt>
                <c:pt idx="42">
                  <c:v>8.7015637131369203</c:v>
                </c:pt>
                <c:pt idx="43">
                  <c:v>8.9093463771907189</c:v>
                </c:pt>
                <c:pt idx="44">
                  <c:v>9.1171574034677025</c:v>
                </c:pt>
                <c:pt idx="45">
                  <c:v>9.3249968149734759</c:v>
                </c:pt>
                <c:pt idx="46">
                  <c:v>9.5328646347256516</c:v>
                </c:pt>
                <c:pt idx="47">
                  <c:v>9.7407608857538808</c:v>
                </c:pt>
                <c:pt idx="48">
                  <c:v>9.9486855910998457</c:v>
                </c:pt>
                <c:pt idx="49">
                  <c:v>10.15663877381729</c:v>
                </c:pt>
                <c:pt idx="50">
                  <c:v>10.364620456972004</c:v>
                </c:pt>
                <c:pt idx="51">
                  <c:v>10.572630663641862</c:v>
                </c:pt>
                <c:pt idx="52">
                  <c:v>10.780669416916814</c:v>
                </c:pt>
                <c:pt idx="53">
                  <c:v>10.988736739898908</c:v>
                </c:pt>
                <c:pt idx="54">
                  <c:v>11.1968326557023</c:v>
                </c:pt>
                <c:pt idx="55">
                  <c:v>11.404957187453251</c:v>
                </c:pt>
                <c:pt idx="56">
                  <c:v>11.613110358290161</c:v>
                </c:pt>
                <c:pt idx="57">
                  <c:v>11.821292191363563</c:v>
                </c:pt>
                <c:pt idx="58">
                  <c:v>12.029502709836139</c:v>
                </c:pt>
                <c:pt idx="59">
                  <c:v>12.237741936882735</c:v>
                </c:pt>
                <c:pt idx="60">
                  <c:v>12.446009895690358</c:v>
                </c:pt>
                <c:pt idx="61">
                  <c:v>12.654306609458207</c:v>
                </c:pt>
                <c:pt idx="62">
                  <c:v>12.862632101397667</c:v>
                </c:pt>
                <c:pt idx="63">
                  <c:v>13.070986394732326</c:v>
                </c:pt>
                <c:pt idx="64">
                  <c:v>13.279369512698008</c:v>
                </c:pt>
                <c:pt idx="65">
                  <c:v>13.487781478542731</c:v>
                </c:pt>
                <c:pt idx="66">
                  <c:v>13.696222315526771</c:v>
                </c:pt>
                <c:pt idx="67">
                  <c:v>13.904692046922653</c:v>
                </c:pt>
                <c:pt idx="68">
                  <c:v>14.113190696015151</c:v>
                </c:pt>
                <c:pt idx="69">
                  <c:v>14.321718286101312</c:v>
                </c:pt>
                <c:pt idx="70">
                  <c:v>14.53027484049047</c:v>
                </c:pt>
                <c:pt idx="71">
                  <c:v>14.738860382504248</c:v>
                </c:pt>
                <c:pt idx="72">
                  <c:v>14.947474935476583</c:v>
                </c:pt>
                <c:pt idx="73">
                  <c:v>15.156118522753708</c:v>
                </c:pt>
                <c:pt idx="74">
                  <c:v>15.364791167694197</c:v>
                </c:pt>
                <c:pt idx="75">
                  <c:v>15.573492893668954</c:v>
                </c:pt>
                <c:pt idx="76">
                  <c:v>15.78222372406124</c:v>
                </c:pt>
                <c:pt idx="77">
                  <c:v>15.990983682266668</c:v>
                </c:pt>
                <c:pt idx="78">
                  <c:v>16.199772791693224</c:v>
                </c:pt>
                <c:pt idx="79">
                  <c:v>16.408591075761283</c:v>
                </c:pt>
                <c:pt idx="80">
                  <c:v>16.617438557903593</c:v>
                </c:pt>
                <c:pt idx="81">
                  <c:v>16.826315261565341</c:v>
                </c:pt>
                <c:pt idx="82">
                  <c:v>17.035221210204099</c:v>
                </c:pt>
                <c:pt idx="83">
                  <c:v>17.244156427289884</c:v>
                </c:pt>
                <c:pt idx="84">
                  <c:v>17.45312093630514</c:v>
                </c:pt>
                <c:pt idx="85">
                  <c:v>17.662114760744764</c:v>
                </c:pt>
                <c:pt idx="86">
                  <c:v>17.871137924116123</c:v>
                </c:pt>
                <c:pt idx="87">
                  <c:v>18.080190449939046</c:v>
                </c:pt>
                <c:pt idx="88">
                  <c:v>18.289272361745848</c:v>
                </c:pt>
                <c:pt idx="89">
                  <c:v>18.49838368308134</c:v>
                </c:pt>
                <c:pt idx="90">
                  <c:v>18.707524437502844</c:v>
                </c:pt>
                <c:pt idx="91">
                  <c:v>18.916694648580197</c:v>
                </c:pt>
                <c:pt idx="92">
                  <c:v>19.125894339895751</c:v>
                </c:pt>
                <c:pt idx="93">
                  <c:v>19.335123535044421</c:v>
                </c:pt>
                <c:pt idx="94">
                  <c:v>19.544382257633657</c:v>
                </c:pt>
                <c:pt idx="95">
                  <c:v>19.753670531283493</c:v>
                </c:pt>
                <c:pt idx="96">
                  <c:v>19.962988379626502</c:v>
                </c:pt>
                <c:pt idx="97">
                  <c:v>20.172335826307879</c:v>
                </c:pt>
                <c:pt idx="98">
                  <c:v>20.381712894985402</c:v>
                </c:pt>
                <c:pt idx="99">
                  <c:v>20.591119609329446</c:v>
                </c:pt>
                <c:pt idx="100">
                  <c:v>20.800555993023025</c:v>
                </c:pt>
              </c:numCache>
            </c:numRef>
          </c:val>
          <c:smooth val="0"/>
          <c:extLst>
            <c:ext xmlns:c16="http://schemas.microsoft.com/office/drawing/2014/chart" uri="{C3380CC4-5D6E-409C-BE32-E72D297353CC}">
              <c16:uniqueId val="{00000000-E5BE-46CE-908E-4F68425D4B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Dual'!$AI$5:$AI$105</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6.1663859844663058</c:v>
                </c:pt>
                <c:pt idx="26">
                  <c:v>6.2885044926277498</c:v>
                </c:pt>
                <c:pt idx="27">
                  <c:v>6.4082962945057638</c:v>
                </c:pt>
                <c:pt idx="28">
                  <c:v>6.5258895211728181</c:v>
                </c:pt>
                <c:pt idx="29">
                  <c:v>6.6414009581510802</c:v>
                </c:pt>
                <c:pt idx="30">
                  <c:v>6.7549374039517938</c:v>
                </c:pt>
                <c:pt idx="31">
                  <c:v>6.866596826353204</c:v>
                </c:pt>
                <c:pt idx="32">
                  <c:v>6.9764693520476948</c:v>
                </c:pt>
                <c:pt idx="33">
                  <c:v>7.0846381181001536</c:v>
                </c:pt>
                <c:pt idx="34">
                  <c:v>7.1911800080942623</c:v>
                </c:pt>
                <c:pt idx="35">
                  <c:v>7.296166291497987</c:v>
                </c:pt>
                <c:pt idx="36">
                  <c:v>7.3996631813595668</c:v>
                </c:pt>
                <c:pt idx="37">
                  <c:v>7.5017323227335488</c:v>
                </c:pt>
                <c:pt idx="38">
                  <c:v>7.6024312220711465</c:v>
                </c:pt>
                <c:pt idx="39">
                  <c:v>7.7018136260688035</c:v>
                </c:pt>
                <c:pt idx="40">
                  <c:v>7.7999298570612794</c:v>
                </c:pt>
                <c:pt idx="41">
                  <c:v>7.8968271109004835</c:v>
                </c:pt>
                <c:pt idx="42">
                  <c:v>7.9925497223245214</c:v>
                </c:pt>
                <c:pt idx="43">
                  <c:v>8.0871394020510543</c:v>
                </c:pt>
                <c:pt idx="44">
                  <c:v>8.1806354491924154</c:v>
                </c:pt>
                <c:pt idx="45">
                  <c:v>8.2730749420611733</c:v>
                </c:pt>
                <c:pt idx="46">
                  <c:v>8.3644929099938512</c:v>
                </c:pt>
                <c:pt idx="47">
                  <c:v>8.4549224884509897</c:v>
                </c:pt>
                <c:pt idx="48">
                  <c:v>8.5443950593410172</c:v>
                </c:pt>
                <c:pt idx="49">
                  <c:v>8.6329403782528278</c:v>
                </c:pt>
                <c:pt idx="50">
                  <c:v>8.7205866900596192</c:v>
                </c:pt>
                <c:pt idx="51">
                  <c:v>8.8073608341671736</c:v>
                </c:pt>
                <c:pt idx="52">
                  <c:v>8.8932883405183034</c:v>
                </c:pt>
                <c:pt idx="53">
                  <c:v>8.9783935173267864</c:v>
                </c:pt>
                <c:pt idx="54">
                  <c:v>9.0626995313953014</c:v>
                </c:pt>
                <c:pt idx="55">
                  <c:v>9.1462284817693842</c:v>
                </c:pt>
                <c:pt idx="56">
                  <c:v>9.229001467391063</c:v>
                </c:pt>
                <c:pt idx="57">
                  <c:v>9.3110386493389274</c:v>
                </c:pt>
                <c:pt idx="58">
                  <c:v>9.3923593081749264</c:v>
                </c:pt>
                <c:pt idx="59">
                  <c:v>9.4729818968599897</c:v>
                </c:pt>
                <c:pt idx="60">
                  <c:v>9.5529240896499328</c:v>
                </c:pt>
                <c:pt idx="61">
                  <c:v>9.6322028273386611</c:v>
                </c:pt>
                <c:pt idx="62">
                  <c:v>9.617058799936169</c:v>
                </c:pt>
                <c:pt idx="63">
                  <c:v>9.7721890938391009</c:v>
                </c:pt>
                <c:pt idx="64">
                  <c:v>9.9273338543172365</c:v>
                </c:pt>
                <c:pt idx="65">
                  <c:v>10.082479658487475</c:v>
                </c:pt>
                <c:pt idx="66">
                  <c:v>10.23762651032059</c:v>
                </c:pt>
                <c:pt idx="67">
                  <c:v>10.392774413787587</c:v>
                </c:pt>
                <c:pt idx="68">
                  <c:v>10.547923372859717</c:v>
                </c:pt>
                <c:pt idx="69">
                  <c:v>10.703073391508491</c:v>
                </c:pt>
                <c:pt idx="70">
                  <c:v>10.858224473705665</c:v>
                </c:pt>
                <c:pt idx="71">
                  <c:v>11.01337662342325</c:v>
                </c:pt>
                <c:pt idx="72">
                  <c:v>11.168529844633495</c:v>
                </c:pt>
                <c:pt idx="73">
                  <c:v>11.323684141308913</c:v>
                </c:pt>
                <c:pt idx="74">
                  <c:v>11.478839517422264</c:v>
                </c:pt>
                <c:pt idx="75">
                  <c:v>11.633995976946553</c:v>
                </c:pt>
                <c:pt idx="76">
                  <c:v>11.789153523855036</c:v>
                </c:pt>
                <c:pt idx="77">
                  <c:v>11.944312162121239</c:v>
                </c:pt>
                <c:pt idx="78">
                  <c:v>12.099471895718924</c:v>
                </c:pt>
                <c:pt idx="79">
                  <c:v>12.254632728622106</c:v>
                </c:pt>
                <c:pt idx="80">
                  <c:v>12.409794664805061</c:v>
                </c:pt>
                <c:pt idx="81">
                  <c:v>12.564957708242311</c:v>
                </c:pt>
                <c:pt idx="82">
                  <c:v>12.720121862908638</c:v>
                </c:pt>
                <c:pt idx="83">
                  <c:v>12.875287132779079</c:v>
                </c:pt>
                <c:pt idx="84">
                  <c:v>13.030453521828919</c:v>
                </c:pt>
                <c:pt idx="85">
                  <c:v>13.185621034033696</c:v>
                </c:pt>
                <c:pt idx="86">
                  <c:v>13.340789673369216</c:v>
                </c:pt>
                <c:pt idx="87">
                  <c:v>13.495959443811529</c:v>
                </c:pt>
                <c:pt idx="88">
                  <c:v>13.651130349336944</c:v>
                </c:pt>
                <c:pt idx="89">
                  <c:v>13.806302393922033</c:v>
                </c:pt>
                <c:pt idx="90">
                  <c:v>13.961475581543615</c:v>
                </c:pt>
                <c:pt idx="91">
                  <c:v>14.116649916178767</c:v>
                </c:pt>
                <c:pt idx="92">
                  <c:v>14.271825401804833</c:v>
                </c:pt>
                <c:pt idx="93">
                  <c:v>14.427002042399405</c:v>
                </c:pt>
                <c:pt idx="94">
                  <c:v>14.582179841940333</c:v>
                </c:pt>
                <c:pt idx="95">
                  <c:v>14.73735880440573</c:v>
                </c:pt>
                <c:pt idx="96">
                  <c:v>14.892538933773968</c:v>
                </c:pt>
                <c:pt idx="97">
                  <c:v>15.047720234023679</c:v>
                </c:pt>
                <c:pt idx="98">
                  <c:v>15.202902709133747</c:v>
                </c:pt>
                <c:pt idx="99">
                  <c:v>15.358086363083324</c:v>
                </c:pt>
                <c:pt idx="100">
                  <c:v>15.513271199851818</c:v>
                </c:pt>
              </c:numCache>
            </c:numRef>
          </c:val>
          <c:smooth val="0"/>
          <c:extLst>
            <c:ext xmlns:c16="http://schemas.microsoft.com/office/drawing/2014/chart" uri="{C3380CC4-5D6E-409C-BE32-E72D297353CC}">
              <c16:uniqueId val="{00000001-E5BE-46CE-908E-4F68425D4B37}"/>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6.1663859844663058</c:v>
                </c:pt>
                <c:pt idx="26">
                  <c:v>6.2885044926277498</c:v>
                </c:pt>
                <c:pt idx="27">
                  <c:v>6.4082962945057638</c:v>
                </c:pt>
                <c:pt idx="28">
                  <c:v>6.5258895211728181</c:v>
                </c:pt>
                <c:pt idx="29">
                  <c:v>6.6414009581510802</c:v>
                </c:pt>
                <c:pt idx="30">
                  <c:v>6.7549374039517938</c:v>
                </c:pt>
                <c:pt idx="31">
                  <c:v>6.866596826353204</c:v>
                </c:pt>
                <c:pt idx="32">
                  <c:v>6.9764693520476948</c:v>
                </c:pt>
                <c:pt idx="33">
                  <c:v>7.0846381181001536</c:v>
                </c:pt>
                <c:pt idx="34">
                  <c:v>7.1911800080942623</c:v>
                </c:pt>
                <c:pt idx="35">
                  <c:v>7.296166291497987</c:v>
                </c:pt>
                <c:pt idx="36">
                  <c:v>7.3996631813595668</c:v>
                </c:pt>
                <c:pt idx="37">
                  <c:v>7.5017323227335488</c:v>
                </c:pt>
                <c:pt idx="38">
                  <c:v>7.6024312220711465</c:v>
                </c:pt>
                <c:pt idx="39">
                  <c:v>7.7018136260688035</c:v>
                </c:pt>
                <c:pt idx="40">
                  <c:v>7.7999298570612794</c:v>
                </c:pt>
                <c:pt idx="41">
                  <c:v>7.8968271109004835</c:v>
                </c:pt>
                <c:pt idx="42">
                  <c:v>7.9925497223245214</c:v>
                </c:pt>
                <c:pt idx="43">
                  <c:v>8.0871394020510543</c:v>
                </c:pt>
                <c:pt idx="44">
                  <c:v>8.1806354491924154</c:v>
                </c:pt>
                <c:pt idx="45">
                  <c:v>8.2730749420611733</c:v>
                </c:pt>
                <c:pt idx="46">
                  <c:v>8.3644929099938512</c:v>
                </c:pt>
                <c:pt idx="47">
                  <c:v>8.4549224884509897</c:v>
                </c:pt>
                <c:pt idx="48">
                  <c:v>8.5443950593410172</c:v>
                </c:pt>
                <c:pt idx="49">
                  <c:v>8.6329403782528278</c:v>
                </c:pt>
                <c:pt idx="50">
                  <c:v>8.7205866900596192</c:v>
                </c:pt>
                <c:pt idx="51">
                  <c:v>8.8073608341671736</c:v>
                </c:pt>
                <c:pt idx="52">
                  <c:v>8.8932883405183034</c:v>
                </c:pt>
                <c:pt idx="53">
                  <c:v>8.9783935173267864</c:v>
                </c:pt>
                <c:pt idx="54">
                  <c:v>9.0626995313953014</c:v>
                </c:pt>
                <c:pt idx="55">
                  <c:v>9.1462284817693842</c:v>
                </c:pt>
                <c:pt idx="56">
                  <c:v>9.229001467391063</c:v>
                </c:pt>
                <c:pt idx="57">
                  <c:v>9.3110386493389274</c:v>
                </c:pt>
                <c:pt idx="58">
                  <c:v>9.3923593081749264</c:v>
                </c:pt>
                <c:pt idx="59">
                  <c:v>9.4729818968599897</c:v>
                </c:pt>
                <c:pt idx="60">
                  <c:v>9.5529240896499328</c:v>
                </c:pt>
                <c:pt idx="61">
                  <c:v>9.6322028273386611</c:v>
                </c:pt>
                <c:pt idx="62">
                  <c:v>9.7108343591767543</c:v>
                </c:pt>
                <c:pt idx="63">
                  <c:v>9.7888342817592253</c:v>
                </c:pt>
                <c:pt idx="64">
                  <c:v>9.8662175751460897</c:v>
                </c:pt>
                <c:pt idx="65">
                  <c:v>9.9429986364526108</c:v>
                </c:pt>
                <c:pt idx="66">
                  <c:v>10.019191311122638</c:v>
                </c:pt>
                <c:pt idx="67">
                  <c:v>10.094808922077341</c:v>
                </c:pt>
                <c:pt idx="68">
                  <c:v>10.16986429691317</c:v>
                </c:pt>
                <c:pt idx="69">
                  <c:v>10.244369793306277</c:v>
                </c:pt>
                <c:pt idx="70">
                  <c:v>10.318337322765862</c:v>
                </c:pt>
                <c:pt idx="71">
                  <c:v>10.391778372865726</c:v>
                </c:pt>
                <c:pt idx="72">
                  <c:v>10.464704028071543</c:v>
                </c:pt>
                <c:pt idx="73">
                  <c:v>10.53712498927073</c:v>
                </c:pt>
                <c:pt idx="74">
                  <c:v>10.609051592102405</c:v>
                </c:pt>
                <c:pt idx="75">
                  <c:v>10.680493824176272</c:v>
                </c:pt>
                <c:pt idx="76">
                  <c:v>10.751461341261679</c:v>
                </c:pt>
                <c:pt idx="77">
                  <c:v>10.821963482521149</c:v>
                </c:pt>
                <c:pt idx="78">
                  <c:v>10.892009284856407</c:v>
                </c:pt>
                <c:pt idx="79">
                  <c:v>10.961607496429302</c:v>
                </c:pt>
                <c:pt idx="80">
                  <c:v>11.030766589414897</c:v>
                </c:pt>
                <c:pt idx="81">
                  <c:v>11.099494772039352</c:v>
                </c:pt>
                <c:pt idx="82">
                  <c:v>11.16779999995101</c:v>
                </c:pt>
                <c:pt idx="83">
                  <c:v>11.235689986969321</c:v>
                </c:pt>
                <c:pt idx="84">
                  <c:v>11.211990339780831</c:v>
                </c:pt>
                <c:pt idx="85">
                  <c:v>11.34536929416913</c:v>
                </c:pt>
                <c:pt idx="86">
                  <c:v>11.478696200719048</c:v>
                </c:pt>
                <c:pt idx="87">
                  <c:v>11.612019715495331</c:v>
                </c:pt>
                <c:pt idx="88">
                  <c:v>11.745339840243384</c:v>
                </c:pt>
                <c:pt idx="89">
                  <c:v>11.878656576708503</c:v>
                </c:pt>
                <c:pt idx="90">
                  <c:v>12.011969926635851</c:v>
                </c:pt>
                <c:pt idx="91">
                  <c:v>12.145279891770466</c:v>
                </c:pt>
                <c:pt idx="92">
                  <c:v>12.278586473857255</c:v>
                </c:pt>
                <c:pt idx="93">
                  <c:v>12.411889674640998</c:v>
                </c:pt>
                <c:pt idx="94">
                  <c:v>12.54518949586636</c:v>
                </c:pt>
                <c:pt idx="95">
                  <c:v>12.678485939277866</c:v>
                </c:pt>
                <c:pt idx="96">
                  <c:v>12.811779006619926</c:v>
                </c:pt>
                <c:pt idx="97">
                  <c:v>12.945068699636812</c:v>
                </c:pt>
                <c:pt idx="98">
                  <c:v>13.078355020072673</c:v>
                </c:pt>
                <c:pt idx="99">
                  <c:v>13.211637969671541</c:v>
                </c:pt>
                <c:pt idx="100">
                  <c:v>13.344917550177309</c:v>
                </c:pt>
              </c:numCache>
            </c:numRef>
          </c:val>
          <c:smooth val="0"/>
          <c:extLst>
            <c:ext xmlns:c16="http://schemas.microsoft.com/office/drawing/2014/chart" uri="{C3380CC4-5D6E-409C-BE32-E72D297353CC}">
              <c16:uniqueId val="{00000002-E5BE-46CE-908E-4F68425D4B37}"/>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1.0084943191615703</c:v>
                </c:pt>
                <c:pt idx="2">
                  <c:v>1.0254829574847111</c:v>
                </c:pt>
                <c:pt idx="3">
                  <c:v>1.0254829574847111</c:v>
                </c:pt>
                <c:pt idx="4">
                  <c:v>1.0339772766462814</c:v>
                </c:pt>
                <c:pt idx="5">
                  <c:v>1.0424715958078516</c:v>
                </c:pt>
                <c:pt idx="6">
                  <c:v>1.0509659149694219</c:v>
                </c:pt>
                <c:pt idx="7">
                  <c:v>1.0594602341309922</c:v>
                </c:pt>
                <c:pt idx="8">
                  <c:v>1.0679545532925627</c:v>
                </c:pt>
                <c:pt idx="9">
                  <c:v>1.076448872454133</c:v>
                </c:pt>
                <c:pt idx="10">
                  <c:v>1.0849431916157033</c:v>
                </c:pt>
                <c:pt idx="11">
                  <c:v>1.0934375107772736</c:v>
                </c:pt>
                <c:pt idx="12">
                  <c:v>1.1019318299388439</c:v>
                </c:pt>
                <c:pt idx="13">
                  <c:v>1.1104261491004144</c:v>
                </c:pt>
                <c:pt idx="14">
                  <c:v>1.1189204682619847</c:v>
                </c:pt>
                <c:pt idx="15">
                  <c:v>1.1274147874235549</c:v>
                </c:pt>
                <c:pt idx="16">
                  <c:v>1.1359091065851252</c:v>
                </c:pt>
                <c:pt idx="17">
                  <c:v>1.1444034257466957</c:v>
                </c:pt>
                <c:pt idx="18">
                  <c:v>1.152897744908266</c:v>
                </c:pt>
                <c:pt idx="19">
                  <c:v>1.1613920640698363</c:v>
                </c:pt>
                <c:pt idx="20">
                  <c:v>1.1698863832314066</c:v>
                </c:pt>
                <c:pt idx="21">
                  <c:v>1.1783807023929769</c:v>
                </c:pt>
                <c:pt idx="22">
                  <c:v>1.1868750215545472</c:v>
                </c:pt>
                <c:pt idx="23">
                  <c:v>1.1953693407161177</c:v>
                </c:pt>
                <c:pt idx="24">
                  <c:v>1.2</c:v>
                </c:pt>
                <c:pt idx="25">
                  <c:v>1.2783554991557371</c:v>
                </c:pt>
                <c:pt idx="26">
                  <c:v>1.3688136533493993</c:v>
                </c:pt>
                <c:pt idx="27">
                  <c:v>1.4575483214071876</c:v>
                </c:pt>
                <c:pt idx="28">
                  <c:v>1.5446544152346351</c:v>
                </c:pt>
                <c:pt idx="29">
                  <c:v>1.6302184426259405</c:v>
                </c:pt>
                <c:pt idx="30">
                  <c:v>1.714319513589432</c:v>
                </c:pt>
                <c:pt idx="31">
                  <c:v>1.797030196849736</c:v>
                </c:pt>
                <c:pt idx="32">
                  <c:v>1.8784172529197289</c:v>
                </c:pt>
                <c:pt idx="33">
                  <c:v>1.9585422648104394</c:v>
                </c:pt>
                <c:pt idx="34">
                  <c:v>2.0374621833245938</c:v>
                </c:pt>
                <c:pt idx="35">
                  <c:v>2.0795495967365438</c:v>
                </c:pt>
                <c:pt idx="36">
                  <c:v>2.2332266578465596</c:v>
                </c:pt>
                <c:pt idx="37">
                  <c:v>2.3870140453729793</c:v>
                </c:pt>
                <c:pt idx="38">
                  <c:v>2.5408223398929906</c:v>
                </c:pt>
                <c:pt idx="39">
                  <c:v>2.6946515583945336</c:v>
                </c:pt>
                <c:pt idx="40">
                  <c:v>2.8485017178744045</c:v>
                </c:pt>
                <c:pt idx="41">
                  <c:v>3.0023728353382628</c:v>
                </c:pt>
                <c:pt idx="42">
                  <c:v>3.1562649278006369</c:v>
                </c:pt>
                <c:pt idx="43">
                  <c:v>3.3101780122849318</c:v>
                </c:pt>
                <c:pt idx="44">
                  <c:v>3.4641121058234381</c:v>
                </c:pt>
                <c:pt idx="45">
                  <c:v>3.6180672254573443</c:v>
                </c:pt>
                <c:pt idx="46">
                  <c:v>3.7720433882367344</c:v>
                </c:pt>
                <c:pt idx="47">
                  <c:v>3.9260406112206079</c:v>
                </c:pt>
                <c:pt idx="48">
                  <c:v>4.0800589114768782</c:v>
                </c:pt>
                <c:pt idx="49">
                  <c:v>4.2340983060823927</c:v>
                </c:pt>
                <c:pt idx="50">
                  <c:v>4.3881588121229207</c:v>
                </c:pt>
                <c:pt idx="51">
                  <c:v>4.5422404466931861</c:v>
                </c:pt>
                <c:pt idx="52">
                  <c:v>4.6963432268968539</c:v>
                </c:pt>
                <c:pt idx="53">
                  <c:v>4.8504671698465529</c:v>
                </c:pt>
                <c:pt idx="54">
                  <c:v>5.0046122926638814</c:v>
                </c:pt>
                <c:pt idx="55">
                  <c:v>5.1587786124794004</c:v>
                </c:pt>
                <c:pt idx="56">
                  <c:v>5.3129661464326672</c:v>
                </c:pt>
                <c:pt idx="57">
                  <c:v>5.4671749116722239</c:v>
                </c:pt>
                <c:pt idx="58">
                  <c:v>5.6214049253556135</c:v>
                </c:pt>
                <c:pt idx="59">
                  <c:v>5.7756562046493887</c:v>
                </c:pt>
                <c:pt idx="60">
                  <c:v>5.929928766729109</c:v>
                </c:pt>
                <c:pt idx="61">
                  <c:v>6.0842226287793677</c:v>
                </c:pt>
                <c:pt idx="62">
                  <c:v>6.238537807993783</c:v>
                </c:pt>
                <c:pt idx="63">
                  <c:v>6.3928743215750119</c:v>
                </c:pt>
                <c:pt idx="64">
                  <c:v>6.5472321867347754</c:v>
                </c:pt>
                <c:pt idx="65">
                  <c:v>6.7016114206938306</c:v>
                </c:pt>
                <c:pt idx="66">
                  <c:v>6.8560120406820078</c:v>
                </c:pt>
                <c:pt idx="67">
                  <c:v>7.0104340639382174</c:v>
                </c:pt>
                <c:pt idx="68">
                  <c:v>7.164877507710437</c:v>
                </c:pt>
                <c:pt idx="69">
                  <c:v>7.3193423892557421</c:v>
                </c:pt>
                <c:pt idx="70">
                  <c:v>7.4738287258403036</c:v>
                </c:pt>
                <c:pt idx="71">
                  <c:v>7.6283365347393977</c:v>
                </c:pt>
                <c:pt idx="72">
                  <c:v>7.7828658332374241</c:v>
                </c:pt>
                <c:pt idx="73">
                  <c:v>7.9374166386278882</c:v>
                </c:pt>
                <c:pt idx="74">
                  <c:v>8.0919889682134336</c:v>
                </c:pt>
                <c:pt idx="75">
                  <c:v>8.2465828393058462</c:v>
                </c:pt>
                <c:pt idx="76">
                  <c:v>8.4011982692260574</c:v>
                </c:pt>
                <c:pt idx="77">
                  <c:v>8.5558352753041529</c:v>
                </c:pt>
                <c:pt idx="78">
                  <c:v>8.7104938748793792</c:v>
                </c:pt>
                <c:pt idx="79">
                  <c:v>8.8651740853001648</c:v>
                </c:pt>
                <c:pt idx="80">
                  <c:v>9.0198759239240989</c:v>
                </c:pt>
                <c:pt idx="81">
                  <c:v>9.1745994081179845</c:v>
                </c:pt>
                <c:pt idx="82">
                  <c:v>9.3293445552578067</c:v>
                </c:pt>
                <c:pt idx="83">
                  <c:v>9.4841113827287575</c:v>
                </c:pt>
                <c:pt idx="84">
                  <c:v>9.6388999079252446</c:v>
                </c:pt>
                <c:pt idx="85">
                  <c:v>9.7937101482508897</c:v>
                </c:pt>
                <c:pt idx="86">
                  <c:v>9.9485421211185638</c:v>
                </c:pt>
                <c:pt idx="87">
                  <c:v>10.103395843950359</c:v>
                </c:pt>
                <c:pt idx="88">
                  <c:v>10.258271334177619</c:v>
                </c:pt>
                <c:pt idx="89">
                  <c:v>10.413168609240946</c:v>
                </c:pt>
                <c:pt idx="90">
                  <c:v>10.568087686590209</c:v>
                </c:pt>
                <c:pt idx="91">
                  <c:v>10.723028583684545</c:v>
                </c:pt>
                <c:pt idx="92">
                  <c:v>10.877991317992363</c:v>
                </c:pt>
                <c:pt idx="93">
                  <c:v>11.032975906991378</c:v>
                </c:pt>
                <c:pt idx="94">
                  <c:v>11.187982368168589</c:v>
                </c:pt>
                <c:pt idx="95">
                  <c:v>11.34301071902032</c:v>
                </c:pt>
                <c:pt idx="96">
                  <c:v>11.498060977052178</c:v>
                </c:pt>
                <c:pt idx="97">
                  <c:v>11.653133159779124</c:v>
                </c:pt>
                <c:pt idx="98">
                  <c:v>11.808227284725437</c:v>
                </c:pt>
                <c:pt idx="99">
                  <c:v>11.963343369424731</c:v>
                </c:pt>
                <c:pt idx="100">
                  <c:v>12.118481431419973</c:v>
                </c:pt>
              </c:numCache>
            </c:numRef>
          </c:val>
          <c:smooth val="0"/>
          <c:extLst>
            <c:ext xmlns:c16="http://schemas.microsoft.com/office/drawing/2014/chart" uri="{C3380CC4-5D6E-409C-BE32-E72D297353CC}">
              <c16:uniqueId val="{00000000-DC32-4242-87FA-45A0737872EA}"/>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Dual'!$AJ$5:$AJ$105</c:f>
              <c:numCache>
                <c:formatCode>0.000</c:formatCode>
                <c:ptCount val="101"/>
                <c:pt idx="0">
                  <c:v>1.0057142857142858</c:v>
                </c:pt>
                <c:pt idx="1">
                  <c:v>1.0084943191615703</c:v>
                </c:pt>
                <c:pt idx="2">
                  <c:v>1.0169886383231406</c:v>
                </c:pt>
                <c:pt idx="3">
                  <c:v>1.0254829574847111</c:v>
                </c:pt>
                <c:pt idx="4">
                  <c:v>1.0339772766462814</c:v>
                </c:pt>
                <c:pt idx="5">
                  <c:v>1.0424715958078516</c:v>
                </c:pt>
                <c:pt idx="6">
                  <c:v>1.0509659149694219</c:v>
                </c:pt>
                <c:pt idx="7">
                  <c:v>1.0594602341309922</c:v>
                </c:pt>
                <c:pt idx="8">
                  <c:v>1.0679545532925627</c:v>
                </c:pt>
                <c:pt idx="9">
                  <c:v>1.076448872454133</c:v>
                </c:pt>
                <c:pt idx="10">
                  <c:v>1.0849431916157033</c:v>
                </c:pt>
                <c:pt idx="11">
                  <c:v>1.0934375107772736</c:v>
                </c:pt>
                <c:pt idx="12">
                  <c:v>1.1019318299388439</c:v>
                </c:pt>
                <c:pt idx="13">
                  <c:v>1.1104261491004144</c:v>
                </c:pt>
                <c:pt idx="14">
                  <c:v>1.1189204682619847</c:v>
                </c:pt>
                <c:pt idx="15">
                  <c:v>1.1274147874235549</c:v>
                </c:pt>
                <c:pt idx="16">
                  <c:v>1.1359091065851252</c:v>
                </c:pt>
                <c:pt idx="17">
                  <c:v>1.1444034257466957</c:v>
                </c:pt>
                <c:pt idx="18">
                  <c:v>1.152897744908266</c:v>
                </c:pt>
                <c:pt idx="19">
                  <c:v>1.1613920640698363</c:v>
                </c:pt>
                <c:pt idx="20">
                  <c:v>1.1698863832314066</c:v>
                </c:pt>
                <c:pt idx="21">
                  <c:v>1.1783807023929769</c:v>
                </c:pt>
                <c:pt idx="22">
                  <c:v>1.1868750215545472</c:v>
                </c:pt>
                <c:pt idx="23">
                  <c:v>1.1953693407161177</c:v>
                </c:pt>
                <c:pt idx="24">
                  <c:v>1.2</c:v>
                </c:pt>
                <c:pt idx="25">
                  <c:v>1.2783554991557371</c:v>
                </c:pt>
                <c:pt idx="26">
                  <c:v>1.3688136533493993</c:v>
                </c:pt>
                <c:pt idx="27">
                  <c:v>1.4575483214071876</c:v>
                </c:pt>
                <c:pt idx="28">
                  <c:v>1.5446544152346351</c:v>
                </c:pt>
                <c:pt idx="29">
                  <c:v>1.6302184426259405</c:v>
                </c:pt>
                <c:pt idx="30">
                  <c:v>1.714319513589432</c:v>
                </c:pt>
                <c:pt idx="31">
                  <c:v>1.797030196849736</c:v>
                </c:pt>
                <c:pt idx="32">
                  <c:v>1.8784172529197289</c:v>
                </c:pt>
                <c:pt idx="33">
                  <c:v>1.9585422648104394</c:v>
                </c:pt>
                <c:pt idx="34">
                  <c:v>2.0374621833245938</c:v>
                </c:pt>
                <c:pt idx="35">
                  <c:v>2.1152298006606864</c:v>
                </c:pt>
                <c:pt idx="36">
                  <c:v>2.1918941635211158</c:v>
                </c:pt>
                <c:pt idx="37">
                  <c:v>2.2675009349092505</c:v>
                </c:pt>
                <c:pt idx="38">
                  <c:v>2.3420927121963597</c:v>
                </c:pt>
                <c:pt idx="39">
                  <c:v>2.4157093077501797</c:v>
                </c:pt>
                <c:pt idx="40">
                  <c:v>2.488387997374236</c:v>
                </c:pt>
                <c:pt idx="41">
                  <c:v>2.5601637409588318</c:v>
                </c:pt>
                <c:pt idx="42">
                  <c:v>2.6310693790507118</c:v>
                </c:pt>
                <c:pt idx="43">
                  <c:v>2.7011358084777735</c:v>
                </c:pt>
                <c:pt idx="44">
                  <c:v>2.7703921396935964</c:v>
                </c:pt>
                <c:pt idx="45">
                  <c:v>2.8388658381148986</c:v>
                </c:pt>
                <c:pt idx="46">
                  <c:v>2.9065828513983636</c:v>
                </c:pt>
                <c:pt idx="47">
                  <c:v>2.9735677243295773</c:v>
                </c:pt>
                <c:pt idx="48">
                  <c:v>3.0398437027666345</c:v>
                </c:pt>
                <c:pt idx="49">
                  <c:v>3.105432827886494</c:v>
                </c:pt>
                <c:pt idx="50">
                  <c:v>3.1703560218174509</c:v>
                </c:pt>
                <c:pt idx="51">
                  <c:v>3.2346331656008243</c:v>
                </c:pt>
                <c:pt idx="52">
                  <c:v>3.298283170305365</c:v>
                </c:pt>
                <c:pt idx="53">
                  <c:v>3.3613240420153527</c:v>
                </c:pt>
                <c:pt idx="54">
                  <c:v>3.4237729413253639</c:v>
                </c:pt>
                <c:pt idx="55">
                  <c:v>3.4856462378987576</c:v>
                </c:pt>
                <c:pt idx="56">
                  <c:v>3.5469595605814828</c:v>
                </c:pt>
                <c:pt idx="57">
                  <c:v>3.6077278435058275</c:v>
                </c:pt>
                <c:pt idx="58">
                  <c:v>3.6679653685695301</c:v>
                </c:pt>
                <c:pt idx="59">
                  <c:v>3.7276858046325403</c:v>
                </c:pt>
                <c:pt idx="60">
                  <c:v>3.7869022437362014</c:v>
                </c:pt>
                <c:pt idx="61">
                  <c:v>3.8456272346167415</c:v>
                </c:pt>
                <c:pt idx="62">
                  <c:v>3.8344094365408212</c:v>
                </c:pt>
                <c:pt idx="63">
                  <c:v>3.9493207653578075</c:v>
                </c:pt>
                <c:pt idx="64">
                  <c:v>4.0642428101564265</c:v>
                </c:pt>
                <c:pt idx="65">
                  <c:v>4.1791656280603071</c:v>
                </c:pt>
                <c:pt idx="66">
                  <c:v>4.2940892220107623</c:v>
                </c:pt>
                <c:pt idx="67">
                  <c:v>4.4090135949492781</c:v>
                </c:pt>
                <c:pt idx="68">
                  <c:v>4.5239387498175239</c:v>
                </c:pt>
                <c:pt idx="69">
                  <c:v>4.638864689557356</c:v>
                </c:pt>
                <c:pt idx="70">
                  <c:v>4.7537914171108175</c:v>
                </c:pt>
                <c:pt idx="71">
                  <c:v>4.8687189354201399</c:v>
                </c:pt>
                <c:pt idx="72">
                  <c:v>4.9836472474277294</c:v>
                </c:pt>
                <c:pt idx="73">
                  <c:v>5.0985763560761868</c:v>
                </c:pt>
                <c:pt idx="74">
                  <c:v>5.2135062643082986</c:v>
                </c:pt>
                <c:pt idx="75">
                  <c:v>5.3284369750670315</c:v>
                </c:pt>
                <c:pt idx="76">
                  <c:v>5.4433684912955371</c:v>
                </c:pt>
                <c:pt idx="77">
                  <c:v>5.5583008159371694</c:v>
                </c:pt>
                <c:pt idx="78">
                  <c:v>5.6732339519354547</c:v>
                </c:pt>
                <c:pt idx="79">
                  <c:v>5.7881679022341075</c:v>
                </c:pt>
                <c:pt idx="80">
                  <c:v>5.903102669777037</c:v>
                </c:pt>
                <c:pt idx="81">
                  <c:v>6.0180382575083335</c:v>
                </c:pt>
                <c:pt idx="82">
                  <c:v>6.1329746683722792</c:v>
                </c:pt>
                <c:pt idx="83">
                  <c:v>6.2479119053133472</c:v>
                </c:pt>
                <c:pt idx="84">
                  <c:v>6.3628499712761917</c:v>
                </c:pt>
                <c:pt idx="85">
                  <c:v>6.4777888692056562</c:v>
                </c:pt>
                <c:pt idx="86">
                  <c:v>6.5927286020467815</c:v>
                </c:pt>
                <c:pt idx="87">
                  <c:v>6.707669172744791</c:v>
                </c:pt>
                <c:pt idx="88">
                  <c:v>6.8226105842450986</c:v>
                </c:pt>
                <c:pt idx="89">
                  <c:v>6.9375528394933133</c:v>
                </c:pt>
                <c:pt idx="90">
                  <c:v>7.0524959414352262</c:v>
                </c:pt>
                <c:pt idx="91">
                  <c:v>7.1674398930168204</c:v>
                </c:pt>
                <c:pt idx="92">
                  <c:v>7.2823846971842761</c:v>
                </c:pt>
                <c:pt idx="93">
                  <c:v>7.397330356883959</c:v>
                </c:pt>
                <c:pt idx="94">
                  <c:v>7.5122768750624234</c:v>
                </c:pt>
                <c:pt idx="95">
                  <c:v>7.6272242546664222</c:v>
                </c:pt>
                <c:pt idx="96">
                  <c:v>7.742172498642895</c:v>
                </c:pt>
                <c:pt idx="97">
                  <c:v>7.857121609938976</c:v>
                </c:pt>
                <c:pt idx="98">
                  <c:v>7.9720715915019902</c:v>
                </c:pt>
                <c:pt idx="99">
                  <c:v>8.0870224462794535</c:v>
                </c:pt>
                <c:pt idx="100">
                  <c:v>8.2019741772190802</c:v>
                </c:pt>
              </c:numCache>
            </c:numRef>
          </c:val>
          <c:smooth val="0"/>
          <c:extLst>
            <c:ext xmlns:c16="http://schemas.microsoft.com/office/drawing/2014/chart" uri="{C3380CC4-5D6E-409C-BE32-E72D297353CC}">
              <c16:uniqueId val="{00000001-DC32-4242-87FA-45A0737872EA}"/>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1.0084935587244768</c:v>
                </c:pt>
                <c:pt idx="2">
                  <c:v>1.0169871174489535</c:v>
                </c:pt>
                <c:pt idx="3">
                  <c:v>1.0254806761734303</c:v>
                </c:pt>
                <c:pt idx="4">
                  <c:v>1.0339742348979071</c:v>
                </c:pt>
                <c:pt idx="5">
                  <c:v>1.0424677936223841</c:v>
                </c:pt>
                <c:pt idx="6">
                  <c:v>1.0509613523468608</c:v>
                </c:pt>
                <c:pt idx="7">
                  <c:v>1.0594549110713376</c:v>
                </c:pt>
                <c:pt idx="8">
                  <c:v>1.0679484697958144</c:v>
                </c:pt>
                <c:pt idx="9">
                  <c:v>1.0764420285202911</c:v>
                </c:pt>
                <c:pt idx="10">
                  <c:v>1.0849355872447679</c:v>
                </c:pt>
                <c:pt idx="11">
                  <c:v>1.0934291459692447</c:v>
                </c:pt>
                <c:pt idx="12">
                  <c:v>1.1019227046937214</c:v>
                </c:pt>
                <c:pt idx="13">
                  <c:v>1.1104162634181984</c:v>
                </c:pt>
                <c:pt idx="14">
                  <c:v>1.1189098221426752</c:v>
                </c:pt>
                <c:pt idx="15">
                  <c:v>1.127403380867152</c:v>
                </c:pt>
                <c:pt idx="16">
                  <c:v>1.1358969395916287</c:v>
                </c:pt>
                <c:pt idx="17">
                  <c:v>1.1443904983161055</c:v>
                </c:pt>
                <c:pt idx="18">
                  <c:v>1.1528840570405823</c:v>
                </c:pt>
                <c:pt idx="19">
                  <c:v>1.161377615765059</c:v>
                </c:pt>
                <c:pt idx="20">
                  <c:v>1.1698711744895358</c:v>
                </c:pt>
                <c:pt idx="21">
                  <c:v>1.1783647332140128</c:v>
                </c:pt>
                <c:pt idx="22">
                  <c:v>1.1868582919384896</c:v>
                </c:pt>
                <c:pt idx="23">
                  <c:v>1.1953518506629663</c:v>
                </c:pt>
                <c:pt idx="24">
                  <c:v>1.2</c:v>
                </c:pt>
                <c:pt idx="25">
                  <c:v>1.2783554991557371</c:v>
                </c:pt>
                <c:pt idx="26">
                  <c:v>1.3688136533493993</c:v>
                </c:pt>
                <c:pt idx="27">
                  <c:v>1.4575483214071876</c:v>
                </c:pt>
                <c:pt idx="28">
                  <c:v>1.5446544152346351</c:v>
                </c:pt>
                <c:pt idx="29">
                  <c:v>1.6302184426259405</c:v>
                </c:pt>
                <c:pt idx="30">
                  <c:v>1.714319513589432</c:v>
                </c:pt>
                <c:pt idx="31">
                  <c:v>1.797030196849736</c:v>
                </c:pt>
                <c:pt idx="32">
                  <c:v>1.8784172529197289</c:v>
                </c:pt>
                <c:pt idx="33">
                  <c:v>1.9585422648104394</c:v>
                </c:pt>
                <c:pt idx="34">
                  <c:v>2.0374621833245938</c:v>
                </c:pt>
                <c:pt idx="35">
                  <c:v>2.1152298006606864</c:v>
                </c:pt>
                <c:pt idx="36">
                  <c:v>2.1918941635211158</c:v>
                </c:pt>
                <c:pt idx="37">
                  <c:v>2.2675009349092505</c:v>
                </c:pt>
                <c:pt idx="38">
                  <c:v>2.3420927121963597</c:v>
                </c:pt>
                <c:pt idx="39">
                  <c:v>2.4157093077501797</c:v>
                </c:pt>
                <c:pt idx="40">
                  <c:v>2.488387997374236</c:v>
                </c:pt>
                <c:pt idx="41">
                  <c:v>2.5601637409588318</c:v>
                </c:pt>
                <c:pt idx="42">
                  <c:v>2.6310693790507118</c:v>
                </c:pt>
                <c:pt idx="43">
                  <c:v>2.7011358084777735</c:v>
                </c:pt>
                <c:pt idx="44">
                  <c:v>2.7703921396935964</c:v>
                </c:pt>
                <c:pt idx="45">
                  <c:v>2.8388658381148986</c:v>
                </c:pt>
                <c:pt idx="46">
                  <c:v>2.9065828513983636</c:v>
                </c:pt>
                <c:pt idx="47">
                  <c:v>2.9735677243295773</c:v>
                </c:pt>
                <c:pt idx="48">
                  <c:v>3.0398437027666345</c:v>
                </c:pt>
                <c:pt idx="49">
                  <c:v>3.105432827886494</c:v>
                </c:pt>
                <c:pt idx="50">
                  <c:v>3.1703560218174509</c:v>
                </c:pt>
                <c:pt idx="51">
                  <c:v>3.2346331656008243</c:v>
                </c:pt>
                <c:pt idx="52">
                  <c:v>3.298283170305365</c:v>
                </c:pt>
                <c:pt idx="53">
                  <c:v>3.3613240420153527</c:v>
                </c:pt>
                <c:pt idx="54">
                  <c:v>3.4237729413253639</c:v>
                </c:pt>
                <c:pt idx="55">
                  <c:v>3.4856462378987576</c:v>
                </c:pt>
                <c:pt idx="56">
                  <c:v>3.5469595605814828</c:v>
                </c:pt>
                <c:pt idx="57">
                  <c:v>3.6077278435058275</c:v>
                </c:pt>
                <c:pt idx="58">
                  <c:v>3.6679653685695301</c:v>
                </c:pt>
                <c:pt idx="59">
                  <c:v>3.7276858046325403</c:v>
                </c:pt>
                <c:pt idx="60">
                  <c:v>3.7869022437362014</c:v>
                </c:pt>
                <c:pt idx="61">
                  <c:v>3.8456272346167415</c:v>
                </c:pt>
                <c:pt idx="62">
                  <c:v>3.9038728137560694</c:v>
                </c:pt>
                <c:pt idx="63">
                  <c:v>3.9616505341875294</c:v>
                </c:pt>
                <c:pt idx="64">
                  <c:v>4.0189714922518736</c:v>
                </c:pt>
                <c:pt idx="65">
                  <c:v>4.0758463524789263</c:v>
                </c:pt>
                <c:pt idx="66">
                  <c:v>4.1322853707530198</c:v>
                </c:pt>
                <c:pt idx="67">
                  <c:v>4.1882984159046526</c:v>
                </c:pt>
                <c:pt idx="68">
                  <c:v>4.2438949898571181</c:v>
                </c:pt>
                <c:pt idx="69">
                  <c:v>4.2990842464446049</c:v>
                </c:pt>
                <c:pt idx="70">
                  <c:v>4.3538750090072602</c:v>
                </c:pt>
                <c:pt idx="71">
                  <c:v>4.4082757868590114</c:v>
                </c:pt>
                <c:pt idx="72">
                  <c:v>4.4622947907151724</c:v>
                </c:pt>
                <c:pt idx="73">
                  <c:v>4.5159399471590147</c:v>
                </c:pt>
                <c:pt idx="74">
                  <c:v>4.5692189122195144</c:v>
                </c:pt>
                <c:pt idx="75">
                  <c:v>4.6221390841260828</c:v>
                </c:pt>
                <c:pt idx="76">
                  <c:v>4.6747076153004583</c:v>
                </c:pt>
                <c:pt idx="77">
                  <c:v>4.7269314236408055</c:v>
                </c:pt>
                <c:pt idx="78">
                  <c:v>4.7788172031484049</c:v>
                </c:pt>
                <c:pt idx="79">
                  <c:v>4.8303714339431414</c:v>
                </c:pt>
                <c:pt idx="80">
                  <c:v>4.8816003917102497</c:v>
                </c:pt>
                <c:pt idx="81">
                  <c:v>4.9325101566172522</c:v>
                </c:pt>
                <c:pt idx="82">
                  <c:v>4.9831066217369999</c:v>
                </c:pt>
                <c:pt idx="83">
                  <c:v>5.0333955010098226</c:v>
                </c:pt>
                <c:pt idx="84">
                  <c:v>5.0158402067961267</c:v>
                </c:pt>
                <c:pt idx="85">
                  <c:v>5.1146394322689401</c:v>
                </c:pt>
                <c:pt idx="86">
                  <c:v>5.2134001037873983</c:v>
                </c:pt>
                <c:pt idx="87">
                  <c:v>5.3121582628809412</c:v>
                </c:pt>
                <c:pt idx="88">
                  <c:v>5.4109139108424618</c:v>
                </c:pt>
                <c:pt idx="89">
                  <c:v>5.5096670489647721</c:v>
                </c:pt>
                <c:pt idx="90">
                  <c:v>5.6084176785405857</c:v>
                </c:pt>
                <c:pt idx="91">
                  <c:v>5.7071658008625228</c:v>
                </c:pt>
                <c:pt idx="92">
                  <c:v>5.8059114172231068</c:v>
                </c:pt>
                <c:pt idx="93">
                  <c:v>5.9046545289147687</c:v>
                </c:pt>
                <c:pt idx="94">
                  <c:v>6.0033951372298517</c:v>
                </c:pt>
                <c:pt idx="95">
                  <c:v>6.1021332434605968</c:v>
                </c:pt>
                <c:pt idx="96">
                  <c:v>6.2008688488991597</c:v>
                </c:pt>
                <c:pt idx="97">
                  <c:v>6.2996019548375939</c:v>
                </c:pt>
                <c:pt idx="98">
                  <c:v>6.3983325625678606</c:v>
                </c:pt>
                <c:pt idx="99">
                  <c:v>6.4970606733818377</c:v>
                </c:pt>
                <c:pt idx="100">
                  <c:v>6.5957862885712952</c:v>
                </c:pt>
              </c:numCache>
            </c:numRef>
          </c:val>
          <c:smooth val="0"/>
          <c:extLst>
            <c:ext xmlns:c16="http://schemas.microsoft.com/office/drawing/2014/chart" uri="{C3380CC4-5D6E-409C-BE32-E72D297353CC}">
              <c16:uniqueId val="{00000002-DC32-4242-87FA-45A0737872EA}"/>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1.077597709013135E-5</c:v>
                </c:pt>
                <c:pt idx="1">
                  <c:v>74.355864176906678</c:v>
                </c:pt>
                <c:pt idx="2">
                  <c:v>78.720536224535223</c:v>
                </c:pt>
                <c:pt idx="3">
                  <c:v>79.937465887144072</c:v>
                </c:pt>
                <c:pt idx="4">
                  <c:v>80.231948520904396</c:v>
                </c:pt>
                <c:pt idx="5">
                  <c:v>80.107413001934162</c:v>
                </c:pt>
                <c:pt idx="6">
                  <c:v>79.745579064167998</c:v>
                </c:pt>
                <c:pt idx="7">
                  <c:v>79.230574188470214</c:v>
                </c:pt>
                <c:pt idx="8">
                  <c:v>78.608199801263794</c:v>
                </c:pt>
                <c:pt idx="9">
                  <c:v>77.906463429264022</c:v>
                </c:pt>
                <c:pt idx="10">
                  <c:v>77.144053407340095</c:v>
                </c:pt>
                <c:pt idx="11">
                  <c:v>76.334302607568659</c:v>
                </c:pt>
                <c:pt idx="12">
                  <c:v>75.487226858609475</c:v>
                </c:pt>
                <c:pt idx="13">
                  <c:v>74.610655284684839</c:v>
                </c:pt>
                <c:pt idx="14">
                  <c:v>73.710897208413968</c:v>
                </c:pt>
                <c:pt idx="15">
                  <c:v>72.793156880860224</c:v>
                </c:pt>
                <c:pt idx="16">
                  <c:v>71.861803466059357</c:v>
                </c:pt>
                <c:pt idx="17">
                  <c:v>70.920554078426875</c:v>
                </c:pt>
                <c:pt idx="18">
                  <c:v>69.972602490434582</c:v>
                </c:pt>
                <c:pt idx="19">
                  <c:v>69.020712687231224</c:v>
                </c:pt>
                <c:pt idx="20">
                  <c:v>68.067288951378714</c:v>
                </c:pt>
                <c:pt idx="21">
                  <c:v>67.114429822031667</c:v>
                </c:pt>
                <c:pt idx="22">
                  <c:v>66.163970675963171</c:v>
                </c:pt>
                <c:pt idx="23">
                  <c:v>65.217518077319951</c:v>
                </c:pt>
                <c:pt idx="24">
                  <c:v>65.119663109813942</c:v>
                </c:pt>
                <c:pt idx="25">
                  <c:v>65.212346662306999</c:v>
                </c:pt>
                <c:pt idx="26">
                  <c:v>65.160319597638249</c:v>
                </c:pt>
                <c:pt idx="27">
                  <c:v>65.105710293167789</c:v>
                </c:pt>
                <c:pt idx="28">
                  <c:v>65.048921489348487</c:v>
                </c:pt>
                <c:pt idx="29">
                  <c:v>64.99029485218179</c:v>
                </c:pt>
                <c:pt idx="30">
                  <c:v>64.930121419362166</c:v>
                </c:pt>
                <c:pt idx="31">
                  <c:v>64.868650023603877</c:v>
                </c:pt>
                <c:pt idx="32">
                  <c:v>64.806094130904697</c:v>
                </c:pt>
                <c:pt idx="33">
                  <c:v>64.742637427082201</c:v>
                </c:pt>
                <c:pt idx="34">
                  <c:v>64.678438408625311</c:v>
                </c:pt>
                <c:pt idx="35">
                  <c:v>64.613634176136443</c:v>
                </c:pt>
                <c:pt idx="36">
                  <c:v>64.548343585080232</c:v>
                </c:pt>
                <c:pt idx="37">
                  <c:v>64.482669875430105</c:v>
                </c:pt>
                <c:pt idx="38">
                  <c:v>64.416702876417673</c:v>
                </c:pt>
                <c:pt idx="39">
                  <c:v>64.350520862986031</c:v>
                </c:pt>
                <c:pt idx="40">
                  <c:v>64.284192125306049</c:v>
                </c:pt>
                <c:pt idx="41">
                  <c:v>64.217776300783541</c:v>
                </c:pt>
                <c:pt idx="42">
                  <c:v>64.15132550858776</c:v>
                </c:pt>
                <c:pt idx="43">
                  <c:v>64.084885319286514</c:v>
                </c:pt>
                <c:pt idx="44">
                  <c:v>64.018495586239425</c:v>
                </c:pt>
                <c:pt idx="45">
                  <c:v>63.952191160649328</c:v>
                </c:pt>
                <c:pt idx="46">
                  <c:v>63.886002508344554</c:v>
                </c:pt>
                <c:pt idx="47">
                  <c:v>63.819956243269203</c:v>
                </c:pt>
                <c:pt idx="48">
                  <c:v>63.754075590141859</c:v>
                </c:pt>
                <c:pt idx="49">
                  <c:v>63.688380786689706</c:v>
                </c:pt>
                <c:pt idx="50">
                  <c:v>63.622889434179456</c:v>
                </c:pt>
                <c:pt idx="51">
                  <c:v>63.557616803581126</c:v>
                </c:pt>
                <c:pt idx="52">
                  <c:v>63.492576103554896</c:v>
                </c:pt>
                <c:pt idx="53">
                  <c:v>63.42777871550053</c:v>
                </c:pt>
                <c:pt idx="54">
                  <c:v>63.363234400119005</c:v>
                </c:pt>
                <c:pt idx="55">
                  <c:v>63.298951479274855</c:v>
                </c:pt>
                <c:pt idx="56">
                  <c:v>63.234936996393955</c:v>
                </c:pt>
                <c:pt idx="57">
                  <c:v>63.171196858167946</c:v>
                </c:pt>
                <c:pt idx="58">
                  <c:v>63.107735959941955</c:v>
                </c:pt>
                <c:pt idx="59">
                  <c:v>63.2051081414169</c:v>
                </c:pt>
                <c:pt idx="60">
                  <c:v>63.897314764194292</c:v>
                </c:pt>
                <c:pt idx="61">
                  <c:v>64.571218635522456</c:v>
                </c:pt>
                <c:pt idx="62">
                  <c:v>65.714021112494635</c:v>
                </c:pt>
                <c:pt idx="63">
                  <c:v>65.95079808054021</c:v>
                </c:pt>
                <c:pt idx="64">
                  <c:v>66.182201156003757</c:v>
                </c:pt>
                <c:pt idx="65">
                  <c:v>66.408326932126343</c:v>
                </c:pt>
                <c:pt idx="66">
                  <c:v>66.629321597314544</c:v>
                </c:pt>
                <c:pt idx="67">
                  <c:v>66.845325754123209</c:v>
                </c:pt>
                <c:pt idx="68">
                  <c:v>67.056474676378912</c:v>
                </c:pt>
                <c:pt idx="69">
                  <c:v>67.262898552175415</c:v>
                </c:pt>
                <c:pt idx="70">
                  <c:v>67.464722713633861</c:v>
                </c:pt>
                <c:pt idx="71">
                  <c:v>67.662067854257785</c:v>
                </c:pt>
                <c:pt idx="72">
                  <c:v>67.855050234651586</c:v>
                </c:pt>
                <c:pt idx="73">
                  <c:v>68.043781877319418</c:v>
                </c:pt>
                <c:pt idx="74">
                  <c:v>68.228370751208971</c:v>
                </c:pt>
                <c:pt idx="75">
                  <c:v>68.408920946620526</c:v>
                </c:pt>
                <c:pt idx="76">
                  <c:v>68.585532841057315</c:v>
                </c:pt>
                <c:pt idx="77">
                  <c:v>68.758303256556388</c:v>
                </c:pt>
                <c:pt idx="78">
                  <c:v>68.927325608999936</c:v>
                </c:pt>
                <c:pt idx="79">
                  <c:v>69.092690049876751</c:v>
                </c:pt>
                <c:pt idx="80">
                  <c:v>69.254483600929277</c:v>
                </c:pt>
                <c:pt idx="81">
                  <c:v>69.412790282095813</c:v>
                </c:pt>
                <c:pt idx="82">
                  <c:v>69.567691233129381</c:v>
                </c:pt>
                <c:pt idx="83">
                  <c:v>69.719264829249141</c:v>
                </c:pt>
                <c:pt idx="84">
                  <c:v>69.867586791160761</c:v>
                </c:pt>
                <c:pt idx="85">
                  <c:v>70.012730289755936</c:v>
                </c:pt>
                <c:pt idx="86">
                  <c:v>70.154766045786829</c:v>
                </c:pt>
                <c:pt idx="87">
                  <c:v>70.293762424787957</c:v>
                </c:pt>
                <c:pt idx="88">
                  <c:v>70.429785527504706</c:v>
                </c:pt>
                <c:pt idx="89">
                  <c:v>70.562899276069601</c:v>
                </c:pt>
                <c:pt idx="90">
                  <c:v>70.693165496153256</c:v>
                </c:pt>
                <c:pt idx="91">
                  <c:v>70.82064399530347</c:v>
                </c:pt>
                <c:pt idx="92">
                  <c:v>70.945392637672271</c:v>
                </c:pt>
                <c:pt idx="93">
                  <c:v>71.067467415319825</c:v>
                </c:pt>
                <c:pt idx="94">
                  <c:v>71.186922516271352</c:v>
                </c:pt>
                <c:pt idx="95">
                  <c:v>71.303810389494188</c:v>
                </c:pt>
                <c:pt idx="96">
                  <c:v>71.418181806951992</c:v>
                </c:pt>
                <c:pt idx="97">
                  <c:v>71.53008592288289</c:v>
                </c:pt>
                <c:pt idx="98">
                  <c:v>71.639570330441273</c:v>
                </c:pt>
                <c:pt idx="99">
                  <c:v>71.746681115834022</c:v>
                </c:pt>
                <c:pt idx="100">
                  <c:v>71.835144537231983</c:v>
                </c:pt>
              </c:numCache>
            </c:numRef>
          </c:val>
          <c:smooth val="0"/>
          <c:extLst>
            <c:ext xmlns:c16="http://schemas.microsoft.com/office/drawing/2014/chart" uri="{C3380CC4-5D6E-409C-BE32-E72D297353CC}">
              <c16:uniqueId val="{00000000-AC8A-4551-AD17-C0E237FEA675}"/>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1.1495999999999998E-6</c:v>
                </c:pt>
                <c:pt idx="1">
                  <c:v>30.895499999999998</c:v>
                </c:pt>
                <c:pt idx="2">
                  <c:v>61.790999999999997</c:v>
                </c:pt>
                <c:pt idx="3">
                  <c:v>92.686499999999995</c:v>
                </c:pt>
                <c:pt idx="4">
                  <c:v>123.58199999999999</c:v>
                </c:pt>
                <c:pt idx="5">
                  <c:v>154.47749999999999</c:v>
                </c:pt>
                <c:pt idx="6">
                  <c:v>185.37299999999999</c:v>
                </c:pt>
                <c:pt idx="7">
                  <c:v>216.26849999999999</c:v>
                </c:pt>
                <c:pt idx="8">
                  <c:v>247.16399999999999</c:v>
                </c:pt>
                <c:pt idx="9">
                  <c:v>278.05950000000001</c:v>
                </c:pt>
                <c:pt idx="10">
                  <c:v>308.95499999999998</c:v>
                </c:pt>
                <c:pt idx="11">
                  <c:v>339.85050000000001</c:v>
                </c:pt>
                <c:pt idx="12">
                  <c:v>370.74599999999998</c:v>
                </c:pt>
                <c:pt idx="13">
                  <c:v>401.64150000000001</c:v>
                </c:pt>
                <c:pt idx="14">
                  <c:v>432.53699999999998</c:v>
                </c:pt>
                <c:pt idx="15">
                  <c:v>463.4325</c:v>
                </c:pt>
                <c:pt idx="16">
                  <c:v>494.32799999999997</c:v>
                </c:pt>
                <c:pt idx="17">
                  <c:v>525.22349999999994</c:v>
                </c:pt>
                <c:pt idx="18">
                  <c:v>556.11900000000003</c:v>
                </c:pt>
                <c:pt idx="19">
                  <c:v>587.01449999999988</c:v>
                </c:pt>
                <c:pt idx="20">
                  <c:v>617.91</c:v>
                </c:pt>
                <c:pt idx="21">
                  <c:v>648.80549999999994</c:v>
                </c:pt>
                <c:pt idx="22">
                  <c:v>679.70100000000002</c:v>
                </c:pt>
                <c:pt idx="23">
                  <c:v>710.59649999999999</c:v>
                </c:pt>
                <c:pt idx="24">
                  <c:v>741.49199999999996</c:v>
                </c:pt>
                <c:pt idx="25">
                  <c:v>772.38750000000005</c:v>
                </c:pt>
                <c:pt idx="26">
                  <c:v>803.28300000000002</c:v>
                </c:pt>
                <c:pt idx="27">
                  <c:v>834.1785000000001</c:v>
                </c:pt>
                <c:pt idx="28">
                  <c:v>865.07399999999996</c:v>
                </c:pt>
                <c:pt idx="29">
                  <c:v>895.96949999999981</c:v>
                </c:pt>
                <c:pt idx="30">
                  <c:v>926.86500000000001</c:v>
                </c:pt>
                <c:pt idx="31">
                  <c:v>957.76049999999998</c:v>
                </c:pt>
                <c:pt idx="32">
                  <c:v>988.65599999999995</c:v>
                </c:pt>
                <c:pt idx="33">
                  <c:v>1019.5514999999999</c:v>
                </c:pt>
                <c:pt idx="34">
                  <c:v>1050.4469999999999</c:v>
                </c:pt>
                <c:pt idx="35">
                  <c:v>1081.3425</c:v>
                </c:pt>
                <c:pt idx="36">
                  <c:v>1112.2380000000001</c:v>
                </c:pt>
                <c:pt idx="37">
                  <c:v>1143.1334999999999</c:v>
                </c:pt>
                <c:pt idx="38">
                  <c:v>1174.0289999999998</c:v>
                </c:pt>
                <c:pt idx="39">
                  <c:v>1204.9244999999996</c:v>
                </c:pt>
                <c:pt idx="40">
                  <c:v>1235.82</c:v>
                </c:pt>
                <c:pt idx="41">
                  <c:v>1266.7154999999998</c:v>
                </c:pt>
                <c:pt idx="42">
                  <c:v>1297.6109999999999</c:v>
                </c:pt>
                <c:pt idx="43">
                  <c:v>1328.5065</c:v>
                </c:pt>
                <c:pt idx="44">
                  <c:v>1359.402</c:v>
                </c:pt>
                <c:pt idx="45">
                  <c:v>1390.2974999999999</c:v>
                </c:pt>
                <c:pt idx="46">
                  <c:v>1421.193</c:v>
                </c:pt>
                <c:pt idx="47">
                  <c:v>1452.0884999999998</c:v>
                </c:pt>
                <c:pt idx="48">
                  <c:v>1482.9839999999999</c:v>
                </c:pt>
                <c:pt idx="49">
                  <c:v>1513.8794999999998</c:v>
                </c:pt>
                <c:pt idx="50">
                  <c:v>1544.7750000000001</c:v>
                </c:pt>
                <c:pt idx="51">
                  <c:v>1575.6704999999999</c:v>
                </c:pt>
                <c:pt idx="52">
                  <c:v>1606.566</c:v>
                </c:pt>
                <c:pt idx="53">
                  <c:v>1637.4614999999999</c:v>
                </c:pt>
                <c:pt idx="54">
                  <c:v>1668.3570000000002</c:v>
                </c:pt>
                <c:pt idx="55">
                  <c:v>1699.2525000000001</c:v>
                </c:pt>
                <c:pt idx="56">
                  <c:v>1730.1479999999999</c:v>
                </c:pt>
                <c:pt idx="57">
                  <c:v>1761.0434999999998</c:v>
                </c:pt>
                <c:pt idx="58">
                  <c:v>1791.9389999999996</c:v>
                </c:pt>
                <c:pt idx="59">
                  <c:v>1822.8344999999997</c:v>
                </c:pt>
                <c:pt idx="60">
                  <c:v>1853.73</c:v>
                </c:pt>
                <c:pt idx="61">
                  <c:v>1884.6254999999999</c:v>
                </c:pt>
                <c:pt idx="62">
                  <c:v>1915.521</c:v>
                </c:pt>
                <c:pt idx="63">
                  <c:v>1946.4164999999996</c:v>
                </c:pt>
                <c:pt idx="64">
                  <c:v>1977.3119999999999</c:v>
                </c:pt>
                <c:pt idx="65">
                  <c:v>2008.2074999999998</c:v>
                </c:pt>
                <c:pt idx="66">
                  <c:v>2039.1029999999998</c:v>
                </c:pt>
                <c:pt idx="67">
                  <c:v>2069.9985000000001</c:v>
                </c:pt>
                <c:pt idx="68">
                  <c:v>2100.8939999999998</c:v>
                </c:pt>
                <c:pt idx="69">
                  <c:v>2131.7894999999994</c:v>
                </c:pt>
                <c:pt idx="70">
                  <c:v>2162.6849999999999</c:v>
                </c:pt>
                <c:pt idx="71">
                  <c:v>2193.5804999999996</c:v>
                </c:pt>
                <c:pt idx="72">
                  <c:v>2224.4760000000001</c:v>
                </c:pt>
                <c:pt idx="73">
                  <c:v>2255.3714999999997</c:v>
                </c:pt>
                <c:pt idx="74">
                  <c:v>2286.2669999999998</c:v>
                </c:pt>
                <c:pt idx="75">
                  <c:v>2317.1624999999995</c:v>
                </c:pt>
                <c:pt idx="76">
                  <c:v>2348.0579999999995</c:v>
                </c:pt>
                <c:pt idx="77">
                  <c:v>2378.9534999999996</c:v>
                </c:pt>
                <c:pt idx="78">
                  <c:v>2409.8489999999993</c:v>
                </c:pt>
                <c:pt idx="79">
                  <c:v>2440.7445000000002</c:v>
                </c:pt>
                <c:pt idx="80">
                  <c:v>2471.64</c:v>
                </c:pt>
                <c:pt idx="81">
                  <c:v>2502.5354999999995</c:v>
                </c:pt>
                <c:pt idx="82">
                  <c:v>2533.4309999999996</c:v>
                </c:pt>
                <c:pt idx="83">
                  <c:v>2564.3264999999997</c:v>
                </c:pt>
                <c:pt idx="84">
                  <c:v>2595.2219999999998</c:v>
                </c:pt>
                <c:pt idx="85">
                  <c:v>2626.1174999999994</c:v>
                </c:pt>
                <c:pt idx="86">
                  <c:v>2657.0129999999999</c:v>
                </c:pt>
                <c:pt idx="87">
                  <c:v>2687.9085</c:v>
                </c:pt>
                <c:pt idx="88">
                  <c:v>2718.8040000000001</c:v>
                </c:pt>
                <c:pt idx="89">
                  <c:v>2749.6994999999997</c:v>
                </c:pt>
                <c:pt idx="90">
                  <c:v>2780.5949999999998</c:v>
                </c:pt>
                <c:pt idx="91">
                  <c:v>2811.4904999999999</c:v>
                </c:pt>
                <c:pt idx="92">
                  <c:v>2842.386</c:v>
                </c:pt>
                <c:pt idx="93">
                  <c:v>2873.2815000000001</c:v>
                </c:pt>
                <c:pt idx="94">
                  <c:v>2904.1769999999997</c:v>
                </c:pt>
                <c:pt idx="95">
                  <c:v>2935.0724999999993</c:v>
                </c:pt>
                <c:pt idx="96">
                  <c:v>2965.9679999999998</c:v>
                </c:pt>
                <c:pt idx="97">
                  <c:v>2996.8634999999995</c:v>
                </c:pt>
                <c:pt idx="98">
                  <c:v>3027.7589999999996</c:v>
                </c:pt>
                <c:pt idx="99">
                  <c:v>3058.6544999999992</c:v>
                </c:pt>
                <c:pt idx="100">
                  <c:v>3089.55</c:v>
                </c:pt>
              </c:numCache>
            </c:numRef>
          </c:val>
          <c:smooth val="0"/>
          <c:extLst>
            <c:ext xmlns:c16="http://schemas.microsoft.com/office/drawing/2014/chart" uri="{C3380CC4-5D6E-409C-BE32-E72D297353CC}">
              <c16:uniqueId val="{00000001-AC8A-4551-AD17-C0E237FEA675}"/>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94.816140617262192</c:v>
                </c:pt>
                <c:pt idx="1">
                  <c:v>140.91077249263802</c:v>
                </c:pt>
                <c:pt idx="2">
                  <c:v>281.94451088975262</c:v>
                </c:pt>
                <c:pt idx="3">
                  <c:v>423.10137622105555</c:v>
                </c:pt>
                <c:pt idx="4">
                  <c:v>564.38152979754955</c:v>
                </c:pt>
                <c:pt idx="5">
                  <c:v>705.78513321214257</c:v>
                </c:pt>
                <c:pt idx="6">
                  <c:v>847.31234834026384</c:v>
                </c:pt>
                <c:pt idx="7">
                  <c:v>988.96333734048267</c:v>
                </c:pt>
                <c:pt idx="8">
                  <c:v>1130.7382626551253</c:v>
                </c:pt>
                <c:pt idx="9">
                  <c:v>1272.6372870108987</c:v>
                </c:pt>
                <c:pt idx="10">
                  <c:v>1414.6605734195125</c:v>
                </c:pt>
                <c:pt idx="11">
                  <c:v>1556.8082851782999</c:v>
                </c:pt>
                <c:pt idx="12">
                  <c:v>1699.0805858708482</c:v>
                </c:pt>
                <c:pt idx="13">
                  <c:v>1841.4776393676248</c:v>
                </c:pt>
                <c:pt idx="14">
                  <c:v>1983.9996098266054</c:v>
                </c:pt>
                <c:pt idx="15">
                  <c:v>2126.6466616939024</c:v>
                </c:pt>
                <c:pt idx="16">
                  <c:v>2269.4189597044051</c:v>
                </c:pt>
                <c:pt idx="17">
                  <c:v>2412.3166688824067</c:v>
                </c:pt>
                <c:pt idx="18">
                  <c:v>2555.3399545422403</c:v>
                </c:pt>
                <c:pt idx="19">
                  <c:v>2698.4889822889231</c:v>
                </c:pt>
                <c:pt idx="20">
                  <c:v>2841.7639180187889</c:v>
                </c:pt>
                <c:pt idx="21">
                  <c:v>2985.164927920126</c:v>
                </c:pt>
                <c:pt idx="22">
                  <c:v>3128.6921784738356</c:v>
                </c:pt>
                <c:pt idx="23">
                  <c:v>3272.3458364540552</c:v>
                </c:pt>
                <c:pt idx="24">
                  <c:v>3350.7015195681488</c:v>
                </c:pt>
                <c:pt idx="25">
                  <c:v>3399.6622301059956</c:v>
                </c:pt>
                <c:pt idx="26">
                  <c:v>3456.4685636611734</c:v>
                </c:pt>
                <c:pt idx="27">
                  <c:v>3512.4918112831688</c:v>
                </c:pt>
                <c:pt idx="28">
                  <c:v>3567.7840453993376</c:v>
                </c:pt>
                <c:pt idx="29">
                  <c:v>3622.3927362577683</c:v>
                </c:pt>
                <c:pt idx="30">
                  <c:v>3676.3613064299152</c:v>
                </c:pt>
                <c:pt idx="31">
                  <c:v>3729.7296025497071</c:v>
                </c:pt>
                <c:pt idx="32">
                  <c:v>3782.5342988931452</c:v>
                </c:pt>
                <c:pt idx="33">
                  <c:v>3834.8092444525714</c:v>
                </c:pt>
                <c:pt idx="34">
                  <c:v>3886.5857628767758</c:v>
                </c:pt>
                <c:pt idx="35">
                  <c:v>3937.8929128657983</c:v>
                </c:pt>
                <c:pt idx="36">
                  <c:v>3988.7577152069894</c:v>
                </c:pt>
                <c:pt idx="37">
                  <c:v>4039.2053515272846</c:v>
                </c:pt>
                <c:pt idx="38">
                  <c:v>4089.2593389491399</c:v>
                </c:pt>
                <c:pt idx="39">
                  <c:v>4138.9416841245729</c:v>
                </c:pt>
                <c:pt idx="40">
                  <c:v>4188.2730195450667</c:v>
                </c:pt>
                <c:pt idx="41">
                  <c:v>4237.2727245561991</c:v>
                </c:pt>
                <c:pt idx="42">
                  <c:v>4285.9590331222798</c:v>
                </c:pt>
                <c:pt idx="43">
                  <c:v>4334.3491300709302</c:v>
                </c:pt>
                <c:pt idx="44">
                  <c:v>4382.4592372870247</c:v>
                </c:pt>
                <c:pt idx="45">
                  <c:v>4430.3046911090487</c:v>
                </c:pt>
                <c:pt idx="46">
                  <c:v>4477.9000120005621</c:v>
                </c:pt>
                <c:pt idx="47">
                  <c:v>4525.2589674183446</c:v>
                </c:pt>
                <c:pt idx="48">
                  <c:v>4572.394628671761</c:v>
                </c:pt>
                <c:pt idx="49">
                  <c:v>4619.3194224605641</c:v>
                </c:pt>
                <c:pt idx="50">
                  <c:v>4666.0451776874734</c:v>
                </c:pt>
                <c:pt idx="51">
                  <c:v>4712.5831680645688</c:v>
                </c:pt>
                <c:pt idx="52">
                  <c:v>4758.9441509664775</c:v>
                </c:pt>
                <c:pt idx="53">
                  <c:v>4805.1384029269448</c:v>
                </c:pt>
                <c:pt idx="54">
                  <c:v>4851.1757521267846</c:v>
                </c:pt>
                <c:pt idx="55">
                  <c:v>4897.0656081794123</c:v>
                </c:pt>
                <c:pt idx="56">
                  <c:v>4942.8169894841012</c:v>
                </c:pt>
                <c:pt idx="57">
                  <c:v>4988.4385483857368</c:v>
                </c:pt>
                <c:pt idx="58">
                  <c:v>5033.9385943527313</c:v>
                </c:pt>
                <c:pt idx="59">
                  <c:v>5061.8656251553048</c:v>
                </c:pt>
                <c:pt idx="60">
                  <c:v>5024.4264847249578</c:v>
                </c:pt>
                <c:pt idx="61">
                  <c:v>4987.9155418793043</c:v>
                </c:pt>
                <c:pt idx="62">
                  <c:v>4901.5603013030131</c:v>
                </c:pt>
                <c:pt idx="63">
                  <c:v>4908.6051201361634</c:v>
                </c:pt>
                <c:pt idx="64">
                  <c:v>4916.0937828378537</c:v>
                </c:pt>
                <c:pt idx="65">
                  <c:v>4924.0351934313094</c:v>
                </c:pt>
                <c:pt idx="66">
                  <c:v>4932.4235376192401</c:v>
                </c:pt>
                <c:pt idx="67">
                  <c:v>4941.2534980293703</c:v>
                </c:pt>
                <c:pt idx="68">
                  <c:v>4950.5202242369887</c:v>
                </c:pt>
                <c:pt idx="69">
                  <c:v>4960.2193053353358</c:v>
                </c:pt>
                <c:pt idx="70">
                  <c:v>4970.3467448172651</c:v>
                </c:pt>
                <c:pt idx="71">
                  <c:v>4980.8989375569336</c:v>
                </c:pt>
                <c:pt idx="72">
                  <c:v>4991.8726487024096</c:v>
                </c:pt>
                <c:pt idx="73">
                  <c:v>5003.2649943097513</c:v>
                </c:pt>
                <c:pt idx="74">
                  <c:v>5015.0734235665359</c:v>
                </c:pt>
                <c:pt idx="75">
                  <c:v>5027.2957024681846</c:v>
                </c:pt>
                <c:pt idx="76">
                  <c:v>5039.9298988242554</c:v>
                </c:pt>
                <c:pt idx="77">
                  <c:v>5052.9743684838859</c:v>
                </c:pt>
                <c:pt idx="78">
                  <c:v>5066.4277426806129</c:v>
                </c:pt>
                <c:pt idx="79">
                  <c:v>5080.288916406399</c:v>
                </c:pt>
                <c:pt idx="80">
                  <c:v>5094.5570377334107</c:v>
                </c:pt>
                <c:pt idx="81">
                  <c:v>5109.2314980098154</c:v>
                </c:pt>
                <c:pt idx="82">
                  <c:v>5124.3119228628657</c:v>
                </c:pt>
                <c:pt idx="83">
                  <c:v>5139.7981639488116</c:v>
                </c:pt>
                <c:pt idx="84">
                  <c:v>5155.6902913946715</c:v>
                </c:pt>
                <c:pt idx="85">
                  <c:v>5171.9885868821711</c:v>
                </c:pt>
                <c:pt idx="86">
                  <c:v>5188.693537328475</c:v>
                </c:pt>
                <c:pt idx="87">
                  <c:v>5205.8058291226844</c:v>
                </c:pt>
                <c:pt idx="88">
                  <c:v>5223.3263428806176</c:v>
                </c:pt>
                <c:pt idx="89">
                  <c:v>5241.2561486839031</c:v>
                </c:pt>
                <c:pt idx="90">
                  <c:v>5259.5965017723647</c:v>
                </c:pt>
                <c:pt idx="91">
                  <c:v>5278.3488386615127</c:v>
                </c:pt>
                <c:pt idx="92">
                  <c:v>5297.5147736595336</c:v>
                </c:pt>
                <c:pt idx="93">
                  <c:v>5317.0960957603265</c:v>
                </c:pt>
                <c:pt idx="94">
                  <c:v>5337.0947658913838</c:v>
                </c:pt>
                <c:pt idx="95">
                  <c:v>5357.5129144971406</c:v>
                </c:pt>
                <c:pt idx="96">
                  <c:v>5378.3528394402301</c:v>
                </c:pt>
                <c:pt idx="97">
                  <c:v>5399.6170042046106</c:v>
                </c:pt>
                <c:pt idx="98">
                  <c:v>5421.3080363861227</c:v>
                </c:pt>
                <c:pt idx="99">
                  <c:v>5443.4287264572858</c:v>
                </c:pt>
                <c:pt idx="100">
                  <c:v>5465.9820267944442</c:v>
                </c:pt>
              </c:numCache>
            </c:numRef>
          </c:val>
          <c:smooth val="0"/>
          <c:extLst>
            <c:ext xmlns:c16="http://schemas.microsoft.com/office/drawing/2014/chart" uri="{C3380CC4-5D6E-409C-BE32-E72D297353CC}">
              <c16:uniqueId val="{00000002-AC8A-4551-AD17-C0E237FEA675}"/>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239.26025631324396</c:v>
                </c:pt>
                <c:pt idx="1">
                  <c:v>259.64340897920147</c:v>
                </c:pt>
                <c:pt idx="2">
                  <c:v>332.59649749942457</c:v>
                </c:pt>
                <c:pt idx="3">
                  <c:v>426.13203192126025</c:v>
                </c:pt>
                <c:pt idx="4">
                  <c:v>544.95342442076958</c:v>
                </c:pt>
                <c:pt idx="5">
                  <c:v>693.00350047136089</c:v>
                </c:pt>
                <c:pt idx="6">
                  <c:v>873.74865500458429</c:v>
                </c:pt>
                <c:pt idx="7">
                  <c:v>1090.3196425582137</c:v>
                </c:pt>
                <c:pt idx="8">
                  <c:v>1345.5939747629723</c:v>
                </c:pt>
                <c:pt idx="9">
                  <c:v>1642.2491805052921</c:v>
                </c:pt>
                <c:pt idx="10">
                  <c:v>1982.7996231531099</c:v>
                </c:pt>
                <c:pt idx="11">
                  <c:v>2369.6232229441894</c:v>
                </c:pt>
                <c:pt idx="12">
                  <c:v>2804.9815864813581</c:v>
                </c:pt>
                <c:pt idx="13">
                  <c:v>3291.0356208295698</c:v>
                </c:pt>
                <c:pt idx="14">
                  <c:v>3829.8579360164827</c:v>
                </c:pt>
                <c:pt idx="15">
                  <c:v>4423.4428918453796</c:v>
                </c:pt>
                <c:pt idx="16">
                  <c:v>5073.7148720093574</c:v>
                </c:pt>
                <c:pt idx="17">
                  <c:v>5782.5351950270078</c:v>
                </c:pt>
                <c:pt idx="18">
                  <c:v>6551.7079572905177</c:v>
                </c:pt>
                <c:pt idx="19">
                  <c:v>7382.985025993672</c:v>
                </c:pt>
                <c:pt idx="20">
                  <c:v>8278.0703457083673</c:v>
                </c:pt>
                <c:pt idx="21">
                  <c:v>9238.6236839023331</c:v>
                </c:pt>
                <c:pt idx="22">
                  <c:v>10266.263912722352</c:v>
                </c:pt>
                <c:pt idx="23">
                  <c:v>11362.571903673255</c:v>
                </c:pt>
                <c:pt idx="24">
                  <c:v>11989.696109144003</c:v>
                </c:pt>
                <c:pt idx="25">
                  <c:v>12511.659932579827</c:v>
                </c:pt>
                <c:pt idx="26">
                  <c:v>13131.130675171356</c:v>
                </c:pt>
                <c:pt idx="27">
                  <c:v>13756.57160283441</c:v>
                </c:pt>
                <c:pt idx="28">
                  <c:v>14387.844128295741</c:v>
                </c:pt>
                <c:pt idx="29">
                  <c:v>15024.818725554056</c:v>
                </c:pt>
                <c:pt idx="30">
                  <c:v>15667.374061473534</c:v>
                </c:pt>
                <c:pt idx="31">
                  <c:v>16315.396236827923</c:v>
                </c:pt>
                <c:pt idx="32">
                  <c:v>16968.778119906456</c:v>
                </c:pt>
                <c:pt idx="33">
                  <c:v>17627.418758847503</c:v>
                </c:pt>
                <c:pt idx="34">
                  <c:v>18291.222861290873</c:v>
                </c:pt>
                <c:pt idx="35">
                  <c:v>18960.100331881677</c:v>
                </c:pt>
                <c:pt idx="36">
                  <c:v>19633.965859722819</c:v>
                </c:pt>
                <c:pt idx="37">
                  <c:v>20312.73854914309</c:v>
                </c:pt>
                <c:pt idx="38">
                  <c:v>20996.341588184558</c:v>
                </c:pt>
                <c:pt idx="39">
                  <c:v>21684.701950064529</c:v>
                </c:pt>
                <c:pt idx="40">
                  <c:v>22377.75012357083</c:v>
                </c:pt>
                <c:pt idx="41">
                  <c:v>23075.419868933295</c:v>
                </c:pt>
                <c:pt idx="42">
                  <c:v>23777.647996201755</c:v>
                </c:pt>
                <c:pt idx="43">
                  <c:v>24484.374163569442</c:v>
                </c:pt>
                <c:pt idx="44">
                  <c:v>25195.540693425544</c:v>
                </c:pt>
                <c:pt idx="45">
                  <c:v>25911.092404210929</c:v>
                </c:pt>
                <c:pt idx="46">
                  <c:v>26630.976456399108</c:v>
                </c:pt>
                <c:pt idx="47">
                  <c:v>27355.142211135058</c:v>
                </c:pt>
                <c:pt idx="48">
                  <c:v>28083.541100245257</c:v>
                </c:pt>
                <c:pt idx="49">
                  <c:v>28816.126506486336</c:v>
                </c:pt>
                <c:pt idx="50">
                  <c:v>29552.85365303441</c:v>
                </c:pt>
                <c:pt idx="51">
                  <c:v>30293.679501331979</c:v>
                </c:pt>
                <c:pt idx="52">
                  <c:v>31038.562656509032</c:v>
                </c:pt>
                <c:pt idx="53">
                  <c:v>31787.46327968271</c:v>
                </c:pt>
                <c:pt idx="54">
                  <c:v>32540.343006515257</c:v>
                </c:pt>
                <c:pt idx="55">
                  <c:v>33297.16487147614</c:v>
                </c:pt>
                <c:pt idx="56">
                  <c:v>34057.893237313896</c:v>
                </c:pt>
                <c:pt idx="57">
                  <c:v>34822.493729291185</c:v>
                </c:pt>
                <c:pt idx="58">
                  <c:v>35590.933173786158</c:v>
                </c:pt>
                <c:pt idx="59">
                  <c:v>36083.25377999054</c:v>
                </c:pt>
                <c:pt idx="60">
                  <c:v>35531.568615618169</c:v>
                </c:pt>
                <c:pt idx="61">
                  <c:v>34997.59540335909</c:v>
                </c:pt>
                <c:pt idx="62">
                  <c:v>33650.52438546974</c:v>
                </c:pt>
                <c:pt idx="63">
                  <c:v>33834.702067532111</c:v>
                </c:pt>
                <c:pt idx="64">
                  <c:v>34017.718346494548</c:v>
                </c:pt>
                <c:pt idx="65">
                  <c:v>34199.751164898036</c:v>
                </c:pt>
                <c:pt idx="66">
                  <c:v>34380.889590045153</c:v>
                </c:pt>
                <c:pt idx="67">
                  <c:v>34561.218476396338</c:v>
                </c:pt>
                <c:pt idx="68">
                  <c:v>34740.818751842438</c:v>
                </c:pt>
                <c:pt idx="69">
                  <c:v>34919.767682155609</c:v>
                </c:pt>
                <c:pt idx="70">
                  <c:v>35098.139115554593</c:v>
                </c:pt>
                <c:pt idx="71">
                  <c:v>35276.003709127195</c:v>
                </c:pt>
                <c:pt idx="72">
                  <c:v>35453.429138683074</c:v>
                </c:pt>
                <c:pt idx="73">
                  <c:v>35630.480293455206</c:v>
                </c:pt>
                <c:pt idx="74">
                  <c:v>35807.219456935418</c:v>
                </c:pt>
                <c:pt idx="75">
                  <c:v>35983.706475003695</c:v>
                </c:pt>
                <c:pt idx="76">
                  <c:v>36159.998912407027</c:v>
                </c:pt>
                <c:pt idx="77">
                  <c:v>36336.152198540338</c:v>
                </c:pt>
                <c:pt idx="78">
                  <c:v>36512.219763400448</c:v>
                </c:pt>
                <c:pt idx="79">
                  <c:v>36688.253164499853</c:v>
                </c:pt>
                <c:pt idx="80">
                  <c:v>36864.302205462307</c:v>
                </c:pt>
                <c:pt idx="81">
                  <c:v>37040.41504695273</c:v>
                </c:pt>
                <c:pt idx="82">
                  <c:v>37216.63831054022</c:v>
                </c:pt>
                <c:pt idx="83">
                  <c:v>37393.017176042602</c:v>
                </c:pt>
                <c:pt idx="84">
                  <c:v>37569.595472847475</c:v>
                </c:pt>
                <c:pt idx="85">
                  <c:v>37746.415765672449</c:v>
                </c:pt>
                <c:pt idx="86">
                  <c:v>37923.51943517851</c:v>
                </c:pt>
                <c:pt idx="87">
                  <c:v>38100.946753824835</c:v>
                </c:pt>
                <c:pt idx="88">
                  <c:v>38278.736957315399</c:v>
                </c:pt>
                <c:pt idx="89">
                  <c:v>38456.928311962882</c:v>
                </c:pt>
                <c:pt idx="90">
                  <c:v>38635.558178267842</c:v>
                </c:pt>
                <c:pt idx="91">
                  <c:v>38814.663070988237</c:v>
                </c:pt>
                <c:pt idx="92">
                  <c:v>38994.278715952198</c:v>
                </c:pt>
                <c:pt idx="93">
                  <c:v>39174.440103847533</c:v>
                </c:pt>
                <c:pt idx="94">
                  <c:v>39355.181541204875</c:v>
                </c:pt>
                <c:pt idx="95">
                  <c:v>39536.536698772834</c:v>
                </c:pt>
                <c:pt idx="96">
                  <c:v>39718.53865746958</c:v>
                </c:pt>
                <c:pt idx="97">
                  <c:v>39901.219952083236</c:v>
                </c:pt>
                <c:pt idx="98">
                  <c:v>40084.612612877972</c:v>
                </c:pt>
                <c:pt idx="99">
                  <c:v>40268.748205253847</c:v>
                </c:pt>
                <c:pt idx="100">
                  <c:v>40453.65786759679</c:v>
                </c:pt>
              </c:numCache>
            </c:numRef>
          </c:val>
          <c:smooth val="0"/>
          <c:extLst>
            <c:ext xmlns:c16="http://schemas.microsoft.com/office/drawing/2014/chart" uri="{C3380CC4-5D6E-409C-BE32-E72D297353CC}">
              <c16:uniqueId val="{00000003-AC8A-4551-AD17-C0E237FEA675}"/>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0-14B5-4C6D-ADBB-33FE896DCEBE}"/>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1-14B5-4C6D-ADBB-33FE896DCEBE}"/>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2-14B5-4C6D-ADBB-33FE896DCEBE}"/>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B5-4C6D-ADBB-33FE896DCEBE}"/>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B5-4C6D-ADBB-33FE896DCEBE}"/>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B5-4C6D-ADBB-33FE896DCEBE}"/>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6-14B5-4C6D-ADBB-33FE896DCEBE}"/>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7-14B5-4C6D-ADBB-33FE896DCEBE}"/>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8-14B5-4C6D-ADBB-33FE896DCEBE}"/>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14B5-4C6D-ADBB-33FE896DCEBE}"/>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14B5-4C6D-ADBB-33FE896DCEBE}"/>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14B5-4C6D-ADBB-33FE896DCEBE}"/>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0-DE77-4B43-A489-D4421C0BE99A}"/>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1-DE77-4B43-A489-D4421C0BE99A}"/>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2-DE77-4B43-A489-D4421C0BE99A}"/>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E77-4B43-A489-D4421C0BE99A}"/>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E77-4B43-A489-D4421C0BE99A}"/>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E77-4B43-A489-D4421C0BE99A}"/>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8.3779019412543124E-3</c:v>
                </c:pt>
                <c:pt idx="1">
                  <c:v>1.2488007640413848E-2</c:v>
                </c:pt>
                <c:pt idx="2">
                  <c:v>2.4976015280827695E-2</c:v>
                </c:pt>
                <c:pt idx="3">
                  <c:v>3.7464022921241548E-2</c:v>
                </c:pt>
                <c:pt idx="4">
                  <c:v>4.995203056165539E-2</c:v>
                </c:pt>
                <c:pt idx="5">
                  <c:v>6.244003820206926E-2</c:v>
                </c:pt>
                <c:pt idx="6">
                  <c:v>7.4928045842483096E-2</c:v>
                </c:pt>
                <c:pt idx="7">
                  <c:v>8.7416053482896966E-2</c:v>
                </c:pt>
                <c:pt idx="8">
                  <c:v>9.9904061123310781E-2</c:v>
                </c:pt>
                <c:pt idx="9">
                  <c:v>0.11239206876372462</c:v>
                </c:pt>
                <c:pt idx="10">
                  <c:v>0.12488007640413852</c:v>
                </c:pt>
                <c:pt idx="11">
                  <c:v>0.13736808404455234</c:v>
                </c:pt>
                <c:pt idx="12">
                  <c:v>0.14985609168496619</c:v>
                </c:pt>
                <c:pt idx="13">
                  <c:v>0.16234409932538005</c:v>
                </c:pt>
                <c:pt idx="14">
                  <c:v>0.17483210696579393</c:v>
                </c:pt>
                <c:pt idx="15">
                  <c:v>0.18732011460620773</c:v>
                </c:pt>
                <c:pt idx="16">
                  <c:v>0.19980812224662156</c:v>
                </c:pt>
                <c:pt idx="17">
                  <c:v>0.21229612988703547</c:v>
                </c:pt>
                <c:pt idx="18">
                  <c:v>0.22478413752744925</c:v>
                </c:pt>
                <c:pt idx="19">
                  <c:v>0.23727214516786316</c:v>
                </c:pt>
                <c:pt idx="20">
                  <c:v>0.24976015280827704</c:v>
                </c:pt>
                <c:pt idx="21">
                  <c:v>0.26224816044869081</c:v>
                </c:pt>
                <c:pt idx="22">
                  <c:v>0.27473616808910467</c:v>
                </c:pt>
                <c:pt idx="23">
                  <c:v>0.28722417572951853</c:v>
                </c:pt>
                <c:pt idx="24">
                  <c:v>0.29403882002003295</c:v>
                </c:pt>
                <c:pt idx="25">
                  <c:v>0.29918797535922698</c:v>
                </c:pt>
                <c:pt idx="26">
                  <c:v>0.30513015375825264</c:v>
                </c:pt>
                <c:pt idx="27">
                  <c:v>0.31095976344625725</c:v>
                </c:pt>
                <c:pt idx="28">
                  <c:v>0.31668300365380314</c:v>
                </c:pt>
                <c:pt idx="29">
                  <c:v>0.32230552468985774</c:v>
                </c:pt>
                <c:pt idx="30">
                  <c:v>0.32783249367087941</c:v>
                </c:pt>
                <c:pt idx="31">
                  <c:v>0.33326865046404747</c:v>
                </c:pt>
                <c:pt idx="32">
                  <c:v>0.33861835556852687</c:v>
                </c:pt>
                <c:pt idx="33">
                  <c:v>0.34388563131085648</c:v>
                </c:pt>
                <c:pt idx="34">
                  <c:v>0.34907419746128615</c:v>
                </c:pt>
                <c:pt idx="35">
                  <c:v>0.35418750216764661</c:v>
                </c:pt>
                <c:pt idx="36">
                  <c:v>0.35922874893787055</c:v>
                </c:pt>
                <c:pt idx="37">
                  <c:v>0.36420092027108264</c:v>
                </c:pt>
                <c:pt idx="38">
                  <c:v>0.36910679843241506</c:v>
                </c:pt>
                <c:pt idx="39">
                  <c:v>0.37394898378250091</c:v>
                </c:pt>
                <c:pt idx="40">
                  <c:v>0.37872991100449843</c:v>
                </c:pt>
                <c:pt idx="41">
                  <c:v>0.38345186351609423</c:v>
                </c:pt>
                <c:pt idx="42">
                  <c:v>0.38811698630861302</c:v>
                </c:pt>
                <c:pt idx="43">
                  <c:v>0.39272729741808887</c:v>
                </c:pt>
                <c:pt idx="44">
                  <c:v>0.39728469820235079</c:v>
                </c:pt>
                <c:pt idx="45">
                  <c:v>0.40179098257259055</c:v>
                </c:pt>
                <c:pt idx="46">
                  <c:v>0.40624784530655006</c:v>
                </c:pt>
                <c:pt idx="47">
                  <c:v>0.41065688955258123</c:v>
                </c:pt>
                <c:pt idx="48">
                  <c:v>0.41501963361880323</c:v>
                </c:pt>
                <c:pt idx="49">
                  <c:v>0.4193375171288754</c:v>
                </c:pt>
                <c:pt idx="50">
                  <c:v>0.42361190661514564</c:v>
                </c:pt>
                <c:pt idx="51">
                  <c:v>0.42784410061077754</c:v>
                </c:pt>
                <c:pt idx="52">
                  <c:v>0.43203533429463903</c:v>
                </c:pt>
                <c:pt idx="53">
                  <c:v>0.43618678373604797</c:v>
                </c:pt>
                <c:pt idx="54">
                  <c:v>0.44029956978071522</c:v>
                </c:pt>
                <c:pt idx="55">
                  <c:v>0.44437476161427114</c:v>
                </c:pt>
                <c:pt idx="56">
                  <c:v>0.44841338003548398</c:v>
                </c:pt>
                <c:pt idx="57">
                  <c:v>0.45241640046755743</c:v>
                </c:pt>
                <c:pt idx="58">
                  <c:v>0.4563847557326845</c:v>
                </c:pt>
                <c:pt idx="59">
                  <c:v>0.45879896714701857</c:v>
                </c:pt>
                <c:pt idx="60">
                  <c:v>0.45550461396425673</c:v>
                </c:pt>
                <c:pt idx="61">
                  <c:v>0.45227993741169942</c:v>
                </c:pt>
                <c:pt idx="62">
                  <c:v>0.44478545383394447</c:v>
                </c:pt>
                <c:pt idx="63">
                  <c:v>0.44527299429520378</c:v>
                </c:pt>
                <c:pt idx="64">
                  <c:v>0.44576071101689979</c:v>
                </c:pt>
                <c:pt idx="65">
                  <c:v>0.44623531726372351</c:v>
                </c:pt>
                <c:pt idx="66">
                  <c:v>0.44669737153451455</c:v>
                </c:pt>
                <c:pt idx="67">
                  <c:v>0.44714740105136142</c:v>
                </c:pt>
                <c:pt idx="68">
                  <c:v>0.44758590391880115</c:v>
                </c:pt>
                <c:pt idx="69">
                  <c:v>0.44801335110658319</c:v>
                </c:pt>
                <c:pt idx="70">
                  <c:v>0.44843018827258846</c:v>
                </c:pt>
                <c:pt idx="71">
                  <c:v>0.4488368374407416</c:v>
                </c:pt>
                <c:pt idx="72">
                  <c:v>0.44923369854719519</c:v>
                </c:pt>
                <c:pt idx="73">
                  <c:v>0.44962115086669674</c:v>
                </c:pt>
                <c:pt idx="74">
                  <c:v>0.44999955432983102</c:v>
                </c:pt>
                <c:pt idx="75">
                  <c:v>0.45036925074075679</c:v>
                </c:pt>
                <c:pt idx="76">
                  <c:v>0.45073056490409813</c:v>
                </c:pt>
                <c:pt idx="77">
                  <c:v>0.45108380566879991</c:v>
                </c:pt>
                <c:pt idx="78">
                  <c:v>0.45142926689599699</c:v>
                </c:pt>
                <c:pt idx="79">
                  <c:v>0.45176722835727801</c:v>
                </c:pt>
                <c:pt idx="80">
                  <c:v>0.45209795656910928</c:v>
                </c:pt>
                <c:pt idx="81">
                  <c:v>0.4524217055686533</c:v>
                </c:pt>
                <c:pt idx="82">
                  <c:v>0.45273871763572765</c:v>
                </c:pt>
                <c:pt idx="83">
                  <c:v>0.45304922396521624</c:v>
                </c:pt>
                <c:pt idx="84">
                  <c:v>0.45335344529385657</c:v>
                </c:pt>
                <c:pt idx="85">
                  <c:v>0.45365159248497189</c:v>
                </c:pt>
                <c:pt idx="86">
                  <c:v>0.45394386707440582</c:v>
                </c:pt>
                <c:pt idx="87">
                  <c:v>0.45423046178062981</c:v>
                </c:pt>
                <c:pt idx="88">
                  <c:v>0.45451156098173551</c:v>
                </c:pt>
                <c:pt idx="89">
                  <c:v>0.45478734116179415</c:v>
                </c:pt>
                <c:pt idx="90">
                  <c:v>0.45505797132885434</c:v>
                </c:pt>
                <c:pt idx="91">
                  <c:v>0.45532361340665628</c:v>
                </c:pt>
                <c:pt idx="92">
                  <c:v>0.45558442260197557</c:v>
                </c:pt>
                <c:pt idx="93">
                  <c:v>0.45584054774933941</c:v>
                </c:pt>
                <c:pt idx="94">
                  <c:v>0.45609213163473405</c:v>
                </c:pt>
                <c:pt idx="95">
                  <c:v>0.45633931129977395</c:v>
                </c:pt>
                <c:pt idx="96">
                  <c:v>0.45658221832770157</c:v>
                </c:pt>
                <c:pt idx="97">
                  <c:v>0.45682097911246594</c:v>
                </c:pt>
                <c:pt idx="98">
                  <c:v>0.45705571511204024</c:v>
                </c:pt>
                <c:pt idx="99">
                  <c:v>0.45728654308704397</c:v>
                </c:pt>
                <c:pt idx="100">
                  <c:v>0.45751357532565434</c:v>
                </c:pt>
              </c:numCache>
            </c:numRef>
          </c:val>
          <c:smooth val="0"/>
          <c:extLst>
            <c:ext xmlns:c16="http://schemas.microsoft.com/office/drawing/2014/chart" uri="{C3380CC4-5D6E-409C-BE32-E72D297353CC}">
              <c16:uniqueId val="{00000006-DE77-4B43-A489-D4421C0BE99A}"/>
            </c:ext>
          </c:extLst>
        </c:ser>
        <c:ser>
          <c:idx val="16"/>
          <c:order val="16"/>
          <c:spPr>
            <a:ln w="25400">
              <a:solidFill>
                <a:srgbClr val="00B050"/>
              </a:solidFill>
              <a:prstDash val="dash"/>
            </a:ln>
          </c:spPr>
          <c:marker>
            <c:symbol val="none"/>
          </c:marker>
          <c:val>
            <c:numRef>
              <c:f>'Calculations - Dual'!$AU$110:$AU$210</c:f>
              <c:numCache>
                <c:formatCode>0.000</c:formatCode>
                <c:ptCount val="101"/>
                <c:pt idx="0">
                  <c:v>1.424692498560008E-2</c:v>
                </c:pt>
                <c:pt idx="1">
                  <c:v>2.1270519713162711E-2</c:v>
                </c:pt>
                <c:pt idx="2">
                  <c:v>6.3811559139488147E-2</c:v>
                </c:pt>
                <c:pt idx="3">
                  <c:v>6.3811559139488147E-2</c:v>
                </c:pt>
                <c:pt idx="4">
                  <c:v>8.5082078852650844E-2</c:v>
                </c:pt>
                <c:pt idx="5">
                  <c:v>0.10635259856581358</c:v>
                </c:pt>
                <c:pt idx="6">
                  <c:v>0.12762311827897629</c:v>
                </c:pt>
                <c:pt idx="7">
                  <c:v>0.14889363799213903</c:v>
                </c:pt>
                <c:pt idx="8">
                  <c:v>0.17016415770530169</c:v>
                </c:pt>
                <c:pt idx="9">
                  <c:v>0.1914346774184644</c:v>
                </c:pt>
                <c:pt idx="10">
                  <c:v>0.21270519713162717</c:v>
                </c:pt>
                <c:pt idx="11">
                  <c:v>0.23397571684478982</c:v>
                </c:pt>
                <c:pt idx="12">
                  <c:v>0.25524623655795259</c:v>
                </c:pt>
                <c:pt idx="13">
                  <c:v>0.27651675627111527</c:v>
                </c:pt>
                <c:pt idx="14">
                  <c:v>0.29778727598427807</c:v>
                </c:pt>
                <c:pt idx="15">
                  <c:v>0.31905779569744069</c:v>
                </c:pt>
                <c:pt idx="16">
                  <c:v>0.34032831541060338</c:v>
                </c:pt>
                <c:pt idx="17">
                  <c:v>0.36159883512376617</c:v>
                </c:pt>
                <c:pt idx="18">
                  <c:v>0.3828693548369288</c:v>
                </c:pt>
                <c:pt idx="19">
                  <c:v>0.40413987455009159</c:v>
                </c:pt>
                <c:pt idx="20">
                  <c:v>0.42541039426325433</c:v>
                </c:pt>
                <c:pt idx="21">
                  <c:v>0.4466809139764169</c:v>
                </c:pt>
                <c:pt idx="22">
                  <c:v>0.46795143368957964</c:v>
                </c:pt>
                <c:pt idx="23">
                  <c:v>0.48922195340274238</c:v>
                </c:pt>
                <c:pt idx="24">
                  <c:v>0.50083735856707046</c:v>
                </c:pt>
                <c:pt idx="25">
                  <c:v>0.50962841219157462</c:v>
                </c:pt>
                <c:pt idx="26">
                  <c:v>0.51977062850443534</c:v>
                </c:pt>
                <c:pt idx="27">
                  <c:v>0.52972148712328815</c:v>
                </c:pt>
                <c:pt idx="28">
                  <c:v>0.53949152657236354</c:v>
                </c:pt>
                <c:pt idx="29">
                  <c:v>0.54909035221825397</c:v>
                </c:pt>
                <c:pt idx="30">
                  <c:v>0.55852674800857072</c:v>
                </c:pt>
                <c:pt idx="31">
                  <c:v>0.56780877157473764</c:v>
                </c:pt>
                <c:pt idx="32">
                  <c:v>0.57694383562952367</c:v>
                </c:pt>
                <c:pt idx="33">
                  <c:v>0.58575082244216581</c:v>
                </c:pt>
                <c:pt idx="34">
                  <c:v>0.57827349884422152</c:v>
                </c:pt>
                <c:pt idx="35">
                  <c:v>0.56730324928656006</c:v>
                </c:pt>
                <c:pt idx="36">
                  <c:v>0.56839306900883535</c:v>
                </c:pt>
                <c:pt idx="37">
                  <c:v>0.56944437202677078</c:v>
                </c:pt>
                <c:pt idx="38">
                  <c:v>0.57044659110207041</c:v>
                </c:pt>
                <c:pt idx="39">
                  <c:v>0.5714032750101784</c:v>
                </c:pt>
                <c:pt idx="40">
                  <c:v>0.57231763848659778</c:v>
                </c:pt>
                <c:pt idx="41">
                  <c:v>0.57319260062650546</c:v>
                </c:pt>
                <c:pt idx="42">
                  <c:v>0.57403081810633128</c:v>
                </c:pt>
                <c:pt idx="43">
                  <c:v>0.57483471402401343</c:v>
                </c:pt>
                <c:pt idx="44">
                  <c:v>0.57560650301754512</c:v>
                </c:pt>
                <c:pt idx="45">
                  <c:v>0.57634821321033458</c:v>
                </c:pt>
                <c:pt idx="46">
                  <c:v>0.57706170544140623</c:v>
                </c:pt>
                <c:pt idx="47">
                  <c:v>0.5777486901644463</c:v>
                </c:pt>
                <c:pt idx="48">
                  <c:v>0.57841074233884693</c:v>
                </c:pt>
                <c:pt idx="49">
                  <c:v>0.57904931458571429</c:v>
                </c:pt>
                <c:pt idx="50">
                  <c:v>0.5796657488401934</c:v>
                </c:pt>
                <c:pt idx="51">
                  <c:v>0.58026128669687438</c:v>
                </c:pt>
                <c:pt idx="52">
                  <c:v>0.58083707861615597</c:v>
                </c:pt>
                <c:pt idx="53">
                  <c:v>0.58139419213523902</c:v>
                </c:pt>
                <c:pt idx="54">
                  <c:v>0.58193361920708286</c:v>
                </c:pt>
                <c:pt idx="55">
                  <c:v>0.58245628277349604</c:v>
                </c:pt>
                <c:pt idx="56">
                  <c:v>0.58296304266400478</c:v>
                </c:pt>
                <c:pt idx="57">
                  <c:v>0.58345470089983342</c:v>
                </c:pt>
                <c:pt idx="58">
                  <c:v>0.58393200647182741</c:v>
                </c:pt>
                <c:pt idx="59">
                  <c:v>0.58439565965220031</c:v>
                </c:pt>
                <c:pt idx="60">
                  <c:v>0.58484631589232305</c:v>
                </c:pt>
                <c:pt idx="61">
                  <c:v>0.58528458935218974</c:v>
                </c:pt>
                <c:pt idx="62">
                  <c:v>0.58571105610153584</c:v>
                </c:pt>
                <c:pt idx="63">
                  <c:v>0.58612625702770493</c:v>
                </c:pt>
                <c:pt idx="64">
                  <c:v>0.58653070048113054</c:v>
                </c:pt>
                <c:pt idx="65">
                  <c:v>0.5869248646856482</c:v>
                </c:pt>
                <c:pt idx="66">
                  <c:v>0.58730919993767061</c:v>
                </c:pt>
                <c:pt idx="67">
                  <c:v>0.58768413061549374</c:v>
                </c:pt>
                <c:pt idx="68">
                  <c:v>0.58805005701758484</c:v>
                </c:pt>
                <c:pt idx="69">
                  <c:v>0.58840735704659886</c:v>
                </c:pt>
                <c:pt idx="70">
                  <c:v>0.58875638775401973</c:v>
                </c:pt>
                <c:pt idx="71">
                  <c:v>0.58909748675869966</c:v>
                </c:pt>
                <c:pt idx="72">
                  <c:v>0.5894309735511456</c:v>
                </c:pt>
                <c:pt idx="73">
                  <c:v>0.58975715069414814</c:v>
                </c:pt>
                <c:pt idx="74">
                  <c:v>0.59007630492923735</c:v>
                </c:pt>
                <c:pt idx="75">
                  <c:v>0.59038870819747269</c:v>
                </c:pt>
                <c:pt idx="76">
                  <c:v>0.5906946185822044</c:v>
                </c:pt>
                <c:pt idx="77">
                  <c:v>0.59099428118068109</c:v>
                </c:pt>
                <c:pt idx="78">
                  <c:v>0.59128792891068693</c:v>
                </c:pt>
                <c:pt idx="79">
                  <c:v>0.59157578325779236</c:v>
                </c:pt>
                <c:pt idx="80">
                  <c:v>0.5918580549682555</c:v>
                </c:pt>
                <c:pt idx="81">
                  <c:v>0.59213494469213135</c:v>
                </c:pt>
                <c:pt idx="82">
                  <c:v>0.59240664358071471</c:v>
                </c:pt>
                <c:pt idx="83">
                  <c:v>0.59267333384205323</c:v>
                </c:pt>
                <c:pt idx="84">
                  <c:v>0.59293518925792765</c:v>
                </c:pt>
                <c:pt idx="85">
                  <c:v>0.59319237566537852</c:v>
                </c:pt>
                <c:pt idx="86">
                  <c:v>0.59344505140558568</c:v>
                </c:pt>
                <c:pt idx="87">
                  <c:v>0.59369336774265447</c:v>
                </c:pt>
                <c:pt idx="88">
                  <c:v>0.59393746925463409</c:v>
                </c:pt>
                <c:pt idx="89">
                  <c:v>0.59417749419889587</c:v>
                </c:pt>
                <c:pt idx="90">
                  <c:v>0.59441357485380852</c:v>
                </c:pt>
                <c:pt idx="91">
                  <c:v>0.59464583783848723</c:v>
                </c:pt>
                <c:pt idx="92">
                  <c:v>0.5948744044122406</c:v>
                </c:pt>
                <c:pt idx="93">
                  <c:v>0.59509939075520246</c:v>
                </c:pt>
                <c:pt idx="94">
                  <c:v>0.59532090823151496</c:v>
                </c:pt>
                <c:pt idx="95">
                  <c:v>0.59553906363631393</c:v>
                </c:pt>
                <c:pt idx="96">
                  <c:v>0.59575395942767051</c:v>
                </c:pt>
                <c:pt idx="97">
                  <c:v>0.59596569394454346</c:v>
                </c:pt>
                <c:pt idx="98">
                  <c:v>0.59617436161172011</c:v>
                </c:pt>
                <c:pt idx="99">
                  <c:v>0.59638005313264253</c:v>
                </c:pt>
                <c:pt idx="100">
                  <c:v>0.59658285567094416</c:v>
                </c:pt>
              </c:numCache>
            </c:numRef>
          </c:val>
          <c:smooth val="0"/>
          <c:extLst>
            <c:ext xmlns:c16="http://schemas.microsoft.com/office/drawing/2014/chart" uri="{C3380CC4-5D6E-409C-BE32-E72D297353CC}">
              <c16:uniqueId val="{00000007-DE77-4B43-A489-D4421C0BE99A}"/>
            </c:ext>
          </c:extLst>
        </c:ser>
        <c:ser>
          <c:idx val="17"/>
          <c:order val="17"/>
          <c:spPr>
            <a:ln w="25400">
              <a:solidFill>
                <a:srgbClr val="FF0000"/>
              </a:solidFill>
            </a:ln>
          </c:spPr>
          <c:marker>
            <c:symbol val="none"/>
          </c:marker>
          <c:val>
            <c:numRef>
              <c:f>'Calculations - Dual'!$AU$216:$AU$316</c:f>
              <c:numCache>
                <c:formatCode>0.000</c:formatCode>
                <c:ptCount val="101"/>
                <c:pt idx="0">
                  <c:v>5.9350940764510314E-3</c:v>
                </c:pt>
                <c:pt idx="1">
                  <c:v>8.8375863363932602E-3</c:v>
                </c:pt>
                <c:pt idx="2">
                  <c:v>1.767517267278652E-2</c:v>
                </c:pt>
                <c:pt idx="3">
                  <c:v>2.6512759009179782E-2</c:v>
                </c:pt>
                <c:pt idx="4">
                  <c:v>3.5350345345573041E-2</c:v>
                </c:pt>
                <c:pt idx="5">
                  <c:v>4.4187931681966303E-2</c:v>
                </c:pt>
                <c:pt idx="6">
                  <c:v>5.3025518018359565E-2</c:v>
                </c:pt>
                <c:pt idx="7">
                  <c:v>6.186310435475284E-2</c:v>
                </c:pt>
                <c:pt idx="8">
                  <c:v>7.0700690691146081E-2</c:v>
                </c:pt>
                <c:pt idx="9">
                  <c:v>7.9538277027539336E-2</c:v>
                </c:pt>
                <c:pt idx="10">
                  <c:v>8.8375863363932605E-2</c:v>
                </c:pt>
                <c:pt idx="11">
                  <c:v>9.721344970032586E-2</c:v>
                </c:pt>
                <c:pt idx="12">
                  <c:v>0.10605103603671913</c:v>
                </c:pt>
                <c:pt idx="13">
                  <c:v>0.11488862237311241</c:v>
                </c:pt>
                <c:pt idx="14">
                  <c:v>0.12372620870950568</c:v>
                </c:pt>
                <c:pt idx="15">
                  <c:v>0.13256379504589891</c:v>
                </c:pt>
                <c:pt idx="16">
                  <c:v>0.14140138138229216</c:v>
                </c:pt>
                <c:pt idx="17">
                  <c:v>0.15023896771868545</c:v>
                </c:pt>
                <c:pt idx="18">
                  <c:v>0.15907655405507867</c:v>
                </c:pt>
                <c:pt idx="19">
                  <c:v>0.16791414039147196</c:v>
                </c:pt>
                <c:pt idx="20">
                  <c:v>0.17675172672786521</c:v>
                </c:pt>
                <c:pt idx="21">
                  <c:v>0.18558931306425847</c:v>
                </c:pt>
                <c:pt idx="22">
                  <c:v>0.19442689940065172</c:v>
                </c:pt>
                <c:pt idx="23">
                  <c:v>0.20326448573704503</c:v>
                </c:pt>
                <c:pt idx="24">
                  <c:v>0.20810428743303425</c:v>
                </c:pt>
                <c:pt idx="25">
                  <c:v>0.21174493112523651</c:v>
                </c:pt>
                <c:pt idx="26">
                  <c:v>0.21594676096522714</c:v>
                </c:pt>
                <c:pt idx="27">
                  <c:v>0.22006885361513223</c:v>
                </c:pt>
                <c:pt idx="28">
                  <c:v>0.2241156002154811</c:v>
                </c:pt>
                <c:pt idx="29">
                  <c:v>0.22809100308631841</c:v>
                </c:pt>
                <c:pt idx="30">
                  <c:v>0.23199872228539603</c:v>
                </c:pt>
                <c:pt idx="31">
                  <c:v>0.23584211523470563</c:v>
                </c:pt>
                <c:pt idx="32">
                  <c:v>0.23962427063644409</c:v>
                </c:pt>
                <c:pt idx="33">
                  <c:v>0.24334803765314242</c:v>
                </c:pt>
                <c:pt idx="34">
                  <c:v>0.24701605113595917</c:v>
                </c:pt>
                <c:pt idx="35">
                  <c:v>0.25063075353622133</c:v>
                </c:pt>
                <c:pt idx="36">
                  <c:v>0.25419441401808801</c:v>
                </c:pt>
                <c:pt idx="37">
                  <c:v>0.25770914519727928</c:v>
                </c:pt>
                <c:pt idx="38">
                  <c:v>0.26117691785660652</c:v>
                </c:pt>
                <c:pt idx="39">
                  <c:v>0.26459957392939698</c:v>
                </c:pt>
                <c:pt idx="40">
                  <c:v>0.26797883799366568</c:v>
                </c:pt>
                <c:pt idx="41">
                  <c:v>0.27131632748064499</c:v>
                </c:pt>
                <c:pt idx="42">
                  <c:v>0.27461356176917895</c:v>
                </c:pt>
                <c:pt idx="43">
                  <c:v>0.27787197031108873</c:v>
                </c:pt>
                <c:pt idx="44">
                  <c:v>0.28109289991079484</c:v>
                </c:pt>
                <c:pt idx="45">
                  <c:v>0.28427762126436518</c:v>
                </c:pt>
                <c:pt idx="46">
                  <c:v>0.28742733484803923</c:v>
                </c:pt>
                <c:pt idx="47">
                  <c:v>0.29054317623362114</c:v>
                </c:pt>
                <c:pt idx="48">
                  <c:v>0.29362622089748069</c:v>
                </c:pt>
                <c:pt idx="49">
                  <c:v>0.29667748858090703</c:v>
                </c:pt>
                <c:pt idx="50">
                  <c:v>0.29969794725193505</c:v>
                </c:pt>
                <c:pt idx="51">
                  <c:v>0.30268851671228053</c:v>
                </c:pt>
                <c:pt idx="52">
                  <c:v>0.30565007188748172</c:v>
                </c:pt>
                <c:pt idx="53">
                  <c:v>0.30858344583360403</c:v>
                </c:pt>
                <c:pt idx="54">
                  <c:v>0.31148943248979311</c:v>
                </c:pt>
                <c:pt idx="55">
                  <c:v>0.31436878920244893</c:v>
                </c:pt>
                <c:pt idx="56">
                  <c:v>0.31722223904376334</c:v>
                </c:pt>
                <c:pt idx="57">
                  <c:v>0.32005047294473182</c:v>
                </c:pt>
                <c:pt idx="58">
                  <c:v>0.3228541516604686</c:v>
                </c:pt>
                <c:pt idx="59">
                  <c:v>0.32563390758366223</c:v>
                </c:pt>
                <c:pt idx="60">
                  <c:v>0.32839034642027276</c:v>
                </c:pt>
                <c:pt idx="61">
                  <c:v>0.33112404874004753</c:v>
                </c:pt>
                <c:pt idx="62">
                  <c:v>0.33383557141310094</c:v>
                </c:pt>
                <c:pt idx="63">
                  <c:v>0.33652544894262448</c:v>
                </c:pt>
                <c:pt idx="64">
                  <c:v>0.33919419470276396</c:v>
                </c:pt>
                <c:pt idx="65">
                  <c:v>0.34184230208977984</c:v>
                </c:pt>
                <c:pt idx="66">
                  <c:v>0.34447024559380734</c:v>
                </c:pt>
                <c:pt idx="67">
                  <c:v>0.34707848179780182</c:v>
                </c:pt>
                <c:pt idx="68">
                  <c:v>0.34966745030963287</c:v>
                </c:pt>
                <c:pt idx="69">
                  <c:v>0.35223757463271049</c:v>
                </c:pt>
                <c:pt idx="70">
                  <c:v>0.35478926298002861</c:v>
                </c:pt>
                <c:pt idx="71">
                  <c:v>0.35732290903605524</c:v>
                </c:pt>
                <c:pt idx="72">
                  <c:v>0.35983889267049729</c:v>
                </c:pt>
                <c:pt idx="73">
                  <c:v>0.36233758060760257</c:v>
                </c:pt>
                <c:pt idx="74">
                  <c:v>0.364819327054339</c:v>
                </c:pt>
                <c:pt idx="75">
                  <c:v>0.36728447429049832</c:v>
                </c:pt>
                <c:pt idx="76">
                  <c:v>0.36973335322350476</c:v>
                </c:pt>
                <c:pt idx="77">
                  <c:v>0.37216628391047918</c:v>
                </c:pt>
                <c:pt idx="78">
                  <c:v>0.37458357604988651</c:v>
                </c:pt>
                <c:pt idx="79">
                  <c:v>0.37698552944490676</c:v>
                </c:pt>
                <c:pt idx="80">
                  <c:v>0.37668796372354818</c:v>
                </c:pt>
                <c:pt idx="81">
                  <c:v>0.37468989940218056</c:v>
                </c:pt>
                <c:pt idx="82">
                  <c:v>0.37272322856244816</c:v>
                </c:pt>
                <c:pt idx="83">
                  <c:v>0.37078714565019105</c:v>
                </c:pt>
                <c:pt idx="84">
                  <c:v>0.36590513799746555</c:v>
                </c:pt>
                <c:pt idx="85">
                  <c:v>0.36620445724553691</c:v>
                </c:pt>
                <c:pt idx="86">
                  <c:v>0.36650427238508226</c:v>
                </c:pt>
                <c:pt idx="87">
                  <c:v>0.36679810932545048</c:v>
                </c:pt>
                <c:pt idx="88">
                  <c:v>0.36708615894738494</c:v>
                </c:pt>
                <c:pt idx="89">
                  <c:v>0.3673686040913216</c:v>
                </c:pt>
                <c:pt idx="90">
                  <c:v>0.367645619976322</c:v>
                </c:pt>
                <c:pt idx="91">
                  <c:v>0.36791737459308188</c:v>
                </c:pt>
                <c:pt idx="92">
                  <c:v>0.36818402907286835</c:v>
                </c:pt>
                <c:pt idx="93">
                  <c:v>0.36844573803408887</c:v>
                </c:pt>
                <c:pt idx="94">
                  <c:v>0.36870264990805912</c:v>
                </c:pt>
                <c:pt idx="95">
                  <c:v>0.36895490724540947</c:v>
                </c:pt>
                <c:pt idx="96">
                  <c:v>0.36920264700446137</c:v>
                </c:pt>
                <c:pt idx="97">
                  <c:v>0.36944600082280021</c:v>
                </c:pt>
                <c:pt idx="98">
                  <c:v>0.36968509527317261</c:v>
                </c:pt>
                <c:pt idx="99">
                  <c:v>0.36992005210475642</c:v>
                </c:pt>
                <c:pt idx="100">
                  <c:v>0.37015098847077077</c:v>
                </c:pt>
              </c:numCache>
            </c:numRef>
          </c:val>
          <c:smooth val="0"/>
          <c:extLst>
            <c:ext xmlns:c16="http://schemas.microsoft.com/office/drawing/2014/chart" uri="{C3380CC4-5D6E-409C-BE32-E72D297353CC}">
              <c16:uniqueId val="{00000008-DE77-4B43-A489-D4421C0BE99A}"/>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9-DE77-4B43-A489-D4421C0BE99A}"/>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A-DE77-4B43-A489-D4421C0BE99A}"/>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B-DE77-4B43-A489-D4421C0BE99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DE77-4B43-A489-D4421C0BE99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DE77-4B43-A489-D4421C0BE99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DE77-4B43-A489-D4421C0BE99A}"/>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8.3779019412543124E-3</c:v>
                </c:pt>
                <c:pt idx="1">
                  <c:v>1.2488007640413848E-2</c:v>
                </c:pt>
                <c:pt idx="2">
                  <c:v>2.4976015280827695E-2</c:v>
                </c:pt>
                <c:pt idx="3">
                  <c:v>3.7464022921241548E-2</c:v>
                </c:pt>
                <c:pt idx="4">
                  <c:v>4.995203056165539E-2</c:v>
                </c:pt>
                <c:pt idx="5">
                  <c:v>6.244003820206926E-2</c:v>
                </c:pt>
                <c:pt idx="6">
                  <c:v>7.4928045842483096E-2</c:v>
                </c:pt>
                <c:pt idx="7">
                  <c:v>8.7416053482896966E-2</c:v>
                </c:pt>
                <c:pt idx="8">
                  <c:v>9.9904061123310781E-2</c:v>
                </c:pt>
                <c:pt idx="9">
                  <c:v>0.11239206876372462</c:v>
                </c:pt>
                <c:pt idx="10">
                  <c:v>0.12488007640413852</c:v>
                </c:pt>
                <c:pt idx="11">
                  <c:v>0.13736808404455234</c:v>
                </c:pt>
                <c:pt idx="12">
                  <c:v>0.14985609168496619</c:v>
                </c:pt>
                <c:pt idx="13">
                  <c:v>0.16234409932538005</c:v>
                </c:pt>
                <c:pt idx="14">
                  <c:v>0.17483210696579393</c:v>
                </c:pt>
                <c:pt idx="15">
                  <c:v>0.18732011460620773</c:v>
                </c:pt>
                <c:pt idx="16">
                  <c:v>0.19980812224662156</c:v>
                </c:pt>
                <c:pt idx="17">
                  <c:v>0.21229612988703547</c:v>
                </c:pt>
                <c:pt idx="18">
                  <c:v>0.22478413752744925</c:v>
                </c:pt>
                <c:pt idx="19">
                  <c:v>0.23727214516786316</c:v>
                </c:pt>
                <c:pt idx="20">
                  <c:v>0.24976015280827704</c:v>
                </c:pt>
                <c:pt idx="21">
                  <c:v>0.26224816044869081</c:v>
                </c:pt>
                <c:pt idx="22">
                  <c:v>0.27473616808910467</c:v>
                </c:pt>
                <c:pt idx="23">
                  <c:v>0.28722417572951853</c:v>
                </c:pt>
                <c:pt idx="24">
                  <c:v>0.29403882002003295</c:v>
                </c:pt>
                <c:pt idx="25">
                  <c:v>0.29918797535922698</c:v>
                </c:pt>
                <c:pt idx="26">
                  <c:v>0.30513015375825264</c:v>
                </c:pt>
                <c:pt idx="27">
                  <c:v>0.31095976344625725</c:v>
                </c:pt>
                <c:pt idx="28">
                  <c:v>0.31668300365380314</c:v>
                </c:pt>
                <c:pt idx="29">
                  <c:v>0.32230552468985774</c:v>
                </c:pt>
                <c:pt idx="30">
                  <c:v>0.32783249367087941</c:v>
                </c:pt>
                <c:pt idx="31">
                  <c:v>0.33326865046404747</c:v>
                </c:pt>
                <c:pt idx="32">
                  <c:v>0.33861835556852687</c:v>
                </c:pt>
                <c:pt idx="33">
                  <c:v>0.34388563131085648</c:v>
                </c:pt>
                <c:pt idx="34">
                  <c:v>0.34907419746128615</c:v>
                </c:pt>
                <c:pt idx="35">
                  <c:v>0.35418750216764661</c:v>
                </c:pt>
                <c:pt idx="36">
                  <c:v>0.35922874893787055</c:v>
                </c:pt>
                <c:pt idx="37">
                  <c:v>0.36420092027108264</c:v>
                </c:pt>
                <c:pt idx="38">
                  <c:v>0.36910679843241506</c:v>
                </c:pt>
                <c:pt idx="39">
                  <c:v>0.37394898378250091</c:v>
                </c:pt>
                <c:pt idx="40">
                  <c:v>0.37872991100449843</c:v>
                </c:pt>
                <c:pt idx="41">
                  <c:v>0.38345186351609423</c:v>
                </c:pt>
                <c:pt idx="42">
                  <c:v>0.38811698630861302</c:v>
                </c:pt>
                <c:pt idx="43">
                  <c:v>0.39272729741808887</c:v>
                </c:pt>
                <c:pt idx="44">
                  <c:v>0.39728469820235079</c:v>
                </c:pt>
                <c:pt idx="45">
                  <c:v>0.40179098257259055</c:v>
                </c:pt>
                <c:pt idx="46">
                  <c:v>0.40624784530655006</c:v>
                </c:pt>
                <c:pt idx="47">
                  <c:v>0.41065688955258123</c:v>
                </c:pt>
                <c:pt idx="48">
                  <c:v>0.41501963361880323</c:v>
                </c:pt>
                <c:pt idx="49">
                  <c:v>0.4193375171288754</c:v>
                </c:pt>
                <c:pt idx="50">
                  <c:v>0.42361190661514564</c:v>
                </c:pt>
                <c:pt idx="51">
                  <c:v>0.42784410061077754</c:v>
                </c:pt>
                <c:pt idx="52">
                  <c:v>0.43203533429463903</c:v>
                </c:pt>
                <c:pt idx="53">
                  <c:v>0.43618678373604797</c:v>
                </c:pt>
                <c:pt idx="54">
                  <c:v>0.44029956978071522</c:v>
                </c:pt>
                <c:pt idx="55">
                  <c:v>0.44437476161427114</c:v>
                </c:pt>
                <c:pt idx="56">
                  <c:v>0.44841338003548398</c:v>
                </c:pt>
                <c:pt idx="57">
                  <c:v>0.45241640046755743</c:v>
                </c:pt>
                <c:pt idx="58">
                  <c:v>0.4563847557326845</c:v>
                </c:pt>
                <c:pt idx="59">
                  <c:v>0.45879896714701857</c:v>
                </c:pt>
                <c:pt idx="60">
                  <c:v>0.45550461396425673</c:v>
                </c:pt>
                <c:pt idx="61">
                  <c:v>0.45227993741169942</c:v>
                </c:pt>
                <c:pt idx="62">
                  <c:v>0.44478545383394447</c:v>
                </c:pt>
                <c:pt idx="63">
                  <c:v>0.44527299429520378</c:v>
                </c:pt>
                <c:pt idx="64">
                  <c:v>0.44576071101689979</c:v>
                </c:pt>
                <c:pt idx="65">
                  <c:v>0.44623531726372351</c:v>
                </c:pt>
                <c:pt idx="66">
                  <c:v>0.44669737153451455</c:v>
                </c:pt>
                <c:pt idx="67">
                  <c:v>0.44714740105136142</c:v>
                </c:pt>
                <c:pt idx="68">
                  <c:v>0.44758590391880115</c:v>
                </c:pt>
                <c:pt idx="69">
                  <c:v>0.44801335110658319</c:v>
                </c:pt>
                <c:pt idx="70">
                  <c:v>0.44843018827258846</c:v>
                </c:pt>
                <c:pt idx="71">
                  <c:v>0.4488368374407416</c:v>
                </c:pt>
                <c:pt idx="72">
                  <c:v>0.44923369854719519</c:v>
                </c:pt>
                <c:pt idx="73">
                  <c:v>0.44962115086669674</c:v>
                </c:pt>
                <c:pt idx="74">
                  <c:v>0.44999955432983102</c:v>
                </c:pt>
                <c:pt idx="75">
                  <c:v>0.45036925074075679</c:v>
                </c:pt>
                <c:pt idx="76">
                  <c:v>0.45073056490409813</c:v>
                </c:pt>
                <c:pt idx="77">
                  <c:v>0.45108380566879991</c:v>
                </c:pt>
                <c:pt idx="78">
                  <c:v>0.45142926689599699</c:v>
                </c:pt>
                <c:pt idx="79">
                  <c:v>0.45176722835727801</c:v>
                </c:pt>
                <c:pt idx="80">
                  <c:v>0.45209795656910928</c:v>
                </c:pt>
                <c:pt idx="81">
                  <c:v>0.4524217055686533</c:v>
                </c:pt>
                <c:pt idx="82">
                  <c:v>0.45273871763572765</c:v>
                </c:pt>
                <c:pt idx="83">
                  <c:v>0.45304922396521624</c:v>
                </c:pt>
                <c:pt idx="84">
                  <c:v>0.45335344529385657</c:v>
                </c:pt>
                <c:pt idx="85">
                  <c:v>0.45365159248497189</c:v>
                </c:pt>
                <c:pt idx="86">
                  <c:v>0.45394386707440582</c:v>
                </c:pt>
                <c:pt idx="87">
                  <c:v>0.45423046178062981</c:v>
                </c:pt>
                <c:pt idx="88">
                  <c:v>0.45451156098173551</c:v>
                </c:pt>
                <c:pt idx="89">
                  <c:v>0.45478734116179415</c:v>
                </c:pt>
                <c:pt idx="90">
                  <c:v>0.45505797132885434</c:v>
                </c:pt>
                <c:pt idx="91">
                  <c:v>0.45532361340665628</c:v>
                </c:pt>
                <c:pt idx="92">
                  <c:v>0.45558442260197557</c:v>
                </c:pt>
                <c:pt idx="93">
                  <c:v>0.45584054774933941</c:v>
                </c:pt>
                <c:pt idx="94">
                  <c:v>0.45609213163473405</c:v>
                </c:pt>
                <c:pt idx="95">
                  <c:v>0.45633931129977395</c:v>
                </c:pt>
                <c:pt idx="96">
                  <c:v>0.45658221832770157</c:v>
                </c:pt>
                <c:pt idx="97">
                  <c:v>0.45682097911246594</c:v>
                </c:pt>
                <c:pt idx="98">
                  <c:v>0.45705571511204024</c:v>
                </c:pt>
                <c:pt idx="99">
                  <c:v>0.45728654308704397</c:v>
                </c:pt>
                <c:pt idx="100">
                  <c:v>0.45751357532565434</c:v>
                </c:pt>
              </c:numCache>
            </c:numRef>
          </c:val>
          <c:smooth val="0"/>
          <c:extLst>
            <c:ext xmlns:c16="http://schemas.microsoft.com/office/drawing/2014/chart" uri="{C3380CC4-5D6E-409C-BE32-E72D297353CC}">
              <c16:uniqueId val="{0000000F-DE77-4B43-A489-D4421C0BE99A}"/>
            </c:ext>
          </c:extLst>
        </c:ser>
        <c:ser>
          <c:idx val="7"/>
          <c:order val="7"/>
          <c:spPr>
            <a:ln w="25400">
              <a:solidFill>
                <a:srgbClr val="00B050"/>
              </a:solidFill>
              <a:prstDash val="dash"/>
            </a:ln>
          </c:spPr>
          <c:marker>
            <c:symbol val="none"/>
          </c:marker>
          <c:val>
            <c:numRef>
              <c:f>'Calculations - Dual'!$AU$110:$AU$210</c:f>
              <c:numCache>
                <c:formatCode>0.000</c:formatCode>
                <c:ptCount val="101"/>
                <c:pt idx="0">
                  <c:v>1.424692498560008E-2</c:v>
                </c:pt>
                <c:pt idx="1">
                  <c:v>2.1270519713162711E-2</c:v>
                </c:pt>
                <c:pt idx="2">
                  <c:v>6.3811559139488147E-2</c:v>
                </c:pt>
                <c:pt idx="3">
                  <c:v>6.3811559139488147E-2</c:v>
                </c:pt>
                <c:pt idx="4">
                  <c:v>8.5082078852650844E-2</c:v>
                </c:pt>
                <c:pt idx="5">
                  <c:v>0.10635259856581358</c:v>
                </c:pt>
                <c:pt idx="6">
                  <c:v>0.12762311827897629</c:v>
                </c:pt>
                <c:pt idx="7">
                  <c:v>0.14889363799213903</c:v>
                </c:pt>
                <c:pt idx="8">
                  <c:v>0.17016415770530169</c:v>
                </c:pt>
                <c:pt idx="9">
                  <c:v>0.1914346774184644</c:v>
                </c:pt>
                <c:pt idx="10">
                  <c:v>0.21270519713162717</c:v>
                </c:pt>
                <c:pt idx="11">
                  <c:v>0.23397571684478982</c:v>
                </c:pt>
                <c:pt idx="12">
                  <c:v>0.25524623655795259</c:v>
                </c:pt>
                <c:pt idx="13">
                  <c:v>0.27651675627111527</c:v>
                </c:pt>
                <c:pt idx="14">
                  <c:v>0.29778727598427807</c:v>
                </c:pt>
                <c:pt idx="15">
                  <c:v>0.31905779569744069</c:v>
                </c:pt>
                <c:pt idx="16">
                  <c:v>0.34032831541060338</c:v>
                </c:pt>
                <c:pt idx="17">
                  <c:v>0.36159883512376617</c:v>
                </c:pt>
                <c:pt idx="18">
                  <c:v>0.3828693548369288</c:v>
                </c:pt>
                <c:pt idx="19">
                  <c:v>0.40413987455009159</c:v>
                </c:pt>
                <c:pt idx="20">
                  <c:v>0.42541039426325433</c:v>
                </c:pt>
                <c:pt idx="21">
                  <c:v>0.4466809139764169</c:v>
                </c:pt>
                <c:pt idx="22">
                  <c:v>0.46795143368957964</c:v>
                </c:pt>
                <c:pt idx="23">
                  <c:v>0.48922195340274238</c:v>
                </c:pt>
                <c:pt idx="24">
                  <c:v>0.50083735856707046</c:v>
                </c:pt>
                <c:pt idx="25">
                  <c:v>0.50962841219157462</c:v>
                </c:pt>
                <c:pt idx="26">
                  <c:v>0.51977062850443534</c:v>
                </c:pt>
                <c:pt idx="27">
                  <c:v>0.52972148712328815</c:v>
                </c:pt>
                <c:pt idx="28">
                  <c:v>0.53949152657236354</c:v>
                </c:pt>
                <c:pt idx="29">
                  <c:v>0.54909035221825397</c:v>
                </c:pt>
                <c:pt idx="30">
                  <c:v>0.55852674800857072</c:v>
                </c:pt>
                <c:pt idx="31">
                  <c:v>0.56780877157473764</c:v>
                </c:pt>
                <c:pt idx="32">
                  <c:v>0.57694383562952367</c:v>
                </c:pt>
                <c:pt idx="33">
                  <c:v>0.58575082244216581</c:v>
                </c:pt>
                <c:pt idx="34">
                  <c:v>0.57827349884422152</c:v>
                </c:pt>
                <c:pt idx="35">
                  <c:v>0.56730324928656006</c:v>
                </c:pt>
                <c:pt idx="36">
                  <c:v>0.56839306900883535</c:v>
                </c:pt>
                <c:pt idx="37">
                  <c:v>0.56944437202677078</c:v>
                </c:pt>
                <c:pt idx="38">
                  <c:v>0.57044659110207041</c:v>
                </c:pt>
                <c:pt idx="39">
                  <c:v>0.5714032750101784</c:v>
                </c:pt>
                <c:pt idx="40">
                  <c:v>0.57231763848659778</c:v>
                </c:pt>
                <c:pt idx="41">
                  <c:v>0.57319260062650546</c:v>
                </c:pt>
                <c:pt idx="42">
                  <c:v>0.57403081810633128</c:v>
                </c:pt>
                <c:pt idx="43">
                  <c:v>0.57483471402401343</c:v>
                </c:pt>
                <c:pt idx="44">
                  <c:v>0.57560650301754512</c:v>
                </c:pt>
                <c:pt idx="45">
                  <c:v>0.57634821321033458</c:v>
                </c:pt>
                <c:pt idx="46">
                  <c:v>0.57706170544140623</c:v>
                </c:pt>
                <c:pt idx="47">
                  <c:v>0.5777486901644463</c:v>
                </c:pt>
                <c:pt idx="48">
                  <c:v>0.57841074233884693</c:v>
                </c:pt>
                <c:pt idx="49">
                  <c:v>0.57904931458571429</c:v>
                </c:pt>
                <c:pt idx="50">
                  <c:v>0.5796657488401934</c:v>
                </c:pt>
                <c:pt idx="51">
                  <c:v>0.58026128669687438</c:v>
                </c:pt>
                <c:pt idx="52">
                  <c:v>0.58083707861615597</c:v>
                </c:pt>
                <c:pt idx="53">
                  <c:v>0.58139419213523902</c:v>
                </c:pt>
                <c:pt idx="54">
                  <c:v>0.58193361920708286</c:v>
                </c:pt>
                <c:pt idx="55">
                  <c:v>0.58245628277349604</c:v>
                </c:pt>
                <c:pt idx="56">
                  <c:v>0.58296304266400478</c:v>
                </c:pt>
                <c:pt idx="57">
                  <c:v>0.58345470089983342</c:v>
                </c:pt>
                <c:pt idx="58">
                  <c:v>0.58393200647182741</c:v>
                </c:pt>
                <c:pt idx="59">
                  <c:v>0.58439565965220031</c:v>
                </c:pt>
                <c:pt idx="60">
                  <c:v>0.58484631589232305</c:v>
                </c:pt>
                <c:pt idx="61">
                  <c:v>0.58528458935218974</c:v>
                </c:pt>
                <c:pt idx="62">
                  <c:v>0.58571105610153584</c:v>
                </c:pt>
                <c:pt idx="63">
                  <c:v>0.58612625702770493</c:v>
                </c:pt>
                <c:pt idx="64">
                  <c:v>0.58653070048113054</c:v>
                </c:pt>
                <c:pt idx="65">
                  <c:v>0.5869248646856482</c:v>
                </c:pt>
                <c:pt idx="66">
                  <c:v>0.58730919993767061</c:v>
                </c:pt>
                <c:pt idx="67">
                  <c:v>0.58768413061549374</c:v>
                </c:pt>
                <c:pt idx="68">
                  <c:v>0.58805005701758484</c:v>
                </c:pt>
                <c:pt idx="69">
                  <c:v>0.58840735704659886</c:v>
                </c:pt>
                <c:pt idx="70">
                  <c:v>0.58875638775401973</c:v>
                </c:pt>
                <c:pt idx="71">
                  <c:v>0.58909748675869966</c:v>
                </c:pt>
                <c:pt idx="72">
                  <c:v>0.5894309735511456</c:v>
                </c:pt>
                <c:pt idx="73">
                  <c:v>0.58975715069414814</c:v>
                </c:pt>
                <c:pt idx="74">
                  <c:v>0.59007630492923735</c:v>
                </c:pt>
                <c:pt idx="75">
                  <c:v>0.59038870819747269</c:v>
                </c:pt>
                <c:pt idx="76">
                  <c:v>0.5906946185822044</c:v>
                </c:pt>
                <c:pt idx="77">
                  <c:v>0.59099428118068109</c:v>
                </c:pt>
                <c:pt idx="78">
                  <c:v>0.59128792891068693</c:v>
                </c:pt>
                <c:pt idx="79">
                  <c:v>0.59157578325779236</c:v>
                </c:pt>
                <c:pt idx="80">
                  <c:v>0.5918580549682555</c:v>
                </c:pt>
                <c:pt idx="81">
                  <c:v>0.59213494469213135</c:v>
                </c:pt>
                <c:pt idx="82">
                  <c:v>0.59240664358071471</c:v>
                </c:pt>
                <c:pt idx="83">
                  <c:v>0.59267333384205323</c:v>
                </c:pt>
                <c:pt idx="84">
                  <c:v>0.59293518925792765</c:v>
                </c:pt>
                <c:pt idx="85">
                  <c:v>0.59319237566537852</c:v>
                </c:pt>
                <c:pt idx="86">
                  <c:v>0.59344505140558568</c:v>
                </c:pt>
                <c:pt idx="87">
                  <c:v>0.59369336774265447</c:v>
                </c:pt>
                <c:pt idx="88">
                  <c:v>0.59393746925463409</c:v>
                </c:pt>
                <c:pt idx="89">
                  <c:v>0.59417749419889587</c:v>
                </c:pt>
                <c:pt idx="90">
                  <c:v>0.59441357485380852</c:v>
                </c:pt>
                <c:pt idx="91">
                  <c:v>0.59464583783848723</c:v>
                </c:pt>
                <c:pt idx="92">
                  <c:v>0.5948744044122406</c:v>
                </c:pt>
                <c:pt idx="93">
                  <c:v>0.59509939075520246</c:v>
                </c:pt>
                <c:pt idx="94">
                  <c:v>0.59532090823151496</c:v>
                </c:pt>
                <c:pt idx="95">
                  <c:v>0.59553906363631393</c:v>
                </c:pt>
                <c:pt idx="96">
                  <c:v>0.59575395942767051</c:v>
                </c:pt>
                <c:pt idx="97">
                  <c:v>0.59596569394454346</c:v>
                </c:pt>
                <c:pt idx="98">
                  <c:v>0.59617436161172011</c:v>
                </c:pt>
                <c:pt idx="99">
                  <c:v>0.59638005313264253</c:v>
                </c:pt>
                <c:pt idx="100">
                  <c:v>0.59658285567094416</c:v>
                </c:pt>
              </c:numCache>
            </c:numRef>
          </c:val>
          <c:smooth val="0"/>
          <c:extLst>
            <c:ext xmlns:c16="http://schemas.microsoft.com/office/drawing/2014/chart" uri="{C3380CC4-5D6E-409C-BE32-E72D297353CC}">
              <c16:uniqueId val="{00000010-DE77-4B43-A489-D4421C0BE99A}"/>
            </c:ext>
          </c:extLst>
        </c:ser>
        <c:ser>
          <c:idx val="8"/>
          <c:order val="8"/>
          <c:spPr>
            <a:ln w="25400">
              <a:solidFill>
                <a:srgbClr val="FF0000"/>
              </a:solidFill>
            </a:ln>
          </c:spPr>
          <c:marker>
            <c:symbol val="none"/>
          </c:marker>
          <c:val>
            <c:numRef>
              <c:f>'Calculations - Dual'!$AU$216:$AU$316</c:f>
              <c:numCache>
                <c:formatCode>0.000</c:formatCode>
                <c:ptCount val="101"/>
                <c:pt idx="0">
                  <c:v>5.9350940764510314E-3</c:v>
                </c:pt>
                <c:pt idx="1">
                  <c:v>8.8375863363932602E-3</c:v>
                </c:pt>
                <c:pt idx="2">
                  <c:v>1.767517267278652E-2</c:v>
                </c:pt>
                <c:pt idx="3">
                  <c:v>2.6512759009179782E-2</c:v>
                </c:pt>
                <c:pt idx="4">
                  <c:v>3.5350345345573041E-2</c:v>
                </c:pt>
                <c:pt idx="5">
                  <c:v>4.4187931681966303E-2</c:v>
                </c:pt>
                <c:pt idx="6">
                  <c:v>5.3025518018359565E-2</c:v>
                </c:pt>
                <c:pt idx="7">
                  <c:v>6.186310435475284E-2</c:v>
                </c:pt>
                <c:pt idx="8">
                  <c:v>7.0700690691146081E-2</c:v>
                </c:pt>
                <c:pt idx="9">
                  <c:v>7.9538277027539336E-2</c:v>
                </c:pt>
                <c:pt idx="10">
                  <c:v>8.8375863363932605E-2</c:v>
                </c:pt>
                <c:pt idx="11">
                  <c:v>9.721344970032586E-2</c:v>
                </c:pt>
                <c:pt idx="12">
                  <c:v>0.10605103603671913</c:v>
                </c:pt>
                <c:pt idx="13">
                  <c:v>0.11488862237311241</c:v>
                </c:pt>
                <c:pt idx="14">
                  <c:v>0.12372620870950568</c:v>
                </c:pt>
                <c:pt idx="15">
                  <c:v>0.13256379504589891</c:v>
                </c:pt>
                <c:pt idx="16">
                  <c:v>0.14140138138229216</c:v>
                </c:pt>
                <c:pt idx="17">
                  <c:v>0.15023896771868545</c:v>
                </c:pt>
                <c:pt idx="18">
                  <c:v>0.15907655405507867</c:v>
                </c:pt>
                <c:pt idx="19">
                  <c:v>0.16791414039147196</c:v>
                </c:pt>
                <c:pt idx="20">
                  <c:v>0.17675172672786521</c:v>
                </c:pt>
                <c:pt idx="21">
                  <c:v>0.18558931306425847</c:v>
                </c:pt>
                <c:pt idx="22">
                  <c:v>0.19442689940065172</c:v>
                </c:pt>
                <c:pt idx="23">
                  <c:v>0.20326448573704503</c:v>
                </c:pt>
                <c:pt idx="24">
                  <c:v>0.20810428743303425</c:v>
                </c:pt>
                <c:pt idx="25">
                  <c:v>0.21174493112523651</c:v>
                </c:pt>
                <c:pt idx="26">
                  <c:v>0.21594676096522714</c:v>
                </c:pt>
                <c:pt idx="27">
                  <c:v>0.22006885361513223</c:v>
                </c:pt>
                <c:pt idx="28">
                  <c:v>0.2241156002154811</c:v>
                </c:pt>
                <c:pt idx="29">
                  <c:v>0.22809100308631841</c:v>
                </c:pt>
                <c:pt idx="30">
                  <c:v>0.23199872228539603</c:v>
                </c:pt>
                <c:pt idx="31">
                  <c:v>0.23584211523470563</c:v>
                </c:pt>
                <c:pt idx="32">
                  <c:v>0.23962427063644409</c:v>
                </c:pt>
                <c:pt idx="33">
                  <c:v>0.24334803765314242</c:v>
                </c:pt>
                <c:pt idx="34">
                  <c:v>0.24701605113595917</c:v>
                </c:pt>
                <c:pt idx="35">
                  <c:v>0.25063075353622133</c:v>
                </c:pt>
                <c:pt idx="36">
                  <c:v>0.25419441401808801</c:v>
                </c:pt>
                <c:pt idx="37">
                  <c:v>0.25770914519727928</c:v>
                </c:pt>
                <c:pt idx="38">
                  <c:v>0.26117691785660652</c:v>
                </c:pt>
                <c:pt idx="39">
                  <c:v>0.26459957392939698</c:v>
                </c:pt>
                <c:pt idx="40">
                  <c:v>0.26797883799366568</c:v>
                </c:pt>
                <c:pt idx="41">
                  <c:v>0.27131632748064499</c:v>
                </c:pt>
                <c:pt idx="42">
                  <c:v>0.27461356176917895</c:v>
                </c:pt>
                <c:pt idx="43">
                  <c:v>0.27787197031108873</c:v>
                </c:pt>
                <c:pt idx="44">
                  <c:v>0.28109289991079484</c:v>
                </c:pt>
                <c:pt idx="45">
                  <c:v>0.28427762126436518</c:v>
                </c:pt>
                <c:pt idx="46">
                  <c:v>0.28742733484803923</c:v>
                </c:pt>
                <c:pt idx="47">
                  <c:v>0.29054317623362114</c:v>
                </c:pt>
                <c:pt idx="48">
                  <c:v>0.29362622089748069</c:v>
                </c:pt>
                <c:pt idx="49">
                  <c:v>0.29667748858090703</c:v>
                </c:pt>
                <c:pt idx="50">
                  <c:v>0.29969794725193505</c:v>
                </c:pt>
                <c:pt idx="51">
                  <c:v>0.30268851671228053</c:v>
                </c:pt>
                <c:pt idx="52">
                  <c:v>0.30565007188748172</c:v>
                </c:pt>
                <c:pt idx="53">
                  <c:v>0.30858344583360403</c:v>
                </c:pt>
                <c:pt idx="54">
                  <c:v>0.31148943248979311</c:v>
                </c:pt>
                <c:pt idx="55">
                  <c:v>0.31436878920244893</c:v>
                </c:pt>
                <c:pt idx="56">
                  <c:v>0.31722223904376334</c:v>
                </c:pt>
                <c:pt idx="57">
                  <c:v>0.32005047294473182</c:v>
                </c:pt>
                <c:pt idx="58">
                  <c:v>0.3228541516604686</c:v>
                </c:pt>
                <c:pt idx="59">
                  <c:v>0.32563390758366223</c:v>
                </c:pt>
                <c:pt idx="60">
                  <c:v>0.32839034642027276</c:v>
                </c:pt>
                <c:pt idx="61">
                  <c:v>0.33112404874004753</c:v>
                </c:pt>
                <c:pt idx="62">
                  <c:v>0.33383557141310094</c:v>
                </c:pt>
                <c:pt idx="63">
                  <c:v>0.33652544894262448</c:v>
                </c:pt>
                <c:pt idx="64">
                  <c:v>0.33919419470276396</c:v>
                </c:pt>
                <c:pt idx="65">
                  <c:v>0.34184230208977984</c:v>
                </c:pt>
                <c:pt idx="66">
                  <c:v>0.34447024559380734</c:v>
                </c:pt>
                <c:pt idx="67">
                  <c:v>0.34707848179780182</c:v>
                </c:pt>
                <c:pt idx="68">
                  <c:v>0.34966745030963287</c:v>
                </c:pt>
                <c:pt idx="69">
                  <c:v>0.35223757463271049</c:v>
                </c:pt>
                <c:pt idx="70">
                  <c:v>0.35478926298002861</c:v>
                </c:pt>
                <c:pt idx="71">
                  <c:v>0.35732290903605524</c:v>
                </c:pt>
                <c:pt idx="72">
                  <c:v>0.35983889267049729</c:v>
                </c:pt>
                <c:pt idx="73">
                  <c:v>0.36233758060760257</c:v>
                </c:pt>
                <c:pt idx="74">
                  <c:v>0.364819327054339</c:v>
                </c:pt>
                <c:pt idx="75">
                  <c:v>0.36728447429049832</c:v>
                </c:pt>
                <c:pt idx="76">
                  <c:v>0.36973335322350476</c:v>
                </c:pt>
                <c:pt idx="77">
                  <c:v>0.37216628391047918</c:v>
                </c:pt>
                <c:pt idx="78">
                  <c:v>0.37458357604988651</c:v>
                </c:pt>
                <c:pt idx="79">
                  <c:v>0.37698552944490676</c:v>
                </c:pt>
                <c:pt idx="80">
                  <c:v>0.37668796372354818</c:v>
                </c:pt>
                <c:pt idx="81">
                  <c:v>0.37468989940218056</c:v>
                </c:pt>
                <c:pt idx="82">
                  <c:v>0.37272322856244816</c:v>
                </c:pt>
                <c:pt idx="83">
                  <c:v>0.37078714565019105</c:v>
                </c:pt>
                <c:pt idx="84">
                  <c:v>0.36590513799746555</c:v>
                </c:pt>
                <c:pt idx="85">
                  <c:v>0.36620445724553691</c:v>
                </c:pt>
                <c:pt idx="86">
                  <c:v>0.36650427238508226</c:v>
                </c:pt>
                <c:pt idx="87">
                  <c:v>0.36679810932545048</c:v>
                </c:pt>
                <c:pt idx="88">
                  <c:v>0.36708615894738494</c:v>
                </c:pt>
                <c:pt idx="89">
                  <c:v>0.3673686040913216</c:v>
                </c:pt>
                <c:pt idx="90">
                  <c:v>0.367645619976322</c:v>
                </c:pt>
                <c:pt idx="91">
                  <c:v>0.36791737459308188</c:v>
                </c:pt>
                <c:pt idx="92">
                  <c:v>0.36818402907286835</c:v>
                </c:pt>
                <c:pt idx="93">
                  <c:v>0.36844573803408887</c:v>
                </c:pt>
                <c:pt idx="94">
                  <c:v>0.36870264990805912</c:v>
                </c:pt>
                <c:pt idx="95">
                  <c:v>0.36895490724540947</c:v>
                </c:pt>
                <c:pt idx="96">
                  <c:v>0.36920264700446137</c:v>
                </c:pt>
                <c:pt idx="97">
                  <c:v>0.36944600082280021</c:v>
                </c:pt>
                <c:pt idx="98">
                  <c:v>0.36968509527317261</c:v>
                </c:pt>
                <c:pt idx="99">
                  <c:v>0.36992005210475642</c:v>
                </c:pt>
                <c:pt idx="100">
                  <c:v>0.37015098847077077</c:v>
                </c:pt>
              </c:numCache>
            </c:numRef>
          </c:val>
          <c:smooth val="0"/>
          <c:extLst>
            <c:ext xmlns:c16="http://schemas.microsoft.com/office/drawing/2014/chart" uri="{C3380CC4-5D6E-409C-BE32-E72D297353CC}">
              <c16:uniqueId val="{00000011-DE77-4B43-A489-D4421C0BE99A}"/>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6.1663859844663058</c:v>
                </c:pt>
                <c:pt idx="26">
                  <c:v>6.2885044926277498</c:v>
                </c:pt>
                <c:pt idx="27">
                  <c:v>6.4082962945057638</c:v>
                </c:pt>
                <c:pt idx="28">
                  <c:v>6.5258895211728181</c:v>
                </c:pt>
                <c:pt idx="29">
                  <c:v>6.6414009581510802</c:v>
                </c:pt>
                <c:pt idx="30">
                  <c:v>6.7549374039517938</c:v>
                </c:pt>
                <c:pt idx="31">
                  <c:v>6.866596826353204</c:v>
                </c:pt>
                <c:pt idx="32">
                  <c:v>6.9764693520476948</c:v>
                </c:pt>
                <c:pt idx="33">
                  <c:v>7.0846381181001536</c:v>
                </c:pt>
                <c:pt idx="34">
                  <c:v>7.1911800080942623</c:v>
                </c:pt>
                <c:pt idx="35">
                  <c:v>7.2479980162003947</c:v>
                </c:pt>
                <c:pt idx="36">
                  <c:v>7.4554620486989158</c:v>
                </c:pt>
                <c:pt idx="37">
                  <c:v>7.6630750218595827</c:v>
                </c:pt>
                <c:pt idx="38">
                  <c:v>7.8707162194615981</c:v>
                </c:pt>
                <c:pt idx="39">
                  <c:v>8.0783856644386809</c:v>
                </c:pt>
                <c:pt idx="40">
                  <c:v>8.2860833797365068</c:v>
                </c:pt>
                <c:pt idx="41">
                  <c:v>8.4938093883127159</c:v>
                </c:pt>
                <c:pt idx="42">
                  <c:v>8.7015637131369203</c:v>
                </c:pt>
                <c:pt idx="43">
                  <c:v>8.9093463771907189</c:v>
                </c:pt>
                <c:pt idx="44">
                  <c:v>9.1171574034677025</c:v>
                </c:pt>
                <c:pt idx="45">
                  <c:v>9.3249968149734759</c:v>
                </c:pt>
                <c:pt idx="46">
                  <c:v>9.5328646347256516</c:v>
                </c:pt>
                <c:pt idx="47">
                  <c:v>9.7407608857538808</c:v>
                </c:pt>
                <c:pt idx="48">
                  <c:v>9.9486855910998457</c:v>
                </c:pt>
                <c:pt idx="49">
                  <c:v>10.15663877381729</c:v>
                </c:pt>
                <c:pt idx="50">
                  <c:v>10.364620456972004</c:v>
                </c:pt>
                <c:pt idx="51">
                  <c:v>10.572630663641862</c:v>
                </c:pt>
                <c:pt idx="52">
                  <c:v>10.780669416916814</c:v>
                </c:pt>
                <c:pt idx="53">
                  <c:v>10.988736739898908</c:v>
                </c:pt>
                <c:pt idx="54">
                  <c:v>11.1968326557023</c:v>
                </c:pt>
                <c:pt idx="55">
                  <c:v>11.404957187453251</c:v>
                </c:pt>
                <c:pt idx="56">
                  <c:v>11.613110358290161</c:v>
                </c:pt>
                <c:pt idx="57">
                  <c:v>11.821292191363563</c:v>
                </c:pt>
                <c:pt idx="58">
                  <c:v>12.029502709836139</c:v>
                </c:pt>
                <c:pt idx="59">
                  <c:v>12.237741936882735</c:v>
                </c:pt>
                <c:pt idx="60">
                  <c:v>12.446009895690358</c:v>
                </c:pt>
                <c:pt idx="61">
                  <c:v>12.654306609458207</c:v>
                </c:pt>
                <c:pt idx="62">
                  <c:v>12.862632101397667</c:v>
                </c:pt>
                <c:pt idx="63">
                  <c:v>13.070986394732326</c:v>
                </c:pt>
                <c:pt idx="64">
                  <c:v>13.279369512698008</c:v>
                </c:pt>
                <c:pt idx="65">
                  <c:v>13.487781478542731</c:v>
                </c:pt>
                <c:pt idx="66">
                  <c:v>13.696222315526771</c:v>
                </c:pt>
                <c:pt idx="67">
                  <c:v>13.904692046922653</c:v>
                </c:pt>
                <c:pt idx="68">
                  <c:v>14.113190696015151</c:v>
                </c:pt>
                <c:pt idx="69">
                  <c:v>14.321718286101312</c:v>
                </c:pt>
                <c:pt idx="70">
                  <c:v>14.53027484049047</c:v>
                </c:pt>
                <c:pt idx="71">
                  <c:v>14.738860382504248</c:v>
                </c:pt>
                <c:pt idx="72">
                  <c:v>14.947474935476583</c:v>
                </c:pt>
                <c:pt idx="73">
                  <c:v>15.156118522753708</c:v>
                </c:pt>
                <c:pt idx="74">
                  <c:v>15.364791167694197</c:v>
                </c:pt>
                <c:pt idx="75">
                  <c:v>15.573492893668954</c:v>
                </c:pt>
                <c:pt idx="76">
                  <c:v>15.78222372406124</c:v>
                </c:pt>
                <c:pt idx="77">
                  <c:v>15.990983682266668</c:v>
                </c:pt>
                <c:pt idx="78">
                  <c:v>16.199772791693224</c:v>
                </c:pt>
                <c:pt idx="79">
                  <c:v>16.408591075761283</c:v>
                </c:pt>
                <c:pt idx="80">
                  <c:v>16.617438557903593</c:v>
                </c:pt>
                <c:pt idx="81">
                  <c:v>16.826315261565341</c:v>
                </c:pt>
                <c:pt idx="82">
                  <c:v>17.035221210204099</c:v>
                </c:pt>
                <c:pt idx="83">
                  <c:v>17.244156427289884</c:v>
                </c:pt>
                <c:pt idx="84">
                  <c:v>17.45312093630514</c:v>
                </c:pt>
                <c:pt idx="85">
                  <c:v>17.662114760744764</c:v>
                </c:pt>
                <c:pt idx="86">
                  <c:v>17.871137924116123</c:v>
                </c:pt>
                <c:pt idx="87">
                  <c:v>18.080190449939046</c:v>
                </c:pt>
                <c:pt idx="88">
                  <c:v>18.289272361745848</c:v>
                </c:pt>
                <c:pt idx="89">
                  <c:v>18.49838368308134</c:v>
                </c:pt>
                <c:pt idx="90">
                  <c:v>18.707524437502844</c:v>
                </c:pt>
                <c:pt idx="91">
                  <c:v>18.916694648580197</c:v>
                </c:pt>
                <c:pt idx="92">
                  <c:v>19.125894339895751</c:v>
                </c:pt>
                <c:pt idx="93">
                  <c:v>19.335123535044421</c:v>
                </c:pt>
                <c:pt idx="94">
                  <c:v>19.544382257633657</c:v>
                </c:pt>
                <c:pt idx="95">
                  <c:v>19.753670531283493</c:v>
                </c:pt>
                <c:pt idx="96">
                  <c:v>19.962988379626502</c:v>
                </c:pt>
                <c:pt idx="97">
                  <c:v>20.172335826307879</c:v>
                </c:pt>
                <c:pt idx="98">
                  <c:v>20.381712894985402</c:v>
                </c:pt>
                <c:pt idx="99">
                  <c:v>20.591119609329446</c:v>
                </c:pt>
                <c:pt idx="100">
                  <c:v>20.800555993023025</c:v>
                </c:pt>
              </c:numCache>
            </c:numRef>
          </c:val>
          <c:smooth val="0"/>
          <c:extLst>
            <c:ext xmlns:c16="http://schemas.microsoft.com/office/drawing/2014/chart" uri="{C3380CC4-5D6E-409C-BE32-E72D297353CC}">
              <c16:uniqueId val="{00000000-FDDF-4115-9ADD-DED190BC6BDF}"/>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Dual'!$AI$5:$AI$105</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6.1663859844663058</c:v>
                </c:pt>
                <c:pt idx="26">
                  <c:v>6.2885044926277498</c:v>
                </c:pt>
                <c:pt idx="27">
                  <c:v>6.4082962945057638</c:v>
                </c:pt>
                <c:pt idx="28">
                  <c:v>6.5258895211728181</c:v>
                </c:pt>
                <c:pt idx="29">
                  <c:v>6.6414009581510802</c:v>
                </c:pt>
                <c:pt idx="30">
                  <c:v>6.7549374039517938</c:v>
                </c:pt>
                <c:pt idx="31">
                  <c:v>6.866596826353204</c:v>
                </c:pt>
                <c:pt idx="32">
                  <c:v>6.9764693520476948</c:v>
                </c:pt>
                <c:pt idx="33">
                  <c:v>7.0846381181001536</c:v>
                </c:pt>
                <c:pt idx="34">
                  <c:v>7.1911800080942623</c:v>
                </c:pt>
                <c:pt idx="35">
                  <c:v>7.296166291497987</c:v>
                </c:pt>
                <c:pt idx="36">
                  <c:v>7.3996631813595668</c:v>
                </c:pt>
                <c:pt idx="37">
                  <c:v>7.5017323227335488</c:v>
                </c:pt>
                <c:pt idx="38">
                  <c:v>7.6024312220711465</c:v>
                </c:pt>
                <c:pt idx="39">
                  <c:v>7.7018136260688035</c:v>
                </c:pt>
                <c:pt idx="40">
                  <c:v>7.7999298570612794</c:v>
                </c:pt>
                <c:pt idx="41">
                  <c:v>7.8968271109004835</c:v>
                </c:pt>
                <c:pt idx="42">
                  <c:v>7.9925497223245214</c:v>
                </c:pt>
                <c:pt idx="43">
                  <c:v>8.0871394020510543</c:v>
                </c:pt>
                <c:pt idx="44">
                  <c:v>8.1806354491924154</c:v>
                </c:pt>
                <c:pt idx="45">
                  <c:v>8.2730749420611733</c:v>
                </c:pt>
                <c:pt idx="46">
                  <c:v>8.3644929099938512</c:v>
                </c:pt>
                <c:pt idx="47">
                  <c:v>8.4549224884509897</c:v>
                </c:pt>
                <c:pt idx="48">
                  <c:v>8.5443950593410172</c:v>
                </c:pt>
                <c:pt idx="49">
                  <c:v>8.6329403782528278</c:v>
                </c:pt>
                <c:pt idx="50">
                  <c:v>8.7205866900596192</c:v>
                </c:pt>
                <c:pt idx="51">
                  <c:v>8.8073608341671736</c:v>
                </c:pt>
                <c:pt idx="52">
                  <c:v>8.8932883405183034</c:v>
                </c:pt>
                <c:pt idx="53">
                  <c:v>8.9783935173267864</c:v>
                </c:pt>
                <c:pt idx="54">
                  <c:v>9.0626995313953014</c:v>
                </c:pt>
                <c:pt idx="55">
                  <c:v>9.1462284817693842</c:v>
                </c:pt>
                <c:pt idx="56">
                  <c:v>9.229001467391063</c:v>
                </c:pt>
                <c:pt idx="57">
                  <c:v>9.3110386493389274</c:v>
                </c:pt>
                <c:pt idx="58">
                  <c:v>9.3923593081749264</c:v>
                </c:pt>
                <c:pt idx="59">
                  <c:v>9.4729818968599897</c:v>
                </c:pt>
                <c:pt idx="60">
                  <c:v>9.5529240896499328</c:v>
                </c:pt>
                <c:pt idx="61">
                  <c:v>9.6322028273386611</c:v>
                </c:pt>
                <c:pt idx="62">
                  <c:v>9.617058799936169</c:v>
                </c:pt>
                <c:pt idx="63">
                  <c:v>9.7721890938391009</c:v>
                </c:pt>
                <c:pt idx="64">
                  <c:v>9.9273338543172365</c:v>
                </c:pt>
                <c:pt idx="65">
                  <c:v>10.082479658487475</c:v>
                </c:pt>
                <c:pt idx="66">
                  <c:v>10.23762651032059</c:v>
                </c:pt>
                <c:pt idx="67">
                  <c:v>10.392774413787587</c:v>
                </c:pt>
                <c:pt idx="68">
                  <c:v>10.547923372859717</c:v>
                </c:pt>
                <c:pt idx="69">
                  <c:v>10.703073391508491</c:v>
                </c:pt>
                <c:pt idx="70">
                  <c:v>10.858224473705665</c:v>
                </c:pt>
                <c:pt idx="71">
                  <c:v>11.01337662342325</c:v>
                </c:pt>
                <c:pt idx="72">
                  <c:v>11.168529844633495</c:v>
                </c:pt>
                <c:pt idx="73">
                  <c:v>11.323684141308913</c:v>
                </c:pt>
                <c:pt idx="74">
                  <c:v>11.478839517422264</c:v>
                </c:pt>
                <c:pt idx="75">
                  <c:v>11.633995976946553</c:v>
                </c:pt>
                <c:pt idx="76">
                  <c:v>11.789153523855036</c:v>
                </c:pt>
                <c:pt idx="77">
                  <c:v>11.944312162121239</c:v>
                </c:pt>
                <c:pt idx="78">
                  <c:v>12.099471895718924</c:v>
                </c:pt>
                <c:pt idx="79">
                  <c:v>12.254632728622106</c:v>
                </c:pt>
                <c:pt idx="80">
                  <c:v>12.409794664805061</c:v>
                </c:pt>
                <c:pt idx="81">
                  <c:v>12.564957708242311</c:v>
                </c:pt>
                <c:pt idx="82">
                  <c:v>12.720121862908638</c:v>
                </c:pt>
                <c:pt idx="83">
                  <c:v>12.875287132779079</c:v>
                </c:pt>
                <c:pt idx="84">
                  <c:v>13.030453521828919</c:v>
                </c:pt>
                <c:pt idx="85">
                  <c:v>13.185621034033696</c:v>
                </c:pt>
                <c:pt idx="86">
                  <c:v>13.340789673369216</c:v>
                </c:pt>
                <c:pt idx="87">
                  <c:v>13.495959443811529</c:v>
                </c:pt>
                <c:pt idx="88">
                  <c:v>13.651130349336944</c:v>
                </c:pt>
                <c:pt idx="89">
                  <c:v>13.806302393922033</c:v>
                </c:pt>
                <c:pt idx="90">
                  <c:v>13.961475581543615</c:v>
                </c:pt>
                <c:pt idx="91">
                  <c:v>14.116649916178767</c:v>
                </c:pt>
                <c:pt idx="92">
                  <c:v>14.271825401804833</c:v>
                </c:pt>
                <c:pt idx="93">
                  <c:v>14.427002042399405</c:v>
                </c:pt>
                <c:pt idx="94">
                  <c:v>14.582179841940333</c:v>
                </c:pt>
                <c:pt idx="95">
                  <c:v>14.73735880440573</c:v>
                </c:pt>
                <c:pt idx="96">
                  <c:v>14.892538933773968</c:v>
                </c:pt>
                <c:pt idx="97">
                  <c:v>15.047720234023679</c:v>
                </c:pt>
                <c:pt idx="98">
                  <c:v>15.202902709133747</c:v>
                </c:pt>
                <c:pt idx="99">
                  <c:v>15.358086363083324</c:v>
                </c:pt>
                <c:pt idx="100">
                  <c:v>15.513271199851818</c:v>
                </c:pt>
              </c:numCache>
            </c:numRef>
          </c:val>
          <c:smooth val="0"/>
          <c:extLst>
            <c:ext xmlns:c16="http://schemas.microsoft.com/office/drawing/2014/chart" uri="{C3380CC4-5D6E-409C-BE32-E72D297353CC}">
              <c16:uniqueId val="{00000001-FDDF-4115-9ADD-DED190BC6BDF}"/>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6.0606060606060606</c:v>
                </c:pt>
                <c:pt idx="1">
                  <c:v>6.0606060606060606</c:v>
                </c:pt>
                <c:pt idx="2">
                  <c:v>6.0606060606060606</c:v>
                </c:pt>
                <c:pt idx="3">
                  <c:v>6.0606060606060606</c:v>
                </c:pt>
                <c:pt idx="4">
                  <c:v>6.0606060606060606</c:v>
                </c:pt>
                <c:pt idx="5">
                  <c:v>6.0606060606060606</c:v>
                </c:pt>
                <c:pt idx="6">
                  <c:v>6.0606060606060606</c:v>
                </c:pt>
                <c:pt idx="7">
                  <c:v>6.0606060606060606</c:v>
                </c:pt>
                <c:pt idx="8">
                  <c:v>6.0606060606060606</c:v>
                </c:pt>
                <c:pt idx="9">
                  <c:v>6.0606060606060606</c:v>
                </c:pt>
                <c:pt idx="10">
                  <c:v>6.0606060606060606</c:v>
                </c:pt>
                <c:pt idx="11">
                  <c:v>6.0606060606060606</c:v>
                </c:pt>
                <c:pt idx="12">
                  <c:v>6.0606060606060606</c:v>
                </c:pt>
                <c:pt idx="13">
                  <c:v>6.0606060606060606</c:v>
                </c:pt>
                <c:pt idx="14">
                  <c:v>6.0606060606060606</c:v>
                </c:pt>
                <c:pt idx="15">
                  <c:v>6.0606060606060606</c:v>
                </c:pt>
                <c:pt idx="16">
                  <c:v>6.0606060606060606</c:v>
                </c:pt>
                <c:pt idx="17">
                  <c:v>6.0606060606060606</c:v>
                </c:pt>
                <c:pt idx="18">
                  <c:v>6.0606060606060606</c:v>
                </c:pt>
                <c:pt idx="19">
                  <c:v>6.0606060606060606</c:v>
                </c:pt>
                <c:pt idx="20">
                  <c:v>6.0606060606060606</c:v>
                </c:pt>
                <c:pt idx="21">
                  <c:v>6.0606060606060606</c:v>
                </c:pt>
                <c:pt idx="22">
                  <c:v>6.0606060606060606</c:v>
                </c:pt>
                <c:pt idx="23">
                  <c:v>6.0606060606060606</c:v>
                </c:pt>
                <c:pt idx="24">
                  <c:v>6.0606060606060606</c:v>
                </c:pt>
                <c:pt idx="25">
                  <c:v>6.1663859844663058</c:v>
                </c:pt>
                <c:pt idx="26">
                  <c:v>6.2885044926277498</c:v>
                </c:pt>
                <c:pt idx="27">
                  <c:v>6.4082962945057638</c:v>
                </c:pt>
                <c:pt idx="28">
                  <c:v>6.5258895211728181</c:v>
                </c:pt>
                <c:pt idx="29">
                  <c:v>6.6414009581510802</c:v>
                </c:pt>
                <c:pt idx="30">
                  <c:v>6.7549374039517938</c:v>
                </c:pt>
                <c:pt idx="31">
                  <c:v>6.866596826353204</c:v>
                </c:pt>
                <c:pt idx="32">
                  <c:v>6.9764693520476948</c:v>
                </c:pt>
                <c:pt idx="33">
                  <c:v>7.0846381181001536</c:v>
                </c:pt>
                <c:pt idx="34">
                  <c:v>7.1911800080942623</c:v>
                </c:pt>
                <c:pt idx="35">
                  <c:v>7.296166291497987</c:v>
                </c:pt>
                <c:pt idx="36">
                  <c:v>7.3996631813595668</c:v>
                </c:pt>
                <c:pt idx="37">
                  <c:v>7.5017323227335488</c:v>
                </c:pt>
                <c:pt idx="38">
                  <c:v>7.6024312220711465</c:v>
                </c:pt>
                <c:pt idx="39">
                  <c:v>7.7018136260688035</c:v>
                </c:pt>
                <c:pt idx="40">
                  <c:v>7.7999298570612794</c:v>
                </c:pt>
                <c:pt idx="41">
                  <c:v>7.8968271109004835</c:v>
                </c:pt>
                <c:pt idx="42">
                  <c:v>7.9925497223245214</c:v>
                </c:pt>
                <c:pt idx="43">
                  <c:v>8.0871394020510543</c:v>
                </c:pt>
                <c:pt idx="44">
                  <c:v>8.1806354491924154</c:v>
                </c:pt>
                <c:pt idx="45">
                  <c:v>8.2730749420611733</c:v>
                </c:pt>
                <c:pt idx="46">
                  <c:v>8.3644929099938512</c:v>
                </c:pt>
                <c:pt idx="47">
                  <c:v>8.4549224884509897</c:v>
                </c:pt>
                <c:pt idx="48">
                  <c:v>8.5443950593410172</c:v>
                </c:pt>
                <c:pt idx="49">
                  <c:v>8.6329403782528278</c:v>
                </c:pt>
                <c:pt idx="50">
                  <c:v>8.7205866900596192</c:v>
                </c:pt>
                <c:pt idx="51">
                  <c:v>8.8073608341671736</c:v>
                </c:pt>
                <c:pt idx="52">
                  <c:v>8.8932883405183034</c:v>
                </c:pt>
                <c:pt idx="53">
                  <c:v>8.9783935173267864</c:v>
                </c:pt>
                <c:pt idx="54">
                  <c:v>9.0626995313953014</c:v>
                </c:pt>
                <c:pt idx="55">
                  <c:v>9.1462284817693842</c:v>
                </c:pt>
                <c:pt idx="56">
                  <c:v>9.229001467391063</c:v>
                </c:pt>
                <c:pt idx="57">
                  <c:v>9.3110386493389274</c:v>
                </c:pt>
                <c:pt idx="58">
                  <c:v>9.3923593081749264</c:v>
                </c:pt>
                <c:pt idx="59">
                  <c:v>9.4729818968599897</c:v>
                </c:pt>
                <c:pt idx="60">
                  <c:v>9.5529240896499328</c:v>
                </c:pt>
                <c:pt idx="61">
                  <c:v>9.6322028273386611</c:v>
                </c:pt>
                <c:pt idx="62">
                  <c:v>9.7108343591767543</c:v>
                </c:pt>
                <c:pt idx="63">
                  <c:v>9.7888342817592253</c:v>
                </c:pt>
                <c:pt idx="64">
                  <c:v>9.8662175751460897</c:v>
                </c:pt>
                <c:pt idx="65">
                  <c:v>9.9429986364526108</c:v>
                </c:pt>
                <c:pt idx="66">
                  <c:v>10.019191311122638</c:v>
                </c:pt>
                <c:pt idx="67">
                  <c:v>10.094808922077341</c:v>
                </c:pt>
                <c:pt idx="68">
                  <c:v>10.16986429691317</c:v>
                </c:pt>
                <c:pt idx="69">
                  <c:v>10.244369793306277</c:v>
                </c:pt>
                <c:pt idx="70">
                  <c:v>10.318337322765862</c:v>
                </c:pt>
                <c:pt idx="71">
                  <c:v>10.391778372865726</c:v>
                </c:pt>
                <c:pt idx="72">
                  <c:v>10.464704028071543</c:v>
                </c:pt>
                <c:pt idx="73">
                  <c:v>10.53712498927073</c:v>
                </c:pt>
                <c:pt idx="74">
                  <c:v>10.609051592102405</c:v>
                </c:pt>
                <c:pt idx="75">
                  <c:v>10.680493824176272</c:v>
                </c:pt>
                <c:pt idx="76">
                  <c:v>10.751461341261679</c:v>
                </c:pt>
                <c:pt idx="77">
                  <c:v>10.821963482521149</c:v>
                </c:pt>
                <c:pt idx="78">
                  <c:v>10.892009284856407</c:v>
                </c:pt>
                <c:pt idx="79">
                  <c:v>10.961607496429302</c:v>
                </c:pt>
                <c:pt idx="80">
                  <c:v>11.030766589414897</c:v>
                </c:pt>
                <c:pt idx="81">
                  <c:v>11.099494772039352</c:v>
                </c:pt>
                <c:pt idx="82">
                  <c:v>11.16779999995101</c:v>
                </c:pt>
                <c:pt idx="83">
                  <c:v>11.235689986969321</c:v>
                </c:pt>
                <c:pt idx="84">
                  <c:v>11.211990339780831</c:v>
                </c:pt>
                <c:pt idx="85">
                  <c:v>11.34536929416913</c:v>
                </c:pt>
                <c:pt idx="86">
                  <c:v>11.478696200719048</c:v>
                </c:pt>
                <c:pt idx="87">
                  <c:v>11.612019715495331</c:v>
                </c:pt>
                <c:pt idx="88">
                  <c:v>11.745339840243384</c:v>
                </c:pt>
                <c:pt idx="89">
                  <c:v>11.878656576708503</c:v>
                </c:pt>
                <c:pt idx="90">
                  <c:v>12.011969926635851</c:v>
                </c:pt>
                <c:pt idx="91">
                  <c:v>12.145279891770466</c:v>
                </c:pt>
                <c:pt idx="92">
                  <c:v>12.278586473857255</c:v>
                </c:pt>
                <c:pt idx="93">
                  <c:v>12.411889674640998</c:v>
                </c:pt>
                <c:pt idx="94">
                  <c:v>12.54518949586636</c:v>
                </c:pt>
                <c:pt idx="95">
                  <c:v>12.678485939277866</c:v>
                </c:pt>
                <c:pt idx="96">
                  <c:v>12.811779006619926</c:v>
                </c:pt>
                <c:pt idx="97">
                  <c:v>12.945068699636812</c:v>
                </c:pt>
                <c:pt idx="98">
                  <c:v>13.078355020072673</c:v>
                </c:pt>
                <c:pt idx="99">
                  <c:v>13.211637969671541</c:v>
                </c:pt>
                <c:pt idx="100">
                  <c:v>13.344917550177309</c:v>
                </c:pt>
              </c:numCache>
            </c:numRef>
          </c:val>
          <c:smooth val="0"/>
          <c:extLst>
            <c:ext xmlns:c16="http://schemas.microsoft.com/office/drawing/2014/chart" uri="{C3380CC4-5D6E-409C-BE32-E72D297353CC}">
              <c16:uniqueId val="{00000002-FDDF-4115-9ADD-DED190BC6BDF}"/>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1.0084943191615703</c:v>
                </c:pt>
                <c:pt idx="2">
                  <c:v>1.0254829574847111</c:v>
                </c:pt>
                <c:pt idx="3">
                  <c:v>1.0254829574847111</c:v>
                </c:pt>
                <c:pt idx="4">
                  <c:v>1.0339772766462814</c:v>
                </c:pt>
                <c:pt idx="5">
                  <c:v>1.0424715958078516</c:v>
                </c:pt>
                <c:pt idx="6">
                  <c:v>1.0509659149694219</c:v>
                </c:pt>
                <c:pt idx="7">
                  <c:v>1.0594602341309922</c:v>
                </c:pt>
                <c:pt idx="8">
                  <c:v>1.0679545532925627</c:v>
                </c:pt>
                <c:pt idx="9">
                  <c:v>1.076448872454133</c:v>
                </c:pt>
                <c:pt idx="10">
                  <c:v>1.0849431916157033</c:v>
                </c:pt>
                <c:pt idx="11">
                  <c:v>1.0934375107772736</c:v>
                </c:pt>
                <c:pt idx="12">
                  <c:v>1.1019318299388439</c:v>
                </c:pt>
                <c:pt idx="13">
                  <c:v>1.1104261491004144</c:v>
                </c:pt>
                <c:pt idx="14">
                  <c:v>1.1189204682619847</c:v>
                </c:pt>
                <c:pt idx="15">
                  <c:v>1.1274147874235549</c:v>
                </c:pt>
                <c:pt idx="16">
                  <c:v>1.1359091065851252</c:v>
                </c:pt>
                <c:pt idx="17">
                  <c:v>1.1444034257466957</c:v>
                </c:pt>
                <c:pt idx="18">
                  <c:v>1.152897744908266</c:v>
                </c:pt>
                <c:pt idx="19">
                  <c:v>1.1613920640698363</c:v>
                </c:pt>
                <c:pt idx="20">
                  <c:v>1.1698863832314066</c:v>
                </c:pt>
                <c:pt idx="21">
                  <c:v>1.1783807023929769</c:v>
                </c:pt>
                <c:pt idx="22">
                  <c:v>1.1868750215545472</c:v>
                </c:pt>
                <c:pt idx="23">
                  <c:v>1.1953693407161177</c:v>
                </c:pt>
                <c:pt idx="24">
                  <c:v>1.2</c:v>
                </c:pt>
                <c:pt idx="25">
                  <c:v>1.2783554991557371</c:v>
                </c:pt>
                <c:pt idx="26">
                  <c:v>1.3688136533493993</c:v>
                </c:pt>
                <c:pt idx="27">
                  <c:v>1.4575483214071876</c:v>
                </c:pt>
                <c:pt idx="28">
                  <c:v>1.5446544152346351</c:v>
                </c:pt>
                <c:pt idx="29">
                  <c:v>1.6302184426259405</c:v>
                </c:pt>
                <c:pt idx="30">
                  <c:v>1.714319513589432</c:v>
                </c:pt>
                <c:pt idx="31">
                  <c:v>1.797030196849736</c:v>
                </c:pt>
                <c:pt idx="32">
                  <c:v>1.8784172529197289</c:v>
                </c:pt>
                <c:pt idx="33">
                  <c:v>1.9585422648104394</c:v>
                </c:pt>
                <c:pt idx="34">
                  <c:v>2.0374621833245938</c:v>
                </c:pt>
                <c:pt idx="35">
                  <c:v>2.0795495967365438</c:v>
                </c:pt>
                <c:pt idx="36">
                  <c:v>2.2332266578465596</c:v>
                </c:pt>
                <c:pt idx="37">
                  <c:v>2.3870140453729793</c:v>
                </c:pt>
                <c:pt idx="38">
                  <c:v>2.5408223398929906</c:v>
                </c:pt>
                <c:pt idx="39">
                  <c:v>2.6946515583945336</c:v>
                </c:pt>
                <c:pt idx="40">
                  <c:v>2.8485017178744045</c:v>
                </c:pt>
                <c:pt idx="41">
                  <c:v>3.0023728353382628</c:v>
                </c:pt>
                <c:pt idx="42">
                  <c:v>3.1562649278006369</c:v>
                </c:pt>
                <c:pt idx="43">
                  <c:v>3.3101780122849318</c:v>
                </c:pt>
                <c:pt idx="44">
                  <c:v>3.4641121058234381</c:v>
                </c:pt>
                <c:pt idx="45">
                  <c:v>3.6180672254573443</c:v>
                </c:pt>
                <c:pt idx="46">
                  <c:v>3.7720433882367344</c:v>
                </c:pt>
                <c:pt idx="47">
                  <c:v>3.9260406112206079</c:v>
                </c:pt>
                <c:pt idx="48">
                  <c:v>4.0800589114768782</c:v>
                </c:pt>
                <c:pt idx="49">
                  <c:v>4.2340983060823927</c:v>
                </c:pt>
                <c:pt idx="50">
                  <c:v>4.3881588121229207</c:v>
                </c:pt>
                <c:pt idx="51">
                  <c:v>4.5422404466931861</c:v>
                </c:pt>
                <c:pt idx="52">
                  <c:v>4.6963432268968539</c:v>
                </c:pt>
                <c:pt idx="53">
                  <c:v>4.8504671698465529</c:v>
                </c:pt>
                <c:pt idx="54">
                  <c:v>5.0046122926638814</c:v>
                </c:pt>
                <c:pt idx="55">
                  <c:v>5.1587786124794004</c:v>
                </c:pt>
                <c:pt idx="56">
                  <c:v>5.3129661464326672</c:v>
                </c:pt>
                <c:pt idx="57">
                  <c:v>5.4671749116722239</c:v>
                </c:pt>
                <c:pt idx="58">
                  <c:v>5.6214049253556135</c:v>
                </c:pt>
                <c:pt idx="59">
                  <c:v>5.7756562046493887</c:v>
                </c:pt>
                <c:pt idx="60">
                  <c:v>5.929928766729109</c:v>
                </c:pt>
                <c:pt idx="61">
                  <c:v>6.0842226287793677</c:v>
                </c:pt>
                <c:pt idx="62">
                  <c:v>6.238537807993783</c:v>
                </c:pt>
                <c:pt idx="63">
                  <c:v>6.3928743215750119</c:v>
                </c:pt>
                <c:pt idx="64">
                  <c:v>6.5472321867347754</c:v>
                </c:pt>
                <c:pt idx="65">
                  <c:v>6.7016114206938306</c:v>
                </c:pt>
                <c:pt idx="66">
                  <c:v>6.8560120406820078</c:v>
                </c:pt>
                <c:pt idx="67">
                  <c:v>7.0104340639382174</c:v>
                </c:pt>
                <c:pt idx="68">
                  <c:v>7.164877507710437</c:v>
                </c:pt>
                <c:pt idx="69">
                  <c:v>7.3193423892557421</c:v>
                </c:pt>
                <c:pt idx="70">
                  <c:v>7.4738287258403036</c:v>
                </c:pt>
                <c:pt idx="71">
                  <c:v>7.6283365347393977</c:v>
                </c:pt>
                <c:pt idx="72">
                  <c:v>7.7828658332374241</c:v>
                </c:pt>
                <c:pt idx="73">
                  <c:v>7.9374166386278882</c:v>
                </c:pt>
                <c:pt idx="74">
                  <c:v>8.0919889682134336</c:v>
                </c:pt>
                <c:pt idx="75">
                  <c:v>8.2465828393058462</c:v>
                </c:pt>
                <c:pt idx="76">
                  <c:v>8.4011982692260574</c:v>
                </c:pt>
                <c:pt idx="77">
                  <c:v>8.5558352753041529</c:v>
                </c:pt>
                <c:pt idx="78">
                  <c:v>8.7104938748793792</c:v>
                </c:pt>
                <c:pt idx="79">
                  <c:v>8.8651740853001648</c:v>
                </c:pt>
                <c:pt idx="80">
                  <c:v>9.0198759239240989</c:v>
                </c:pt>
                <c:pt idx="81">
                  <c:v>9.1745994081179845</c:v>
                </c:pt>
                <c:pt idx="82">
                  <c:v>9.3293445552578067</c:v>
                </c:pt>
                <c:pt idx="83">
                  <c:v>9.4841113827287575</c:v>
                </c:pt>
                <c:pt idx="84">
                  <c:v>9.6388999079252446</c:v>
                </c:pt>
                <c:pt idx="85">
                  <c:v>9.7937101482508897</c:v>
                </c:pt>
                <c:pt idx="86">
                  <c:v>9.9485421211185638</c:v>
                </c:pt>
                <c:pt idx="87">
                  <c:v>10.103395843950359</c:v>
                </c:pt>
                <c:pt idx="88">
                  <c:v>10.258271334177619</c:v>
                </c:pt>
                <c:pt idx="89">
                  <c:v>10.413168609240946</c:v>
                </c:pt>
                <c:pt idx="90">
                  <c:v>10.568087686590209</c:v>
                </c:pt>
                <c:pt idx="91">
                  <c:v>10.723028583684545</c:v>
                </c:pt>
                <c:pt idx="92">
                  <c:v>10.877991317992363</c:v>
                </c:pt>
                <c:pt idx="93">
                  <c:v>11.032975906991378</c:v>
                </c:pt>
                <c:pt idx="94">
                  <c:v>11.187982368168589</c:v>
                </c:pt>
                <c:pt idx="95">
                  <c:v>11.34301071902032</c:v>
                </c:pt>
                <c:pt idx="96">
                  <c:v>11.498060977052178</c:v>
                </c:pt>
                <c:pt idx="97">
                  <c:v>11.653133159779124</c:v>
                </c:pt>
                <c:pt idx="98">
                  <c:v>11.808227284725437</c:v>
                </c:pt>
                <c:pt idx="99">
                  <c:v>11.963343369424731</c:v>
                </c:pt>
                <c:pt idx="100">
                  <c:v>12.118481431419973</c:v>
                </c:pt>
              </c:numCache>
            </c:numRef>
          </c:val>
          <c:smooth val="0"/>
          <c:extLst>
            <c:ext xmlns:c16="http://schemas.microsoft.com/office/drawing/2014/chart" uri="{C3380CC4-5D6E-409C-BE32-E72D297353CC}">
              <c16:uniqueId val="{00000000-3C9D-44D2-AF55-BD525814CC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Dual'!$AJ$5:$AJ$105</c:f>
              <c:numCache>
                <c:formatCode>0.000</c:formatCode>
                <c:ptCount val="101"/>
                <c:pt idx="0">
                  <c:v>1.0057142857142858</c:v>
                </c:pt>
                <c:pt idx="1">
                  <c:v>1.0084943191615703</c:v>
                </c:pt>
                <c:pt idx="2">
                  <c:v>1.0169886383231406</c:v>
                </c:pt>
                <c:pt idx="3">
                  <c:v>1.0254829574847111</c:v>
                </c:pt>
                <c:pt idx="4">
                  <c:v>1.0339772766462814</c:v>
                </c:pt>
                <c:pt idx="5">
                  <c:v>1.0424715958078516</c:v>
                </c:pt>
                <c:pt idx="6">
                  <c:v>1.0509659149694219</c:v>
                </c:pt>
                <c:pt idx="7">
                  <c:v>1.0594602341309922</c:v>
                </c:pt>
                <c:pt idx="8">
                  <c:v>1.0679545532925627</c:v>
                </c:pt>
                <c:pt idx="9">
                  <c:v>1.076448872454133</c:v>
                </c:pt>
                <c:pt idx="10">
                  <c:v>1.0849431916157033</c:v>
                </c:pt>
                <c:pt idx="11">
                  <c:v>1.0934375107772736</c:v>
                </c:pt>
                <c:pt idx="12">
                  <c:v>1.1019318299388439</c:v>
                </c:pt>
                <c:pt idx="13">
                  <c:v>1.1104261491004144</c:v>
                </c:pt>
                <c:pt idx="14">
                  <c:v>1.1189204682619847</c:v>
                </c:pt>
                <c:pt idx="15">
                  <c:v>1.1274147874235549</c:v>
                </c:pt>
                <c:pt idx="16">
                  <c:v>1.1359091065851252</c:v>
                </c:pt>
                <c:pt idx="17">
                  <c:v>1.1444034257466957</c:v>
                </c:pt>
                <c:pt idx="18">
                  <c:v>1.152897744908266</c:v>
                </c:pt>
                <c:pt idx="19">
                  <c:v>1.1613920640698363</c:v>
                </c:pt>
                <c:pt idx="20">
                  <c:v>1.1698863832314066</c:v>
                </c:pt>
                <c:pt idx="21">
                  <c:v>1.1783807023929769</c:v>
                </c:pt>
                <c:pt idx="22">
                  <c:v>1.1868750215545472</c:v>
                </c:pt>
                <c:pt idx="23">
                  <c:v>1.1953693407161177</c:v>
                </c:pt>
                <c:pt idx="24">
                  <c:v>1.2</c:v>
                </c:pt>
                <c:pt idx="25">
                  <c:v>1.2783554991557371</c:v>
                </c:pt>
                <c:pt idx="26">
                  <c:v>1.3688136533493993</c:v>
                </c:pt>
                <c:pt idx="27">
                  <c:v>1.4575483214071876</c:v>
                </c:pt>
                <c:pt idx="28">
                  <c:v>1.5446544152346351</c:v>
                </c:pt>
                <c:pt idx="29">
                  <c:v>1.6302184426259405</c:v>
                </c:pt>
                <c:pt idx="30">
                  <c:v>1.714319513589432</c:v>
                </c:pt>
                <c:pt idx="31">
                  <c:v>1.797030196849736</c:v>
                </c:pt>
                <c:pt idx="32">
                  <c:v>1.8784172529197289</c:v>
                </c:pt>
                <c:pt idx="33">
                  <c:v>1.9585422648104394</c:v>
                </c:pt>
                <c:pt idx="34">
                  <c:v>2.0374621833245938</c:v>
                </c:pt>
                <c:pt idx="35">
                  <c:v>2.1152298006606864</c:v>
                </c:pt>
                <c:pt idx="36">
                  <c:v>2.1918941635211158</c:v>
                </c:pt>
                <c:pt idx="37">
                  <c:v>2.2675009349092505</c:v>
                </c:pt>
                <c:pt idx="38">
                  <c:v>2.3420927121963597</c:v>
                </c:pt>
                <c:pt idx="39">
                  <c:v>2.4157093077501797</c:v>
                </c:pt>
                <c:pt idx="40">
                  <c:v>2.488387997374236</c:v>
                </c:pt>
                <c:pt idx="41">
                  <c:v>2.5601637409588318</c:v>
                </c:pt>
                <c:pt idx="42">
                  <c:v>2.6310693790507118</c:v>
                </c:pt>
                <c:pt idx="43">
                  <c:v>2.7011358084777735</c:v>
                </c:pt>
                <c:pt idx="44">
                  <c:v>2.7703921396935964</c:v>
                </c:pt>
                <c:pt idx="45">
                  <c:v>2.8388658381148986</c:v>
                </c:pt>
                <c:pt idx="46">
                  <c:v>2.9065828513983636</c:v>
                </c:pt>
                <c:pt idx="47">
                  <c:v>2.9735677243295773</c:v>
                </c:pt>
                <c:pt idx="48">
                  <c:v>3.0398437027666345</c:v>
                </c:pt>
                <c:pt idx="49">
                  <c:v>3.105432827886494</c:v>
                </c:pt>
                <c:pt idx="50">
                  <c:v>3.1703560218174509</c:v>
                </c:pt>
                <c:pt idx="51">
                  <c:v>3.2346331656008243</c:v>
                </c:pt>
                <c:pt idx="52">
                  <c:v>3.298283170305365</c:v>
                </c:pt>
                <c:pt idx="53">
                  <c:v>3.3613240420153527</c:v>
                </c:pt>
                <c:pt idx="54">
                  <c:v>3.4237729413253639</c:v>
                </c:pt>
                <c:pt idx="55">
                  <c:v>3.4856462378987576</c:v>
                </c:pt>
                <c:pt idx="56">
                  <c:v>3.5469595605814828</c:v>
                </c:pt>
                <c:pt idx="57">
                  <c:v>3.6077278435058275</c:v>
                </c:pt>
                <c:pt idx="58">
                  <c:v>3.6679653685695301</c:v>
                </c:pt>
                <c:pt idx="59">
                  <c:v>3.7276858046325403</c:v>
                </c:pt>
                <c:pt idx="60">
                  <c:v>3.7869022437362014</c:v>
                </c:pt>
                <c:pt idx="61">
                  <c:v>3.8456272346167415</c:v>
                </c:pt>
                <c:pt idx="62">
                  <c:v>3.8344094365408212</c:v>
                </c:pt>
                <c:pt idx="63">
                  <c:v>3.9493207653578075</c:v>
                </c:pt>
                <c:pt idx="64">
                  <c:v>4.0642428101564265</c:v>
                </c:pt>
                <c:pt idx="65">
                  <c:v>4.1791656280603071</c:v>
                </c:pt>
                <c:pt idx="66">
                  <c:v>4.2940892220107623</c:v>
                </c:pt>
                <c:pt idx="67">
                  <c:v>4.4090135949492781</c:v>
                </c:pt>
                <c:pt idx="68">
                  <c:v>4.5239387498175239</c:v>
                </c:pt>
                <c:pt idx="69">
                  <c:v>4.638864689557356</c:v>
                </c:pt>
                <c:pt idx="70">
                  <c:v>4.7537914171108175</c:v>
                </c:pt>
                <c:pt idx="71">
                  <c:v>4.8687189354201399</c:v>
                </c:pt>
                <c:pt idx="72">
                  <c:v>4.9836472474277294</c:v>
                </c:pt>
                <c:pt idx="73">
                  <c:v>5.0985763560761868</c:v>
                </c:pt>
                <c:pt idx="74">
                  <c:v>5.2135062643082986</c:v>
                </c:pt>
                <c:pt idx="75">
                  <c:v>5.3284369750670315</c:v>
                </c:pt>
                <c:pt idx="76">
                  <c:v>5.4433684912955371</c:v>
                </c:pt>
                <c:pt idx="77">
                  <c:v>5.5583008159371694</c:v>
                </c:pt>
                <c:pt idx="78">
                  <c:v>5.6732339519354547</c:v>
                </c:pt>
                <c:pt idx="79">
                  <c:v>5.7881679022341075</c:v>
                </c:pt>
                <c:pt idx="80">
                  <c:v>5.903102669777037</c:v>
                </c:pt>
                <c:pt idx="81">
                  <c:v>6.0180382575083335</c:v>
                </c:pt>
                <c:pt idx="82">
                  <c:v>6.1329746683722792</c:v>
                </c:pt>
                <c:pt idx="83">
                  <c:v>6.2479119053133472</c:v>
                </c:pt>
                <c:pt idx="84">
                  <c:v>6.3628499712761917</c:v>
                </c:pt>
                <c:pt idx="85">
                  <c:v>6.4777888692056562</c:v>
                </c:pt>
                <c:pt idx="86">
                  <c:v>6.5927286020467815</c:v>
                </c:pt>
                <c:pt idx="87">
                  <c:v>6.707669172744791</c:v>
                </c:pt>
                <c:pt idx="88">
                  <c:v>6.8226105842450986</c:v>
                </c:pt>
                <c:pt idx="89">
                  <c:v>6.9375528394933133</c:v>
                </c:pt>
                <c:pt idx="90">
                  <c:v>7.0524959414352262</c:v>
                </c:pt>
                <c:pt idx="91">
                  <c:v>7.1674398930168204</c:v>
                </c:pt>
                <c:pt idx="92">
                  <c:v>7.2823846971842761</c:v>
                </c:pt>
                <c:pt idx="93">
                  <c:v>7.397330356883959</c:v>
                </c:pt>
                <c:pt idx="94">
                  <c:v>7.5122768750624234</c:v>
                </c:pt>
                <c:pt idx="95">
                  <c:v>7.6272242546664222</c:v>
                </c:pt>
                <c:pt idx="96">
                  <c:v>7.742172498642895</c:v>
                </c:pt>
                <c:pt idx="97">
                  <c:v>7.857121609938976</c:v>
                </c:pt>
                <c:pt idx="98">
                  <c:v>7.9720715915019902</c:v>
                </c:pt>
                <c:pt idx="99">
                  <c:v>8.0870224462794535</c:v>
                </c:pt>
                <c:pt idx="100">
                  <c:v>8.2019741772190802</c:v>
                </c:pt>
              </c:numCache>
            </c:numRef>
          </c:val>
          <c:smooth val="0"/>
          <c:extLst>
            <c:ext xmlns:c16="http://schemas.microsoft.com/office/drawing/2014/chart" uri="{C3380CC4-5D6E-409C-BE32-E72D297353CC}">
              <c16:uniqueId val="{00000001-3C9D-44D2-AF55-BD525814CC37}"/>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1.0084935587244768</c:v>
                </c:pt>
                <c:pt idx="2">
                  <c:v>1.0169871174489535</c:v>
                </c:pt>
                <c:pt idx="3">
                  <c:v>1.0254806761734303</c:v>
                </c:pt>
                <c:pt idx="4">
                  <c:v>1.0339742348979071</c:v>
                </c:pt>
                <c:pt idx="5">
                  <c:v>1.0424677936223841</c:v>
                </c:pt>
                <c:pt idx="6">
                  <c:v>1.0509613523468608</c:v>
                </c:pt>
                <c:pt idx="7">
                  <c:v>1.0594549110713376</c:v>
                </c:pt>
                <c:pt idx="8">
                  <c:v>1.0679484697958144</c:v>
                </c:pt>
                <c:pt idx="9">
                  <c:v>1.0764420285202911</c:v>
                </c:pt>
                <c:pt idx="10">
                  <c:v>1.0849355872447679</c:v>
                </c:pt>
                <c:pt idx="11">
                  <c:v>1.0934291459692447</c:v>
                </c:pt>
                <c:pt idx="12">
                  <c:v>1.1019227046937214</c:v>
                </c:pt>
                <c:pt idx="13">
                  <c:v>1.1104162634181984</c:v>
                </c:pt>
                <c:pt idx="14">
                  <c:v>1.1189098221426752</c:v>
                </c:pt>
                <c:pt idx="15">
                  <c:v>1.127403380867152</c:v>
                </c:pt>
                <c:pt idx="16">
                  <c:v>1.1358969395916287</c:v>
                </c:pt>
                <c:pt idx="17">
                  <c:v>1.1443904983161055</c:v>
                </c:pt>
                <c:pt idx="18">
                  <c:v>1.1528840570405823</c:v>
                </c:pt>
                <c:pt idx="19">
                  <c:v>1.161377615765059</c:v>
                </c:pt>
                <c:pt idx="20">
                  <c:v>1.1698711744895358</c:v>
                </c:pt>
                <c:pt idx="21">
                  <c:v>1.1783647332140128</c:v>
                </c:pt>
                <c:pt idx="22">
                  <c:v>1.1868582919384896</c:v>
                </c:pt>
                <c:pt idx="23">
                  <c:v>1.1953518506629663</c:v>
                </c:pt>
                <c:pt idx="24">
                  <c:v>1.2</c:v>
                </c:pt>
                <c:pt idx="25">
                  <c:v>1.2783554991557371</c:v>
                </c:pt>
                <c:pt idx="26">
                  <c:v>1.3688136533493993</c:v>
                </c:pt>
                <c:pt idx="27">
                  <c:v>1.4575483214071876</c:v>
                </c:pt>
                <c:pt idx="28">
                  <c:v>1.5446544152346351</c:v>
                </c:pt>
                <c:pt idx="29">
                  <c:v>1.6302184426259405</c:v>
                </c:pt>
                <c:pt idx="30">
                  <c:v>1.714319513589432</c:v>
                </c:pt>
                <c:pt idx="31">
                  <c:v>1.797030196849736</c:v>
                </c:pt>
                <c:pt idx="32">
                  <c:v>1.8784172529197289</c:v>
                </c:pt>
                <c:pt idx="33">
                  <c:v>1.9585422648104394</c:v>
                </c:pt>
                <c:pt idx="34">
                  <c:v>2.0374621833245938</c:v>
                </c:pt>
                <c:pt idx="35">
                  <c:v>2.1152298006606864</c:v>
                </c:pt>
                <c:pt idx="36">
                  <c:v>2.1918941635211158</c:v>
                </c:pt>
                <c:pt idx="37">
                  <c:v>2.2675009349092505</c:v>
                </c:pt>
                <c:pt idx="38">
                  <c:v>2.3420927121963597</c:v>
                </c:pt>
                <c:pt idx="39">
                  <c:v>2.4157093077501797</c:v>
                </c:pt>
                <c:pt idx="40">
                  <c:v>2.488387997374236</c:v>
                </c:pt>
                <c:pt idx="41">
                  <c:v>2.5601637409588318</c:v>
                </c:pt>
                <c:pt idx="42">
                  <c:v>2.6310693790507118</c:v>
                </c:pt>
                <c:pt idx="43">
                  <c:v>2.7011358084777735</c:v>
                </c:pt>
                <c:pt idx="44">
                  <c:v>2.7703921396935964</c:v>
                </c:pt>
                <c:pt idx="45">
                  <c:v>2.8388658381148986</c:v>
                </c:pt>
                <c:pt idx="46">
                  <c:v>2.9065828513983636</c:v>
                </c:pt>
                <c:pt idx="47">
                  <c:v>2.9735677243295773</c:v>
                </c:pt>
                <c:pt idx="48">
                  <c:v>3.0398437027666345</c:v>
                </c:pt>
                <c:pt idx="49">
                  <c:v>3.105432827886494</c:v>
                </c:pt>
                <c:pt idx="50">
                  <c:v>3.1703560218174509</c:v>
                </c:pt>
                <c:pt idx="51">
                  <c:v>3.2346331656008243</c:v>
                </c:pt>
                <c:pt idx="52">
                  <c:v>3.298283170305365</c:v>
                </c:pt>
                <c:pt idx="53">
                  <c:v>3.3613240420153527</c:v>
                </c:pt>
                <c:pt idx="54">
                  <c:v>3.4237729413253639</c:v>
                </c:pt>
                <c:pt idx="55">
                  <c:v>3.4856462378987576</c:v>
                </c:pt>
                <c:pt idx="56">
                  <c:v>3.5469595605814828</c:v>
                </c:pt>
                <c:pt idx="57">
                  <c:v>3.6077278435058275</c:v>
                </c:pt>
                <c:pt idx="58">
                  <c:v>3.6679653685695301</c:v>
                </c:pt>
                <c:pt idx="59">
                  <c:v>3.7276858046325403</c:v>
                </c:pt>
                <c:pt idx="60">
                  <c:v>3.7869022437362014</c:v>
                </c:pt>
                <c:pt idx="61">
                  <c:v>3.8456272346167415</c:v>
                </c:pt>
                <c:pt idx="62">
                  <c:v>3.9038728137560694</c:v>
                </c:pt>
                <c:pt idx="63">
                  <c:v>3.9616505341875294</c:v>
                </c:pt>
                <c:pt idx="64">
                  <c:v>4.0189714922518736</c:v>
                </c:pt>
                <c:pt idx="65">
                  <c:v>4.0758463524789263</c:v>
                </c:pt>
                <c:pt idx="66">
                  <c:v>4.1322853707530198</c:v>
                </c:pt>
                <c:pt idx="67">
                  <c:v>4.1882984159046526</c:v>
                </c:pt>
                <c:pt idx="68">
                  <c:v>4.2438949898571181</c:v>
                </c:pt>
                <c:pt idx="69">
                  <c:v>4.2990842464446049</c:v>
                </c:pt>
                <c:pt idx="70">
                  <c:v>4.3538750090072602</c:v>
                </c:pt>
                <c:pt idx="71">
                  <c:v>4.4082757868590114</c:v>
                </c:pt>
                <c:pt idx="72">
                  <c:v>4.4622947907151724</c:v>
                </c:pt>
                <c:pt idx="73">
                  <c:v>4.5159399471590147</c:v>
                </c:pt>
                <c:pt idx="74">
                  <c:v>4.5692189122195144</c:v>
                </c:pt>
                <c:pt idx="75">
                  <c:v>4.6221390841260828</c:v>
                </c:pt>
                <c:pt idx="76">
                  <c:v>4.6747076153004583</c:v>
                </c:pt>
                <c:pt idx="77">
                  <c:v>4.7269314236408055</c:v>
                </c:pt>
                <c:pt idx="78">
                  <c:v>4.7788172031484049</c:v>
                </c:pt>
                <c:pt idx="79">
                  <c:v>4.8303714339431414</c:v>
                </c:pt>
                <c:pt idx="80">
                  <c:v>4.8816003917102497</c:v>
                </c:pt>
                <c:pt idx="81">
                  <c:v>4.9325101566172522</c:v>
                </c:pt>
                <c:pt idx="82">
                  <c:v>4.9831066217369999</c:v>
                </c:pt>
                <c:pt idx="83">
                  <c:v>5.0333955010098226</c:v>
                </c:pt>
                <c:pt idx="84">
                  <c:v>5.0158402067961267</c:v>
                </c:pt>
                <c:pt idx="85">
                  <c:v>5.1146394322689401</c:v>
                </c:pt>
                <c:pt idx="86">
                  <c:v>5.2134001037873983</c:v>
                </c:pt>
                <c:pt idx="87">
                  <c:v>5.3121582628809412</c:v>
                </c:pt>
                <c:pt idx="88">
                  <c:v>5.4109139108424618</c:v>
                </c:pt>
                <c:pt idx="89">
                  <c:v>5.5096670489647721</c:v>
                </c:pt>
                <c:pt idx="90">
                  <c:v>5.6084176785405857</c:v>
                </c:pt>
                <c:pt idx="91">
                  <c:v>5.7071658008625228</c:v>
                </c:pt>
                <c:pt idx="92">
                  <c:v>5.8059114172231068</c:v>
                </c:pt>
                <c:pt idx="93">
                  <c:v>5.9046545289147687</c:v>
                </c:pt>
                <c:pt idx="94">
                  <c:v>6.0033951372298517</c:v>
                </c:pt>
                <c:pt idx="95">
                  <c:v>6.1021332434605968</c:v>
                </c:pt>
                <c:pt idx="96">
                  <c:v>6.2008688488991597</c:v>
                </c:pt>
                <c:pt idx="97">
                  <c:v>6.2996019548375939</c:v>
                </c:pt>
                <c:pt idx="98">
                  <c:v>6.3983325625678606</c:v>
                </c:pt>
                <c:pt idx="99">
                  <c:v>6.4970606733818377</c:v>
                </c:pt>
                <c:pt idx="100">
                  <c:v>6.5957862885712952</c:v>
                </c:pt>
              </c:numCache>
            </c:numRef>
          </c:val>
          <c:smooth val="0"/>
          <c:extLst>
            <c:ext xmlns:c16="http://schemas.microsoft.com/office/drawing/2014/chart" uri="{C3380CC4-5D6E-409C-BE32-E72D297353CC}">
              <c16:uniqueId val="{00000002-3C9D-44D2-AF55-BD525814CC37}"/>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Calculations'!$AD$13:$AD$613</c:f>
              <c:numCache>
                <c:formatCode>0.00</c:formatCode>
                <c:ptCount val="601"/>
                <c:pt idx="0">
                  <c:v>79.587249400439802</c:v>
                </c:pt>
                <c:pt idx="1">
                  <c:v>78.789133772270844</c:v>
                </c:pt>
                <c:pt idx="2">
                  <c:v>77.990763139554616</c:v>
                </c:pt>
                <c:pt idx="3">
                  <c:v>77.192163230136387</c:v>
                </c:pt>
                <c:pt idx="4">
                  <c:v>76.393877777716071</c:v>
                </c:pt>
                <c:pt idx="5">
                  <c:v>75.594596578844047</c:v>
                </c:pt>
                <c:pt idx="6">
                  <c:v>74.795469873729431</c:v>
                </c:pt>
                <c:pt idx="7">
                  <c:v>73.99598408431001</c:v>
                </c:pt>
                <c:pt idx="8">
                  <c:v>73.196733241712394</c:v>
                </c:pt>
                <c:pt idx="9">
                  <c:v>72.3971220080237</c:v>
                </c:pt>
                <c:pt idx="10">
                  <c:v>71.597618731869133</c:v>
                </c:pt>
                <c:pt idx="11">
                  <c:v>70.798117241182766</c:v>
                </c:pt>
                <c:pt idx="12">
                  <c:v>69.998201441041303</c:v>
                </c:pt>
                <c:pt idx="13">
                  <c:v>69.198646166611709</c:v>
                </c:pt>
                <c:pt idx="14">
                  <c:v>68.39881916677254</c:v>
                </c:pt>
                <c:pt idx="15">
                  <c:v>67.599033788908628</c:v>
                </c:pt>
                <c:pt idx="16">
                  <c:v>66.799231114273454</c:v>
                </c:pt>
                <c:pt idx="17">
                  <c:v>65.999530350865427</c:v>
                </c:pt>
                <c:pt idx="18">
                  <c:v>65.199704742877529</c:v>
                </c:pt>
                <c:pt idx="19">
                  <c:v>64.399974763945195</c:v>
                </c:pt>
                <c:pt idx="20">
                  <c:v>63.600186750087161</c:v>
                </c:pt>
                <c:pt idx="21">
                  <c:v>62.800510126042575</c:v>
                </c:pt>
                <c:pt idx="22">
                  <c:v>62.000781231769281</c:v>
                </c:pt>
                <c:pt idx="23">
                  <c:v>61.201206369147357</c:v>
                </c:pt>
                <c:pt idx="24">
                  <c:v>60.401592161494392</c:v>
                </c:pt>
                <c:pt idx="25">
                  <c:v>59.602074656484369</c:v>
                </c:pt>
                <c:pt idx="26">
                  <c:v>58.802482538924032</c:v>
                </c:pt>
                <c:pt idx="27">
                  <c:v>58.003088582139</c:v>
                </c:pt>
                <c:pt idx="28">
                  <c:v>57.203883840843645</c:v>
                </c:pt>
                <c:pt idx="29">
                  <c:v>56.405391562574181</c:v>
                </c:pt>
                <c:pt idx="30">
                  <c:v>55.606294395126838</c:v>
                </c:pt>
                <c:pt idx="31">
                  <c:v>54.807748885510065</c:v>
                </c:pt>
                <c:pt idx="32">
                  <c:v>54.009261398999733</c:v>
                </c:pt>
                <c:pt idx="33">
                  <c:v>53.211458806261206</c:v>
                </c:pt>
                <c:pt idx="34">
                  <c:v>52.4137956272304</c:v>
                </c:pt>
                <c:pt idx="35">
                  <c:v>51.616804724622732</c:v>
                </c:pt>
                <c:pt idx="36">
                  <c:v>50.820464426811</c:v>
                </c:pt>
                <c:pt idx="37">
                  <c:v>50.02446674658961</c:v>
                </c:pt>
                <c:pt idx="38">
                  <c:v>49.229713697880236</c:v>
                </c:pt>
                <c:pt idx="39">
                  <c:v>48.435736771767559</c:v>
                </c:pt>
                <c:pt idx="40">
                  <c:v>47.643041723524668</c:v>
                </c:pt>
                <c:pt idx="41">
                  <c:v>46.851804501516156</c:v>
                </c:pt>
                <c:pt idx="42">
                  <c:v>46.062424346403112</c:v>
                </c:pt>
                <c:pt idx="43">
                  <c:v>45.275014600660583</c:v>
                </c:pt>
                <c:pt idx="44">
                  <c:v>44.490194609229164</c:v>
                </c:pt>
                <c:pt idx="45">
                  <c:v>43.708291823094413</c:v>
                </c:pt>
                <c:pt idx="46">
                  <c:v>42.930038673567125</c:v>
                </c:pt>
                <c:pt idx="47">
                  <c:v>42.155945469315057</c:v>
                </c:pt>
                <c:pt idx="48">
                  <c:v>41.386999144743399</c:v>
                </c:pt>
                <c:pt idx="49">
                  <c:v>40.623935556463628</c:v>
                </c:pt>
                <c:pt idx="50">
                  <c:v>39.867958646992044</c:v>
                </c:pt>
                <c:pt idx="51">
                  <c:v>39.120150133570675</c:v>
                </c:pt>
                <c:pt idx="52">
                  <c:v>38.382191480218523</c:v>
                </c:pt>
                <c:pt idx="53">
                  <c:v>37.655692194505697</c:v>
                </c:pt>
                <c:pt idx="54">
                  <c:v>36.942935062317119</c:v>
                </c:pt>
                <c:pt idx="55">
                  <c:v>36.244773251333783</c:v>
                </c:pt>
                <c:pt idx="56">
                  <c:v>35.564441763504384</c:v>
                </c:pt>
                <c:pt idx="57">
                  <c:v>34.903890202857774</c:v>
                </c:pt>
                <c:pt idx="58">
                  <c:v>34.266120891692189</c:v>
                </c:pt>
                <c:pt idx="59">
                  <c:v>33.653236546327179</c:v>
                </c:pt>
                <c:pt idx="60">
                  <c:v>33.06816126391989</c:v>
                </c:pt>
                <c:pt idx="61">
                  <c:v>32.513245303476204</c:v>
                </c:pt>
                <c:pt idx="62">
                  <c:v>31.990427133166985</c:v>
                </c:pt>
                <c:pt idx="63">
                  <c:v>31.502072322718373</c:v>
                </c:pt>
                <c:pt idx="64">
                  <c:v>31.049190799549304</c:v>
                </c:pt>
                <c:pt idx="65">
                  <c:v>30.632834734865835</c:v>
                </c:pt>
                <c:pt idx="66">
                  <c:v>30.253232009439657</c:v>
                </c:pt>
                <c:pt idx="67">
                  <c:v>29.910076067139965</c:v>
                </c:pt>
                <c:pt idx="68">
                  <c:v>29.6023187426578</c:v>
                </c:pt>
                <c:pt idx="69">
                  <c:v>29.328559724091605</c:v>
                </c:pt>
                <c:pt idx="70">
                  <c:v>29.086811779908</c:v>
                </c:pt>
                <c:pt idx="71">
                  <c:v>28.874854418317067</c:v>
                </c:pt>
                <c:pt idx="72">
                  <c:v>28.69015021788509</c:v>
                </c:pt>
                <c:pt idx="73">
                  <c:v>28.530139580434714</c:v>
                </c:pt>
                <c:pt idx="74">
                  <c:v>28.392161558147308</c:v>
                </c:pt>
                <c:pt idx="75">
                  <c:v>28.273685162056672</c:v>
                </c:pt>
                <c:pt idx="76">
                  <c:v>28.172255509700378</c:v>
                </c:pt>
                <c:pt idx="77">
                  <c:v>28.085639185582096</c:v>
                </c:pt>
                <c:pt idx="78">
                  <c:v>28.011748085476242</c:v>
                </c:pt>
                <c:pt idx="79">
                  <c:v>27.948731107405177</c:v>
                </c:pt>
                <c:pt idx="80">
                  <c:v>27.894795091593885</c:v>
                </c:pt>
                <c:pt idx="81">
                  <c:v>27.848514898112313</c:v>
                </c:pt>
                <c:pt idx="82">
                  <c:v>27.808515021126095</c:v>
                </c:pt>
                <c:pt idx="83">
                  <c:v>27.773627982836537</c:v>
                </c:pt>
                <c:pt idx="84">
                  <c:v>27.742757247903775</c:v>
                </c:pt>
                <c:pt idx="85">
                  <c:v>27.714956158126455</c:v>
                </c:pt>
                <c:pt idx="86">
                  <c:v>27.689336140588381</c:v>
                </c:pt>
                <c:pt idx="87">
                  <c:v>27.665060569298245</c:v>
                </c:pt>
                <c:pt idx="88">
                  <c:v>27.641366401322621</c:v>
                </c:pt>
                <c:pt idx="89">
                  <c:v>27.617463970348073</c:v>
                </c:pt>
                <c:pt idx="90">
                  <c:v>27.592586248043183</c:v>
                </c:pt>
                <c:pt idx="91">
                  <c:v>27.56592795628184</c:v>
                </c:pt>
                <c:pt idx="92">
                  <c:v>27.536641121369513</c:v>
                </c:pt>
                <c:pt idx="93">
                  <c:v>27.503793884568417</c:v>
                </c:pt>
                <c:pt idx="94">
                  <c:v>27.494913402575559</c:v>
                </c:pt>
                <c:pt idx="95">
                  <c:v>27.490332602800997</c:v>
                </c:pt>
                <c:pt idx="96">
                  <c:v>27.485726993783956</c:v>
                </c:pt>
                <c:pt idx="97">
                  <c:v>27.480988226465051</c:v>
                </c:pt>
                <c:pt idx="98">
                  <c:v>27.476222083457277</c:v>
                </c:pt>
                <c:pt idx="99">
                  <c:v>27.471315222448656</c:v>
                </c:pt>
                <c:pt idx="100">
                  <c:v>27.466378382077746</c:v>
                </c:pt>
                <c:pt idx="101">
                  <c:v>27.461296850244842</c:v>
                </c:pt>
                <c:pt idx="102">
                  <c:v>27.456182742559552</c:v>
                </c:pt>
                <c:pt idx="103">
                  <c:v>27.450912185558657</c:v>
                </c:pt>
                <c:pt idx="104">
                  <c:v>27.445606364855351</c:v>
                </c:pt>
                <c:pt idx="105">
                  <c:v>27.440139764219147</c:v>
                </c:pt>
                <c:pt idx="106">
                  <c:v>27.434635217123994</c:v>
                </c:pt>
                <c:pt idx="107">
                  <c:v>27.428965482597714</c:v>
                </c:pt>
                <c:pt idx="108">
                  <c:v>27.42325512952123</c:v>
                </c:pt>
                <c:pt idx="109">
                  <c:v>27.417371094131123</c:v>
                </c:pt>
                <c:pt idx="110">
                  <c:v>27.411443724788942</c:v>
                </c:pt>
                <c:pt idx="111">
                  <c:v>27.405329857743546</c:v>
                </c:pt>
                <c:pt idx="112">
                  <c:v>27.399169834213343</c:v>
                </c:pt>
                <c:pt idx="113">
                  <c:v>27.392818347697592</c:v>
                </c:pt>
                <c:pt idx="114">
                  <c:v>27.386417894023118</c:v>
                </c:pt>
                <c:pt idx="115">
                  <c:v>27.37981674049346</c:v>
                </c:pt>
                <c:pt idx="116">
                  <c:v>27.373163761322665</c:v>
                </c:pt>
                <c:pt idx="117">
                  <c:v>27.366300589668448</c:v>
                </c:pt>
                <c:pt idx="118">
                  <c:v>27.359382685831623</c:v>
                </c:pt>
                <c:pt idx="119">
                  <c:v>27.352249181133949</c:v>
                </c:pt>
                <c:pt idx="120">
                  <c:v>27.345058060050619</c:v>
                </c:pt>
                <c:pt idx="121">
                  <c:v>27.337641468181797</c:v>
                </c:pt>
                <c:pt idx="122">
                  <c:v>27.330164333038304</c:v>
                </c:pt>
                <c:pt idx="123">
                  <c:v>27.322447114435636</c:v>
                </c:pt>
                <c:pt idx="124">
                  <c:v>27.314666310683073</c:v>
                </c:pt>
                <c:pt idx="125">
                  <c:v>27.306639451843843</c:v>
                </c:pt>
                <c:pt idx="126">
                  <c:v>27.298545998597916</c:v>
                </c:pt>
                <c:pt idx="127">
                  <c:v>27.290195847990255</c:v>
                </c:pt>
                <c:pt idx="128">
                  <c:v>27.28177605732245</c:v>
                </c:pt>
                <c:pt idx="129">
                  <c:v>27.273088671810918</c:v>
                </c:pt>
                <c:pt idx="130">
                  <c:v>27.264328567625764</c:v>
                </c:pt>
                <c:pt idx="131">
                  <c:v>27.255289718187864</c:v>
                </c:pt>
                <c:pt idx="132">
                  <c:v>27.250741847108589</c:v>
                </c:pt>
                <c:pt idx="133">
                  <c:v>27.246175042662909</c:v>
                </c:pt>
                <c:pt idx="134">
                  <c:v>27.241480089321556</c:v>
                </c:pt>
                <c:pt idx="135">
                  <c:v>27.236765346181517</c:v>
                </c:pt>
                <c:pt idx="136">
                  <c:v>27.232030842980691</c:v>
                </c:pt>
                <c:pt idx="137">
                  <c:v>27.227276610876515</c:v>
                </c:pt>
                <c:pt idx="138">
                  <c:v>27.222394067589782</c:v>
                </c:pt>
                <c:pt idx="139">
                  <c:v>27.217490959652718</c:v>
                </c:pt>
                <c:pt idx="140">
                  <c:v>27.212567324707031</c:v>
                </c:pt>
                <c:pt idx="141">
                  <c:v>27.207623201755091</c:v>
                </c:pt>
                <c:pt idx="142">
                  <c:v>27.202540656309626</c:v>
                </c:pt>
                <c:pt idx="143">
                  <c:v>27.197436726552201</c:v>
                </c:pt>
                <c:pt idx="144">
                  <c:v>27.192311458473203</c:v>
                </c:pt>
                <c:pt idx="145">
                  <c:v>27.18716489937108</c:v>
                </c:pt>
                <c:pt idx="146">
                  <c:v>27.18187713889759</c:v>
                </c:pt>
                <c:pt idx="147">
                  <c:v>27.176567193788138</c:v>
                </c:pt>
                <c:pt idx="148">
                  <c:v>27.171235118681551</c:v>
                </c:pt>
                <c:pt idx="149">
                  <c:v>27.165880969469754</c:v>
                </c:pt>
                <c:pt idx="150">
                  <c:v>27.160380238880656</c:v>
                </c:pt>
                <c:pt idx="151">
                  <c:v>27.154856523821991</c:v>
                </c:pt>
                <c:pt idx="152">
                  <c:v>27.149309887958708</c:v>
                </c:pt>
                <c:pt idx="153">
                  <c:v>27.143740396153781</c:v>
                </c:pt>
                <c:pt idx="154">
                  <c:v>27.138016195363601</c:v>
                </c:pt>
                <c:pt idx="155">
                  <c:v>27.132268191062696</c:v>
                </c:pt>
                <c:pt idx="156">
                  <c:v>27.126496456443054</c:v>
                </c:pt>
                <c:pt idx="157">
                  <c:v>27.120701065841104</c:v>
                </c:pt>
                <c:pt idx="158">
                  <c:v>27.114745304635797</c:v>
                </c:pt>
                <c:pt idx="159">
                  <c:v>27.108764925595324</c:v>
                </c:pt>
                <c:pt idx="160">
                  <c:v>27.102760011882051</c:v>
                </c:pt>
                <c:pt idx="161">
                  <c:v>27.096730647747755</c:v>
                </c:pt>
                <c:pt idx="162">
                  <c:v>27.090537873897471</c:v>
                </c:pt>
                <c:pt idx="163">
                  <c:v>27.084319697569946</c:v>
                </c:pt>
                <c:pt idx="164">
                  <c:v>27.078076212235622</c:v>
                </c:pt>
                <c:pt idx="165">
                  <c:v>27.071807512395605</c:v>
                </c:pt>
                <c:pt idx="166">
                  <c:v>27.065364063171277</c:v>
                </c:pt>
                <c:pt idx="167">
                  <c:v>27.058894392352258</c:v>
                </c:pt>
                <c:pt idx="168">
                  <c:v>27.052398604441521</c:v>
                </c:pt>
                <c:pt idx="169">
                  <c:v>27.045876804914979</c:v>
                </c:pt>
                <c:pt idx="170">
                  <c:v>27.039188308372761</c:v>
                </c:pt>
                <c:pt idx="171">
                  <c:v>27.032472897269258</c:v>
                </c:pt>
                <c:pt idx="172">
                  <c:v>27.02573068692584</c:v>
                </c:pt>
                <c:pt idx="173">
                  <c:v>27.018961793568202</c:v>
                </c:pt>
                <c:pt idx="174">
                  <c:v>27.011994677911446</c:v>
                </c:pt>
                <c:pt idx="175">
                  <c:v>27.00499976707998</c:v>
                </c:pt>
                <c:pt idx="176">
                  <c:v>26.997977189040157</c:v>
                </c:pt>
                <c:pt idx="177">
                  <c:v>26.990927072603785</c:v>
                </c:pt>
                <c:pt idx="178">
                  <c:v>26.98367516571426</c:v>
                </c:pt>
                <c:pt idx="179">
                  <c:v>26.976394625771029</c:v>
                </c:pt>
                <c:pt idx="180">
                  <c:v>26.96908559385416</c:v>
                </c:pt>
                <c:pt idx="181">
                  <c:v>26.961748211822957</c:v>
                </c:pt>
                <c:pt idx="182">
                  <c:v>26.954235023756006</c:v>
                </c:pt>
                <c:pt idx="183">
                  <c:v>26.94669264068775</c:v>
                </c:pt>
                <c:pt idx="184">
                  <c:v>26.939121215439869</c:v>
                </c:pt>
                <c:pt idx="185">
                  <c:v>26.931520901528835</c:v>
                </c:pt>
                <c:pt idx="186">
                  <c:v>26.923682024525743</c:v>
                </c:pt>
                <c:pt idx="187">
                  <c:v>26.915812981719842</c:v>
                </c:pt>
                <c:pt idx="188">
                  <c:v>26.907913941685244</c:v>
                </c:pt>
                <c:pt idx="189">
                  <c:v>26.899985073620492</c:v>
                </c:pt>
                <c:pt idx="190">
                  <c:v>26.891874379755066</c:v>
                </c:pt>
                <c:pt idx="191">
                  <c:v>26.883733065141598</c:v>
                </c:pt>
                <c:pt idx="192">
                  <c:v>26.875561310630349</c:v>
                </c:pt>
                <c:pt idx="193">
                  <c:v>26.867359297598604</c:v>
                </c:pt>
                <c:pt idx="194">
                  <c:v>26.858910982396353</c:v>
                </c:pt>
                <c:pt idx="195">
                  <c:v>26.850431189875216</c:v>
                </c:pt>
                <c:pt idx="196">
                  <c:v>26.841920117563248</c:v>
                </c:pt>
                <c:pt idx="197">
                  <c:v>26.833377963425598</c:v>
                </c:pt>
                <c:pt idx="198">
                  <c:v>26.824616851032953</c:v>
                </c:pt>
                <c:pt idx="199">
                  <c:v>26.815823699898228</c:v>
                </c:pt>
                <c:pt idx="200">
                  <c:v>26.806998722470983</c:v>
                </c:pt>
                <c:pt idx="201">
                  <c:v>26.798142131531083</c:v>
                </c:pt>
                <c:pt idx="202">
                  <c:v>26.789063341126433</c:v>
                </c:pt>
                <c:pt idx="203">
                  <c:v>26.779952017485805</c:v>
                </c:pt>
                <c:pt idx="204">
                  <c:v>26.770808388210355</c:v>
                </c:pt>
                <c:pt idx="205">
                  <c:v>26.76163268111582</c:v>
                </c:pt>
                <c:pt idx="206">
                  <c:v>26.752199367033334</c:v>
                </c:pt>
                <c:pt idx="207">
                  <c:v>26.742732870277123</c:v>
                </c:pt>
                <c:pt idx="208">
                  <c:v>26.733233436283591</c:v>
                </c:pt>
                <c:pt idx="209">
                  <c:v>26.723701310579926</c:v>
                </c:pt>
                <c:pt idx="210">
                  <c:v>26.713875137313835</c:v>
                </c:pt>
                <c:pt idx="211">
                  <c:v>26.704014988209703</c:v>
                </c:pt>
                <c:pt idx="212">
                  <c:v>26.694121129535095</c:v>
                </c:pt>
                <c:pt idx="213">
                  <c:v>26.684193827510207</c:v>
                </c:pt>
                <c:pt idx="214">
                  <c:v>26.674034465073689</c:v>
                </c:pt>
                <c:pt idx="215">
                  <c:v>26.66384087180921</c:v>
                </c:pt>
                <c:pt idx="216">
                  <c:v>26.653613329801587</c:v>
                </c:pt>
                <c:pt idx="217">
                  <c:v>26.643352120937685</c:v>
                </c:pt>
                <c:pt idx="218">
                  <c:v>26.632822409635466</c:v>
                </c:pt>
                <c:pt idx="219">
                  <c:v>26.622258074396253</c:v>
                </c:pt>
                <c:pt idx="220">
                  <c:v>26.611659415967633</c:v>
                </c:pt>
                <c:pt idx="221">
                  <c:v>26.601026734734255</c:v>
                </c:pt>
                <c:pt idx="222">
                  <c:v>26.590122162636675</c:v>
                </c:pt>
                <c:pt idx="223">
                  <c:v>26.579182667430338</c:v>
                </c:pt>
                <c:pt idx="224">
                  <c:v>26.568208568643445</c:v>
                </c:pt>
                <c:pt idx="225">
                  <c:v>26.557200185262225</c:v>
                </c:pt>
                <c:pt idx="226">
                  <c:v>26.545882205891505</c:v>
                </c:pt>
                <c:pt idx="227">
                  <c:v>26.534528888368285</c:v>
                </c:pt>
                <c:pt idx="228">
                  <c:v>26.523140574133453</c:v>
                </c:pt>
                <c:pt idx="229">
                  <c:v>26.511717603883504</c:v>
                </c:pt>
                <c:pt idx="230">
                  <c:v>26.488209348089576</c:v>
                </c:pt>
                <c:pt idx="231">
                  <c:v>26.476402122469089</c:v>
                </c:pt>
                <c:pt idx="232">
                  <c:v>26.464559982077326</c:v>
                </c:pt>
                <c:pt idx="233">
                  <c:v>26.452400932235346</c:v>
                </c:pt>
                <c:pt idx="234">
                  <c:v>26.440206055961191</c:v>
                </c:pt>
                <c:pt idx="235">
                  <c:v>26.427975738866671</c:v>
                </c:pt>
                <c:pt idx="236">
                  <c:v>26.415710365357135</c:v>
                </c:pt>
                <c:pt idx="237">
                  <c:v>26.403160396200867</c:v>
                </c:pt>
                <c:pt idx="238">
                  <c:v>26.390574738083323</c:v>
                </c:pt>
                <c:pt idx="239">
                  <c:v>26.377953795187409</c:v>
                </c:pt>
                <c:pt idx="240">
                  <c:v>26.365297970246914</c:v>
                </c:pt>
                <c:pt idx="241">
                  <c:v>26.352282747935035</c:v>
                </c:pt>
                <c:pt idx="242">
                  <c:v>26.339231690228829</c:v>
                </c:pt>
                <c:pt idx="243">
                  <c:v>26.326145226587599</c:v>
                </c:pt>
                <c:pt idx="244">
                  <c:v>26.313023784727342</c:v>
                </c:pt>
                <c:pt idx="245">
                  <c:v>26.299575856918146</c:v>
                </c:pt>
                <c:pt idx="246">
                  <c:v>26.286092281389667</c:v>
                </c:pt>
                <c:pt idx="247">
                  <c:v>26.272573509073457</c:v>
                </c:pt>
                <c:pt idx="248">
                  <c:v>26.259019988862132</c:v>
                </c:pt>
                <c:pt idx="249">
                  <c:v>26.245100332547963</c:v>
                </c:pt>
                <c:pt idx="250">
                  <c:v>26.231145159558984</c:v>
                </c:pt>
                <c:pt idx="251">
                  <c:v>26.217154945584994</c:v>
                </c:pt>
                <c:pt idx="252">
                  <c:v>26.203130163939171</c:v>
                </c:pt>
                <c:pt idx="253">
                  <c:v>26.188773378094208</c:v>
                </c:pt>
                <c:pt idx="254">
                  <c:v>26.174381535774675</c:v>
                </c:pt>
                <c:pt idx="255">
                  <c:v>26.159955133123351</c:v>
                </c:pt>
                <c:pt idx="256">
                  <c:v>26.145494663574965</c:v>
                </c:pt>
                <c:pt idx="257">
                  <c:v>26.13062468260766</c:v>
                </c:pt>
                <c:pt idx="258">
                  <c:v>26.115719890005508</c:v>
                </c:pt>
                <c:pt idx="259">
                  <c:v>26.100780809489926</c:v>
                </c:pt>
                <c:pt idx="260">
                  <c:v>26.085807961665743</c:v>
                </c:pt>
                <c:pt idx="261">
                  <c:v>26.070460433930464</c:v>
                </c:pt>
                <c:pt idx="262">
                  <c:v>26.055078677929401</c:v>
                </c:pt>
                <c:pt idx="263">
                  <c:v>26.039663240295525</c:v>
                </c:pt>
                <c:pt idx="264">
                  <c:v>26.0242146641456</c:v>
                </c:pt>
                <c:pt idx="265">
                  <c:v>26.008389096794716</c:v>
                </c:pt>
                <c:pt idx="266">
                  <c:v>25.9925300380587</c:v>
                </c:pt>
                <c:pt idx="267">
                  <c:v>25.976638056533506</c:v>
                </c:pt>
                <c:pt idx="268">
                  <c:v>25.960713716882019</c:v>
                </c:pt>
                <c:pt idx="269">
                  <c:v>25.944371777226898</c:v>
                </c:pt>
                <c:pt idx="270">
                  <c:v>25.927997083491551</c:v>
                </c:pt>
                <c:pt idx="271">
                  <c:v>25.911590229299591</c:v>
                </c:pt>
                <c:pt idx="272">
                  <c:v>25.895151803868309</c:v>
                </c:pt>
                <c:pt idx="273">
                  <c:v>25.878293593176931</c:v>
                </c:pt>
                <c:pt idx="274">
                  <c:v>25.861403539502071</c:v>
                </c:pt>
                <c:pt idx="275">
                  <c:v>25.844482260298495</c:v>
                </c:pt>
                <c:pt idx="276">
                  <c:v>25.827530368122069</c:v>
                </c:pt>
                <c:pt idx="277">
                  <c:v>25.810195998191826</c:v>
                </c:pt>
                <c:pt idx="278">
                  <c:v>25.792831006502126</c:v>
                </c:pt>
                <c:pt idx="279">
                  <c:v>25.775436028651701</c:v>
                </c:pt>
                <c:pt idx="280">
                  <c:v>25.758011694880153</c:v>
                </c:pt>
                <c:pt idx="281">
                  <c:v>25.740085466972143</c:v>
                </c:pt>
                <c:pt idx="282">
                  <c:v>25.722129601518851</c:v>
                </c:pt>
                <c:pt idx="283">
                  <c:v>25.704144763685079</c:v>
                </c:pt>
                <c:pt idx="284">
                  <c:v>25.686131612653838</c:v>
                </c:pt>
                <c:pt idx="285">
                  <c:v>25.667733675852187</c:v>
                </c:pt>
                <c:pt idx="286">
                  <c:v>25.649307660298064</c:v>
                </c:pt>
                <c:pt idx="287">
                  <c:v>25.63085424585498</c:v>
                </c:pt>
                <c:pt idx="288">
                  <c:v>25.612374105926278</c:v>
                </c:pt>
                <c:pt idx="289">
                  <c:v>25.593388959133083</c:v>
                </c:pt>
                <c:pt idx="290">
                  <c:v>25.574377101486924</c:v>
                </c:pt>
                <c:pt idx="291">
                  <c:v>25.555339238857243</c:v>
                </c:pt>
                <c:pt idx="292">
                  <c:v>25.536276069998621</c:v>
                </c:pt>
                <c:pt idx="293">
                  <c:v>25.516746896812819</c:v>
                </c:pt>
                <c:pt idx="294">
                  <c:v>25.497192691277032</c:v>
                </c:pt>
                <c:pt idx="295">
                  <c:v>25.477614178695976</c:v>
                </c:pt>
                <c:pt idx="296">
                  <c:v>25.458012076653389</c:v>
                </c:pt>
                <c:pt idx="297">
                  <c:v>25.437943561548554</c:v>
                </c:pt>
                <c:pt idx="298">
                  <c:v>25.417851872377298</c:v>
                </c:pt>
                <c:pt idx="299">
                  <c:v>25.397737751565828</c:v>
                </c:pt>
                <c:pt idx="300">
                  <c:v>25.377601933210983</c:v>
                </c:pt>
                <c:pt idx="301">
                  <c:v>25.356999681552818</c:v>
                </c:pt>
                <c:pt idx="302">
                  <c:v>25.336376287471868</c:v>
                </c:pt>
                <c:pt idx="303">
                  <c:v>25.315732508038554</c:v>
                </c:pt>
                <c:pt idx="304">
                  <c:v>25.295069091388534</c:v>
                </c:pt>
                <c:pt idx="305">
                  <c:v>25.273858303746039</c:v>
                </c:pt>
                <c:pt idx="306">
                  <c:v>25.252628428126485</c:v>
                </c:pt>
                <c:pt idx="307">
                  <c:v>25.231380242478441</c:v>
                </c:pt>
                <c:pt idx="308">
                  <c:v>25.210114515071581</c:v>
                </c:pt>
                <c:pt idx="309">
                  <c:v>25.188383347416092</c:v>
                </c:pt>
                <c:pt idx="310">
                  <c:v>25.16663547916011</c:v>
                </c:pt>
                <c:pt idx="311">
                  <c:v>25.144871697304573</c:v>
                </c:pt>
                <c:pt idx="312">
                  <c:v>25.123092778583519</c:v>
                </c:pt>
                <c:pt idx="313">
                  <c:v>25.100767772771484</c:v>
                </c:pt>
                <c:pt idx="314">
                  <c:v>25.078428500025684</c:v>
                </c:pt>
                <c:pt idx="315">
                  <c:v>25.056075762251616</c:v>
                </c:pt>
                <c:pt idx="316">
                  <c:v>25.03371035036022</c:v>
                </c:pt>
                <c:pt idx="317">
                  <c:v>25.010800112727658</c:v>
                </c:pt>
                <c:pt idx="318">
                  <c:v>24.987878233092722</c:v>
                </c:pt>
                <c:pt idx="319">
                  <c:v>24.964945524943943</c:v>
                </c:pt>
                <c:pt idx="320">
                  <c:v>24.942002790063256</c:v>
                </c:pt>
                <c:pt idx="321">
                  <c:v>24.918516948216904</c:v>
                </c:pt>
                <c:pt idx="322">
                  <c:v>24.895022269279412</c:v>
                </c:pt>
                <c:pt idx="323">
                  <c:v>24.871519574860862</c:v>
                </c:pt>
                <c:pt idx="324">
                  <c:v>24.848009674175753</c:v>
                </c:pt>
                <c:pt idx="325">
                  <c:v>24.823958834248959</c:v>
                </c:pt>
                <c:pt idx="326">
                  <c:v>24.799902129644934</c:v>
                </c:pt>
                <c:pt idx="327">
                  <c:v>24.77584038652968</c:v>
                </c:pt>
                <c:pt idx="328">
                  <c:v>24.751774418014843</c:v>
                </c:pt>
                <c:pt idx="329">
                  <c:v>24.727128969176697</c:v>
                </c:pt>
                <c:pt idx="330">
                  <c:v>24.70248077429439</c:v>
                </c:pt>
                <c:pt idx="331">
                  <c:v>24.677830664578309</c:v>
                </c:pt>
                <c:pt idx="332">
                  <c:v>24.653179457471673</c:v>
                </c:pt>
                <c:pt idx="333">
                  <c:v>24.627992951946773</c:v>
                </c:pt>
                <c:pt idx="334">
                  <c:v>24.602806982708092</c:v>
                </c:pt>
                <c:pt idx="335">
                  <c:v>24.577622378028089</c:v>
                </c:pt>
                <c:pt idx="336">
                  <c:v>24.552439951833435</c:v>
                </c:pt>
                <c:pt idx="337">
                  <c:v>24.526643404617332</c:v>
                </c:pt>
                <c:pt idx="338">
                  <c:v>24.500850828106813</c:v>
                </c:pt>
                <c:pt idx="339">
                  <c:v>24.47506305180362</c:v>
                </c:pt>
                <c:pt idx="340">
                  <c:v>24.449280890145172</c:v>
                </c:pt>
                <c:pt idx="341">
                  <c:v>24.422888583090653</c:v>
                </c:pt>
                <c:pt idx="342">
                  <c:v>24.396503843120758</c:v>
                </c:pt>
                <c:pt idx="343">
                  <c:v>24.370127496667841</c:v>
                </c:pt>
                <c:pt idx="344">
                  <c:v>24.343760354433883</c:v>
                </c:pt>
                <c:pt idx="345">
                  <c:v>24.316828562532443</c:v>
                </c:pt>
                <c:pt idx="346">
                  <c:v>24.289908042664742</c:v>
                </c:pt>
                <c:pt idx="347">
                  <c:v>24.262999610192736</c:v>
                </c:pt>
                <c:pt idx="348">
                  <c:v>24.236104064240692</c:v>
                </c:pt>
                <c:pt idx="349">
                  <c:v>24.20856670967202</c:v>
                </c:pt>
                <c:pt idx="350">
                  <c:v>24.181044524264458</c:v>
                </c:pt>
                <c:pt idx="351">
                  <c:v>24.153538315541955</c:v>
                </c:pt>
                <c:pt idx="352">
                  <c:v>24.126048874152033</c:v>
                </c:pt>
                <c:pt idx="353">
                  <c:v>24.097923101317519</c:v>
                </c:pt>
                <c:pt idx="354">
                  <c:v>24.069816527867339</c:v>
                </c:pt>
                <c:pt idx="355">
                  <c:v>24.04172994893699</c:v>
                </c:pt>
                <c:pt idx="356">
                  <c:v>24.013664142219355</c:v>
                </c:pt>
                <c:pt idx="357">
                  <c:v>23.985008683307822</c:v>
                </c:pt>
                <c:pt idx="358">
                  <c:v>23.956376499366002</c:v>
                </c:pt>
                <c:pt idx="359">
                  <c:v>23.927768365405825</c:v>
                </c:pt>
                <c:pt idx="360">
                  <c:v>23.899185038610607</c:v>
                </c:pt>
                <c:pt idx="361">
                  <c:v>23.869936994626272</c:v>
                </c:pt>
                <c:pt idx="362">
                  <c:v>23.840716523735217</c:v>
                </c:pt>
                <c:pt idx="363">
                  <c:v>23.811524383150335</c:v>
                </c:pt>
                <c:pt idx="364">
                  <c:v>23.782361311751163</c:v>
                </c:pt>
                <c:pt idx="365">
                  <c:v>23.752580967920135</c:v>
                </c:pt>
                <c:pt idx="366">
                  <c:v>23.722832503658896</c:v>
                </c:pt>
                <c:pt idx="367">
                  <c:v>23.693116650858187</c:v>
                </c:pt>
                <c:pt idx="368">
                  <c:v>23.663434122762261</c:v>
                </c:pt>
                <c:pt idx="369">
                  <c:v>23.633060946848083</c:v>
                </c:pt>
                <c:pt idx="370">
                  <c:v>23.602724202463847</c:v>
                </c:pt>
                <c:pt idx="371">
                  <c:v>23.572424597794157</c:v>
                </c:pt>
                <c:pt idx="372">
                  <c:v>23.542162821956381</c:v>
                </c:pt>
                <c:pt idx="373">
                  <c:v>23.511258567597473</c:v>
                </c:pt>
                <c:pt idx="374">
                  <c:v>23.48039526496666</c:v>
                </c:pt>
                <c:pt idx="375">
                  <c:v>23.449573591339462</c:v>
                </c:pt>
                <c:pt idx="376">
                  <c:v>23.418794204704724</c:v>
                </c:pt>
                <c:pt idx="377">
                  <c:v>23.387300842980608</c:v>
                </c:pt>
                <c:pt idx="378">
                  <c:v>23.355853216327517</c:v>
                </c:pt>
                <c:pt idx="379">
                  <c:v>23.324451972060718</c:v>
                </c:pt>
                <c:pt idx="380">
                  <c:v>23.293097737894243</c:v>
                </c:pt>
                <c:pt idx="381">
                  <c:v>23.261117963459231</c:v>
                </c:pt>
                <c:pt idx="382">
                  <c:v>23.229188507428571</c:v>
                </c:pt>
                <c:pt idx="383">
                  <c:v>23.197309978163908</c:v>
                </c:pt>
                <c:pt idx="384">
                  <c:v>23.165482964416025</c:v>
                </c:pt>
                <c:pt idx="385">
                  <c:v>23.132921219172673</c:v>
                </c:pt>
                <c:pt idx="386">
                  <c:v>23.100414765088445</c:v>
                </c:pt>
                <c:pt idx="387">
                  <c:v>23.067964174421117</c:v>
                </c:pt>
                <c:pt idx="388">
                  <c:v>23.035569999626379</c:v>
                </c:pt>
                <c:pt idx="389">
                  <c:v>23.002490512074804</c:v>
                </c:pt>
                <c:pt idx="390">
                  <c:v>22.969471170435245</c:v>
                </c:pt>
                <c:pt idx="391">
                  <c:v>22.936512504659099</c:v>
                </c:pt>
                <c:pt idx="392">
                  <c:v>22.903615024916419</c:v>
                </c:pt>
                <c:pt idx="393">
                  <c:v>22.870042486778068</c:v>
                </c:pt>
                <c:pt idx="394">
                  <c:v>22.836534931186272</c:v>
                </c:pt>
                <c:pt idx="395">
                  <c:v>22.803092842283451</c:v>
                </c:pt>
                <c:pt idx="396">
                  <c:v>22.769716684563789</c:v>
                </c:pt>
                <c:pt idx="397">
                  <c:v>22.735599055481703</c:v>
                </c:pt>
                <c:pt idx="398">
                  <c:v>22.701551523052423</c:v>
                </c:pt>
                <c:pt idx="399">
                  <c:v>22.66757452539721</c:v>
                </c:pt>
                <c:pt idx="400">
                  <c:v>22.633668481057537</c:v>
                </c:pt>
                <c:pt idx="401">
                  <c:v>22.599070853210421</c:v>
                </c:pt>
                <c:pt idx="402">
                  <c:v>22.564548242764289</c:v>
                </c:pt>
                <c:pt idx="403">
                  <c:v>22.530101036903982</c:v>
                </c:pt>
                <c:pt idx="404">
                  <c:v>22.495729603509528</c:v>
                </c:pt>
                <c:pt idx="405">
                  <c:v>22.46064027254463</c:v>
                </c:pt>
                <c:pt idx="406">
                  <c:v>22.425630986844766</c:v>
                </c:pt>
                <c:pt idx="407">
                  <c:v>22.390702080967632</c:v>
                </c:pt>
                <c:pt idx="408">
                  <c:v>22.355853870470163</c:v>
                </c:pt>
                <c:pt idx="409">
                  <c:v>22.320262526658997</c:v>
                </c:pt>
                <c:pt idx="410">
                  <c:v>22.284756364353392</c:v>
                </c:pt>
                <c:pt idx="411">
                  <c:v>22.249335663564661</c:v>
                </c:pt>
                <c:pt idx="412">
                  <c:v>22.214000685643406</c:v>
                </c:pt>
                <c:pt idx="413">
                  <c:v>22.177935542122427</c:v>
                </c:pt>
                <c:pt idx="414">
                  <c:v>22.14196063803324</c:v>
                </c:pt>
                <c:pt idx="415">
                  <c:v>22.106076196062453</c:v>
                </c:pt>
                <c:pt idx="416">
                  <c:v>22.070282420692841</c:v>
                </c:pt>
                <c:pt idx="417">
                  <c:v>22.033734909383714</c:v>
                </c:pt>
                <c:pt idx="418">
                  <c:v>21.997282788263746</c:v>
                </c:pt>
                <c:pt idx="419">
                  <c:v>21.960926220866849</c:v>
                </c:pt>
                <c:pt idx="420">
                  <c:v>21.924665353019943</c:v>
                </c:pt>
                <c:pt idx="421">
                  <c:v>21.887700964740212</c:v>
                </c:pt>
                <c:pt idx="422">
                  <c:v>21.850836812877684</c:v>
                </c:pt>
                <c:pt idx="423">
                  <c:v>21.814072999279198</c:v>
                </c:pt>
                <c:pt idx="424">
                  <c:v>21.777409608759811</c:v>
                </c:pt>
                <c:pt idx="425">
                  <c:v>21.739948299270289</c:v>
                </c:pt>
                <c:pt idx="426">
                  <c:v>21.70259254352397</c:v>
                </c:pt>
                <c:pt idx="427">
                  <c:v>21.665342380628793</c:v>
                </c:pt>
                <c:pt idx="428">
                  <c:v>21.628197833243501</c:v>
                </c:pt>
                <c:pt idx="429">
                  <c:v>21.590306230358443</c:v>
                </c:pt>
                <c:pt idx="430">
                  <c:v>21.552525166605001</c:v>
                </c:pt>
                <c:pt idx="431">
                  <c:v>21.514854616322062</c:v>
                </c:pt>
                <c:pt idx="432">
                  <c:v>21.477294538155014</c:v>
                </c:pt>
                <c:pt idx="433">
                  <c:v>21.439002211175922</c:v>
                </c:pt>
                <c:pt idx="434">
                  <c:v>21.400825256101108</c:v>
                </c:pt>
                <c:pt idx="435">
                  <c:v>21.362763581324678</c:v>
                </c:pt>
                <c:pt idx="436">
                  <c:v>21.324817080397661</c:v>
                </c:pt>
                <c:pt idx="437">
                  <c:v>21.286083807573327</c:v>
                </c:pt>
                <c:pt idx="438">
                  <c:v>21.247471002624287</c:v>
                </c:pt>
                <c:pt idx="439">
                  <c:v>21.208978506425922</c:v>
                </c:pt>
                <c:pt idx="440">
                  <c:v>21.170606145846541</c:v>
                </c:pt>
                <c:pt idx="441">
                  <c:v>21.131463179340876</c:v>
                </c:pt>
                <c:pt idx="442">
                  <c:v>21.092445607071831</c:v>
                </c:pt>
                <c:pt idx="443">
                  <c:v>21.053553201425661</c:v>
                </c:pt>
                <c:pt idx="444">
                  <c:v>21.014785721711743</c:v>
                </c:pt>
                <c:pt idx="445">
                  <c:v>20.975263810700678</c:v>
                </c:pt>
                <c:pt idx="446">
                  <c:v>20.935872034961875</c:v>
                </c:pt>
                <c:pt idx="447">
                  <c:v>20.896610097937099</c:v>
                </c:pt>
                <c:pt idx="448">
                  <c:v>20.857477691003837</c:v>
                </c:pt>
                <c:pt idx="449">
                  <c:v>20.817540269187941</c:v>
                </c:pt>
                <c:pt idx="450">
                  <c:v>20.777737976186927</c:v>
                </c:pt>
                <c:pt idx="451">
                  <c:v>20.738070444663109</c:v>
                </c:pt>
                <c:pt idx="452">
                  <c:v>20.69853729622519</c:v>
                </c:pt>
                <c:pt idx="453">
                  <c:v>20.658249496698915</c:v>
                </c:pt>
                <c:pt idx="454">
                  <c:v>20.618101387904883</c:v>
                </c:pt>
                <c:pt idx="455">
                  <c:v>20.578092532643019</c:v>
                </c:pt>
                <c:pt idx="456">
                  <c:v>20.538222483780796</c:v>
                </c:pt>
                <c:pt idx="457">
                  <c:v>20.497549565248832</c:v>
                </c:pt>
                <c:pt idx="458">
                  <c:v>20.457021141388193</c:v>
                </c:pt>
                <c:pt idx="459">
                  <c:v>20.416636703322474</c:v>
                </c:pt>
                <c:pt idx="460">
                  <c:v>20.376395733364774</c:v>
                </c:pt>
                <c:pt idx="461">
                  <c:v>20.335369865834785</c:v>
                </c:pt>
                <c:pt idx="462">
                  <c:v>20.294493072432815</c:v>
                </c:pt>
                <c:pt idx="463">
                  <c:v>20.253764773088022</c:v>
                </c:pt>
                <c:pt idx="464">
                  <c:v>20.213184380103954</c:v>
                </c:pt>
                <c:pt idx="465">
                  <c:v>20.171805410191666</c:v>
                </c:pt>
                <c:pt idx="466">
                  <c:v>20.130580092964152</c:v>
                </c:pt>
                <c:pt idx="467">
                  <c:v>20.089507776604904</c:v>
                </c:pt>
                <c:pt idx="468">
                  <c:v>20.048587802887493</c:v>
                </c:pt>
                <c:pt idx="469">
                  <c:v>20.006887653811852</c:v>
                </c:pt>
                <c:pt idx="470">
                  <c:v>19.965345492964182</c:v>
                </c:pt>
                <c:pt idx="471">
                  <c:v>19.923960597896887</c:v>
                </c:pt>
                <c:pt idx="472">
                  <c:v>19.88273224101431</c:v>
                </c:pt>
                <c:pt idx="473">
                  <c:v>19.840680751688147</c:v>
                </c:pt>
                <c:pt idx="474">
                  <c:v>19.798791807815672</c:v>
                </c:pt>
                <c:pt idx="475">
                  <c:v>19.757064614375761</c:v>
                </c:pt>
                <c:pt idx="476">
                  <c:v>19.715498372472577</c:v>
                </c:pt>
                <c:pt idx="477">
                  <c:v>19.673128444680231</c:v>
                </c:pt>
                <c:pt idx="478">
                  <c:v>19.630925360518969</c:v>
                </c:pt>
                <c:pt idx="479">
                  <c:v>19.588888253863988</c:v>
                </c:pt>
                <c:pt idx="480">
                  <c:v>19.547016256027142</c:v>
                </c:pt>
                <c:pt idx="481">
                  <c:v>19.504359799385234</c:v>
                </c:pt>
                <c:pt idx="482">
                  <c:v>19.461874218884972</c:v>
                </c:pt>
                <c:pt idx="483">
                  <c:v>19.419558579180098</c:v>
                </c:pt>
                <c:pt idx="484">
                  <c:v>19.377411943696895</c:v>
                </c:pt>
                <c:pt idx="485">
                  <c:v>19.334470654506191</c:v>
                </c:pt>
                <c:pt idx="486">
                  <c:v>19.29170424121704</c:v>
                </c:pt>
                <c:pt idx="487">
                  <c:v>19.249111699460148</c:v>
                </c:pt>
                <c:pt idx="488">
                  <c:v>19.206692024987014</c:v>
                </c:pt>
                <c:pt idx="489">
                  <c:v>19.163439716896512</c:v>
                </c:pt>
                <c:pt idx="490">
                  <c:v>19.120366482958133</c:v>
                </c:pt>
                <c:pt idx="491">
                  <c:v>19.07747124789811</c:v>
                </c:pt>
                <c:pt idx="492">
                  <c:v>19.034752937927863</c:v>
                </c:pt>
                <c:pt idx="493">
                  <c:v>18.991222548947071</c:v>
                </c:pt>
                <c:pt idx="494">
                  <c:v>18.947875146596111</c:v>
                </c:pt>
                <c:pt idx="495">
                  <c:v>18.904709587097326</c:v>
                </c:pt>
                <c:pt idx="496">
                  <c:v>18.861724729533083</c:v>
                </c:pt>
                <c:pt idx="497">
                  <c:v>18.817920282830936</c:v>
                </c:pt>
                <c:pt idx="498">
                  <c:v>18.774302683369459</c:v>
                </c:pt>
                <c:pt idx="499">
                  <c:v>18.730870719299464</c:v>
                </c:pt>
                <c:pt idx="500">
                  <c:v>18.687623183015429</c:v>
                </c:pt>
                <c:pt idx="501">
                  <c:v>18.643549394848208</c:v>
                </c:pt>
                <c:pt idx="502">
                  <c:v>18.599666256328725</c:v>
                </c:pt>
                <c:pt idx="503">
                  <c:v>18.555972488061261</c:v>
                </c:pt>
                <c:pt idx="504">
                  <c:v>18.512466816284523</c:v>
                </c:pt>
                <c:pt idx="505">
                  <c:v>18.468155865352806</c:v>
                </c:pt>
                <c:pt idx="506">
                  <c:v>18.424039067246248</c:v>
                </c:pt>
                <c:pt idx="507">
                  <c:v>18.380115078087229</c:v>
                </c:pt>
                <c:pt idx="508">
                  <c:v>18.336382561011085</c:v>
                </c:pt>
                <c:pt idx="509">
                  <c:v>18.291839014945843</c:v>
                </c:pt>
                <c:pt idx="510">
                  <c:v>18.247493059915914</c:v>
                </c:pt>
                <c:pt idx="511">
                  <c:v>18.203343288388499</c:v>
                </c:pt>
                <c:pt idx="512">
                  <c:v>18.159388301218794</c:v>
                </c:pt>
                <c:pt idx="513">
                  <c:v>18.114591424293604</c:v>
                </c:pt>
                <c:pt idx="514">
                  <c:v>18.069995738408117</c:v>
                </c:pt>
                <c:pt idx="515">
                  <c:v>18.025599770735905</c:v>
                </c:pt>
                <c:pt idx="516">
                  <c:v>17.981402058230994</c:v>
                </c:pt>
                <c:pt idx="517">
                  <c:v>17.936384338728445</c:v>
                </c:pt>
                <c:pt idx="518">
                  <c:v>17.891571097686871</c:v>
                </c:pt>
                <c:pt idx="519">
                  <c:v>17.84696080051096</c:v>
                </c:pt>
                <c:pt idx="520">
                  <c:v>17.802551923750837</c:v>
                </c:pt>
                <c:pt idx="521">
                  <c:v>17.757319528030546</c:v>
                </c:pt>
                <c:pt idx="522">
                  <c:v>17.71229481746974</c:v>
                </c:pt>
                <c:pt idx="523">
                  <c:v>17.667476196800777</c:v>
                </c:pt>
                <c:pt idx="524">
                  <c:v>17.622862083256418</c:v>
                </c:pt>
                <c:pt idx="525">
                  <c:v>17.577421630419366</c:v>
                </c:pt>
                <c:pt idx="526">
                  <c:v>17.532191983957624</c:v>
                </c:pt>
                <c:pt idx="527">
                  <c:v>17.487171489117394</c:v>
                </c:pt>
                <c:pt idx="528">
                  <c:v>17.442358504987805</c:v>
                </c:pt>
                <c:pt idx="529">
                  <c:v>17.39671702617677</c:v>
                </c:pt>
                <c:pt idx="530">
                  <c:v>17.351289384963135</c:v>
                </c:pt>
                <c:pt idx="531">
                  <c:v>17.306073868382459</c:v>
                </c:pt>
                <c:pt idx="532">
                  <c:v>17.26106877864089</c:v>
                </c:pt>
                <c:pt idx="533">
                  <c:v>17.215210070110668</c:v>
                </c:pt>
                <c:pt idx="534">
                  <c:v>17.16956835913863</c:v>
                </c:pt>
                <c:pt idx="535">
                  <c:v>17.124141873183579</c:v>
                </c:pt>
                <c:pt idx="536">
                  <c:v>17.07892885621909</c:v>
                </c:pt>
                <c:pt idx="537">
                  <c:v>17.032908312200657</c:v>
                </c:pt>
                <c:pt idx="538">
                  <c:v>16.987107377911872</c:v>
                </c:pt>
                <c:pt idx="539">
                  <c:v>16.941524228179293</c:v>
                </c:pt>
                <c:pt idx="540">
                  <c:v>16.896157055600348</c:v>
                </c:pt>
                <c:pt idx="541">
                  <c:v>16.84993592395055</c:v>
                </c:pt>
                <c:pt idx="542">
                  <c:v>16.803937357480795</c:v>
                </c:pt>
                <c:pt idx="543">
                  <c:v>16.758159474386314</c:v>
                </c:pt>
                <c:pt idx="544">
                  <c:v>16.712600411938332</c:v>
                </c:pt>
                <c:pt idx="545">
                  <c:v>16.666210573465946</c:v>
                </c:pt>
                <c:pt idx="546">
                  <c:v>16.620045926013113</c:v>
                </c:pt>
                <c:pt idx="547">
                  <c:v>16.574104535547988</c:v>
                </c:pt>
                <c:pt idx="548">
                  <c:v>16.528384488358533</c:v>
                </c:pt>
                <c:pt idx="549">
                  <c:v>16.481834434624304</c:v>
                </c:pt>
                <c:pt idx="550">
                  <c:v>16.435512089683684</c:v>
                </c:pt>
                <c:pt idx="551">
                  <c:v>16.389415468968597</c:v>
                </c:pt>
                <c:pt idx="552">
                  <c:v>16.343542609446899</c:v>
                </c:pt>
                <c:pt idx="553">
                  <c:v>16.296819578277699</c:v>
                </c:pt>
                <c:pt idx="554">
                  <c:v>16.250326873976235</c:v>
                </c:pt>
                <c:pt idx="555">
                  <c:v>16.204062460404224</c:v>
                </c:pt>
                <c:pt idx="556">
                  <c:v>16.158024324186997</c:v>
                </c:pt>
                <c:pt idx="557">
                  <c:v>16.064485301032651</c:v>
                </c:pt>
                <c:pt idx="558">
                  <c:v>15.971869250763138</c:v>
                </c:pt>
                <c:pt idx="559">
                  <c:v>15.878068168362544</c:v>
                </c:pt>
                <c:pt idx="560">
                  <c:v>15.785198546870514</c:v>
                </c:pt>
                <c:pt idx="561">
                  <c:v>15.691072905785655</c:v>
                </c:pt>
                <c:pt idx="562">
                  <c:v>15.597888356882436</c:v>
                </c:pt>
                <c:pt idx="563">
                  <c:v>15.503657939351198</c:v>
                </c:pt>
                <c:pt idx="564">
                  <c:v>15.410373766506089</c:v>
                </c:pt>
                <c:pt idx="565">
                  <c:v>15.315702035560117</c:v>
                </c:pt>
                <c:pt idx="566">
                  <c:v>15.221988344325116</c:v>
                </c:pt>
                <c:pt idx="567">
                  <c:v>15.126945271219331</c:v>
                </c:pt>
                <c:pt idx="568">
                  <c:v>15.032870579096398</c:v>
                </c:pt>
                <c:pt idx="569">
                  <c:v>14.937893154377797</c:v>
                </c:pt>
                <c:pt idx="570">
                  <c:v>14.843885494406097</c:v>
                </c:pt>
                <c:pt idx="571">
                  <c:v>14.748288032601804</c:v>
                </c:pt>
                <c:pt idx="572">
                  <c:v>14.653675599912109</c:v>
                </c:pt>
                <c:pt idx="573">
                  <c:v>14.558251474116215</c:v>
                </c:pt>
                <c:pt idx="574">
                  <c:v>14.463811326049488</c:v>
                </c:pt>
                <c:pt idx="575">
                  <c:v>14.367898399706</c:v>
                </c:pt>
                <c:pt idx="576">
                  <c:v>14.272981914450886</c:v>
                </c:pt>
                <c:pt idx="577">
                  <c:v>13.881748603809292</c:v>
                </c:pt>
                <c:pt idx="578">
                  <c:v>13.506670097465713</c:v>
                </c:pt>
                <c:pt idx="579">
                  <c:v>12.735421002427483</c:v>
                </c:pt>
                <c:pt idx="580">
                  <c:v>11.958787878973725</c:v>
                </c:pt>
                <c:pt idx="581">
                  <c:v>11.178585021162444</c:v>
                </c:pt>
                <c:pt idx="582">
                  <c:v>10.394907041408025</c:v>
                </c:pt>
                <c:pt idx="583">
                  <c:v>9.6088404172948305</c:v>
                </c:pt>
                <c:pt idx="584">
                  <c:v>8.8202249100728753</c:v>
                </c:pt>
                <c:pt idx="585">
                  <c:v>8.0298794785437568</c:v>
                </c:pt>
                <c:pt idx="586">
                  <c:v>7.2379999635880621</c:v>
                </c:pt>
                <c:pt idx="587">
                  <c:v>6.4444247844463467</c:v>
                </c:pt>
                <c:pt idx="588">
                  <c:v>5.6501327626982984</c:v>
                </c:pt>
                <c:pt idx="589">
                  <c:v>4.8546713866264151</c:v>
                </c:pt>
                <c:pt idx="590">
                  <c:v>4.0584978349485175</c:v>
                </c:pt>
                <c:pt idx="591">
                  <c:v>3.261674580969645</c:v>
                </c:pt>
                <c:pt idx="592">
                  <c:v>2.4644205832334021</c:v>
                </c:pt>
                <c:pt idx="593">
                  <c:v>1.6665921369347068</c:v>
                </c:pt>
                <c:pt idx="594">
                  <c:v>0.86847646635883469</c:v>
                </c:pt>
                <c:pt idx="595">
                  <c:v>6.9974741804486262E-2</c:v>
                </c:pt>
                <c:pt idx="596">
                  <c:v>-0.72870040126186808</c:v>
                </c:pt>
                <c:pt idx="597">
                  <c:v>-1.5276785298378401</c:v>
                </c:pt>
                <c:pt idx="598">
                  <c:v>-2.3267281108200768</c:v>
                </c:pt>
                <c:pt idx="599">
                  <c:v>-3.1260245933305586</c:v>
                </c:pt>
                <c:pt idx="600">
                  <c:v>-3.9254212464232618</c:v>
                </c:pt>
              </c:numCache>
            </c:numRef>
          </c:yVal>
          <c:smooth val="0"/>
          <c:extLst>
            <c:ext xmlns:c16="http://schemas.microsoft.com/office/drawing/2014/chart" uri="{C3380CC4-5D6E-409C-BE32-E72D297353CC}">
              <c16:uniqueId val="{00000000-C943-44AE-BE69-B37F145E1EAF}"/>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Calculations'!$AE$13:$AE$613</c:f>
              <c:numCache>
                <c:formatCode>0.00</c:formatCode>
                <c:ptCount val="601"/>
                <c:pt idx="0">
                  <c:v>-86.820662550233806</c:v>
                </c:pt>
                <c:pt idx="1">
                  <c:v>-87.073729941558327</c:v>
                </c:pt>
                <c:pt idx="2">
                  <c:v>-87.302068723813392</c:v>
                </c:pt>
                <c:pt idx="3">
                  <c:v>-87.507597990971163</c:v>
                </c:pt>
                <c:pt idx="4">
                  <c:v>-87.691932154899106</c:v>
                </c:pt>
                <c:pt idx="5">
                  <c:v>-87.856918799921402</c:v>
                </c:pt>
                <c:pt idx="6">
                  <c:v>-88.00369428317785</c:v>
                </c:pt>
                <c:pt idx="7">
                  <c:v>-88.133596195310801</c:v>
                </c:pt>
                <c:pt idx="8">
                  <c:v>-88.247629088423409</c:v>
                </c:pt>
                <c:pt idx="9">
                  <c:v>-88.346844653217772</c:v>
                </c:pt>
                <c:pt idx="10">
                  <c:v>-88.432021363394924</c:v>
                </c:pt>
                <c:pt idx="11">
                  <c:v>-88.503897536870923</c:v>
                </c:pt>
                <c:pt idx="12">
                  <c:v>-88.563111682359619</c:v>
                </c:pt>
                <c:pt idx="13">
                  <c:v>-88.610108280897478</c:v>
                </c:pt>
                <c:pt idx="14">
                  <c:v>-88.64532611519077</c:v>
                </c:pt>
                <c:pt idx="15">
                  <c:v>-88.669045596069097</c:v>
                </c:pt>
                <c:pt idx="16">
                  <c:v>-88.681470593461356</c:v>
                </c:pt>
                <c:pt idx="17">
                  <c:v>-88.682706620282332</c:v>
                </c:pt>
                <c:pt idx="18">
                  <c:v>-88.672764050487885</c:v>
                </c:pt>
                <c:pt idx="19">
                  <c:v>-88.651560532718435</c:v>
                </c:pt>
                <c:pt idx="20">
                  <c:v>-88.618912582375771</c:v>
                </c:pt>
                <c:pt idx="21">
                  <c:v>-88.57455085222837</c:v>
                </c:pt>
                <c:pt idx="22">
                  <c:v>-88.518090510255774</c:v>
                </c:pt>
                <c:pt idx="23">
                  <c:v>-88.449068658413623</c:v>
                </c:pt>
                <c:pt idx="24">
                  <c:v>-88.3668845774056</c:v>
                </c:pt>
                <c:pt idx="25">
                  <c:v>-88.270855048974511</c:v>
                </c:pt>
                <c:pt idx="26">
                  <c:v>-88.160143295913315</c:v>
                </c:pt>
                <c:pt idx="27">
                  <c:v>-88.033848904983472</c:v>
                </c:pt>
                <c:pt idx="28">
                  <c:v>-87.89090752380497</c:v>
                </c:pt>
                <c:pt idx="29">
                  <c:v>-87.730226337969299</c:v>
                </c:pt>
                <c:pt idx="30">
                  <c:v>-87.550175405917926</c:v>
                </c:pt>
                <c:pt idx="31">
                  <c:v>-87.349481099095726</c:v>
                </c:pt>
                <c:pt idx="32">
                  <c:v>-87.126332841020243</c:v>
                </c:pt>
                <c:pt idx="33">
                  <c:v>-86.879036321440765</c:v>
                </c:pt>
                <c:pt idx="34">
                  <c:v>-86.605350564547138</c:v>
                </c:pt>
                <c:pt idx="35">
                  <c:v>-86.303163572712506</c:v>
                </c:pt>
                <c:pt idx="36">
                  <c:v>-85.96995781957105</c:v>
                </c:pt>
                <c:pt idx="37">
                  <c:v>-85.602811639449769</c:v>
                </c:pt>
                <c:pt idx="38">
                  <c:v>-85.199100136918631</c:v>
                </c:pt>
                <c:pt idx="39">
                  <c:v>-84.755262595154633</c:v>
                </c:pt>
                <c:pt idx="40">
                  <c:v>-84.267924330742005</c:v>
                </c:pt>
                <c:pt idx="41">
                  <c:v>-83.73322339714997</c:v>
                </c:pt>
                <c:pt idx="42">
                  <c:v>-83.147113520242712</c:v>
                </c:pt>
                <c:pt idx="43">
                  <c:v>-82.504979626752004</c:v>
                </c:pt>
                <c:pt idx="44">
                  <c:v>-81.802237072887792</c:v>
                </c:pt>
                <c:pt idx="45">
                  <c:v>-81.033691624673239</c:v>
                </c:pt>
                <c:pt idx="46">
                  <c:v>-80.194165053003786</c:v>
                </c:pt>
                <c:pt idx="47">
                  <c:v>-79.27789407668152</c:v>
                </c:pt>
                <c:pt idx="48">
                  <c:v>-78.279333422286896</c:v>
                </c:pt>
                <c:pt idx="49">
                  <c:v>-77.192341022131018</c:v>
                </c:pt>
                <c:pt idx="50">
                  <c:v>-76.011178193068204</c:v>
                </c:pt>
                <c:pt idx="51">
                  <c:v>-74.729787299601057</c:v>
                </c:pt>
                <c:pt idx="52">
                  <c:v>-73.34313044783373</c:v>
                </c:pt>
                <c:pt idx="53">
                  <c:v>-71.846310155203582</c:v>
                </c:pt>
                <c:pt idx="54">
                  <c:v>-70.236355818173507</c:v>
                </c:pt>
                <c:pt idx="55">
                  <c:v>-68.507631156117924</c:v>
                </c:pt>
                <c:pt idx="56">
                  <c:v>-66.661126069828455</c:v>
                </c:pt>
                <c:pt idx="57">
                  <c:v>-64.696225894733331</c:v>
                </c:pt>
                <c:pt idx="58">
                  <c:v>-62.617307434558356</c:v>
                </c:pt>
                <c:pt idx="59">
                  <c:v>-60.428430754508234</c:v>
                </c:pt>
                <c:pt idx="60">
                  <c:v>-58.139433069078379</c:v>
                </c:pt>
                <c:pt idx="61">
                  <c:v>-55.761762601616361</c:v>
                </c:pt>
                <c:pt idx="62">
                  <c:v>-53.308961194718115</c:v>
                </c:pt>
                <c:pt idx="63">
                  <c:v>-50.801110578891318</c:v>
                </c:pt>
                <c:pt idx="64">
                  <c:v>-48.256371935764278</c:v>
                </c:pt>
                <c:pt idx="65">
                  <c:v>-45.697609092006992</c:v>
                </c:pt>
                <c:pt idx="66">
                  <c:v>-43.147437299754316</c:v>
                </c:pt>
                <c:pt idx="67">
                  <c:v>-40.629037853727631</c:v>
                </c:pt>
                <c:pt idx="68">
                  <c:v>-38.163602296062415</c:v>
                </c:pt>
                <c:pt idx="69">
                  <c:v>-35.772001297146538</c:v>
                </c:pt>
                <c:pt idx="70">
                  <c:v>-33.471605072035025</c:v>
                </c:pt>
                <c:pt idx="71">
                  <c:v>-31.277940665531808</c:v>
                </c:pt>
                <c:pt idx="72">
                  <c:v>-29.202613259115846</c:v>
                </c:pt>
                <c:pt idx="73">
                  <c:v>-27.255222739280693</c:v>
                </c:pt>
                <c:pt idx="74">
                  <c:v>-25.441561983912639</c:v>
                </c:pt>
                <c:pt idx="75">
                  <c:v>-23.765722546720134</c:v>
                </c:pt>
                <c:pt idx="76">
                  <c:v>-22.229021439864471</c:v>
                </c:pt>
                <c:pt idx="77">
                  <c:v>-20.831924307044858</c:v>
                </c:pt>
                <c:pt idx="78">
                  <c:v>-19.572986312306838</c:v>
                </c:pt>
                <c:pt idx="79">
                  <c:v>-18.450551500049695</c:v>
                </c:pt>
                <c:pt idx="80">
                  <c:v>-17.459907804371774</c:v>
                </c:pt>
                <c:pt idx="81">
                  <c:v>-16.599378593282381</c:v>
                </c:pt>
                <c:pt idx="82">
                  <c:v>-15.865111601647278</c:v>
                </c:pt>
                <c:pt idx="83">
                  <c:v>-15.254490027601902</c:v>
                </c:pt>
                <c:pt idx="84">
                  <c:v>-14.764200047546819</c:v>
                </c:pt>
                <c:pt idx="85">
                  <c:v>-14.392118784527236</c:v>
                </c:pt>
                <c:pt idx="86">
                  <c:v>-14.136211484615325</c:v>
                </c:pt>
                <c:pt idx="87">
                  <c:v>-13.995039257768788</c:v>
                </c:pt>
                <c:pt idx="88">
                  <c:v>-13.967961325633366</c:v>
                </c:pt>
                <c:pt idx="89">
                  <c:v>-14.054774492947443</c:v>
                </c:pt>
                <c:pt idx="90">
                  <c:v>-14.255960928263315</c:v>
                </c:pt>
                <c:pt idx="91">
                  <c:v>-14.572613207875349</c:v>
                </c:pt>
                <c:pt idx="92">
                  <c:v>-15.006332345081143</c:v>
                </c:pt>
                <c:pt idx="93">
                  <c:v>-15.559444987736557</c:v>
                </c:pt>
                <c:pt idx="94">
                  <c:v>-15.716604551423805</c:v>
                </c:pt>
                <c:pt idx="95">
                  <c:v>-15.798564551125178</c:v>
                </c:pt>
                <c:pt idx="96">
                  <c:v>-15.881497885021691</c:v>
                </c:pt>
                <c:pt idx="97">
                  <c:v>-15.967321656689467</c:v>
                </c:pt>
                <c:pt idx="98">
                  <c:v>-16.054085913452464</c:v>
                </c:pt>
                <c:pt idx="99">
                  <c:v>-16.143818763037991</c:v>
                </c:pt>
                <c:pt idx="100">
                  <c:v>-16.234459708027838</c:v>
                </c:pt>
                <c:pt idx="101">
                  <c:v>-16.328077947609515</c:v>
                </c:pt>
                <c:pt idx="102">
                  <c:v>-16.422570916108665</c:v>
                </c:pt>
                <c:pt idx="103">
                  <c:v>-16.520189472589021</c:v>
                </c:pt>
                <c:pt idx="104">
                  <c:v>-16.618650955778907</c:v>
                </c:pt>
                <c:pt idx="105">
                  <c:v>-16.720244975466258</c:v>
                </c:pt>
                <c:pt idx="106">
                  <c:v>-16.822649006487001</c:v>
                </c:pt>
                <c:pt idx="107">
                  <c:v>-16.928189083350595</c:v>
                </c:pt>
                <c:pt idx="108">
                  <c:v>-17.03450528075053</c:v>
                </c:pt>
                <c:pt idx="109">
                  <c:v>-17.144032604462943</c:v>
                </c:pt>
                <c:pt idx="110">
                  <c:v>-17.254302295559604</c:v>
                </c:pt>
                <c:pt idx="111">
                  <c:v>-17.367933830004578</c:v>
                </c:pt>
                <c:pt idx="112">
                  <c:v>-17.482274905325728</c:v>
                </c:pt>
                <c:pt idx="113">
                  <c:v>-17.599977436481932</c:v>
                </c:pt>
                <c:pt idx="114">
                  <c:v>-17.718355535672767</c:v>
                </c:pt>
                <c:pt idx="115">
                  <c:v>-17.840168873053525</c:v>
                </c:pt>
                <c:pt idx="116">
                  <c:v>-17.962623577818725</c:v>
                </c:pt>
                <c:pt idx="117">
                  <c:v>-18.088586426779454</c:v>
                </c:pt>
                <c:pt idx="118">
                  <c:v>-18.215156106124141</c:v>
                </c:pt>
                <c:pt idx="119">
                  <c:v>-18.345226682920082</c:v>
                </c:pt>
                <c:pt idx="120">
                  <c:v>-18.47586844030803</c:v>
                </c:pt>
                <c:pt idx="121">
                  <c:v>-18.610080286403747</c:v>
                </c:pt>
                <c:pt idx="122">
                  <c:v>-18.744827279470776</c:v>
                </c:pt>
                <c:pt idx="123">
                  <c:v>-18.883292552945615</c:v>
                </c:pt>
                <c:pt idx="124">
                  <c:v>-19.022257016693054</c:v>
                </c:pt>
                <c:pt idx="125">
                  <c:v>-19.164926304435863</c:v>
                </c:pt>
                <c:pt idx="126">
                  <c:v>-19.308057599061137</c:v>
                </c:pt>
                <c:pt idx="127">
                  <c:v>-19.454958254128002</c:v>
                </c:pt>
                <c:pt idx="128">
                  <c:v>-19.6022830692519</c:v>
                </c:pt>
                <c:pt idx="129">
                  <c:v>-19.75343986436571</c:v>
                </c:pt>
                <c:pt idx="130">
                  <c:v>-19.904982224607057</c:v>
                </c:pt>
                <c:pt idx="131">
                  <c:v>-20.060417081907069</c:v>
                </c:pt>
                <c:pt idx="132">
                  <c:v>-20.138266047303429</c:v>
                </c:pt>
                <c:pt idx="133">
                  <c:v>-20.216198081172944</c:v>
                </c:pt>
                <c:pt idx="134">
                  <c:v>-20.296065228586446</c:v>
                </c:pt>
                <c:pt idx="135">
                  <c:v>-20.37601235710477</c:v>
                </c:pt>
                <c:pt idx="136">
                  <c:v>-20.456035996413515</c:v>
                </c:pt>
                <c:pt idx="137">
                  <c:v>-20.536132749569173</c:v>
                </c:pt>
                <c:pt idx="138">
                  <c:v>-20.618120162213067</c:v>
                </c:pt>
                <c:pt idx="139">
                  <c:v>-20.700177086214424</c:v>
                </c:pt>
                <c:pt idx="140">
                  <c:v>-20.782300113397206</c:v>
                </c:pt>
                <c:pt idx="141">
                  <c:v>-20.864485907517544</c:v>
                </c:pt>
                <c:pt idx="142">
                  <c:v>-20.948682215506683</c:v>
                </c:pt>
                <c:pt idx="143">
                  <c:v>-21.032937449640396</c:v>
                </c:pt>
                <c:pt idx="144">
                  <c:v>-21.117248252494186</c:v>
                </c:pt>
                <c:pt idx="145">
                  <c:v>-21.201611337480589</c:v>
                </c:pt>
                <c:pt idx="146">
                  <c:v>-21.287979376259987</c:v>
                </c:pt>
                <c:pt idx="147">
                  <c:v>-21.374395405426046</c:v>
                </c:pt>
                <c:pt idx="148">
                  <c:v>-21.460856122769709</c:v>
                </c:pt>
                <c:pt idx="149">
                  <c:v>-21.547358295728486</c:v>
                </c:pt>
                <c:pt idx="150">
                  <c:v>-21.63590012317287</c:v>
                </c:pt>
                <c:pt idx="151">
                  <c:v>-21.724478714955531</c:v>
                </c:pt>
                <c:pt idx="152">
                  <c:v>-21.813090823535788</c:v>
                </c:pt>
                <c:pt idx="153">
                  <c:v>-21.90173326987982</c:v>
                </c:pt>
                <c:pt idx="154">
                  <c:v>-21.992490572241763</c:v>
                </c:pt>
                <c:pt idx="155">
                  <c:v>-22.083273130270037</c:v>
                </c:pt>
                <c:pt idx="156">
                  <c:v>-22.174077746426288</c:v>
                </c:pt>
                <c:pt idx="157">
                  <c:v>-22.264901290711581</c:v>
                </c:pt>
                <c:pt idx="158">
                  <c:v>-22.357871872190383</c:v>
                </c:pt>
                <c:pt idx="159">
                  <c:v>-22.450855855322128</c:v>
                </c:pt>
                <c:pt idx="160">
                  <c:v>-22.543850092975482</c:v>
                </c:pt>
                <c:pt idx="161">
                  <c:v>-22.636851504628392</c:v>
                </c:pt>
                <c:pt idx="162">
                  <c:v>-22.731988912983294</c:v>
                </c:pt>
                <c:pt idx="163">
                  <c:v>-22.827127513331828</c:v>
                </c:pt>
                <c:pt idx="164">
                  <c:v>-22.922264213613335</c:v>
                </c:pt>
                <c:pt idx="165">
                  <c:v>-23.017395987370215</c:v>
                </c:pt>
                <c:pt idx="166">
                  <c:v>-23.114776645929641</c:v>
                </c:pt>
                <c:pt idx="167">
                  <c:v>-23.212145925980881</c:v>
                </c:pt>
                <c:pt idx="168">
                  <c:v>-23.309500783218915</c:v>
                </c:pt>
                <c:pt idx="169">
                  <c:v>-23.406838238204724</c:v>
                </c:pt>
                <c:pt idx="170">
                  <c:v>-23.506243481385265</c:v>
                </c:pt>
                <c:pt idx="171">
                  <c:v>-23.605624483185551</c:v>
                </c:pt>
                <c:pt idx="172">
                  <c:v>-23.704978267188693</c:v>
                </c:pt>
                <c:pt idx="173">
                  <c:v>-23.80430192060598</c:v>
                </c:pt>
                <c:pt idx="174">
                  <c:v>-23.90609526816035</c:v>
                </c:pt>
                <c:pt idx="175">
                  <c:v>-24.007850944786288</c:v>
                </c:pt>
                <c:pt idx="176">
                  <c:v>-24.109566009590921</c:v>
                </c:pt>
                <c:pt idx="177">
                  <c:v>-24.211237585071611</c:v>
                </c:pt>
                <c:pt idx="178">
                  <c:v>-24.315361230698119</c:v>
                </c:pt>
                <c:pt idx="179">
                  <c:v>-24.419433303228232</c:v>
                </c:pt>
                <c:pt idx="180">
                  <c:v>-24.523450904326751</c:v>
                </c:pt>
                <c:pt idx="181">
                  <c:v>-24.627411198705783</c:v>
                </c:pt>
                <c:pt idx="182">
                  <c:v>-24.733388785257336</c:v>
                </c:pt>
                <c:pt idx="183">
                  <c:v>-24.839300984834761</c:v>
                </c:pt>
                <c:pt idx="184">
                  <c:v>-24.94514498128791</c:v>
                </c:pt>
                <c:pt idx="185">
                  <c:v>-25.050918020120307</c:v>
                </c:pt>
                <c:pt idx="186">
                  <c:v>-25.159517894840683</c:v>
                </c:pt>
                <c:pt idx="187">
                  <c:v>-25.268037160763424</c:v>
                </c:pt>
                <c:pt idx="188">
                  <c:v>-25.376473023650991</c:v>
                </c:pt>
                <c:pt idx="189">
                  <c:v>-25.484822751394358</c:v>
                </c:pt>
                <c:pt idx="190">
                  <c:v>-25.595148839838</c:v>
                </c:pt>
                <c:pt idx="191">
                  <c:v>-25.705379935652765</c:v>
                </c:pt>
                <c:pt idx="192">
                  <c:v>-25.815513336758681</c:v>
                </c:pt>
                <c:pt idx="193">
                  <c:v>-25.925546401727409</c:v>
                </c:pt>
                <c:pt idx="194">
                  <c:v>-26.038357204523265</c:v>
                </c:pt>
                <c:pt idx="195">
                  <c:v>-26.15105689447104</c:v>
                </c:pt>
                <c:pt idx="196">
                  <c:v>-26.263642806524963</c:v>
                </c:pt>
                <c:pt idx="197">
                  <c:v>-26.3761123365876</c:v>
                </c:pt>
                <c:pt idx="198">
                  <c:v>-26.490921822742774</c:v>
                </c:pt>
                <c:pt idx="199">
                  <c:v>-26.605604464149245</c:v>
                </c:pt>
                <c:pt idx="200">
                  <c:v>-26.720157669705074</c:v>
                </c:pt>
                <c:pt idx="201">
                  <c:v>-26.834578908584405</c:v>
                </c:pt>
                <c:pt idx="202">
                  <c:v>-26.95131322247056</c:v>
                </c:pt>
                <c:pt idx="203">
                  <c:v>-27.067904702034504</c:v>
                </c:pt>
                <c:pt idx="204">
                  <c:v>-27.184350835816073</c:v>
                </c:pt>
                <c:pt idx="205">
                  <c:v>-27.300649171923087</c:v>
                </c:pt>
                <c:pt idx="206">
                  <c:v>-27.419638200501524</c:v>
                </c:pt>
                <c:pt idx="207">
                  <c:v>-27.538467083885713</c:v>
                </c:pt>
                <c:pt idx="208">
                  <c:v>-27.657133371115297</c:v>
                </c:pt>
                <c:pt idx="209">
                  <c:v>-27.775634670860196</c:v>
                </c:pt>
                <c:pt idx="210">
                  <c:v>-27.897197243600669</c:v>
                </c:pt>
                <c:pt idx="211">
                  <c:v>-28.01858076735526</c:v>
                </c:pt>
                <c:pt idx="212">
                  <c:v>-28.139782836988111</c:v>
                </c:pt>
                <c:pt idx="213">
                  <c:v>-28.260801107756734</c:v>
                </c:pt>
                <c:pt idx="214">
                  <c:v>-28.384040001929478</c:v>
                </c:pt>
                <c:pt idx="215">
                  <c:v>-28.507082955623151</c:v>
                </c:pt>
                <c:pt idx="216">
                  <c:v>-28.629927666268514</c:v>
                </c:pt>
                <c:pt idx="217">
                  <c:v>-28.752571890773535</c:v>
                </c:pt>
                <c:pt idx="218">
                  <c:v>-28.877802890994442</c:v>
                </c:pt>
                <c:pt idx="219">
                  <c:v>-29.002819596160258</c:v>
                </c:pt>
                <c:pt idx="220">
                  <c:v>-29.127619790505221</c:v>
                </c:pt>
                <c:pt idx="221">
                  <c:v>-29.25220131755535</c:v>
                </c:pt>
                <c:pt idx="222">
                  <c:v>-29.379331921016213</c:v>
                </c:pt>
                <c:pt idx="223">
                  <c:v>-29.506229625197349</c:v>
                </c:pt>
                <c:pt idx="224">
                  <c:v>-29.632892309623205</c:v>
                </c:pt>
                <c:pt idx="225">
                  <c:v>-29.759317912850225</c:v>
                </c:pt>
                <c:pt idx="226">
                  <c:v>-29.888646196067061</c:v>
                </c:pt>
                <c:pt idx="227">
                  <c:v>-30.017721233196397</c:v>
                </c:pt>
                <c:pt idx="228">
                  <c:v>-30.14654098915527</c:v>
                </c:pt>
                <c:pt idx="229">
                  <c:v>-30.27510348827181</c:v>
                </c:pt>
                <c:pt idx="230">
                  <c:v>-30.537669395242315</c:v>
                </c:pt>
                <c:pt idx="231">
                  <c:v>-30.668539514287577</c:v>
                </c:pt>
                <c:pt idx="232">
                  <c:v>-30.799131885859932</c:v>
                </c:pt>
                <c:pt idx="233">
                  <c:v>-30.932534757191977</c:v>
                </c:pt>
                <c:pt idx="234">
                  <c:v>-31.065642739368691</c:v>
                </c:pt>
                <c:pt idx="235">
                  <c:v>-31.198454002594204</c:v>
                </c:pt>
                <c:pt idx="236">
                  <c:v>-31.330966776879272</c:v>
                </c:pt>
                <c:pt idx="237">
                  <c:v>-31.465858805721602</c:v>
                </c:pt>
                <c:pt idx="238">
                  <c:v>-31.600436572122998</c:v>
                </c:pt>
                <c:pt idx="239">
                  <c:v>-31.734698380066781</c:v>
                </c:pt>
                <c:pt idx="240">
                  <c:v>-31.868642592690556</c:v>
                </c:pt>
                <c:pt idx="241">
                  <c:v>-32.005679981951324</c:v>
                </c:pt>
                <c:pt idx="242">
                  <c:v>-32.142380025502568</c:v>
                </c:pt>
                <c:pt idx="243">
                  <c:v>-32.27874114291965</c:v>
                </c:pt>
                <c:pt idx="244">
                  <c:v>-32.414761813505145</c:v>
                </c:pt>
                <c:pt idx="245">
                  <c:v>-32.5534434232409</c:v>
                </c:pt>
                <c:pt idx="246">
                  <c:v>-32.691766302170727</c:v>
                </c:pt>
                <c:pt idx="247">
                  <c:v>-32.82972901106789</c:v>
                </c:pt>
                <c:pt idx="248">
                  <c:v>-32.967330170194607</c:v>
                </c:pt>
                <c:pt idx="249">
                  <c:v>-33.107911189295471</c:v>
                </c:pt>
                <c:pt idx="250">
                  <c:v>-33.248110061510474</c:v>
                </c:pt>
                <c:pt idx="251">
                  <c:v>-33.387925489125621</c:v>
                </c:pt>
                <c:pt idx="252">
                  <c:v>-33.527356234168337</c:v>
                </c:pt>
                <c:pt idx="253">
                  <c:v>-33.66933968800091</c:v>
                </c:pt>
                <c:pt idx="254">
                  <c:v>-33.810919579546479</c:v>
                </c:pt>
                <c:pt idx="255">
                  <c:v>-33.952094774697088</c:v>
                </c:pt>
                <c:pt idx="256">
                  <c:v>-34.092864198547126</c:v>
                </c:pt>
                <c:pt idx="257">
                  <c:v>-34.236857757207986</c:v>
                </c:pt>
                <c:pt idx="258">
                  <c:v>-34.38042214124436</c:v>
                </c:pt>
                <c:pt idx="259">
                  <c:v>-34.523556375408845</c:v>
                </c:pt>
                <c:pt idx="260">
                  <c:v>-34.666259544158997</c:v>
                </c:pt>
                <c:pt idx="261">
                  <c:v>-34.81175920153499</c:v>
                </c:pt>
                <c:pt idx="262">
                  <c:v>-34.956806225131352</c:v>
                </c:pt>
                <c:pt idx="263">
                  <c:v>-35.101399820363625</c:v>
                </c:pt>
                <c:pt idx="264">
                  <c:v>-35.245539252034824</c:v>
                </c:pt>
                <c:pt idx="265">
                  <c:v>-35.392411662889181</c:v>
                </c:pt>
                <c:pt idx="266">
                  <c:v>-35.538808131179572</c:v>
                </c:pt>
                <c:pt idx="267">
                  <c:v>-35.684728054976283</c:v>
                </c:pt>
                <c:pt idx="268">
                  <c:v>-35.830170891215531</c:v>
                </c:pt>
                <c:pt idx="269">
                  <c:v>-35.978631819875744</c:v>
                </c:pt>
                <c:pt idx="270">
                  <c:v>-36.12659136506965</c:v>
                </c:pt>
                <c:pt idx="271">
                  <c:v>-36.274049126231041</c:v>
                </c:pt>
                <c:pt idx="272">
                  <c:v>-36.421004761472396</c:v>
                </c:pt>
                <c:pt idx="273">
                  <c:v>-36.570906005268682</c:v>
                </c:pt>
                <c:pt idx="274">
                  <c:v>-36.72028061592642</c:v>
                </c:pt>
                <c:pt idx="275">
                  <c:v>-36.869128408458316</c:v>
                </c:pt>
                <c:pt idx="276">
                  <c:v>-37.017449256101507</c:v>
                </c:pt>
                <c:pt idx="277">
                  <c:v>-37.168302359954765</c:v>
                </c:pt>
                <c:pt idx="278">
                  <c:v>-37.318606349684075</c:v>
                </c:pt>
                <c:pt idx="279">
                  <c:v>-37.468361268758414</c:v>
                </c:pt>
                <c:pt idx="280">
                  <c:v>-37.617567217631844</c:v>
                </c:pt>
                <c:pt idx="281">
                  <c:v>-37.770243549451052</c:v>
                </c:pt>
                <c:pt idx="282">
                  <c:v>-37.922341160326525</c:v>
                </c:pt>
                <c:pt idx="283">
                  <c:v>-38.073860337149299</c:v>
                </c:pt>
                <c:pt idx="284">
                  <c:v>-38.224801423798496</c:v>
                </c:pt>
                <c:pt idx="285">
                  <c:v>-38.378133217177101</c:v>
                </c:pt>
                <c:pt idx="286">
                  <c:v>-38.530864721458549</c:v>
                </c:pt>
                <c:pt idx="287">
                  <c:v>-38.682996474676862</c:v>
                </c:pt>
                <c:pt idx="288">
                  <c:v>-38.834529070047473</c:v>
                </c:pt>
                <c:pt idx="289">
                  <c:v>-38.9893586887626</c:v>
                </c:pt>
                <c:pt idx="290">
                  <c:v>-39.143559194332447</c:v>
                </c:pt>
                <c:pt idx="291">
                  <c:v>-39.297131398235955</c:v>
                </c:pt>
                <c:pt idx="292">
                  <c:v>-39.450076166438286</c:v>
                </c:pt>
                <c:pt idx="293">
                  <c:v>-39.605906978582688</c:v>
                </c:pt>
                <c:pt idx="294">
                  <c:v>-39.761083022551695</c:v>
                </c:pt>
                <c:pt idx="295">
                  <c:v>-39.915605392629374</c:v>
                </c:pt>
                <c:pt idx="296">
                  <c:v>-40.069475236052398</c:v>
                </c:pt>
                <c:pt idx="297">
                  <c:v>-40.226147026844082</c:v>
                </c:pt>
                <c:pt idx="298">
                  <c:v>-40.382139069489561</c:v>
                </c:pt>
                <c:pt idx="299">
                  <c:v>-40.537452752184251</c:v>
                </c:pt>
                <c:pt idx="300">
                  <c:v>-40.692089514186058</c:v>
                </c:pt>
                <c:pt idx="301">
                  <c:v>-40.849443983702713</c:v>
                </c:pt>
                <c:pt idx="302">
                  <c:v>-41.006094494684938</c:v>
                </c:pt>
                <c:pt idx="303">
                  <c:v>-41.162042738809411</c:v>
                </c:pt>
                <c:pt idx="304">
                  <c:v>-41.317290456569232</c:v>
                </c:pt>
                <c:pt idx="305">
                  <c:v>-41.475777524297115</c:v>
                </c:pt>
                <c:pt idx="306">
                  <c:v>-41.633531683723795</c:v>
                </c:pt>
                <c:pt idx="307">
                  <c:v>-41.790554961430672</c:v>
                </c:pt>
                <c:pt idx="308">
                  <c:v>-41.946849430920928</c:v>
                </c:pt>
                <c:pt idx="309">
                  <c:v>-42.105687656735633</c:v>
                </c:pt>
                <c:pt idx="310">
                  <c:v>-42.263770546202721</c:v>
                </c:pt>
                <c:pt idx="311">
                  <c:v>-42.421100447364914</c:v>
                </c:pt>
                <c:pt idx="312">
                  <c:v>-42.577679752162418</c:v>
                </c:pt>
                <c:pt idx="313">
                  <c:v>-42.737302328642301</c:v>
                </c:pt>
                <c:pt idx="314">
                  <c:v>-42.896142463073879</c:v>
                </c:pt>
                <c:pt idx="315">
                  <c:v>-43.054202859111889</c:v>
                </c:pt>
                <c:pt idx="316">
                  <c:v>-43.211486261539363</c:v>
                </c:pt>
                <c:pt idx="317">
                  <c:v>-43.371712450821335</c:v>
                </c:pt>
                <c:pt idx="318">
                  <c:v>-43.531130153677374</c:v>
                </c:pt>
                <c:pt idx="319">
                  <c:v>-43.689742438603361</c:v>
                </c:pt>
                <c:pt idx="320">
                  <c:v>-43.847552411989845</c:v>
                </c:pt>
                <c:pt idx="321">
                  <c:v>-44.008205147112328</c:v>
                </c:pt>
                <c:pt idx="322">
                  <c:v>-44.168024514847772</c:v>
                </c:pt>
                <c:pt idx="323">
                  <c:v>-44.327013955500611</c:v>
                </c:pt>
                <c:pt idx="324">
                  <c:v>-44.485176943585536</c:v>
                </c:pt>
                <c:pt idx="325">
                  <c:v>-44.646083359628612</c:v>
                </c:pt>
                <c:pt idx="326">
                  <c:v>-44.806132783418207</c:v>
                </c:pt>
                <c:pt idx="327">
                  <c:v>-44.96532903171169</c:v>
                </c:pt>
                <c:pt idx="328">
                  <c:v>-45.123675951361157</c:v>
                </c:pt>
                <c:pt idx="329">
                  <c:v>-45.284936357006487</c:v>
                </c:pt>
                <c:pt idx="330">
                  <c:v>-45.445314548121274</c:v>
                </c:pt>
                <c:pt idx="331">
                  <c:v>-45.604814741355312</c:v>
                </c:pt>
                <c:pt idx="332">
                  <c:v>-45.763441179097512</c:v>
                </c:pt>
                <c:pt idx="333">
                  <c:v>-45.924612293306453</c:v>
                </c:pt>
                <c:pt idx="334">
                  <c:v>-46.084880342538796</c:v>
                </c:pt>
                <c:pt idx="335">
                  <c:v>-46.244249923666359</c:v>
                </c:pt>
                <c:pt idx="336">
                  <c:v>-46.402725654356168</c:v>
                </c:pt>
                <c:pt idx="337">
                  <c:v>-46.564163461092917</c:v>
                </c:pt>
                <c:pt idx="338">
                  <c:v>-46.724672936263495</c:v>
                </c:pt>
                <c:pt idx="339">
                  <c:v>-46.884259102417403</c:v>
                </c:pt>
                <c:pt idx="340">
                  <c:v>-47.042926997803661</c:v>
                </c:pt>
                <c:pt idx="341">
                  <c:v>-47.204444566848345</c:v>
                </c:pt>
                <c:pt idx="342">
                  <c:v>-47.365010137166742</c:v>
                </c:pt>
                <c:pt idx="343">
                  <c:v>-47.524629157657095</c:v>
                </c:pt>
                <c:pt idx="344">
                  <c:v>-47.68330708735207</c:v>
                </c:pt>
                <c:pt idx="345">
                  <c:v>-47.844478874274316</c:v>
                </c:pt>
                <c:pt idx="346">
                  <c:v>-48.00467962747414</c:v>
                </c:pt>
                <c:pt idx="347">
                  <c:v>-48.163915193192921</c:v>
                </c:pt>
                <c:pt idx="348">
                  <c:v>-48.322191421794777</c:v>
                </c:pt>
                <c:pt idx="349">
                  <c:v>-48.483339444157636</c:v>
                </c:pt>
                <c:pt idx="350">
                  <c:v>-48.643493196377207</c:v>
                </c:pt>
                <c:pt idx="351">
                  <c:v>-48.802658970574718</c:v>
                </c:pt>
                <c:pt idx="352">
                  <c:v>-48.960843056654745</c:v>
                </c:pt>
                <c:pt idx="353">
                  <c:v>-49.121782967908331</c:v>
                </c:pt>
                <c:pt idx="354">
                  <c:v>-49.281707216666845</c:v>
                </c:pt>
                <c:pt idx="355">
                  <c:v>-49.440622535695525</c:v>
                </c:pt>
                <c:pt idx="356">
                  <c:v>-49.598535648792819</c:v>
                </c:pt>
                <c:pt idx="357">
                  <c:v>-49.758863400050622</c:v>
                </c:pt>
                <c:pt idx="358">
                  <c:v>-49.918158926592383</c:v>
                </c:pt>
                <c:pt idx="359">
                  <c:v>-50.076429363145458</c:v>
                </c:pt>
                <c:pt idx="360">
                  <c:v>-50.233681828463112</c:v>
                </c:pt>
                <c:pt idx="361">
                  <c:v>-50.393689211366222</c:v>
                </c:pt>
                <c:pt idx="362">
                  <c:v>-50.552643852052718</c:v>
                </c:pt>
                <c:pt idx="363">
                  <c:v>-50.710553337181722</c:v>
                </c:pt>
                <c:pt idx="364">
                  <c:v>-50.867425229959316</c:v>
                </c:pt>
                <c:pt idx="365">
                  <c:v>-51.02671857897446</c:v>
                </c:pt>
                <c:pt idx="366">
                  <c:v>-51.18494360921347</c:v>
                </c:pt>
                <c:pt idx="367">
                  <c:v>-51.342108314984465</c:v>
                </c:pt>
                <c:pt idx="368">
                  <c:v>-51.498220659527242</c:v>
                </c:pt>
                <c:pt idx="369">
                  <c:v>-51.657067978529092</c:v>
                </c:pt>
                <c:pt idx="370">
                  <c:v>-51.814827646922545</c:v>
                </c:pt>
                <c:pt idx="371">
                  <c:v>-51.971508117397633</c:v>
                </c:pt>
                <c:pt idx="372">
                  <c:v>-52.127117803385133</c:v>
                </c:pt>
                <c:pt idx="373">
                  <c:v>-52.285137383574941</c:v>
                </c:pt>
                <c:pt idx="374">
                  <c:v>-52.442055012424085</c:v>
                </c:pt>
                <c:pt idx="375">
                  <c:v>-52.597879550999735</c:v>
                </c:pt>
                <c:pt idx="376">
                  <c:v>-52.752619812922163</c:v>
                </c:pt>
                <c:pt idx="377">
                  <c:v>-52.910057868759935</c:v>
                </c:pt>
                <c:pt idx="378">
                  <c:v>-53.066376126958879</c:v>
                </c:pt>
                <c:pt idx="379">
                  <c:v>-53.221583907676894</c:v>
                </c:pt>
                <c:pt idx="380">
                  <c:v>-53.375690474777429</c:v>
                </c:pt>
                <c:pt idx="381">
                  <c:v>-53.531985818947888</c:v>
                </c:pt>
                <c:pt idx="382">
                  <c:v>-53.687151404085093</c:v>
                </c:pt>
                <c:pt idx="383">
                  <c:v>-53.841196917807196</c:v>
                </c:pt>
                <c:pt idx="384">
                  <c:v>-53.9941319830724</c:v>
                </c:pt>
                <c:pt idx="385">
                  <c:v>-54.149715187850383</c:v>
                </c:pt>
                <c:pt idx="386">
                  <c:v>-54.304152472286809</c:v>
                </c:pt>
                <c:pt idx="387">
                  <c:v>-54.457453976999275</c:v>
                </c:pt>
                <c:pt idx="388">
                  <c:v>-54.609629768573612</c:v>
                </c:pt>
                <c:pt idx="389">
                  <c:v>-54.76414735242669</c:v>
                </c:pt>
                <c:pt idx="390">
                  <c:v>-54.917507974813205</c:v>
                </c:pt>
                <c:pt idx="391">
                  <c:v>-55.069722168451413</c:v>
                </c:pt>
                <c:pt idx="392">
                  <c:v>-55.220800382979974</c:v>
                </c:pt>
                <c:pt idx="393">
                  <c:v>-55.374107870433569</c:v>
                </c:pt>
                <c:pt idx="394">
                  <c:v>-55.52624960735951</c:v>
                </c:pt>
                <c:pt idx="395">
                  <c:v>-55.677236491854515</c:v>
                </c:pt>
                <c:pt idx="396">
                  <c:v>-55.827079329976186</c:v>
                </c:pt>
                <c:pt idx="397">
                  <c:v>-55.97938512223697</c:v>
                </c:pt>
                <c:pt idx="398">
                  <c:v>-56.130513297553897</c:v>
                </c:pt>
                <c:pt idx="399">
                  <c:v>-56.28047516703473</c:v>
                </c:pt>
                <c:pt idx="400">
                  <c:v>-56.429281940040887</c:v>
                </c:pt>
                <c:pt idx="401">
                  <c:v>-56.580264852432137</c:v>
                </c:pt>
                <c:pt idx="402">
                  <c:v>-56.730063312335865</c:v>
                </c:pt>
                <c:pt idx="403">
                  <c:v>-56.878688975767894</c:v>
                </c:pt>
                <c:pt idx="404">
                  <c:v>-57.026153387906277</c:v>
                </c:pt>
                <c:pt idx="405">
                  <c:v>-57.17584583743615</c:v>
                </c:pt>
                <c:pt idx="406">
                  <c:v>-57.324346677982525</c:v>
                </c:pt>
                <c:pt idx="407">
                  <c:v>-57.471667917672789</c:v>
                </c:pt>
                <c:pt idx="408">
                  <c:v>-57.617821444457256</c:v>
                </c:pt>
                <c:pt idx="409">
                  <c:v>-57.766246230821139</c:v>
                </c:pt>
                <c:pt idx="410">
                  <c:v>-57.913472050751636</c:v>
                </c:pt>
                <c:pt idx="411">
                  <c:v>-58.059511270519423</c:v>
                </c:pt>
                <c:pt idx="412">
                  <c:v>-58.20437612662699</c:v>
                </c:pt>
                <c:pt idx="413">
                  <c:v>-58.35139639471334</c:v>
                </c:pt>
                <c:pt idx="414">
                  <c:v>-58.497212723838224</c:v>
                </c:pt>
                <c:pt idx="415">
                  <c:v>-58.641837804084247</c:v>
                </c:pt>
                <c:pt idx="416">
                  <c:v>-58.785284186497719</c:v>
                </c:pt>
                <c:pt idx="417">
                  <c:v>-58.930920422006658</c:v>
                </c:pt>
                <c:pt idx="418">
                  <c:v>-59.075347633359939</c:v>
                </c:pt>
                <c:pt idx="419">
                  <c:v>-59.218578838062029</c:v>
                </c:pt>
                <c:pt idx="420">
                  <c:v>-59.360626905119176</c:v>
                </c:pt>
                <c:pt idx="421">
                  <c:v>-59.50460942978718</c:v>
                </c:pt>
                <c:pt idx="422">
                  <c:v>-59.64738258271953</c:v>
                </c:pt>
                <c:pt idx="423">
                  <c:v>-59.788959632993794</c:v>
                </c:pt>
                <c:pt idx="424">
                  <c:v>-59.929353692777774</c:v>
                </c:pt>
                <c:pt idx="425">
                  <c:v>-60.07198886665968</c:v>
                </c:pt>
                <c:pt idx="426">
                  <c:v>-60.213409486147711</c:v>
                </c:pt>
                <c:pt idx="427">
                  <c:v>-60.353629151908876</c:v>
                </c:pt>
                <c:pt idx="428">
                  <c:v>-60.492661297919057</c:v>
                </c:pt>
                <c:pt idx="429">
                  <c:v>-60.633683729529601</c:v>
                </c:pt>
                <c:pt idx="430">
                  <c:v>-60.773491172341089</c:v>
                </c:pt>
                <c:pt idx="431">
                  <c:v>-60.912097480156255</c:v>
                </c:pt>
                <c:pt idx="432">
                  <c:v>-61.049516331466805</c:v>
                </c:pt>
                <c:pt idx="433">
                  <c:v>-61.188818117111694</c:v>
                </c:pt>
                <c:pt idx="434">
                  <c:v>-61.326906697299847</c:v>
                </c:pt>
                <c:pt idx="435">
                  <c:v>-61.463796139926224</c:v>
                </c:pt>
                <c:pt idx="436">
                  <c:v>-61.599500329556108</c:v>
                </c:pt>
                <c:pt idx="437">
                  <c:v>-61.737230744292553</c:v>
                </c:pt>
                <c:pt idx="438">
                  <c:v>-61.873747513036044</c:v>
                </c:pt>
                <c:pt idx="439">
                  <c:v>-62.00906495532611</c:v>
                </c:pt>
                <c:pt idx="440">
                  <c:v>-62.143197198640806</c:v>
                </c:pt>
                <c:pt idx="441">
                  <c:v>-62.279244752845791</c:v>
                </c:pt>
                <c:pt idx="442">
                  <c:v>-62.414080517066893</c:v>
                </c:pt>
                <c:pt idx="443">
                  <c:v>-62.547719021222825</c:v>
                </c:pt>
                <c:pt idx="444">
                  <c:v>-62.680174595107303</c:v>
                </c:pt>
                <c:pt idx="445">
                  <c:v>-62.814439496290639</c:v>
                </c:pt>
                <c:pt idx="446">
                  <c:v>-62.947496634667559</c:v>
                </c:pt>
                <c:pt idx="447">
                  <c:v>-63.079360709595726</c:v>
                </c:pt>
                <c:pt idx="448">
                  <c:v>-63.210046212962617</c:v>
                </c:pt>
                <c:pt idx="449">
                  <c:v>-63.342660868021511</c:v>
                </c:pt>
                <c:pt idx="450">
                  <c:v>-63.474069819383338</c:v>
                </c:pt>
                <c:pt idx="451">
                  <c:v>-63.604287969766666</c:v>
                </c:pt>
                <c:pt idx="452">
                  <c:v>-63.733330006402376</c:v>
                </c:pt>
                <c:pt idx="453">
                  <c:v>-63.864086443940543</c:v>
                </c:pt>
                <c:pt idx="454">
                  <c:v>-63.993643408376215</c:v>
                </c:pt>
                <c:pt idx="455">
                  <c:v>-64.122015926401545</c:v>
                </c:pt>
                <c:pt idx="456">
                  <c:v>-64.249218802709763</c:v>
                </c:pt>
                <c:pt idx="457">
                  <c:v>-64.378244025523927</c:v>
                </c:pt>
                <c:pt idx="458">
                  <c:v>-64.506074134282912</c:v>
                </c:pt>
                <c:pt idx="459">
                  <c:v>-64.632724311821278</c:v>
                </c:pt>
                <c:pt idx="460">
                  <c:v>-64.758209511825896</c:v>
                </c:pt>
                <c:pt idx="461">
                  <c:v>-64.885413202646461</c:v>
                </c:pt>
                <c:pt idx="462">
                  <c:v>-65.011428231987907</c:v>
                </c:pt>
                <c:pt idx="463">
                  <c:v>-65.136269896352232</c:v>
                </c:pt>
                <c:pt idx="464">
                  <c:v>-65.259953256789871</c:v>
                </c:pt>
                <c:pt idx="465">
                  <c:v>-65.385351575722595</c:v>
                </c:pt>
                <c:pt idx="466">
                  <c:v>-65.509567840455276</c:v>
                </c:pt>
                <c:pt idx="467">
                  <c:v>-65.632617454961746</c:v>
                </c:pt>
                <c:pt idx="468">
                  <c:v>-65.754515581594532</c:v>
                </c:pt>
                <c:pt idx="469">
                  <c:v>-65.878029481507895</c:v>
                </c:pt>
                <c:pt idx="470">
                  <c:v>-66.000369886083661</c:v>
                </c:pt>
                <c:pt idx="471">
                  <c:v>-66.121552265131555</c:v>
                </c:pt>
                <c:pt idx="472">
                  <c:v>-66.241591841559952</c:v>
                </c:pt>
                <c:pt idx="473">
                  <c:v>-66.363329613276889</c:v>
                </c:pt>
                <c:pt idx="474">
                  <c:v>-66.483900872789491</c:v>
                </c:pt>
                <c:pt idx="475">
                  <c:v>-66.603321183212373</c:v>
                </c:pt>
                <c:pt idx="476">
                  <c:v>-66.721605854915452</c:v>
                </c:pt>
                <c:pt idx="477">
                  <c:v>-66.841489387302701</c:v>
                </c:pt>
                <c:pt idx="478">
                  <c:v>-66.960215337298422</c:v>
                </c:pt>
                <c:pt idx="479">
                  <c:v>-67.077799319015426</c:v>
                </c:pt>
                <c:pt idx="480">
                  <c:v>-67.194256688912105</c:v>
                </c:pt>
                <c:pt idx="481">
                  <c:v>-67.312218677775405</c:v>
                </c:pt>
                <c:pt idx="482">
                  <c:v>-67.42903380421707</c:v>
                </c:pt>
                <c:pt idx="483">
                  <c:v>-67.544717692926724</c:v>
                </c:pt>
                <c:pt idx="484">
                  <c:v>-67.659285706962194</c:v>
                </c:pt>
                <c:pt idx="485">
                  <c:v>-67.775347666310154</c:v>
                </c:pt>
                <c:pt idx="486">
                  <c:v>-67.890273581735727</c:v>
                </c:pt>
                <c:pt idx="487">
                  <c:v>-68.00407908182595</c:v>
                </c:pt>
                <c:pt idx="488">
                  <c:v>-68.116779529763875</c:v>
                </c:pt>
                <c:pt idx="489">
                  <c:v>-68.231036059109499</c:v>
                </c:pt>
                <c:pt idx="490">
                  <c:v>-68.344166012766195</c:v>
                </c:pt>
                <c:pt idx="491">
                  <c:v>-68.456185046762201</c:v>
                </c:pt>
                <c:pt idx="492">
                  <c:v>-68.567108547462539</c:v>
                </c:pt>
                <c:pt idx="493">
                  <c:v>-68.679495081787735</c:v>
                </c:pt>
                <c:pt idx="494">
                  <c:v>-68.790766255093217</c:v>
                </c:pt>
                <c:pt idx="495">
                  <c:v>-68.900937710424131</c:v>
                </c:pt>
                <c:pt idx="496">
                  <c:v>-69.010024817873784</c:v>
                </c:pt>
                <c:pt idx="497">
                  <c:v>-69.120556735639823</c:v>
                </c:pt>
                <c:pt idx="498">
                  <c:v>-69.229984701974047</c:v>
                </c:pt>
                <c:pt idx="499">
                  <c:v>-69.338324338340186</c:v>
                </c:pt>
                <c:pt idx="500">
                  <c:v>-69.445590990217454</c:v>
                </c:pt>
                <c:pt idx="501">
                  <c:v>-69.554282197687641</c:v>
                </c:pt>
                <c:pt idx="502">
                  <c:v>-69.661881081319081</c:v>
                </c:pt>
                <c:pt idx="503">
                  <c:v>-69.76840323190018</c:v>
                </c:pt>
                <c:pt idx="504">
                  <c:v>-69.873863961472964</c:v>
                </c:pt>
                <c:pt idx="505">
                  <c:v>-69.980662749419992</c:v>
                </c:pt>
                <c:pt idx="506">
                  <c:v>-70.086382377344364</c:v>
                </c:pt>
                <c:pt idx="507">
                  <c:v>-70.191038367846502</c:v>
                </c:pt>
                <c:pt idx="508">
                  <c:v>-70.294645962976418</c:v>
                </c:pt>
                <c:pt idx="509">
                  <c:v>-70.399571812515305</c:v>
                </c:pt>
                <c:pt idx="510">
                  <c:v>-70.503431789997052</c:v>
                </c:pt>
                <c:pt idx="511">
                  <c:v>-70.606241342160601</c:v>
                </c:pt>
                <c:pt idx="512">
                  <c:v>-70.708015633650362</c:v>
                </c:pt>
                <c:pt idx="513">
                  <c:v>-70.811146238421074</c:v>
                </c:pt>
                <c:pt idx="514">
                  <c:v>-70.913223188443268</c:v>
                </c:pt>
                <c:pt idx="515">
                  <c:v>-71.014261873082276</c:v>
                </c:pt>
                <c:pt idx="516">
                  <c:v>-71.114277397683296</c:v>
                </c:pt>
                <c:pt idx="517">
                  <c:v>-71.215565919021827</c:v>
                </c:pt>
                <c:pt idx="518">
                  <c:v>-71.315814443945925</c:v>
                </c:pt>
                <c:pt idx="519">
                  <c:v>-71.415038268348425</c:v>
                </c:pt>
                <c:pt idx="520">
                  <c:v>-71.513252403130323</c:v>
                </c:pt>
                <c:pt idx="521">
                  <c:v>-71.612715678834348</c:v>
                </c:pt>
                <c:pt idx="522">
                  <c:v>-71.711152774199206</c:v>
                </c:pt>
                <c:pt idx="523">
                  <c:v>-71.808578883289002</c:v>
                </c:pt>
                <c:pt idx="524">
                  <c:v>-71.905008914487311</c:v>
                </c:pt>
                <c:pt idx="525">
                  <c:v>-72.002663227062044</c:v>
                </c:pt>
                <c:pt idx="526">
                  <c:v>-72.09930533820868</c:v>
                </c:pt>
                <c:pt idx="527">
                  <c:v>-72.194950331706323</c:v>
                </c:pt>
                <c:pt idx="528">
                  <c:v>-72.289613005252818</c:v>
                </c:pt>
                <c:pt idx="529">
                  <c:v>-72.385474255497968</c:v>
                </c:pt>
                <c:pt idx="530">
                  <c:v>-72.480337448014268</c:v>
                </c:pt>
                <c:pt idx="531">
                  <c:v>-72.574217547804267</c:v>
                </c:pt>
                <c:pt idx="532">
                  <c:v>-72.667129233679447</c:v>
                </c:pt>
                <c:pt idx="533">
                  <c:v>-72.761261410899806</c:v>
                </c:pt>
                <c:pt idx="534">
                  <c:v>-72.854408829666824</c:v>
                </c:pt>
                <c:pt idx="535">
                  <c:v>-72.946586350510003</c:v>
                </c:pt>
                <c:pt idx="536">
                  <c:v>-73.037808547366723</c:v>
                </c:pt>
                <c:pt idx="537">
                  <c:v>-73.130128626618784</c:v>
                </c:pt>
                <c:pt idx="538">
                  <c:v>-73.221479453574787</c:v>
                </c:pt>
                <c:pt idx="539">
                  <c:v>-73.311875729790444</c:v>
                </c:pt>
                <c:pt idx="540">
                  <c:v>-73.401331871302673</c:v>
                </c:pt>
                <c:pt idx="541">
                  <c:v>-73.49195024222378</c:v>
                </c:pt>
                <c:pt idx="542">
                  <c:v>-73.581613047801326</c:v>
                </c:pt>
                <c:pt idx="543">
                  <c:v>-73.670334867076633</c:v>
                </c:pt>
                <c:pt idx="544">
                  <c:v>-73.758129993783214</c:v>
                </c:pt>
                <c:pt idx="545">
                  <c:v>-73.847014293339939</c:v>
                </c:pt>
                <c:pt idx="546">
                  <c:v>-73.934957858878875</c:v>
                </c:pt>
                <c:pt idx="547">
                  <c:v>-74.021975116287891</c:v>
                </c:pt>
                <c:pt idx="548">
                  <c:v>-74.10808020722952</c:v>
                </c:pt>
                <c:pt idx="549">
                  <c:v>-74.195246578849989</c:v>
                </c:pt>
                <c:pt idx="550">
                  <c:v>-74.281487181584211</c:v>
                </c:pt>
                <c:pt idx="551">
                  <c:v>-74.366816280396023</c:v>
                </c:pt>
                <c:pt idx="552">
                  <c:v>-74.451247857389859</c:v>
                </c:pt>
                <c:pt idx="553">
                  <c:v>-74.536751835856464</c:v>
                </c:pt>
                <c:pt idx="554">
                  <c:v>-74.621344301201987</c:v>
                </c:pt>
                <c:pt idx="555">
                  <c:v>-74.705039369251466</c:v>
                </c:pt>
                <c:pt idx="556">
                  <c:v>-74.787850874101395</c:v>
                </c:pt>
                <c:pt idx="557">
                  <c:v>-74.9546606871628</c:v>
                </c:pt>
                <c:pt idx="558">
                  <c:v>-75.117937818816571</c:v>
                </c:pt>
                <c:pt idx="559">
                  <c:v>-75.281415334939808</c:v>
                </c:pt>
                <c:pt idx="560">
                  <c:v>-75.441421049009548</c:v>
                </c:pt>
                <c:pt idx="561">
                  <c:v>-75.601738266915106</c:v>
                </c:pt>
                <c:pt idx="562">
                  <c:v>-75.758639069071336</c:v>
                </c:pt>
                <c:pt idx="563">
                  <c:v>-75.915489505627249</c:v>
                </c:pt>
                <c:pt idx="564">
                  <c:v>-76.068993618837922</c:v>
                </c:pt>
                <c:pt idx="565">
                  <c:v>-76.223002197624865</c:v>
                </c:pt>
                <c:pt idx="566">
                  <c:v>-76.373709821880652</c:v>
                </c:pt>
                <c:pt idx="567">
                  <c:v>-76.524807211394588</c:v>
                </c:pt>
                <c:pt idx="568">
                  <c:v>-76.672653434228195</c:v>
                </c:pt>
                <c:pt idx="569">
                  <c:v>-76.820212791852541</c:v>
                </c:pt>
                <c:pt idx="570">
                  <c:v>-76.964599169710752</c:v>
                </c:pt>
                <c:pt idx="571">
                  <c:v>-77.109748701786174</c:v>
                </c:pt>
                <c:pt idx="572">
                  <c:v>-77.251756928987021</c:v>
                </c:pt>
                <c:pt idx="573">
                  <c:v>-77.393346027735362</c:v>
                </c:pt>
                <c:pt idx="574">
                  <c:v>-77.531876257490126</c:v>
                </c:pt>
                <c:pt idx="575">
                  <c:v>-77.670959243218206</c:v>
                </c:pt>
                <c:pt idx="576">
                  <c:v>-77.807022276626853</c:v>
                </c:pt>
                <c:pt idx="577">
                  <c:v>-78.351731625491311</c:v>
                </c:pt>
                <c:pt idx="578">
                  <c:v>-78.850472933815212</c:v>
                </c:pt>
                <c:pt idx="579">
                  <c:v>-79.808388625285886</c:v>
                </c:pt>
                <c:pt idx="580">
                  <c:v>-80.688221030443998</c:v>
                </c:pt>
                <c:pt idx="581">
                  <c:v>-81.494384360817747</c:v>
                </c:pt>
                <c:pt idx="582">
                  <c:v>-82.232935947959689</c:v>
                </c:pt>
                <c:pt idx="583">
                  <c:v>-82.908595379906245</c:v>
                </c:pt>
                <c:pt idx="584">
                  <c:v>-83.526835060850345</c:v>
                </c:pt>
                <c:pt idx="585">
                  <c:v>-84.091935470104303</c:v>
                </c:pt>
                <c:pt idx="586">
                  <c:v>-84.608337593900686</c:v>
                </c:pt>
                <c:pt idx="587">
                  <c:v>-85.08032156323145</c:v>
                </c:pt>
                <c:pt idx="588">
                  <c:v>-85.511173483817927</c:v>
                </c:pt>
                <c:pt idx="589">
                  <c:v>-85.904703557463762</c:v>
                </c:pt>
                <c:pt idx="590">
                  <c:v>-86.263932589139344</c:v>
                </c:pt>
                <c:pt idx="591">
                  <c:v>-86.591824515517544</c:v>
                </c:pt>
                <c:pt idx="592">
                  <c:v>-86.891031635221225</c:v>
                </c:pt>
                <c:pt idx="593">
                  <c:v>-87.164111653114361</c:v>
                </c:pt>
                <c:pt idx="594">
                  <c:v>-87.413255158592577</c:v>
                </c:pt>
                <c:pt idx="595">
                  <c:v>-87.64058822285638</c:v>
                </c:pt>
                <c:pt idx="596">
                  <c:v>-87.847964742466004</c:v>
                </c:pt>
                <c:pt idx="597">
                  <c:v>-88.037167093546913</c:v>
                </c:pt>
                <c:pt idx="598">
                  <c:v>-88.209738025372573</c:v>
                </c:pt>
                <c:pt idx="599">
                  <c:v>-88.367174049321264</c:v>
                </c:pt>
                <c:pt idx="600">
                  <c:v>-88.510775450598032</c:v>
                </c:pt>
              </c:numCache>
            </c:numRef>
          </c:yVal>
          <c:smooth val="0"/>
          <c:extLst>
            <c:ext xmlns:c16="http://schemas.microsoft.com/office/drawing/2014/chart" uri="{C3380CC4-5D6E-409C-BE32-E72D297353CC}">
              <c16:uniqueId val="{00000001-C943-44AE-BE69-B37F145E1EAF}"/>
            </c:ext>
          </c:extLst>
        </c:ser>
        <c:ser>
          <c:idx val="2"/>
          <c:order val="2"/>
          <c:tx>
            <c:v>pwr plant</c:v>
          </c:tx>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Calculations'!$AG$13:$AG$613</c:f>
              <c:numCache>
                <c:formatCode>0.00</c:formatCode>
                <c:ptCount val="601"/>
                <c:pt idx="0">
                  <c:v>61.572585492449804</c:v>
                </c:pt>
                <c:pt idx="1">
                  <c:v>61.572543577333136</c:v>
                </c:pt>
                <c:pt idx="2">
                  <c:v>61.572493188913178</c:v>
                </c:pt>
                <c:pt idx="3">
                  <c:v>61.572432612959943</c:v>
                </c:pt>
                <c:pt idx="4">
                  <c:v>61.572359840322065</c:v>
                </c:pt>
                <c:pt idx="5">
                  <c:v>61.57227226464893</c:v>
                </c:pt>
                <c:pt idx="6">
                  <c:v>61.572167016945897</c:v>
                </c:pt>
                <c:pt idx="7">
                  <c:v>61.572040447052359</c:v>
                </c:pt>
                <c:pt idx="8">
                  <c:v>61.571888347115753</c:v>
                </c:pt>
                <c:pt idx="9">
                  <c:v>61.571705429217694</c:v>
                </c:pt>
                <c:pt idx="10">
                  <c:v>61.571485573193442</c:v>
                </c:pt>
                <c:pt idx="11">
                  <c:v>61.571221289782592</c:v>
                </c:pt>
                <c:pt idx="12">
                  <c:v>61.570903423049671</c:v>
                </c:pt>
                <c:pt idx="13">
                  <c:v>61.570521481711523</c:v>
                </c:pt>
                <c:pt idx="14">
                  <c:v>61.570062195979496</c:v>
                </c:pt>
                <c:pt idx="15">
                  <c:v>61.569510113622677</c:v>
                </c:pt>
                <c:pt idx="16">
                  <c:v>61.568846449765658</c:v>
                </c:pt>
                <c:pt idx="17">
                  <c:v>61.568048796170764</c:v>
                </c:pt>
                <c:pt idx="18">
                  <c:v>61.567089849827035</c:v>
                </c:pt>
                <c:pt idx="19">
                  <c:v>61.565937345141101</c:v>
                </c:pt>
                <c:pt idx="20">
                  <c:v>61.564552002231281</c:v>
                </c:pt>
                <c:pt idx="21">
                  <c:v>61.562887217072209</c:v>
                </c:pt>
                <c:pt idx="22">
                  <c:v>61.560886329169051</c:v>
                </c:pt>
                <c:pt idx="23">
                  <c:v>61.558482282806004</c:v>
                </c:pt>
                <c:pt idx="24">
                  <c:v>61.555593399220648</c:v>
                </c:pt>
                <c:pt idx="25">
                  <c:v>61.552122825338301</c:v>
                </c:pt>
                <c:pt idx="26">
                  <c:v>61.547952999018477</c:v>
                </c:pt>
                <c:pt idx="27">
                  <c:v>61.54294546671008</c:v>
                </c:pt>
                <c:pt idx="28">
                  <c:v>61.536933067495667</c:v>
                </c:pt>
                <c:pt idx="29">
                  <c:v>61.529720978327738</c:v>
                </c:pt>
                <c:pt idx="30">
                  <c:v>61.521057532564541</c:v>
                </c:pt>
                <c:pt idx="31">
                  <c:v>61.510668460178984</c:v>
                </c:pt>
                <c:pt idx="32">
                  <c:v>61.498207153918415</c:v>
                </c:pt>
                <c:pt idx="33">
                  <c:v>61.483278984271678</c:v>
                </c:pt>
                <c:pt idx="34">
                  <c:v>61.465393131047364</c:v>
                </c:pt>
                <c:pt idx="35">
                  <c:v>61.443991472500265</c:v>
                </c:pt>
                <c:pt idx="36">
                  <c:v>61.418402466721574</c:v>
                </c:pt>
                <c:pt idx="37">
                  <c:v>61.387821663253909</c:v>
                </c:pt>
                <c:pt idx="38">
                  <c:v>61.35135611725719</c:v>
                </c:pt>
                <c:pt idx="39">
                  <c:v>61.307903637050707</c:v>
                </c:pt>
                <c:pt idx="40">
                  <c:v>61.25623474383768</c:v>
                </c:pt>
                <c:pt idx="41">
                  <c:v>61.194917335296552</c:v>
                </c:pt>
                <c:pt idx="42">
                  <c:v>61.122335739748252</c:v>
                </c:pt>
                <c:pt idx="43">
                  <c:v>61.036636268100523</c:v>
                </c:pt>
                <c:pt idx="44">
                  <c:v>60.93580328412277</c:v>
                </c:pt>
                <c:pt idx="45">
                  <c:v>60.817584183829098</c:v>
                </c:pt>
                <c:pt idx="46">
                  <c:v>60.679601092957959</c:v>
                </c:pt>
                <c:pt idx="47">
                  <c:v>60.519294070948568</c:v>
                </c:pt>
                <c:pt idx="48">
                  <c:v>60.334107447085827</c:v>
                </c:pt>
                <c:pt idx="49">
                  <c:v>60.121412827647376</c:v>
                </c:pt>
                <c:pt idx="50">
                  <c:v>59.878771173830707</c:v>
                </c:pt>
                <c:pt idx="51">
                  <c:v>59.603873849050331</c:v>
                </c:pt>
                <c:pt idx="52">
                  <c:v>59.294899918008198</c:v>
                </c:pt>
                <c:pt idx="53">
                  <c:v>58.95039163089406</c:v>
                </c:pt>
                <c:pt idx="54">
                  <c:v>58.569687670331241</c:v>
                </c:pt>
                <c:pt idx="55">
                  <c:v>58.151807396760297</c:v>
                </c:pt>
                <c:pt idx="56">
                  <c:v>57.697599787597227</c:v>
                </c:pt>
                <c:pt idx="57">
                  <c:v>57.20766044361315</c:v>
                </c:pt>
                <c:pt idx="58">
                  <c:v>56.683783898159376</c:v>
                </c:pt>
                <c:pt idx="59">
                  <c:v>56.127461233946399</c:v>
                </c:pt>
                <c:pt idx="60">
                  <c:v>55.541234322867183</c:v>
                </c:pt>
                <c:pt idx="61">
                  <c:v>54.927489875772238</c:v>
                </c:pt>
                <c:pt idx="62">
                  <c:v>54.288463862910234</c:v>
                </c:pt>
                <c:pt idx="63">
                  <c:v>53.627365533311121</c:v>
                </c:pt>
                <c:pt idx="64">
                  <c:v>52.946205328920925</c:v>
                </c:pt>
                <c:pt idx="65">
                  <c:v>52.247644855779996</c:v>
                </c:pt>
                <c:pt idx="66">
                  <c:v>51.53386812482794</c:v>
                </c:pt>
                <c:pt idx="67">
                  <c:v>50.807023806233822</c:v>
                </c:pt>
                <c:pt idx="68">
                  <c:v>50.068739942479738</c:v>
                </c:pt>
                <c:pt idx="69">
                  <c:v>49.320848079401486</c:v>
                </c:pt>
                <c:pt idx="70">
                  <c:v>48.56463571480765</c:v>
                </c:pt>
                <c:pt idx="71">
                  <c:v>47.801508514639863</c:v>
                </c:pt>
                <c:pt idx="72">
                  <c:v>47.032385896420777</c:v>
                </c:pt>
                <c:pt idx="73">
                  <c:v>46.258389057203438</c:v>
                </c:pt>
                <c:pt idx="74">
                  <c:v>45.480117870782834</c:v>
                </c:pt>
                <c:pt idx="75">
                  <c:v>44.698371909095158</c:v>
                </c:pt>
                <c:pt idx="76">
                  <c:v>43.913546824671812</c:v>
                </c:pt>
                <c:pt idx="77">
                  <c:v>43.126384054727808</c:v>
                </c:pt>
                <c:pt idx="78">
                  <c:v>42.337272021284463</c:v>
                </c:pt>
                <c:pt idx="79">
                  <c:v>41.547059265369754</c:v>
                </c:pt>
                <c:pt idx="80">
                  <c:v>40.754713887537406</c:v>
                </c:pt>
                <c:pt idx="81">
                  <c:v>39.961604630423857</c:v>
                </c:pt>
                <c:pt idx="82">
                  <c:v>39.167422354053542</c:v>
                </c:pt>
                <c:pt idx="83">
                  <c:v>38.372934579982662</c:v>
                </c:pt>
                <c:pt idx="84">
                  <c:v>37.577709520289353</c:v>
                </c:pt>
                <c:pt idx="85">
                  <c:v>36.78236050633646</c:v>
                </c:pt>
                <c:pt idx="86">
                  <c:v>35.986922140848129</c:v>
                </c:pt>
                <c:pt idx="87">
                  <c:v>35.191117737109032</c:v>
                </c:pt>
                <c:pt idx="88">
                  <c:v>34.395857077107877</c:v>
                </c:pt>
                <c:pt idx="89">
                  <c:v>33.600656488920997</c:v>
                </c:pt>
                <c:pt idx="90">
                  <c:v>32.805983920809588</c:v>
                </c:pt>
                <c:pt idx="91">
                  <c:v>32.011953319897806</c:v>
                </c:pt>
                <c:pt idx="92">
                  <c:v>31.21887729875786</c:v>
                </c:pt>
                <c:pt idx="93">
                  <c:v>30.426753680082825</c:v>
                </c:pt>
                <c:pt idx="94">
                  <c:v>30.229002796325567</c:v>
                </c:pt>
                <c:pt idx="95">
                  <c:v>30.129548316004801</c:v>
                </c:pt>
                <c:pt idx="96">
                  <c:v>30.031254909438477</c:v>
                </c:pt>
                <c:pt idx="97">
                  <c:v>29.931857605345019</c:v>
                </c:pt>
                <c:pt idx="98">
                  <c:v>29.833621788986715</c:v>
                </c:pt>
                <c:pt idx="99">
                  <c:v>29.734259129576909</c:v>
                </c:pt>
                <c:pt idx="100">
                  <c:v>29.636058972676217</c:v>
                </c:pt>
                <c:pt idx="101">
                  <c:v>29.536785625709015</c:v>
                </c:pt>
                <c:pt idx="102">
                  <c:v>29.438674604452292</c:v>
                </c:pt>
                <c:pt idx="103">
                  <c:v>29.339397831876504</c:v>
                </c:pt>
                <c:pt idx="104">
                  <c:v>29.241285453028482</c:v>
                </c:pt>
                <c:pt idx="105">
                  <c:v>29.142063067338103</c:v>
                </c:pt>
                <c:pt idx="106">
                  <c:v>29.044005886503044</c:v>
                </c:pt>
                <c:pt idx="107">
                  <c:v>28.944892028000272</c:v>
                </c:pt>
                <c:pt idx="108">
                  <c:v>28.846943012627982</c:v>
                </c:pt>
                <c:pt idx="109">
                  <c:v>28.747921309409112</c:v>
                </c:pt>
                <c:pt idx="110">
                  <c:v>28.650064564374045</c:v>
                </c:pt>
                <c:pt idx="111">
                  <c:v>28.55105613772465</c:v>
                </c:pt>
                <c:pt idx="112">
                  <c:v>28.453214732337308</c:v>
                </c:pt>
                <c:pt idx="113">
                  <c:v>28.354277390845706</c:v>
                </c:pt>
                <c:pt idx="114">
                  <c:v>28.256507887803572</c:v>
                </c:pt>
                <c:pt idx="115">
                  <c:v>28.157633388822951</c:v>
                </c:pt>
                <c:pt idx="116">
                  <c:v>28.059927850572169</c:v>
                </c:pt>
                <c:pt idx="117">
                  <c:v>27.96111034097764</c:v>
                </c:pt>
                <c:pt idx="118">
                  <c:v>27.863463169878642</c:v>
                </c:pt>
                <c:pt idx="119">
                  <c:v>27.764758522768936</c:v>
                </c:pt>
                <c:pt idx="120">
                  <c:v>27.667224397502508</c:v>
                </c:pt>
                <c:pt idx="121">
                  <c:v>27.568626845709563</c:v>
                </c:pt>
                <c:pt idx="122">
                  <c:v>27.471200259491816</c:v>
                </c:pt>
                <c:pt idx="123">
                  <c:v>27.372649424528838</c:v>
                </c:pt>
                <c:pt idx="124">
                  <c:v>27.275271558754433</c:v>
                </c:pt>
                <c:pt idx="125">
                  <c:v>27.176825160327866</c:v>
                </c:pt>
                <c:pt idx="126">
                  <c:v>27.079552509811084</c:v>
                </c:pt>
                <c:pt idx="127">
                  <c:v>26.981210599753144</c:v>
                </c:pt>
                <c:pt idx="128">
                  <c:v>26.884043359203226</c:v>
                </c:pt>
                <c:pt idx="129">
                  <c:v>26.785807692552936</c:v>
                </c:pt>
                <c:pt idx="130">
                  <c:v>26.688747726301223</c:v>
                </c:pt>
                <c:pt idx="131">
                  <c:v>26.590621639305517</c:v>
                </c:pt>
                <c:pt idx="132">
                  <c:v>26.542001546917689</c:v>
                </c:pt>
                <c:pt idx="133">
                  <c:v>26.493672362186413</c:v>
                </c:pt>
                <c:pt idx="134">
                  <c:v>26.444492302228575</c:v>
                </c:pt>
                <c:pt idx="135">
                  <c:v>26.39561036406144</c:v>
                </c:pt>
                <c:pt idx="136">
                  <c:v>26.347023204854136</c:v>
                </c:pt>
                <c:pt idx="137">
                  <c:v>26.298727538877444</c:v>
                </c:pt>
                <c:pt idx="138">
                  <c:v>26.249633506533343</c:v>
                </c:pt>
                <c:pt idx="139">
                  <c:v>26.200837579706739</c:v>
                </c:pt>
                <c:pt idx="140">
                  <c:v>26.15233642074935</c:v>
                </c:pt>
                <c:pt idx="141">
                  <c:v>26.104126748989277</c:v>
                </c:pt>
                <c:pt idx="142">
                  <c:v>26.055072431712986</c:v>
                </c:pt>
                <c:pt idx="143">
                  <c:v>26.006316809512533</c:v>
                </c:pt>
                <c:pt idx="144">
                  <c:v>25.957856539970013</c:v>
                </c:pt>
                <c:pt idx="145">
                  <c:v>25.909688337743511</c:v>
                </c:pt>
                <c:pt idx="146">
                  <c:v>25.860703287265274</c:v>
                </c:pt>
                <c:pt idx="147">
                  <c:v>25.812017210927127</c:v>
                </c:pt>
                <c:pt idx="148">
                  <c:v>25.763626766945613</c:v>
                </c:pt>
                <c:pt idx="149">
                  <c:v>25.715528670589233</c:v>
                </c:pt>
                <c:pt idx="150">
                  <c:v>25.666617677263073</c:v>
                </c:pt>
                <c:pt idx="151">
                  <c:v>25.618005927883924</c:v>
                </c:pt>
                <c:pt idx="152">
                  <c:v>25.569690081663012</c:v>
                </c:pt>
                <c:pt idx="153">
                  <c:v>25.521666854830322</c:v>
                </c:pt>
                <c:pt idx="154">
                  <c:v>25.472812801977124</c:v>
                </c:pt>
                <c:pt idx="155">
                  <c:v>25.424258523546857</c:v>
                </c:pt>
                <c:pt idx="156">
                  <c:v>25.376000675607266</c:v>
                </c:pt>
                <c:pt idx="157">
                  <c:v>25.328035971304523</c:v>
                </c:pt>
                <c:pt idx="158">
                  <c:v>25.279246228175477</c:v>
                </c:pt>
                <c:pt idx="159">
                  <c:v>25.230756754822785</c:v>
                </c:pt>
                <c:pt idx="160">
                  <c:v>25.182564204981944</c:v>
                </c:pt>
                <c:pt idx="161">
                  <c:v>25.134665289506724</c:v>
                </c:pt>
                <c:pt idx="162">
                  <c:v>25.085968902977051</c:v>
                </c:pt>
                <c:pt idx="163">
                  <c:v>25.037572981310049</c:v>
                </c:pt>
                <c:pt idx="164">
                  <c:v>24.989474181135797</c:v>
                </c:pt>
                <c:pt idx="165">
                  <c:v>24.941669216122719</c:v>
                </c:pt>
                <c:pt idx="166">
                  <c:v>24.89303104090153</c:v>
                </c:pt>
                <c:pt idx="167">
                  <c:v>24.844694016846148</c:v>
                </c:pt>
                <c:pt idx="168">
                  <c:v>24.796654795533573</c:v>
                </c:pt>
                <c:pt idx="169">
                  <c:v>24.748910085678183</c:v>
                </c:pt>
                <c:pt idx="170">
                  <c:v>24.700441506561319</c:v>
                </c:pt>
                <c:pt idx="171">
                  <c:v>24.652273449454157</c:v>
                </c:pt>
                <c:pt idx="172">
                  <c:v>24.604402582957029</c:v>
                </c:pt>
                <c:pt idx="173">
                  <c:v>24.556825632404689</c:v>
                </c:pt>
                <c:pt idx="174">
                  <c:v>24.508351017044269</c:v>
                </c:pt>
                <c:pt idx="175">
                  <c:v>24.460178530631389</c:v>
                </c:pt>
                <c:pt idx="176">
                  <c:v>24.412304821914116</c:v>
                </c:pt>
                <c:pt idx="177">
                  <c:v>24.364726596805969</c:v>
                </c:pt>
                <c:pt idx="178">
                  <c:v>24.316281501456217</c:v>
                </c:pt>
                <c:pt idx="179">
                  <c:v>24.26813977758783</c:v>
                </c:pt>
                <c:pt idx="180">
                  <c:v>24.220298060412052</c:v>
                </c:pt>
                <c:pt idx="181">
                  <c:v>24.172753042592152</c:v>
                </c:pt>
                <c:pt idx="182">
                  <c:v>24.124559412672589</c:v>
                </c:pt>
                <c:pt idx="183">
                  <c:v>24.076667695032622</c:v>
                </c:pt>
                <c:pt idx="184">
                  <c:v>24.029074556328048</c:v>
                </c:pt>
                <c:pt idx="185">
                  <c:v>23.981776719931851</c:v>
                </c:pt>
                <c:pt idx="186">
                  <c:v>23.933484699281479</c:v>
                </c:pt>
                <c:pt idx="187">
                  <c:v>23.885497581673519</c:v>
                </c:pt>
                <c:pt idx="188">
                  <c:v>23.837811991839114</c:v>
                </c:pt>
                <c:pt idx="189">
                  <c:v>23.790424612152343</c:v>
                </c:pt>
                <c:pt idx="190">
                  <c:v>23.742436317843342</c:v>
                </c:pt>
                <c:pt idx="191">
                  <c:v>23.694750944797875</c:v>
                </c:pt>
                <c:pt idx="192">
                  <c:v>23.647365158254079</c:v>
                </c:pt>
                <c:pt idx="193">
                  <c:v>23.600275680148695</c:v>
                </c:pt>
                <c:pt idx="194">
                  <c:v>23.55225632989109</c:v>
                </c:pt>
                <c:pt idx="195">
                  <c:v>23.504542211387694</c:v>
                </c:pt>
                <c:pt idx="196">
                  <c:v>23.457129959798625</c:v>
                </c:pt>
                <c:pt idx="197">
                  <c:v>23.410016267634532</c:v>
                </c:pt>
                <c:pt idx="198">
                  <c:v>23.362175943257924</c:v>
                </c:pt>
                <c:pt idx="199">
                  <c:v>23.314640591207699</c:v>
                </c:pt>
                <c:pt idx="200">
                  <c:v>23.267406859183332</c:v>
                </c:pt>
                <c:pt idx="201">
                  <c:v>23.220471451919384</c:v>
                </c:pt>
                <c:pt idx="202">
                  <c:v>23.172834900211985</c:v>
                </c:pt>
                <c:pt idx="203">
                  <c:v>23.125502822347734</c:v>
                </c:pt>
                <c:pt idx="204">
                  <c:v>23.078471882666335</c:v>
                </c:pt>
                <c:pt idx="205">
                  <c:v>23.031738802132743</c:v>
                </c:pt>
                <c:pt idx="206">
                  <c:v>22.984167418758194</c:v>
                </c:pt>
                <c:pt idx="207">
                  <c:v>22.93690186291191</c:v>
                </c:pt>
                <c:pt idx="208">
                  <c:v>22.889938785438218</c:v>
                </c:pt>
                <c:pt idx="209">
                  <c:v>22.843274894074685</c:v>
                </c:pt>
                <c:pt idx="210">
                  <c:v>22.795645053565995</c:v>
                </c:pt>
                <c:pt idx="211">
                  <c:v>22.748324095088197</c:v>
                </c:pt>
                <c:pt idx="212">
                  <c:v>22.701308628403531</c:v>
                </c:pt>
                <c:pt idx="213">
                  <c:v>22.654595321056654</c:v>
                </c:pt>
                <c:pt idx="214">
                  <c:v>22.607258708741419</c:v>
                </c:pt>
                <c:pt idx="215">
                  <c:v>22.560229597641204</c:v>
                </c:pt>
                <c:pt idx="216">
                  <c:v>22.513504629403947</c:v>
                </c:pt>
                <c:pt idx="217">
                  <c:v>22.467080502695364</c:v>
                </c:pt>
                <c:pt idx="218">
                  <c:v>22.41990567185681</c:v>
                </c:pt>
                <c:pt idx="219">
                  <c:v>22.373038749225497</c:v>
                </c:pt>
                <c:pt idx="220">
                  <c:v>22.326476379240031</c:v>
                </c:pt>
                <c:pt idx="221">
                  <c:v>22.280215263247165</c:v>
                </c:pt>
                <c:pt idx="222">
                  <c:v>22.233230874238842</c:v>
                </c:pt>
                <c:pt idx="223">
                  <c:v>22.186554525529615</c:v>
                </c:pt>
                <c:pt idx="224">
                  <c:v>22.140182869043951</c:v>
                </c:pt>
                <c:pt idx="225">
                  <c:v>22.094112613395417</c:v>
                </c:pt>
                <c:pt idx="226">
                  <c:v>22.047203565641578</c:v>
                </c:pt>
                <c:pt idx="227">
                  <c:v>22.00060430498462</c:v>
                </c:pt>
                <c:pt idx="228">
                  <c:v>21.954311464820172</c:v>
                </c:pt>
                <c:pt idx="229">
                  <c:v>21.908321735595926</c:v>
                </c:pt>
                <c:pt idx="230">
                  <c:v>21.8150385859309</c:v>
                </c:pt>
                <c:pt idx="231">
                  <c:v>21.768860401535779</c:v>
                </c:pt>
                <c:pt idx="232">
                  <c:v>21.722986695916269</c:v>
                </c:pt>
                <c:pt idx="233">
                  <c:v>21.676335997307341</c:v>
                </c:pt>
                <c:pt idx="234">
                  <c:v>21.629997537895413</c:v>
                </c:pt>
                <c:pt idx="235">
                  <c:v>21.583967931771383</c:v>
                </c:pt>
                <c:pt idx="236">
                  <c:v>21.538243850390462</c:v>
                </c:pt>
                <c:pt idx="237">
                  <c:v>21.49190352495879</c:v>
                </c:pt>
                <c:pt idx="238">
                  <c:v>21.445874424742396</c:v>
                </c:pt>
                <c:pt idx="239">
                  <c:v>21.400153190777882</c:v>
                </c:pt>
                <c:pt idx="240">
                  <c:v>21.354736520792265</c:v>
                </c:pt>
                <c:pt idx="241">
                  <c:v>21.30847157254944</c:v>
                </c:pt>
                <c:pt idx="242">
                  <c:v>21.26252010371082</c:v>
                </c:pt>
                <c:pt idx="243">
                  <c:v>21.216878729614802</c:v>
                </c:pt>
                <c:pt idx="244">
                  <c:v>21.171544122794113</c:v>
                </c:pt>
                <c:pt idx="245">
                  <c:v>21.125518505012167</c:v>
                </c:pt>
                <c:pt idx="246">
                  <c:v>21.079806548570215</c:v>
                </c:pt>
                <c:pt idx="247">
                  <c:v>21.034404876781828</c:v>
                </c:pt>
                <c:pt idx="248">
                  <c:v>20.989310169897241</c:v>
                </c:pt>
                <c:pt idx="249">
                  <c:v>20.943430467081008</c:v>
                </c:pt>
                <c:pt idx="250">
                  <c:v>20.897866010983112</c:v>
                </c:pt>
                <c:pt idx="251">
                  <c:v>20.852613410463434</c:v>
                </c:pt>
                <c:pt idx="252">
                  <c:v>20.80766933155822</c:v>
                </c:pt>
                <c:pt idx="253">
                  <c:v>20.762089033812103</c:v>
                </c:pt>
                <c:pt idx="254">
                  <c:v>20.716823604981428</c:v>
                </c:pt>
                <c:pt idx="255">
                  <c:v>20.671869671190596</c:v>
                </c:pt>
                <c:pt idx="256">
                  <c:v>20.627223915263713</c:v>
                </c:pt>
                <c:pt idx="257">
                  <c:v>20.581738372130296</c:v>
                </c:pt>
                <c:pt idx="258">
                  <c:v>20.536570286089034</c:v>
                </c:pt>
                <c:pt idx="259">
                  <c:v>20.491716253090708</c:v>
                </c:pt>
                <c:pt idx="260">
                  <c:v>20.447172926363987</c:v>
                </c:pt>
                <c:pt idx="261">
                  <c:v>20.401935200784479</c:v>
                </c:pt>
                <c:pt idx="262">
                  <c:v>20.357015561988145</c:v>
                </c:pt>
                <c:pt idx="263">
                  <c:v>20.312410607323326</c:v>
                </c:pt>
                <c:pt idx="264">
                  <c:v>20.268116991281332</c:v>
                </c:pt>
                <c:pt idx="265">
                  <c:v>20.223157441110157</c:v>
                </c:pt>
                <c:pt idx="266">
                  <c:v>20.178516328349549</c:v>
                </c:pt>
                <c:pt idx="267">
                  <c:v>20.134190256280192</c:v>
                </c:pt>
                <c:pt idx="268">
                  <c:v>20.090175885083383</c:v>
                </c:pt>
                <c:pt idx="269">
                  <c:v>20.04541801891099</c:v>
                </c:pt>
                <c:pt idx="270">
                  <c:v>20.000980180019607</c:v>
                </c:pt>
                <c:pt idx="271">
                  <c:v>19.956858957920382</c:v>
                </c:pt>
                <c:pt idx="272">
                  <c:v>19.913050999214242</c:v>
                </c:pt>
                <c:pt idx="273">
                  <c:v>19.868530825189723</c:v>
                </c:pt>
                <c:pt idx="274">
                  <c:v>19.824331933308219</c:v>
                </c:pt>
                <c:pt idx="275">
                  <c:v>19.78045090473973</c:v>
                </c:pt>
                <c:pt idx="276">
                  <c:v>19.736884377804454</c:v>
                </c:pt>
                <c:pt idx="277">
                  <c:v>19.692735317045571</c:v>
                </c:pt>
                <c:pt idx="278">
                  <c:v>19.648907035715403</c:v>
                </c:pt>
                <c:pt idx="279">
                  <c:v>19.605396134577859</c:v>
                </c:pt>
                <c:pt idx="280">
                  <c:v>19.562199270980159</c:v>
                </c:pt>
                <c:pt idx="281">
                  <c:v>19.518155749283018</c:v>
                </c:pt>
                <c:pt idx="282">
                  <c:v>19.474436538822861</c:v>
                </c:pt>
                <c:pt idx="283">
                  <c:v>19.431038195917431</c:v>
                </c:pt>
                <c:pt idx="284">
                  <c:v>19.387957334311871</c:v>
                </c:pt>
                <c:pt idx="285">
                  <c:v>19.344347835057448</c:v>
                </c:pt>
                <c:pt idx="286">
                  <c:v>19.301061565086599</c:v>
                </c:pt>
                <c:pt idx="287">
                  <c:v>19.258095109418495</c:v>
                </c:pt>
                <c:pt idx="288">
                  <c:v>19.215445109715972</c:v>
                </c:pt>
                <c:pt idx="289">
                  <c:v>19.172017469450861</c:v>
                </c:pt>
                <c:pt idx="290">
                  <c:v>19.128915882676047</c:v>
                </c:pt>
                <c:pt idx="291">
                  <c:v>19.086136901181121</c:v>
                </c:pt>
                <c:pt idx="292">
                  <c:v>19.043677133975109</c:v>
                </c:pt>
                <c:pt idx="293">
                  <c:v>19.000563040563428</c:v>
                </c:pt>
                <c:pt idx="294">
                  <c:v>18.95777608227365</c:v>
                </c:pt>
                <c:pt idx="295">
                  <c:v>18.915312805149767</c:v>
                </c:pt>
                <c:pt idx="296">
                  <c:v>18.873169812415163</c:v>
                </c:pt>
                <c:pt idx="297">
                  <c:v>18.830402661554317</c:v>
                </c:pt>
                <c:pt idx="298">
                  <c:v>18.787963420501818</c:v>
                </c:pt>
                <c:pt idx="299">
                  <c:v>18.745848634235642</c:v>
                </c:pt>
                <c:pt idx="300">
                  <c:v>18.7040549047613</c:v>
                </c:pt>
                <c:pt idx="301">
                  <c:v>18.661666314229457</c:v>
                </c:pt>
                <c:pt idx="302">
                  <c:v>18.619606119171287</c:v>
                </c:pt>
                <c:pt idx="303">
                  <c:v>18.57787086781731</c:v>
                </c:pt>
                <c:pt idx="304">
                  <c:v>18.536457165171111</c:v>
                </c:pt>
                <c:pt idx="305">
                  <c:v>18.494316219714509</c:v>
                </c:pt>
                <c:pt idx="306">
                  <c:v>18.452506402834526</c:v>
                </c:pt>
                <c:pt idx="307">
                  <c:v>18.411024230414409</c:v>
                </c:pt>
                <c:pt idx="308">
                  <c:v>18.369866275625014</c:v>
                </c:pt>
                <c:pt idx="309">
                  <c:v>18.328172043219986</c:v>
                </c:pt>
                <c:pt idx="310">
                  <c:v>18.28680879296525</c:v>
                </c:pt>
                <c:pt idx="311">
                  <c:v>18.245773053393165</c:v>
                </c:pt>
                <c:pt idx="312">
                  <c:v>18.205061409846138</c:v>
                </c:pt>
                <c:pt idx="313">
                  <c:v>18.163689337985151</c:v>
                </c:pt>
                <c:pt idx="314">
                  <c:v>18.122650287836819</c:v>
                </c:pt>
                <c:pt idx="315">
                  <c:v>18.081940765888312</c:v>
                </c:pt>
                <c:pt idx="316">
                  <c:v>18.041557335706127</c:v>
                </c:pt>
                <c:pt idx="317">
                  <c:v>18.00054669581716</c:v>
                </c:pt>
                <c:pt idx="318">
                  <c:v>17.959870748713783</c:v>
                </c:pt>
                <c:pt idx="319">
                  <c:v>17.919525984240895</c:v>
                </c:pt>
                <c:pt idx="320">
                  <c:v>17.879508949464537</c:v>
                </c:pt>
                <c:pt idx="321">
                  <c:v>17.838896993374071</c:v>
                </c:pt>
                <c:pt idx="322">
                  <c:v>17.79862105053499</c:v>
                </c:pt>
                <c:pt idx="323">
                  <c:v>17.758677599203669</c:v>
                </c:pt>
                <c:pt idx="324">
                  <c:v>17.71906317488023</c:v>
                </c:pt>
                <c:pt idx="325">
                  <c:v>17.678885199533184</c:v>
                </c:pt>
                <c:pt idx="326">
                  <c:v>17.639044224790297</c:v>
                </c:pt>
                <c:pt idx="327">
                  <c:v>17.599536722025647</c:v>
                </c:pt>
                <c:pt idx="328">
                  <c:v>17.560359219769545</c:v>
                </c:pt>
                <c:pt idx="329">
                  <c:v>17.520582510363528</c:v>
                </c:pt>
                <c:pt idx="330">
                  <c:v>17.481144597138012</c:v>
                </c:pt>
                <c:pt idx="331">
                  <c:v>17.442041931349522</c:v>
                </c:pt>
                <c:pt idx="332">
                  <c:v>17.40327102159987</c:v>
                </c:pt>
                <c:pt idx="333">
                  <c:v>17.363997733972305</c:v>
                </c:pt>
                <c:pt idx="334">
                  <c:v>17.325063568042452</c:v>
                </c:pt>
                <c:pt idx="335">
                  <c:v>17.286464977339847</c:v>
                </c:pt>
                <c:pt idx="336">
                  <c:v>17.248198472440265</c:v>
                </c:pt>
                <c:pt idx="337">
                  <c:v>17.209334867928632</c:v>
                </c:pt>
                <c:pt idx="338">
                  <c:v>17.170812590596181</c:v>
                </c:pt>
                <c:pt idx="339">
                  <c:v>17.132628066116617</c:v>
                </c:pt>
                <c:pt idx="340">
                  <c:v>17.094777777548643</c:v>
                </c:pt>
                <c:pt idx="341">
                  <c:v>17.056364691077125</c:v>
                </c:pt>
                <c:pt idx="342">
                  <c:v>17.018294740131772</c:v>
                </c:pt>
                <c:pt idx="343">
                  <c:v>16.980564327991019</c:v>
                </c:pt>
                <c:pt idx="344">
                  <c:v>16.94316991553238</c:v>
                </c:pt>
                <c:pt idx="345">
                  <c:v>16.905303495412021</c:v>
                </c:pt>
                <c:pt idx="346">
                  <c:v>16.867780596492473</c:v>
                </c:pt>
                <c:pt idx="347">
                  <c:v>16.830597621141536</c:v>
                </c:pt>
                <c:pt idx="348">
                  <c:v>16.793751029077534</c:v>
                </c:pt>
                <c:pt idx="349">
                  <c:v>16.756350887955641</c:v>
                </c:pt>
                <c:pt idx="350">
                  <c:v>16.71929639738714</c:v>
                </c:pt>
                <c:pt idx="351">
                  <c:v>16.682583930613365</c:v>
                </c:pt>
                <c:pt idx="352">
                  <c:v>16.64620991857155</c:v>
                </c:pt>
                <c:pt idx="353">
                  <c:v>16.609316829322992</c:v>
                </c:pt>
                <c:pt idx="354">
                  <c:v>16.572771112198986</c:v>
                </c:pt>
                <c:pt idx="355">
                  <c:v>16.536569116756933</c:v>
                </c:pt>
                <c:pt idx="356">
                  <c:v>16.500707250475415</c:v>
                </c:pt>
                <c:pt idx="357">
                  <c:v>16.464411166927885</c:v>
                </c:pt>
                <c:pt idx="358">
                  <c:v>16.428462801375382</c:v>
                </c:pt>
                <c:pt idx="359">
                  <c:v>16.392858500320816</c:v>
                </c:pt>
                <c:pt idx="360">
                  <c:v>16.357594667976713</c:v>
                </c:pt>
                <c:pt idx="361">
                  <c:v>16.321827303054754</c:v>
                </c:pt>
                <c:pt idx="362">
                  <c:v>16.286409617671818</c:v>
                </c:pt>
                <c:pt idx="363">
                  <c:v>16.251337928816024</c:v>
                </c:pt>
                <c:pt idx="364">
                  <c:v>16.216608611528908</c:v>
                </c:pt>
                <c:pt idx="365">
                  <c:v>16.181457685123586</c:v>
                </c:pt>
                <c:pt idx="366">
                  <c:v>16.146657036123869</c:v>
                </c:pt>
                <c:pt idx="367">
                  <c:v>16.112202972378494</c:v>
                </c:pt>
                <c:pt idx="368">
                  <c:v>16.078091859707055</c:v>
                </c:pt>
                <c:pt idx="369">
                  <c:v>16.043498402910828</c:v>
                </c:pt>
                <c:pt idx="370">
                  <c:v>16.009257336637091</c:v>
                </c:pt>
                <c:pt idx="371">
                  <c:v>15.97536493452697</c:v>
                </c:pt>
                <c:pt idx="372">
                  <c:v>15.941817528635569</c:v>
                </c:pt>
                <c:pt idx="373">
                  <c:v>15.907866738844852</c:v>
                </c:pt>
                <c:pt idx="374">
                  <c:v>15.874269102084908</c:v>
                </c:pt>
                <c:pt idx="375">
                  <c:v>15.841020877932547</c:v>
                </c:pt>
                <c:pt idx="376">
                  <c:v>15.80811838440555</c:v>
                </c:pt>
                <c:pt idx="377">
                  <c:v>15.774759889289216</c:v>
                </c:pt>
                <c:pt idx="378">
                  <c:v>15.741756730663743</c:v>
                </c:pt>
                <c:pt idx="379">
                  <c:v>15.709105130250339</c:v>
                </c:pt>
                <c:pt idx="380">
                  <c:v>15.676801368738131</c:v>
                </c:pt>
                <c:pt idx="381">
                  <c:v>15.644157802672837</c:v>
                </c:pt>
                <c:pt idx="382">
                  <c:v>15.61186954382817</c:v>
                </c:pt>
                <c:pt idx="383">
                  <c:v>15.579932809974606</c:v>
                </c:pt>
                <c:pt idx="384">
                  <c:v>15.548343877682596</c:v>
                </c:pt>
                <c:pt idx="385">
                  <c:v>15.516329075663178</c:v>
                </c:pt>
                <c:pt idx="386">
                  <c:v>15.484671794498418</c:v>
                </c:pt>
                <c:pt idx="387">
                  <c:v>15.453368210963273</c:v>
                </c:pt>
                <c:pt idx="388">
                  <c:v>15.422414561241791</c:v>
                </c:pt>
                <c:pt idx="389">
                  <c:v>15.391107985743904</c:v>
                </c:pt>
                <c:pt idx="390">
                  <c:v>15.360159824831566</c:v>
                </c:pt>
                <c:pt idx="391">
                  <c:v>15.329566234012269</c:v>
                </c:pt>
                <c:pt idx="392">
                  <c:v>15.299323428416237</c:v>
                </c:pt>
                <c:pt idx="393">
                  <c:v>15.268760220282358</c:v>
                </c:pt>
                <c:pt idx="394">
                  <c:v>15.238555913469279</c:v>
                </c:pt>
                <c:pt idx="395">
                  <c:v>15.208706647452763</c:v>
                </c:pt>
                <c:pt idx="396">
                  <c:v>15.179208621452698</c:v>
                </c:pt>
                <c:pt idx="397">
                  <c:v>15.149354682026594</c:v>
                </c:pt>
                <c:pt idx="398">
                  <c:v>15.119861358775532</c:v>
                </c:pt>
                <c:pt idx="399">
                  <c:v>15.090724754025436</c:v>
                </c:pt>
                <c:pt idx="400">
                  <c:v>15.061941030420281</c:v>
                </c:pt>
                <c:pt idx="401">
                  <c:v>15.03286854470951</c:v>
                </c:pt>
                <c:pt idx="402">
                  <c:v>15.004157123260367</c:v>
                </c:pt>
                <c:pt idx="403">
                  <c:v>14.97580285037602</c:v>
                </c:pt>
                <c:pt idx="404">
                  <c:v>14.947801870878628</c:v>
                </c:pt>
                <c:pt idx="405">
                  <c:v>14.919513574786819</c:v>
                </c:pt>
                <c:pt idx="406">
                  <c:v>14.89158716279039</c:v>
                </c:pt>
                <c:pt idx="407">
                  <c:v>14.864018693869365</c:v>
                </c:pt>
                <c:pt idx="408">
                  <c:v>14.83680428789703</c:v>
                </c:pt>
                <c:pt idx="409">
                  <c:v>14.80930679514373</c:v>
                </c:pt>
                <c:pt idx="410">
                  <c:v>14.782172330895182</c:v>
                </c:pt>
                <c:pt idx="411">
                  <c:v>14.755396922223184</c:v>
                </c:pt>
                <c:pt idx="412">
                  <c:v>14.728976657628348</c:v>
                </c:pt>
                <c:pt idx="413">
                  <c:v>14.70230748293789</c:v>
                </c:pt>
                <c:pt idx="414">
                  <c:v>14.676002015885061</c:v>
                </c:pt>
                <c:pt idx="415">
                  <c:v>14.650056257995605</c:v>
                </c:pt>
                <c:pt idx="416">
                  <c:v>14.624466272657934</c:v>
                </c:pt>
                <c:pt idx="417">
                  <c:v>14.598634606287401</c:v>
                </c:pt>
                <c:pt idx="418">
                  <c:v>14.573167611140615</c:v>
                </c:pt>
                <c:pt idx="419">
                  <c:v>14.548061257328335</c:v>
                </c:pt>
                <c:pt idx="420">
                  <c:v>14.523311577410452</c:v>
                </c:pt>
                <c:pt idx="421">
                  <c:v>14.498378654034362</c:v>
                </c:pt>
                <c:pt idx="422">
                  <c:v>14.473810179994773</c:v>
                </c:pt>
                <c:pt idx="423">
                  <c:v>14.449602112525223</c:v>
                </c:pt>
                <c:pt idx="424">
                  <c:v>14.425750471547481</c:v>
                </c:pt>
                <c:pt idx="425">
                  <c:v>14.401677522403084</c:v>
                </c:pt>
                <c:pt idx="426">
                  <c:v>14.377970492933262</c:v>
                </c:pt>
                <c:pt idx="427">
                  <c:v>14.354625298387116</c:v>
                </c:pt>
                <c:pt idx="428">
                  <c:v>14.331637917579629</c:v>
                </c:pt>
                <c:pt idx="429">
                  <c:v>14.308486723133328</c:v>
                </c:pt>
                <c:pt idx="430">
                  <c:v>14.285701714852992</c:v>
                </c:pt>
                <c:pt idx="431">
                  <c:v>14.263278785121079</c:v>
                </c:pt>
                <c:pt idx="432">
                  <c:v>14.241213890409774</c:v>
                </c:pt>
                <c:pt idx="433">
                  <c:v>14.219017840283552</c:v>
                </c:pt>
                <c:pt idx="434">
                  <c:v>14.197187792364502</c:v>
                </c:pt>
                <c:pt idx="435">
                  <c:v>14.175719623024301</c:v>
                </c:pt>
                <c:pt idx="436">
                  <c:v>14.154609273149195</c:v>
                </c:pt>
                <c:pt idx="437">
                  <c:v>14.133361474453093</c:v>
                </c:pt>
                <c:pt idx="438">
                  <c:v>14.112480374663129</c:v>
                </c:pt>
                <c:pt idx="439">
                  <c:v>14.091961818690098</c:v>
                </c:pt>
                <c:pt idx="440">
                  <c:v>14.071801716752478</c:v>
                </c:pt>
                <c:pt idx="441">
                  <c:v>14.051538403413586</c:v>
                </c:pt>
                <c:pt idx="442">
                  <c:v>14.031641994602762</c:v>
                </c:pt>
                <c:pt idx="443">
                  <c:v>14.012108311594993</c:v>
                </c:pt>
                <c:pt idx="444">
                  <c:v>13.992933241653782</c:v>
                </c:pt>
                <c:pt idx="445">
                  <c:v>13.973687973677025</c:v>
                </c:pt>
                <c:pt idx="446">
                  <c:v>13.954809351408187</c:v>
                </c:pt>
                <c:pt idx="447">
                  <c:v>13.936293180170713</c:v>
                </c:pt>
                <c:pt idx="448">
                  <c:v>13.918135331848729</c:v>
                </c:pt>
                <c:pt idx="449">
                  <c:v>13.899908898083677</c:v>
                </c:pt>
                <c:pt idx="450">
                  <c:v>13.882049635213697</c:v>
                </c:pt>
                <c:pt idx="451">
                  <c:v>13.864553319137018</c:v>
                </c:pt>
                <c:pt idx="452">
                  <c:v>13.847415793226329</c:v>
                </c:pt>
                <c:pt idx="453">
                  <c:v>13.830257839542739</c:v>
                </c:pt>
                <c:pt idx="454">
                  <c:v>13.813466491114621</c:v>
                </c:pt>
                <c:pt idx="455">
                  <c:v>13.797037513373187</c:v>
                </c:pt>
                <c:pt idx="456">
                  <c:v>13.780966739795808</c:v>
                </c:pt>
                <c:pt idx="457">
                  <c:v>13.764881357291454</c:v>
                </c:pt>
                <c:pt idx="458">
                  <c:v>13.749162757986104</c:v>
                </c:pt>
                <c:pt idx="459">
                  <c:v>13.733806684483481</c:v>
                </c:pt>
                <c:pt idx="460">
                  <c:v>13.718808948333708</c:v>
                </c:pt>
                <c:pt idx="461">
                  <c:v>13.703830138816953</c:v>
                </c:pt>
                <c:pt idx="462">
                  <c:v>13.689217816513231</c:v>
                </c:pt>
                <c:pt idx="463">
                  <c:v>13.674967710172947</c:v>
                </c:pt>
                <c:pt idx="464">
                  <c:v>13.661075618269162</c:v>
                </c:pt>
                <c:pt idx="465">
                  <c:v>13.64722431702176</c:v>
                </c:pt>
                <c:pt idx="466">
                  <c:v>13.633739321852115</c:v>
                </c:pt>
                <c:pt idx="467">
                  <c:v>13.620616346760643</c:v>
                </c:pt>
                <c:pt idx="468">
                  <c:v>13.607851176340251</c:v>
                </c:pt>
                <c:pt idx="469">
                  <c:v>13.595159541203149</c:v>
                </c:pt>
                <c:pt idx="470">
                  <c:v>13.582833584150292</c:v>
                </c:pt>
                <c:pt idx="471">
                  <c:v>13.570869013742508</c:v>
                </c:pt>
                <c:pt idx="472">
                  <c:v>13.559261609877097</c:v>
                </c:pt>
                <c:pt idx="473">
                  <c:v>13.547742742868003</c:v>
                </c:pt>
                <c:pt idx="474">
                  <c:v>13.536589574110296</c:v>
                </c:pt>
                <c:pt idx="475">
                  <c:v>13.525797797236304</c:v>
                </c:pt>
                <c:pt idx="476">
                  <c:v>13.515363178254898</c:v>
                </c:pt>
                <c:pt idx="477">
                  <c:v>13.505050593692996</c:v>
                </c:pt>
                <c:pt idx="478">
                  <c:v>13.495103276743203</c:v>
                </c:pt>
                <c:pt idx="479">
                  <c:v>13.485516916383355</c:v>
                </c:pt>
                <c:pt idx="480">
                  <c:v>13.476287274873735</c:v>
                </c:pt>
                <c:pt idx="481">
                  <c:v>13.467211936459975</c:v>
                </c:pt>
                <c:pt idx="482">
                  <c:v>13.45850102413182</c:v>
                </c:pt>
                <c:pt idx="483">
                  <c:v>13.45015023235799</c:v>
                </c:pt>
                <c:pt idx="484">
                  <c:v>13.442155329666456</c:v>
                </c:pt>
                <c:pt idx="485">
                  <c:v>13.434340615063256</c:v>
                </c:pt>
                <c:pt idx="486">
                  <c:v>13.426889607436836</c:v>
                </c:pt>
                <c:pt idx="487">
                  <c:v>13.41979800805489</c:v>
                </c:pt>
                <c:pt idx="488">
                  <c:v>13.413061593100297</c:v>
                </c:pt>
                <c:pt idx="489">
                  <c:v>13.406528323590042</c:v>
                </c:pt>
                <c:pt idx="490">
                  <c:v>13.400358639047418</c:v>
                </c:pt>
                <c:pt idx="491">
                  <c:v>13.394548241090462</c:v>
                </c:pt>
                <c:pt idx="492">
                  <c:v>13.389092907384089</c:v>
                </c:pt>
                <c:pt idx="493">
                  <c:v>13.383873849146404</c:v>
                </c:pt>
                <c:pt idx="494">
                  <c:v>13.379017865374244</c:v>
                </c:pt>
                <c:pt idx="495">
                  <c:v>13.374520669750991</c:v>
                </c:pt>
                <c:pt idx="496">
                  <c:v>13.370378053005608</c:v>
                </c:pt>
                <c:pt idx="497">
                  <c:v>13.366501337379891</c:v>
                </c:pt>
                <c:pt idx="498">
                  <c:v>13.362987303737235</c:v>
                </c:pt>
                <c:pt idx="499">
                  <c:v>13.359831681421957</c:v>
                </c:pt>
                <c:pt idx="500">
                  <c:v>13.357030277897197</c:v>
                </c:pt>
                <c:pt idx="501">
                  <c:v>13.354525567134818</c:v>
                </c:pt>
                <c:pt idx="502">
                  <c:v>13.35238327064304</c:v>
                </c:pt>
                <c:pt idx="503">
                  <c:v>13.35059913786572</c:v>
                </c:pt>
                <c:pt idx="504">
                  <c:v>13.349168997514463</c:v>
                </c:pt>
                <c:pt idx="505">
                  <c:v>13.348068037228526</c:v>
                </c:pt>
                <c:pt idx="506">
                  <c:v>13.347328923430187</c:v>
                </c:pt>
                <c:pt idx="507">
                  <c:v>13.346947438606973</c:v>
                </c:pt>
                <c:pt idx="508">
                  <c:v>13.346919445551563</c:v>
                </c:pt>
                <c:pt idx="509">
                  <c:v>13.347252380389335</c:v>
                </c:pt>
                <c:pt idx="510">
                  <c:v>13.347946777465157</c:v>
                </c:pt>
                <c:pt idx="511">
                  <c:v>13.348998457960251</c:v>
                </c:pt>
                <c:pt idx="512">
                  <c:v>13.350403324495479</c:v>
                </c:pt>
                <c:pt idx="513">
                  <c:v>13.352203154309601</c:v>
                </c:pt>
                <c:pt idx="514">
                  <c:v>13.354364682403396</c:v>
                </c:pt>
                <c:pt idx="515">
                  <c:v>13.356883768249048</c:v>
                </c:pt>
                <c:pt idx="516">
                  <c:v>13.359756354191193</c:v>
                </c:pt>
                <c:pt idx="517">
                  <c:v>13.363057203176281</c:v>
                </c:pt>
                <c:pt idx="518">
                  <c:v>13.366719782168966</c:v>
                </c:pt>
                <c:pt idx="519">
                  <c:v>13.370740004386723</c:v>
                </c:pt>
                <c:pt idx="520">
                  <c:v>13.375113867281671</c:v>
                </c:pt>
                <c:pt idx="521">
                  <c:v>13.379951173672065</c:v>
                </c:pt>
                <c:pt idx="522">
                  <c:v>13.385150507602857</c:v>
                </c:pt>
                <c:pt idx="523">
                  <c:v>13.390707845258657</c:v>
                </c:pt>
                <c:pt idx="524">
                  <c:v>13.396619248568014</c:v>
                </c:pt>
                <c:pt idx="525">
                  <c:v>13.403030453360678</c:v>
                </c:pt>
                <c:pt idx="526">
                  <c:v>13.409804291023333</c:v>
                </c:pt>
                <c:pt idx="527">
                  <c:v>13.416936811434979</c:v>
                </c:pt>
                <c:pt idx="528">
                  <c:v>13.424424151904557</c:v>
                </c:pt>
                <c:pt idx="529">
                  <c:v>13.432448869831571</c:v>
                </c:pt>
                <c:pt idx="530">
                  <c:v>13.44083718490959</c:v>
                </c:pt>
                <c:pt idx="531">
                  <c:v>13.4495852331686</c:v>
                </c:pt>
                <c:pt idx="532">
                  <c:v>13.458689239966418</c:v>
                </c:pt>
                <c:pt idx="533">
                  <c:v>13.468374568011964</c:v>
                </c:pt>
                <c:pt idx="534">
                  <c:v>13.478425253098486</c:v>
                </c:pt>
                <c:pt idx="535">
                  <c:v>13.488837526105229</c:v>
                </c:pt>
                <c:pt idx="536">
                  <c:v>13.499607709586172</c:v>
                </c:pt>
                <c:pt idx="537">
                  <c:v>13.510988871057268</c:v>
                </c:pt>
                <c:pt idx="538">
                  <c:v>13.522736886461875</c:v>
                </c:pt>
                <c:pt idx="539">
                  <c:v>13.534848110040658</c:v>
                </c:pt>
                <c:pt idx="540">
                  <c:v>13.547318989997578</c:v>
                </c:pt>
                <c:pt idx="541">
                  <c:v>13.560454536626025</c:v>
                </c:pt>
                <c:pt idx="542">
                  <c:v>13.573959761902259</c:v>
                </c:pt>
                <c:pt idx="543">
                  <c:v>13.587831151914349</c:v>
                </c:pt>
                <c:pt idx="544">
                  <c:v>13.602065289777794</c:v>
                </c:pt>
                <c:pt idx="545">
                  <c:v>13.617001134653965</c:v>
                </c:pt>
                <c:pt idx="546">
                  <c:v>13.632309795572526</c:v>
                </c:pt>
                <c:pt idx="547">
                  <c:v>13.647987918961897</c:v>
                </c:pt>
                <c:pt idx="548">
                  <c:v>13.664032251640648</c:v>
                </c:pt>
                <c:pt idx="549">
                  <c:v>13.680823270673885</c:v>
                </c:pt>
                <c:pt idx="550">
                  <c:v>13.697991055845533</c:v>
                </c:pt>
                <c:pt idx="551">
                  <c:v>13.715532440682496</c:v>
                </c:pt>
                <c:pt idx="552">
                  <c:v>13.733444363072348</c:v>
                </c:pt>
                <c:pt idx="553">
                  <c:v>13.752158577311086</c:v>
                </c:pt>
                <c:pt idx="554">
                  <c:v>13.771254817711371</c:v>
                </c:pt>
                <c:pt idx="555">
                  <c:v>13.790730132346273</c:v>
                </c:pt>
                <c:pt idx="556">
                  <c:v>13.810581678573964</c:v>
                </c:pt>
                <c:pt idx="557">
                  <c:v>13.852378022094008</c:v>
                </c:pt>
                <c:pt idx="558">
                  <c:v>13.895717329475154</c:v>
                </c:pt>
                <c:pt idx="559">
                  <c:v>13.941625384381599</c:v>
                </c:pt>
                <c:pt idx="560">
                  <c:v>13.989107119929541</c:v>
                </c:pt>
                <c:pt idx="561">
                  <c:v>14.039327032192945</c:v>
                </c:pt>
                <c:pt idx="562">
                  <c:v>14.091160687571975</c:v>
                </c:pt>
                <c:pt idx="563">
                  <c:v>14.14575729911501</c:v>
                </c:pt>
                <c:pt idx="564">
                  <c:v>14.202008610892102</c:v>
                </c:pt>
                <c:pt idx="565">
                  <c:v>14.261383974497148</c:v>
                </c:pt>
                <c:pt idx="566">
                  <c:v>14.322476850540234</c:v>
                </c:pt>
                <c:pt idx="567">
                  <c:v>14.386845772527085</c:v>
                </c:pt>
                <c:pt idx="568">
                  <c:v>14.453004894326302</c:v>
                </c:pt>
                <c:pt idx="569">
                  <c:v>14.522328959670347</c:v>
                </c:pt>
                <c:pt idx="570">
                  <c:v>14.59351341318553</c:v>
                </c:pt>
                <c:pt idx="571">
                  <c:v>14.668593234374994</c:v>
                </c:pt>
                <c:pt idx="572">
                  <c:v>14.745647629806911</c:v>
                </c:pt>
                <c:pt idx="573">
                  <c:v>14.826214886336306</c:v>
                </c:pt>
                <c:pt idx="574">
                  <c:v>14.908858630273929</c:v>
                </c:pt>
                <c:pt idx="575">
                  <c:v>14.995847672364736</c:v>
                </c:pt>
                <c:pt idx="576">
                  <c:v>15.085068038519619</c:v>
                </c:pt>
                <c:pt idx="577">
                  <c:v>15.488272347606014</c:v>
                </c:pt>
                <c:pt idx="578">
                  <c:v>15.93533587726929</c:v>
                </c:pt>
                <c:pt idx="579">
                  <c:v>17.096317237580472</c:v>
                </c:pt>
                <c:pt idx="580">
                  <c:v>18.763463168469389</c:v>
                </c:pt>
                <c:pt idx="581">
                  <c:v>21.391201175310606</c:v>
                </c:pt>
                <c:pt idx="582">
                  <c:v>26.339104939399736</c:v>
                </c:pt>
                <c:pt idx="583">
                  <c:v>44.099760239353465</c:v>
                </c:pt>
                <c:pt idx="584">
                  <c:v>29.972497252685628</c:v>
                </c:pt>
                <c:pt idx="585">
                  <c:v>25.163592455667384</c:v>
                </c:pt>
                <c:pt idx="586">
                  <c:v>23.989180218243384</c:v>
                </c:pt>
                <c:pt idx="587">
                  <c:v>24.291613539509985</c:v>
                </c:pt>
                <c:pt idx="588">
                  <c:v>25.519513653514288</c:v>
                </c:pt>
                <c:pt idx="589">
                  <c:v>27.956791877327156</c:v>
                </c:pt>
                <c:pt idx="590">
                  <c:v>34.342416039110979</c:v>
                </c:pt>
                <c:pt idx="591">
                  <c:v>41.142255665874707</c:v>
                </c:pt>
                <c:pt idx="592">
                  <c:v>32.515398539028062</c:v>
                </c:pt>
                <c:pt idx="593">
                  <c:v>32.35056715164508</c:v>
                </c:pt>
                <c:pt idx="594">
                  <c:v>35.060484286810365</c:v>
                </c:pt>
                <c:pt idx="595">
                  <c:v>55.869887894261971</c:v>
                </c:pt>
                <c:pt idx="596">
                  <c:v>38.319554437025232</c:v>
                </c:pt>
                <c:pt idx="597">
                  <c:v>38.475405515250728</c:v>
                </c:pt>
                <c:pt idx="598">
                  <c:v>49.971022461234838</c:v>
                </c:pt>
                <c:pt idx="599">
                  <c:v>42.378188054211876</c:v>
                </c:pt>
                <c:pt idx="600">
                  <c:v>44.273822308935202</c:v>
                </c:pt>
              </c:numCache>
            </c:numRef>
          </c:yVal>
          <c:smooth val="0"/>
          <c:extLst>
            <c:ext xmlns:c16="http://schemas.microsoft.com/office/drawing/2014/chart" uri="{C3380CC4-5D6E-409C-BE32-E72D297353CC}">
              <c16:uniqueId val="{00000002-C943-44AE-BE69-B37F145E1EAF}"/>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1.077597709013135E-5</c:v>
                </c:pt>
                <c:pt idx="1">
                  <c:v>74.355864176906678</c:v>
                </c:pt>
                <c:pt idx="2">
                  <c:v>78.720536224535223</c:v>
                </c:pt>
                <c:pt idx="3">
                  <c:v>79.937465887144072</c:v>
                </c:pt>
                <c:pt idx="4">
                  <c:v>80.231948520904396</c:v>
                </c:pt>
                <c:pt idx="5">
                  <c:v>80.107413001934162</c:v>
                </c:pt>
                <c:pt idx="6">
                  <c:v>79.745579064167998</c:v>
                </c:pt>
                <c:pt idx="7">
                  <c:v>79.230574188470214</c:v>
                </c:pt>
                <c:pt idx="8">
                  <c:v>78.608199801263794</c:v>
                </c:pt>
                <c:pt idx="9">
                  <c:v>77.906463429264022</c:v>
                </c:pt>
                <c:pt idx="10">
                  <c:v>77.144053407340095</c:v>
                </c:pt>
                <c:pt idx="11">
                  <c:v>76.334302607568659</c:v>
                </c:pt>
                <c:pt idx="12">
                  <c:v>75.487226858609475</c:v>
                </c:pt>
                <c:pt idx="13">
                  <c:v>74.610655284684839</c:v>
                </c:pt>
                <c:pt idx="14">
                  <c:v>73.710897208413968</c:v>
                </c:pt>
                <c:pt idx="15">
                  <c:v>72.793156880860224</c:v>
                </c:pt>
                <c:pt idx="16">
                  <c:v>71.861803466059357</c:v>
                </c:pt>
                <c:pt idx="17">
                  <c:v>70.920554078426875</c:v>
                </c:pt>
                <c:pt idx="18">
                  <c:v>69.972602490434582</c:v>
                </c:pt>
                <c:pt idx="19">
                  <c:v>69.020712687231224</c:v>
                </c:pt>
                <c:pt idx="20">
                  <c:v>68.067288951378714</c:v>
                </c:pt>
                <c:pt idx="21">
                  <c:v>67.114429822031667</c:v>
                </c:pt>
                <c:pt idx="22">
                  <c:v>66.163970675963171</c:v>
                </c:pt>
                <c:pt idx="23">
                  <c:v>65.217518077319951</c:v>
                </c:pt>
                <c:pt idx="24">
                  <c:v>65.119663109813942</c:v>
                </c:pt>
                <c:pt idx="25">
                  <c:v>65.212346662306999</c:v>
                </c:pt>
                <c:pt idx="26">
                  <c:v>65.160319597638249</c:v>
                </c:pt>
                <c:pt idx="27">
                  <c:v>65.105710293167789</c:v>
                </c:pt>
                <c:pt idx="28">
                  <c:v>65.048921489348487</c:v>
                </c:pt>
                <c:pt idx="29">
                  <c:v>64.99029485218179</c:v>
                </c:pt>
                <c:pt idx="30">
                  <c:v>64.930121419362166</c:v>
                </c:pt>
                <c:pt idx="31">
                  <c:v>64.868650023603877</c:v>
                </c:pt>
                <c:pt idx="32">
                  <c:v>64.806094130904697</c:v>
                </c:pt>
                <c:pt idx="33">
                  <c:v>64.742637427082201</c:v>
                </c:pt>
                <c:pt idx="34">
                  <c:v>64.678438408625311</c:v>
                </c:pt>
                <c:pt idx="35">
                  <c:v>64.613634176136443</c:v>
                </c:pt>
                <c:pt idx="36">
                  <c:v>64.548343585080232</c:v>
                </c:pt>
                <c:pt idx="37">
                  <c:v>64.482669875430105</c:v>
                </c:pt>
                <c:pt idx="38">
                  <c:v>64.416702876417673</c:v>
                </c:pt>
                <c:pt idx="39">
                  <c:v>64.350520862986031</c:v>
                </c:pt>
                <c:pt idx="40">
                  <c:v>64.284192125306049</c:v>
                </c:pt>
                <c:pt idx="41">
                  <c:v>64.217776300783541</c:v>
                </c:pt>
                <c:pt idx="42">
                  <c:v>64.15132550858776</c:v>
                </c:pt>
                <c:pt idx="43">
                  <c:v>64.084885319286514</c:v>
                </c:pt>
                <c:pt idx="44">
                  <c:v>64.018495586239425</c:v>
                </c:pt>
                <c:pt idx="45">
                  <c:v>63.952191160649328</c:v>
                </c:pt>
                <c:pt idx="46">
                  <c:v>63.886002508344554</c:v>
                </c:pt>
                <c:pt idx="47">
                  <c:v>63.819956243269203</c:v>
                </c:pt>
                <c:pt idx="48">
                  <c:v>63.754075590141859</c:v>
                </c:pt>
                <c:pt idx="49">
                  <c:v>63.688380786689706</c:v>
                </c:pt>
                <c:pt idx="50">
                  <c:v>63.622889434179456</c:v>
                </c:pt>
                <c:pt idx="51">
                  <c:v>63.557616803581126</c:v>
                </c:pt>
                <c:pt idx="52">
                  <c:v>63.492576103554896</c:v>
                </c:pt>
                <c:pt idx="53">
                  <c:v>63.42777871550053</c:v>
                </c:pt>
                <c:pt idx="54">
                  <c:v>63.363234400119005</c:v>
                </c:pt>
                <c:pt idx="55">
                  <c:v>63.298951479274855</c:v>
                </c:pt>
                <c:pt idx="56">
                  <c:v>63.234936996393955</c:v>
                </c:pt>
                <c:pt idx="57">
                  <c:v>63.171196858167946</c:v>
                </c:pt>
                <c:pt idx="58">
                  <c:v>63.107735959941955</c:v>
                </c:pt>
                <c:pt idx="59">
                  <c:v>63.2051081414169</c:v>
                </c:pt>
                <c:pt idx="60">
                  <c:v>63.897314764194292</c:v>
                </c:pt>
                <c:pt idx="61">
                  <c:v>64.571218635522456</c:v>
                </c:pt>
                <c:pt idx="62">
                  <c:v>65.714021112494635</c:v>
                </c:pt>
                <c:pt idx="63">
                  <c:v>65.95079808054021</c:v>
                </c:pt>
                <c:pt idx="64">
                  <c:v>66.182201156003757</c:v>
                </c:pt>
                <c:pt idx="65">
                  <c:v>66.408326932126343</c:v>
                </c:pt>
                <c:pt idx="66">
                  <c:v>66.629321597314544</c:v>
                </c:pt>
                <c:pt idx="67">
                  <c:v>66.845325754123209</c:v>
                </c:pt>
                <c:pt idx="68">
                  <c:v>67.056474676378912</c:v>
                </c:pt>
                <c:pt idx="69">
                  <c:v>67.262898552175415</c:v>
                </c:pt>
                <c:pt idx="70">
                  <c:v>67.464722713633861</c:v>
                </c:pt>
                <c:pt idx="71">
                  <c:v>67.662067854257785</c:v>
                </c:pt>
                <c:pt idx="72">
                  <c:v>67.855050234651586</c:v>
                </c:pt>
                <c:pt idx="73">
                  <c:v>68.043781877319418</c:v>
                </c:pt>
                <c:pt idx="74">
                  <c:v>68.228370751208971</c:v>
                </c:pt>
                <c:pt idx="75">
                  <c:v>68.408920946620526</c:v>
                </c:pt>
                <c:pt idx="76">
                  <c:v>68.585532841057315</c:v>
                </c:pt>
                <c:pt idx="77">
                  <c:v>68.758303256556388</c:v>
                </c:pt>
                <c:pt idx="78">
                  <c:v>68.927325608999936</c:v>
                </c:pt>
                <c:pt idx="79">
                  <c:v>69.092690049876751</c:v>
                </c:pt>
                <c:pt idx="80">
                  <c:v>69.254483600929277</c:v>
                </c:pt>
                <c:pt idx="81">
                  <c:v>69.412790282095813</c:v>
                </c:pt>
                <c:pt idx="82">
                  <c:v>69.567691233129381</c:v>
                </c:pt>
                <c:pt idx="83">
                  <c:v>69.719264829249141</c:v>
                </c:pt>
                <c:pt idx="84">
                  <c:v>69.867586791160761</c:v>
                </c:pt>
                <c:pt idx="85">
                  <c:v>70.012730289755936</c:v>
                </c:pt>
                <c:pt idx="86">
                  <c:v>70.154766045786829</c:v>
                </c:pt>
                <c:pt idx="87">
                  <c:v>70.293762424787957</c:v>
                </c:pt>
                <c:pt idx="88">
                  <c:v>70.429785527504706</c:v>
                </c:pt>
                <c:pt idx="89">
                  <c:v>70.562899276069601</c:v>
                </c:pt>
                <c:pt idx="90">
                  <c:v>70.693165496153256</c:v>
                </c:pt>
                <c:pt idx="91">
                  <c:v>70.82064399530347</c:v>
                </c:pt>
                <c:pt idx="92">
                  <c:v>70.945392637672271</c:v>
                </c:pt>
                <c:pt idx="93">
                  <c:v>71.067467415319825</c:v>
                </c:pt>
                <c:pt idx="94">
                  <c:v>71.186922516271352</c:v>
                </c:pt>
                <c:pt idx="95">
                  <c:v>71.303810389494188</c:v>
                </c:pt>
                <c:pt idx="96">
                  <c:v>71.418181806951992</c:v>
                </c:pt>
                <c:pt idx="97">
                  <c:v>71.53008592288289</c:v>
                </c:pt>
                <c:pt idx="98">
                  <c:v>71.639570330441273</c:v>
                </c:pt>
                <c:pt idx="99">
                  <c:v>71.746681115834022</c:v>
                </c:pt>
                <c:pt idx="100">
                  <c:v>71.835144537231983</c:v>
                </c:pt>
              </c:numCache>
            </c:numRef>
          </c:val>
          <c:smooth val="0"/>
          <c:extLst>
            <c:ext xmlns:c16="http://schemas.microsoft.com/office/drawing/2014/chart" uri="{C3380CC4-5D6E-409C-BE32-E72D297353CC}">
              <c16:uniqueId val="{00000000-9FB2-40F7-8293-C6828AB4E751}"/>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1.1495999999999998E-6</c:v>
                </c:pt>
                <c:pt idx="1">
                  <c:v>30.895499999999998</c:v>
                </c:pt>
                <c:pt idx="2">
                  <c:v>61.790999999999997</c:v>
                </c:pt>
                <c:pt idx="3">
                  <c:v>92.686499999999995</c:v>
                </c:pt>
                <c:pt idx="4">
                  <c:v>123.58199999999999</c:v>
                </c:pt>
                <c:pt idx="5">
                  <c:v>154.47749999999999</c:v>
                </c:pt>
                <c:pt idx="6">
                  <c:v>185.37299999999999</c:v>
                </c:pt>
                <c:pt idx="7">
                  <c:v>216.26849999999999</c:v>
                </c:pt>
                <c:pt idx="8">
                  <c:v>247.16399999999999</c:v>
                </c:pt>
                <c:pt idx="9">
                  <c:v>278.05950000000001</c:v>
                </c:pt>
                <c:pt idx="10">
                  <c:v>308.95499999999998</c:v>
                </c:pt>
                <c:pt idx="11">
                  <c:v>339.85050000000001</c:v>
                </c:pt>
                <c:pt idx="12">
                  <c:v>370.74599999999998</c:v>
                </c:pt>
                <c:pt idx="13">
                  <c:v>401.64150000000001</c:v>
                </c:pt>
                <c:pt idx="14">
                  <c:v>432.53699999999998</c:v>
                </c:pt>
                <c:pt idx="15">
                  <c:v>463.4325</c:v>
                </c:pt>
                <c:pt idx="16">
                  <c:v>494.32799999999997</c:v>
                </c:pt>
                <c:pt idx="17">
                  <c:v>525.22349999999994</c:v>
                </c:pt>
                <c:pt idx="18">
                  <c:v>556.11900000000003</c:v>
                </c:pt>
                <c:pt idx="19">
                  <c:v>587.01449999999988</c:v>
                </c:pt>
                <c:pt idx="20">
                  <c:v>617.91</c:v>
                </c:pt>
                <c:pt idx="21">
                  <c:v>648.80549999999994</c:v>
                </c:pt>
                <c:pt idx="22">
                  <c:v>679.70100000000002</c:v>
                </c:pt>
                <c:pt idx="23">
                  <c:v>710.59649999999999</c:v>
                </c:pt>
                <c:pt idx="24">
                  <c:v>741.49199999999996</c:v>
                </c:pt>
                <c:pt idx="25">
                  <c:v>772.38750000000005</c:v>
                </c:pt>
                <c:pt idx="26">
                  <c:v>803.28300000000002</c:v>
                </c:pt>
                <c:pt idx="27">
                  <c:v>834.1785000000001</c:v>
                </c:pt>
                <c:pt idx="28">
                  <c:v>865.07399999999996</c:v>
                </c:pt>
                <c:pt idx="29">
                  <c:v>895.96949999999981</c:v>
                </c:pt>
                <c:pt idx="30">
                  <c:v>926.86500000000001</c:v>
                </c:pt>
                <c:pt idx="31">
                  <c:v>957.76049999999998</c:v>
                </c:pt>
                <c:pt idx="32">
                  <c:v>988.65599999999995</c:v>
                </c:pt>
                <c:pt idx="33">
                  <c:v>1019.5514999999999</c:v>
                </c:pt>
                <c:pt idx="34">
                  <c:v>1050.4469999999999</c:v>
                </c:pt>
                <c:pt idx="35">
                  <c:v>1081.3425</c:v>
                </c:pt>
                <c:pt idx="36">
                  <c:v>1112.2380000000001</c:v>
                </c:pt>
                <c:pt idx="37">
                  <c:v>1143.1334999999999</c:v>
                </c:pt>
                <c:pt idx="38">
                  <c:v>1174.0289999999998</c:v>
                </c:pt>
                <c:pt idx="39">
                  <c:v>1204.9244999999996</c:v>
                </c:pt>
                <c:pt idx="40">
                  <c:v>1235.82</c:v>
                </c:pt>
                <c:pt idx="41">
                  <c:v>1266.7154999999998</c:v>
                </c:pt>
                <c:pt idx="42">
                  <c:v>1297.6109999999999</c:v>
                </c:pt>
                <c:pt idx="43">
                  <c:v>1328.5065</c:v>
                </c:pt>
                <c:pt idx="44">
                  <c:v>1359.402</c:v>
                </c:pt>
                <c:pt idx="45">
                  <c:v>1390.2974999999999</c:v>
                </c:pt>
                <c:pt idx="46">
                  <c:v>1421.193</c:v>
                </c:pt>
                <c:pt idx="47">
                  <c:v>1452.0884999999998</c:v>
                </c:pt>
                <c:pt idx="48">
                  <c:v>1482.9839999999999</c:v>
                </c:pt>
                <c:pt idx="49">
                  <c:v>1513.8794999999998</c:v>
                </c:pt>
                <c:pt idx="50">
                  <c:v>1544.7750000000001</c:v>
                </c:pt>
                <c:pt idx="51">
                  <c:v>1575.6704999999999</c:v>
                </c:pt>
                <c:pt idx="52">
                  <c:v>1606.566</c:v>
                </c:pt>
                <c:pt idx="53">
                  <c:v>1637.4614999999999</c:v>
                </c:pt>
                <c:pt idx="54">
                  <c:v>1668.3570000000002</c:v>
                </c:pt>
                <c:pt idx="55">
                  <c:v>1699.2525000000001</c:v>
                </c:pt>
                <c:pt idx="56">
                  <c:v>1730.1479999999999</c:v>
                </c:pt>
                <c:pt idx="57">
                  <c:v>1761.0434999999998</c:v>
                </c:pt>
                <c:pt idx="58">
                  <c:v>1791.9389999999996</c:v>
                </c:pt>
                <c:pt idx="59">
                  <c:v>1822.8344999999997</c:v>
                </c:pt>
                <c:pt idx="60">
                  <c:v>1853.73</c:v>
                </c:pt>
                <c:pt idx="61">
                  <c:v>1884.6254999999999</c:v>
                </c:pt>
                <c:pt idx="62">
                  <c:v>1915.521</c:v>
                </c:pt>
                <c:pt idx="63">
                  <c:v>1946.4164999999996</c:v>
                </c:pt>
                <c:pt idx="64">
                  <c:v>1977.3119999999999</c:v>
                </c:pt>
                <c:pt idx="65">
                  <c:v>2008.2074999999998</c:v>
                </c:pt>
                <c:pt idx="66">
                  <c:v>2039.1029999999998</c:v>
                </c:pt>
                <c:pt idx="67">
                  <c:v>2069.9985000000001</c:v>
                </c:pt>
                <c:pt idx="68">
                  <c:v>2100.8939999999998</c:v>
                </c:pt>
                <c:pt idx="69">
                  <c:v>2131.7894999999994</c:v>
                </c:pt>
                <c:pt idx="70">
                  <c:v>2162.6849999999999</c:v>
                </c:pt>
                <c:pt idx="71">
                  <c:v>2193.5804999999996</c:v>
                </c:pt>
                <c:pt idx="72">
                  <c:v>2224.4760000000001</c:v>
                </c:pt>
                <c:pt idx="73">
                  <c:v>2255.3714999999997</c:v>
                </c:pt>
                <c:pt idx="74">
                  <c:v>2286.2669999999998</c:v>
                </c:pt>
                <c:pt idx="75">
                  <c:v>2317.1624999999995</c:v>
                </c:pt>
                <c:pt idx="76">
                  <c:v>2348.0579999999995</c:v>
                </c:pt>
                <c:pt idx="77">
                  <c:v>2378.9534999999996</c:v>
                </c:pt>
                <c:pt idx="78">
                  <c:v>2409.8489999999993</c:v>
                </c:pt>
                <c:pt idx="79">
                  <c:v>2440.7445000000002</c:v>
                </c:pt>
                <c:pt idx="80">
                  <c:v>2471.64</c:v>
                </c:pt>
                <c:pt idx="81">
                  <c:v>2502.5354999999995</c:v>
                </c:pt>
                <c:pt idx="82">
                  <c:v>2533.4309999999996</c:v>
                </c:pt>
                <c:pt idx="83">
                  <c:v>2564.3264999999997</c:v>
                </c:pt>
                <c:pt idx="84">
                  <c:v>2595.2219999999998</c:v>
                </c:pt>
                <c:pt idx="85">
                  <c:v>2626.1174999999994</c:v>
                </c:pt>
                <c:pt idx="86">
                  <c:v>2657.0129999999999</c:v>
                </c:pt>
                <c:pt idx="87">
                  <c:v>2687.9085</c:v>
                </c:pt>
                <c:pt idx="88">
                  <c:v>2718.8040000000001</c:v>
                </c:pt>
                <c:pt idx="89">
                  <c:v>2749.6994999999997</c:v>
                </c:pt>
                <c:pt idx="90">
                  <c:v>2780.5949999999998</c:v>
                </c:pt>
                <c:pt idx="91">
                  <c:v>2811.4904999999999</c:v>
                </c:pt>
                <c:pt idx="92">
                  <c:v>2842.386</c:v>
                </c:pt>
                <c:pt idx="93">
                  <c:v>2873.2815000000001</c:v>
                </c:pt>
                <c:pt idx="94">
                  <c:v>2904.1769999999997</c:v>
                </c:pt>
                <c:pt idx="95">
                  <c:v>2935.0724999999993</c:v>
                </c:pt>
                <c:pt idx="96">
                  <c:v>2965.9679999999998</c:v>
                </c:pt>
                <c:pt idx="97">
                  <c:v>2996.8634999999995</c:v>
                </c:pt>
                <c:pt idx="98">
                  <c:v>3027.7589999999996</c:v>
                </c:pt>
                <c:pt idx="99">
                  <c:v>3058.6544999999992</c:v>
                </c:pt>
                <c:pt idx="100">
                  <c:v>3089.55</c:v>
                </c:pt>
              </c:numCache>
            </c:numRef>
          </c:val>
          <c:smooth val="0"/>
          <c:extLst>
            <c:ext xmlns:c16="http://schemas.microsoft.com/office/drawing/2014/chart" uri="{C3380CC4-5D6E-409C-BE32-E72D297353CC}">
              <c16:uniqueId val="{00000001-9FB2-40F7-8293-C6828AB4E751}"/>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94.816140617262192</c:v>
                </c:pt>
                <c:pt idx="1">
                  <c:v>140.91077249263802</c:v>
                </c:pt>
                <c:pt idx="2">
                  <c:v>281.94451088975262</c:v>
                </c:pt>
                <c:pt idx="3">
                  <c:v>423.10137622105555</c:v>
                </c:pt>
                <c:pt idx="4">
                  <c:v>564.38152979754955</c:v>
                </c:pt>
                <c:pt idx="5">
                  <c:v>705.78513321214257</c:v>
                </c:pt>
                <c:pt idx="6">
                  <c:v>847.31234834026384</c:v>
                </c:pt>
                <c:pt idx="7">
                  <c:v>988.96333734048267</c:v>
                </c:pt>
                <c:pt idx="8">
                  <c:v>1130.7382626551253</c:v>
                </c:pt>
                <c:pt idx="9">
                  <c:v>1272.6372870108987</c:v>
                </c:pt>
                <c:pt idx="10">
                  <c:v>1414.6605734195125</c:v>
                </c:pt>
                <c:pt idx="11">
                  <c:v>1556.8082851782999</c:v>
                </c:pt>
                <c:pt idx="12">
                  <c:v>1699.0805858708482</c:v>
                </c:pt>
                <c:pt idx="13">
                  <c:v>1841.4776393676248</c:v>
                </c:pt>
                <c:pt idx="14">
                  <c:v>1983.9996098266054</c:v>
                </c:pt>
                <c:pt idx="15">
                  <c:v>2126.6466616939024</c:v>
                </c:pt>
                <c:pt idx="16">
                  <c:v>2269.4189597044051</c:v>
                </c:pt>
                <c:pt idx="17">
                  <c:v>2412.3166688824067</c:v>
                </c:pt>
                <c:pt idx="18">
                  <c:v>2555.3399545422403</c:v>
                </c:pt>
                <c:pt idx="19">
                  <c:v>2698.4889822889231</c:v>
                </c:pt>
                <c:pt idx="20">
                  <c:v>2841.7639180187889</c:v>
                </c:pt>
                <c:pt idx="21">
                  <c:v>2985.164927920126</c:v>
                </c:pt>
                <c:pt idx="22">
                  <c:v>3128.6921784738356</c:v>
                </c:pt>
                <c:pt idx="23">
                  <c:v>3272.3458364540552</c:v>
                </c:pt>
                <c:pt idx="24">
                  <c:v>3350.7015195681488</c:v>
                </c:pt>
                <c:pt idx="25">
                  <c:v>3399.6622301059956</c:v>
                </c:pt>
                <c:pt idx="26">
                  <c:v>3456.4685636611734</c:v>
                </c:pt>
                <c:pt idx="27">
                  <c:v>3512.4918112831688</c:v>
                </c:pt>
                <c:pt idx="28">
                  <c:v>3567.7840453993376</c:v>
                </c:pt>
                <c:pt idx="29">
                  <c:v>3622.3927362577683</c:v>
                </c:pt>
                <c:pt idx="30">
                  <c:v>3676.3613064299152</c:v>
                </c:pt>
                <c:pt idx="31">
                  <c:v>3729.7296025497071</c:v>
                </c:pt>
                <c:pt idx="32">
                  <c:v>3782.5342988931452</c:v>
                </c:pt>
                <c:pt idx="33">
                  <c:v>3834.8092444525714</c:v>
                </c:pt>
                <c:pt idx="34">
                  <c:v>3886.5857628767758</c:v>
                </c:pt>
                <c:pt idx="35">
                  <c:v>3937.8929128657983</c:v>
                </c:pt>
                <c:pt idx="36">
                  <c:v>3988.7577152069894</c:v>
                </c:pt>
                <c:pt idx="37">
                  <c:v>4039.2053515272846</c:v>
                </c:pt>
                <c:pt idx="38">
                  <c:v>4089.2593389491399</c:v>
                </c:pt>
                <c:pt idx="39">
                  <c:v>4138.9416841245729</c:v>
                </c:pt>
                <c:pt idx="40">
                  <c:v>4188.2730195450667</c:v>
                </c:pt>
                <c:pt idx="41">
                  <c:v>4237.2727245561991</c:v>
                </c:pt>
                <c:pt idx="42">
                  <c:v>4285.9590331222798</c:v>
                </c:pt>
                <c:pt idx="43">
                  <c:v>4334.3491300709302</c:v>
                </c:pt>
                <c:pt idx="44">
                  <c:v>4382.4592372870247</c:v>
                </c:pt>
                <c:pt idx="45">
                  <c:v>4430.3046911090487</c:v>
                </c:pt>
                <c:pt idx="46">
                  <c:v>4477.9000120005621</c:v>
                </c:pt>
                <c:pt idx="47">
                  <c:v>4525.2589674183446</c:v>
                </c:pt>
                <c:pt idx="48">
                  <c:v>4572.394628671761</c:v>
                </c:pt>
                <c:pt idx="49">
                  <c:v>4619.3194224605641</c:v>
                </c:pt>
                <c:pt idx="50">
                  <c:v>4666.0451776874734</c:v>
                </c:pt>
                <c:pt idx="51">
                  <c:v>4712.5831680645688</c:v>
                </c:pt>
                <c:pt idx="52">
                  <c:v>4758.9441509664775</c:v>
                </c:pt>
                <c:pt idx="53">
                  <c:v>4805.1384029269448</c:v>
                </c:pt>
                <c:pt idx="54">
                  <c:v>4851.1757521267846</c:v>
                </c:pt>
                <c:pt idx="55">
                  <c:v>4897.0656081794123</c:v>
                </c:pt>
                <c:pt idx="56">
                  <c:v>4942.8169894841012</c:v>
                </c:pt>
                <c:pt idx="57">
                  <c:v>4988.4385483857368</c:v>
                </c:pt>
                <c:pt idx="58">
                  <c:v>5033.9385943527313</c:v>
                </c:pt>
                <c:pt idx="59">
                  <c:v>5061.8656251553048</c:v>
                </c:pt>
                <c:pt idx="60">
                  <c:v>5024.4264847249578</c:v>
                </c:pt>
                <c:pt idx="61">
                  <c:v>4987.9155418793043</c:v>
                </c:pt>
                <c:pt idx="62">
                  <c:v>4901.5603013030131</c:v>
                </c:pt>
                <c:pt idx="63">
                  <c:v>4908.6051201361634</c:v>
                </c:pt>
                <c:pt idx="64">
                  <c:v>4916.0937828378537</c:v>
                </c:pt>
                <c:pt idx="65">
                  <c:v>4924.0351934313094</c:v>
                </c:pt>
                <c:pt idx="66">
                  <c:v>4932.4235376192401</c:v>
                </c:pt>
                <c:pt idx="67">
                  <c:v>4941.2534980293703</c:v>
                </c:pt>
                <c:pt idx="68">
                  <c:v>4950.5202242369887</c:v>
                </c:pt>
                <c:pt idx="69">
                  <c:v>4960.2193053353358</c:v>
                </c:pt>
                <c:pt idx="70">
                  <c:v>4970.3467448172651</c:v>
                </c:pt>
                <c:pt idx="71">
                  <c:v>4980.8989375569336</c:v>
                </c:pt>
                <c:pt idx="72">
                  <c:v>4991.8726487024096</c:v>
                </c:pt>
                <c:pt idx="73">
                  <c:v>5003.2649943097513</c:v>
                </c:pt>
                <c:pt idx="74">
                  <c:v>5015.0734235665359</c:v>
                </c:pt>
                <c:pt idx="75">
                  <c:v>5027.2957024681846</c:v>
                </c:pt>
                <c:pt idx="76">
                  <c:v>5039.9298988242554</c:v>
                </c:pt>
                <c:pt idx="77">
                  <c:v>5052.9743684838859</c:v>
                </c:pt>
                <c:pt idx="78">
                  <c:v>5066.4277426806129</c:v>
                </c:pt>
                <c:pt idx="79">
                  <c:v>5080.288916406399</c:v>
                </c:pt>
                <c:pt idx="80">
                  <c:v>5094.5570377334107</c:v>
                </c:pt>
                <c:pt idx="81">
                  <c:v>5109.2314980098154</c:v>
                </c:pt>
                <c:pt idx="82">
                  <c:v>5124.3119228628657</c:v>
                </c:pt>
                <c:pt idx="83">
                  <c:v>5139.7981639488116</c:v>
                </c:pt>
                <c:pt idx="84">
                  <c:v>5155.6902913946715</c:v>
                </c:pt>
                <c:pt idx="85">
                  <c:v>5171.9885868821711</c:v>
                </c:pt>
                <c:pt idx="86">
                  <c:v>5188.693537328475</c:v>
                </c:pt>
                <c:pt idx="87">
                  <c:v>5205.8058291226844</c:v>
                </c:pt>
                <c:pt idx="88">
                  <c:v>5223.3263428806176</c:v>
                </c:pt>
                <c:pt idx="89">
                  <c:v>5241.2561486839031</c:v>
                </c:pt>
                <c:pt idx="90">
                  <c:v>5259.5965017723647</c:v>
                </c:pt>
                <c:pt idx="91">
                  <c:v>5278.3488386615127</c:v>
                </c:pt>
                <c:pt idx="92">
                  <c:v>5297.5147736595336</c:v>
                </c:pt>
                <c:pt idx="93">
                  <c:v>5317.0960957603265</c:v>
                </c:pt>
                <c:pt idx="94">
                  <c:v>5337.0947658913838</c:v>
                </c:pt>
                <c:pt idx="95">
                  <c:v>5357.5129144971406</c:v>
                </c:pt>
                <c:pt idx="96">
                  <c:v>5378.3528394402301</c:v>
                </c:pt>
                <c:pt idx="97">
                  <c:v>5399.6170042046106</c:v>
                </c:pt>
                <c:pt idx="98">
                  <c:v>5421.3080363861227</c:v>
                </c:pt>
                <c:pt idx="99">
                  <c:v>5443.4287264572858</c:v>
                </c:pt>
                <c:pt idx="100">
                  <c:v>5465.9820267944442</c:v>
                </c:pt>
              </c:numCache>
            </c:numRef>
          </c:val>
          <c:smooth val="0"/>
          <c:extLst>
            <c:ext xmlns:c16="http://schemas.microsoft.com/office/drawing/2014/chart" uri="{C3380CC4-5D6E-409C-BE32-E72D297353CC}">
              <c16:uniqueId val="{00000002-9FB2-40F7-8293-C6828AB4E751}"/>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239.26025631324396</c:v>
                </c:pt>
                <c:pt idx="1">
                  <c:v>259.64340897920147</c:v>
                </c:pt>
                <c:pt idx="2">
                  <c:v>332.59649749942457</c:v>
                </c:pt>
                <c:pt idx="3">
                  <c:v>426.13203192126025</c:v>
                </c:pt>
                <c:pt idx="4">
                  <c:v>544.95342442076958</c:v>
                </c:pt>
                <c:pt idx="5">
                  <c:v>693.00350047136089</c:v>
                </c:pt>
                <c:pt idx="6">
                  <c:v>873.74865500458429</c:v>
                </c:pt>
                <c:pt idx="7">
                  <c:v>1090.3196425582137</c:v>
                </c:pt>
                <c:pt idx="8">
                  <c:v>1345.5939747629723</c:v>
                </c:pt>
                <c:pt idx="9">
                  <c:v>1642.2491805052921</c:v>
                </c:pt>
                <c:pt idx="10">
                  <c:v>1982.7996231531099</c:v>
                </c:pt>
                <c:pt idx="11">
                  <c:v>2369.6232229441894</c:v>
                </c:pt>
                <c:pt idx="12">
                  <c:v>2804.9815864813581</c:v>
                </c:pt>
                <c:pt idx="13">
                  <c:v>3291.0356208295698</c:v>
                </c:pt>
                <c:pt idx="14">
                  <c:v>3829.8579360164827</c:v>
                </c:pt>
                <c:pt idx="15">
                  <c:v>4423.4428918453796</c:v>
                </c:pt>
                <c:pt idx="16">
                  <c:v>5073.7148720093574</c:v>
                </c:pt>
                <c:pt idx="17">
                  <c:v>5782.5351950270078</c:v>
                </c:pt>
                <c:pt idx="18">
                  <c:v>6551.7079572905177</c:v>
                </c:pt>
                <c:pt idx="19">
                  <c:v>7382.985025993672</c:v>
                </c:pt>
                <c:pt idx="20">
                  <c:v>8278.0703457083673</c:v>
                </c:pt>
                <c:pt idx="21">
                  <c:v>9238.6236839023331</c:v>
                </c:pt>
                <c:pt idx="22">
                  <c:v>10266.263912722352</c:v>
                </c:pt>
                <c:pt idx="23">
                  <c:v>11362.571903673255</c:v>
                </c:pt>
                <c:pt idx="24">
                  <c:v>11989.696109144003</c:v>
                </c:pt>
                <c:pt idx="25">
                  <c:v>12511.659932579827</c:v>
                </c:pt>
                <c:pt idx="26">
                  <c:v>13131.130675171356</c:v>
                </c:pt>
                <c:pt idx="27">
                  <c:v>13756.57160283441</c:v>
                </c:pt>
                <c:pt idx="28">
                  <c:v>14387.844128295741</c:v>
                </c:pt>
                <c:pt idx="29">
                  <c:v>15024.818725554056</c:v>
                </c:pt>
                <c:pt idx="30">
                  <c:v>15667.374061473534</c:v>
                </c:pt>
                <c:pt idx="31">
                  <c:v>16315.396236827923</c:v>
                </c:pt>
                <c:pt idx="32">
                  <c:v>16968.778119906456</c:v>
                </c:pt>
                <c:pt idx="33">
                  <c:v>17627.418758847503</c:v>
                </c:pt>
                <c:pt idx="34">
                  <c:v>18291.222861290873</c:v>
                </c:pt>
                <c:pt idx="35">
                  <c:v>18960.100331881677</c:v>
                </c:pt>
                <c:pt idx="36">
                  <c:v>19633.965859722819</c:v>
                </c:pt>
                <c:pt idx="37">
                  <c:v>20312.73854914309</c:v>
                </c:pt>
                <c:pt idx="38">
                  <c:v>20996.341588184558</c:v>
                </c:pt>
                <c:pt idx="39">
                  <c:v>21684.701950064529</c:v>
                </c:pt>
                <c:pt idx="40">
                  <c:v>22377.75012357083</c:v>
                </c:pt>
                <c:pt idx="41">
                  <c:v>23075.419868933295</c:v>
                </c:pt>
                <c:pt idx="42">
                  <c:v>23777.647996201755</c:v>
                </c:pt>
                <c:pt idx="43">
                  <c:v>24484.374163569442</c:v>
                </c:pt>
                <c:pt idx="44">
                  <c:v>25195.540693425544</c:v>
                </c:pt>
                <c:pt idx="45">
                  <c:v>25911.092404210929</c:v>
                </c:pt>
                <c:pt idx="46">
                  <c:v>26630.976456399108</c:v>
                </c:pt>
                <c:pt idx="47">
                  <c:v>27355.142211135058</c:v>
                </c:pt>
                <c:pt idx="48">
                  <c:v>28083.541100245257</c:v>
                </c:pt>
                <c:pt idx="49">
                  <c:v>28816.126506486336</c:v>
                </c:pt>
                <c:pt idx="50">
                  <c:v>29552.85365303441</c:v>
                </c:pt>
                <c:pt idx="51">
                  <c:v>30293.679501331979</c:v>
                </c:pt>
                <c:pt idx="52">
                  <c:v>31038.562656509032</c:v>
                </c:pt>
                <c:pt idx="53">
                  <c:v>31787.46327968271</c:v>
                </c:pt>
                <c:pt idx="54">
                  <c:v>32540.343006515257</c:v>
                </c:pt>
                <c:pt idx="55">
                  <c:v>33297.16487147614</c:v>
                </c:pt>
                <c:pt idx="56">
                  <c:v>34057.893237313896</c:v>
                </c:pt>
                <c:pt idx="57">
                  <c:v>34822.493729291185</c:v>
                </c:pt>
                <c:pt idx="58">
                  <c:v>35590.933173786158</c:v>
                </c:pt>
                <c:pt idx="59">
                  <c:v>36083.25377999054</c:v>
                </c:pt>
                <c:pt idx="60">
                  <c:v>35531.568615618169</c:v>
                </c:pt>
                <c:pt idx="61">
                  <c:v>34997.59540335909</c:v>
                </c:pt>
                <c:pt idx="62">
                  <c:v>33650.52438546974</c:v>
                </c:pt>
                <c:pt idx="63">
                  <c:v>33834.702067532111</c:v>
                </c:pt>
                <c:pt idx="64">
                  <c:v>34017.718346494548</c:v>
                </c:pt>
                <c:pt idx="65">
                  <c:v>34199.751164898036</c:v>
                </c:pt>
                <c:pt idx="66">
                  <c:v>34380.889590045153</c:v>
                </c:pt>
                <c:pt idx="67">
                  <c:v>34561.218476396338</c:v>
                </c:pt>
                <c:pt idx="68">
                  <c:v>34740.818751842438</c:v>
                </c:pt>
                <c:pt idx="69">
                  <c:v>34919.767682155609</c:v>
                </c:pt>
                <c:pt idx="70">
                  <c:v>35098.139115554593</c:v>
                </c:pt>
                <c:pt idx="71">
                  <c:v>35276.003709127195</c:v>
                </c:pt>
                <c:pt idx="72">
                  <c:v>35453.429138683074</c:v>
                </c:pt>
                <c:pt idx="73">
                  <c:v>35630.480293455206</c:v>
                </c:pt>
                <c:pt idx="74">
                  <c:v>35807.219456935418</c:v>
                </c:pt>
                <c:pt idx="75">
                  <c:v>35983.706475003695</c:v>
                </c:pt>
                <c:pt idx="76">
                  <c:v>36159.998912407027</c:v>
                </c:pt>
                <c:pt idx="77">
                  <c:v>36336.152198540338</c:v>
                </c:pt>
                <c:pt idx="78">
                  <c:v>36512.219763400448</c:v>
                </c:pt>
                <c:pt idx="79">
                  <c:v>36688.253164499853</c:v>
                </c:pt>
                <c:pt idx="80">
                  <c:v>36864.302205462307</c:v>
                </c:pt>
                <c:pt idx="81">
                  <c:v>37040.41504695273</c:v>
                </c:pt>
                <c:pt idx="82">
                  <c:v>37216.63831054022</c:v>
                </c:pt>
                <c:pt idx="83">
                  <c:v>37393.017176042602</c:v>
                </c:pt>
                <c:pt idx="84">
                  <c:v>37569.595472847475</c:v>
                </c:pt>
                <c:pt idx="85">
                  <c:v>37746.415765672449</c:v>
                </c:pt>
                <c:pt idx="86">
                  <c:v>37923.51943517851</c:v>
                </c:pt>
                <c:pt idx="87">
                  <c:v>38100.946753824835</c:v>
                </c:pt>
                <c:pt idx="88">
                  <c:v>38278.736957315399</c:v>
                </c:pt>
                <c:pt idx="89">
                  <c:v>38456.928311962882</c:v>
                </c:pt>
                <c:pt idx="90">
                  <c:v>38635.558178267842</c:v>
                </c:pt>
                <c:pt idx="91">
                  <c:v>38814.663070988237</c:v>
                </c:pt>
                <c:pt idx="92">
                  <c:v>38994.278715952198</c:v>
                </c:pt>
                <c:pt idx="93">
                  <c:v>39174.440103847533</c:v>
                </c:pt>
                <c:pt idx="94">
                  <c:v>39355.181541204875</c:v>
                </c:pt>
                <c:pt idx="95">
                  <c:v>39536.536698772834</c:v>
                </c:pt>
                <c:pt idx="96">
                  <c:v>39718.53865746958</c:v>
                </c:pt>
                <c:pt idx="97">
                  <c:v>39901.219952083236</c:v>
                </c:pt>
                <c:pt idx="98">
                  <c:v>40084.612612877972</c:v>
                </c:pt>
                <c:pt idx="99">
                  <c:v>40268.748205253847</c:v>
                </c:pt>
                <c:pt idx="100">
                  <c:v>40453.65786759679</c:v>
                </c:pt>
              </c:numCache>
            </c:numRef>
          </c:val>
          <c:smooth val="0"/>
          <c:extLst>
            <c:ext xmlns:c16="http://schemas.microsoft.com/office/drawing/2014/chart" uri="{C3380CC4-5D6E-409C-BE32-E72D297353CC}">
              <c16:uniqueId val="{00000003-9FB2-40F7-8293-C6828AB4E751}"/>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0-8D54-466C-9E56-3B54C69CECB8}"/>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1-8D54-466C-9E56-3B54C69CECB8}"/>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2-8D54-466C-9E56-3B54C69CECB8}"/>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8D54-466C-9E56-3B54C69CECB8}"/>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8D54-466C-9E56-3B54C69CECB8}"/>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8D54-466C-9E56-3B54C69CECB8}"/>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6-8D54-466C-9E56-3B54C69CECB8}"/>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7-8D54-466C-9E56-3B54C69CECB8}"/>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8-8D54-466C-9E56-3B54C69CECB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8D54-466C-9E56-3B54C69CECB8}"/>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8D54-466C-9E56-3B54C69CECB8}"/>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8D54-466C-9E56-3B54C69CECB8}"/>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20</c:v>
                </c:pt>
                <c:pt idx="1">
                  <c:v>20.28</c:v>
                </c:pt>
                <c:pt idx="2">
                  <c:v>20.56</c:v>
                </c:pt>
                <c:pt idx="3">
                  <c:v>20.84</c:v>
                </c:pt>
                <c:pt idx="4">
                  <c:v>21.12</c:v>
                </c:pt>
                <c:pt idx="5">
                  <c:v>21.4</c:v>
                </c:pt>
                <c:pt idx="6">
                  <c:v>21.68</c:v>
                </c:pt>
                <c:pt idx="7">
                  <c:v>21.96</c:v>
                </c:pt>
                <c:pt idx="8">
                  <c:v>22.240000000000002</c:v>
                </c:pt>
                <c:pt idx="9">
                  <c:v>22.52</c:v>
                </c:pt>
                <c:pt idx="10">
                  <c:v>22.8</c:v>
                </c:pt>
                <c:pt idx="11">
                  <c:v>23.08</c:v>
                </c:pt>
                <c:pt idx="12">
                  <c:v>23.36</c:v>
                </c:pt>
                <c:pt idx="13">
                  <c:v>23.64</c:v>
                </c:pt>
                <c:pt idx="14">
                  <c:v>23.92</c:v>
                </c:pt>
                <c:pt idx="15">
                  <c:v>24.2</c:v>
                </c:pt>
                <c:pt idx="16">
                  <c:v>24.48</c:v>
                </c:pt>
                <c:pt idx="17">
                  <c:v>24.76</c:v>
                </c:pt>
                <c:pt idx="18">
                  <c:v>25.04</c:v>
                </c:pt>
                <c:pt idx="19">
                  <c:v>25.32</c:v>
                </c:pt>
                <c:pt idx="20">
                  <c:v>25.6</c:v>
                </c:pt>
                <c:pt idx="21">
                  <c:v>25.88</c:v>
                </c:pt>
                <c:pt idx="22">
                  <c:v>26.16</c:v>
                </c:pt>
                <c:pt idx="23">
                  <c:v>26.44</c:v>
                </c:pt>
                <c:pt idx="24">
                  <c:v>26.72</c:v>
                </c:pt>
                <c:pt idx="25">
                  <c:v>27</c:v>
                </c:pt>
                <c:pt idx="26">
                  <c:v>27.28</c:v>
                </c:pt>
                <c:pt idx="27">
                  <c:v>27.560000000000002</c:v>
                </c:pt>
                <c:pt idx="28">
                  <c:v>27.84</c:v>
                </c:pt>
                <c:pt idx="29">
                  <c:v>28.119999999999997</c:v>
                </c:pt>
                <c:pt idx="30">
                  <c:v>28.4</c:v>
                </c:pt>
                <c:pt idx="31">
                  <c:v>28.68</c:v>
                </c:pt>
                <c:pt idx="32">
                  <c:v>28.96</c:v>
                </c:pt>
                <c:pt idx="33">
                  <c:v>29.240000000000002</c:v>
                </c:pt>
                <c:pt idx="34">
                  <c:v>29.520000000000003</c:v>
                </c:pt>
                <c:pt idx="35">
                  <c:v>29.799999999999997</c:v>
                </c:pt>
                <c:pt idx="36">
                  <c:v>30.08</c:v>
                </c:pt>
                <c:pt idx="37">
                  <c:v>30.36</c:v>
                </c:pt>
                <c:pt idx="38">
                  <c:v>30.64</c:v>
                </c:pt>
                <c:pt idx="39">
                  <c:v>30.92</c:v>
                </c:pt>
                <c:pt idx="40">
                  <c:v>31.200000000000003</c:v>
                </c:pt>
                <c:pt idx="41">
                  <c:v>31.479999999999997</c:v>
                </c:pt>
                <c:pt idx="42">
                  <c:v>31.759999999999998</c:v>
                </c:pt>
                <c:pt idx="43">
                  <c:v>32.04</c:v>
                </c:pt>
                <c:pt idx="44">
                  <c:v>32.32</c:v>
                </c:pt>
                <c:pt idx="45">
                  <c:v>32.6</c:v>
                </c:pt>
                <c:pt idx="46">
                  <c:v>32.880000000000003</c:v>
                </c:pt>
                <c:pt idx="47">
                  <c:v>33.159999999999997</c:v>
                </c:pt>
                <c:pt idx="48">
                  <c:v>33.44</c:v>
                </c:pt>
                <c:pt idx="49">
                  <c:v>33.72</c:v>
                </c:pt>
                <c:pt idx="50">
                  <c:v>34</c:v>
                </c:pt>
                <c:pt idx="51">
                  <c:v>34.28</c:v>
                </c:pt>
                <c:pt idx="52">
                  <c:v>34.56</c:v>
                </c:pt>
                <c:pt idx="53">
                  <c:v>34.840000000000003</c:v>
                </c:pt>
                <c:pt idx="54">
                  <c:v>35.120000000000005</c:v>
                </c:pt>
                <c:pt idx="55">
                  <c:v>35.400000000000006</c:v>
                </c:pt>
                <c:pt idx="56">
                  <c:v>35.68</c:v>
                </c:pt>
                <c:pt idx="57">
                  <c:v>35.96</c:v>
                </c:pt>
                <c:pt idx="58">
                  <c:v>36.239999999999995</c:v>
                </c:pt>
                <c:pt idx="59">
                  <c:v>36.519999999999996</c:v>
                </c:pt>
                <c:pt idx="60">
                  <c:v>36.799999999999997</c:v>
                </c:pt>
                <c:pt idx="61">
                  <c:v>37.08</c:v>
                </c:pt>
                <c:pt idx="62">
                  <c:v>37.36</c:v>
                </c:pt>
                <c:pt idx="63">
                  <c:v>37.64</c:v>
                </c:pt>
                <c:pt idx="64">
                  <c:v>37.92</c:v>
                </c:pt>
                <c:pt idx="65">
                  <c:v>38.200000000000003</c:v>
                </c:pt>
                <c:pt idx="66">
                  <c:v>38.480000000000004</c:v>
                </c:pt>
                <c:pt idx="67">
                  <c:v>38.760000000000005</c:v>
                </c:pt>
                <c:pt idx="68">
                  <c:v>39.040000000000006</c:v>
                </c:pt>
                <c:pt idx="69">
                  <c:v>39.32</c:v>
                </c:pt>
                <c:pt idx="70">
                  <c:v>39.599999999999994</c:v>
                </c:pt>
                <c:pt idx="71">
                  <c:v>39.879999999999995</c:v>
                </c:pt>
                <c:pt idx="72">
                  <c:v>40.159999999999997</c:v>
                </c:pt>
                <c:pt idx="73">
                  <c:v>40.44</c:v>
                </c:pt>
                <c:pt idx="74">
                  <c:v>40.72</c:v>
                </c:pt>
                <c:pt idx="75">
                  <c:v>41</c:v>
                </c:pt>
                <c:pt idx="76">
                  <c:v>41.28</c:v>
                </c:pt>
                <c:pt idx="77">
                  <c:v>41.56</c:v>
                </c:pt>
                <c:pt idx="78">
                  <c:v>41.84</c:v>
                </c:pt>
                <c:pt idx="79">
                  <c:v>42.120000000000005</c:v>
                </c:pt>
                <c:pt idx="80">
                  <c:v>42.400000000000006</c:v>
                </c:pt>
                <c:pt idx="81">
                  <c:v>42.68</c:v>
                </c:pt>
                <c:pt idx="82">
                  <c:v>42.959999999999994</c:v>
                </c:pt>
                <c:pt idx="83">
                  <c:v>43.239999999999995</c:v>
                </c:pt>
                <c:pt idx="84">
                  <c:v>43.519999999999996</c:v>
                </c:pt>
                <c:pt idx="85">
                  <c:v>43.8</c:v>
                </c:pt>
                <c:pt idx="86">
                  <c:v>44.08</c:v>
                </c:pt>
                <c:pt idx="87">
                  <c:v>44.36</c:v>
                </c:pt>
                <c:pt idx="88">
                  <c:v>44.64</c:v>
                </c:pt>
                <c:pt idx="89">
                  <c:v>44.92</c:v>
                </c:pt>
                <c:pt idx="90">
                  <c:v>45.2</c:v>
                </c:pt>
                <c:pt idx="91">
                  <c:v>45.480000000000004</c:v>
                </c:pt>
                <c:pt idx="92">
                  <c:v>45.760000000000005</c:v>
                </c:pt>
                <c:pt idx="93">
                  <c:v>46.040000000000006</c:v>
                </c:pt>
                <c:pt idx="94">
                  <c:v>46.32</c:v>
                </c:pt>
                <c:pt idx="95">
                  <c:v>46.599999999999994</c:v>
                </c:pt>
                <c:pt idx="96">
                  <c:v>46.879999999999995</c:v>
                </c:pt>
                <c:pt idx="97">
                  <c:v>47.16</c:v>
                </c:pt>
                <c:pt idx="98">
                  <c:v>47.44</c:v>
                </c:pt>
                <c:pt idx="99">
                  <c:v>47.72</c:v>
                </c:pt>
                <c:pt idx="100">
                  <c:v>48</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A7ED-4BB2-BB4F-6969824E41D0}"/>
            </c:ext>
          </c:extLst>
        </c:ser>
        <c:dLbls>
          <c:showLegendKey val="0"/>
          <c:showVal val="0"/>
          <c:showCatName val="0"/>
          <c:showSerName val="0"/>
          <c:showPercent val="0"/>
          <c:showBubbleSize val="0"/>
        </c:dLbls>
        <c:axId val="447869696"/>
        <c:axId val="447871616"/>
      </c:scatterChart>
      <c:valAx>
        <c:axId val="447869696"/>
        <c:scaling>
          <c:orientation val="minMax"/>
        </c:scaling>
        <c:delete val="0"/>
        <c:axPos val="b"/>
        <c:majorGridlines/>
        <c:title>
          <c:tx>
            <c:rich>
              <a:bodyPr/>
              <a:lstStyle/>
              <a:p>
                <a:pPr>
                  <a:defRPr lang="ja-JP"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975" b="1" i="0" u="none" strike="noStrike" baseline="0">
                <a:solidFill>
                  <a:srgbClr val="000000"/>
                </a:solidFill>
                <a:latin typeface="Arial"/>
                <a:ea typeface="Arial"/>
                <a:cs typeface="Arial"/>
              </a:defRPr>
            </a:pPr>
            <a:endParaRPr lang="en-US"/>
          </a:p>
        </c:txPr>
        <c:crossAx val="447871616"/>
        <c:crosses val="autoZero"/>
        <c:crossBetween val="midCat"/>
      </c:valAx>
      <c:valAx>
        <c:axId val="447871616"/>
        <c:scaling>
          <c:orientation val="minMax"/>
        </c:scaling>
        <c:delete val="0"/>
        <c:axPos val="l"/>
        <c:majorGridlines>
          <c:spPr>
            <a:ln w="3175">
              <a:solidFill>
                <a:srgbClr val="000000"/>
              </a:solidFill>
              <a:prstDash val="solid"/>
            </a:ln>
          </c:spPr>
        </c:majorGridlines>
        <c:title>
          <c:tx>
            <c:rich>
              <a:bodyPr/>
              <a:lstStyle/>
              <a:p>
                <a:pPr>
                  <a:defRPr lang="ja-JP"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ja-JP" sz="1200" b="1" i="0" u="none" strike="noStrike" baseline="0">
                <a:solidFill>
                  <a:srgbClr val="000000"/>
                </a:solidFill>
                <a:latin typeface="Arial"/>
                <a:ea typeface="Arial"/>
                <a:cs typeface="Arial"/>
              </a:defRPr>
            </a:pPr>
            <a:endParaRPr lang="en-US"/>
          </a:p>
        </c:txPr>
        <c:crossAx val="44786969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lang="ja-JP"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Single'!$CB$5:$CB$105</c:f>
              <c:numCache>
                <c:formatCode>0.00</c:formatCode>
                <c:ptCount val="101"/>
                <c:pt idx="0">
                  <c:v>7.6590027474257143E-6</c:v>
                </c:pt>
                <c:pt idx="1">
                  <c:v>72.833576011909344</c:v>
                </c:pt>
                <c:pt idx="2">
                  <c:v>77.996679753169872</c:v>
                </c:pt>
                <c:pt idx="3">
                  <c:v>79.563279359503881</c:v>
                </c:pt>
                <c:pt idx="4">
                  <c:v>80.07125830166963</c:v>
                </c:pt>
                <c:pt idx="5">
                  <c:v>80.102577415680116</c:v>
                </c:pt>
                <c:pt idx="6">
                  <c:v>79.867337178555985</c:v>
                </c:pt>
                <c:pt idx="7">
                  <c:v>79.462157480692426</c:v>
                </c:pt>
                <c:pt idx="8">
                  <c:v>78.939044502237891</c:v>
                </c:pt>
                <c:pt idx="9">
                  <c:v>78.329338534719014</c:v>
                </c:pt>
                <c:pt idx="10">
                  <c:v>77.653612618499608</c:v>
                </c:pt>
                <c:pt idx="11">
                  <c:v>76.926301145697224</c:v>
                </c:pt>
                <c:pt idx="12">
                  <c:v>76.158076221101339</c:v>
                </c:pt>
                <c:pt idx="13">
                  <c:v>75.357161346495928</c:v>
                </c:pt>
                <c:pt idx="14">
                  <c:v>74.530102971306462</c:v>
                </c:pt>
                <c:pt idx="15">
                  <c:v>73.682247348803514</c:v>
                </c:pt>
                <c:pt idx="16">
                  <c:v>72.818048519233074</c:v>
                </c:pt>
                <c:pt idx="17">
                  <c:v>71.941275089454322</c:v>
                </c:pt>
                <c:pt idx="18">
                  <c:v>71.055153971747529</c:v>
                </c:pt>
                <c:pt idx="19">
                  <c:v>70.162473498194771</c:v>
                </c:pt>
                <c:pt idx="20">
                  <c:v>69.265659551781738</c:v>
                </c:pt>
                <c:pt idx="21">
                  <c:v>68.366833277132983</c:v>
                </c:pt>
                <c:pt idx="22">
                  <c:v>67.467855896201627</c:v>
                </c:pt>
                <c:pt idx="23">
                  <c:v>66.570364283344745</c:v>
                </c:pt>
                <c:pt idx="24">
                  <c:v>65.675799771512118</c:v>
                </c:pt>
                <c:pt idx="25">
                  <c:v>64.94530199376652</c:v>
                </c:pt>
                <c:pt idx="26">
                  <c:v>64.897765444814596</c:v>
                </c:pt>
                <c:pt idx="27">
                  <c:v>64.847282828298418</c:v>
                </c:pt>
                <c:pt idx="28">
                  <c:v>64.794294634472621</c:v>
                </c:pt>
                <c:pt idx="29">
                  <c:v>64.739175354428724</c:v>
                </c:pt>
                <c:pt idx="30">
                  <c:v>64.682244701725295</c:v>
                </c:pt>
                <c:pt idx="31">
                  <c:v>64.623776669225649</c:v>
                </c:pt>
                <c:pt idx="32">
                  <c:v>64.564006888321998</c:v>
                </c:pt>
                <c:pt idx="33">
                  <c:v>64.503138646538787</c:v>
                </c:pt>
                <c:pt idx="34">
                  <c:v>64.441347837145955</c:v>
                </c:pt>
                <c:pt idx="35">
                  <c:v>64.378787052819959</c:v>
                </c:pt>
                <c:pt idx="36">
                  <c:v>64.315588988916488</c:v>
                </c:pt>
                <c:pt idx="37">
                  <c:v>64.25186928655593</c:v>
                </c:pt>
                <c:pt idx="38">
                  <c:v>64.187728918604435</c:v>
                </c:pt>
                <c:pt idx="39">
                  <c:v>64.123256200680672</c:v>
                </c:pt>
                <c:pt idx="40">
                  <c:v>64.05852849301732</c:v>
                </c:pt>
                <c:pt idx="41">
                  <c:v>63.993613646239034</c:v>
                </c:pt>
                <c:pt idx="42">
                  <c:v>63.928571234058239</c:v>
                </c:pt>
                <c:pt idx="43">
                  <c:v>63.863453607912604</c:v>
                </c:pt>
                <c:pt idx="44">
                  <c:v>63.798306802209581</c:v>
                </c:pt>
                <c:pt idx="45">
                  <c:v>63.733171313746631</c:v>
                </c:pt>
                <c:pt idx="46">
                  <c:v>63.668082774769388</c:v>
                </c:pt>
                <c:pt idx="47">
                  <c:v>63.603072535806845</c:v>
                </c:pt>
                <c:pt idx="48">
                  <c:v>63.538168171718603</c:v>
                </c:pt>
                <c:pt idx="49">
                  <c:v>63.473393922182588</c:v>
                </c:pt>
                <c:pt idx="50">
                  <c:v>63.408771076039258</c:v>
                </c:pt>
                <c:pt idx="51">
                  <c:v>63.34431830741751</c:v>
                </c:pt>
                <c:pt idx="52">
                  <c:v>63.280051970333751</c:v>
                </c:pt>
                <c:pt idx="53">
                  <c:v>63.215986357432676</c:v>
                </c:pt>
                <c:pt idx="54">
                  <c:v>63.152133927685348</c:v>
                </c:pt>
                <c:pt idx="55">
                  <c:v>63.088505507148852</c:v>
                </c:pt>
                <c:pt idx="56">
                  <c:v>63.025110466293754</c:v>
                </c:pt>
                <c:pt idx="57">
                  <c:v>62.961956876904736</c:v>
                </c:pt>
                <c:pt idx="58">
                  <c:v>62.899051651134776</c:v>
                </c:pt>
                <c:pt idx="59">
                  <c:v>62.836400664936406</c:v>
                </c:pt>
                <c:pt idx="60">
                  <c:v>63.012978535856767</c:v>
                </c:pt>
                <c:pt idx="61">
                  <c:v>63.697999451507414</c:v>
                </c:pt>
                <c:pt idx="62">
                  <c:v>64.365507937065274</c:v>
                </c:pt>
                <c:pt idx="63">
                  <c:v>65.016225973803643</c:v>
                </c:pt>
                <c:pt idx="64">
                  <c:v>65.650119084179465</c:v>
                </c:pt>
                <c:pt idx="65">
                  <c:v>65.944829293165967</c:v>
                </c:pt>
                <c:pt idx="66">
                  <c:v>66.169051380569641</c:v>
                </c:pt>
                <c:pt idx="67">
                  <c:v>66.38823299970413</c:v>
                </c:pt>
                <c:pt idx="68">
                  <c:v>66.602521257468624</c:v>
                </c:pt>
                <c:pt idx="69">
                  <c:v>66.812046109232156</c:v>
                </c:pt>
                <c:pt idx="70">
                  <c:v>67.016932698129551</c:v>
                </c:pt>
                <c:pt idx="71">
                  <c:v>67.217301569096037</c:v>
                </c:pt>
                <c:pt idx="72">
                  <c:v>67.413268871482174</c:v>
                </c:pt>
                <c:pt idx="73">
                  <c:v>67.604946550952576</c:v>
                </c:pt>
                <c:pt idx="74">
                  <c:v>67.792442531320788</c:v>
                </c:pt>
                <c:pt idx="75">
                  <c:v>67.975860886929567</c:v>
                </c:pt>
                <c:pt idx="76">
                  <c:v>68.155302006141255</c:v>
                </c:pt>
                <c:pt idx="77">
                  <c:v>68.330862746466309</c:v>
                </c:pt>
                <c:pt idx="78">
                  <c:v>68.502636581821179</c:v>
                </c:pt>
                <c:pt idx="79">
                  <c:v>68.670713742374375</c:v>
                </c:pt>
                <c:pt idx="80">
                  <c:v>68.835181347408493</c:v>
                </c:pt>
                <c:pt idx="81">
                  <c:v>68.996123531598855</c:v>
                </c:pt>
                <c:pt idx="82">
                  <c:v>69.153621565081423</c:v>
                </c:pt>
                <c:pt idx="83">
                  <c:v>69.307753967660872</c:v>
                </c:pt>
                <c:pt idx="84">
                  <c:v>69.458596617485327</c:v>
                </c:pt>
                <c:pt idx="85">
                  <c:v>69.606222854493808</c:v>
                </c:pt>
                <c:pt idx="86">
                  <c:v>69.750703578924671</c:v>
                </c:pt>
                <c:pt idx="87">
                  <c:v>69.892107345152183</c:v>
                </c:pt>
                <c:pt idx="88">
                  <c:v>70.030500451105638</c:v>
                </c:pt>
                <c:pt idx="89">
                  <c:v>70.165947023505879</c:v>
                </c:pt>
                <c:pt idx="90">
                  <c:v>70.29850909914299</c:v>
                </c:pt>
                <c:pt idx="91">
                  <c:v>70.428246702402674</c:v>
                </c:pt>
                <c:pt idx="92">
                  <c:v>70.555217919238515</c:v>
                </c:pt>
                <c:pt idx="93">
                  <c:v>70.679478967774116</c:v>
                </c:pt>
                <c:pt idx="94">
                  <c:v>70.801084265708099</c:v>
                </c:pt>
                <c:pt idx="95">
                  <c:v>70.920086494686259</c:v>
                </c:pt>
                <c:pt idx="96">
                  <c:v>71.03653666179342</c:v>
                </c:pt>
                <c:pt idx="97">
                  <c:v>71.150484158310462</c:v>
                </c:pt>
                <c:pt idx="98">
                  <c:v>71.261976815872671</c:v>
                </c:pt>
                <c:pt idx="99">
                  <c:v>71.371060960157564</c:v>
                </c:pt>
                <c:pt idx="100">
                  <c:v>71.477781462223859</c:v>
                </c:pt>
              </c:numCache>
            </c:numRef>
          </c:val>
          <c:smooth val="0"/>
          <c:extLst>
            <c:ext xmlns:c16="http://schemas.microsoft.com/office/drawing/2014/chart" uri="{C3380CC4-5D6E-409C-BE32-E72D297353CC}">
              <c16:uniqueId val="{00000000-3B81-4204-928B-6CDC733DE792}"/>
            </c:ext>
          </c:extLst>
        </c:ser>
        <c:dLbls>
          <c:showLegendKey val="0"/>
          <c:showVal val="0"/>
          <c:showCatName val="0"/>
          <c:showSerName val="0"/>
          <c:showPercent val="0"/>
          <c:showBubbleSize val="0"/>
        </c:dLbls>
        <c:marker val="1"/>
        <c:smooth val="0"/>
        <c:axId val="451805952"/>
        <c:axId val="451807872"/>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6.7059999999999998E-7</c:v>
                </c:pt>
                <c:pt idx="1">
                  <c:v>26.823999999999998</c:v>
                </c:pt>
                <c:pt idx="2">
                  <c:v>53.647999999999996</c:v>
                </c:pt>
                <c:pt idx="3">
                  <c:v>80.471999999999994</c:v>
                </c:pt>
                <c:pt idx="4">
                  <c:v>107.29599999999999</c:v>
                </c:pt>
                <c:pt idx="5">
                  <c:v>134.11999999999998</c:v>
                </c:pt>
                <c:pt idx="6">
                  <c:v>160.94399999999999</c:v>
                </c:pt>
                <c:pt idx="7">
                  <c:v>187.768</c:v>
                </c:pt>
                <c:pt idx="8">
                  <c:v>214.59199999999998</c:v>
                </c:pt>
                <c:pt idx="9">
                  <c:v>241.416</c:v>
                </c:pt>
                <c:pt idx="10">
                  <c:v>268.23999999999995</c:v>
                </c:pt>
                <c:pt idx="11">
                  <c:v>295.06399999999996</c:v>
                </c:pt>
                <c:pt idx="12">
                  <c:v>321.88799999999998</c:v>
                </c:pt>
                <c:pt idx="13">
                  <c:v>348.71199999999999</c:v>
                </c:pt>
                <c:pt idx="14">
                  <c:v>375.536</c:v>
                </c:pt>
                <c:pt idx="15">
                  <c:v>402.36</c:v>
                </c:pt>
                <c:pt idx="16">
                  <c:v>429.18399999999997</c:v>
                </c:pt>
                <c:pt idx="17">
                  <c:v>456.00799999999998</c:v>
                </c:pt>
                <c:pt idx="18">
                  <c:v>482.83199999999999</c:v>
                </c:pt>
                <c:pt idx="19">
                  <c:v>509.65599999999989</c:v>
                </c:pt>
                <c:pt idx="20">
                  <c:v>536.4799999999999</c:v>
                </c:pt>
                <c:pt idx="21">
                  <c:v>563.30399999999986</c:v>
                </c:pt>
                <c:pt idx="22">
                  <c:v>590.12799999999993</c:v>
                </c:pt>
                <c:pt idx="23">
                  <c:v>616.952</c:v>
                </c:pt>
                <c:pt idx="24">
                  <c:v>643.77599999999995</c:v>
                </c:pt>
                <c:pt idx="25">
                  <c:v>670.6</c:v>
                </c:pt>
                <c:pt idx="26">
                  <c:v>697.42399999999998</c:v>
                </c:pt>
                <c:pt idx="27">
                  <c:v>724.24800000000005</c:v>
                </c:pt>
                <c:pt idx="28">
                  <c:v>751.072</c:v>
                </c:pt>
                <c:pt idx="29">
                  <c:v>777.89599999999996</c:v>
                </c:pt>
                <c:pt idx="30">
                  <c:v>804.72</c:v>
                </c:pt>
                <c:pt idx="31">
                  <c:v>831.54399999999998</c:v>
                </c:pt>
                <c:pt idx="32">
                  <c:v>858.36799999999994</c:v>
                </c:pt>
                <c:pt idx="33">
                  <c:v>885.19199999999989</c:v>
                </c:pt>
                <c:pt idx="34">
                  <c:v>912.01599999999996</c:v>
                </c:pt>
                <c:pt idx="35">
                  <c:v>938.8399999999998</c:v>
                </c:pt>
                <c:pt idx="36">
                  <c:v>965.66399999999999</c:v>
                </c:pt>
                <c:pt idx="37">
                  <c:v>992.48800000000006</c:v>
                </c:pt>
                <c:pt idx="38">
                  <c:v>1019.3119999999998</c:v>
                </c:pt>
                <c:pt idx="39">
                  <c:v>1046.1359999999997</c:v>
                </c:pt>
                <c:pt idx="40">
                  <c:v>1072.9599999999998</c:v>
                </c:pt>
                <c:pt idx="41">
                  <c:v>1099.7839999999999</c:v>
                </c:pt>
                <c:pt idx="42">
                  <c:v>1126.6079999999997</c:v>
                </c:pt>
                <c:pt idx="43">
                  <c:v>1153.432</c:v>
                </c:pt>
                <c:pt idx="44">
                  <c:v>1180.2559999999999</c:v>
                </c:pt>
                <c:pt idx="45">
                  <c:v>1207.08</c:v>
                </c:pt>
                <c:pt idx="46">
                  <c:v>1233.904</c:v>
                </c:pt>
                <c:pt idx="47">
                  <c:v>1260.7279999999998</c:v>
                </c:pt>
                <c:pt idx="48">
                  <c:v>1287.5519999999999</c:v>
                </c:pt>
                <c:pt idx="49">
                  <c:v>1314.3759999999997</c:v>
                </c:pt>
                <c:pt idx="50">
                  <c:v>1341.2</c:v>
                </c:pt>
                <c:pt idx="51">
                  <c:v>1368.0239999999999</c:v>
                </c:pt>
                <c:pt idx="52">
                  <c:v>1394.848</c:v>
                </c:pt>
                <c:pt idx="53">
                  <c:v>1421.6719999999998</c:v>
                </c:pt>
                <c:pt idx="54">
                  <c:v>1448.4960000000001</c:v>
                </c:pt>
                <c:pt idx="55">
                  <c:v>1475.32</c:v>
                </c:pt>
                <c:pt idx="56">
                  <c:v>1502.144</c:v>
                </c:pt>
                <c:pt idx="57">
                  <c:v>1528.9679999999998</c:v>
                </c:pt>
                <c:pt idx="58">
                  <c:v>1555.7919999999999</c:v>
                </c:pt>
                <c:pt idx="59">
                  <c:v>1582.6159999999998</c:v>
                </c:pt>
                <c:pt idx="60">
                  <c:v>1609.44</c:v>
                </c:pt>
                <c:pt idx="61">
                  <c:v>1636.2639999999999</c:v>
                </c:pt>
                <c:pt idx="62">
                  <c:v>1663.088</c:v>
                </c:pt>
                <c:pt idx="63">
                  <c:v>1689.9119999999996</c:v>
                </c:pt>
                <c:pt idx="64">
                  <c:v>1716.7359999999999</c:v>
                </c:pt>
                <c:pt idx="65">
                  <c:v>1743.5599999999997</c:v>
                </c:pt>
                <c:pt idx="66">
                  <c:v>1770.3839999999998</c:v>
                </c:pt>
                <c:pt idx="67">
                  <c:v>1797.2079999999999</c:v>
                </c:pt>
                <c:pt idx="68">
                  <c:v>1824.0319999999999</c:v>
                </c:pt>
                <c:pt idx="69">
                  <c:v>1850.8559999999995</c:v>
                </c:pt>
                <c:pt idx="70">
                  <c:v>1877.6799999999996</c:v>
                </c:pt>
                <c:pt idx="71">
                  <c:v>1904.5039999999997</c:v>
                </c:pt>
                <c:pt idx="72">
                  <c:v>1931.328</c:v>
                </c:pt>
                <c:pt idx="73">
                  <c:v>1958.1519999999998</c:v>
                </c:pt>
                <c:pt idx="74">
                  <c:v>1984.9760000000001</c:v>
                </c:pt>
                <c:pt idx="75">
                  <c:v>2011.7999999999995</c:v>
                </c:pt>
                <c:pt idx="76">
                  <c:v>2038.6239999999996</c:v>
                </c:pt>
                <c:pt idx="77">
                  <c:v>2065.4479999999994</c:v>
                </c:pt>
                <c:pt idx="78">
                  <c:v>2092.2719999999995</c:v>
                </c:pt>
                <c:pt idx="79">
                  <c:v>2119.096</c:v>
                </c:pt>
                <c:pt idx="80">
                  <c:v>2145.9199999999996</c:v>
                </c:pt>
                <c:pt idx="81">
                  <c:v>2172.7439999999997</c:v>
                </c:pt>
                <c:pt idx="82">
                  <c:v>2199.5679999999998</c:v>
                </c:pt>
                <c:pt idx="83">
                  <c:v>2226.3919999999998</c:v>
                </c:pt>
                <c:pt idx="84">
                  <c:v>2253.2159999999994</c:v>
                </c:pt>
                <c:pt idx="85">
                  <c:v>2280.0399999999995</c:v>
                </c:pt>
                <c:pt idx="86">
                  <c:v>2306.864</c:v>
                </c:pt>
                <c:pt idx="87">
                  <c:v>2333.6880000000001</c:v>
                </c:pt>
                <c:pt idx="88">
                  <c:v>2360.5119999999997</c:v>
                </c:pt>
                <c:pt idx="89">
                  <c:v>2387.3359999999998</c:v>
                </c:pt>
                <c:pt idx="90">
                  <c:v>2414.16</c:v>
                </c:pt>
                <c:pt idx="91">
                  <c:v>2440.9839999999999</c:v>
                </c:pt>
                <c:pt idx="92">
                  <c:v>2467.808</c:v>
                </c:pt>
                <c:pt idx="93">
                  <c:v>2494.6320000000001</c:v>
                </c:pt>
                <c:pt idx="94">
                  <c:v>2521.4559999999997</c:v>
                </c:pt>
                <c:pt idx="95">
                  <c:v>2548.2799999999997</c:v>
                </c:pt>
                <c:pt idx="96">
                  <c:v>2575.1039999999998</c:v>
                </c:pt>
                <c:pt idx="97">
                  <c:v>2601.9279999999994</c:v>
                </c:pt>
                <c:pt idx="98">
                  <c:v>2628.7519999999995</c:v>
                </c:pt>
                <c:pt idx="99">
                  <c:v>2655.5759999999996</c:v>
                </c:pt>
                <c:pt idx="100">
                  <c:v>2682.4</c:v>
                </c:pt>
              </c:numCache>
            </c:numRef>
          </c:val>
          <c:smooth val="0"/>
          <c:extLst>
            <c:ext xmlns:c16="http://schemas.microsoft.com/office/drawing/2014/chart" uri="{C3380CC4-5D6E-409C-BE32-E72D297353CC}">
              <c16:uniqueId val="{00000001-3B81-4204-928B-6CDC733DE792}"/>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113.14710549203468</c:v>
                </c:pt>
                <c:pt idx="1">
                  <c:v>133.13287323528562</c:v>
                </c:pt>
                <c:pt idx="2">
                  <c:v>266.37594716403959</c:v>
                </c:pt>
                <c:pt idx="3">
                  <c:v>399.72935867079832</c:v>
                </c:pt>
                <c:pt idx="4">
                  <c:v>533.19324486689868</c:v>
                </c:pt>
                <c:pt idx="5">
                  <c:v>666.76774309094628</c:v>
                </c:pt>
                <c:pt idx="6">
                  <c:v>800.45299090928961</c:v>
                </c:pt>
                <c:pt idx="7">
                  <c:v>934.24912611648881</c:v>
                </c:pt>
                <c:pt idx="8">
                  <c:v>1068.1562867357911</c:v>
                </c:pt>
                <c:pt idx="9">
                  <c:v>1202.1746110196052</c:v>
                </c:pt>
                <c:pt idx="10">
                  <c:v>1336.3042374499769</c:v>
                </c:pt>
                <c:pt idx="11">
                  <c:v>1470.545304739067</c:v>
                </c:pt>
                <c:pt idx="12">
                  <c:v>1604.897951829626</c:v>
                </c:pt>
                <c:pt idx="13">
                  <c:v>1739.3623178954792</c:v>
                </c:pt>
                <c:pt idx="14">
                  <c:v>1873.938542342001</c:v>
                </c:pt>
                <c:pt idx="15">
                  <c:v>2008.6267648066025</c:v>
                </c:pt>
                <c:pt idx="16">
                  <c:v>2143.4271251592095</c:v>
                </c:pt>
                <c:pt idx="17">
                  <c:v>2278.3397635027513</c:v>
                </c:pt>
                <c:pt idx="18">
                  <c:v>2413.3648201736391</c:v>
                </c:pt>
                <c:pt idx="19">
                  <c:v>2548.5024357422635</c:v>
                </c:pt>
                <c:pt idx="20">
                  <c:v>2683.7527510134723</c:v>
                </c:pt>
                <c:pt idx="21">
                  <c:v>2819.1159070270628</c:v>
                </c:pt>
                <c:pt idx="22">
                  <c:v>2954.5920450582739</c:v>
                </c:pt>
                <c:pt idx="23">
                  <c:v>3090.1813066182735</c:v>
                </c:pt>
                <c:pt idx="24">
                  <c:v>3225.8838334546572</c:v>
                </c:pt>
                <c:pt idx="25">
                  <c:v>3346.598319486086</c:v>
                </c:pt>
                <c:pt idx="26">
                  <c:v>3402.3675711228593</c:v>
                </c:pt>
                <c:pt idx="27">
                  <c:v>3457.3623854110901</c:v>
                </c:pt>
                <c:pt idx="28">
                  <c:v>3511.6339015030367</c:v>
                </c:pt>
                <c:pt idx="29">
                  <c:v>3565.2287368391949</c:v>
                </c:pt>
                <c:pt idx="30">
                  <c:v>3618.1895318133443</c:v>
                </c:pt>
                <c:pt idx="31">
                  <c:v>3670.5554131477134</c:v>
                </c:pt>
                <c:pt idx="32">
                  <c:v>3722.3623903215321</c:v>
                </c:pt>
                <c:pt idx="33">
                  <c:v>3773.6436964992481</c:v>
                </c:pt>
                <c:pt idx="34">
                  <c:v>3824.4300831623577</c:v>
                </c:pt>
                <c:pt idx="35">
                  <c:v>3874.7500758984429</c:v>
                </c:pt>
                <c:pt idx="36">
                  <c:v>3924.630197423734</c:v>
                </c:pt>
                <c:pt idx="37">
                  <c:v>3974.0951628237053</c:v>
                </c:pt>
                <c:pt idx="38">
                  <c:v>4023.1680511246682</c:v>
                </c:pt>
                <c:pt idx="39">
                  <c:v>4071.87045660888</c:v>
                </c:pt>
                <c:pt idx="40">
                  <c:v>4120.2226227194506</c:v>
                </c:pt>
                <c:pt idx="41">
                  <c:v>4168.2435609406666</c:v>
                </c:pt>
                <c:pt idx="42">
                  <c:v>4215.9511566627052</c:v>
                </c:pt>
                <c:pt idx="43">
                  <c:v>4263.3622637298968</c:v>
                </c:pt>
                <c:pt idx="44">
                  <c:v>4310.4927891158986</c:v>
                </c:pt>
                <c:pt idx="45">
                  <c:v>4357.3577689565618</c:v>
                </c:pt>
                <c:pt idx="46">
                  <c:v>4403.9714369941767</c:v>
                </c:pt>
                <c:pt idx="47">
                  <c:v>4450.3472863382995</c:v>
                </c:pt>
                <c:pt idx="48">
                  <c:v>4496.4981253236447</c:v>
                </c:pt>
                <c:pt idx="49">
                  <c:v>4542.4361281400415</c:v>
                </c:pt>
                <c:pt idx="50">
                  <c:v>4588.1728808202906</c:v>
                </c:pt>
                <c:pt idx="51">
                  <c:v>4633.7194230957202</c:v>
                </c:pt>
                <c:pt idx="52">
                  <c:v>4679.0862865644185</c:v>
                </c:pt>
                <c:pt idx="53">
                  <c:v>4724.2835295617315</c:v>
                </c:pt>
                <c:pt idx="54">
                  <c:v>4769.3207690748523</c:v>
                </c:pt>
                <c:pt idx="55">
                  <c:v>4814.2072100023033</c:v>
                </c:pt>
                <c:pt idx="56">
                  <c:v>4858.9516720236816</c:v>
                </c:pt>
                <c:pt idx="57">
                  <c:v>4903.5626143142063</c:v>
                </c:pt>
                <c:pt idx="58">
                  <c:v>4948.0481583120227</c:v>
                </c:pt>
                <c:pt idx="59">
                  <c:v>4992.4161087228586</c:v>
                </c:pt>
                <c:pt idx="60">
                  <c:v>5011.0649510925359</c:v>
                </c:pt>
                <c:pt idx="61">
                  <c:v>4974.5333156983306</c:v>
                </c:pt>
                <c:pt idx="62">
                  <c:v>4938.9002324305402</c:v>
                </c:pt>
                <c:pt idx="63">
                  <c:v>4904.1446855068898</c:v>
                </c:pt>
                <c:pt idx="64">
                  <c:v>4870.214499579768</c:v>
                </c:pt>
                <c:pt idx="65">
                  <c:v>4870.7033793751862</c:v>
                </c:pt>
                <c:pt idx="66">
                  <c:v>4878.3975413179223</c:v>
                </c:pt>
                <c:pt idx="67">
                  <c:v>4886.4981207688033</c:v>
                </c:pt>
                <c:pt idx="68">
                  <c:v>4895.0219626207427</c:v>
                </c:pt>
                <c:pt idx="69">
                  <c:v>4903.9644535346479</c:v>
                </c:pt>
                <c:pt idx="70">
                  <c:v>4913.3213909507112</c:v>
                </c:pt>
                <c:pt idx="71">
                  <c:v>4923.088959902705</c:v>
                </c:pt>
                <c:pt idx="72">
                  <c:v>4933.2637117423264</c:v>
                </c:pt>
                <c:pt idx="73">
                  <c:v>4943.8425446039473</c:v>
                </c:pt>
                <c:pt idx="74">
                  <c:v>4954.8226854575287</c:v>
                </c:pt>
                <c:pt idx="75">
                  <c:v>4966.2016736128808</c:v>
                </c:pt>
                <c:pt idx="76">
                  <c:v>4977.9773455520972</c:v>
                </c:pt>
                <c:pt idx="77">
                  <c:v>4990.1478209792376</c:v>
                </c:pt>
                <c:pt idx="78">
                  <c:v>5002.7114899871849</c:v>
                </c:pt>
                <c:pt idx="79">
                  <c:v>5015.6670012512423</c:v>
                </c:pt>
                <c:pt idx="80">
                  <c:v>5029.0132511677821</c:v>
                </c:pt>
                <c:pt idx="81">
                  <c:v>5042.749373863965</c:v>
                </c:pt>
                <c:pt idx="82">
                  <c:v>5056.8747320115408</c:v>
                </c:pt>
                <c:pt idx="83">
                  <c:v>5071.3889083839149</c:v>
                </c:pt>
                <c:pt idx="84">
                  <c:v>5086.2916981014105</c:v>
                </c:pt>
                <c:pt idx="85">
                  <c:v>5101.5831015145768</c:v>
                </c:pt>
                <c:pt idx="86">
                  <c:v>5117.2633176800173</c:v>
                </c:pt>
                <c:pt idx="87">
                  <c:v>5133.3327383873748</c:v>
                </c:pt>
                <c:pt idx="88">
                  <c:v>5149.7919426996841</c:v>
                </c:pt>
                <c:pt idx="89">
                  <c:v>5166.641691972849</c:v>
                </c:pt>
                <c:pt idx="90">
                  <c:v>5183.8829253229242</c:v>
                </c:pt>
                <c:pt idx="91">
                  <c:v>5201.5167555127064</c:v>
                </c:pt>
                <c:pt idx="92">
                  <c:v>5219.5444652316737</c:v>
                </c:pt>
                <c:pt idx="93">
                  <c:v>5237.9675037455227</c:v>
                </c:pt>
                <c:pt idx="94">
                  <c:v>5256.7874838937878</c:v>
                </c:pt>
                <c:pt idx="95">
                  <c:v>5276.0061794157946</c:v>
                </c:pt>
                <c:pt idx="96">
                  <c:v>5295.62552258701</c:v>
                </c:pt>
                <c:pt idx="97">
                  <c:v>5315.6476021494582</c:v>
                </c:pt>
                <c:pt idx="98">
                  <c:v>5336.0746615213038</c:v>
                </c:pt>
                <c:pt idx="99">
                  <c:v>5356.9090972720987</c:v>
                </c:pt>
                <c:pt idx="100">
                  <c:v>5378.1534578513429</c:v>
                </c:pt>
              </c:numCache>
            </c:numRef>
          </c:val>
          <c:smooth val="0"/>
          <c:extLst>
            <c:ext xmlns:c16="http://schemas.microsoft.com/office/drawing/2014/chart" uri="{C3380CC4-5D6E-409C-BE32-E72D297353CC}">
              <c16:uniqueId val="{00000002-3B81-4204-928B-6CDC733DE792}"/>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261.86877323253276</c:v>
                </c:pt>
                <c:pt idx="1">
                  <c:v>270.74780435593379</c:v>
                </c:pt>
                <c:pt idx="2">
                  <c:v>338.52071765161088</c:v>
                </c:pt>
                <c:pt idx="3">
                  <c:v>424.36731581146648</c:v>
                </c:pt>
                <c:pt idx="4">
                  <c:v>532.41713035984549</c:v>
                </c:pt>
                <c:pt idx="5">
                  <c:v>666.13162351296285</c:v>
                </c:pt>
                <c:pt idx="6">
                  <c:v>828.55374409599403</c:v>
                </c:pt>
                <c:pt idx="7">
                  <c:v>1022.4315780191923</c:v>
                </c:pt>
                <c:pt idx="8">
                  <c:v>1250.2907168119605</c:v>
                </c:pt>
                <c:pt idx="9">
                  <c:v>1514.4810365632363</c:v>
                </c:pt>
                <c:pt idx="10">
                  <c:v>1817.2090357549941</c:v>
                </c:pt>
                <c:pt idx="11">
                  <c:v>2160.5613070964573</c:v>
                </c:pt>
                <c:pt idx="12">
                  <c:v>2546.5222189177885</c:v>
                </c:pt>
                <c:pt idx="13">
                  <c:v>2976.9876306909264</c:v>
                </c:pt>
                <c:pt idx="14">
                  <c:v>3453.7757877597105</c:v>
                </c:pt>
                <c:pt idx="15">
                  <c:v>3978.6361470023353</c:v>
                </c:pt>
                <c:pt idx="16">
                  <c:v>4553.2566454563575</c:v>
                </c:pt>
                <c:pt idx="17">
                  <c:v>5179.2697715859777</c:v>
                </c:pt>
                <c:pt idx="18">
                  <c:v>5858.2576985472206</c:v>
                </c:pt>
                <c:pt idx="19">
                  <c:v>6591.7566707196202</c:v>
                </c:pt>
                <c:pt idx="20">
                  <c:v>7381.2607873465458</c:v>
                </c:pt>
                <c:pt idx="21">
                  <c:v>8228.2252933334894</c:v>
                </c:pt>
                <c:pt idx="22">
                  <c:v>9134.0694626884597</c:v>
                </c:pt>
                <c:pt idx="23">
                  <c:v>10100.179141913575</c:v>
                </c:pt>
                <c:pt idx="24">
                  <c:v>11127.909006994019</c:v>
                </c:pt>
                <c:pt idx="25">
                  <c:v>12120.004696449758</c:v>
                </c:pt>
                <c:pt idx="26">
                  <c:v>12720.309676448451</c:v>
                </c:pt>
                <c:pt idx="27">
                  <c:v>13326.419268949814</c:v>
                </c:pt>
                <c:pt idx="28">
                  <c:v>13938.199078449563</c:v>
                </c:pt>
                <c:pt idx="29">
                  <c:v>14555.523465460008</c:v>
                </c:pt>
                <c:pt idx="30">
                  <c:v>15178.274707488337</c:v>
                </c:pt>
                <c:pt idx="31">
                  <c:v>15806.342265744335</c:v>
                </c:pt>
                <c:pt idx="32">
                  <c:v>16439.622141264626</c:v>
                </c:pt>
                <c:pt idx="33">
                  <c:v>17078.016307090515</c:v>
                </c:pt>
                <c:pt idx="34">
                  <c:v>17721.432205479377</c:v>
                </c:pt>
                <c:pt idx="35">
                  <c:v>18369.782301004529</c:v>
                </c:pt>
                <c:pt idx="36">
                  <c:v>19022.983681909835</c:v>
                </c:pt>
                <c:pt idx="37">
                  <c:v>19680.957703311593</c:v>
                </c:pt>
                <c:pt idx="38">
                  <c:v>20343.62966684176</c:v>
                </c:pt>
                <c:pt idx="39">
                  <c:v>21010.92853214913</c:v>
                </c:pt>
                <c:pt idx="40">
                  <c:v>21682.786656354267</c:v>
                </c:pt>
                <c:pt idx="41">
                  <c:v>22359.139558119019</c:v>
                </c:pt>
                <c:pt idx="42">
                  <c:v>23039.925703461202</c:v>
                </c:pt>
                <c:pt idx="43">
                  <c:v>23725.086310840667</c:v>
                </c:pt>
                <c:pt idx="44">
                  <c:v>24414.565173375329</c:v>
                </c:pt>
                <c:pt idx="45">
                  <c:v>25108.308496326965</c:v>
                </c:pt>
                <c:pt idx="46">
                  <c:v>25806.264748235386</c:v>
                </c:pt>
                <c:pt idx="47">
                  <c:v>26508.384524283232</c:v>
                </c:pt>
                <c:pt idx="48">
                  <c:v>27214.620420648738</c:v>
                </c:pt>
                <c:pt idx="49">
                  <c:v>27924.926918751731</c:v>
                </c:pt>
                <c:pt idx="50">
                  <c:v>28639.26027842945</c:v>
                </c:pt>
                <c:pt idx="51">
                  <c:v>29357.578439187797</c:v>
                </c:pt>
                <c:pt idx="52">
                  <c:v>30079.840928772457</c:v>
                </c:pt>
                <c:pt idx="53">
                  <c:v>30806.008778386673</c:v>
                </c:pt>
                <c:pt idx="54">
                  <c:v>31536.044443957038</c:v>
                </c:pt>
                <c:pt idx="55">
                  <c:v>32269.911732911743</c:v>
                </c:pt>
                <c:pt idx="56">
                  <c:v>33007.575735993218</c:v>
                </c:pt>
                <c:pt idx="57">
                  <c:v>33749.002763674413</c:v>
                </c:pt>
                <c:pt idx="58">
                  <c:v>34494.160286794388</c:v>
                </c:pt>
                <c:pt idx="59">
                  <c:v>35243.016881064112</c:v>
                </c:pt>
                <c:pt idx="60">
                  <c:v>35586.371862783213</c:v>
                </c:pt>
                <c:pt idx="61">
                  <c:v>35051.784058859201</c:v>
                </c:pt>
                <c:pt idx="62">
                  <c:v>34533.780697639675</c:v>
                </c:pt>
                <c:pt idx="63">
                  <c:v>34031.097779887059</c:v>
                </c:pt>
                <c:pt idx="64">
                  <c:v>33543.894523127208</c:v>
                </c:pt>
                <c:pt idx="65">
                  <c:v>33614.02419000995</c:v>
                </c:pt>
                <c:pt idx="66">
                  <c:v>33792.764356890977</c:v>
                </c:pt>
                <c:pt idx="67">
                  <c:v>33970.734738959203</c:v>
                </c:pt>
                <c:pt idx="68">
                  <c:v>34147.97324635103</c:v>
                </c:pt>
                <c:pt idx="69">
                  <c:v>34324.557116419353</c:v>
                </c:pt>
                <c:pt idx="70">
                  <c:v>34500.560186543698</c:v>
                </c:pt>
                <c:pt idx="71">
                  <c:v>34676.053119125478</c:v>
                </c:pt>
                <c:pt idx="72">
                  <c:v>34851.103610166014</c:v>
                </c:pt>
                <c:pt idx="73">
                  <c:v>35025.776582829778</c:v>
                </c:pt>
                <c:pt idx="74">
                  <c:v>35200.134367264436</c:v>
                </c:pt>
                <c:pt idx="75">
                  <c:v>35374.236867823813</c:v>
                </c:pt>
                <c:pt idx="76">
                  <c:v>35548.14171873853</c:v>
                </c:pt>
                <c:pt idx="77">
                  <c:v>35721.904429178467</c:v>
                </c:pt>
                <c:pt idx="78">
                  <c:v>35895.578518566937</c:v>
                </c:pt>
                <c:pt idx="79">
                  <c:v>36069.215642927855</c:v>
                </c:pt>
                <c:pt idx="80">
                  <c:v>36242.865712978579</c:v>
                </c:pt>
                <c:pt idx="81">
                  <c:v>36416.577004616687</c:v>
                </c:pt>
                <c:pt idx="82">
                  <c:v>36590.396262394621</c:v>
                </c:pt>
                <c:pt idx="83">
                  <c:v>36764.368796521849</c:v>
                </c:pt>
                <c:pt idx="84">
                  <c:v>36938.53857389091</c:v>
                </c:pt>
                <c:pt idx="85">
                  <c:v>37112.948303580546</c:v>
                </c:pt>
                <c:pt idx="86">
                  <c:v>37287.639517250827</c:v>
                </c:pt>
                <c:pt idx="87">
                  <c:v>37462.652644813206</c:v>
                </c:pt>
                <c:pt idx="88">
                  <c:v>37638.027085722708</c:v>
                </c:pt>
                <c:pt idx="89">
                  <c:v>37813.801276217724</c:v>
                </c:pt>
                <c:pt idx="90">
                  <c:v>37990.012752800336</c:v>
                </c:pt>
                <c:pt idx="91">
                  <c:v>38166.698212232739</c:v>
                </c:pt>
                <c:pt idx="92">
                  <c:v>38343.893568298969</c:v>
                </c:pt>
                <c:pt idx="93">
                  <c:v>38521.634005565276</c:v>
                </c:pt>
                <c:pt idx="94">
                  <c:v>38699.954030354143</c:v>
                </c:pt>
                <c:pt idx="95">
                  <c:v>38878.887519128533</c:v>
                </c:pt>
                <c:pt idx="96">
                  <c:v>39058.467764471287</c:v>
                </c:pt>
                <c:pt idx="97">
                  <c:v>39238.727518829335</c:v>
                </c:pt>
                <c:pt idx="98">
                  <c:v>39419.699036179758</c:v>
                </c:pt>
                <c:pt idx="99">
                  <c:v>39601.414111764869</c:v>
                </c:pt>
                <c:pt idx="100">
                  <c:v>39783.904120031861</c:v>
                </c:pt>
              </c:numCache>
            </c:numRef>
          </c:val>
          <c:smooth val="0"/>
          <c:extLst>
            <c:ext xmlns:c16="http://schemas.microsoft.com/office/drawing/2014/chart" uri="{C3380CC4-5D6E-409C-BE32-E72D297353CC}">
              <c16:uniqueId val="{00000003-3B81-4204-928B-6CDC733DE792}"/>
            </c:ext>
          </c:extLst>
        </c:ser>
        <c:dLbls>
          <c:showLegendKey val="0"/>
          <c:showVal val="0"/>
          <c:showCatName val="0"/>
          <c:showSerName val="0"/>
          <c:showPercent val="0"/>
          <c:showBubbleSize val="0"/>
        </c:dLbls>
        <c:marker val="1"/>
        <c:smooth val="0"/>
        <c:axId val="451820160"/>
        <c:axId val="451818240"/>
      </c:lineChart>
      <c:catAx>
        <c:axId val="451805952"/>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807872"/>
        <c:crosses val="autoZero"/>
        <c:auto val="1"/>
        <c:lblAlgn val="ctr"/>
        <c:lblOffset val="100"/>
        <c:tickLblSkip val="20"/>
        <c:tickMarkSkip val="20"/>
        <c:noMultiLvlLbl val="0"/>
      </c:catAx>
      <c:valAx>
        <c:axId val="451807872"/>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05952"/>
        <c:crossesAt val="0"/>
        <c:crossBetween val="between"/>
        <c:majorUnit val="5"/>
        <c:minorUnit val="2.5"/>
      </c:valAx>
      <c:valAx>
        <c:axId val="45181824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820160"/>
        <c:crosses val="max"/>
        <c:crossBetween val="between"/>
      </c:valAx>
      <c:catAx>
        <c:axId val="451820160"/>
        <c:scaling>
          <c:orientation val="minMax"/>
        </c:scaling>
        <c:delete val="1"/>
        <c:axPos val="b"/>
        <c:numFmt formatCode="General" sourceLinked="1"/>
        <c:majorTickMark val="out"/>
        <c:minorTickMark val="none"/>
        <c:tickLblPos val="nextTo"/>
        <c:crossAx val="45181824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1.077597709013135E-5</c:v>
                </c:pt>
                <c:pt idx="1">
                  <c:v>74.355864176906678</c:v>
                </c:pt>
                <c:pt idx="2">
                  <c:v>78.720536224535223</c:v>
                </c:pt>
                <c:pt idx="3">
                  <c:v>79.937465887144072</c:v>
                </c:pt>
                <c:pt idx="4">
                  <c:v>80.231948520904396</c:v>
                </c:pt>
                <c:pt idx="5">
                  <c:v>80.107413001934162</c:v>
                </c:pt>
                <c:pt idx="6">
                  <c:v>79.745579064167998</c:v>
                </c:pt>
                <c:pt idx="7">
                  <c:v>79.230574188470214</c:v>
                </c:pt>
                <c:pt idx="8">
                  <c:v>78.608199801263794</c:v>
                </c:pt>
                <c:pt idx="9">
                  <c:v>77.906463429264022</c:v>
                </c:pt>
                <c:pt idx="10">
                  <c:v>77.144053407340095</c:v>
                </c:pt>
                <c:pt idx="11">
                  <c:v>76.334302607568659</c:v>
                </c:pt>
                <c:pt idx="12">
                  <c:v>75.487226858609475</c:v>
                </c:pt>
                <c:pt idx="13">
                  <c:v>74.610655284684839</c:v>
                </c:pt>
                <c:pt idx="14">
                  <c:v>73.710897208413968</c:v>
                </c:pt>
                <c:pt idx="15">
                  <c:v>72.793156880860224</c:v>
                </c:pt>
                <c:pt idx="16">
                  <c:v>71.861803466059357</c:v>
                </c:pt>
                <c:pt idx="17">
                  <c:v>70.920554078426875</c:v>
                </c:pt>
                <c:pt idx="18">
                  <c:v>69.972602490434582</c:v>
                </c:pt>
                <c:pt idx="19">
                  <c:v>69.020712687231224</c:v>
                </c:pt>
                <c:pt idx="20">
                  <c:v>68.067288951378714</c:v>
                </c:pt>
                <c:pt idx="21">
                  <c:v>67.114429822031667</c:v>
                </c:pt>
                <c:pt idx="22">
                  <c:v>66.163970675963171</c:v>
                </c:pt>
                <c:pt idx="23">
                  <c:v>65.217518077319951</c:v>
                </c:pt>
                <c:pt idx="24">
                  <c:v>65.119663109813942</c:v>
                </c:pt>
                <c:pt idx="25">
                  <c:v>65.212346662306999</c:v>
                </c:pt>
                <c:pt idx="26">
                  <c:v>65.160319597638249</c:v>
                </c:pt>
                <c:pt idx="27">
                  <c:v>65.105710293167789</c:v>
                </c:pt>
                <c:pt idx="28">
                  <c:v>65.048921489348487</c:v>
                </c:pt>
                <c:pt idx="29">
                  <c:v>64.99029485218179</c:v>
                </c:pt>
                <c:pt idx="30">
                  <c:v>64.930121419362166</c:v>
                </c:pt>
                <c:pt idx="31">
                  <c:v>64.868650023603877</c:v>
                </c:pt>
                <c:pt idx="32">
                  <c:v>64.806094130904697</c:v>
                </c:pt>
                <c:pt idx="33">
                  <c:v>64.742637427082201</c:v>
                </c:pt>
                <c:pt idx="34">
                  <c:v>64.678438408625311</c:v>
                </c:pt>
                <c:pt idx="35">
                  <c:v>64.613634176136443</c:v>
                </c:pt>
                <c:pt idx="36">
                  <c:v>64.548343585080232</c:v>
                </c:pt>
                <c:pt idx="37">
                  <c:v>64.482669875430105</c:v>
                </c:pt>
                <c:pt idx="38">
                  <c:v>64.416702876417673</c:v>
                </c:pt>
                <c:pt idx="39">
                  <c:v>64.350520862986031</c:v>
                </c:pt>
                <c:pt idx="40">
                  <c:v>64.284192125306049</c:v>
                </c:pt>
                <c:pt idx="41">
                  <c:v>64.217776300783541</c:v>
                </c:pt>
                <c:pt idx="42">
                  <c:v>64.15132550858776</c:v>
                </c:pt>
                <c:pt idx="43">
                  <c:v>64.084885319286514</c:v>
                </c:pt>
                <c:pt idx="44">
                  <c:v>64.018495586239425</c:v>
                </c:pt>
                <c:pt idx="45">
                  <c:v>63.952191160649328</c:v>
                </c:pt>
                <c:pt idx="46">
                  <c:v>63.886002508344554</c:v>
                </c:pt>
                <c:pt idx="47">
                  <c:v>63.819956243269203</c:v>
                </c:pt>
                <c:pt idx="48">
                  <c:v>63.754075590141859</c:v>
                </c:pt>
                <c:pt idx="49">
                  <c:v>63.688380786689706</c:v>
                </c:pt>
                <c:pt idx="50">
                  <c:v>63.622889434179456</c:v>
                </c:pt>
                <c:pt idx="51">
                  <c:v>63.557616803581126</c:v>
                </c:pt>
                <c:pt idx="52">
                  <c:v>63.492576103554896</c:v>
                </c:pt>
                <c:pt idx="53">
                  <c:v>63.42777871550053</c:v>
                </c:pt>
                <c:pt idx="54">
                  <c:v>63.363234400119005</c:v>
                </c:pt>
                <c:pt idx="55">
                  <c:v>63.298951479274855</c:v>
                </c:pt>
                <c:pt idx="56">
                  <c:v>63.234936996393955</c:v>
                </c:pt>
                <c:pt idx="57">
                  <c:v>63.171196858167946</c:v>
                </c:pt>
                <c:pt idx="58">
                  <c:v>63.107735959941955</c:v>
                </c:pt>
                <c:pt idx="59">
                  <c:v>63.2051081414169</c:v>
                </c:pt>
                <c:pt idx="60">
                  <c:v>63.897314764194292</c:v>
                </c:pt>
                <c:pt idx="61">
                  <c:v>64.571218635522456</c:v>
                </c:pt>
                <c:pt idx="62">
                  <c:v>65.714021112494635</c:v>
                </c:pt>
                <c:pt idx="63">
                  <c:v>65.95079808054021</c:v>
                </c:pt>
                <c:pt idx="64">
                  <c:v>66.182201156003757</c:v>
                </c:pt>
                <c:pt idx="65">
                  <c:v>66.408326932126343</c:v>
                </c:pt>
                <c:pt idx="66">
                  <c:v>66.629321597314544</c:v>
                </c:pt>
                <c:pt idx="67">
                  <c:v>66.845325754123209</c:v>
                </c:pt>
                <c:pt idx="68">
                  <c:v>67.056474676378912</c:v>
                </c:pt>
                <c:pt idx="69">
                  <c:v>67.262898552175415</c:v>
                </c:pt>
                <c:pt idx="70">
                  <c:v>67.464722713633861</c:v>
                </c:pt>
                <c:pt idx="71">
                  <c:v>67.662067854257785</c:v>
                </c:pt>
                <c:pt idx="72">
                  <c:v>67.855050234651586</c:v>
                </c:pt>
                <c:pt idx="73">
                  <c:v>68.043781877319418</c:v>
                </c:pt>
                <c:pt idx="74">
                  <c:v>68.228370751208971</c:v>
                </c:pt>
                <c:pt idx="75">
                  <c:v>68.408920946620526</c:v>
                </c:pt>
                <c:pt idx="76">
                  <c:v>68.585532841057315</c:v>
                </c:pt>
                <c:pt idx="77">
                  <c:v>68.758303256556388</c:v>
                </c:pt>
                <c:pt idx="78">
                  <c:v>68.927325608999936</c:v>
                </c:pt>
                <c:pt idx="79">
                  <c:v>69.092690049876751</c:v>
                </c:pt>
                <c:pt idx="80">
                  <c:v>69.254483600929277</c:v>
                </c:pt>
                <c:pt idx="81">
                  <c:v>69.412790282095813</c:v>
                </c:pt>
                <c:pt idx="82">
                  <c:v>69.567691233129381</c:v>
                </c:pt>
                <c:pt idx="83">
                  <c:v>69.719264829249141</c:v>
                </c:pt>
                <c:pt idx="84">
                  <c:v>69.867586791160761</c:v>
                </c:pt>
                <c:pt idx="85">
                  <c:v>70.012730289755936</c:v>
                </c:pt>
                <c:pt idx="86">
                  <c:v>70.154766045786829</c:v>
                </c:pt>
                <c:pt idx="87">
                  <c:v>70.293762424787957</c:v>
                </c:pt>
                <c:pt idx="88">
                  <c:v>70.429785527504706</c:v>
                </c:pt>
                <c:pt idx="89">
                  <c:v>70.562899276069601</c:v>
                </c:pt>
                <c:pt idx="90">
                  <c:v>70.693165496153256</c:v>
                </c:pt>
                <c:pt idx="91">
                  <c:v>70.82064399530347</c:v>
                </c:pt>
                <c:pt idx="92">
                  <c:v>70.945392637672271</c:v>
                </c:pt>
                <c:pt idx="93">
                  <c:v>71.067467415319825</c:v>
                </c:pt>
                <c:pt idx="94">
                  <c:v>71.186922516271352</c:v>
                </c:pt>
                <c:pt idx="95">
                  <c:v>71.303810389494188</c:v>
                </c:pt>
                <c:pt idx="96">
                  <c:v>71.418181806951992</c:v>
                </c:pt>
                <c:pt idx="97">
                  <c:v>71.53008592288289</c:v>
                </c:pt>
                <c:pt idx="98">
                  <c:v>71.639570330441273</c:v>
                </c:pt>
                <c:pt idx="99">
                  <c:v>71.746681115834022</c:v>
                </c:pt>
                <c:pt idx="100">
                  <c:v>71.835144537231983</c:v>
                </c:pt>
              </c:numCache>
            </c:numRef>
          </c:val>
          <c:smooth val="0"/>
          <c:extLst>
            <c:ext xmlns:c16="http://schemas.microsoft.com/office/drawing/2014/chart" uri="{C3380CC4-5D6E-409C-BE32-E72D297353CC}">
              <c16:uniqueId val="{00000000-F0EA-4A0C-859E-C3182CAF915C}"/>
            </c:ext>
          </c:extLst>
        </c:ser>
        <c:dLbls>
          <c:showLegendKey val="0"/>
          <c:showVal val="0"/>
          <c:showCatName val="0"/>
          <c:showSerName val="0"/>
          <c:showPercent val="0"/>
          <c:showBubbleSize val="0"/>
        </c:dLbls>
        <c:marker val="1"/>
        <c:smooth val="0"/>
        <c:axId val="451868928"/>
        <c:axId val="451223936"/>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1.1495999999999998E-6</c:v>
                </c:pt>
                <c:pt idx="1">
                  <c:v>30.895499999999998</c:v>
                </c:pt>
                <c:pt idx="2">
                  <c:v>61.790999999999997</c:v>
                </c:pt>
                <c:pt idx="3">
                  <c:v>92.686499999999995</c:v>
                </c:pt>
                <c:pt idx="4">
                  <c:v>123.58199999999999</c:v>
                </c:pt>
                <c:pt idx="5">
                  <c:v>154.47749999999999</c:v>
                </c:pt>
                <c:pt idx="6">
                  <c:v>185.37299999999999</c:v>
                </c:pt>
                <c:pt idx="7">
                  <c:v>216.26849999999999</c:v>
                </c:pt>
                <c:pt idx="8">
                  <c:v>247.16399999999999</c:v>
                </c:pt>
                <c:pt idx="9">
                  <c:v>278.05950000000001</c:v>
                </c:pt>
                <c:pt idx="10">
                  <c:v>308.95499999999998</c:v>
                </c:pt>
                <c:pt idx="11">
                  <c:v>339.85050000000001</c:v>
                </c:pt>
                <c:pt idx="12">
                  <c:v>370.74599999999998</c:v>
                </c:pt>
                <c:pt idx="13">
                  <c:v>401.64150000000001</c:v>
                </c:pt>
                <c:pt idx="14">
                  <c:v>432.53699999999998</c:v>
                </c:pt>
                <c:pt idx="15">
                  <c:v>463.4325</c:v>
                </c:pt>
                <c:pt idx="16">
                  <c:v>494.32799999999997</c:v>
                </c:pt>
                <c:pt idx="17">
                  <c:v>525.22349999999994</c:v>
                </c:pt>
                <c:pt idx="18">
                  <c:v>556.11900000000003</c:v>
                </c:pt>
                <c:pt idx="19">
                  <c:v>587.01449999999988</c:v>
                </c:pt>
                <c:pt idx="20">
                  <c:v>617.91</c:v>
                </c:pt>
                <c:pt idx="21">
                  <c:v>648.80549999999994</c:v>
                </c:pt>
                <c:pt idx="22">
                  <c:v>679.70100000000002</c:v>
                </c:pt>
                <c:pt idx="23">
                  <c:v>710.59649999999999</c:v>
                </c:pt>
                <c:pt idx="24">
                  <c:v>741.49199999999996</c:v>
                </c:pt>
                <c:pt idx="25">
                  <c:v>772.38750000000005</c:v>
                </c:pt>
                <c:pt idx="26">
                  <c:v>803.28300000000002</c:v>
                </c:pt>
                <c:pt idx="27">
                  <c:v>834.1785000000001</c:v>
                </c:pt>
                <c:pt idx="28">
                  <c:v>865.07399999999996</c:v>
                </c:pt>
                <c:pt idx="29">
                  <c:v>895.96949999999981</c:v>
                </c:pt>
                <c:pt idx="30">
                  <c:v>926.86500000000001</c:v>
                </c:pt>
                <c:pt idx="31">
                  <c:v>957.76049999999998</c:v>
                </c:pt>
                <c:pt idx="32">
                  <c:v>988.65599999999995</c:v>
                </c:pt>
                <c:pt idx="33">
                  <c:v>1019.5514999999999</c:v>
                </c:pt>
                <c:pt idx="34">
                  <c:v>1050.4469999999999</c:v>
                </c:pt>
                <c:pt idx="35">
                  <c:v>1081.3425</c:v>
                </c:pt>
                <c:pt idx="36">
                  <c:v>1112.2380000000001</c:v>
                </c:pt>
                <c:pt idx="37">
                  <c:v>1143.1334999999999</c:v>
                </c:pt>
                <c:pt idx="38">
                  <c:v>1174.0289999999998</c:v>
                </c:pt>
                <c:pt idx="39">
                  <c:v>1204.9244999999996</c:v>
                </c:pt>
                <c:pt idx="40">
                  <c:v>1235.82</c:v>
                </c:pt>
                <c:pt idx="41">
                  <c:v>1266.7154999999998</c:v>
                </c:pt>
                <c:pt idx="42">
                  <c:v>1297.6109999999999</c:v>
                </c:pt>
                <c:pt idx="43">
                  <c:v>1328.5065</c:v>
                </c:pt>
                <c:pt idx="44">
                  <c:v>1359.402</c:v>
                </c:pt>
                <c:pt idx="45">
                  <c:v>1390.2974999999999</c:v>
                </c:pt>
                <c:pt idx="46">
                  <c:v>1421.193</c:v>
                </c:pt>
                <c:pt idx="47">
                  <c:v>1452.0884999999998</c:v>
                </c:pt>
                <c:pt idx="48">
                  <c:v>1482.9839999999999</c:v>
                </c:pt>
                <c:pt idx="49">
                  <c:v>1513.8794999999998</c:v>
                </c:pt>
                <c:pt idx="50">
                  <c:v>1544.7750000000001</c:v>
                </c:pt>
                <c:pt idx="51">
                  <c:v>1575.6704999999999</c:v>
                </c:pt>
                <c:pt idx="52">
                  <c:v>1606.566</c:v>
                </c:pt>
                <c:pt idx="53">
                  <c:v>1637.4614999999999</c:v>
                </c:pt>
                <c:pt idx="54">
                  <c:v>1668.3570000000002</c:v>
                </c:pt>
                <c:pt idx="55">
                  <c:v>1699.2525000000001</c:v>
                </c:pt>
                <c:pt idx="56">
                  <c:v>1730.1479999999999</c:v>
                </c:pt>
                <c:pt idx="57">
                  <c:v>1761.0434999999998</c:v>
                </c:pt>
                <c:pt idx="58">
                  <c:v>1791.9389999999996</c:v>
                </c:pt>
                <c:pt idx="59">
                  <c:v>1822.8344999999997</c:v>
                </c:pt>
                <c:pt idx="60">
                  <c:v>1853.73</c:v>
                </c:pt>
                <c:pt idx="61">
                  <c:v>1884.6254999999999</c:v>
                </c:pt>
                <c:pt idx="62">
                  <c:v>1915.521</c:v>
                </c:pt>
                <c:pt idx="63">
                  <c:v>1946.4164999999996</c:v>
                </c:pt>
                <c:pt idx="64">
                  <c:v>1977.3119999999999</c:v>
                </c:pt>
                <c:pt idx="65">
                  <c:v>2008.2074999999998</c:v>
                </c:pt>
                <c:pt idx="66">
                  <c:v>2039.1029999999998</c:v>
                </c:pt>
                <c:pt idx="67">
                  <c:v>2069.9985000000001</c:v>
                </c:pt>
                <c:pt idx="68">
                  <c:v>2100.8939999999998</c:v>
                </c:pt>
                <c:pt idx="69">
                  <c:v>2131.7894999999994</c:v>
                </c:pt>
                <c:pt idx="70">
                  <c:v>2162.6849999999999</c:v>
                </c:pt>
                <c:pt idx="71">
                  <c:v>2193.5804999999996</c:v>
                </c:pt>
                <c:pt idx="72">
                  <c:v>2224.4760000000001</c:v>
                </c:pt>
                <c:pt idx="73">
                  <c:v>2255.3714999999997</c:v>
                </c:pt>
                <c:pt idx="74">
                  <c:v>2286.2669999999998</c:v>
                </c:pt>
                <c:pt idx="75">
                  <c:v>2317.1624999999995</c:v>
                </c:pt>
                <c:pt idx="76">
                  <c:v>2348.0579999999995</c:v>
                </c:pt>
                <c:pt idx="77">
                  <c:v>2378.9534999999996</c:v>
                </c:pt>
                <c:pt idx="78">
                  <c:v>2409.8489999999993</c:v>
                </c:pt>
                <c:pt idx="79">
                  <c:v>2440.7445000000002</c:v>
                </c:pt>
                <c:pt idx="80">
                  <c:v>2471.64</c:v>
                </c:pt>
                <c:pt idx="81">
                  <c:v>2502.5354999999995</c:v>
                </c:pt>
                <c:pt idx="82">
                  <c:v>2533.4309999999996</c:v>
                </c:pt>
                <c:pt idx="83">
                  <c:v>2564.3264999999997</c:v>
                </c:pt>
                <c:pt idx="84">
                  <c:v>2595.2219999999998</c:v>
                </c:pt>
                <c:pt idx="85">
                  <c:v>2626.1174999999994</c:v>
                </c:pt>
                <c:pt idx="86">
                  <c:v>2657.0129999999999</c:v>
                </c:pt>
                <c:pt idx="87">
                  <c:v>2687.9085</c:v>
                </c:pt>
                <c:pt idx="88">
                  <c:v>2718.8040000000001</c:v>
                </c:pt>
                <c:pt idx="89">
                  <c:v>2749.6994999999997</c:v>
                </c:pt>
                <c:pt idx="90">
                  <c:v>2780.5949999999998</c:v>
                </c:pt>
                <c:pt idx="91">
                  <c:v>2811.4904999999999</c:v>
                </c:pt>
                <c:pt idx="92">
                  <c:v>2842.386</c:v>
                </c:pt>
                <c:pt idx="93">
                  <c:v>2873.2815000000001</c:v>
                </c:pt>
                <c:pt idx="94">
                  <c:v>2904.1769999999997</c:v>
                </c:pt>
                <c:pt idx="95">
                  <c:v>2935.0724999999993</c:v>
                </c:pt>
                <c:pt idx="96">
                  <c:v>2965.9679999999998</c:v>
                </c:pt>
                <c:pt idx="97">
                  <c:v>2996.8634999999995</c:v>
                </c:pt>
                <c:pt idx="98">
                  <c:v>3027.7589999999996</c:v>
                </c:pt>
                <c:pt idx="99">
                  <c:v>3058.6544999999992</c:v>
                </c:pt>
                <c:pt idx="100">
                  <c:v>3089.55</c:v>
                </c:pt>
              </c:numCache>
            </c:numRef>
          </c:val>
          <c:smooth val="0"/>
          <c:extLst>
            <c:ext xmlns:c16="http://schemas.microsoft.com/office/drawing/2014/chart" uri="{C3380CC4-5D6E-409C-BE32-E72D297353CC}">
              <c16:uniqueId val="{00000001-F0EA-4A0C-859E-C3182CAF915C}"/>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94.816140617262192</c:v>
                </c:pt>
                <c:pt idx="1">
                  <c:v>140.91077249263802</c:v>
                </c:pt>
                <c:pt idx="2">
                  <c:v>281.94451088975262</c:v>
                </c:pt>
                <c:pt idx="3">
                  <c:v>423.10137622105555</c:v>
                </c:pt>
                <c:pt idx="4">
                  <c:v>564.38152979754955</c:v>
                </c:pt>
                <c:pt idx="5">
                  <c:v>705.78513321214257</c:v>
                </c:pt>
                <c:pt idx="6">
                  <c:v>847.31234834026384</c:v>
                </c:pt>
                <c:pt idx="7">
                  <c:v>988.96333734048267</c:v>
                </c:pt>
                <c:pt idx="8">
                  <c:v>1130.7382626551253</c:v>
                </c:pt>
                <c:pt idx="9">
                  <c:v>1272.6372870108987</c:v>
                </c:pt>
                <c:pt idx="10">
                  <c:v>1414.6605734195125</c:v>
                </c:pt>
                <c:pt idx="11">
                  <c:v>1556.8082851782999</c:v>
                </c:pt>
                <c:pt idx="12">
                  <c:v>1699.0805858708482</c:v>
                </c:pt>
                <c:pt idx="13">
                  <c:v>1841.4776393676248</c:v>
                </c:pt>
                <c:pt idx="14">
                  <c:v>1983.9996098266054</c:v>
                </c:pt>
                <c:pt idx="15">
                  <c:v>2126.6466616939024</c:v>
                </c:pt>
                <c:pt idx="16">
                  <c:v>2269.4189597044051</c:v>
                </c:pt>
                <c:pt idx="17">
                  <c:v>2412.3166688824067</c:v>
                </c:pt>
                <c:pt idx="18">
                  <c:v>2555.3399545422403</c:v>
                </c:pt>
                <c:pt idx="19">
                  <c:v>2698.4889822889231</c:v>
                </c:pt>
                <c:pt idx="20">
                  <c:v>2841.7639180187889</c:v>
                </c:pt>
                <c:pt idx="21">
                  <c:v>2985.164927920126</c:v>
                </c:pt>
                <c:pt idx="22">
                  <c:v>3128.6921784738356</c:v>
                </c:pt>
                <c:pt idx="23">
                  <c:v>3272.3458364540552</c:v>
                </c:pt>
                <c:pt idx="24">
                  <c:v>3350.7015195681488</c:v>
                </c:pt>
                <c:pt idx="25">
                  <c:v>3399.6622301059956</c:v>
                </c:pt>
                <c:pt idx="26">
                  <c:v>3456.4685636611734</c:v>
                </c:pt>
                <c:pt idx="27">
                  <c:v>3512.4918112831688</c:v>
                </c:pt>
                <c:pt idx="28">
                  <c:v>3567.7840453993376</c:v>
                </c:pt>
                <c:pt idx="29">
                  <c:v>3622.3927362577683</c:v>
                </c:pt>
                <c:pt idx="30">
                  <c:v>3676.3613064299152</c:v>
                </c:pt>
                <c:pt idx="31">
                  <c:v>3729.7296025497071</c:v>
                </c:pt>
                <c:pt idx="32">
                  <c:v>3782.5342988931452</c:v>
                </c:pt>
                <c:pt idx="33">
                  <c:v>3834.8092444525714</c:v>
                </c:pt>
                <c:pt idx="34">
                  <c:v>3886.5857628767758</c:v>
                </c:pt>
                <c:pt idx="35">
                  <c:v>3937.8929128657983</c:v>
                </c:pt>
                <c:pt idx="36">
                  <c:v>3988.7577152069894</c:v>
                </c:pt>
                <c:pt idx="37">
                  <c:v>4039.2053515272846</c:v>
                </c:pt>
                <c:pt idx="38">
                  <c:v>4089.2593389491399</c:v>
                </c:pt>
                <c:pt idx="39">
                  <c:v>4138.9416841245729</c:v>
                </c:pt>
                <c:pt idx="40">
                  <c:v>4188.2730195450667</c:v>
                </c:pt>
                <c:pt idx="41">
                  <c:v>4237.2727245561991</c:v>
                </c:pt>
                <c:pt idx="42">
                  <c:v>4285.9590331222798</c:v>
                </c:pt>
                <c:pt idx="43">
                  <c:v>4334.3491300709302</c:v>
                </c:pt>
                <c:pt idx="44">
                  <c:v>4382.4592372870247</c:v>
                </c:pt>
                <c:pt idx="45">
                  <c:v>4430.3046911090487</c:v>
                </c:pt>
                <c:pt idx="46">
                  <c:v>4477.9000120005621</c:v>
                </c:pt>
                <c:pt idx="47">
                  <c:v>4525.2589674183446</c:v>
                </c:pt>
                <c:pt idx="48">
                  <c:v>4572.394628671761</c:v>
                </c:pt>
                <c:pt idx="49">
                  <c:v>4619.3194224605641</c:v>
                </c:pt>
                <c:pt idx="50">
                  <c:v>4666.0451776874734</c:v>
                </c:pt>
                <c:pt idx="51">
                  <c:v>4712.5831680645688</c:v>
                </c:pt>
                <c:pt idx="52">
                  <c:v>4758.9441509664775</c:v>
                </c:pt>
                <c:pt idx="53">
                  <c:v>4805.1384029269448</c:v>
                </c:pt>
                <c:pt idx="54">
                  <c:v>4851.1757521267846</c:v>
                </c:pt>
                <c:pt idx="55">
                  <c:v>4897.0656081794123</c:v>
                </c:pt>
                <c:pt idx="56">
                  <c:v>4942.8169894841012</c:v>
                </c:pt>
                <c:pt idx="57">
                  <c:v>4988.4385483857368</c:v>
                </c:pt>
                <c:pt idx="58">
                  <c:v>5033.9385943527313</c:v>
                </c:pt>
                <c:pt idx="59">
                  <c:v>5061.8656251553048</c:v>
                </c:pt>
                <c:pt idx="60">
                  <c:v>5024.4264847249578</c:v>
                </c:pt>
                <c:pt idx="61">
                  <c:v>4987.9155418793043</c:v>
                </c:pt>
                <c:pt idx="62">
                  <c:v>4901.5603013030131</c:v>
                </c:pt>
                <c:pt idx="63">
                  <c:v>4908.6051201361634</c:v>
                </c:pt>
                <c:pt idx="64">
                  <c:v>4916.0937828378537</c:v>
                </c:pt>
                <c:pt idx="65">
                  <c:v>4924.0351934313094</c:v>
                </c:pt>
                <c:pt idx="66">
                  <c:v>4932.4235376192401</c:v>
                </c:pt>
                <c:pt idx="67">
                  <c:v>4941.2534980293703</c:v>
                </c:pt>
                <c:pt idx="68">
                  <c:v>4950.5202242369887</c:v>
                </c:pt>
                <c:pt idx="69">
                  <c:v>4960.2193053353358</c:v>
                </c:pt>
                <c:pt idx="70">
                  <c:v>4970.3467448172651</c:v>
                </c:pt>
                <c:pt idx="71">
                  <c:v>4980.8989375569336</c:v>
                </c:pt>
                <c:pt idx="72">
                  <c:v>4991.8726487024096</c:v>
                </c:pt>
                <c:pt idx="73">
                  <c:v>5003.2649943097513</c:v>
                </c:pt>
                <c:pt idx="74">
                  <c:v>5015.0734235665359</c:v>
                </c:pt>
                <c:pt idx="75">
                  <c:v>5027.2957024681846</c:v>
                </c:pt>
                <c:pt idx="76">
                  <c:v>5039.9298988242554</c:v>
                </c:pt>
                <c:pt idx="77">
                  <c:v>5052.9743684838859</c:v>
                </c:pt>
                <c:pt idx="78">
                  <c:v>5066.4277426806129</c:v>
                </c:pt>
                <c:pt idx="79">
                  <c:v>5080.288916406399</c:v>
                </c:pt>
                <c:pt idx="80">
                  <c:v>5094.5570377334107</c:v>
                </c:pt>
                <c:pt idx="81">
                  <c:v>5109.2314980098154</c:v>
                </c:pt>
                <c:pt idx="82">
                  <c:v>5124.3119228628657</c:v>
                </c:pt>
                <c:pt idx="83">
                  <c:v>5139.7981639488116</c:v>
                </c:pt>
                <c:pt idx="84">
                  <c:v>5155.6902913946715</c:v>
                </c:pt>
                <c:pt idx="85">
                  <c:v>5171.9885868821711</c:v>
                </c:pt>
                <c:pt idx="86">
                  <c:v>5188.693537328475</c:v>
                </c:pt>
                <c:pt idx="87">
                  <c:v>5205.8058291226844</c:v>
                </c:pt>
                <c:pt idx="88">
                  <c:v>5223.3263428806176</c:v>
                </c:pt>
                <c:pt idx="89">
                  <c:v>5241.2561486839031</c:v>
                </c:pt>
                <c:pt idx="90">
                  <c:v>5259.5965017723647</c:v>
                </c:pt>
                <c:pt idx="91">
                  <c:v>5278.3488386615127</c:v>
                </c:pt>
                <c:pt idx="92">
                  <c:v>5297.5147736595336</c:v>
                </c:pt>
                <c:pt idx="93">
                  <c:v>5317.0960957603265</c:v>
                </c:pt>
                <c:pt idx="94">
                  <c:v>5337.0947658913838</c:v>
                </c:pt>
                <c:pt idx="95">
                  <c:v>5357.5129144971406</c:v>
                </c:pt>
                <c:pt idx="96">
                  <c:v>5378.3528394402301</c:v>
                </c:pt>
                <c:pt idx="97">
                  <c:v>5399.6170042046106</c:v>
                </c:pt>
                <c:pt idx="98">
                  <c:v>5421.3080363861227</c:v>
                </c:pt>
                <c:pt idx="99">
                  <c:v>5443.4287264572858</c:v>
                </c:pt>
                <c:pt idx="100">
                  <c:v>5465.9820267944442</c:v>
                </c:pt>
              </c:numCache>
            </c:numRef>
          </c:val>
          <c:smooth val="0"/>
          <c:extLst>
            <c:ext xmlns:c16="http://schemas.microsoft.com/office/drawing/2014/chart" uri="{C3380CC4-5D6E-409C-BE32-E72D297353CC}">
              <c16:uniqueId val="{00000002-F0EA-4A0C-859E-C3182CAF915C}"/>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239.26025631324396</c:v>
                </c:pt>
                <c:pt idx="1">
                  <c:v>259.64340897920147</c:v>
                </c:pt>
                <c:pt idx="2">
                  <c:v>332.59649749942457</c:v>
                </c:pt>
                <c:pt idx="3">
                  <c:v>426.13203192126025</c:v>
                </c:pt>
                <c:pt idx="4">
                  <c:v>544.95342442076958</c:v>
                </c:pt>
                <c:pt idx="5">
                  <c:v>693.00350047136089</c:v>
                </c:pt>
                <c:pt idx="6">
                  <c:v>873.74865500458429</c:v>
                </c:pt>
                <c:pt idx="7">
                  <c:v>1090.3196425582137</c:v>
                </c:pt>
                <c:pt idx="8">
                  <c:v>1345.5939747629723</c:v>
                </c:pt>
                <c:pt idx="9">
                  <c:v>1642.2491805052921</c:v>
                </c:pt>
                <c:pt idx="10">
                  <c:v>1982.7996231531099</c:v>
                </c:pt>
                <c:pt idx="11">
                  <c:v>2369.6232229441894</c:v>
                </c:pt>
                <c:pt idx="12">
                  <c:v>2804.9815864813581</c:v>
                </c:pt>
                <c:pt idx="13">
                  <c:v>3291.0356208295698</c:v>
                </c:pt>
                <c:pt idx="14">
                  <c:v>3829.8579360164827</c:v>
                </c:pt>
                <c:pt idx="15">
                  <c:v>4423.4428918453796</c:v>
                </c:pt>
                <c:pt idx="16">
                  <c:v>5073.7148720093574</c:v>
                </c:pt>
                <c:pt idx="17">
                  <c:v>5782.5351950270078</c:v>
                </c:pt>
                <c:pt idx="18">
                  <c:v>6551.7079572905177</c:v>
                </c:pt>
                <c:pt idx="19">
                  <c:v>7382.985025993672</c:v>
                </c:pt>
                <c:pt idx="20">
                  <c:v>8278.0703457083673</c:v>
                </c:pt>
                <c:pt idx="21">
                  <c:v>9238.6236839023331</c:v>
                </c:pt>
                <c:pt idx="22">
                  <c:v>10266.263912722352</c:v>
                </c:pt>
                <c:pt idx="23">
                  <c:v>11362.571903673255</c:v>
                </c:pt>
                <c:pt idx="24">
                  <c:v>11989.696109144003</c:v>
                </c:pt>
                <c:pt idx="25">
                  <c:v>12511.659932579827</c:v>
                </c:pt>
                <c:pt idx="26">
                  <c:v>13131.130675171356</c:v>
                </c:pt>
                <c:pt idx="27">
                  <c:v>13756.57160283441</c:v>
                </c:pt>
                <c:pt idx="28">
                  <c:v>14387.844128295741</c:v>
                </c:pt>
                <c:pt idx="29">
                  <c:v>15024.818725554056</c:v>
                </c:pt>
                <c:pt idx="30">
                  <c:v>15667.374061473534</c:v>
                </c:pt>
                <c:pt idx="31">
                  <c:v>16315.396236827923</c:v>
                </c:pt>
                <c:pt idx="32">
                  <c:v>16968.778119906456</c:v>
                </c:pt>
                <c:pt idx="33">
                  <c:v>17627.418758847503</c:v>
                </c:pt>
                <c:pt idx="34">
                  <c:v>18291.222861290873</c:v>
                </c:pt>
                <c:pt idx="35">
                  <c:v>18960.100331881677</c:v>
                </c:pt>
                <c:pt idx="36">
                  <c:v>19633.965859722819</c:v>
                </c:pt>
                <c:pt idx="37">
                  <c:v>20312.73854914309</c:v>
                </c:pt>
                <c:pt idx="38">
                  <c:v>20996.341588184558</c:v>
                </c:pt>
                <c:pt idx="39">
                  <c:v>21684.701950064529</c:v>
                </c:pt>
                <c:pt idx="40">
                  <c:v>22377.75012357083</c:v>
                </c:pt>
                <c:pt idx="41">
                  <c:v>23075.419868933295</c:v>
                </c:pt>
                <c:pt idx="42">
                  <c:v>23777.647996201755</c:v>
                </c:pt>
                <c:pt idx="43">
                  <c:v>24484.374163569442</c:v>
                </c:pt>
                <c:pt idx="44">
                  <c:v>25195.540693425544</c:v>
                </c:pt>
                <c:pt idx="45">
                  <c:v>25911.092404210929</c:v>
                </c:pt>
                <c:pt idx="46">
                  <c:v>26630.976456399108</c:v>
                </c:pt>
                <c:pt idx="47">
                  <c:v>27355.142211135058</c:v>
                </c:pt>
                <c:pt idx="48">
                  <c:v>28083.541100245257</c:v>
                </c:pt>
                <c:pt idx="49">
                  <c:v>28816.126506486336</c:v>
                </c:pt>
                <c:pt idx="50">
                  <c:v>29552.85365303441</c:v>
                </c:pt>
                <c:pt idx="51">
                  <c:v>30293.679501331979</c:v>
                </c:pt>
                <c:pt idx="52">
                  <c:v>31038.562656509032</c:v>
                </c:pt>
                <c:pt idx="53">
                  <c:v>31787.46327968271</c:v>
                </c:pt>
                <c:pt idx="54">
                  <c:v>32540.343006515257</c:v>
                </c:pt>
                <c:pt idx="55">
                  <c:v>33297.16487147614</c:v>
                </c:pt>
                <c:pt idx="56">
                  <c:v>34057.893237313896</c:v>
                </c:pt>
                <c:pt idx="57">
                  <c:v>34822.493729291185</c:v>
                </c:pt>
                <c:pt idx="58">
                  <c:v>35590.933173786158</c:v>
                </c:pt>
                <c:pt idx="59">
                  <c:v>36083.25377999054</c:v>
                </c:pt>
                <c:pt idx="60">
                  <c:v>35531.568615618169</c:v>
                </c:pt>
                <c:pt idx="61">
                  <c:v>34997.59540335909</c:v>
                </c:pt>
                <c:pt idx="62">
                  <c:v>33650.52438546974</c:v>
                </c:pt>
                <c:pt idx="63">
                  <c:v>33834.702067532111</c:v>
                </c:pt>
                <c:pt idx="64">
                  <c:v>34017.718346494548</c:v>
                </c:pt>
                <c:pt idx="65">
                  <c:v>34199.751164898036</c:v>
                </c:pt>
                <c:pt idx="66">
                  <c:v>34380.889590045153</c:v>
                </c:pt>
                <c:pt idx="67">
                  <c:v>34561.218476396338</c:v>
                </c:pt>
                <c:pt idx="68">
                  <c:v>34740.818751842438</c:v>
                </c:pt>
                <c:pt idx="69">
                  <c:v>34919.767682155609</c:v>
                </c:pt>
                <c:pt idx="70">
                  <c:v>35098.139115554593</c:v>
                </c:pt>
                <c:pt idx="71">
                  <c:v>35276.003709127195</c:v>
                </c:pt>
                <c:pt idx="72">
                  <c:v>35453.429138683074</c:v>
                </c:pt>
                <c:pt idx="73">
                  <c:v>35630.480293455206</c:v>
                </c:pt>
                <c:pt idx="74">
                  <c:v>35807.219456935418</c:v>
                </c:pt>
                <c:pt idx="75">
                  <c:v>35983.706475003695</c:v>
                </c:pt>
                <c:pt idx="76">
                  <c:v>36159.998912407027</c:v>
                </c:pt>
                <c:pt idx="77">
                  <c:v>36336.152198540338</c:v>
                </c:pt>
                <c:pt idx="78">
                  <c:v>36512.219763400448</c:v>
                </c:pt>
                <c:pt idx="79">
                  <c:v>36688.253164499853</c:v>
                </c:pt>
                <c:pt idx="80">
                  <c:v>36864.302205462307</c:v>
                </c:pt>
                <c:pt idx="81">
                  <c:v>37040.41504695273</c:v>
                </c:pt>
                <c:pt idx="82">
                  <c:v>37216.63831054022</c:v>
                </c:pt>
                <c:pt idx="83">
                  <c:v>37393.017176042602</c:v>
                </c:pt>
                <c:pt idx="84">
                  <c:v>37569.595472847475</c:v>
                </c:pt>
                <c:pt idx="85">
                  <c:v>37746.415765672449</c:v>
                </c:pt>
                <c:pt idx="86">
                  <c:v>37923.51943517851</c:v>
                </c:pt>
                <c:pt idx="87">
                  <c:v>38100.946753824835</c:v>
                </c:pt>
                <c:pt idx="88">
                  <c:v>38278.736957315399</c:v>
                </c:pt>
                <c:pt idx="89">
                  <c:v>38456.928311962882</c:v>
                </c:pt>
                <c:pt idx="90">
                  <c:v>38635.558178267842</c:v>
                </c:pt>
                <c:pt idx="91">
                  <c:v>38814.663070988237</c:v>
                </c:pt>
                <c:pt idx="92">
                  <c:v>38994.278715952198</c:v>
                </c:pt>
                <c:pt idx="93">
                  <c:v>39174.440103847533</c:v>
                </c:pt>
                <c:pt idx="94">
                  <c:v>39355.181541204875</c:v>
                </c:pt>
                <c:pt idx="95">
                  <c:v>39536.536698772834</c:v>
                </c:pt>
                <c:pt idx="96">
                  <c:v>39718.53865746958</c:v>
                </c:pt>
                <c:pt idx="97">
                  <c:v>39901.219952083236</c:v>
                </c:pt>
                <c:pt idx="98">
                  <c:v>40084.612612877972</c:v>
                </c:pt>
                <c:pt idx="99">
                  <c:v>40268.748205253847</c:v>
                </c:pt>
                <c:pt idx="100">
                  <c:v>40453.65786759679</c:v>
                </c:pt>
              </c:numCache>
            </c:numRef>
          </c:val>
          <c:smooth val="0"/>
          <c:extLst>
            <c:ext xmlns:c16="http://schemas.microsoft.com/office/drawing/2014/chart" uri="{C3380CC4-5D6E-409C-BE32-E72D297353CC}">
              <c16:uniqueId val="{00000003-F0EA-4A0C-859E-C3182CAF915C}"/>
            </c:ext>
          </c:extLst>
        </c:ser>
        <c:dLbls>
          <c:showLegendKey val="0"/>
          <c:showVal val="0"/>
          <c:showCatName val="0"/>
          <c:showSerName val="0"/>
          <c:showPercent val="0"/>
          <c:showBubbleSize val="0"/>
        </c:dLbls>
        <c:marker val="1"/>
        <c:smooth val="0"/>
        <c:axId val="451236224"/>
        <c:axId val="451225856"/>
      </c:lineChart>
      <c:catAx>
        <c:axId val="45186892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223936"/>
        <c:crosses val="autoZero"/>
        <c:auto val="1"/>
        <c:lblAlgn val="ctr"/>
        <c:lblOffset val="100"/>
        <c:tickLblSkip val="20"/>
        <c:tickMarkSkip val="20"/>
        <c:noMultiLvlLbl val="0"/>
      </c:catAx>
      <c:valAx>
        <c:axId val="451223936"/>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68928"/>
        <c:crossesAt val="0"/>
        <c:crossBetween val="between"/>
        <c:majorUnit val="5"/>
        <c:minorUnit val="2.5"/>
      </c:valAx>
      <c:valAx>
        <c:axId val="45122585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236224"/>
        <c:crosses val="max"/>
        <c:crossBetween val="between"/>
      </c:valAx>
      <c:catAx>
        <c:axId val="451236224"/>
        <c:scaling>
          <c:orientation val="minMax"/>
        </c:scaling>
        <c:delete val="1"/>
        <c:axPos val="b"/>
        <c:numFmt formatCode="General" sourceLinked="1"/>
        <c:majorTickMark val="out"/>
        <c:minorTickMark val="none"/>
        <c:tickLblPos val="nextTo"/>
        <c:crossAx val="45122585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Single'!$AN$110:$AN$210</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346.46747517119354</c:v>
                </c:pt>
                <c:pt idx="35">
                  <c:v>337.20497458530429</c:v>
                </c:pt>
                <c:pt idx="36">
                  <c:v>328.37054089960293</c:v>
                </c:pt>
                <c:pt idx="37">
                  <c:v>320.00004808775134</c:v>
                </c:pt>
                <c:pt idx="38">
                  <c:v>312.05526468283392</c:v>
                </c:pt>
                <c:pt idx="39">
                  <c:v>304.4929246772827</c:v>
                </c:pt>
                <c:pt idx="40">
                  <c:v>297.28606206998995</c:v>
                </c:pt>
                <c:pt idx="41">
                  <c:v>290.41018779832172</c:v>
                </c:pt>
                <c:pt idx="42">
                  <c:v>283.84301172614255</c:v>
                </c:pt>
                <c:pt idx="43">
                  <c:v>277.56420125463723</c:v>
                </c:pt>
                <c:pt idx="44">
                  <c:v>271.55517104843642</c:v>
                </c:pt>
                <c:pt idx="45">
                  <c:v>265.79889929620032</c:v>
                </c:pt>
                <c:pt idx="46">
                  <c:v>260.27976667968454</c:v>
                </c:pt>
                <c:pt idx="47">
                  <c:v>254.98341484305598</c:v>
                </c:pt>
                <c:pt idx="48">
                  <c:v>249.89662166198761</c:v>
                </c:pt>
                <c:pt idx="49">
                  <c:v>245.00719103116529</c:v>
                </c:pt>
                <c:pt idx="50">
                  <c:v>240.30385523616329</c:v>
                </c:pt>
                <c:pt idx="51">
                  <c:v>235.77618826458934</c:v>
                </c:pt>
                <c:pt idx="52">
                  <c:v>231.41452865267959</c:v>
                </c:pt>
                <c:pt idx="53">
                  <c:v>227.20991066569363</c:v>
                </c:pt>
                <c:pt idx="54">
                  <c:v>223.15400278047301</c:v>
                </c:pt>
                <c:pt idx="55">
                  <c:v>219.23905258193187</c:v>
                </c:pt>
                <c:pt idx="56">
                  <c:v>215.45783730662248</c:v>
                </c:pt>
                <c:pt idx="57">
                  <c:v>211.80361936954233</c:v>
                </c:pt>
                <c:pt idx="58">
                  <c:v>208.27010629805895</c:v>
                </c:pt>
                <c:pt idx="59">
                  <c:v>204.85141457171704</c:v>
                </c:pt>
                <c:pt idx="60">
                  <c:v>201.54203693079668</c:v>
                </c:pt>
                <c:pt idx="61">
                  <c:v>198.33681277152988</c:v>
                </c:pt>
                <c:pt idx="62">
                  <c:v>195.23090129322989</c:v>
                </c:pt>
                <c:pt idx="63">
                  <c:v>192.21975710345265</c:v>
                </c:pt>
                <c:pt idx="64">
                  <c:v>189.29910802263061</c:v>
                </c:pt>
                <c:pt idx="65">
                  <c:v>186.46493486024735</c:v>
                </c:pt>
                <c:pt idx="66">
                  <c:v>183.71345296121973</c:v>
                </c:pt>
                <c:pt idx="67">
                  <c:v>181.04109534431453</c:v>
                </c:pt>
                <c:pt idx="68">
                  <c:v>178.44449727463251</c:v>
                </c:pt>
                <c:pt idx="69">
                  <c:v>175.92048212985256</c:v>
                </c:pt>
                <c:pt idx="70">
                  <c:v>173.46604843540362</c:v>
                </c:pt>
                <c:pt idx="71">
                  <c:v>171.07835795731046</c:v>
                </c:pt>
                <c:pt idx="72">
                  <c:v>168.75472475339549</c:v>
                </c:pt>
                <c:pt idx="73">
                  <c:v>166.49260509403976</c:v>
                </c:pt>
                <c:pt idx="74">
                  <c:v>164.28958817298454</c:v>
                </c:pt>
                <c:pt idx="75">
                  <c:v>162.14338753685695</c:v>
                </c:pt>
                <c:pt idx="76">
                  <c:v>160.05183316937115</c:v>
                </c:pt>
                <c:pt idx="77">
                  <c:v>158.01286417259163</c:v>
                </c:pt>
                <c:pt idx="78">
                  <c:v>156.0245219933733</c:v>
                </c:pt>
                <c:pt idx="79">
                  <c:v>154.08494414817895</c:v>
                </c:pt>
                <c:pt idx="80">
                  <c:v>152.1923584040124</c:v>
                </c:pt>
                <c:pt idx="81">
                  <c:v>150.3450773772517</c:v>
                </c:pt>
                <c:pt idx="82">
                  <c:v>148.54149351578246</c:v>
                </c:pt>
                <c:pt idx="83">
                  <c:v>146.78007443306808</c:v>
                </c:pt>
                <c:pt idx="84">
                  <c:v>145.05935856569062</c:v>
                </c:pt>
                <c:pt idx="85">
                  <c:v>143.37795112850054</c:v>
                </c:pt>
                <c:pt idx="86">
                  <c:v>141.73452034384667</c:v>
                </c:pt>
                <c:pt idx="87">
                  <c:v>140.12779392346167</c:v>
                </c:pt>
                <c:pt idx="88">
                  <c:v>138.55655578347117</c:v>
                </c:pt>
                <c:pt idx="89">
                  <c:v>137.01964297470099</c:v>
                </c:pt>
                <c:pt idx="90">
                  <c:v>135.51594281199746</c:v>
                </c:pt>
                <c:pt idx="91">
                  <c:v>134.0443901876699</c:v>
                </c:pt>
                <c:pt idx="92">
                  <c:v>132.60396505542255</c:v>
                </c:pt>
                <c:pt idx="93">
                  <c:v>131.19369007228619</c:v>
                </c:pt>
                <c:pt idx="94">
                  <c:v>129.81262838709318</c:v>
                </c:pt>
                <c:pt idx="95">
                  <c:v>128.45988156498098</c:v>
                </c:pt>
                <c:pt idx="96">
                  <c:v>127.1345876382608</c:v>
                </c:pt>
                <c:pt idx="97">
                  <c:v>125.83591927476601</c:v>
                </c:pt>
                <c:pt idx="98">
                  <c:v>124.56308205550195</c:v>
                </c:pt>
                <c:pt idx="99">
                  <c:v>123.31531285406146</c:v>
                </c:pt>
                <c:pt idx="100">
                  <c:v>122.09187831086084</c:v>
                </c:pt>
              </c:numCache>
            </c:numRef>
          </c:val>
          <c:smooth val="0"/>
          <c:extLst>
            <c:ext xmlns:c16="http://schemas.microsoft.com/office/drawing/2014/chart" uri="{C3380CC4-5D6E-409C-BE32-E72D297353CC}">
              <c16:uniqueId val="{00000000-35C4-40D8-9B41-933331EBB298}"/>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Single'!$AN$5:$AN$105</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348.28891711774043</c:v>
                </c:pt>
                <c:pt idx="61">
                  <c:v>342.96218299059115</c:v>
                </c:pt>
                <c:pt idx="62">
                  <c:v>337.79260904768194</c:v>
                </c:pt>
                <c:pt idx="63">
                  <c:v>332.76820975991694</c:v>
                </c:pt>
                <c:pt idx="64">
                  <c:v>327.89030228150142</c:v>
                </c:pt>
                <c:pt idx="65">
                  <c:v>323.15801258334147</c:v>
                </c:pt>
                <c:pt idx="66">
                  <c:v>318.55403839220327</c:v>
                </c:pt>
                <c:pt idx="67">
                  <c:v>314.08251131674348</c:v>
                </c:pt>
                <c:pt idx="68">
                  <c:v>309.73432154006559</c:v>
                </c:pt>
                <c:pt idx="69">
                  <c:v>305.5044354389513</c:v>
                </c:pt>
                <c:pt idx="70">
                  <c:v>301.3880896225586</c:v>
                </c:pt>
                <c:pt idx="71">
                  <c:v>297.38077303815373</c:v>
                </c:pt>
                <c:pt idx="72">
                  <c:v>293.47821048016527</c:v>
                </c:pt>
                <c:pt idx="73">
                  <c:v>289.67634737582347</c:v>
                </c:pt>
                <c:pt idx="74">
                  <c:v>285.97133573356177</c:v>
                </c:pt>
                <c:pt idx="75">
                  <c:v>282.35952115180766</c:v>
                </c:pt>
                <c:pt idx="76">
                  <c:v>278.83743079596576</c:v>
                </c:pt>
                <c:pt idx="77">
                  <c:v>275.40176226044258</c:v>
                </c:pt>
                <c:pt idx="78">
                  <c:v>272.04937324062712</c:v>
                </c:pt>
                <c:pt idx="79">
                  <c:v>268.7772719469325</c:v>
                </c:pt>
                <c:pt idx="80">
                  <c:v>265.58260819943172</c:v>
                </c:pt>
                <c:pt idx="81">
                  <c:v>262.46266514737374</c:v>
                </c:pt>
                <c:pt idx="82">
                  <c:v>259.41485156301297</c:v>
                </c:pt>
                <c:pt idx="83">
                  <c:v>256.43669466381391</c:v>
                </c:pt>
                <c:pt idx="84">
                  <c:v>253.52583342124203</c:v>
                </c:pt>
                <c:pt idx="85">
                  <c:v>250.6800123180858</c:v>
                </c:pt>
                <c:pt idx="86">
                  <c:v>247.89707551962215</c:v>
                </c:pt>
                <c:pt idx="87">
                  <c:v>245.17496142696547</c:v>
                </c:pt>
                <c:pt idx="88">
                  <c:v>242.51169758368374</c:v>
                </c:pt>
                <c:pt idx="89">
                  <c:v>239.90539590923296</c:v>
                </c:pt>
                <c:pt idx="90">
                  <c:v>237.35424823500568</c:v>
                </c:pt>
                <c:pt idx="91">
                  <c:v>234.85652212081362</c:v>
                </c:pt>
                <c:pt idx="92">
                  <c:v>232.41055693146342</c:v>
                </c:pt>
                <c:pt idx="93">
                  <c:v>230.01476015475316</c:v>
                </c:pt>
                <c:pt idx="94">
                  <c:v>227.66760394373628</c:v>
                </c:pt>
                <c:pt idx="95">
                  <c:v>225.3676218674745</c:v>
                </c:pt>
                <c:pt idx="96">
                  <c:v>223.11340585575991</c:v>
                </c:pt>
                <c:pt idx="97">
                  <c:v>220.90360332443095</c:v>
                </c:pt>
                <c:pt idx="98">
                  <c:v>218.73691446894856</c:v>
                </c:pt>
                <c:pt idx="99">
                  <c:v>216.61208971485496</c:v>
                </c:pt>
                <c:pt idx="100">
                  <c:v>214.52792731460568</c:v>
                </c:pt>
              </c:numCache>
            </c:numRef>
          </c:val>
          <c:smooth val="0"/>
          <c:extLst>
            <c:ext xmlns:c16="http://schemas.microsoft.com/office/drawing/2014/chart" uri="{C3380CC4-5D6E-409C-BE32-E72D297353CC}">
              <c16:uniqueId val="{00000001-35C4-40D8-9B41-933331EBB298}"/>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Single'!$AN$216:$AN$316</c:f>
              <c:numCache>
                <c:formatCode>0.0</c:formatCode>
                <c:ptCount val="101"/>
                <c:pt idx="0">
                  <c:v>12</c:v>
                </c:pt>
                <c:pt idx="1">
                  <c:v>14.10701916858396</c:v>
                </c:pt>
                <c:pt idx="2">
                  <c:v>28.214038337167921</c:v>
                </c:pt>
                <c:pt idx="3">
                  <c:v>42.321057505751874</c:v>
                </c:pt>
                <c:pt idx="4">
                  <c:v>56.428076674335841</c:v>
                </c:pt>
                <c:pt idx="5">
                  <c:v>70.535095842919787</c:v>
                </c:pt>
                <c:pt idx="6">
                  <c:v>84.642115011503748</c:v>
                </c:pt>
                <c:pt idx="7">
                  <c:v>98.749134180087722</c:v>
                </c:pt>
                <c:pt idx="8">
                  <c:v>112.85615334867168</c:v>
                </c:pt>
                <c:pt idx="9">
                  <c:v>126.96317251725563</c:v>
                </c:pt>
                <c:pt idx="10">
                  <c:v>141.07019168583957</c:v>
                </c:pt>
                <c:pt idx="11">
                  <c:v>155.17721085442355</c:v>
                </c:pt>
                <c:pt idx="12">
                  <c:v>169.2842300230075</c:v>
                </c:pt>
                <c:pt idx="13">
                  <c:v>183.3912491915915</c:v>
                </c:pt>
                <c:pt idx="14">
                  <c:v>197.49826836017544</c:v>
                </c:pt>
                <c:pt idx="15">
                  <c:v>211.60528752875939</c:v>
                </c:pt>
                <c:pt idx="16">
                  <c:v>225.71230669734337</c:v>
                </c:pt>
                <c:pt idx="17">
                  <c:v>239.81932586592734</c:v>
                </c:pt>
                <c:pt idx="18">
                  <c:v>253.92634503451126</c:v>
                </c:pt>
                <c:pt idx="19">
                  <c:v>268.03336420309518</c:v>
                </c:pt>
                <c:pt idx="20">
                  <c:v>282.14038337167915</c:v>
                </c:pt>
                <c:pt idx="21">
                  <c:v>296.24740254026312</c:v>
                </c:pt>
                <c:pt idx="22">
                  <c:v>310.3544217088471</c:v>
                </c:pt>
                <c:pt idx="23">
                  <c:v>324.46144087743107</c:v>
                </c:pt>
                <c:pt idx="24">
                  <c:v>338.56846004601499</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348.67518023010695</c:v>
                </c:pt>
                <c:pt idx="83">
                  <c:v>344.76521497147121</c:v>
                </c:pt>
                <c:pt idx="84">
                  <c:v>340.93974913408539</c:v>
                </c:pt>
                <c:pt idx="85">
                  <c:v>337.19817906938408</c:v>
                </c:pt>
                <c:pt idx="86">
                  <c:v>333.5377735248203</c:v>
                </c:pt>
                <c:pt idx="87">
                  <c:v>329.9577270815509</c:v>
                </c:pt>
                <c:pt idx="88">
                  <c:v>326.45545910217623</c:v>
                </c:pt>
                <c:pt idx="89">
                  <c:v>323.02712285481641</c:v>
                </c:pt>
                <c:pt idx="90">
                  <c:v>319.67010372641846</c:v>
                </c:pt>
                <c:pt idx="91">
                  <c:v>316.38219925007644</c:v>
                </c:pt>
                <c:pt idx="92">
                  <c:v>313.16129672570213</c:v>
                </c:pt>
                <c:pt idx="93">
                  <c:v>310.0053686928278</c:v>
                </c:pt>
                <c:pt idx="94">
                  <c:v>306.91246867465452</c:v>
                </c:pt>
                <c:pt idx="95">
                  <c:v>303.8807271745772</c:v>
                </c:pt>
                <c:pt idx="96">
                  <c:v>300.90834790788062</c:v>
                </c:pt>
                <c:pt idx="97">
                  <c:v>297.99360425264581</c:v>
                </c:pt>
                <c:pt idx="98">
                  <c:v>295.13483590513465</c:v>
                </c:pt>
                <c:pt idx="99">
                  <c:v>292.33044572603751</c:v>
                </c:pt>
                <c:pt idx="100">
                  <c:v>289.57889676499565</c:v>
                </c:pt>
              </c:numCache>
            </c:numRef>
          </c:val>
          <c:smooth val="0"/>
          <c:extLst>
            <c:ext xmlns:c16="http://schemas.microsoft.com/office/drawing/2014/chart" uri="{C3380CC4-5D6E-409C-BE32-E72D297353CC}">
              <c16:uniqueId val="{00000002-35C4-40D8-9B41-933331EBB29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5C4-40D8-9B41-933331EBB298}"/>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5C4-40D8-9B41-933331EBB298}"/>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40</c:v>
                </c:pt>
                <c:pt idx="2">
                  <c:v>80</c:v>
                </c:pt>
                <c:pt idx="3">
                  <c:v>120</c:v>
                </c:pt>
                <c:pt idx="4">
                  <c:v>160</c:v>
                </c:pt>
                <c:pt idx="5">
                  <c:v>200</c:v>
                </c:pt>
                <c:pt idx="6">
                  <c:v>240</c:v>
                </c:pt>
                <c:pt idx="7">
                  <c:v>280</c:v>
                </c:pt>
                <c:pt idx="8">
                  <c:v>320</c:v>
                </c:pt>
                <c:pt idx="9">
                  <c:v>360</c:v>
                </c:pt>
                <c:pt idx="10">
                  <c:v>400</c:v>
                </c:pt>
                <c:pt idx="11">
                  <c:v>440</c:v>
                </c:pt>
                <c:pt idx="12">
                  <c:v>480</c:v>
                </c:pt>
                <c:pt idx="13">
                  <c:v>520</c:v>
                </c:pt>
                <c:pt idx="14">
                  <c:v>560</c:v>
                </c:pt>
                <c:pt idx="15">
                  <c:v>600</c:v>
                </c:pt>
                <c:pt idx="16">
                  <c:v>640</c:v>
                </c:pt>
                <c:pt idx="17">
                  <c:v>680</c:v>
                </c:pt>
                <c:pt idx="18">
                  <c:v>720</c:v>
                </c:pt>
                <c:pt idx="19">
                  <c:v>760</c:v>
                </c:pt>
                <c:pt idx="20">
                  <c:v>800</c:v>
                </c:pt>
                <c:pt idx="21">
                  <c:v>840</c:v>
                </c:pt>
                <c:pt idx="22">
                  <c:v>880</c:v>
                </c:pt>
                <c:pt idx="23">
                  <c:v>920</c:v>
                </c:pt>
                <c:pt idx="24">
                  <c:v>960</c:v>
                </c:pt>
                <c:pt idx="25">
                  <c:v>1000</c:v>
                </c:pt>
                <c:pt idx="26">
                  <c:v>1040</c:v>
                </c:pt>
                <c:pt idx="27">
                  <c:v>1080</c:v>
                </c:pt>
                <c:pt idx="28">
                  <c:v>1120</c:v>
                </c:pt>
                <c:pt idx="29">
                  <c:v>1160</c:v>
                </c:pt>
                <c:pt idx="30">
                  <c:v>1200</c:v>
                </c:pt>
                <c:pt idx="31">
                  <c:v>1240</c:v>
                </c:pt>
                <c:pt idx="32">
                  <c:v>1280</c:v>
                </c:pt>
                <c:pt idx="33">
                  <c:v>1320</c:v>
                </c:pt>
                <c:pt idx="34">
                  <c:v>1360</c:v>
                </c:pt>
                <c:pt idx="35">
                  <c:v>1400</c:v>
                </c:pt>
                <c:pt idx="36">
                  <c:v>1440</c:v>
                </c:pt>
                <c:pt idx="37">
                  <c:v>1480</c:v>
                </c:pt>
                <c:pt idx="38">
                  <c:v>1520</c:v>
                </c:pt>
                <c:pt idx="39">
                  <c:v>1560</c:v>
                </c:pt>
                <c:pt idx="40">
                  <c:v>1600</c:v>
                </c:pt>
                <c:pt idx="41">
                  <c:v>1640</c:v>
                </c:pt>
                <c:pt idx="42">
                  <c:v>1680</c:v>
                </c:pt>
                <c:pt idx="43">
                  <c:v>1720</c:v>
                </c:pt>
                <c:pt idx="44">
                  <c:v>1760</c:v>
                </c:pt>
                <c:pt idx="45">
                  <c:v>1800</c:v>
                </c:pt>
                <c:pt idx="46">
                  <c:v>1840</c:v>
                </c:pt>
                <c:pt idx="47">
                  <c:v>1880</c:v>
                </c:pt>
                <c:pt idx="48">
                  <c:v>1920</c:v>
                </c:pt>
                <c:pt idx="49">
                  <c:v>1960</c:v>
                </c:pt>
                <c:pt idx="50">
                  <c:v>2000</c:v>
                </c:pt>
                <c:pt idx="51">
                  <c:v>2040</c:v>
                </c:pt>
                <c:pt idx="52">
                  <c:v>2080</c:v>
                </c:pt>
                <c:pt idx="53">
                  <c:v>2120</c:v>
                </c:pt>
                <c:pt idx="54">
                  <c:v>2160</c:v>
                </c:pt>
                <c:pt idx="55">
                  <c:v>2200</c:v>
                </c:pt>
                <c:pt idx="56">
                  <c:v>2240</c:v>
                </c:pt>
                <c:pt idx="57">
                  <c:v>2280</c:v>
                </c:pt>
                <c:pt idx="58">
                  <c:v>2320</c:v>
                </c:pt>
                <c:pt idx="59">
                  <c:v>2360</c:v>
                </c:pt>
                <c:pt idx="60">
                  <c:v>2400</c:v>
                </c:pt>
                <c:pt idx="61">
                  <c:v>2440</c:v>
                </c:pt>
                <c:pt idx="62">
                  <c:v>2480</c:v>
                </c:pt>
                <c:pt idx="63">
                  <c:v>2520</c:v>
                </c:pt>
                <c:pt idx="64">
                  <c:v>2560</c:v>
                </c:pt>
                <c:pt idx="65">
                  <c:v>2600</c:v>
                </c:pt>
                <c:pt idx="66">
                  <c:v>2640</c:v>
                </c:pt>
                <c:pt idx="67">
                  <c:v>2680</c:v>
                </c:pt>
                <c:pt idx="68">
                  <c:v>2720</c:v>
                </c:pt>
                <c:pt idx="69">
                  <c:v>2760</c:v>
                </c:pt>
                <c:pt idx="70">
                  <c:v>2800</c:v>
                </c:pt>
                <c:pt idx="71">
                  <c:v>2840</c:v>
                </c:pt>
                <c:pt idx="72">
                  <c:v>2880</c:v>
                </c:pt>
                <c:pt idx="73">
                  <c:v>2920</c:v>
                </c:pt>
                <c:pt idx="74">
                  <c:v>2960</c:v>
                </c:pt>
                <c:pt idx="75">
                  <c:v>3000</c:v>
                </c:pt>
                <c:pt idx="76">
                  <c:v>3040</c:v>
                </c:pt>
                <c:pt idx="77">
                  <c:v>3080</c:v>
                </c:pt>
                <c:pt idx="78">
                  <c:v>3120</c:v>
                </c:pt>
                <c:pt idx="79">
                  <c:v>3160</c:v>
                </c:pt>
                <c:pt idx="80">
                  <c:v>3200</c:v>
                </c:pt>
                <c:pt idx="81">
                  <c:v>3240</c:v>
                </c:pt>
                <c:pt idx="82">
                  <c:v>3280</c:v>
                </c:pt>
                <c:pt idx="83">
                  <c:v>3320</c:v>
                </c:pt>
                <c:pt idx="84">
                  <c:v>3360</c:v>
                </c:pt>
                <c:pt idx="85">
                  <c:v>3400</c:v>
                </c:pt>
                <c:pt idx="86">
                  <c:v>3440</c:v>
                </c:pt>
                <c:pt idx="87">
                  <c:v>3480</c:v>
                </c:pt>
                <c:pt idx="88">
                  <c:v>3520</c:v>
                </c:pt>
                <c:pt idx="89">
                  <c:v>3560</c:v>
                </c:pt>
                <c:pt idx="90">
                  <c:v>3600</c:v>
                </c:pt>
                <c:pt idx="91">
                  <c:v>3640</c:v>
                </c:pt>
                <c:pt idx="92">
                  <c:v>3680</c:v>
                </c:pt>
                <c:pt idx="93">
                  <c:v>3720</c:v>
                </c:pt>
                <c:pt idx="94">
                  <c:v>3760</c:v>
                </c:pt>
                <c:pt idx="95">
                  <c:v>3800</c:v>
                </c:pt>
                <c:pt idx="96">
                  <c:v>3840</c:v>
                </c:pt>
                <c:pt idx="97">
                  <c:v>3880</c:v>
                </c:pt>
                <c:pt idx="98">
                  <c:v>3920</c:v>
                </c:pt>
                <c:pt idx="99">
                  <c:v>3960</c:v>
                </c:pt>
                <c:pt idx="100">
                  <c:v>4000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5C4-40D8-9B41-933331EBB298}"/>
            </c:ext>
          </c:extLst>
        </c:ser>
        <c:dLbls>
          <c:showLegendKey val="0"/>
          <c:showVal val="0"/>
          <c:showCatName val="0"/>
          <c:showSerName val="0"/>
          <c:showPercent val="0"/>
          <c:showBubbleSize val="0"/>
        </c:dLbls>
        <c:smooth val="0"/>
        <c:axId val="451999616"/>
        <c:axId val="452288896"/>
      </c:lineChart>
      <c:catAx>
        <c:axId val="451999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288896"/>
        <c:crosses val="autoZero"/>
        <c:auto val="1"/>
        <c:lblAlgn val="ctr"/>
        <c:lblOffset val="100"/>
        <c:tickLblSkip val="20"/>
        <c:tickMarkSkip val="10"/>
        <c:noMultiLvlLbl val="0"/>
      </c:catAx>
      <c:valAx>
        <c:axId val="45228889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199961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14.865058532748076</c:v>
                </c:pt>
                <c:pt idx="2">
                  <c:v>44.595175598244232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349.88772812580254</c:v>
                </c:pt>
                <c:pt idx="34">
                  <c:v>340.27530443805205</c:v>
                </c:pt>
                <c:pt idx="35">
                  <c:v>331.1760015505003</c:v>
                </c:pt>
                <c:pt idx="36">
                  <c:v>322.53952537771744</c:v>
                </c:pt>
                <c:pt idx="37">
                  <c:v>314.33059620038716</c:v>
                </c:pt>
                <c:pt idx="38">
                  <c:v>306.52707991783399</c:v>
                </c:pt>
                <c:pt idx="39">
                  <c:v>299.09966620186907</c:v>
                </c:pt>
                <c:pt idx="40">
                  <c:v>292.02180365359123</c:v>
                </c:pt>
                <c:pt idx="41">
                  <c:v>285.2693826502429</c:v>
                </c:pt>
                <c:pt idx="42">
                  <c:v>278.82046095887961</c:v>
                </c:pt>
                <c:pt idx="43">
                  <c:v>272.6550255366522</c:v>
                </c:pt>
                <c:pt idx="44">
                  <c:v>266.75478506969506</c:v>
                </c:pt>
                <c:pt idx="45">
                  <c:v>261.10298872026385</c:v>
                </c:pt>
                <c:pt idx="46">
                  <c:v>255.6842672991182</c:v>
                </c:pt>
                <c:pt idx="47">
                  <c:v>250.48449369159425</c:v>
                </c:pt>
                <c:pt idx="48">
                  <c:v>245.49065986828788</c:v>
                </c:pt>
                <c:pt idx="49">
                  <c:v>240.69076822591896</c:v>
                </c:pt>
                <c:pt idx="50">
                  <c:v>236.07373534751406</c:v>
                </c:pt>
                <c:pt idx="51">
                  <c:v>231.62930655680228</c:v>
                </c:pt>
                <c:pt idx="52">
                  <c:v>227.3479798802928</c:v>
                </c:pt>
                <c:pt idx="53">
                  <c:v>223.22093823037454</c:v>
                </c:pt>
                <c:pt idx="54">
                  <c:v>219.23998879082103</c:v>
                </c:pt>
                <c:pt idx="55">
                  <c:v>215.39750872781107</c:v>
                </c:pt>
                <c:pt idx="56">
                  <c:v>211.68639646950427</c:v>
                </c:pt>
                <c:pt idx="57">
                  <c:v>208.10002789899562</c:v>
                </c:pt>
                <c:pt idx="58">
                  <c:v>204.63221689211386</c:v>
                </c:pt>
                <c:pt idx="59">
                  <c:v>201.27717970548881</c:v>
                </c:pt>
                <c:pt idx="60">
                  <c:v>198.02950278362692</c:v>
                </c:pt>
                <c:pt idx="61">
                  <c:v>194.88411360806563</c:v>
                </c:pt>
                <c:pt idx="62">
                  <c:v>191.83625425843601</c:v>
                </c:pt>
                <c:pt idx="63">
                  <c:v>188.88145739558919</c:v>
                </c:pt>
                <c:pt idx="64">
                  <c:v>186.01552441181411</c:v>
                </c:pt>
                <c:pt idx="65">
                  <c:v>183.23450552339668</c:v>
                </c:pt>
                <c:pt idx="66">
                  <c:v>180.53468160701655</c:v>
                </c:pt>
                <c:pt idx="67">
                  <c:v>177.91254760433375</c:v>
                </c:pt>
                <c:pt idx="68">
                  <c:v>175.36479733904611</c:v>
                </c:pt>
                <c:pt idx="69">
                  <c:v>172.88830960812507</c:v>
                </c:pt>
                <c:pt idx="70">
                  <c:v>170.48013542419719</c:v>
                </c:pt>
                <c:pt idx="71">
                  <c:v>168.13748629943208</c:v>
                </c:pt>
                <c:pt idx="72">
                  <c:v>165.85772347307005</c:v>
                </c:pt>
                <c:pt idx="73">
                  <c:v>163.63834799509468</c:v>
                </c:pt>
                <c:pt idx="74">
                  <c:v>161.47699158770465</c:v>
                </c:pt>
                <c:pt idx="75">
                  <c:v>159.37140821432871</c:v>
                </c:pt>
                <c:pt idx="76">
                  <c:v>157.31946629308615</c:v>
                </c:pt>
                <c:pt idx="77">
                  <c:v>155.31914149794582</c:v>
                </c:pt>
                <c:pt idx="78">
                  <c:v>153.36851009647683</c:v>
                </c:pt>
                <c:pt idx="79">
                  <c:v>151.46574277809998</c:v>
                </c:pt>
                <c:pt idx="80">
                  <c:v>149.60909893122039</c:v>
                </c:pt>
                <c:pt idx="81">
                  <c:v>147.79692133160626</c:v>
                </c:pt>
                <c:pt idx="82">
                  <c:v>146.02763120794737</c:v>
                </c:pt>
                <c:pt idx="83">
                  <c:v>144.2997236537077</c:v>
                </c:pt>
                <c:pt idx="84">
                  <c:v>142.61176335725008</c:v>
                </c:pt>
                <c:pt idx="85">
                  <c:v>140.96238062476718</c:v>
                </c:pt>
                <c:pt idx="86">
                  <c:v>139.35026767285959</c:v>
                </c:pt>
                <c:pt idx="87">
                  <c:v>137.77417516966904</c:v>
                </c:pt>
                <c:pt idx="88">
                  <c:v>136.23290900534127</c:v>
                </c:pt>
                <c:pt idx="89">
                  <c:v>134.7253272742721</c:v>
                </c:pt>
                <c:pt idx="90">
                  <c:v>133.25033745311077</c:v>
                </c:pt>
                <c:pt idx="91">
                  <c:v>131.80689375986245</c:v>
                </c:pt>
                <c:pt idx="92">
                  <c:v>130.39399468067597</c:v>
                </c:pt>
                <c:pt idx="93">
                  <c:v>129.01068065202352</c:v>
                </c:pt>
                <c:pt idx="94">
                  <c:v>127.65603188700148</c:v>
                </c:pt>
                <c:pt idx="95">
                  <c:v>126.32916633540331</c:v>
                </c:pt>
                <c:pt idx="96">
                  <c:v>125.02923776805879</c:v>
                </c:pt>
                <c:pt idx="97">
                  <c:v>123.75543397669476</c:v>
                </c:pt>
                <c:pt idx="98">
                  <c:v>122.50697508127308</c:v>
                </c:pt>
                <c:pt idx="99">
                  <c:v>121.28311193739206</c:v>
                </c:pt>
                <c:pt idx="100">
                  <c:v>120.08312463691665</c:v>
                </c:pt>
              </c:numCache>
            </c:numRef>
          </c:val>
          <c:smooth val="0"/>
          <c:extLst>
            <c:ext xmlns:c16="http://schemas.microsoft.com/office/drawing/2014/chart" uri="{C3380CC4-5D6E-409C-BE32-E72D297353CC}">
              <c16:uniqueId val="{00000000-44F7-4870-98EC-5ED7AF60689B}"/>
            </c:ext>
          </c:extLst>
        </c:ser>
        <c:ser>
          <c:idx val="0"/>
          <c:order val="1"/>
          <c:tx>
            <c:v>VIN-nom</c:v>
          </c:tx>
          <c:spPr>
            <a:ln w="28575">
              <a:solidFill>
                <a:srgbClr val="FF0000"/>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14.865058532748076</c:v>
                </c:pt>
                <c:pt idx="2">
                  <c:v>29.730117065496152</c:v>
                </c:pt>
                <c:pt idx="3">
                  <c:v>44.595175598244232</c:v>
                </c:pt>
                <c:pt idx="4">
                  <c:v>59.460234130992305</c:v>
                </c:pt>
                <c:pt idx="5">
                  <c:v>74.325292663740399</c:v>
                </c:pt>
                <c:pt idx="6">
                  <c:v>89.190351196488464</c:v>
                </c:pt>
                <c:pt idx="7">
                  <c:v>104.05540972923656</c:v>
                </c:pt>
                <c:pt idx="8">
                  <c:v>118.92046826198461</c:v>
                </c:pt>
                <c:pt idx="9">
                  <c:v>133.78552679473268</c:v>
                </c:pt>
                <c:pt idx="10">
                  <c:v>148.6505853274808</c:v>
                </c:pt>
                <c:pt idx="11">
                  <c:v>163.51564386022886</c:v>
                </c:pt>
                <c:pt idx="12">
                  <c:v>178.38070239297693</c:v>
                </c:pt>
                <c:pt idx="13">
                  <c:v>193.24576092572499</c:v>
                </c:pt>
                <c:pt idx="14">
                  <c:v>208.11081945847312</c:v>
                </c:pt>
                <c:pt idx="15">
                  <c:v>222.97587799122115</c:v>
                </c:pt>
                <c:pt idx="16">
                  <c:v>237.84093652396922</c:v>
                </c:pt>
                <c:pt idx="17">
                  <c:v>252.70599505671734</c:v>
                </c:pt>
                <c:pt idx="18">
                  <c:v>267.57105358946535</c:v>
                </c:pt>
                <c:pt idx="19">
                  <c:v>282.4361121222135</c:v>
                </c:pt>
                <c:pt idx="20">
                  <c:v>297.3011706549616</c:v>
                </c:pt>
                <c:pt idx="21">
                  <c:v>312.16622918770958</c:v>
                </c:pt>
                <c:pt idx="22">
                  <c:v>327.03128772045773</c:v>
                </c:pt>
                <c:pt idx="23">
                  <c:v>341.89634625320582</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348.84399813742209</c:v>
                </c:pt>
                <c:pt idx="60">
                  <c:v>343.42826679720656</c:v>
                </c:pt>
                <c:pt idx="61">
                  <c:v>338.17809524772326</c:v>
                </c:pt>
                <c:pt idx="62">
                  <c:v>333.08600615982357</c:v>
                </c:pt>
                <c:pt idx="63">
                  <c:v>328.14488162240997</c:v>
                </c:pt>
                <c:pt idx="64">
                  <c:v>323.34732978657155</c:v>
                </c:pt>
                <c:pt idx="65">
                  <c:v>318.68797733286846</c:v>
                </c:pt>
                <c:pt idx="66">
                  <c:v>314.16093731609135</c:v>
                </c:pt>
                <c:pt idx="67">
                  <c:v>309.76065246857803</c:v>
                </c:pt>
                <c:pt idx="68">
                  <c:v>305.48187244082129</c:v>
                </c:pt>
                <c:pt idx="69">
                  <c:v>301.31963290184143</c:v>
                </c:pt>
                <c:pt idx="70">
                  <c:v>297.26923632440793</c:v>
                </c:pt>
                <c:pt idx="71">
                  <c:v>293.32623429874707</c:v>
                </c:pt>
                <c:pt idx="72">
                  <c:v>289.48641123474079</c:v>
                </c:pt>
                <c:pt idx="73">
                  <c:v>285.74576932708408</c:v>
                </c:pt>
                <c:pt idx="74">
                  <c:v>282.10051467067717</c:v>
                </c:pt>
                <c:pt idx="75">
                  <c:v>278.54704442487912</c:v>
                </c:pt>
                <c:pt idx="76">
                  <c:v>275.08193493533531</c:v>
                </c:pt>
                <c:pt idx="77">
                  <c:v>271.70193073105821</c:v>
                </c:pt>
                <c:pt idx="78">
                  <c:v>268.40393432243258</c:v>
                </c:pt>
                <c:pt idx="79">
                  <c:v>265.18499673294207</c:v>
                </c:pt>
                <c:pt idx="80">
                  <c:v>262.0423087037824</c:v>
                </c:pt>
                <c:pt idx="81">
                  <c:v>258.9731925162252</c:v>
                </c:pt>
                <c:pt idx="82">
                  <c:v>255.97509438169635</c:v>
                </c:pt>
                <c:pt idx="83">
                  <c:v>253.04557735411674</c:v>
                </c:pt>
                <c:pt idx="84">
                  <c:v>250.18231472315927</c:v>
                </c:pt>
                <c:pt idx="85">
                  <c:v>247.38308385077971</c:v>
                </c:pt>
                <c:pt idx="86">
                  <c:v>244.64576041670566</c:v>
                </c:pt>
                <c:pt idx="87">
                  <c:v>241.96831304157439</c:v>
                </c:pt>
                <c:pt idx="88">
                  <c:v>239.34879825911563</c:v>
                </c:pt>
                <c:pt idx="89">
                  <c:v>236.78535581122821</c:v>
                </c:pt>
                <c:pt idx="90">
                  <c:v>234.2762042420149</c:v>
                </c:pt>
                <c:pt idx="91">
                  <c:v>231.81963676884268</c:v>
                </c:pt>
                <c:pt idx="92">
                  <c:v>229.41401741032143</c:v>
                </c:pt>
                <c:pt idx="93">
                  <c:v>227.05777735273932</c:v>
                </c:pt>
                <c:pt idx="94">
                  <c:v>224.74941153799688</c:v>
                </c:pt>
                <c:pt idx="95">
                  <c:v>222.48747545744573</c:v>
                </c:pt>
                <c:pt idx="96">
                  <c:v>220.27058213727943</c:v>
                </c:pt>
                <c:pt idx="97">
                  <c:v>218.09739930225686</c:v>
                </c:pt>
                <c:pt idx="98">
                  <c:v>215.96664670556999</c:v>
                </c:pt>
                <c:pt idx="99">
                  <c:v>213.87709361361198</c:v>
                </c:pt>
                <c:pt idx="100">
                  <c:v>211.82755643526141</c:v>
                </c:pt>
              </c:numCache>
            </c:numRef>
          </c:val>
          <c:smooth val="0"/>
          <c:extLst>
            <c:ext xmlns:c16="http://schemas.microsoft.com/office/drawing/2014/chart" uri="{C3380CC4-5D6E-409C-BE32-E72D297353CC}">
              <c16:uniqueId val="{00000001-44F7-4870-98EC-5ED7AF60689B}"/>
            </c:ext>
          </c:extLst>
        </c:ser>
        <c:ser>
          <c:idx val="2"/>
          <c:order val="2"/>
          <c:tx>
            <c:v>VIN-max</c:v>
          </c:tx>
          <c:spPr>
            <a:ln>
              <a:solidFill>
                <a:srgbClr val="0000FF"/>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14.863727767834392</c:v>
                </c:pt>
                <c:pt idx="2">
                  <c:v>29.727455535668785</c:v>
                </c:pt>
                <c:pt idx="3">
                  <c:v>44.591183303503172</c:v>
                </c:pt>
                <c:pt idx="4">
                  <c:v>59.45491107133757</c:v>
                </c:pt>
                <c:pt idx="5">
                  <c:v>74.318638839171953</c:v>
                </c:pt>
                <c:pt idx="6">
                  <c:v>89.182366607006344</c:v>
                </c:pt>
                <c:pt idx="7">
                  <c:v>104.04609437484076</c:v>
                </c:pt>
                <c:pt idx="8">
                  <c:v>118.90982214267514</c:v>
                </c:pt>
                <c:pt idx="9">
                  <c:v>133.7735499105095</c:v>
                </c:pt>
                <c:pt idx="10">
                  <c:v>148.63727767834391</c:v>
                </c:pt>
                <c:pt idx="11">
                  <c:v>163.50100544617831</c:v>
                </c:pt>
                <c:pt idx="12">
                  <c:v>178.36473321401269</c:v>
                </c:pt>
                <c:pt idx="13">
                  <c:v>193.22846098184712</c:v>
                </c:pt>
                <c:pt idx="14">
                  <c:v>208.09218874968153</c:v>
                </c:pt>
                <c:pt idx="15">
                  <c:v>222.95591651751587</c:v>
                </c:pt>
                <c:pt idx="16">
                  <c:v>237.81964428535028</c:v>
                </c:pt>
                <c:pt idx="17">
                  <c:v>252.68337205318466</c:v>
                </c:pt>
                <c:pt idx="18">
                  <c:v>267.547099821019</c:v>
                </c:pt>
                <c:pt idx="19">
                  <c:v>282.41082758885346</c:v>
                </c:pt>
                <c:pt idx="20">
                  <c:v>297.27455535668781</c:v>
                </c:pt>
                <c:pt idx="21">
                  <c:v>312.13828312452222</c:v>
                </c:pt>
                <c:pt idx="22">
                  <c:v>327.00201089235662</c:v>
                </c:pt>
                <c:pt idx="23">
                  <c:v>341.86573866019103</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347.52337105800581</c:v>
                </c:pt>
                <c:pt idx="81">
                  <c:v>343.53196952691025</c:v>
                </c:pt>
                <c:pt idx="82">
                  <c:v>339.63128729635508</c:v>
                </c:pt>
                <c:pt idx="83">
                  <c:v>335.81826575669544</c:v>
                </c:pt>
                <c:pt idx="84">
                  <c:v>332.08998227361553</c:v>
                </c:pt>
                <c:pt idx="85">
                  <c:v>328.44493399769237</c:v>
                </c:pt>
                <c:pt idx="86">
                  <c:v>324.8817884421519</c:v>
                </c:pt>
                <c:pt idx="87">
                  <c:v>321.39529857918933</c:v>
                </c:pt>
                <c:pt idx="88">
                  <c:v>317.98301695880923</c:v>
                </c:pt>
                <c:pt idx="89">
                  <c:v>314.64259922286874</c:v>
                </c:pt>
                <c:pt idx="90">
                  <c:v>311.37179873358065</c:v>
                </c:pt>
                <c:pt idx="91">
                  <c:v>308.16846153440304</c:v>
                </c:pt>
                <c:pt idx="92">
                  <c:v>305.03052161956572</c:v>
                </c:pt>
                <c:pt idx="93">
                  <c:v>301.95599649040281</c:v>
                </c:pt>
                <c:pt idx="94">
                  <c:v>298.94298297840675</c:v>
                </c:pt>
                <c:pt idx="95">
                  <c:v>295.98965331651169</c:v>
                </c:pt>
                <c:pt idx="96">
                  <c:v>293.09425144156302</c:v>
                </c:pt>
                <c:pt idx="97">
                  <c:v>290.25508951225873</c:v>
                </c:pt>
                <c:pt idx="98">
                  <c:v>287.47054462805033</c:v>
                </c:pt>
                <c:pt idx="99">
                  <c:v>284.73905573560353</c:v>
                </c:pt>
                <c:pt idx="100">
                  <c:v>282.05912071042985</c:v>
                </c:pt>
              </c:numCache>
            </c:numRef>
          </c:val>
          <c:smooth val="0"/>
          <c:extLst>
            <c:ext xmlns:c16="http://schemas.microsoft.com/office/drawing/2014/chart" uri="{C3380CC4-5D6E-409C-BE32-E72D297353CC}">
              <c16:uniqueId val="{00000002-44F7-4870-98EC-5ED7AF60689B}"/>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4F7-4870-98EC-5ED7AF60689B}"/>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44F7-4870-98EC-5ED7AF60689B}"/>
              </c:ext>
            </c:extLst>
          </c:dPt>
          <c:dPt>
            <c:idx val="92"/>
            <c:bubble3D val="0"/>
            <c:extLst>
              <c:ext xmlns:c16="http://schemas.microsoft.com/office/drawing/2014/chart" uri="{C3380CC4-5D6E-409C-BE32-E72D297353CC}">
                <c16:uniqueId val="{00000005-44F7-4870-98EC-5ED7AF60689B}"/>
              </c:ext>
            </c:extLst>
          </c:dPt>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44F7-4870-98EC-5ED7AF60689B}"/>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44F7-4870-98EC-5ED7AF60689B}"/>
            </c:ext>
          </c:extLst>
        </c:ser>
        <c:dLbls>
          <c:showLegendKey val="0"/>
          <c:showVal val="0"/>
          <c:showCatName val="0"/>
          <c:showSerName val="0"/>
          <c:showPercent val="0"/>
          <c:showBubbleSize val="0"/>
        </c:dLbls>
        <c:smooth val="0"/>
        <c:axId val="452326144"/>
        <c:axId val="452328448"/>
      </c:lineChart>
      <c:catAx>
        <c:axId val="452326144"/>
        <c:scaling>
          <c:orientation val="minMax"/>
        </c:scaling>
        <c:delete val="0"/>
        <c:axPos val="b"/>
        <c:majorGridlines>
          <c:spPr>
            <a:ln w="15875">
              <a:solidFill>
                <a:srgbClr val="969696"/>
              </a:solidFill>
              <a:prstDash val="sysDash"/>
            </a:ln>
          </c:spPr>
        </c:majorGridlines>
        <c:title>
          <c:tx>
            <c:rich>
              <a:bodyPr/>
              <a:lstStyle/>
              <a:p>
                <a:pPr>
                  <a:defRPr lang="ja-JP"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8448"/>
        <c:crosses val="autoZero"/>
        <c:auto val="1"/>
        <c:lblAlgn val="ctr"/>
        <c:lblOffset val="100"/>
        <c:tickLblSkip val="20"/>
        <c:tickMarkSkip val="10"/>
        <c:noMultiLvlLbl val="0"/>
      </c:catAx>
      <c:valAx>
        <c:axId val="452328448"/>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614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BE97-48FA-B330-74E933417AF3}"/>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BE97-48FA-B330-74E933417AF3}"/>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BE97-48FA-B330-74E933417AF3}"/>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BE97-48FA-B330-74E933417AF3}"/>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BE97-48FA-B330-74E933417AF3}"/>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BE97-48FA-B330-74E933417AF3}"/>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BE97-48FA-B330-74E933417AF3}"/>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BE97-48FA-B330-74E933417AF3}"/>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BE97-48FA-B330-74E933417AF3}"/>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BE97-48FA-B330-74E933417AF3}"/>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BE97-48FA-B330-74E933417AF3}"/>
            </c:ext>
          </c:extLst>
        </c:ser>
        <c:dLbls>
          <c:showLegendKey val="0"/>
          <c:showVal val="0"/>
          <c:showCatName val="0"/>
          <c:showSerName val="0"/>
          <c:showPercent val="0"/>
          <c:showBubbleSize val="0"/>
        </c:dLbls>
        <c:axId val="447280256"/>
        <c:axId val="447282176"/>
      </c:areaChart>
      <c:catAx>
        <c:axId val="44728025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282176"/>
        <c:crosses val="autoZero"/>
        <c:auto val="1"/>
        <c:lblAlgn val="ctr"/>
        <c:lblOffset val="100"/>
        <c:tickMarkSkip val="1"/>
        <c:noMultiLvlLbl val="0"/>
      </c:catAx>
      <c:valAx>
        <c:axId val="447282176"/>
        <c:scaling>
          <c:orientation val="minMax"/>
          <c:max val="0.2"/>
          <c:min val="0"/>
        </c:scaling>
        <c:delete val="0"/>
        <c:axPos val="l"/>
        <c:majorGridlines>
          <c:spPr>
            <a:ln w="3175">
              <a:solidFill>
                <a:srgbClr val="000000"/>
              </a:solidFill>
              <a:prstDash val="solid"/>
            </a:ln>
          </c:spPr>
        </c:majorGridlines>
        <c:min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28025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6E96-4528-9036-34F1ACDA388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E96-4528-9036-34F1ACDA388E}"/>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6E96-4528-9036-34F1ACDA388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E96-4528-9036-34F1ACDA388E}"/>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6E96-4528-9036-34F1ACDA388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6E96-4528-9036-34F1ACDA388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E96-4528-9036-34F1ACDA388E}"/>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6E96-4528-9036-34F1ACDA388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E96-4528-9036-34F1ACDA388E}"/>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6E96-4528-9036-34F1ACDA388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6E96-4528-9036-34F1ACDA388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6E96-4528-9036-34F1ACDA388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6E96-4528-9036-34F1ACDA388E}"/>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6E96-4528-9036-34F1ACDA388E}"/>
            </c:ext>
          </c:extLst>
        </c:ser>
        <c:dLbls>
          <c:showLegendKey val="0"/>
          <c:showVal val="0"/>
          <c:showCatName val="0"/>
          <c:showSerName val="0"/>
          <c:showPercent val="0"/>
          <c:showBubbleSize val="0"/>
        </c:dLbls>
        <c:gapWidth val="101"/>
        <c:overlap val="-70"/>
        <c:axId val="447021056"/>
        <c:axId val="447022592"/>
      </c:barChart>
      <c:catAx>
        <c:axId val="44702105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022592"/>
        <c:crossesAt val="0"/>
        <c:auto val="1"/>
        <c:lblAlgn val="ctr"/>
        <c:lblOffset val="100"/>
        <c:noMultiLvlLbl val="0"/>
      </c:catAx>
      <c:valAx>
        <c:axId val="447022592"/>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02105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7A9A-4B30-813C-2F4CDFF889B0}"/>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7A9A-4B30-813C-2F4CDFF889B0}"/>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7A9A-4B30-813C-2F4CDFF889B0}"/>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7A9A-4B30-813C-2F4CDFF889B0}"/>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7A9A-4B30-813C-2F4CDFF889B0}"/>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7A9A-4B30-813C-2F4CDFF889B0}"/>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7A9A-4B30-813C-2F4CDFF889B0}"/>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7A9A-4B30-813C-2F4CDFF889B0}"/>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7A9A-4B30-813C-2F4CDFF889B0}"/>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7A9A-4B30-813C-2F4CDFF889B0}"/>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7A9A-4B30-813C-2F4CDFF889B0}"/>
            </c:ext>
          </c:extLst>
        </c:ser>
        <c:dLbls>
          <c:showLegendKey val="0"/>
          <c:showVal val="0"/>
          <c:showCatName val="0"/>
          <c:showSerName val="0"/>
          <c:showPercent val="0"/>
          <c:showBubbleSize val="0"/>
        </c:dLbls>
        <c:axId val="447100416"/>
        <c:axId val="447102336"/>
      </c:areaChart>
      <c:catAx>
        <c:axId val="44710041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102336"/>
        <c:crosses val="autoZero"/>
        <c:auto val="1"/>
        <c:lblAlgn val="ctr"/>
        <c:lblOffset val="100"/>
        <c:tickMarkSkip val="1"/>
        <c:noMultiLvlLbl val="0"/>
      </c:catAx>
      <c:valAx>
        <c:axId val="447102336"/>
        <c:scaling>
          <c:orientation val="minMax"/>
          <c:max val="0.2"/>
          <c:min val="0"/>
        </c:scaling>
        <c:delete val="0"/>
        <c:axPos val="l"/>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100416"/>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0</c:v>
                </c:pt>
                <c:pt idx="1">
                  <c:v>0</c:v>
                </c:pt>
                <c:pt idx="2">
                  <c:v>0</c:v>
                </c:pt>
                <c:pt idx="3">
                  <c:v>0</c:v>
                </c:pt>
                <c:pt idx="100">
                  <c:v>0</c:v>
                </c:pt>
              </c:numCache>
            </c:numRef>
          </c:cat>
          <c:val>
            <c:numRef>
              <c:f>Parameters!$BZ$6:$BZ$106</c:f>
              <c:numCache>
                <c:formatCode>0.00</c:formatCode>
                <c:ptCount val="101"/>
                <c:pt idx="0">
                  <c:v>0</c:v>
                </c:pt>
                <c:pt idx="1">
                  <c:v>0</c:v>
                </c:pt>
                <c:pt idx="2">
                  <c:v>0</c:v>
                </c:pt>
                <c:pt idx="3">
                  <c:v>0</c:v>
                </c:pt>
                <c:pt idx="100">
                  <c:v>0</c:v>
                </c:pt>
              </c:numCache>
            </c:numRef>
          </c:val>
          <c:smooth val="1"/>
          <c:extLst>
            <c:ext xmlns:c16="http://schemas.microsoft.com/office/drawing/2014/chart" uri="{C3380CC4-5D6E-409C-BE32-E72D297353CC}">
              <c16:uniqueId val="{00000000-D674-43A0-9F82-F4A92FBE8268}"/>
            </c:ext>
          </c:extLst>
        </c:ser>
        <c:dLbls>
          <c:showLegendKey val="0"/>
          <c:showVal val="0"/>
          <c:showCatName val="0"/>
          <c:showSerName val="0"/>
          <c:showPercent val="0"/>
          <c:showBubbleSize val="0"/>
        </c:dLbls>
        <c:marker val="1"/>
        <c:smooth val="0"/>
        <c:axId val="447149952"/>
        <c:axId val="447291392"/>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D674-43A0-9F82-F4A92FBE8268}"/>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0</c:v>
                </c:pt>
                <c:pt idx="1">
                  <c:v>0</c:v>
                </c:pt>
                <c:pt idx="2">
                  <c:v>0</c:v>
                </c:pt>
                <c:pt idx="3">
                  <c:v>0</c:v>
                </c:pt>
                <c:pt idx="100">
                  <c:v>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D674-43A0-9F82-F4A92FBE8268}"/>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0</c:v>
                </c:pt>
                <c:pt idx="1">
                  <c:v>0</c:v>
                </c:pt>
                <c:pt idx="2">
                  <c:v>0</c:v>
                </c:pt>
                <c:pt idx="3">
                  <c:v>0</c:v>
                </c:pt>
                <c:pt idx="100">
                  <c:v>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D674-43A0-9F82-F4A92FBE8268}"/>
            </c:ext>
          </c:extLst>
        </c:ser>
        <c:dLbls>
          <c:showLegendKey val="0"/>
          <c:showVal val="0"/>
          <c:showCatName val="0"/>
          <c:showSerName val="0"/>
          <c:showPercent val="0"/>
          <c:showBubbleSize val="0"/>
        </c:dLbls>
        <c:marker val="1"/>
        <c:smooth val="0"/>
        <c:axId val="447303680"/>
        <c:axId val="447293312"/>
      </c:lineChart>
      <c:catAx>
        <c:axId val="447149952"/>
        <c:scaling>
          <c:orientation val="minMax"/>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291392"/>
        <c:crosses val="autoZero"/>
        <c:auto val="1"/>
        <c:lblAlgn val="ctr"/>
        <c:lblOffset val="100"/>
        <c:tickLblSkip val="20"/>
        <c:tickMarkSkip val="20"/>
        <c:noMultiLvlLbl val="0"/>
      </c:catAx>
      <c:valAx>
        <c:axId val="447291392"/>
        <c:scaling>
          <c:orientation val="minMax"/>
          <c:max val="95"/>
          <c:min val="65"/>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149952"/>
        <c:crossesAt val="0"/>
        <c:crossBetween val="between"/>
        <c:majorUnit val="5"/>
        <c:minorUnit val="2.5"/>
      </c:valAx>
      <c:valAx>
        <c:axId val="447293312"/>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303680"/>
        <c:crosses val="max"/>
        <c:crossBetween val="between"/>
      </c:valAx>
      <c:catAx>
        <c:axId val="447303680"/>
        <c:scaling>
          <c:orientation val="minMax"/>
        </c:scaling>
        <c:delete val="1"/>
        <c:axPos val="b"/>
        <c:numFmt formatCode="0.000" sourceLinked="1"/>
        <c:majorTickMark val="out"/>
        <c:minorTickMark val="none"/>
        <c:tickLblPos val="nextTo"/>
        <c:crossAx val="4472933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Parameters!$BZ$6:$BZ$106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0-5AFA-4F10-B325-54957BB039CB}"/>
            </c:ext>
          </c:extLst>
        </c:ser>
        <c:dLbls>
          <c:showLegendKey val="0"/>
          <c:showVal val="0"/>
          <c:showCatName val="0"/>
          <c:showSerName val="0"/>
          <c:showPercent val="0"/>
          <c:showBubbleSize val="0"/>
        </c:dLbls>
        <c:axId val="447422464"/>
        <c:axId val="44742438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5AFA-4F10-B325-54957BB039CB}"/>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5AFA-4F10-B325-54957BB039CB}"/>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0</c:v>
                </c:pt>
                <c:pt idx="1">
                  <c:v>0</c:v>
                </c:pt>
                <c:pt idx="2">
                  <c:v>0</c:v>
                </c:pt>
                <c:pt idx="3">
                  <c:v>0</c:v>
                </c:pt>
                <c:pt idx="100">
                  <c:v>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5AFA-4F10-B325-54957BB039CB}"/>
            </c:ext>
          </c:extLst>
        </c:ser>
        <c:dLbls>
          <c:showLegendKey val="0"/>
          <c:showVal val="0"/>
          <c:showCatName val="0"/>
          <c:showSerName val="0"/>
          <c:showPercent val="0"/>
          <c:showBubbleSize val="0"/>
        </c:dLbls>
        <c:axId val="447432576"/>
        <c:axId val="447430656"/>
      </c:scatterChart>
      <c:valAx>
        <c:axId val="447422464"/>
        <c:scaling>
          <c:logBase val="10"/>
          <c:orientation val="minMax"/>
          <c:min val="0.1"/>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424384"/>
        <c:crosses val="autoZero"/>
        <c:crossBetween val="midCat"/>
      </c:valAx>
      <c:valAx>
        <c:axId val="447424384"/>
        <c:scaling>
          <c:orientation val="minMax"/>
          <c:max val="95"/>
          <c:min val="60"/>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422464"/>
        <c:crossesAt val="0"/>
        <c:crossBetween val="midCat"/>
        <c:majorUnit val="5"/>
        <c:minorUnit val="2.5"/>
      </c:valAx>
      <c:valAx>
        <c:axId val="447430656"/>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432576"/>
        <c:crosses val="max"/>
        <c:crossBetween val="midCat"/>
      </c:valAx>
      <c:valAx>
        <c:axId val="447432576"/>
        <c:scaling>
          <c:logBase val="10"/>
          <c:orientation val="minMax"/>
        </c:scaling>
        <c:delete val="1"/>
        <c:axPos val="b"/>
        <c:numFmt formatCode="0.000" sourceLinked="1"/>
        <c:majorTickMark val="out"/>
        <c:minorTickMark val="none"/>
        <c:tickLblPos val="nextTo"/>
        <c:crossAx val="447430656"/>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EB60-43FD-9662-DE13960A76D7}"/>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60-43FD-9662-DE13960A76D7}"/>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EB60-43FD-9662-DE13960A76D7}"/>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B60-43FD-9662-DE13960A76D7}"/>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EB60-43FD-9662-DE13960A76D7}"/>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EB60-43FD-9662-DE13960A76D7}"/>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B60-43FD-9662-DE13960A76D7}"/>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EB60-43FD-9662-DE13960A76D7}"/>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B60-43FD-9662-DE13960A76D7}"/>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EB60-43FD-9662-DE13960A76D7}"/>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EB60-43FD-9662-DE13960A76D7}"/>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EB60-43FD-9662-DE13960A76D7}"/>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B60-43FD-9662-DE13960A76D7}"/>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EB60-43FD-9662-DE13960A76D7}"/>
            </c:ext>
          </c:extLst>
        </c:ser>
        <c:dLbls>
          <c:showLegendKey val="0"/>
          <c:showVal val="0"/>
          <c:showCatName val="0"/>
          <c:showSerName val="0"/>
          <c:showPercent val="0"/>
          <c:showBubbleSize val="0"/>
        </c:dLbls>
        <c:gapWidth val="101"/>
        <c:overlap val="-70"/>
        <c:axId val="447632128"/>
        <c:axId val="447633664"/>
      </c:barChart>
      <c:catAx>
        <c:axId val="44763212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633664"/>
        <c:crossesAt val="0"/>
        <c:auto val="1"/>
        <c:lblAlgn val="ctr"/>
        <c:lblOffset val="100"/>
        <c:noMultiLvlLbl val="0"/>
      </c:catAx>
      <c:valAx>
        <c:axId val="447633664"/>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63212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16" fmlaLink="'BOM &amp; Schematic'!$Q$31" fmlaRange="'Variable Mgmt'!$R$63:$R$67" noThreeD="1" sel="1" val="0"/>
</file>

<file path=xl/ctrlProps/ctrlProp11.xml><?xml version="1.0" encoding="utf-8"?>
<formControlPr xmlns="http://schemas.microsoft.com/office/spreadsheetml/2009/9/main" objectType="Drop" dropStyle="combo" dx="16" fmlaLink="$Q$32" fmlaRange="'Variable Mgmt'!$R$63:$R$67" noThreeD="1" sel="5" val="0"/>
</file>

<file path=xl/ctrlProps/ctrlProp12.xml><?xml version="1.0" encoding="utf-8"?>
<formControlPr xmlns="http://schemas.microsoft.com/office/spreadsheetml/2009/9/main" objectType="Drop" dropStyle="combo" dx="16" fmlaLink="$Q$40" fmlaRange="'Variable Mgmt'!$W$72:$W$75" noThreeD="1" sel="3" val="0"/>
</file>

<file path=xl/ctrlProps/ctrlProp13.xml><?xml version="1.0" encoding="utf-8"?>
<formControlPr xmlns="http://schemas.microsoft.com/office/spreadsheetml/2009/9/main" objectType="Drop" dropStyle="combo" dx="16" fmlaLink="$Q$47" fmlaRange="'Variable Mgmt'!$R$63:$R$65" noThreeD="1" sel="3" val="0"/>
</file>

<file path=xl/ctrlProps/ctrlProp14.xml><?xml version="1.0" encoding="utf-8"?>
<formControlPr xmlns="http://schemas.microsoft.com/office/spreadsheetml/2009/9/main" objectType="Drop" dropStyle="combo" dx="16" fmlaLink="$Q$42" fmlaRange="'Variable Mgmt'!$W$72:$W$75" noThreeD="1" sel="4" val="0"/>
</file>

<file path=xl/ctrlProps/ctrlProp15.xml><?xml version="1.0" encoding="utf-8"?>
<formControlPr xmlns="http://schemas.microsoft.com/office/spreadsheetml/2009/9/main" objectType="Drop" dropStyle="combo" dx="16" fmlaLink="$Q$41" fmlaRange="'Variable Mgmt'!$W$72:$W$75" noThreeD="1" sel="1" val="0"/>
</file>

<file path=xl/ctrlProps/ctrlProp16.xml><?xml version="1.0" encoding="utf-8"?>
<formControlPr xmlns="http://schemas.microsoft.com/office/spreadsheetml/2009/9/main" objectType="Drop" dropStyle="combo" dx="16" fmlaLink="$Q$46" fmlaRange="'Variable Mgmt'!$R$63:$R$65" noThreeD="1" sel="2" val="0"/>
</file>

<file path=xl/ctrlProps/ctrlProp17.xml><?xml version="1.0" encoding="utf-8"?>
<formControlPr xmlns="http://schemas.microsoft.com/office/spreadsheetml/2009/9/main" objectType="Drop" dropStyle="combo" dx="16" fmlaLink="$Q$48" fmlaRange="'Variable Mgmt'!$R$63:$R$65" noThreeD="1" sel="1" val="0"/>
</file>

<file path=xl/ctrlProps/ctrlProp18.xml><?xml version="1.0" encoding="utf-8"?>
<formControlPr xmlns="http://schemas.microsoft.com/office/spreadsheetml/2009/9/main" objectType="Drop" dropStyle="combo" dx="16" fmlaLink="$Q$49" fmlaRange="'Variable Mgmt'!$R$63:$R$65" noThreeD="1" sel="1" val="0"/>
</file>

<file path=xl/ctrlProps/ctrlProp19.xml><?xml version="1.0" encoding="utf-8"?>
<formControlPr xmlns="http://schemas.microsoft.com/office/spreadsheetml/2009/9/main" objectType="Drop" dropStyle="combo" dx="16" fmlaLink="$Q$50" fmlaRange="'Variable Mgmt'!$R$63:$R$65" noThreeD="1" sel="1" val="0"/>
</file>

<file path=xl/ctrlProps/ctrlProp2.xml><?xml version="1.0" encoding="utf-8"?>
<formControlPr xmlns="http://schemas.microsoft.com/office/spreadsheetml/2009/9/main" objectType="Drop" dropStyle="combo" dx="16" fmlaLink="'Variable Mgmt'!$J$62" fmlaRange="'Variable Mgmt'!$I$60:$I$61" noThreeD="1" sel="2" val="0"/>
</file>

<file path=xl/ctrlProps/ctrlProp20.xml><?xml version="1.0" encoding="utf-8"?>
<formControlPr xmlns="http://schemas.microsoft.com/office/spreadsheetml/2009/9/main" objectType="Drop" dropStyle="combo" dx="16" fmlaLink="$Q$39" fmlaRange="'Variable Mgmt'!$W$72:$W$75" noThreeD="1" sel="3" val="0"/>
</file>

<file path=xl/ctrlProps/ctrlProp21.xml><?xml version="1.0" encoding="utf-8"?>
<formControlPr xmlns="http://schemas.microsoft.com/office/spreadsheetml/2009/9/main" objectType="Drop" dropStyle="combo" dx="16" fmlaLink="$Q$54" fmlaRange="'Variable Mgmt'!$R$73:$R$80" noThreeD="1" sel="8" val="0"/>
</file>

<file path=xl/ctrlProps/ctrlProp22.xml><?xml version="1.0" encoding="utf-8"?>
<formControlPr xmlns="http://schemas.microsoft.com/office/spreadsheetml/2009/9/main" objectType="Drop" dropStyle="combo" dx="16" fmlaLink="$Q$33" fmlaRange="'Variable Mgmt'!$R$63:$R$67" noThreeD="1" sel="5" val="0"/>
</file>

<file path=xl/ctrlProps/ctrlProp23.xml><?xml version="1.0" encoding="utf-8"?>
<formControlPr xmlns="http://schemas.microsoft.com/office/spreadsheetml/2009/9/main" objectType="Drop" dropStyle="combo" dx="16" fmlaLink="$Q$43" fmlaRange="'Variable Mgmt'!$W$72:$W$75" noThreeD="1" sel="3" val="0"/>
</file>

<file path=xl/ctrlProps/ctrlProp24.xml><?xml version="1.0" encoding="utf-8"?>
<formControlPr xmlns="http://schemas.microsoft.com/office/spreadsheetml/2009/9/main" objectType="Drop" dropStyle="combo" dx="16" fmlaLink="$Q$52" fmlaRange="'Variable Mgmt'!$R$63:$R$65" noThreeD="1" sel="2" val="0"/>
</file>

<file path=xl/ctrlProps/ctrlProp25.xml><?xml version="1.0" encoding="utf-8"?>
<formControlPr xmlns="http://schemas.microsoft.com/office/spreadsheetml/2009/9/main" objectType="Drop" dropStyle="combo" dx="16" fmlaLink="$Q$53" fmlaRange="'Variable Mgmt'!$R$63:$R$65" noThreeD="1" sel="1" val="0"/>
</file>

<file path=xl/ctrlProps/ctrlProp26.xml><?xml version="1.0" encoding="utf-8"?>
<formControlPr xmlns="http://schemas.microsoft.com/office/spreadsheetml/2009/9/main" objectType="Drop" dropStyle="combo" dx="16" fmlaLink="'BOM &amp; Schematic'!$Q$35" fmlaRange="'Variable Mgmt'!$R$63:$R$67" noThreeD="1" sel="3" val="0"/>
</file>

<file path=xl/ctrlProps/ctrlProp27.xml><?xml version="1.0" encoding="utf-8"?>
<formControlPr xmlns="http://schemas.microsoft.com/office/spreadsheetml/2009/9/main" objectType="Drop" dropStyle="combo" dx="16" fmlaLink="$Q$44" fmlaRange="'Variable Mgmt'!$W$72:$W$75" noThreeD="1" sel="3" val="0"/>
</file>

<file path=xl/ctrlProps/ctrlProp28.xml><?xml version="1.0" encoding="utf-8"?>
<formControlPr xmlns="http://schemas.microsoft.com/office/spreadsheetml/2009/9/main" objectType="Drop" dropStyle="combo" dx="16" fmlaLink="'BOM &amp; Schematic'!$Q$36" fmlaRange="'Variable Mgmt'!$R$63:$R$67" noThreeD="1" sel="4" val="0"/>
</file>

<file path=xl/ctrlProps/ctrlProp29.xml><?xml version="1.0" encoding="utf-8"?>
<formControlPr xmlns="http://schemas.microsoft.com/office/spreadsheetml/2009/9/main" objectType="Drop" dropStyle="combo" dx="16" fmlaLink="'BOM &amp; Schematic'!$Q$37" fmlaRange="'Variable Mgmt'!$R$63:$R$67" noThreeD="1" sel="2" val="0"/>
</file>

<file path=xl/ctrlProps/ctrlProp3.xml><?xml version="1.0" encoding="utf-8"?>
<formControlPr xmlns="http://schemas.microsoft.com/office/spreadsheetml/2009/9/main" objectType="Drop" dropLines="2" dropStyle="combo" dx="16" fmlaLink="'Variable Mgmt'!$G$62" fmlaRange="'Variable Mgmt'!$F$60:$F$61" noThreeD="1" sel="1" val="0"/>
</file>

<file path=xl/ctrlProps/ctrlProp30.xml><?xml version="1.0" encoding="utf-8"?>
<formControlPr xmlns="http://schemas.microsoft.com/office/spreadsheetml/2009/9/main" objectType="Drop" dropStyle="combo" dx="16" fmlaLink="'BOM &amp; Schematic'!$Q$38" fmlaRange="'Variable Mgmt'!$R$63:$R$67" noThreeD="1" sel="1" val="0"/>
</file>

<file path=xl/ctrlProps/ctrlProp31.xml><?xml version="1.0" encoding="utf-8"?>
<formControlPr xmlns="http://schemas.microsoft.com/office/spreadsheetml/2009/9/main" objectType="Drop" dropStyle="combo" dx="16" fmlaLink="$Q$51" fmlaRange="'Variable Mgmt'!$R$63:$R$68" noThreeD="1" sel="6" val="0"/>
</file>

<file path=xl/ctrlProps/ctrlProp4.xml><?xml version="1.0" encoding="utf-8"?>
<formControlPr xmlns="http://schemas.microsoft.com/office/spreadsheetml/2009/9/main" objectType="Drop" dropLines="10" dropStyle="combo" dx="16" fmlaLink="'Variable Mgmt'!$S$45" fmlaRange="'Variable Mgmt'!$R$28:$R$44" noThreeD="1" sel="9" val="7"/>
</file>

<file path=xl/ctrlProps/ctrlProp5.xml><?xml version="1.0" encoding="utf-8"?>
<formControlPr xmlns="http://schemas.microsoft.com/office/spreadsheetml/2009/9/main" objectType="Drop" dropStyle="combo" dx="16" fmlaLink="'Variable Mgmt'!$G$56" fmlaRange="'Variable Mgmt'!$F$54:$F$55" noThreeD="1" sel="1" val="0"/>
</file>

<file path=xl/ctrlProps/ctrlProp6.xml><?xml version="1.0" encoding="utf-8"?>
<formControlPr xmlns="http://schemas.microsoft.com/office/spreadsheetml/2009/9/main" objectType="Drop" dropLines="10" dropStyle="combo" dx="16" fmlaLink="'Variable Mgmt'!$C$57" fmlaRange="'Variable Mgmt'!$B$54:$B$55" noThreeD="1" sel="2" val="0"/>
</file>

<file path=xl/ctrlProps/ctrlProp7.xml><?xml version="1.0" encoding="utf-8"?>
<formControlPr xmlns="http://schemas.microsoft.com/office/spreadsheetml/2009/9/main" objectType="Spin" dx="16" fmlaLink="$E$7" max="95" min="3" page="10" val="34"/>
</file>

<file path=xl/ctrlProps/ctrlProp8.xml><?xml version="1.0" encoding="utf-8"?>
<formControlPr xmlns="http://schemas.microsoft.com/office/spreadsheetml/2009/9/main" objectType="Spin" dx="16" fmlaLink="$E$7" max="65" min="3" page="10" val="34"/>
</file>

<file path=xl/ctrlProps/ctrlProp9.xml><?xml version="1.0" encoding="utf-8"?>
<formControlPr xmlns="http://schemas.microsoft.com/office/spreadsheetml/2009/9/main" objectType="Drop" dropLines="2" dropStyle="combo" dx="16" fmlaLink="'Variable Mgmt'!$Q$20" fmlaRange="'Variable Mgmt'!$P$18:$P$19" noThreeD="1" sel="2" val="0"/>
</file>

<file path=xl/drawings/_rels/drawing1.xml.rels><?xml version="1.0" encoding="UTF-8" standalone="yes"?>
<Relationships xmlns="http://schemas.openxmlformats.org/package/2006/relationships"><Relationship Id="rId8" Type="http://schemas.openxmlformats.org/officeDocument/2006/relationships/hyperlink" Target="http://www.ti.com/automotive" TargetMode="External"/><Relationship Id="rId3" Type="http://schemas.openxmlformats.org/officeDocument/2006/relationships/image" Target="../media/image2.emf"/><Relationship Id="rId7" Type="http://schemas.openxmlformats.org/officeDocument/2006/relationships/image" Target="../media/image4.jp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hyperlink" Target="http://www.ti.com/industrial" TargetMode="External"/><Relationship Id="rId5" Type="http://schemas.openxmlformats.org/officeDocument/2006/relationships/image" Target="../media/image3.jpg"/><Relationship Id="rId10" Type="http://schemas.openxmlformats.org/officeDocument/2006/relationships/image" Target="../media/image6.emf"/><Relationship Id="rId4" Type="http://schemas.openxmlformats.org/officeDocument/2006/relationships/hyperlink" Target="http://www.ti.com/widevin" TargetMode="External"/><Relationship Id="rId9" Type="http://schemas.openxmlformats.org/officeDocument/2006/relationships/image" Target="../media/image5.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6.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24" Type="http://schemas.openxmlformats.org/officeDocument/2006/relationships/image" Target="../media/image40.png"/><Relationship Id="rId5" Type="http://schemas.openxmlformats.org/officeDocument/2006/relationships/image" Target="../media/image21.png"/><Relationship Id="rId15" Type="http://schemas.openxmlformats.org/officeDocument/2006/relationships/image" Target="../media/image31.png"/><Relationship Id="rId23" Type="http://schemas.openxmlformats.org/officeDocument/2006/relationships/image" Target="../media/image39.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 Id="rId22" Type="http://schemas.openxmlformats.org/officeDocument/2006/relationships/image" Target="../media/image38.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image" Target="../media/image12.png"/><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304800</xdr:colOff>
          <xdr:row>0</xdr:row>
          <xdr:rowOff>411480</xdr:rowOff>
        </xdr:from>
        <xdr:to>
          <xdr:col>25</xdr:col>
          <xdr:colOff>220980</xdr:colOff>
          <xdr:row>1</xdr:row>
          <xdr:rowOff>60960</xdr:rowOff>
        </xdr:to>
        <xdr:sp macro="" textlink="">
          <xdr:nvSpPr>
            <xdr:cNvPr id="751583" name="Drop Down 6111" hidden="1">
              <a:extLst>
                <a:ext uri="{63B3BB69-23CF-44E3-9099-C40C66FF867C}">
                  <a14:compatExt spid="_x0000_s751583"/>
                </a:ext>
                <a:ext uri="{FF2B5EF4-FFF2-40B4-BE49-F238E27FC236}">
                  <a16:creationId xmlns:a16="http://schemas.microsoft.com/office/drawing/2014/main" id="{00000000-0008-0000-0000-0000DF77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160440</xdr:colOff>
      <xdr:row>61</xdr:row>
      <xdr:rowOff>65734</xdr:rowOff>
    </xdr:from>
    <xdr:to>
      <xdr:col>25</xdr:col>
      <xdr:colOff>1592036</xdr:colOff>
      <xdr:row>84</xdr:row>
      <xdr:rowOff>153307</xdr:rowOff>
    </xdr:to>
    <xdr:graphicFrame macro="">
      <xdr:nvGraphicFramePr>
        <xdr:cNvPr id="66" name="Chart 1029">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490417</xdr:colOff>
          <xdr:row>37</xdr:row>
          <xdr:rowOff>67110</xdr:rowOff>
        </xdr:from>
        <xdr:to>
          <xdr:col>25</xdr:col>
          <xdr:colOff>1815353</xdr:colOff>
          <xdr:row>60</xdr:row>
          <xdr:rowOff>161441</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89929"/>
                </a:ext>
              </a:extLst>
            </xdr:cNvPicPr>
          </xdr:nvPicPr>
          <xdr:blipFill rotWithShape="1">
            <a:blip xmlns:r="http://schemas.openxmlformats.org/officeDocument/2006/relationships" r:embed="rId2"/>
            <a:srcRect r="5287"/>
            <a:stretch>
              <a:fillRect/>
            </a:stretch>
          </xdr:blipFill>
          <xdr:spPr bwMode="auto">
            <a:xfrm>
              <a:off x="11061299" y="8187639"/>
              <a:ext cx="6591701" cy="4061214"/>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97117</xdr:colOff>
          <xdr:row>4</xdr:row>
          <xdr:rowOff>94701</xdr:rowOff>
        </xdr:from>
        <xdr:to>
          <xdr:col>25</xdr:col>
          <xdr:colOff>1785470</xdr:colOff>
          <xdr:row>27</xdr:row>
          <xdr:rowOff>239060</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89930"/>
                </a:ext>
              </a:extLst>
            </xdr:cNvPicPr>
          </xdr:nvPicPr>
          <xdr:blipFill rotWithShape="1">
            <a:blip xmlns:r="http://schemas.openxmlformats.org/officeDocument/2006/relationships" r:embed="rId3"/>
            <a:srcRect l="1933" r="3398" b="1428"/>
            <a:stretch>
              <a:fillRect/>
            </a:stretch>
          </xdr:blipFill>
          <xdr:spPr bwMode="auto">
            <a:xfrm>
              <a:off x="8411882" y="1252642"/>
              <a:ext cx="9211235" cy="5119771"/>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23</xdr:col>
      <xdr:colOff>200592</xdr:colOff>
      <xdr:row>11</xdr:row>
      <xdr:rowOff>161472</xdr:rowOff>
    </xdr:from>
    <xdr:to>
      <xdr:col>24</xdr:col>
      <xdr:colOff>79535</xdr:colOff>
      <xdr:row>12</xdr:row>
      <xdr:rowOff>161833</xdr:rowOff>
    </xdr:to>
    <xdr:sp macro="" textlink="'Variable Mgmt'!B229">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5213806" y="2746829"/>
          <a:ext cx="523015" cy="199933"/>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900" b="0" i="0" u="none" strike="noStrike" baseline="0">
              <a:solidFill>
                <a:srgbClr val="000000"/>
              </a:solidFill>
              <a:latin typeface="Arial" pitchFamily="34" charset="0"/>
              <a:cs typeface="Arial" pitchFamily="34" charset="0"/>
            </a:rPr>
            <a:pPr algn="l" rtl="0">
              <a:defRPr sz="1000"/>
            </a:pPr>
            <a:t>220µF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20</xdr:col>
      <xdr:colOff>38775</xdr:colOff>
      <xdr:row>9</xdr:row>
      <xdr:rowOff>126072</xdr:rowOff>
    </xdr:from>
    <xdr:to>
      <xdr:col>20</xdr:col>
      <xdr:colOff>522128</xdr:colOff>
      <xdr:row>10</xdr:row>
      <xdr:rowOff>174517</xdr:rowOff>
    </xdr:to>
    <xdr:sp macro="" textlink="'Variable Mgmt'!B215">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3119775" y="2312286"/>
          <a:ext cx="483353" cy="248017"/>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900" b="0" i="0" u="none" strike="noStrike" baseline="0">
              <a:solidFill>
                <a:srgbClr val="000000"/>
              </a:solidFill>
              <a:latin typeface="Arial" pitchFamily="34" charset="0"/>
              <a:cs typeface="Arial" pitchFamily="34" charset="0"/>
            </a:rPr>
            <a:pPr algn="ctr" rtl="0">
              <a:defRPr sz="1000"/>
            </a:pPr>
            <a:t>4.7µH</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14</xdr:col>
      <xdr:colOff>58386</xdr:colOff>
      <xdr:row>11</xdr:row>
      <xdr:rowOff>73571</xdr:rowOff>
    </xdr:from>
    <xdr:to>
      <xdr:col>14</xdr:col>
      <xdr:colOff>563514</xdr:colOff>
      <xdr:row>12</xdr:row>
      <xdr:rowOff>64813</xdr:rowOff>
    </xdr:to>
    <xdr:sp macro="" textlink="'Variable Mgmt'!B234">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9030029" y="2658928"/>
          <a:ext cx="505128" cy="190814"/>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900" b="0" i="0" u="none" strike="noStrike" baseline="0">
              <a:solidFill>
                <a:srgbClr val="000000"/>
              </a:solidFill>
              <a:latin typeface="Arial" pitchFamily="34" charset="0"/>
              <a:cs typeface="Arial" pitchFamily="34" charset="0"/>
            </a:rPr>
            <a:pPr algn="ctr" rtl="0">
              <a:defRPr sz="1000"/>
            </a:pPr>
            <a:t>100µF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16</xdr:col>
      <xdr:colOff>4505</xdr:colOff>
      <xdr:row>15</xdr:row>
      <xdr:rowOff>73956</xdr:rowOff>
    </xdr:from>
    <xdr:to>
      <xdr:col>16</xdr:col>
      <xdr:colOff>479770</xdr:colOff>
      <xdr:row>16</xdr:row>
      <xdr:rowOff>161173</xdr:rowOff>
    </xdr:to>
    <xdr:sp macro="" textlink="'Variable Mgmt'!D261">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10327791" y="3457599"/>
          <a:ext cx="475265" cy="286788"/>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14</xdr:col>
      <xdr:colOff>118515</xdr:colOff>
      <xdr:row>5</xdr:row>
      <xdr:rowOff>122966</xdr:rowOff>
    </xdr:from>
    <xdr:to>
      <xdr:col>14</xdr:col>
      <xdr:colOff>612589</xdr:colOff>
      <xdr:row>8</xdr:row>
      <xdr:rowOff>13369</xdr:rowOff>
    </xdr:to>
    <xdr:sp macro="" textlink="'Variable Mgmt'!B221">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627515" y="1527437"/>
          <a:ext cx="494074" cy="45816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34V</a:t>
          </a:fld>
          <a:endParaRPr lang="en-US" sz="1400" b="1" i="0" strike="noStrike">
            <a:solidFill>
              <a:srgbClr val="FF0000"/>
            </a:solidFill>
            <a:latin typeface="Arial" pitchFamily="34" charset="0"/>
            <a:cs typeface="Arial" pitchFamily="34" charset="0"/>
          </a:endParaRPr>
        </a:p>
      </xdr:txBody>
    </xdr:sp>
    <xdr:clientData/>
  </xdr:twoCellAnchor>
  <xdr:twoCellAnchor>
    <xdr:from>
      <xdr:col>25</xdr:col>
      <xdr:colOff>1019168</xdr:colOff>
      <xdr:row>5</xdr:row>
      <xdr:rowOff>164211</xdr:rowOff>
    </xdr:from>
    <xdr:to>
      <xdr:col>25</xdr:col>
      <xdr:colOff>1685561</xdr:colOff>
      <xdr:row>7</xdr:row>
      <xdr:rowOff>133014</xdr:rowOff>
    </xdr:to>
    <xdr:sp macro="" textlink="'Variable Mgmt'!B224">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6535255" y="1561211"/>
          <a:ext cx="666393" cy="355325"/>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30V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25</xdr:col>
      <xdr:colOff>927554</xdr:colOff>
      <xdr:row>6</xdr:row>
      <xdr:rowOff>179163</xdr:rowOff>
    </xdr:from>
    <xdr:to>
      <xdr:col>25</xdr:col>
      <xdr:colOff>1476828</xdr:colOff>
      <xdr:row>8</xdr:row>
      <xdr:rowOff>112096</xdr:rowOff>
    </xdr:to>
    <xdr:sp macro="" textlink="'Variable Mgmt'!B279">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6443641" y="1780467"/>
          <a:ext cx="549274" cy="31945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4A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129540</xdr:colOff>
          <xdr:row>6</xdr:row>
          <xdr:rowOff>15240</xdr:rowOff>
        </xdr:from>
        <xdr:to>
          <xdr:col>5</xdr:col>
          <xdr:colOff>304800</xdr:colOff>
          <xdr:row>7</xdr:row>
          <xdr:rowOff>30480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214803</xdr:colOff>
      <xdr:row>11</xdr:row>
      <xdr:rowOff>121721</xdr:rowOff>
    </xdr:from>
    <xdr:to>
      <xdr:col>17</xdr:col>
      <xdr:colOff>63226</xdr:colOff>
      <xdr:row>12</xdr:row>
      <xdr:rowOff>163885</xdr:rowOff>
    </xdr:to>
    <xdr:sp macro="" textlink="'Variable Mgmt'!C253">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0538089" y="2707078"/>
          <a:ext cx="555994" cy="241736"/>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900" b="0" i="0" u="none" strike="noStrike">
              <a:solidFill>
                <a:srgbClr val="000000"/>
              </a:solidFill>
              <a:latin typeface="Arial"/>
              <a:cs typeface="Arial"/>
            </a:rPr>
            <a:pPr algn="l" rtl="0">
              <a:defRPr sz="1000"/>
            </a:pPr>
            <a:t>73.2kΩ</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228490</xdr:colOff>
      <xdr:row>15</xdr:row>
      <xdr:rowOff>49885</xdr:rowOff>
    </xdr:from>
    <xdr:to>
      <xdr:col>16</xdr:col>
      <xdr:colOff>76913</xdr:colOff>
      <xdr:row>16</xdr:row>
      <xdr:rowOff>157389</xdr:rowOff>
    </xdr:to>
    <xdr:sp macro="" textlink="'Variable Mgmt'!C254">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844204" y="3433528"/>
          <a:ext cx="555995" cy="307075"/>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900" b="0" i="0" u="none" strike="noStrike">
              <a:solidFill>
                <a:srgbClr val="000000"/>
              </a:solidFill>
              <a:latin typeface="Arial"/>
              <a:cs typeface="Arial"/>
            </a:rPr>
            <a:pPr algn="l" rtl="0">
              <a:defRPr sz="1000"/>
            </a:pPr>
            <a:t>6.34kΩ</a:t>
          </a:fld>
          <a:endParaRPr lang="el-GR" sz="900" b="0" i="0" strike="noStrike">
            <a:solidFill>
              <a:srgbClr val="000000"/>
            </a:solidFill>
            <a:latin typeface="Arial" pitchFamily="34" charset="0"/>
            <a:cs typeface="Arial" pitchFamily="34" charset="0"/>
          </a:endParaRPr>
        </a:p>
      </xdr:txBody>
    </xdr:sp>
    <xdr:clientData/>
  </xdr:twoCellAnchor>
  <xdr:twoCellAnchor>
    <xdr:from>
      <xdr:col>18</xdr:col>
      <xdr:colOff>676778</xdr:colOff>
      <xdr:row>16</xdr:row>
      <xdr:rowOff>6934</xdr:rowOff>
    </xdr:from>
    <xdr:to>
      <xdr:col>19</xdr:col>
      <xdr:colOff>538343</xdr:colOff>
      <xdr:row>17</xdr:row>
      <xdr:rowOff>35167</xdr:rowOff>
    </xdr:to>
    <xdr:sp macro="" textlink="'Variable Mgmt'!C243">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2415207" y="3590148"/>
          <a:ext cx="560065" cy="22780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900" b="0" i="0" u="none" strike="noStrike">
              <a:solidFill>
                <a:srgbClr val="000000"/>
              </a:solidFill>
              <a:latin typeface="Arial"/>
              <a:cs typeface="Arial"/>
            </a:rPr>
            <a:pPr algn="l" rtl="0">
              <a:defRPr sz="1000"/>
            </a:pPr>
            <a:t>300kΩ</a:t>
          </a:fld>
          <a:endParaRPr lang="el-GR" sz="1200" b="0" i="0" strike="noStrike">
            <a:solidFill>
              <a:srgbClr val="000000"/>
            </a:solidFill>
            <a:latin typeface="Arial" pitchFamily="34" charset="0"/>
            <a:cs typeface="Arial" pitchFamily="34" charset="0"/>
          </a:endParaRPr>
        </a:p>
      </xdr:txBody>
    </xdr:sp>
    <xdr:clientData/>
  </xdr:twoCellAnchor>
  <xdr:twoCellAnchor>
    <xdr:from>
      <xdr:col>15</xdr:col>
      <xdr:colOff>515590</xdr:colOff>
      <xdr:row>17</xdr:row>
      <xdr:rowOff>132012</xdr:rowOff>
    </xdr:from>
    <xdr:to>
      <xdr:col>16</xdr:col>
      <xdr:colOff>343366</xdr:colOff>
      <xdr:row>18</xdr:row>
      <xdr:rowOff>143932</xdr:rowOff>
    </xdr:to>
    <xdr:sp macro="" textlink="'Variable Mgmt'!C257">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0131304" y="3914798"/>
          <a:ext cx="535348" cy="21149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900" b="0" i="0" u="none" strike="noStrike" baseline="0">
              <a:solidFill>
                <a:srgbClr val="000000"/>
              </a:solidFill>
              <a:latin typeface="Arial"/>
              <a:cs typeface="Arial"/>
            </a:rPr>
            <a:pPr algn="l" rtl="0">
              <a:defRPr sz="1000"/>
            </a:pPr>
            <a:t>10kΩ</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14</xdr:col>
      <xdr:colOff>105150</xdr:colOff>
      <xdr:row>7</xdr:row>
      <xdr:rowOff>58997</xdr:rowOff>
    </xdr:from>
    <xdr:to>
      <xdr:col>15</xdr:col>
      <xdr:colOff>312085</xdr:colOff>
      <xdr:row>8</xdr:row>
      <xdr:rowOff>144859</xdr:rowOff>
    </xdr:to>
    <xdr:sp macro="" textlink="'Variable Mgmt'!B222">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614150" y="1836997"/>
          <a:ext cx="849406" cy="28009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20V...48V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15240</xdr:colOff>
          <xdr:row>40</xdr:row>
          <xdr:rowOff>0</xdr:rowOff>
        </xdr:from>
        <xdr:to>
          <xdr:col>5</xdr:col>
          <xdr:colOff>281940</xdr:colOff>
          <xdr:row>41</xdr:row>
          <xdr:rowOff>30480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132617</xdr:colOff>
      <xdr:row>19</xdr:row>
      <xdr:rowOff>226786</xdr:rowOff>
    </xdr:from>
    <xdr:to>
      <xdr:col>16</xdr:col>
      <xdr:colOff>679506</xdr:colOff>
      <xdr:row>20</xdr:row>
      <xdr:rowOff>138885</xdr:rowOff>
    </xdr:to>
    <xdr:sp macro="" textlink="'Variable Mgmt'!B249">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0455903" y="4454072"/>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900" b="0" i="0" u="none" strike="noStrike">
              <a:solidFill>
                <a:srgbClr val="000000"/>
              </a:solidFill>
              <a:latin typeface="Arial"/>
              <a:cs typeface="Arial"/>
            </a:rPr>
            <a:pPr algn="l" rtl="0">
              <a:defRPr sz="1000"/>
            </a:pPr>
            <a:t>1690kΩ</a:t>
          </a:fld>
          <a:endParaRPr lang="el-GR" sz="9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15240</xdr:colOff>
          <xdr:row>46</xdr:row>
          <xdr:rowOff>0</xdr:rowOff>
        </xdr:from>
        <xdr:to>
          <xdr:col>5</xdr:col>
          <xdr:colOff>259080</xdr:colOff>
          <xdr:row>46</xdr:row>
          <xdr:rowOff>205740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78143</xdr:colOff>
      <xdr:row>0</xdr:row>
      <xdr:rowOff>32845</xdr:rowOff>
    </xdr:from>
    <xdr:to>
      <xdr:col>3</xdr:col>
      <xdr:colOff>357789</xdr:colOff>
      <xdr:row>0</xdr:row>
      <xdr:rowOff>571501</xdr:rowOff>
    </xdr:to>
    <xdr:pic macro="[0]!OpenLM27403ProductFolder">
      <xdr:nvPicPr>
        <xdr:cNvPr id="4" name="Picture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6"/>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548543</xdr:colOff>
      <xdr:row>3</xdr:row>
      <xdr:rowOff>130483</xdr:rowOff>
    </xdr:to>
    <xdr:pic macro="[0]!OpenLM27403ProductFolder">
      <xdr:nvPicPr>
        <xdr:cNvPr id="54" name="Picture 53">
          <a:hlinkClick xmlns:r="http://schemas.openxmlformats.org/officeDocument/2006/relationships" r:id="rId8"/>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15240</xdr:colOff>
          <xdr:row>12</xdr:row>
          <xdr:rowOff>0</xdr:rowOff>
        </xdr:from>
        <xdr:to>
          <xdr:col>12</xdr:col>
          <xdr:colOff>68580</xdr:colOff>
          <xdr:row>13</xdr:row>
          <xdr:rowOff>7620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15240</xdr:rowOff>
        </xdr:from>
        <xdr:to>
          <xdr:col>5</xdr:col>
          <xdr:colOff>266700</xdr:colOff>
          <xdr:row>44</xdr:row>
          <xdr:rowOff>15240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109162</xdr:colOff>
      <xdr:row>6</xdr:row>
      <xdr:rowOff>19381</xdr:rowOff>
    </xdr:from>
    <xdr:to>
      <xdr:col>21</xdr:col>
      <xdr:colOff>494998</xdr:colOff>
      <xdr:row>7</xdr:row>
      <xdr:rowOff>91622</xdr:rowOff>
    </xdr:to>
    <xdr:sp macro="" textlink="'Variable Mgmt'!B217">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3190162" y="1625024"/>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1 : 0.21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750794</xdr:colOff>
      <xdr:row>41</xdr:row>
      <xdr:rowOff>69135</xdr:rowOff>
    </xdr:from>
    <xdr:to>
      <xdr:col>25</xdr:col>
      <xdr:colOff>1228557</xdr:colOff>
      <xdr:row>42</xdr:row>
      <xdr:rowOff>146830</xdr:rowOff>
    </xdr:to>
    <xdr:sp macro="" textlink="'Variable Mgmt'!$B$270">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588441" y="9003959"/>
          <a:ext cx="477763" cy="286871"/>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71.8%</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25</xdr:col>
      <xdr:colOff>1096216</xdr:colOff>
      <xdr:row>18</xdr:row>
      <xdr:rowOff>128280</xdr:rowOff>
    </xdr:from>
    <xdr:to>
      <xdr:col>25</xdr:col>
      <xdr:colOff>1759040</xdr:colOff>
      <xdr:row>19</xdr:row>
      <xdr:rowOff>0</xdr:rowOff>
    </xdr:to>
    <xdr:sp macro="" textlink="'Variable Mgmt'!B225">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6612303" y="3341932"/>
          <a:ext cx="662824" cy="349094"/>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6V</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869431</xdr:colOff>
      <xdr:row>18</xdr:row>
      <xdr:rowOff>185393</xdr:rowOff>
    </xdr:from>
    <xdr:to>
      <xdr:col>25</xdr:col>
      <xdr:colOff>1616761</xdr:colOff>
      <xdr:row>20</xdr:row>
      <xdr:rowOff>58673</xdr:rowOff>
    </xdr:to>
    <xdr:sp macro="" textlink="'Variable Mgmt'!B280">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6385518" y="3399045"/>
          <a:ext cx="747330" cy="61871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0.85A</a:t>
          </a:fld>
          <a:endParaRPr lang="en-US" sz="1350" b="1" i="0" strike="noStrike">
            <a:solidFill>
              <a:srgbClr val="FF0000"/>
            </a:solidFill>
            <a:latin typeface="Arial" pitchFamily="34" charset="0"/>
            <a:cs typeface="Arial" pitchFamily="34" charset="0"/>
          </a:endParaRPr>
        </a:p>
      </xdr:txBody>
    </xdr:sp>
    <xdr:clientData/>
  </xdr:twoCellAnchor>
  <xdr:twoCellAnchor>
    <xdr:from>
      <xdr:col>25</xdr:col>
      <xdr:colOff>1022875</xdr:colOff>
      <xdr:row>16</xdr:row>
      <xdr:rowOff>158113</xdr:rowOff>
    </xdr:from>
    <xdr:to>
      <xdr:col>25</xdr:col>
      <xdr:colOff>1685699</xdr:colOff>
      <xdr:row>19</xdr:row>
      <xdr:rowOff>102504</xdr:rowOff>
    </xdr:to>
    <xdr:sp macro="" textlink="'Variable Mgmt'!B226">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7324232" y="3741327"/>
          <a:ext cx="662824" cy="83339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772742</xdr:colOff>
      <xdr:row>19</xdr:row>
      <xdr:rowOff>0</xdr:rowOff>
    </xdr:from>
    <xdr:to>
      <xdr:col>25</xdr:col>
      <xdr:colOff>1516897</xdr:colOff>
      <xdr:row>19</xdr:row>
      <xdr:rowOff>208643</xdr:rowOff>
    </xdr:to>
    <xdr:sp macro="" textlink="'Variable Mgmt'!B281">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7074099" y="4227286"/>
          <a:ext cx="744155" cy="20864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150700</xdr:colOff>
      <xdr:row>15</xdr:row>
      <xdr:rowOff>151932</xdr:rowOff>
    </xdr:from>
    <xdr:to>
      <xdr:col>24</xdr:col>
      <xdr:colOff>34178</xdr:colOff>
      <xdr:row>17</xdr:row>
      <xdr:rowOff>126999</xdr:rowOff>
    </xdr:to>
    <xdr:sp macro="" textlink="'Variable Mgmt'!D229">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5163914" y="3535575"/>
          <a:ext cx="527550" cy="374210"/>
        </a:xfrm>
        <a:prstGeom prst="rect">
          <a:avLst/>
        </a:prstGeom>
        <a:noFill/>
        <a:ln w="9525">
          <a:noFill/>
          <a:miter lim="800000"/>
          <a:headEnd/>
          <a:tailEnd/>
        </a:ln>
      </xdr:spPr>
      <xdr:txBody>
        <a:bodyPr vertOverflow="clip" wrap="square" lIns="27432" tIns="22860" rIns="0" bIns="0" anchor="ctr" upright="1"/>
        <a:lstStyle/>
        <a:p>
          <a:pPr algn="l" rtl="0">
            <a:defRPr sz="1000"/>
          </a:pPr>
          <a:fld id="{A5CD353A-83F6-408F-8104-9228EF111F31}"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159771</xdr:colOff>
      <xdr:row>19</xdr:row>
      <xdr:rowOff>90714</xdr:rowOff>
    </xdr:from>
    <xdr:to>
      <xdr:col>24</xdr:col>
      <xdr:colOff>43249</xdr:colOff>
      <xdr:row>20</xdr:row>
      <xdr:rowOff>0</xdr:rowOff>
    </xdr:to>
    <xdr:sp macro="" textlink="'Variable Mgmt'!C229">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5172985" y="4318000"/>
          <a:ext cx="527550" cy="154214"/>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900" b="0" i="0" u="none" strike="noStrike" baseline="0">
              <a:solidFill>
                <a:srgbClr val="000000"/>
              </a:solidFill>
              <a:latin typeface="Arial"/>
              <a:cs typeface="Arial"/>
            </a:rPr>
            <a:pPr algn="l" rtl="0">
              <a:defRPr sz="1000"/>
            </a:pPr>
            <a:t>55µF</a:t>
          </a:fld>
          <a:endParaRPr lang="en-US" sz="9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14079</xdr:colOff>
          <xdr:row>37</xdr:row>
          <xdr:rowOff>54758</xdr:rowOff>
        </xdr:from>
        <xdr:to>
          <xdr:col>17</xdr:col>
          <xdr:colOff>298824</xdr:colOff>
          <xdr:row>60</xdr:row>
          <xdr:rowOff>161778</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89931"/>
                </a:ext>
              </a:extLst>
            </xdr:cNvPicPr>
          </xdr:nvPicPr>
          <xdr:blipFill rotWithShape="1">
            <a:blip xmlns:r="http://schemas.openxmlformats.org/officeDocument/2006/relationships" r:embed="rId10"/>
            <a:srcRect r="5700"/>
            <a:stretch>
              <a:fillRect/>
            </a:stretch>
          </xdr:blipFill>
          <xdr:spPr bwMode="auto">
            <a:xfrm>
              <a:off x="4249903" y="8175287"/>
              <a:ext cx="6619803" cy="4073903"/>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23</xdr:col>
          <xdr:colOff>129540</xdr:colOff>
          <xdr:row>62</xdr:row>
          <xdr:rowOff>15240</xdr:rowOff>
        </xdr:from>
        <xdr:to>
          <xdr:col>23</xdr:col>
          <xdr:colOff>304800</xdr:colOff>
          <xdr:row>63</xdr:row>
          <xdr:rowOff>30480</xdr:rowOff>
        </xdr:to>
        <xdr:sp macro="" textlink="">
          <xdr:nvSpPr>
            <xdr:cNvPr id="751280" name="Spinner 5808" hidden="1">
              <a:extLst>
                <a:ext uri="{63B3BB69-23CF-44E3-9099-C40C66FF867C}">
                  <a14:compatExt spid="_x0000_s751280"/>
                </a:ext>
                <a:ext uri="{FF2B5EF4-FFF2-40B4-BE49-F238E27FC236}">
                  <a16:creationId xmlns:a16="http://schemas.microsoft.com/office/drawing/2014/main" id="{00000000-0008-0000-0000-0000B076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60092</xdr:colOff>
      <xdr:row>21</xdr:row>
      <xdr:rowOff>200356</xdr:rowOff>
    </xdr:from>
    <xdr:to>
      <xdr:col>16</xdr:col>
      <xdr:colOff>606981</xdr:colOff>
      <xdr:row>22</xdr:row>
      <xdr:rowOff>185304</xdr:rowOff>
    </xdr:to>
    <xdr:sp macro="" textlink="'Variable Mgmt'!D293">
      <xdr:nvSpPr>
        <xdr:cNvPr id="40" name="Text Box 268">
          <a:extLst>
            <a:ext uri="{FF2B5EF4-FFF2-40B4-BE49-F238E27FC236}">
              <a16:creationId xmlns:a16="http://schemas.microsoft.com/office/drawing/2014/main" id="{00000000-0008-0000-0000-000028000000}"/>
            </a:ext>
          </a:extLst>
        </xdr:cNvPr>
        <xdr:cNvSpPr txBox="1">
          <a:spLocks noChangeArrowheads="1" noTextEdit="1"/>
        </xdr:cNvSpPr>
      </xdr:nvSpPr>
      <xdr:spPr bwMode="auto">
        <a:xfrm>
          <a:off x="10383378" y="4917499"/>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1000" b="0" i="0" u="none" strike="noStrike">
              <a:solidFill>
                <a:srgbClr val="000000"/>
              </a:solidFill>
              <a:latin typeface="Arial"/>
              <a:cs typeface="Arial"/>
            </a:rPr>
            <a:pPr algn="l" rtl="0">
              <a:defRPr sz="1000"/>
            </a:pPr>
            <a:t>40.2kΩ</a:t>
          </a:fld>
          <a:endParaRPr lang="el-GR" sz="900" b="0" i="0" strike="noStrike">
            <a:solidFill>
              <a:srgbClr val="000000"/>
            </a:solidFill>
            <a:latin typeface="Arial" pitchFamily="34" charset="0"/>
            <a:cs typeface="Arial" pitchFamily="34" charset="0"/>
          </a:endParaRPr>
        </a:p>
      </xdr:txBody>
    </xdr:sp>
    <xdr:clientData/>
  </xdr:twoCellAnchor>
  <xdr:twoCellAnchor>
    <xdr:from>
      <xdr:col>14</xdr:col>
      <xdr:colOff>622519</xdr:colOff>
      <xdr:row>24</xdr:row>
      <xdr:rowOff>55212</xdr:rowOff>
    </xdr:from>
    <xdr:to>
      <xdr:col>15</xdr:col>
      <xdr:colOff>525337</xdr:colOff>
      <xdr:row>25</xdr:row>
      <xdr:rowOff>40160</xdr:rowOff>
    </xdr:to>
    <xdr:sp macro="" textlink="'Variable Mgmt'!D294">
      <xdr:nvSpPr>
        <xdr:cNvPr id="41" name="Text Box 268">
          <a:extLst>
            <a:ext uri="{FF2B5EF4-FFF2-40B4-BE49-F238E27FC236}">
              <a16:creationId xmlns:a16="http://schemas.microsoft.com/office/drawing/2014/main" id="{00000000-0008-0000-0000-000029000000}"/>
            </a:ext>
          </a:extLst>
        </xdr:cNvPr>
        <xdr:cNvSpPr txBox="1">
          <a:spLocks noChangeArrowheads="1" noTextEdit="1"/>
        </xdr:cNvSpPr>
      </xdr:nvSpPr>
      <xdr:spPr bwMode="auto">
        <a:xfrm>
          <a:off x="9594162" y="5507141"/>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1000" b="0" i="0" u="none" strike="noStrike">
              <a:solidFill>
                <a:srgbClr val="000000"/>
              </a:solidFill>
              <a:latin typeface="Arial"/>
              <a:cs typeface="Arial"/>
            </a:rPr>
            <a:pPr algn="l" rtl="0">
              <a:defRPr sz="1000"/>
            </a:pPr>
            <a:t>10nF</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568093</xdr:colOff>
      <xdr:row>24</xdr:row>
      <xdr:rowOff>136854</xdr:rowOff>
    </xdr:from>
    <xdr:to>
      <xdr:col>16</xdr:col>
      <xdr:colOff>407410</xdr:colOff>
      <xdr:row>25</xdr:row>
      <xdr:rowOff>121802</xdr:rowOff>
    </xdr:to>
    <xdr:sp macro="" textlink="'Variable Mgmt'!D295">
      <xdr:nvSpPr>
        <xdr:cNvPr id="43" name="Text Box 268">
          <a:extLst>
            <a:ext uri="{FF2B5EF4-FFF2-40B4-BE49-F238E27FC236}">
              <a16:creationId xmlns:a16="http://schemas.microsoft.com/office/drawing/2014/main" id="{00000000-0008-0000-0000-00002B000000}"/>
            </a:ext>
          </a:extLst>
        </xdr:cNvPr>
        <xdr:cNvSpPr txBox="1">
          <a:spLocks noChangeArrowheads="1" noTextEdit="1"/>
        </xdr:cNvSpPr>
      </xdr:nvSpPr>
      <xdr:spPr bwMode="auto">
        <a:xfrm>
          <a:off x="10183807" y="5588783"/>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1000" b="0" i="0" u="none" strike="noStrike">
              <a:solidFill>
                <a:srgbClr val="000000"/>
              </a:solidFill>
              <a:latin typeface="Arial"/>
              <a:cs typeface="Arial"/>
            </a:rPr>
            <a:pPr algn="l" rtl="0">
              <a:defRPr sz="1000"/>
            </a:pPr>
            <a:t>150pF</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226786</xdr:colOff>
      <xdr:row>24</xdr:row>
      <xdr:rowOff>181428</xdr:rowOff>
    </xdr:from>
    <xdr:to>
      <xdr:col>20</xdr:col>
      <xdr:colOff>129604</xdr:colOff>
      <xdr:row>25</xdr:row>
      <xdr:rowOff>93527</xdr:rowOff>
    </xdr:to>
    <xdr:sp macro="" textlink="'Variable Mgmt'!D298">
      <xdr:nvSpPr>
        <xdr:cNvPr id="48" name="Text Box 268">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12663715"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20</xdr:col>
      <xdr:colOff>517071</xdr:colOff>
      <xdr:row>24</xdr:row>
      <xdr:rowOff>181428</xdr:rowOff>
    </xdr:from>
    <xdr:to>
      <xdr:col>21</xdr:col>
      <xdr:colOff>419889</xdr:colOff>
      <xdr:row>25</xdr:row>
      <xdr:rowOff>93527</xdr:rowOff>
    </xdr:to>
    <xdr:sp macro="" textlink="'Variable Mgmt'!D297">
      <xdr:nvSpPr>
        <xdr:cNvPr id="50" name="Text Box 268">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13598071"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1000" b="0" i="0" u="none" strike="noStrike">
              <a:solidFill>
                <a:srgbClr val="000000"/>
              </a:solidFill>
              <a:latin typeface="Arial"/>
              <a:cs typeface="Arial"/>
            </a:rPr>
            <a:pPr algn="l" rtl="0">
              <a:defRPr sz="1000"/>
            </a:pPr>
            <a:t>3.3mΩ</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553356</xdr:colOff>
      <xdr:row>21</xdr:row>
      <xdr:rowOff>154214</xdr:rowOff>
    </xdr:from>
    <xdr:to>
      <xdr:col>20</xdr:col>
      <xdr:colOff>456174</xdr:colOff>
      <xdr:row>22</xdr:row>
      <xdr:rowOff>66313</xdr:rowOff>
    </xdr:to>
    <xdr:sp macro="" textlink="'Variable Mgmt'!D299">
      <xdr:nvSpPr>
        <xdr:cNvPr id="52" name="Text Box 268">
          <a:extLst>
            <a:ext uri="{FF2B5EF4-FFF2-40B4-BE49-F238E27FC236}">
              <a16:creationId xmlns:a16="http://schemas.microsoft.com/office/drawing/2014/main" id="{00000000-0008-0000-0000-000034000000}"/>
            </a:ext>
          </a:extLst>
        </xdr:cNvPr>
        <xdr:cNvSpPr txBox="1">
          <a:spLocks noChangeArrowheads="1" noTextEdit="1"/>
        </xdr:cNvSpPr>
      </xdr:nvSpPr>
      <xdr:spPr bwMode="auto">
        <a:xfrm>
          <a:off x="12990285" y="4871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1000" b="0" i="0" u="none" strike="noStrike">
              <a:solidFill>
                <a:srgbClr val="000000"/>
              </a:solidFill>
              <a:latin typeface="Arial"/>
              <a:cs typeface="Arial"/>
            </a:rPr>
            <a:pPr algn="l" rtl="0">
              <a:defRPr sz="1000"/>
            </a:pPr>
            <a:t>100Ω</a:t>
          </a:fld>
          <a:endParaRPr lang="el-GR" sz="9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581025</xdr:colOff>
      <xdr:row>7</xdr:row>
      <xdr:rowOff>47625</xdr:rowOff>
    </xdr:from>
    <xdr:to>
      <xdr:col>10</xdr:col>
      <xdr:colOff>539612</xdr:colOff>
      <xdr:row>62</xdr:row>
      <xdr:rowOff>153585</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581025" y="1739265"/>
          <a:ext cx="6283187" cy="9326160"/>
          <a:chOff x="563217" y="1684406"/>
          <a:chExt cx="6372087" cy="8837210"/>
        </a:xfrm>
      </xdr:grpSpPr>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87784" y="1684406"/>
            <a:ext cx="6343059" cy="4223855"/>
          </a:xfrm>
          <a:prstGeom prst="rect">
            <a:avLst/>
          </a:prstGeom>
        </xdr:spPr>
      </xdr:pic>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flipH="1">
            <a:off x="563217" y="6333434"/>
            <a:ext cx="6372087" cy="4188182"/>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70">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71.8%</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70">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71.8%</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4694"/>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85717"/>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3909000" y="65171955"/>
          <a:ext cx="0" cy="433768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-1</xdr:colOff>
      <xdr:row>6</xdr:row>
      <xdr:rowOff>20481</xdr:rowOff>
    </xdr:from>
    <xdr:to>
      <xdr:col>4</xdr:col>
      <xdr:colOff>8229599</xdr:colOff>
      <xdr:row>6</xdr:row>
      <xdr:rowOff>4460244</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0363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6</xdr:row>
      <xdr:rowOff>20481</xdr:rowOff>
    </xdr:from>
    <xdr:to>
      <xdr:col>7</xdr:col>
      <xdr:colOff>8229599</xdr:colOff>
      <xdr:row>6</xdr:row>
      <xdr:rowOff>4460244</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19888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8</xdr:row>
      <xdr:rowOff>23050</xdr:rowOff>
    </xdr:from>
    <xdr:to>
      <xdr:col>1</xdr:col>
      <xdr:colOff>8229599</xdr:colOff>
      <xdr:row>8</xdr:row>
      <xdr:rowOff>4457675</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847724" y="58142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10</xdr:row>
      <xdr:rowOff>23050</xdr:rowOff>
    </xdr:from>
    <xdr:to>
      <xdr:col>1</xdr:col>
      <xdr:colOff>8229599</xdr:colOff>
      <xdr:row>10</xdr:row>
      <xdr:rowOff>4457675</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847724" y="105005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12</xdr:row>
      <xdr:rowOff>21949</xdr:rowOff>
    </xdr:from>
    <xdr:to>
      <xdr:col>1</xdr:col>
      <xdr:colOff>8229599</xdr:colOff>
      <xdr:row>12</xdr:row>
      <xdr:rowOff>4458776</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843642" y="151857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14</xdr:row>
      <xdr:rowOff>21948</xdr:rowOff>
    </xdr:from>
    <xdr:to>
      <xdr:col>1</xdr:col>
      <xdr:colOff>8229599</xdr:colOff>
      <xdr:row>14</xdr:row>
      <xdr:rowOff>4458775</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843642" y="19872048"/>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6</xdr:row>
      <xdr:rowOff>21949</xdr:rowOff>
    </xdr:from>
    <xdr:to>
      <xdr:col>1</xdr:col>
      <xdr:colOff>8229599</xdr:colOff>
      <xdr:row>6</xdr:row>
      <xdr:rowOff>4458776</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843642" y="1050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16</xdr:row>
      <xdr:rowOff>21949</xdr:rowOff>
    </xdr:from>
    <xdr:to>
      <xdr:col>1</xdr:col>
      <xdr:colOff>8229599</xdr:colOff>
      <xdr:row>16</xdr:row>
      <xdr:rowOff>4458776</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843642" y="245583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18</xdr:row>
      <xdr:rowOff>21949</xdr:rowOff>
    </xdr:from>
    <xdr:to>
      <xdr:col>1</xdr:col>
      <xdr:colOff>8229599</xdr:colOff>
      <xdr:row>18</xdr:row>
      <xdr:rowOff>4458776</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843642" y="29244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20</xdr:row>
      <xdr:rowOff>21949</xdr:rowOff>
    </xdr:from>
    <xdr:to>
      <xdr:col>1</xdr:col>
      <xdr:colOff>8229599</xdr:colOff>
      <xdr:row>20</xdr:row>
      <xdr:rowOff>4458776</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843642" y="339690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8</xdr:row>
      <xdr:rowOff>21215</xdr:rowOff>
    </xdr:from>
    <xdr:to>
      <xdr:col>4</xdr:col>
      <xdr:colOff>8229598</xdr:colOff>
      <xdr:row>8</xdr:row>
      <xdr:rowOff>4459511</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0888434" y="5808786"/>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10</xdr:row>
      <xdr:rowOff>21215</xdr:rowOff>
    </xdr:from>
    <xdr:to>
      <xdr:col>4</xdr:col>
      <xdr:colOff>8229598</xdr:colOff>
      <xdr:row>10</xdr:row>
      <xdr:rowOff>4459511</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0877095" y="10498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12</xdr:row>
      <xdr:rowOff>21215</xdr:rowOff>
    </xdr:from>
    <xdr:to>
      <xdr:col>4</xdr:col>
      <xdr:colOff>8229598</xdr:colOff>
      <xdr:row>12</xdr:row>
      <xdr:rowOff>4459511</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0877095" y="15197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14</xdr:row>
      <xdr:rowOff>21215</xdr:rowOff>
    </xdr:from>
    <xdr:to>
      <xdr:col>4</xdr:col>
      <xdr:colOff>8229598</xdr:colOff>
      <xdr:row>14</xdr:row>
      <xdr:rowOff>4459511</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0877095" y="19896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16</xdr:row>
      <xdr:rowOff>21215</xdr:rowOff>
    </xdr:from>
    <xdr:to>
      <xdr:col>4</xdr:col>
      <xdr:colOff>8229599</xdr:colOff>
      <xdr:row>16</xdr:row>
      <xdr:rowOff>4459511</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0365920" y="245576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18</xdr:row>
      <xdr:rowOff>21215</xdr:rowOff>
    </xdr:from>
    <xdr:to>
      <xdr:col>4</xdr:col>
      <xdr:colOff>8229599</xdr:colOff>
      <xdr:row>18</xdr:row>
      <xdr:rowOff>4459511</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0365920" y="292439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20</xdr:row>
      <xdr:rowOff>21215</xdr:rowOff>
    </xdr:from>
    <xdr:to>
      <xdr:col>4</xdr:col>
      <xdr:colOff>8229599</xdr:colOff>
      <xdr:row>20</xdr:row>
      <xdr:rowOff>4459511</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0365920" y="339683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20481</xdr:rowOff>
    </xdr:from>
    <xdr:to>
      <xdr:col>7</xdr:col>
      <xdr:colOff>8229599</xdr:colOff>
      <xdr:row>8</xdr:row>
      <xdr:rowOff>4460244</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19888199" y="58116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20481</xdr:rowOff>
    </xdr:from>
    <xdr:to>
      <xdr:col>7</xdr:col>
      <xdr:colOff>8229599</xdr:colOff>
      <xdr:row>10</xdr:row>
      <xdr:rowOff>4460244</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19888199" y="104979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20481</xdr:rowOff>
    </xdr:from>
    <xdr:to>
      <xdr:col>7</xdr:col>
      <xdr:colOff>8229599</xdr:colOff>
      <xdr:row>12</xdr:row>
      <xdr:rowOff>4460244</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19888199" y="151842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20481</xdr:rowOff>
    </xdr:from>
    <xdr:to>
      <xdr:col>7</xdr:col>
      <xdr:colOff>8229599</xdr:colOff>
      <xdr:row>14</xdr:row>
      <xdr:rowOff>4460244</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19888199" y="19870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20481</xdr:rowOff>
    </xdr:from>
    <xdr:to>
      <xdr:col>7</xdr:col>
      <xdr:colOff>8229599</xdr:colOff>
      <xdr:row>16</xdr:row>
      <xdr:rowOff>4460244</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19888199" y="245568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20481</xdr:rowOff>
    </xdr:from>
    <xdr:to>
      <xdr:col>7</xdr:col>
      <xdr:colOff>8229599</xdr:colOff>
      <xdr:row>18</xdr:row>
      <xdr:rowOff>4460244</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19888199" y="29243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20481</xdr:rowOff>
    </xdr:from>
    <xdr:to>
      <xdr:col>7</xdr:col>
      <xdr:colOff>8229599</xdr:colOff>
      <xdr:row>20</xdr:row>
      <xdr:rowOff>4460244</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19888199" y="33967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229322</xdr:colOff>
      <xdr:row>33</xdr:row>
      <xdr:rowOff>37753</xdr:rowOff>
    </xdr:from>
    <xdr:to>
      <xdr:col>16</xdr:col>
      <xdr:colOff>381667</xdr:colOff>
      <xdr:row>61</xdr:row>
      <xdr:rowOff>144929</xdr:rowOff>
    </xdr:to>
    <xdr:graphicFrame macro="">
      <xdr:nvGraphicFramePr>
        <xdr:cNvPr id="2" name="Chart 1029">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129540</xdr:rowOff>
        </xdr:from>
        <xdr:to>
          <xdr:col>1</xdr:col>
          <xdr:colOff>106680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1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18</xdr:col>
      <xdr:colOff>18143</xdr:colOff>
      <xdr:row>33</xdr:row>
      <xdr:rowOff>18142</xdr:rowOff>
    </xdr:from>
    <xdr:to>
      <xdr:col>26</xdr:col>
      <xdr:colOff>808663</xdr:colOff>
      <xdr:row>61</xdr:row>
      <xdr:rowOff>128493</xdr:rowOff>
    </xdr:to>
    <xdr:graphicFrame macro="">
      <xdr:nvGraphicFramePr>
        <xdr:cNvPr id="4" name="Chart 1029">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182880</xdr:colOff>
          <xdr:row>111</xdr:row>
          <xdr:rowOff>144780</xdr:rowOff>
        </xdr:from>
        <xdr:to>
          <xdr:col>36</xdr:col>
          <xdr:colOff>15240</xdr:colOff>
          <xdr:row>125</xdr:row>
          <xdr:rowOff>144780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3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72">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77.7%</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72">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77.7%</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171450</xdr:colOff>
      <xdr:row>41</xdr:row>
      <xdr:rowOff>28575</xdr:rowOff>
    </xdr:from>
    <xdr:to>
      <xdr:col>46</xdr:col>
      <xdr:colOff>304800</xdr:colOff>
      <xdr:row>72</xdr:row>
      <xdr:rowOff>30307</xdr:rowOff>
    </xdr:to>
    <xdr:graphicFrame macro="">
      <xdr:nvGraphicFramePr>
        <xdr:cNvPr id="6" name="Chart 253">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152400</xdr:colOff>
      <xdr:row>9</xdr:row>
      <xdr:rowOff>0</xdr:rowOff>
    </xdr:from>
    <xdr:to>
      <xdr:col>105</xdr:col>
      <xdr:colOff>38100</xdr:colOff>
      <xdr:row>40</xdr:row>
      <xdr:rowOff>1732</xdr:rowOff>
    </xdr:to>
    <xdr:graphicFrame macro="">
      <xdr:nvGraphicFramePr>
        <xdr:cNvPr id="10" name="Chart 253">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90</xdr:col>
      <xdr:colOff>142875</xdr:colOff>
      <xdr:row>40</xdr:row>
      <xdr:rowOff>123825</xdr:rowOff>
    </xdr:from>
    <xdr:to>
      <xdr:col>105</xdr:col>
      <xdr:colOff>19050</xdr:colOff>
      <xdr:row>71</xdr:row>
      <xdr:rowOff>125557</xdr:rowOff>
    </xdr:to>
    <xdr:graphicFrame macro="">
      <xdr:nvGraphicFramePr>
        <xdr:cNvPr id="11" name="Chart 253">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110</xdr:col>
      <xdr:colOff>171450</xdr:colOff>
      <xdr:row>41</xdr:row>
      <xdr:rowOff>28575</xdr:rowOff>
    </xdr:from>
    <xdr:to>
      <xdr:col>128</xdr:col>
      <xdr:colOff>304800</xdr:colOff>
      <xdr:row>72</xdr:row>
      <xdr:rowOff>30307</xdr:rowOff>
    </xdr:to>
    <xdr:graphicFrame macro="">
      <xdr:nvGraphicFramePr>
        <xdr:cNvPr id="12" name="Chart 253">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110</xdr:col>
      <xdr:colOff>228600</xdr:colOff>
      <xdr:row>9</xdr:row>
      <xdr:rowOff>28575</xdr:rowOff>
    </xdr:from>
    <xdr:to>
      <xdr:col>128</xdr:col>
      <xdr:colOff>361950</xdr:colOff>
      <xdr:row>40</xdr:row>
      <xdr:rowOff>30307</xdr:rowOff>
    </xdr:to>
    <xdr:graphicFrame macro="">
      <xdr:nvGraphicFramePr>
        <xdr:cNvPr id="13" name="Chart 253">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90</xdr:col>
      <xdr:colOff>159205</xdr:colOff>
      <xdr:row>72</xdr:row>
      <xdr:rowOff>141513</xdr:rowOff>
    </xdr:from>
    <xdr:to>
      <xdr:col>101</xdr:col>
      <xdr:colOff>371475</xdr:colOff>
      <xdr:row>101</xdr:row>
      <xdr:rowOff>123825</xdr:rowOff>
    </xdr:to>
    <xdr:graphicFrame macro="">
      <xdr:nvGraphicFramePr>
        <xdr:cNvPr id="14" name="Chart 25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104</xdr:col>
      <xdr:colOff>33619</xdr:colOff>
      <xdr:row>72</xdr:row>
      <xdr:rowOff>52297</xdr:rowOff>
    </xdr:from>
    <xdr:to>
      <xdr:col>116</xdr:col>
      <xdr:colOff>328705</xdr:colOff>
      <xdr:row>101</xdr:row>
      <xdr:rowOff>26147</xdr:rowOff>
    </xdr:to>
    <xdr:graphicFrame macro="">
      <xdr:nvGraphicFramePr>
        <xdr:cNvPr id="15" name="Chart 253">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329046</xdr:colOff>
      <xdr:row>72</xdr:row>
      <xdr:rowOff>84117</xdr:rowOff>
    </xdr:from>
    <xdr:to>
      <xdr:col>27</xdr:col>
      <xdr:colOff>673307</xdr:colOff>
      <xdr:row>103</xdr:row>
      <xdr:rowOff>85849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92</xdr:col>
      <xdr:colOff>342900</xdr:colOff>
      <xdr:row>9</xdr:row>
      <xdr:rowOff>19050</xdr:rowOff>
    </xdr:from>
    <xdr:to>
      <xdr:col>109</xdr:col>
      <xdr:colOff>47625</xdr:colOff>
      <xdr:row>40</xdr:row>
      <xdr:rowOff>20782</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92</xdr:col>
      <xdr:colOff>352425</xdr:colOff>
      <xdr:row>41</xdr:row>
      <xdr:rowOff>0</xdr:rowOff>
    </xdr:from>
    <xdr:to>
      <xdr:col>109</xdr:col>
      <xdr:colOff>57150</xdr:colOff>
      <xdr:row>72</xdr:row>
      <xdr:rowOff>1732</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109</xdr:col>
      <xdr:colOff>194582</xdr:colOff>
      <xdr:row>41</xdr:row>
      <xdr:rowOff>21771</xdr:rowOff>
    </xdr:from>
    <xdr:to>
      <xdr:col>129</xdr:col>
      <xdr:colOff>123825</xdr:colOff>
      <xdr:row>72</xdr:row>
      <xdr:rowOff>23503</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109</xdr:col>
      <xdr:colOff>228600</xdr:colOff>
      <xdr:row>9</xdr:row>
      <xdr:rowOff>28575</xdr:rowOff>
    </xdr:from>
    <xdr:to>
      <xdr:col>129</xdr:col>
      <xdr:colOff>19050</xdr:colOff>
      <xdr:row>40</xdr:row>
      <xdr:rowOff>30307</xdr:rowOff>
    </xdr:to>
    <xdr:graphicFrame macro="">
      <xdr:nvGraphicFramePr>
        <xdr:cNvPr id="10" name="Chart 25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92</xdr:col>
      <xdr:colOff>329046</xdr:colOff>
      <xdr:row>72</xdr:row>
      <xdr:rowOff>138546</xdr:rowOff>
    </xdr:from>
    <xdr:to>
      <xdr:col>109</xdr:col>
      <xdr:colOff>33771</xdr:colOff>
      <xdr:row>103</xdr:row>
      <xdr:rowOff>140278</xdr:rowOff>
    </xdr:to>
    <xdr:graphicFrame macro="">
      <xdr:nvGraphicFramePr>
        <xdr:cNvPr id="11" name="Chart 253">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15240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7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15240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7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15240</xdr:rowOff>
        </xdr:from>
        <xdr:to>
          <xdr:col>6</xdr:col>
          <xdr:colOff>876300</xdr:colOff>
          <xdr:row>40</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7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15240</xdr:rowOff>
        </xdr:from>
        <xdr:to>
          <xdr:col>6</xdr:col>
          <xdr:colOff>876300</xdr:colOff>
          <xdr:row>47</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7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15240</xdr:rowOff>
        </xdr:from>
        <xdr:to>
          <xdr:col>6</xdr:col>
          <xdr:colOff>876300</xdr:colOff>
          <xdr:row>42</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7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15240</xdr:rowOff>
        </xdr:from>
        <xdr:to>
          <xdr:col>6</xdr:col>
          <xdr:colOff>876300</xdr:colOff>
          <xdr:row>41</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7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15240</xdr:rowOff>
        </xdr:from>
        <xdr:to>
          <xdr:col>6</xdr:col>
          <xdr:colOff>876300</xdr:colOff>
          <xdr:row>46</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7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15240</xdr:rowOff>
        </xdr:from>
        <xdr:to>
          <xdr:col>6</xdr:col>
          <xdr:colOff>876300</xdr:colOff>
          <xdr:row>48</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7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15240</xdr:rowOff>
        </xdr:from>
        <xdr:to>
          <xdr:col>6</xdr:col>
          <xdr:colOff>876300</xdr:colOff>
          <xdr:row>49</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7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15240</xdr:rowOff>
        </xdr:from>
        <xdr:to>
          <xdr:col>6</xdr:col>
          <xdr:colOff>876300</xdr:colOff>
          <xdr:row>50</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7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15240</xdr:rowOff>
        </xdr:from>
        <xdr:to>
          <xdr:col>6</xdr:col>
          <xdr:colOff>876300</xdr:colOff>
          <xdr:row>39</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7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15240</xdr:rowOff>
        </xdr:from>
        <xdr:to>
          <xdr:col>6</xdr:col>
          <xdr:colOff>876300</xdr:colOff>
          <xdr:row>54</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7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700-00004D000000}"/>
                </a:ext>
              </a:extLst>
            </xdr:cNvPr>
            <xdr:cNvPicPr>
              <a:picLocks noChangeAspect="1" noChangeArrowheads="1"/>
              <a:extLst>
                <a:ext uri="{84589F7E-364E-4C9E-8A38-B11213B215E9}">
                  <a14:cameraTool cellRange="PICTURE1" spid="_x0000_s764707"/>
                </a:ext>
              </a:extLst>
            </xdr:cNvPicPr>
          </xdr:nvPicPr>
          <xdr:blipFill>
            <a:blip xmlns:r="http://schemas.openxmlformats.org/officeDocument/2006/relationships" r:embed="rId1"/>
            <a:srcRect/>
            <a:stretch>
              <a:fillRect/>
            </a:stretch>
          </xdr:blipFill>
          <xdr:spPr bwMode="auto">
            <a:xfrm>
              <a:off x="370999" y="95250"/>
              <a:ext cx="7638131" cy="415300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5</xdr:col>
      <xdr:colOff>368904</xdr:colOff>
      <xdr:row>7</xdr:row>
      <xdr:rowOff>122225</xdr:rowOff>
    </xdr:from>
    <xdr:to>
      <xdr:col>5</xdr:col>
      <xdr:colOff>915363</xdr:colOff>
      <xdr:row>8</xdr:row>
      <xdr:rowOff>143465</xdr:rowOff>
    </xdr:to>
    <xdr:sp macro="" textlink="'Variable Mgmt'!B229">
      <xdr:nvSpPr>
        <xdr:cNvPr id="79" name="Text Box 267">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5395173" y="1250571"/>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700" b="0" i="0" u="none" strike="noStrike" baseline="0">
              <a:solidFill>
                <a:srgbClr val="000000"/>
              </a:solidFill>
              <a:latin typeface="Arial" pitchFamily="34" charset="0"/>
              <a:cs typeface="Arial" pitchFamily="34" charset="0"/>
            </a:rPr>
            <a:pPr algn="l" rtl="0">
              <a:defRPr sz="1000"/>
            </a:pPr>
            <a:t>220µF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593597</xdr:colOff>
      <xdr:row>7</xdr:row>
      <xdr:rowOff>47526</xdr:rowOff>
    </xdr:from>
    <xdr:to>
      <xdr:col>1</xdr:col>
      <xdr:colOff>433231</xdr:colOff>
      <xdr:row>8</xdr:row>
      <xdr:rowOff>83672</xdr:rowOff>
    </xdr:to>
    <xdr:sp macro="" textlink="'Variable Mgmt'!B234">
      <xdr:nvSpPr>
        <xdr:cNvPr id="81" name="Text Box 27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593597" y="1175872"/>
          <a:ext cx="508826" cy="19733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700" b="0" i="0" u="none" strike="noStrike" baseline="0">
              <a:solidFill>
                <a:srgbClr val="000000"/>
              </a:solidFill>
              <a:latin typeface="Arial" pitchFamily="34" charset="0"/>
              <a:cs typeface="Arial" pitchFamily="34" charset="0"/>
            </a:rPr>
            <a:pPr algn="ctr" rtl="0">
              <a:defRPr sz="1000"/>
            </a:pPr>
            <a:t>100µF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61">
      <xdr:nvSpPr>
        <xdr:cNvPr id="82" name="Text Box 281">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457270</xdr:colOff>
      <xdr:row>2</xdr:row>
      <xdr:rowOff>59911</xdr:rowOff>
    </xdr:from>
    <xdr:to>
      <xdr:col>1</xdr:col>
      <xdr:colOff>331622</xdr:colOff>
      <xdr:row>5</xdr:row>
      <xdr:rowOff>32971</xdr:rowOff>
    </xdr:to>
    <xdr:sp macro="" textlink="'Variable Mgmt'!B221">
      <xdr:nvSpPr>
        <xdr:cNvPr id="85" name="Text Box 283">
          <a:extLst>
            <a:ext uri="{FF2B5EF4-FFF2-40B4-BE49-F238E27FC236}">
              <a16:creationId xmlns:a16="http://schemas.microsoft.com/office/drawing/2014/main" id="{00000000-0008-0000-0700-000055000000}"/>
            </a:ext>
          </a:extLst>
        </xdr:cNvPr>
        <xdr:cNvSpPr txBox="1">
          <a:spLocks noChangeArrowheads="1" noTextEdit="1"/>
        </xdr:cNvSpPr>
      </xdr:nvSpPr>
      <xdr:spPr bwMode="auto">
        <a:xfrm>
          <a:off x="457270" y="382296"/>
          <a:ext cx="543544" cy="45663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000" b="1" i="0" u="none" strike="noStrike">
              <a:solidFill>
                <a:srgbClr val="FF0000"/>
              </a:solidFill>
              <a:latin typeface="Arial" pitchFamily="34" charset="0"/>
              <a:cs typeface="Arial" pitchFamily="34" charset="0"/>
            </a:rPr>
            <a:pPr algn="r" rtl="0">
              <a:defRPr sz="1000"/>
            </a:pPr>
            <a:t>34V</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132244</xdr:colOff>
      <xdr:row>3</xdr:row>
      <xdr:rowOff>3197</xdr:rowOff>
    </xdr:from>
    <xdr:to>
      <xdr:col>7</xdr:col>
      <xdr:colOff>798638</xdr:colOff>
      <xdr:row>5</xdr:row>
      <xdr:rowOff>25976</xdr:rowOff>
    </xdr:to>
    <xdr:sp macro="" textlink="'Variable Mgmt'!B224">
      <xdr:nvSpPr>
        <xdr:cNvPr id="87" name="Text Box 285">
          <a:extLst>
            <a:ext uri="{FF2B5EF4-FFF2-40B4-BE49-F238E27FC236}">
              <a16:creationId xmlns:a16="http://schemas.microsoft.com/office/drawing/2014/main" id="{00000000-0008-0000-0700-000057000000}"/>
            </a:ext>
          </a:extLst>
        </xdr:cNvPr>
        <xdr:cNvSpPr txBox="1">
          <a:spLocks noChangeArrowheads="1" noTextEdit="1"/>
        </xdr:cNvSpPr>
      </xdr:nvSpPr>
      <xdr:spPr bwMode="auto">
        <a:xfrm>
          <a:off x="7234475" y="486774"/>
          <a:ext cx="666394" cy="345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000" b="1" i="0" u="none" strike="noStrike" baseline="0">
              <a:solidFill>
                <a:srgbClr val="FF0000"/>
              </a:solidFill>
              <a:latin typeface="Arial" pitchFamily="34" charset="0"/>
              <a:cs typeface="Arial" pitchFamily="34" charset="0"/>
            </a:rPr>
            <a:pPr algn="l" rtl="0">
              <a:defRPr sz="1000"/>
            </a:pPr>
            <a:t>30V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1117426</xdr:colOff>
      <xdr:row>4</xdr:row>
      <xdr:rowOff>112611</xdr:rowOff>
    </xdr:from>
    <xdr:to>
      <xdr:col>7</xdr:col>
      <xdr:colOff>541529</xdr:colOff>
      <xdr:row>6</xdr:row>
      <xdr:rowOff>93051</xdr:rowOff>
    </xdr:to>
    <xdr:sp macro="" textlink="'Variable Mgmt'!B279">
      <xdr:nvSpPr>
        <xdr:cNvPr id="88" name="Text Box 286">
          <a:extLst>
            <a:ext uri="{FF2B5EF4-FFF2-40B4-BE49-F238E27FC236}">
              <a16:creationId xmlns:a16="http://schemas.microsoft.com/office/drawing/2014/main" id="{00000000-0008-0000-0700-000058000000}"/>
            </a:ext>
          </a:extLst>
        </xdr:cNvPr>
        <xdr:cNvSpPr txBox="1">
          <a:spLocks noChangeArrowheads="1" noTextEdit="1"/>
        </xdr:cNvSpPr>
      </xdr:nvSpPr>
      <xdr:spPr bwMode="auto">
        <a:xfrm>
          <a:off x="7091311" y="757380"/>
          <a:ext cx="552449"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4A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53">
      <xdr:nvSpPr>
        <xdr:cNvPr id="92" name="Text Box 268">
          <a:extLst>
            <a:ext uri="{FF2B5EF4-FFF2-40B4-BE49-F238E27FC236}">
              <a16:creationId xmlns:a16="http://schemas.microsoft.com/office/drawing/2014/main" id="{00000000-0008-0000-0700-00005C000000}"/>
            </a:ext>
          </a:extLst>
        </xdr:cNvPr>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73.2kΩ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54">
      <xdr:nvSpPr>
        <xdr:cNvPr id="93" name="Text Box 268">
          <a:extLst>
            <a:ext uri="{FF2B5EF4-FFF2-40B4-BE49-F238E27FC236}">
              <a16:creationId xmlns:a16="http://schemas.microsoft.com/office/drawing/2014/main" id="{00000000-0008-0000-0700-00005D000000}"/>
            </a:ext>
          </a:extLst>
        </xdr:cNvPr>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6.34kΩ</a:t>
          </a:fld>
          <a:endParaRPr lang="el-GR" sz="1000" b="0" i="0" strike="noStrike">
            <a:solidFill>
              <a:srgbClr val="000000"/>
            </a:solidFill>
            <a:latin typeface="Arial" pitchFamily="34" charset="0"/>
            <a:cs typeface="Arial" pitchFamily="34" charset="0"/>
          </a:endParaRPr>
        </a:p>
      </xdr:txBody>
    </xdr:sp>
    <xdr:clientData/>
  </xdr:twoCellAnchor>
  <xdr:twoCellAnchor>
    <xdr:from>
      <xdr:col>3</xdr:col>
      <xdr:colOff>874674</xdr:colOff>
      <xdr:row>11</xdr:row>
      <xdr:rowOff>122026</xdr:rowOff>
    </xdr:from>
    <xdr:to>
      <xdr:col>4</xdr:col>
      <xdr:colOff>38961</xdr:colOff>
      <xdr:row>13</xdr:row>
      <xdr:rowOff>43406</xdr:rowOff>
    </xdr:to>
    <xdr:sp macro="" textlink="'Variable Mgmt'!C243">
      <xdr:nvSpPr>
        <xdr:cNvPr id="94" name="Text Box 268">
          <a:extLst>
            <a:ext uri="{FF2B5EF4-FFF2-40B4-BE49-F238E27FC236}">
              <a16:creationId xmlns:a16="http://schemas.microsoft.com/office/drawing/2014/main" id="{00000000-0008-0000-0700-00005E000000}"/>
            </a:ext>
          </a:extLst>
        </xdr:cNvPr>
        <xdr:cNvSpPr txBox="1">
          <a:spLocks noChangeArrowheads="1" noTextEdit="1"/>
        </xdr:cNvSpPr>
      </xdr:nvSpPr>
      <xdr:spPr bwMode="auto">
        <a:xfrm>
          <a:off x="3282789" y="1895141"/>
          <a:ext cx="575941" cy="24376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700" b="0" i="0" u="none" strike="noStrike">
              <a:solidFill>
                <a:srgbClr val="000000"/>
              </a:solidFill>
              <a:latin typeface="Arial"/>
              <a:cs typeface="Arial"/>
            </a:rPr>
            <a:pPr algn="l" rtl="0">
              <a:defRPr sz="1000"/>
            </a:pPr>
            <a:t>300kΩ</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35816</xdr:colOff>
      <xdr:row>13</xdr:row>
      <xdr:rowOff>84072</xdr:rowOff>
    </xdr:from>
    <xdr:to>
      <xdr:col>2</xdr:col>
      <xdr:colOff>550300</xdr:colOff>
      <xdr:row>14</xdr:row>
      <xdr:rowOff>123568</xdr:rowOff>
    </xdr:to>
    <xdr:sp macro="" textlink="'Variable Mgmt'!C257">
      <xdr:nvSpPr>
        <xdr:cNvPr id="95" name="Text Box 265">
          <a:extLst>
            <a:ext uri="{FF2B5EF4-FFF2-40B4-BE49-F238E27FC236}">
              <a16:creationId xmlns:a16="http://schemas.microsoft.com/office/drawing/2014/main" id="{00000000-0008-0000-0700-00005F000000}"/>
            </a:ext>
          </a:extLst>
        </xdr:cNvPr>
        <xdr:cNvSpPr txBox="1">
          <a:spLocks noChangeArrowheads="1" noTextEdit="1"/>
        </xdr:cNvSpPr>
      </xdr:nvSpPr>
      <xdr:spPr bwMode="auto">
        <a:xfrm>
          <a:off x="1506085" y="2179572"/>
          <a:ext cx="514484" cy="200688"/>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700" b="0" i="0" u="none" strike="noStrike" baseline="0">
              <a:solidFill>
                <a:srgbClr val="000000"/>
              </a:solidFill>
              <a:latin typeface="Arial"/>
              <a:cs typeface="Arial"/>
            </a:rPr>
            <a:pPr algn="l" rtl="0">
              <a:defRPr sz="1000"/>
            </a:pPr>
            <a:t>10kΩ</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376115</xdr:colOff>
      <xdr:row>5</xdr:row>
      <xdr:rowOff>94589</xdr:rowOff>
    </xdr:from>
    <xdr:to>
      <xdr:col>1</xdr:col>
      <xdr:colOff>490993</xdr:colOff>
      <xdr:row>7</xdr:row>
      <xdr:rowOff>60080</xdr:rowOff>
    </xdr:to>
    <xdr:sp macro="" textlink="'Variable Mgmt'!B222">
      <xdr:nvSpPr>
        <xdr:cNvPr id="96" name="Text Box 283">
          <a:extLst>
            <a:ext uri="{FF2B5EF4-FFF2-40B4-BE49-F238E27FC236}">
              <a16:creationId xmlns:a16="http://schemas.microsoft.com/office/drawing/2014/main" id="{00000000-0008-0000-0700-000060000000}"/>
            </a:ext>
          </a:extLst>
        </xdr:cNvPr>
        <xdr:cNvSpPr txBox="1">
          <a:spLocks noChangeArrowheads="1" noTextEdit="1"/>
        </xdr:cNvSpPr>
      </xdr:nvSpPr>
      <xdr:spPr bwMode="auto">
        <a:xfrm>
          <a:off x="376115" y="900551"/>
          <a:ext cx="784070" cy="287875"/>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800" b="1" i="0" u="none" strike="noStrike">
              <a:solidFill>
                <a:srgbClr val="000000"/>
              </a:solidFill>
              <a:latin typeface="Arial"/>
              <a:cs typeface="Arial"/>
            </a:rPr>
            <a:pPr algn="ctr" rtl="0">
              <a:defRPr sz="1000"/>
            </a:pPr>
            <a:t>20V...48V</a:t>
          </a:fld>
          <a:endParaRPr lang="en-US" sz="8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49">
      <xdr:nvSpPr>
        <xdr:cNvPr id="97" name="Text Box 225">
          <a:extLst>
            <a:ext uri="{FF2B5EF4-FFF2-40B4-BE49-F238E27FC236}">
              <a16:creationId xmlns:a16="http://schemas.microsoft.com/office/drawing/2014/main" id="{00000000-0008-0000-0700-000061000000}"/>
            </a:ext>
          </a:extLst>
        </xdr:cNvPr>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49">
      <xdr:nvSpPr>
        <xdr:cNvPr id="98" name="Text Box 268">
          <a:extLst>
            <a:ext uri="{FF2B5EF4-FFF2-40B4-BE49-F238E27FC236}">
              <a16:creationId xmlns:a16="http://schemas.microsoft.com/office/drawing/2014/main" id="{00000000-0008-0000-0700-000062000000}"/>
            </a:ext>
          </a:extLst>
        </xdr:cNvPr>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1690kΩ</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52">
      <xdr:nvSpPr>
        <xdr:cNvPr id="99" name="Text Box 264">
          <a:extLst>
            <a:ext uri="{FF2B5EF4-FFF2-40B4-BE49-F238E27FC236}">
              <a16:creationId xmlns:a16="http://schemas.microsoft.com/office/drawing/2014/main" id="{00000000-0008-0000-0700-000063000000}"/>
            </a:ext>
          </a:extLst>
        </xdr:cNvPr>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52">
      <xdr:nvSpPr>
        <xdr:cNvPr id="100" name="Text Box 264">
          <a:extLst>
            <a:ext uri="{FF2B5EF4-FFF2-40B4-BE49-F238E27FC236}">
              <a16:creationId xmlns:a16="http://schemas.microsoft.com/office/drawing/2014/main" id="{00000000-0008-0000-0700-000064000000}"/>
            </a:ext>
          </a:extLst>
        </xdr:cNvPr>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62">
      <xdr:nvSpPr>
        <xdr:cNvPr id="101" name="Text Box 281">
          <a:extLst>
            <a:ext uri="{FF2B5EF4-FFF2-40B4-BE49-F238E27FC236}">
              <a16:creationId xmlns:a16="http://schemas.microsoft.com/office/drawing/2014/main" id="{00000000-0008-0000-0700-000065000000}"/>
            </a:ext>
          </a:extLst>
        </xdr:cNvPr>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25">
      <xdr:nvSpPr>
        <xdr:cNvPr id="128" name="Text Box 285">
          <a:extLst>
            <a:ext uri="{FF2B5EF4-FFF2-40B4-BE49-F238E27FC236}">
              <a16:creationId xmlns:a16="http://schemas.microsoft.com/office/drawing/2014/main" id="{00000000-0008-0000-0700-000080000000}"/>
            </a:ext>
          </a:extLst>
        </xdr:cNvPr>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000" b="1" i="0" u="none" strike="noStrike" baseline="0">
              <a:solidFill>
                <a:srgbClr val="FF0000"/>
              </a:solidFill>
              <a:latin typeface="Arial"/>
              <a:cs typeface="Arial"/>
            </a:rPr>
            <a:pPr algn="l" rtl="0">
              <a:defRPr sz="1000"/>
            </a:pPr>
            <a:t>6V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80">
      <xdr:nvSpPr>
        <xdr:cNvPr id="129" name="Text Box 286">
          <a:extLst>
            <a:ext uri="{FF2B5EF4-FFF2-40B4-BE49-F238E27FC236}">
              <a16:creationId xmlns:a16="http://schemas.microsoft.com/office/drawing/2014/main" id="{00000000-0008-0000-0700-000081000000}"/>
            </a:ext>
          </a:extLst>
        </xdr:cNvPr>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0.85A</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141769</xdr:colOff>
      <xdr:row>13</xdr:row>
      <xdr:rowOff>19072</xdr:rowOff>
    </xdr:from>
    <xdr:to>
      <xdr:col>7</xdr:col>
      <xdr:colOff>808163</xdr:colOff>
      <xdr:row>15</xdr:row>
      <xdr:rowOff>41118</xdr:rowOff>
    </xdr:to>
    <xdr:sp macro="" textlink="'Variable Mgmt'!B226">
      <xdr:nvSpPr>
        <xdr:cNvPr id="130" name="Text Box 285">
          <a:extLst>
            <a:ext uri="{FF2B5EF4-FFF2-40B4-BE49-F238E27FC236}">
              <a16:creationId xmlns:a16="http://schemas.microsoft.com/office/drawing/2014/main" id="{00000000-0008-0000-0700-000082000000}"/>
            </a:ext>
          </a:extLst>
        </xdr:cNvPr>
        <xdr:cNvSpPr txBox="1">
          <a:spLocks noChangeArrowheads="1" noTextEdit="1"/>
        </xdr:cNvSpPr>
      </xdr:nvSpPr>
      <xdr:spPr bwMode="auto">
        <a:xfrm>
          <a:off x="7244000" y="2114572"/>
          <a:ext cx="666394" cy="34443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1097443</xdr:colOff>
      <xdr:row>14</xdr:row>
      <xdr:rowOff>118229</xdr:rowOff>
    </xdr:from>
    <xdr:to>
      <xdr:col>7</xdr:col>
      <xdr:colOff>723171</xdr:colOff>
      <xdr:row>16</xdr:row>
      <xdr:rowOff>98669</xdr:rowOff>
    </xdr:to>
    <xdr:sp macro="" textlink="'Variable Mgmt'!B281">
      <xdr:nvSpPr>
        <xdr:cNvPr id="131" name="Text Box 286">
          <a:extLst>
            <a:ext uri="{FF2B5EF4-FFF2-40B4-BE49-F238E27FC236}">
              <a16:creationId xmlns:a16="http://schemas.microsoft.com/office/drawing/2014/main" id="{00000000-0008-0000-0700-000083000000}"/>
            </a:ext>
          </a:extLst>
        </xdr:cNvPr>
        <xdr:cNvSpPr txBox="1">
          <a:spLocks noChangeArrowheads="1" noTextEdit="1"/>
        </xdr:cNvSpPr>
      </xdr:nvSpPr>
      <xdr:spPr bwMode="auto">
        <a:xfrm>
          <a:off x="7071328" y="2374921"/>
          <a:ext cx="754074"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5</xdr:col>
      <xdr:colOff>417750</xdr:colOff>
      <xdr:row>12</xdr:row>
      <xdr:rowOff>106350</xdr:rowOff>
    </xdr:from>
    <xdr:to>
      <xdr:col>6</xdr:col>
      <xdr:colOff>16593</xdr:colOff>
      <xdr:row>13</xdr:row>
      <xdr:rowOff>127590</xdr:rowOff>
    </xdr:to>
    <xdr:sp macro="" textlink="'Variable Mgmt'!D229">
      <xdr:nvSpPr>
        <xdr:cNvPr id="132" name="Text Box 267">
          <a:extLst>
            <a:ext uri="{FF2B5EF4-FFF2-40B4-BE49-F238E27FC236}">
              <a16:creationId xmlns:a16="http://schemas.microsoft.com/office/drawing/2014/main" id="{00000000-0008-0000-0700-000084000000}"/>
            </a:ext>
          </a:extLst>
        </xdr:cNvPr>
        <xdr:cNvSpPr txBox="1">
          <a:spLocks noChangeArrowheads="1" noTextEdit="1"/>
        </xdr:cNvSpPr>
      </xdr:nvSpPr>
      <xdr:spPr bwMode="auto">
        <a:xfrm>
          <a:off x="5444019" y="2040658"/>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5</xdr:col>
      <xdr:colOff>398212</xdr:colOff>
      <xdr:row>15</xdr:row>
      <xdr:rowOff>113188</xdr:rowOff>
    </xdr:from>
    <xdr:to>
      <xdr:col>5</xdr:col>
      <xdr:colOff>944671</xdr:colOff>
      <xdr:row>16</xdr:row>
      <xdr:rowOff>134428</xdr:rowOff>
    </xdr:to>
    <xdr:sp macro="" textlink="'Variable Mgmt'!C229">
      <xdr:nvSpPr>
        <xdr:cNvPr id="133" name="Text Box 267">
          <a:extLst>
            <a:ext uri="{FF2B5EF4-FFF2-40B4-BE49-F238E27FC236}">
              <a16:creationId xmlns:a16="http://schemas.microsoft.com/office/drawing/2014/main" id="{00000000-0008-0000-0700-000085000000}"/>
            </a:ext>
          </a:extLst>
        </xdr:cNvPr>
        <xdr:cNvSpPr txBox="1">
          <a:spLocks noChangeArrowheads="1" noTextEdit="1"/>
        </xdr:cNvSpPr>
      </xdr:nvSpPr>
      <xdr:spPr bwMode="auto">
        <a:xfrm>
          <a:off x="5424481" y="2531073"/>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700" b="0" i="0" u="none" strike="noStrike" baseline="0">
              <a:solidFill>
                <a:srgbClr val="000000"/>
              </a:solidFill>
              <a:latin typeface="Arial"/>
              <a:cs typeface="Arial"/>
            </a:rPr>
            <a:pPr algn="l" rtl="0">
              <a:defRPr sz="1000"/>
            </a:pPr>
            <a:t>55µF</a:t>
          </a:fld>
          <a:endParaRPr lang="en-US" sz="7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899160</xdr:colOff>
          <xdr:row>32</xdr:row>
          <xdr:rowOff>15240</xdr:rowOff>
        </xdr:from>
        <xdr:to>
          <xdr:col>6</xdr:col>
          <xdr:colOff>868680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7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895527</xdr:colOff>
      <xdr:row>24</xdr:row>
      <xdr:rowOff>49871</xdr:rowOff>
    </xdr:from>
    <xdr:to>
      <xdr:col>3</xdr:col>
      <xdr:colOff>280521</xdr:colOff>
      <xdr:row>25</xdr:row>
      <xdr:rowOff>121252</xdr:rowOff>
    </xdr:to>
    <xdr:sp macro="" textlink="">
      <xdr:nvSpPr>
        <xdr:cNvPr id="47" name="Text Box 244">
          <a:extLst>
            <a:ext uri="{FF2B5EF4-FFF2-40B4-BE49-F238E27FC236}">
              <a16:creationId xmlns:a16="http://schemas.microsoft.com/office/drawing/2014/main" id="{00000000-0008-0000-0700-00002F000000}"/>
            </a:ext>
          </a:extLst>
        </xdr:cNvPr>
        <xdr:cNvSpPr txBox="1">
          <a:spLocks noChangeArrowheads="1"/>
        </xdr:cNvSpPr>
      </xdr:nvSpPr>
      <xdr:spPr bwMode="auto">
        <a:xfrm>
          <a:off x="2365796" y="3918486"/>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42</xdr:row>
          <xdr:rowOff>15240</xdr:rowOff>
        </xdr:from>
        <xdr:to>
          <xdr:col>6</xdr:col>
          <xdr:colOff>883920</xdr:colOff>
          <xdr:row>43</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7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1328384</xdr:colOff>
      <xdr:row>2</xdr:row>
      <xdr:rowOff>124558</xdr:rowOff>
    </xdr:from>
    <xdr:to>
      <xdr:col>4</xdr:col>
      <xdr:colOff>946637</xdr:colOff>
      <xdr:row>4</xdr:row>
      <xdr:rowOff>55843</xdr:rowOff>
    </xdr:to>
    <xdr:sp macro="" textlink="'Variable Mgmt'!B217">
      <xdr:nvSpPr>
        <xdr:cNvPr id="49" name="Text Box 265">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3736499" y="446943"/>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700" b="0" i="0" u="none" strike="noStrike" baseline="0">
              <a:solidFill>
                <a:srgbClr val="000000"/>
              </a:solidFill>
              <a:latin typeface="Arial"/>
              <a:cs typeface="Arial"/>
            </a:rPr>
            <a:pPr algn="ctr" rtl="0">
              <a:defRPr sz="1000"/>
            </a:pPr>
            <a:t>1 : 1 : 0.21</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212599</xdr:colOff>
      <xdr:row>18</xdr:row>
      <xdr:rowOff>21980</xdr:rowOff>
    </xdr:from>
    <xdr:to>
      <xdr:col>2</xdr:col>
      <xdr:colOff>759488</xdr:colOff>
      <xdr:row>19</xdr:row>
      <xdr:rowOff>90664</xdr:rowOff>
    </xdr:to>
    <xdr:sp macro="" textlink="'Variable Mgmt'!D293">
      <xdr:nvSpPr>
        <xdr:cNvPr id="50" name="Text Box 268">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682868" y="2923442"/>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700" b="0" i="0" u="none" strike="noStrike">
              <a:solidFill>
                <a:srgbClr val="000000"/>
              </a:solidFill>
              <a:latin typeface="Arial"/>
              <a:cs typeface="Arial"/>
            </a:rPr>
            <a:pPr algn="l" rtl="0">
              <a:defRPr sz="1000"/>
            </a:pPr>
            <a:t>40.2kΩ</a:t>
          </a:fld>
          <a:endParaRPr lang="el-GR" sz="700" b="0" i="0" strike="noStrike">
            <a:solidFill>
              <a:srgbClr val="000000"/>
            </a:solidFill>
            <a:latin typeface="Arial" pitchFamily="34" charset="0"/>
            <a:cs typeface="Arial" pitchFamily="34" charset="0"/>
          </a:endParaRPr>
        </a:p>
      </xdr:txBody>
    </xdr:sp>
    <xdr:clientData/>
  </xdr:twoCellAnchor>
  <xdr:twoCellAnchor>
    <xdr:from>
      <xdr:col>1</xdr:col>
      <xdr:colOff>449152</xdr:colOff>
      <xdr:row>21</xdr:row>
      <xdr:rowOff>35238</xdr:rowOff>
    </xdr:from>
    <xdr:to>
      <xdr:col>2</xdr:col>
      <xdr:colOff>194965</xdr:colOff>
      <xdr:row>22</xdr:row>
      <xdr:rowOff>103921</xdr:rowOff>
    </xdr:to>
    <xdr:sp macro="" textlink="'Variable Mgmt'!D294">
      <xdr:nvSpPr>
        <xdr:cNvPr id="51" name="Text Box 268">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118344" y="3420276"/>
          <a:ext cx="546890"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700" b="0" i="0" u="none" strike="noStrike">
              <a:solidFill>
                <a:srgbClr val="000000"/>
              </a:solidFill>
              <a:latin typeface="Arial"/>
              <a:cs typeface="Arial"/>
            </a:rPr>
            <a:pPr algn="l" rtl="0">
              <a:defRPr sz="1000"/>
            </a:pPr>
            <a:t>10nF</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164452</xdr:colOff>
      <xdr:row>21</xdr:row>
      <xdr:rowOff>126649</xdr:rowOff>
    </xdr:from>
    <xdr:to>
      <xdr:col>2</xdr:col>
      <xdr:colOff>711340</xdr:colOff>
      <xdr:row>23</xdr:row>
      <xdr:rowOff>34140</xdr:rowOff>
    </xdr:to>
    <xdr:sp macro="" textlink="'Variable Mgmt'!D295">
      <xdr:nvSpPr>
        <xdr:cNvPr id="52" name="Text Box 268">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634721" y="3511687"/>
          <a:ext cx="546888"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700" b="0" i="0" u="none" strike="noStrike">
              <a:solidFill>
                <a:srgbClr val="000000"/>
              </a:solidFill>
              <a:latin typeface="Arial"/>
              <a:cs typeface="Arial"/>
            </a:rPr>
            <a:pPr algn="l" rtl="0">
              <a:defRPr sz="1000"/>
            </a:pPr>
            <a:t>150pF</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1093922</xdr:colOff>
      <xdr:row>21</xdr:row>
      <xdr:rowOff>148980</xdr:rowOff>
    </xdr:from>
    <xdr:to>
      <xdr:col>4</xdr:col>
      <xdr:colOff>229158</xdr:colOff>
      <xdr:row>22</xdr:row>
      <xdr:rowOff>144814</xdr:rowOff>
    </xdr:to>
    <xdr:sp macro="" textlink="'Variable Mgmt'!D298">
      <xdr:nvSpPr>
        <xdr:cNvPr id="53" name="Text Box 268">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3502037" y="3534018"/>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4</xdr:col>
      <xdr:colOff>426125</xdr:colOff>
      <xdr:row>21</xdr:row>
      <xdr:rowOff>129442</xdr:rowOff>
    </xdr:from>
    <xdr:to>
      <xdr:col>4</xdr:col>
      <xdr:colOff>973014</xdr:colOff>
      <xdr:row>22</xdr:row>
      <xdr:rowOff>125276</xdr:rowOff>
    </xdr:to>
    <xdr:sp macro="" textlink="'Variable Mgmt'!D297">
      <xdr:nvSpPr>
        <xdr:cNvPr id="54" name="Text Box 268">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4245894" y="3514480"/>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700" b="0" i="0" u="none" strike="noStrike">
              <a:solidFill>
                <a:srgbClr val="000000"/>
              </a:solidFill>
              <a:latin typeface="Arial"/>
              <a:cs typeface="Arial"/>
            </a:rPr>
            <a:pPr algn="l" rtl="0">
              <a:defRPr sz="1000"/>
            </a:pPr>
            <a:t>3.3mΩ</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1332569</xdr:colOff>
      <xdr:row>18</xdr:row>
      <xdr:rowOff>12210</xdr:rowOff>
    </xdr:from>
    <xdr:to>
      <xdr:col>4</xdr:col>
      <xdr:colOff>467805</xdr:colOff>
      <xdr:row>19</xdr:row>
      <xdr:rowOff>8045</xdr:rowOff>
    </xdr:to>
    <xdr:sp macro="" textlink="'Variable Mgmt'!D299">
      <xdr:nvSpPr>
        <xdr:cNvPr id="55" name="Text Box 268">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3740684" y="2913672"/>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700" b="0" i="0" u="none" strike="noStrike">
              <a:solidFill>
                <a:srgbClr val="000000"/>
              </a:solidFill>
              <a:latin typeface="Arial"/>
              <a:cs typeface="Arial"/>
            </a:rPr>
            <a:pPr algn="l" rtl="0">
              <a:defRPr sz="1000"/>
            </a:pPr>
            <a:t>100Ω</a:t>
          </a:fld>
          <a:endParaRPr lang="el-GR" sz="7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51</xdr:row>
          <xdr:rowOff>15240</xdr:rowOff>
        </xdr:from>
        <xdr:to>
          <xdr:col>6</xdr:col>
          <xdr:colOff>876300</xdr:colOff>
          <xdr:row>51</xdr:row>
          <xdr:rowOff>213360</xdr:rowOff>
        </xdr:to>
        <xdr:sp macro="" textlink="">
          <xdr:nvSpPr>
            <xdr:cNvPr id="764426" name="Drop Down 2570" hidden="1">
              <a:extLst>
                <a:ext uri="{63B3BB69-23CF-44E3-9099-C40C66FF867C}">
                  <a14:compatExt spid="_x0000_s764426"/>
                </a:ext>
                <a:ext uri="{FF2B5EF4-FFF2-40B4-BE49-F238E27FC236}">
                  <a16:creationId xmlns:a16="http://schemas.microsoft.com/office/drawing/2014/main" id="{00000000-0008-0000-0700-00000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15240</xdr:rowOff>
        </xdr:from>
        <xdr:to>
          <xdr:col>6</xdr:col>
          <xdr:colOff>876300</xdr:colOff>
          <xdr:row>52</xdr:row>
          <xdr:rowOff>213360</xdr:rowOff>
        </xdr:to>
        <xdr:sp macro="" textlink="">
          <xdr:nvSpPr>
            <xdr:cNvPr id="764430" name="Drop Down 2574" hidden="1">
              <a:extLst>
                <a:ext uri="{63B3BB69-23CF-44E3-9099-C40C66FF867C}">
                  <a14:compatExt spid="_x0000_s764430"/>
                </a:ext>
                <a:ext uri="{FF2B5EF4-FFF2-40B4-BE49-F238E27FC236}">
                  <a16:creationId xmlns:a16="http://schemas.microsoft.com/office/drawing/2014/main" id="{00000000-0008-0000-0700-00000E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15240</xdr:rowOff>
        </xdr:from>
        <xdr:to>
          <xdr:col>6</xdr:col>
          <xdr:colOff>883920</xdr:colOff>
          <xdr:row>35</xdr:row>
          <xdr:rowOff>0</xdr:rowOff>
        </xdr:to>
        <xdr:sp macro="" textlink="">
          <xdr:nvSpPr>
            <xdr:cNvPr id="764447" name="Drop Down 2591" hidden="1">
              <a:extLst>
                <a:ext uri="{63B3BB69-23CF-44E3-9099-C40C66FF867C}">
                  <a14:compatExt spid="_x0000_s764447"/>
                </a:ext>
                <a:ext uri="{FF2B5EF4-FFF2-40B4-BE49-F238E27FC236}">
                  <a16:creationId xmlns:a16="http://schemas.microsoft.com/office/drawing/2014/main" id="{00000000-0008-0000-0700-00001F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15240</xdr:rowOff>
        </xdr:from>
        <xdr:to>
          <xdr:col>6</xdr:col>
          <xdr:colOff>876300</xdr:colOff>
          <xdr:row>44</xdr:row>
          <xdr:rowOff>0</xdr:rowOff>
        </xdr:to>
        <xdr:sp macro="" textlink="">
          <xdr:nvSpPr>
            <xdr:cNvPr id="764451" name="Drop Down 2595" hidden="1">
              <a:extLst>
                <a:ext uri="{63B3BB69-23CF-44E3-9099-C40C66FF867C}">
                  <a14:compatExt spid="_x0000_s764451"/>
                </a:ext>
                <a:ext uri="{FF2B5EF4-FFF2-40B4-BE49-F238E27FC236}">
                  <a16:creationId xmlns:a16="http://schemas.microsoft.com/office/drawing/2014/main" id="{00000000-0008-0000-0700-000023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15240</xdr:rowOff>
        </xdr:from>
        <xdr:to>
          <xdr:col>6</xdr:col>
          <xdr:colOff>876300</xdr:colOff>
          <xdr:row>36</xdr:row>
          <xdr:rowOff>0</xdr:rowOff>
        </xdr:to>
        <xdr:sp macro="" textlink="">
          <xdr:nvSpPr>
            <xdr:cNvPr id="764454" name="Drop Down 2598" hidden="1">
              <a:extLst>
                <a:ext uri="{63B3BB69-23CF-44E3-9099-C40C66FF867C}">
                  <a14:compatExt spid="_x0000_s764454"/>
                </a:ext>
                <a:ext uri="{FF2B5EF4-FFF2-40B4-BE49-F238E27FC236}">
                  <a16:creationId xmlns:a16="http://schemas.microsoft.com/office/drawing/2014/main" id="{00000000-0008-0000-0700-000026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15240</xdr:rowOff>
        </xdr:from>
        <xdr:to>
          <xdr:col>6</xdr:col>
          <xdr:colOff>876300</xdr:colOff>
          <xdr:row>37</xdr:row>
          <xdr:rowOff>0</xdr:rowOff>
        </xdr:to>
        <xdr:sp macro="" textlink="">
          <xdr:nvSpPr>
            <xdr:cNvPr id="764455" name="Drop Down 2599" hidden="1">
              <a:extLst>
                <a:ext uri="{63B3BB69-23CF-44E3-9099-C40C66FF867C}">
                  <a14:compatExt spid="_x0000_s764455"/>
                </a:ext>
                <a:ext uri="{FF2B5EF4-FFF2-40B4-BE49-F238E27FC236}">
                  <a16:creationId xmlns:a16="http://schemas.microsoft.com/office/drawing/2014/main" id="{00000000-0008-0000-0700-000027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15240</xdr:rowOff>
        </xdr:from>
        <xdr:to>
          <xdr:col>6</xdr:col>
          <xdr:colOff>876300</xdr:colOff>
          <xdr:row>38</xdr:row>
          <xdr:rowOff>0</xdr:rowOff>
        </xdr:to>
        <xdr:sp macro="" textlink="">
          <xdr:nvSpPr>
            <xdr:cNvPr id="764456" name="Drop Down 2600" hidden="1">
              <a:extLst>
                <a:ext uri="{63B3BB69-23CF-44E3-9099-C40C66FF867C}">
                  <a14:compatExt spid="_x0000_s764456"/>
                </a:ext>
                <a:ext uri="{FF2B5EF4-FFF2-40B4-BE49-F238E27FC236}">
                  <a16:creationId xmlns:a16="http://schemas.microsoft.com/office/drawing/2014/main" id="{00000000-0008-0000-0700-000028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15240</xdr:rowOff>
        </xdr:from>
        <xdr:to>
          <xdr:col>6</xdr:col>
          <xdr:colOff>876300</xdr:colOff>
          <xdr:row>51</xdr:row>
          <xdr:rowOff>0</xdr:rowOff>
        </xdr:to>
        <xdr:sp macro="" textlink="">
          <xdr:nvSpPr>
            <xdr:cNvPr id="764458" name="Drop Down 2602" hidden="1">
              <a:extLst>
                <a:ext uri="{63B3BB69-23CF-44E3-9099-C40C66FF867C}">
                  <a14:compatExt spid="_x0000_s764458"/>
                </a:ext>
                <a:ext uri="{FF2B5EF4-FFF2-40B4-BE49-F238E27FC236}">
                  <a16:creationId xmlns:a16="http://schemas.microsoft.com/office/drawing/2014/main" id="{00000000-0008-0000-0700-00002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pwr_@Fco" TargetMode="External"/><Relationship Id="rId5" Type="http://schemas.openxmlformats.org/officeDocument/2006/relationships/ctrlProp" Target="../ctrlProps/ctrlProp9.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5.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2" Type="http://schemas.openxmlformats.org/officeDocument/2006/relationships/drawing" Target="../drawings/drawing9.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92"/>
  <sheetViews>
    <sheetView tabSelected="1" topLeftCell="B4" zoomScale="85" zoomScaleNormal="85" zoomScaleSheetLayoutView="70" zoomScalePageLayoutView="10" workbookViewId="0">
      <selection activeCell="E49" sqref="E49"/>
    </sheetView>
  </sheetViews>
  <sheetFormatPr defaultColWidth="9.21875" defaultRowHeight="13.8"/>
  <cols>
    <col min="1" max="1" width="8.21875" style="86" customWidth="1"/>
    <col min="2" max="2" width="8.21875" style="35" customWidth="1"/>
    <col min="3" max="3" width="13.5546875" style="35" customWidth="1"/>
    <col min="4" max="4" width="9.77734375" style="35" customWidth="1"/>
    <col min="5" max="5" width="9.21875" style="35" customWidth="1"/>
    <col min="6" max="6" width="8.77734375" style="35" customWidth="1"/>
    <col min="7" max="7" width="2.77734375" style="35" customWidth="1"/>
    <col min="8" max="9" width="8.21875" style="35" customWidth="1"/>
    <col min="10" max="10" width="13.77734375" style="35" customWidth="1"/>
    <col min="11" max="11" width="10" style="35" customWidth="1"/>
    <col min="12" max="12" width="9.44140625" style="35" customWidth="1"/>
    <col min="13" max="13" width="8.77734375" style="35" customWidth="1"/>
    <col min="14" max="14" width="2.77734375" style="35" customWidth="1"/>
    <col min="15" max="15" width="9.21875" style="35"/>
    <col min="16" max="18" width="10.21875" style="35" customWidth="1"/>
    <col min="19" max="19" width="10" style="35" bestFit="1" customWidth="1"/>
    <col min="20" max="25" width="9.21875" style="35"/>
    <col min="26" max="26" width="29.6640625" style="35" customWidth="1"/>
    <col min="27" max="27" width="3.21875" style="35" customWidth="1"/>
    <col min="28" max="16384" width="9.21875" style="35"/>
  </cols>
  <sheetData>
    <row r="1" spans="1:27" ht="47.25" customHeight="1">
      <c r="A1" s="445" t="s">
        <v>831</v>
      </c>
      <c r="B1" s="443"/>
      <c r="C1" s="443"/>
      <c r="D1" s="443"/>
      <c r="E1" s="443"/>
      <c r="F1" s="443"/>
      <c r="G1" s="443"/>
      <c r="H1" s="443"/>
      <c r="I1" s="443"/>
      <c r="J1" s="443"/>
      <c r="K1" s="443"/>
      <c r="L1" s="443"/>
      <c r="M1" s="443"/>
      <c r="N1" s="443"/>
      <c r="O1" s="443"/>
      <c r="P1" s="443"/>
      <c r="Q1" s="443"/>
      <c r="R1" s="444"/>
      <c r="S1" s="444"/>
      <c r="T1" s="444"/>
      <c r="U1" s="444"/>
      <c r="V1" s="356"/>
      <c r="W1" s="356"/>
      <c r="X1" s="356"/>
      <c r="Y1" s="356"/>
      <c r="Z1" s="356"/>
      <c r="AA1" s="356"/>
    </row>
    <row r="2" spans="1:27" ht="14.1" customHeight="1">
      <c r="A2" s="337"/>
      <c r="B2" s="338"/>
      <c r="C2" s="338"/>
      <c r="D2" s="338"/>
      <c r="E2" s="338"/>
      <c r="F2" s="338"/>
      <c r="G2" s="338"/>
      <c r="H2" s="338"/>
      <c r="I2" s="338"/>
      <c r="J2" s="338"/>
      <c r="K2" s="338"/>
      <c r="L2" s="338"/>
      <c r="M2" s="338"/>
      <c r="N2" s="338"/>
      <c r="O2" s="351"/>
      <c r="P2" s="338"/>
      <c r="Q2" s="338"/>
      <c r="R2" s="346"/>
      <c r="S2" s="346"/>
      <c r="T2" s="346"/>
      <c r="U2" s="346"/>
      <c r="V2" s="346"/>
      <c r="W2" s="346"/>
      <c r="X2" s="346"/>
      <c r="Y2" s="346"/>
      <c r="Z2" s="346"/>
      <c r="AA2" s="346"/>
    </row>
    <row r="3" spans="1:27" ht="16.05" customHeight="1">
      <c r="A3" s="339" t="s">
        <v>105</v>
      </c>
      <c r="B3" s="340"/>
      <c r="C3" s="352" t="s">
        <v>106</v>
      </c>
      <c r="D3" s="341"/>
      <c r="E3" s="64"/>
      <c r="F3" s="343" t="s">
        <v>59</v>
      </c>
      <c r="G3" s="342"/>
      <c r="H3" s="338"/>
      <c r="I3" s="338"/>
      <c r="J3" s="342"/>
      <c r="K3" s="344"/>
      <c r="L3" s="345"/>
      <c r="M3" s="346"/>
      <c r="N3" s="346"/>
      <c r="O3" s="346"/>
      <c r="P3" s="1"/>
      <c r="Q3" s="346" t="s">
        <v>77</v>
      </c>
      <c r="R3" s="346"/>
      <c r="S3" s="346"/>
      <c r="T3" s="346"/>
      <c r="U3" s="446" t="s">
        <v>315</v>
      </c>
      <c r="V3" s="346"/>
      <c r="W3" s="346"/>
      <c r="X3" s="346"/>
      <c r="Y3" s="346"/>
      <c r="Z3" s="346"/>
      <c r="AA3" s="346"/>
    </row>
    <row r="4" spans="1:27" ht="14.1" customHeight="1" thickBot="1">
      <c r="A4" s="347"/>
      <c r="B4" s="348"/>
      <c r="C4" s="349"/>
      <c r="D4" s="349"/>
      <c r="E4" s="349"/>
      <c r="F4" s="349"/>
      <c r="G4" s="349"/>
      <c r="H4" s="349"/>
      <c r="I4" s="349"/>
      <c r="J4" s="349"/>
      <c r="K4" s="349"/>
      <c r="L4" s="349"/>
      <c r="M4" s="350"/>
      <c r="N4" s="350"/>
      <c r="O4" s="350"/>
      <c r="P4" s="350"/>
      <c r="Q4" s="350"/>
      <c r="R4" s="346"/>
      <c r="S4" s="346"/>
      <c r="T4" s="346"/>
      <c r="U4" s="346"/>
      <c r="V4" s="346"/>
      <c r="W4" s="346"/>
      <c r="X4" s="346"/>
      <c r="Y4" s="346"/>
      <c r="Z4" s="346"/>
      <c r="AA4" s="346"/>
    </row>
    <row r="5" spans="1:27" ht="19.5" customHeight="1" thickBot="1">
      <c r="A5" s="85" t="s">
        <v>101</v>
      </c>
      <c r="B5" s="63"/>
      <c r="C5" s="36"/>
      <c r="D5" s="36"/>
      <c r="E5" s="37"/>
      <c r="F5" s="36"/>
      <c r="G5" s="55"/>
      <c r="H5" s="501" t="s">
        <v>360</v>
      </c>
      <c r="I5" s="73"/>
      <c r="J5" s="74"/>
      <c r="K5" s="74"/>
      <c r="L5" s="75"/>
      <c r="M5" s="306"/>
      <c r="N5" s="38"/>
      <c r="O5" s="38"/>
      <c r="P5" s="38"/>
      <c r="Q5" s="38"/>
      <c r="R5" s="430"/>
      <c r="S5" s="430"/>
      <c r="T5" s="430"/>
      <c r="U5" s="430"/>
      <c r="V5" s="430"/>
      <c r="W5" s="430"/>
      <c r="X5" s="430"/>
      <c r="Y5" s="430"/>
      <c r="Z5" s="434"/>
      <c r="AA5" s="346"/>
    </row>
    <row r="6" spans="1:27" ht="15.75" customHeight="1">
      <c r="A6" s="387"/>
      <c r="B6" s="437"/>
      <c r="C6" s="178"/>
      <c r="D6" s="674" t="s">
        <v>367</v>
      </c>
      <c r="E6" s="617">
        <v>20</v>
      </c>
      <c r="F6" s="675" t="s">
        <v>0</v>
      </c>
      <c r="G6" s="71"/>
      <c r="H6" s="387"/>
      <c r="I6" s="437"/>
      <c r="J6" s="178"/>
      <c r="K6" s="438" t="s">
        <v>835</v>
      </c>
      <c r="L6" s="671">
        <f>Lmin</f>
        <v>3.0414003280853148</v>
      </c>
      <c r="M6" s="537" t="s">
        <v>96</v>
      </c>
      <c r="N6" s="38"/>
      <c r="O6" s="38"/>
      <c r="P6" s="38"/>
      <c r="Q6" s="38"/>
      <c r="R6" s="58"/>
      <c r="S6" s="58"/>
      <c r="T6" s="58"/>
      <c r="U6" s="58"/>
      <c r="V6" s="58"/>
      <c r="W6" s="58"/>
      <c r="X6" s="58"/>
      <c r="Y6" s="58"/>
      <c r="Z6" s="435"/>
      <c r="AA6" s="346"/>
    </row>
    <row r="7" spans="1:27" ht="14.25" customHeight="1">
      <c r="A7" s="112"/>
      <c r="B7" s="111"/>
      <c r="C7" s="719"/>
      <c r="D7" s="720" t="s">
        <v>882</v>
      </c>
      <c r="E7" s="121">
        <v>34</v>
      </c>
      <c r="F7" s="366" t="s">
        <v>0</v>
      </c>
      <c r="G7" s="71"/>
      <c r="H7" s="69"/>
      <c r="I7" s="70"/>
      <c r="J7" s="68"/>
      <c r="K7" s="79" t="s">
        <v>836</v>
      </c>
      <c r="L7" s="121">
        <v>4.7</v>
      </c>
      <c r="M7" s="366" t="s">
        <v>96</v>
      </c>
      <c r="N7" s="38"/>
      <c r="O7" s="38"/>
      <c r="P7" s="38"/>
      <c r="Q7" s="38"/>
      <c r="R7" s="58"/>
      <c r="S7" s="58"/>
      <c r="T7" s="58"/>
      <c r="U7" s="58"/>
      <c r="V7" s="58"/>
      <c r="W7" s="58"/>
      <c r="X7" s="58"/>
      <c r="Y7" s="58"/>
      <c r="Z7" s="435"/>
      <c r="AA7" s="346"/>
    </row>
    <row r="8" spans="1:27" ht="15.75" customHeight="1">
      <c r="A8" s="112"/>
      <c r="B8" s="111"/>
      <c r="C8" s="113"/>
      <c r="D8" s="120" t="s">
        <v>368</v>
      </c>
      <c r="E8" s="121">
        <v>48</v>
      </c>
      <c r="F8" s="366" t="s">
        <v>0</v>
      </c>
      <c r="G8" s="71"/>
      <c r="H8" s="69"/>
      <c r="I8" s="70"/>
      <c r="J8" s="68"/>
      <c r="K8" s="79" t="s">
        <v>525</v>
      </c>
      <c r="L8" s="121">
        <v>14</v>
      </c>
      <c r="M8" s="366" t="s">
        <v>20</v>
      </c>
      <c r="N8" s="38"/>
      <c r="O8" s="38"/>
      <c r="P8" s="38"/>
      <c r="Q8" s="38"/>
      <c r="R8" s="58"/>
      <c r="S8" s="58"/>
      <c r="T8" s="58"/>
      <c r="U8" s="58"/>
      <c r="V8" s="58"/>
      <c r="W8" s="58"/>
      <c r="X8" s="58"/>
      <c r="Y8" s="58"/>
      <c r="Z8" s="435"/>
      <c r="AA8" s="346"/>
    </row>
    <row r="9" spans="1:27" ht="15.75" customHeight="1">
      <c r="A9" s="112"/>
      <c r="B9" s="111"/>
      <c r="C9" s="113"/>
      <c r="D9" s="120" t="s">
        <v>366</v>
      </c>
      <c r="E9" s="499">
        <v>32</v>
      </c>
      <c r="F9" s="122"/>
      <c r="G9" s="71"/>
      <c r="H9" s="69"/>
      <c r="I9" s="70"/>
      <c r="J9" s="68"/>
      <c r="K9" s="79" t="str">
        <f>CHOOSE(MODE, "Secondary Winding DCR", "Secondary Winding #1 DCR")</f>
        <v>Secondary Winding #1 DCR</v>
      </c>
      <c r="L9" s="121">
        <v>14</v>
      </c>
      <c r="M9" s="366" t="s">
        <v>20</v>
      </c>
      <c r="N9" s="38"/>
      <c r="O9" s="38"/>
      <c r="P9" s="38"/>
      <c r="Q9" s="38"/>
      <c r="R9" s="58"/>
      <c r="S9" s="58"/>
      <c r="T9" s="58"/>
      <c r="U9" s="58"/>
      <c r="V9" s="58"/>
      <c r="W9" s="58"/>
      <c r="X9" s="58"/>
      <c r="Y9" s="58"/>
      <c r="Z9" s="435"/>
      <c r="AA9" s="346"/>
    </row>
    <row r="10" spans="1:27" ht="15.75" customHeight="1">
      <c r="A10" s="112"/>
      <c r="B10" s="111"/>
      <c r="C10" s="113"/>
      <c r="D10" s="120" t="str">
        <f>CHOOSE(MODE, "Output Voltage, VOUT ", "Output Voltage, VOUT1")</f>
        <v>Output Voltage, VOUT1</v>
      </c>
      <c r="E10" s="121">
        <v>30</v>
      </c>
      <c r="F10" s="366" t="s">
        <v>0</v>
      </c>
      <c r="G10" s="71"/>
      <c r="H10" s="69"/>
      <c r="I10" s="70"/>
      <c r="J10" s="68"/>
      <c r="K10" s="79" t="str">
        <f>CHOOSE(MODE, "", "Secondary Winding #2 DCR")</f>
        <v>Secondary Winding #2 DCR</v>
      </c>
      <c r="L10" s="121">
        <v>5</v>
      </c>
      <c r="M10" s="366" t="str">
        <f>CHOOSE(MODE, "", "mΩ")</f>
        <v>mΩ</v>
      </c>
      <c r="N10" s="38"/>
      <c r="O10" s="38"/>
      <c r="P10" s="38"/>
      <c r="Q10" s="38"/>
      <c r="R10" s="58"/>
      <c r="S10" s="58"/>
      <c r="T10" s="58"/>
      <c r="U10" s="58"/>
      <c r="V10" s="58"/>
      <c r="W10" s="58"/>
      <c r="X10" s="58"/>
      <c r="Y10" s="58"/>
      <c r="Z10" s="435"/>
      <c r="AA10" s="346"/>
    </row>
    <row r="11" spans="1:27" ht="15.75" customHeight="1" thickBot="1">
      <c r="A11" s="673"/>
      <c r="B11" s="128"/>
      <c r="C11" s="436"/>
      <c r="D11" s="439" t="str">
        <f>CHOOSE(MODE, "Rated Output Current, IOUT ", "Rated Output Current, IOUT1")</f>
        <v>Rated Output Current, IOUT1</v>
      </c>
      <c r="E11" s="440">
        <v>4</v>
      </c>
      <c r="F11" s="619" t="s">
        <v>1</v>
      </c>
      <c r="G11" s="71"/>
      <c r="H11" s="69"/>
      <c r="I11" s="58"/>
      <c r="J11" s="58"/>
      <c r="K11" s="79" t="s">
        <v>663</v>
      </c>
      <c r="L11" s="121">
        <v>200</v>
      </c>
      <c r="M11" s="366" t="s">
        <v>662</v>
      </c>
      <c r="N11" s="38"/>
      <c r="O11" s="38"/>
      <c r="P11" s="38"/>
      <c r="Q11" s="38"/>
      <c r="R11" s="58"/>
      <c r="S11" s="58"/>
      <c r="T11" s="58"/>
      <c r="U11" s="58"/>
      <c r="V11" s="58"/>
      <c r="W11" s="58"/>
      <c r="X11" s="58"/>
      <c r="Y11" s="58"/>
      <c r="Z11" s="435"/>
      <c r="AA11" s="346"/>
    </row>
    <row r="12" spans="1:27" ht="15.75" customHeight="1">
      <c r="A12" s="364"/>
      <c r="B12" s="58"/>
      <c r="C12" s="58"/>
      <c r="D12" s="120" t="str">
        <f>CHOOSE(MODE, "", "Output Voltage, VOUT2")</f>
        <v>Output Voltage, VOUT2</v>
      </c>
      <c r="E12" s="121">
        <v>6</v>
      </c>
      <c r="F12" s="366" t="str">
        <f>CHOOSE(MODE, "", "V", "V")</f>
        <v>V</v>
      </c>
      <c r="G12" s="71"/>
      <c r="H12" s="112"/>
      <c r="I12" s="111"/>
      <c r="J12" s="514"/>
      <c r="K12" s="113" t="s">
        <v>843</v>
      </c>
      <c r="L12" s="666" t="str">
        <f>"1 : "&amp;(ROUND(1/ktr_rcmd*10,0)/10)</f>
        <v>1 : 1.3</v>
      </c>
      <c r="M12" s="539"/>
      <c r="N12" s="38"/>
      <c r="O12" s="38"/>
      <c r="P12" s="38"/>
      <c r="Q12" s="38"/>
      <c r="R12" s="58"/>
      <c r="S12" s="58"/>
      <c r="T12" s="58"/>
      <c r="U12" s="58"/>
      <c r="V12" s="58"/>
      <c r="W12" s="58"/>
      <c r="X12" s="58"/>
      <c r="Y12" s="58"/>
      <c r="Z12" s="435"/>
      <c r="AA12" s="346"/>
    </row>
    <row r="13" spans="1:27" ht="15.75" customHeight="1" thickBot="1">
      <c r="A13" s="673"/>
      <c r="B13" s="128"/>
      <c r="C13" s="436"/>
      <c r="D13" s="439" t="str">
        <f>CHOOSE(MODE, "", "Rated Output Current, IOUT2")</f>
        <v>Rated Output Current, IOUT2</v>
      </c>
      <c r="E13" s="440">
        <v>0.85</v>
      </c>
      <c r="F13" s="619" t="str">
        <f>CHOOSE(MODE, "", "A", "A")</f>
        <v>A</v>
      </c>
      <c r="G13" s="71"/>
      <c r="H13" s="69"/>
      <c r="I13" s="70"/>
      <c r="J13" s="68"/>
      <c r="K13" s="67" t="str">
        <f>IF(MODE=1, "Transformer Turns Ratio, Pri : Sec", "Turns Ratio, PRI : SEC1")</f>
        <v>Turns Ratio, PRI : SEC1</v>
      </c>
      <c r="L13" s="370"/>
      <c r="M13" s="82"/>
      <c r="N13" s="38"/>
      <c r="O13" s="38"/>
      <c r="P13" s="38"/>
      <c r="Q13" s="38"/>
      <c r="R13" s="58"/>
      <c r="S13" s="58"/>
      <c r="T13" s="58"/>
      <c r="U13" s="58"/>
      <c r="V13" s="58"/>
      <c r="W13" s="58"/>
      <c r="X13" s="58"/>
      <c r="Y13" s="58"/>
      <c r="Z13" s="435"/>
      <c r="AA13" s="346"/>
    </row>
    <row r="14" spans="1:27" ht="15.75" customHeight="1">
      <c r="A14" s="111"/>
      <c r="B14" s="111"/>
      <c r="C14" s="113"/>
      <c r="D14" s="120"/>
      <c r="E14" s="75"/>
      <c r="F14" s="185"/>
      <c r="G14" s="71"/>
      <c r="H14" s="112"/>
      <c r="I14" s="111"/>
      <c r="J14" s="113"/>
      <c r="K14" s="68" t="str">
        <f>CHOOSE(MODE, "Diode Max Rev Voltage (Spike Not Included)", "Turns Ratio, SEC2 : SEC1")</f>
        <v>Turns Ratio, SEC2 : SEC1</v>
      </c>
      <c r="L14" s="70">
        <f>CHOOSE(MODE, ROUND(VRRM_DIODE,0), ROUND(Nsec1sec2,2))</f>
        <v>0.21</v>
      </c>
      <c r="M14" s="82" t="str">
        <f>CHOOSE(MODE, "V", "")</f>
        <v/>
      </c>
      <c r="N14" s="38"/>
      <c r="O14" s="38"/>
      <c r="P14" s="38"/>
      <c r="Q14" s="38"/>
      <c r="R14" s="58"/>
      <c r="S14" s="58"/>
      <c r="T14" s="58"/>
      <c r="U14" s="58"/>
      <c r="V14" s="58"/>
      <c r="W14" s="58"/>
      <c r="X14" s="58"/>
      <c r="Y14" s="58"/>
      <c r="Z14" s="435"/>
      <c r="AA14" s="346"/>
    </row>
    <row r="15" spans="1:27" ht="15.75" customHeight="1" thickBot="1">
      <c r="A15" s="645" t="s">
        <v>873</v>
      </c>
      <c r="B15" s="38"/>
      <c r="C15" s="38"/>
      <c r="D15" s="68"/>
      <c r="E15" s="38"/>
      <c r="F15" s="70"/>
      <c r="G15" s="71"/>
      <c r="H15" s="112"/>
      <c r="I15" s="111"/>
      <c r="J15" s="514"/>
      <c r="K15" s="113" t="s">
        <v>658</v>
      </c>
      <c r="L15" s="666">
        <f>CHOOSE(MODE, 'Calculations - Single'!M212, 'Calculations - Dual'!N212)*100</f>
        <v>61.360056774476867</v>
      </c>
      <c r="M15" s="539" t="s">
        <v>659</v>
      </c>
      <c r="N15" s="38"/>
      <c r="O15" s="38"/>
      <c r="P15" s="38"/>
      <c r="Q15" s="38"/>
      <c r="R15" s="58"/>
      <c r="S15" s="58"/>
      <c r="T15" s="58"/>
      <c r="U15" s="58"/>
      <c r="V15" s="58"/>
      <c r="W15" s="58"/>
      <c r="X15" s="58"/>
      <c r="Y15" s="58"/>
      <c r="Z15" s="435"/>
      <c r="AA15" s="346"/>
    </row>
    <row r="16" spans="1:27" ht="15.75" customHeight="1" thickBot="1">
      <c r="A16" s="361"/>
      <c r="B16" s="502"/>
      <c r="C16" s="502"/>
      <c r="D16" s="438" t="s">
        <v>847</v>
      </c>
      <c r="E16" s="672">
        <f>RCSmin*1000</f>
        <v>4.0179496614348746</v>
      </c>
      <c r="F16" s="618" t="s">
        <v>20</v>
      </c>
      <c r="G16" s="71"/>
      <c r="H16" s="515"/>
      <c r="I16" s="433"/>
      <c r="J16" s="83"/>
      <c r="K16" s="436" t="s">
        <v>605</v>
      </c>
      <c r="L16" s="541">
        <f>CHOOSE(MODE, 'Calculations - Single'!N212,'Calculations - Dual'!O212+'Calculations - Dual'!P212)</f>
        <v>181.62225725036262</v>
      </c>
      <c r="M16" s="540" t="s">
        <v>45</v>
      </c>
      <c r="N16" s="38"/>
      <c r="O16" s="38"/>
      <c r="P16" s="38"/>
      <c r="Q16" s="38"/>
      <c r="R16" s="58"/>
      <c r="S16" s="58"/>
      <c r="T16" s="58"/>
      <c r="U16" s="58"/>
      <c r="V16" s="58"/>
      <c r="W16" s="58"/>
      <c r="X16" s="58"/>
      <c r="Y16" s="58"/>
      <c r="Z16" s="435"/>
      <c r="AA16" s="346"/>
    </row>
    <row r="17" spans="1:27" ht="15.75" customHeight="1" thickBot="1">
      <c r="A17" s="69"/>
      <c r="B17" s="38"/>
      <c r="C17" s="38"/>
      <c r="D17" s="79" t="s">
        <v>772</v>
      </c>
      <c r="E17" s="127">
        <v>3.3</v>
      </c>
      <c r="F17" s="366" t="s">
        <v>20</v>
      </c>
      <c r="G17" s="72"/>
      <c r="H17" s="58"/>
      <c r="I17" s="58"/>
      <c r="J17" s="58"/>
      <c r="K17" s="58"/>
      <c r="L17" s="58"/>
      <c r="M17" s="58"/>
      <c r="N17" s="38"/>
      <c r="O17" s="38"/>
      <c r="P17" s="38"/>
      <c r="Q17" s="38"/>
      <c r="R17" s="58"/>
      <c r="S17" s="58"/>
      <c r="T17" s="58"/>
      <c r="U17" s="58"/>
      <c r="V17" s="58"/>
      <c r="W17" s="58"/>
      <c r="X17" s="58"/>
      <c r="Y17" s="58"/>
      <c r="Z17" s="435"/>
      <c r="AA17" s="346"/>
    </row>
    <row r="18" spans="1:27" ht="15.75" customHeight="1">
      <c r="A18" s="85"/>
      <c r="B18" s="73"/>
      <c r="C18" s="70"/>
      <c r="D18" s="68" t="s">
        <v>795</v>
      </c>
      <c r="E18" s="676">
        <f>Isw_max</f>
        <v>30.303030303030305</v>
      </c>
      <c r="F18" s="82" t="s">
        <v>1</v>
      </c>
      <c r="G18" s="504"/>
      <c r="H18" s="681"/>
      <c r="I18" s="502"/>
      <c r="J18" s="494"/>
      <c r="K18" s="438" t="s">
        <v>871</v>
      </c>
      <c r="L18" s="494">
        <v>100</v>
      </c>
      <c r="M18" s="685" t="s">
        <v>136</v>
      </c>
      <c r="N18" s="38"/>
      <c r="O18" s="38"/>
      <c r="P18" s="38"/>
      <c r="Q18" s="38"/>
      <c r="R18" s="58"/>
      <c r="S18" s="58"/>
      <c r="T18" s="58"/>
      <c r="U18" s="58"/>
      <c r="V18" s="58"/>
      <c r="W18" s="58"/>
      <c r="X18" s="58"/>
      <c r="Y18" s="58"/>
      <c r="Z18" s="435"/>
      <c r="AA18" s="346"/>
    </row>
    <row r="19" spans="1:27" ht="19.5" customHeight="1" thickBot="1">
      <c r="A19" s="642"/>
      <c r="B19" s="677"/>
      <c r="C19" s="83"/>
      <c r="D19" s="678" t="s">
        <v>844</v>
      </c>
      <c r="E19" s="180">
        <f>IF(MODE, RCS*'Calculations - Single'!BD210^2, RCS*'Calculations - Dual'!BA210^2)*1.21</f>
        <v>327.68534064181546</v>
      </c>
      <c r="F19" s="84" t="s">
        <v>293</v>
      </c>
      <c r="G19" s="505"/>
      <c r="H19" s="687"/>
      <c r="I19" s="432"/>
      <c r="J19" s="482"/>
      <c r="K19" s="179" t="s">
        <v>872</v>
      </c>
      <c r="L19" s="482">
        <v>100</v>
      </c>
      <c r="M19" s="540" t="s">
        <v>15</v>
      </c>
      <c r="N19" s="38"/>
      <c r="O19" s="38"/>
      <c r="P19" s="38"/>
      <c r="Q19" s="38"/>
      <c r="R19" s="58"/>
      <c r="S19" s="58"/>
      <c r="T19" s="58"/>
      <c r="U19" s="58"/>
      <c r="V19" s="58"/>
      <c r="W19" s="58"/>
      <c r="X19" s="58"/>
      <c r="Y19" s="58"/>
      <c r="Z19" s="435"/>
      <c r="AA19" s="346"/>
    </row>
    <row r="20" spans="1:27" ht="19.5" customHeight="1">
      <c r="A20" s="58"/>
      <c r="B20" s="73"/>
      <c r="C20" s="74"/>
      <c r="D20" s="74"/>
      <c r="E20" s="75"/>
      <c r="F20" s="74"/>
      <c r="G20" s="71"/>
      <c r="H20" s="58"/>
      <c r="I20" s="58"/>
      <c r="J20" s="58"/>
      <c r="K20" s="58"/>
      <c r="L20" s="58"/>
      <c r="M20" s="58"/>
      <c r="N20" s="38"/>
      <c r="O20" s="38"/>
      <c r="P20" s="38"/>
      <c r="Q20" s="38"/>
      <c r="R20" s="58"/>
      <c r="S20" s="58"/>
      <c r="T20" s="58"/>
      <c r="U20" s="58"/>
      <c r="V20" s="58"/>
      <c r="W20" s="58"/>
      <c r="X20" s="58"/>
      <c r="Y20" s="58"/>
      <c r="Z20" s="435"/>
      <c r="AA20" s="346"/>
    </row>
    <row r="21" spans="1:27" ht="19.5" customHeight="1" thickBot="1">
      <c r="A21" s="645" t="s">
        <v>860</v>
      </c>
      <c r="B21" s="73"/>
      <c r="C21" s="74"/>
      <c r="D21" s="74"/>
      <c r="E21" s="75"/>
      <c r="F21" s="74"/>
      <c r="G21" s="71"/>
      <c r="H21" s="58"/>
      <c r="I21" s="58"/>
      <c r="J21" s="58"/>
      <c r="K21" s="58"/>
      <c r="L21" s="58"/>
      <c r="M21" s="58"/>
      <c r="N21" s="38"/>
      <c r="O21" s="38"/>
      <c r="P21" s="38"/>
      <c r="Q21" s="38"/>
      <c r="R21" s="58"/>
      <c r="S21" s="58"/>
      <c r="T21" s="58"/>
      <c r="U21" s="58"/>
      <c r="V21" s="58"/>
      <c r="W21" s="58"/>
      <c r="X21" s="58"/>
      <c r="Y21" s="58"/>
      <c r="Z21" s="435"/>
      <c r="AA21" s="346"/>
    </row>
    <row r="22" spans="1:27" ht="19.5" customHeight="1">
      <c r="A22" s="681"/>
      <c r="B22" s="682"/>
      <c r="C22" s="494"/>
      <c r="D22" s="683" t="s">
        <v>855</v>
      </c>
      <c r="E22" s="684">
        <f>MAX(Vout_eff*Nps,Vout2_actual*Nps/Nsec1sec2)*1.2</f>
        <v>36.479999999999997</v>
      </c>
      <c r="F22" s="685" t="s">
        <v>0</v>
      </c>
      <c r="G22" s="71"/>
      <c r="H22" s="711"/>
      <c r="I22" s="502"/>
      <c r="J22" s="502"/>
      <c r="K22" s="724" t="s">
        <v>848</v>
      </c>
      <c r="L22" s="617">
        <v>12</v>
      </c>
      <c r="M22" s="618" t="s">
        <v>20</v>
      </c>
      <c r="N22" s="38"/>
      <c r="O22" s="38"/>
      <c r="P22" s="38"/>
      <c r="Q22" s="38"/>
      <c r="R22" s="58"/>
      <c r="S22" s="58"/>
      <c r="T22" s="58"/>
      <c r="U22" s="58"/>
      <c r="V22" s="58"/>
      <c r="W22" s="58"/>
      <c r="X22" s="58"/>
      <c r="Y22" s="58"/>
      <c r="Z22" s="435"/>
      <c r="AA22" s="346"/>
    </row>
    <row r="23" spans="1:27" ht="19.5" customHeight="1" thickBot="1">
      <c r="A23" s="686"/>
      <c r="B23" s="73"/>
      <c r="C23" s="74"/>
      <c r="D23" s="67" t="s">
        <v>856</v>
      </c>
      <c r="E23" s="695">
        <v>50</v>
      </c>
      <c r="F23" s="641" t="s">
        <v>0</v>
      </c>
      <c r="G23" s="71"/>
      <c r="H23" s="69"/>
      <c r="I23" s="38"/>
      <c r="J23" s="3"/>
      <c r="K23" s="131" t="s">
        <v>857</v>
      </c>
      <c r="L23" s="716">
        <f>0.00000005*1*1000000000</f>
        <v>50</v>
      </c>
      <c r="M23" s="725" t="s">
        <v>31</v>
      </c>
      <c r="N23" s="38"/>
      <c r="O23" s="38"/>
      <c r="P23" s="38"/>
      <c r="Q23" s="38"/>
      <c r="R23" s="58"/>
      <c r="S23" s="58"/>
      <c r="T23" s="58"/>
      <c r="U23" s="58"/>
      <c r="V23" s="58"/>
      <c r="W23" s="58"/>
      <c r="X23" s="58"/>
      <c r="Y23" s="58"/>
      <c r="Z23" s="435"/>
      <c r="AA23" s="346"/>
    </row>
    <row r="24" spans="1:27" ht="19.5" customHeight="1">
      <c r="A24" s="364"/>
      <c r="B24" s="73"/>
      <c r="C24" s="70"/>
      <c r="D24" s="68" t="s">
        <v>851</v>
      </c>
      <c r="E24" s="676">
        <f>E8+E23*1.25</f>
        <v>110.5</v>
      </c>
      <c r="F24" s="82" t="s">
        <v>0</v>
      </c>
      <c r="G24" s="709"/>
      <c r="H24" s="680"/>
      <c r="I24" s="38"/>
      <c r="J24" s="38"/>
      <c r="K24" s="79" t="s">
        <v>858</v>
      </c>
      <c r="L24" s="121">
        <v>23</v>
      </c>
      <c r="M24" s="726" t="s">
        <v>31</v>
      </c>
      <c r="N24" s="38"/>
      <c r="O24" s="38"/>
      <c r="P24" s="38"/>
      <c r="Q24" s="38"/>
      <c r="R24" s="58"/>
      <c r="S24" s="58"/>
      <c r="T24" s="58"/>
      <c r="U24" s="58"/>
      <c r="V24" s="58"/>
      <c r="W24" s="58"/>
      <c r="X24" s="58"/>
      <c r="Y24" s="58"/>
      <c r="Z24" s="435"/>
      <c r="AA24" s="346"/>
    </row>
    <row r="25" spans="1:27" ht="19.5" customHeight="1" thickBot="1">
      <c r="A25" s="364"/>
      <c r="B25" s="73"/>
      <c r="C25" s="74"/>
      <c r="D25" s="68" t="s">
        <v>852</v>
      </c>
      <c r="E25" s="688" t="s">
        <v>854</v>
      </c>
      <c r="F25" s="641"/>
      <c r="G25" s="710"/>
      <c r="H25" s="69"/>
      <c r="I25" s="38"/>
      <c r="J25" s="38"/>
      <c r="K25" s="126" t="s">
        <v>859</v>
      </c>
      <c r="L25" s="121">
        <v>935</v>
      </c>
      <c r="M25" s="726" t="s">
        <v>15</v>
      </c>
      <c r="N25" s="38"/>
      <c r="O25" s="38"/>
      <c r="P25" s="38"/>
      <c r="Q25" s="38"/>
      <c r="R25" s="58"/>
      <c r="S25" s="58"/>
      <c r="T25" s="58"/>
      <c r="U25" s="58"/>
      <c r="V25" s="58"/>
      <c r="W25" s="58"/>
      <c r="X25" s="58"/>
      <c r="Y25" s="58"/>
      <c r="Z25" s="435"/>
      <c r="AA25" s="346"/>
    </row>
    <row r="26" spans="1:27" ht="19.5" customHeight="1" thickBot="1">
      <c r="A26" s="687"/>
      <c r="B26" s="643"/>
      <c r="C26" s="87"/>
      <c r="D26" s="179" t="s">
        <v>853</v>
      </c>
      <c r="E26" s="689" t="str">
        <f>IF(VIN_min&lt;7, "No", "Yes")</f>
        <v>Yes</v>
      </c>
      <c r="F26" s="644"/>
      <c r="G26" s="71"/>
      <c r="H26" s="727"/>
      <c r="I26" s="433"/>
      <c r="J26" s="728"/>
      <c r="K26" s="729" t="s">
        <v>887</v>
      </c>
      <c r="L26" s="731">
        <f>'Variable Mgmt'!L96</f>
        <v>7.0839242340725184</v>
      </c>
      <c r="M26" s="730" t="s">
        <v>45</v>
      </c>
      <c r="N26" s="38"/>
      <c r="O26" s="38"/>
      <c r="P26" s="38"/>
      <c r="Q26" s="38"/>
      <c r="R26" s="58"/>
      <c r="S26" s="58"/>
      <c r="T26" s="58"/>
      <c r="U26" s="58"/>
      <c r="V26" s="58"/>
      <c r="W26" s="58"/>
      <c r="X26" s="58"/>
      <c r="Y26" s="58"/>
      <c r="Z26" s="435"/>
      <c r="AA26" s="346"/>
    </row>
    <row r="27" spans="1:27" ht="19.5" customHeight="1">
      <c r="A27" s="58"/>
      <c r="B27" s="73"/>
      <c r="C27" s="74"/>
      <c r="D27" s="68"/>
      <c r="E27" s="679"/>
      <c r="F27" s="74"/>
      <c r="G27" s="71"/>
      <c r="H27" s="58"/>
      <c r="I27" s="58"/>
      <c r="J27" s="58"/>
      <c r="K27" s="58"/>
      <c r="L27" s="58"/>
      <c r="M27" s="58"/>
      <c r="N27" s="38"/>
      <c r="O27" s="38"/>
      <c r="P27" s="38"/>
      <c r="Q27" s="38"/>
      <c r="R27" s="58"/>
      <c r="S27" s="58"/>
      <c r="T27" s="58"/>
      <c r="U27" s="58"/>
      <c r="V27" s="58"/>
      <c r="W27" s="58"/>
      <c r="X27" s="58"/>
      <c r="Y27" s="58"/>
      <c r="Z27" s="435"/>
      <c r="AA27" s="346"/>
    </row>
    <row r="28" spans="1:27" ht="19.5" customHeight="1" thickBot="1">
      <c r="A28" s="85" t="s">
        <v>861</v>
      </c>
      <c r="B28" s="73"/>
      <c r="C28" s="74"/>
      <c r="D28" s="74"/>
      <c r="E28" s="75"/>
      <c r="F28" s="74"/>
      <c r="G28" s="71"/>
      <c r="H28" s="708" t="s">
        <v>874</v>
      </c>
      <c r="I28" s="58"/>
      <c r="J28" s="58"/>
      <c r="K28" s="58"/>
      <c r="L28" s="58"/>
      <c r="M28" s="58"/>
      <c r="N28" s="38"/>
      <c r="O28" s="38"/>
      <c r="P28" s="38"/>
      <c r="Q28" s="38"/>
      <c r="R28" s="58"/>
      <c r="S28" s="58"/>
      <c r="T28" s="58"/>
      <c r="U28" s="58"/>
      <c r="V28" s="58"/>
      <c r="W28" s="58"/>
      <c r="X28" s="58"/>
      <c r="Y28" s="58"/>
      <c r="Z28" s="435"/>
      <c r="AA28" s="346"/>
    </row>
    <row r="29" spans="1:27" ht="15.75" customHeight="1" thickBot="1">
      <c r="A29" s="326"/>
      <c r="B29" s="493"/>
      <c r="C29" s="494"/>
      <c r="D29" s="178" t="s">
        <v>314</v>
      </c>
      <c r="E29" s="523">
        <f>'Variable Mgmt'!B135</f>
        <v>5.3148611223086144</v>
      </c>
      <c r="F29" s="367" t="s">
        <v>97</v>
      </c>
      <c r="G29" s="71"/>
      <c r="H29" s="487"/>
      <c r="I29" s="430"/>
      <c r="J29" s="430"/>
      <c r="K29" s="713" t="str">
        <f>CHOOSE(MODE, "Min Diode Voltage Rating","Min Diode Voltage Rating, Output #1")</f>
        <v>Min Diode Voltage Rating, Output #1</v>
      </c>
      <c r="L29" s="732">
        <f>(VIN_max/Nps+Vout)*1.3</f>
        <v>101.4</v>
      </c>
      <c r="M29" s="733" t="s">
        <v>0</v>
      </c>
      <c r="N29" s="38"/>
      <c r="O29" s="487"/>
      <c r="P29" s="430"/>
      <c r="Q29" s="430"/>
      <c r="R29" s="713" t="s">
        <v>877</v>
      </c>
      <c r="S29" s="732">
        <f>(VIN_max/Npri_sec2+Vout2)*1.3</f>
        <v>21.011726384364817</v>
      </c>
      <c r="T29" s="733" t="s">
        <v>0</v>
      </c>
      <c r="U29" s="58"/>
      <c r="V29" s="58"/>
      <c r="W29" s="58"/>
      <c r="X29" s="58"/>
      <c r="Y29" s="58"/>
      <c r="Z29" s="435"/>
      <c r="AA29" s="346"/>
    </row>
    <row r="30" spans="1:27" ht="15.75" customHeight="1" thickBot="1">
      <c r="A30" s="76"/>
      <c r="B30" s="70"/>
      <c r="C30" s="74"/>
      <c r="D30" s="79" t="s">
        <v>141</v>
      </c>
      <c r="E30" s="77">
        <v>100</v>
      </c>
      <c r="F30" s="368" t="s">
        <v>97</v>
      </c>
      <c r="G30" s="71"/>
      <c r="H30" s="364"/>
      <c r="I30" s="58"/>
      <c r="J30" s="58"/>
      <c r="K30" s="712" t="str">
        <f>CHOOSE(MODE, "Min Diode DC Current Rating","Min Diode DC Current Rating, Output #1")</f>
        <v>Min Diode DC Current Rating, Output #1</v>
      </c>
      <c r="L30" s="328">
        <f>MAX(E11*3,0.5)</f>
        <v>12</v>
      </c>
      <c r="M30" s="734" t="s">
        <v>1</v>
      </c>
      <c r="N30" s="717"/>
      <c r="O30" s="364"/>
      <c r="P30" s="58"/>
      <c r="Q30" s="58"/>
      <c r="R30" s="712" t="s">
        <v>878</v>
      </c>
      <c r="S30" s="328">
        <f>MAX(E13*3,0.5)</f>
        <v>2.5499999999999998</v>
      </c>
      <c r="T30" s="734" t="s">
        <v>1</v>
      </c>
      <c r="U30" s="58"/>
      <c r="V30" s="58"/>
      <c r="W30" s="58"/>
      <c r="X30" s="58"/>
      <c r="Y30" s="58"/>
      <c r="Z30" s="435"/>
      <c r="AA30" s="346"/>
    </row>
    <row r="31" spans="1:27" ht="15.75" customHeight="1" thickBot="1">
      <c r="A31" s="76"/>
      <c r="B31" s="70"/>
      <c r="C31" s="125"/>
      <c r="D31" s="120" t="s">
        <v>104</v>
      </c>
      <c r="E31" s="121">
        <v>3</v>
      </c>
      <c r="F31" s="366" t="s">
        <v>20</v>
      </c>
      <c r="G31" s="71"/>
      <c r="H31" s="687"/>
      <c r="I31" s="432"/>
      <c r="J31" s="432"/>
      <c r="K31" s="715" t="str">
        <f>CHOOSE(MODE, "Select  Diode Forward Drop VF","Select  Diode Forward Drop VF, Output #1")</f>
        <v>Select  Diode Forward Drop VF, Output #1</v>
      </c>
      <c r="L31" s="735">
        <v>0.7</v>
      </c>
      <c r="M31" s="736" t="s">
        <v>0</v>
      </c>
      <c r="N31" s="38"/>
      <c r="O31" s="687"/>
      <c r="P31" s="432"/>
      <c r="Q31" s="432"/>
      <c r="R31" s="715" t="s">
        <v>923</v>
      </c>
      <c r="S31" s="735">
        <v>0.5</v>
      </c>
      <c r="T31" s="736" t="s">
        <v>0</v>
      </c>
      <c r="U31" s="58"/>
      <c r="V31" s="58"/>
      <c r="W31" s="58"/>
      <c r="X31" s="58"/>
      <c r="Y31" s="58"/>
      <c r="Z31" s="435"/>
      <c r="AA31" s="346"/>
    </row>
    <row r="32" spans="1:27" ht="15.75" customHeight="1" thickBot="1">
      <c r="A32" s="80"/>
      <c r="B32" s="81"/>
      <c r="C32" s="87"/>
      <c r="D32" s="179" t="s">
        <v>496</v>
      </c>
      <c r="E32" s="180">
        <f>Vinripple2*1000</f>
        <v>136.92739119614748</v>
      </c>
      <c r="F32" s="84" t="s">
        <v>103</v>
      </c>
      <c r="G32" s="71"/>
      <c r="H32" s="771" t="s">
        <v>926</v>
      </c>
      <c r="I32" s="38"/>
      <c r="J32" s="38"/>
      <c r="K32" s="38"/>
      <c r="L32" s="38"/>
      <c r="M32" s="38"/>
      <c r="N32" s="38"/>
      <c r="O32" s="38"/>
      <c r="P32" s="38"/>
      <c r="Q32" s="38"/>
      <c r="R32" s="58"/>
      <c r="S32" s="58"/>
      <c r="T32" s="58"/>
      <c r="U32" s="58"/>
      <c r="V32" s="58"/>
      <c r="W32" s="58"/>
      <c r="X32" s="58"/>
      <c r="Y32" s="58"/>
      <c r="Z32" s="435"/>
      <c r="AA32" s="346"/>
    </row>
    <row r="33" spans="1:27" ht="15.75" customHeight="1" thickBot="1">
      <c r="A33" s="361"/>
      <c r="B33" s="362"/>
      <c r="C33" s="363"/>
      <c r="D33" s="363" t="str">
        <f>CHOOSE(MODE, "Minimum Output Capacitance", "Minimum Output Capacitance, Output #1")</f>
        <v>Minimum Output Capacitance, Output #1</v>
      </c>
      <c r="E33" s="535">
        <f>'Variable Mgmt'!B110</f>
        <v>28.797863257259404</v>
      </c>
      <c r="F33" s="367" t="s">
        <v>97</v>
      </c>
      <c r="G33" s="503"/>
      <c r="H33" s="494"/>
      <c r="I33" s="502"/>
      <c r="J33" s="430"/>
      <c r="K33" s="363" t="str">
        <f>CHOOSE(MODE, "", "Minimum Output Capacitance, Output #2")</f>
        <v>Minimum Output Capacitance, Output #2</v>
      </c>
      <c r="L33" s="535">
        <f>'Variable Mgmt'!B120</f>
        <v>30.597729710838113</v>
      </c>
      <c r="M33" s="367" t="s">
        <v>97</v>
      </c>
      <c r="N33" s="38"/>
      <c r="O33" s="38"/>
      <c r="P33" s="38"/>
      <c r="Q33" s="38"/>
      <c r="R33" s="58"/>
      <c r="S33" s="58"/>
      <c r="T33" s="58"/>
      <c r="U33" s="58"/>
      <c r="V33" s="58"/>
      <c r="W33" s="58"/>
      <c r="X33" s="58"/>
      <c r="Y33" s="58"/>
      <c r="Z33" s="435"/>
      <c r="AA33" s="346"/>
    </row>
    <row r="34" spans="1:27" ht="15.75" customHeight="1">
      <c r="A34" s="69"/>
      <c r="B34" s="70"/>
      <c r="C34" s="113"/>
      <c r="D34" s="126" t="s">
        <v>140</v>
      </c>
      <c r="E34" s="121">
        <v>220</v>
      </c>
      <c r="F34" s="366" t="s">
        <v>97</v>
      </c>
      <c r="G34" s="504"/>
      <c r="H34" s="70"/>
      <c r="I34" s="38"/>
      <c r="J34" s="58"/>
      <c r="K34" s="126" t="s">
        <v>532</v>
      </c>
      <c r="L34" s="121">
        <v>55</v>
      </c>
      <c r="M34" s="366" t="s">
        <v>97</v>
      </c>
      <c r="N34" s="38"/>
      <c r="O34" s="771" t="s">
        <v>922</v>
      </c>
      <c r="P34" s="38"/>
      <c r="Q34" s="38"/>
      <c r="R34" s="58"/>
      <c r="S34" s="58"/>
      <c r="T34" s="58"/>
      <c r="U34" s="58"/>
      <c r="V34" s="58"/>
      <c r="W34" s="58"/>
      <c r="X34" s="58"/>
      <c r="Y34" s="58"/>
      <c r="Z34" s="435"/>
      <c r="AA34" s="346"/>
    </row>
    <row r="35" spans="1:27" ht="16.5" customHeight="1" thickBot="1">
      <c r="A35" s="69"/>
      <c r="B35" s="70"/>
      <c r="C35" s="125"/>
      <c r="D35" s="120" t="s">
        <v>533</v>
      </c>
      <c r="E35" s="121">
        <v>2</v>
      </c>
      <c r="F35" s="366" t="s">
        <v>20</v>
      </c>
      <c r="G35" s="505"/>
      <c r="H35" s="70"/>
      <c r="I35" s="38"/>
      <c r="J35" s="58"/>
      <c r="K35" s="120" t="s">
        <v>533</v>
      </c>
      <c r="L35" s="121">
        <v>8</v>
      </c>
      <c r="M35" s="366" t="s">
        <v>20</v>
      </c>
      <c r="N35" s="38"/>
      <c r="O35" s="38"/>
      <c r="P35" s="38"/>
      <c r="Q35" s="38"/>
      <c r="R35" s="58"/>
      <c r="S35" s="58"/>
      <c r="T35" s="58"/>
      <c r="U35" s="58"/>
      <c r="V35" s="58"/>
      <c r="W35" s="58"/>
      <c r="X35" s="58"/>
      <c r="Y35" s="58"/>
      <c r="Z35" s="435"/>
      <c r="AA35" s="346"/>
    </row>
    <row r="36" spans="1:27" ht="15.75" customHeight="1" thickBot="1">
      <c r="A36" s="80"/>
      <c r="B36" s="83"/>
      <c r="C36" s="83"/>
      <c r="D36" s="179" t="str">
        <f>CHOOSE(MODE, "Resulting Output Voltage Ripple", "Resulting Output Voltage Ripple, Output #1")</f>
        <v>Resulting Output Voltage Ripple, Output #1</v>
      </c>
      <c r="E36" s="180">
        <f>Vripple1_actual</f>
        <v>93.833111082385997</v>
      </c>
      <c r="F36" s="84" t="s">
        <v>103</v>
      </c>
      <c r="G36" s="503"/>
      <c r="H36" s="83"/>
      <c r="I36" s="433"/>
      <c r="J36" s="432"/>
      <c r="K36" s="179" t="str">
        <f>CHOOSE(MODE, "", "Resulting Output Voltage Ripple, Output #2")</f>
        <v>Resulting Output Voltage Ripple, Output #2</v>
      </c>
      <c r="L36" s="180">
        <f>Vripple2_actual</f>
        <v>79.758144420028088</v>
      </c>
      <c r="M36" s="84" t="s">
        <v>103</v>
      </c>
      <c r="N36" s="38"/>
      <c r="O36" s="38"/>
      <c r="P36" s="38"/>
      <c r="Q36" s="38"/>
      <c r="R36" s="58"/>
      <c r="S36" s="58"/>
      <c r="T36" s="58"/>
      <c r="U36" s="58"/>
      <c r="V36" s="58"/>
      <c r="W36" s="58"/>
      <c r="X36" s="58"/>
      <c r="Y36" s="58"/>
      <c r="Z36" s="435"/>
      <c r="AA36" s="346"/>
    </row>
    <row r="37" spans="1:27" ht="13.5" customHeight="1">
      <c r="A37" s="364"/>
      <c r="B37" s="58"/>
      <c r="C37" s="58"/>
      <c r="D37" s="58"/>
      <c r="E37" s="58"/>
      <c r="F37" s="58"/>
      <c r="G37" s="58"/>
      <c r="H37" s="58"/>
      <c r="I37" s="58"/>
      <c r="J37" s="58"/>
      <c r="K37" s="58"/>
      <c r="L37" s="58"/>
      <c r="M37" s="58"/>
      <c r="N37" s="38"/>
      <c r="O37" s="38"/>
      <c r="P37" s="38"/>
      <c r="Q37" s="38"/>
      <c r="R37" s="58"/>
      <c r="S37" s="58"/>
      <c r="T37" s="58"/>
      <c r="U37" s="58"/>
      <c r="V37" s="58"/>
      <c r="W37" s="58"/>
      <c r="X37" s="58"/>
      <c r="Y37" s="58"/>
      <c r="Z37" s="435"/>
      <c r="AA37" s="346"/>
    </row>
    <row r="38" spans="1:27" ht="19.5" customHeight="1" thickBot="1">
      <c r="A38" s="85" t="s">
        <v>879</v>
      </c>
      <c r="B38" s="73"/>
      <c r="C38" s="70"/>
      <c r="D38" s="68"/>
      <c r="E38" s="70"/>
      <c r="F38" s="70"/>
      <c r="G38" s="70"/>
      <c r="H38" s="70"/>
      <c r="I38" s="38"/>
      <c r="J38" s="38"/>
      <c r="K38" s="38"/>
      <c r="L38" s="38"/>
      <c r="M38" s="38"/>
      <c r="N38" s="38"/>
      <c r="O38" s="38"/>
      <c r="P38" s="38"/>
      <c r="Q38" s="38"/>
      <c r="R38" s="58"/>
      <c r="S38" s="58"/>
      <c r="T38" s="58"/>
      <c r="U38" s="58"/>
      <c r="V38" s="58"/>
      <c r="W38" s="58"/>
      <c r="X38" s="58"/>
      <c r="Y38" s="58"/>
      <c r="Z38" s="435"/>
      <c r="AA38" s="346"/>
    </row>
    <row r="39" spans="1:27" ht="15.75" customHeight="1">
      <c r="A39" s="118"/>
      <c r="B39" s="119"/>
      <c r="C39" s="178"/>
      <c r="D39" s="178" t="s">
        <v>370</v>
      </c>
      <c r="E39" s="496">
        <f>Rfb_recommend</f>
        <v>304</v>
      </c>
      <c r="F39" s="442" t="s">
        <v>21</v>
      </c>
      <c r="G39" s="70"/>
      <c r="H39" s="70"/>
      <c r="I39" s="38"/>
      <c r="J39" s="38"/>
      <c r="K39" s="38"/>
      <c r="L39" s="38"/>
      <c r="M39" s="38"/>
      <c r="N39" s="38"/>
      <c r="O39" s="38"/>
      <c r="P39" s="38"/>
      <c r="Q39" s="38"/>
      <c r="R39" s="58"/>
      <c r="S39" s="58"/>
      <c r="T39" s="58"/>
      <c r="U39" s="58"/>
      <c r="V39" s="58"/>
      <c r="W39" s="58"/>
      <c r="X39" s="58"/>
      <c r="Y39" s="58"/>
      <c r="Z39" s="435"/>
      <c r="AA39" s="346"/>
    </row>
    <row r="40" spans="1:27" ht="15.75" customHeight="1" thickBot="1">
      <c r="A40" s="112"/>
      <c r="B40" s="111"/>
      <c r="C40" s="113"/>
      <c r="D40" s="126" t="s">
        <v>369</v>
      </c>
      <c r="E40" s="127">
        <v>300</v>
      </c>
      <c r="F40" s="122" t="str">
        <f>IF(Vout=Vref,"","kΩ")</f>
        <v>kΩ</v>
      </c>
      <c r="G40" s="70"/>
      <c r="H40" s="70"/>
      <c r="I40" s="38"/>
      <c r="J40" s="38"/>
      <c r="K40" s="38"/>
      <c r="L40" s="38"/>
      <c r="M40" s="38"/>
      <c r="N40" s="38"/>
      <c r="O40" s="38"/>
      <c r="P40" s="38"/>
      <c r="Q40" s="38"/>
      <c r="R40" s="58"/>
      <c r="S40" s="58"/>
      <c r="T40" s="58"/>
      <c r="U40" s="58"/>
      <c r="V40" s="58"/>
      <c r="W40" s="58"/>
      <c r="X40" s="58"/>
      <c r="Y40" s="58"/>
      <c r="Z40" s="435"/>
      <c r="AA40" s="346"/>
    </row>
    <row r="41" spans="1:27" ht="14.1" customHeight="1">
      <c r="A41" s="330"/>
      <c r="B41" s="331"/>
      <c r="C41" s="332"/>
      <c r="D41" s="333" t="s">
        <v>292</v>
      </c>
      <c r="E41" s="332" t="s">
        <v>682</v>
      </c>
      <c r="F41" s="334"/>
      <c r="G41" s="71"/>
      <c r="H41" s="70"/>
      <c r="I41" s="38"/>
      <c r="J41" s="38"/>
      <c r="K41" s="38"/>
      <c r="L41" s="38"/>
      <c r="M41" s="38"/>
      <c r="N41" s="38"/>
      <c r="O41" s="38"/>
      <c r="P41" s="38"/>
      <c r="Q41" s="38"/>
      <c r="R41" s="58"/>
      <c r="S41" s="58"/>
      <c r="T41" s="58"/>
      <c r="U41" s="58"/>
      <c r="V41" s="58"/>
      <c r="W41" s="58"/>
      <c r="X41" s="58"/>
      <c r="Y41" s="58"/>
      <c r="Z41" s="435"/>
      <c r="AA41" s="346"/>
    </row>
    <row r="42" spans="1:27" ht="16.5" customHeight="1">
      <c r="A42" s="112"/>
      <c r="B42" s="111"/>
      <c r="C42" s="111"/>
      <c r="D42" s="124" t="str">
        <f>CHOOSE(MODE_SS,"Soft-Start Time","*Leave SS Pin Open or Supply by Ext. Bias")</f>
        <v>*Leave SS Pin Open or Supply by Ext. Bias</v>
      </c>
      <c r="E42" s="121">
        <v>33.5</v>
      </c>
      <c r="F42" s="122" t="s">
        <v>63</v>
      </c>
      <c r="G42" s="71"/>
      <c r="H42" s="70"/>
      <c r="I42" s="38"/>
      <c r="J42" s="38"/>
      <c r="K42" s="38"/>
      <c r="L42" s="38"/>
      <c r="M42" s="38"/>
      <c r="N42" s="38"/>
      <c r="O42" s="38"/>
      <c r="P42" s="38"/>
      <c r="Q42" s="38"/>
      <c r="R42" s="58"/>
      <c r="S42" s="58"/>
      <c r="T42" s="58"/>
      <c r="U42" s="58"/>
      <c r="V42" s="58"/>
      <c r="W42" s="58"/>
      <c r="X42" s="58"/>
      <c r="Y42" s="58"/>
      <c r="Z42" s="435"/>
      <c r="AA42" s="346"/>
    </row>
    <row r="43" spans="1:27" ht="16.5" customHeight="1" thickBot="1">
      <c r="A43" s="115"/>
      <c r="B43" s="116"/>
      <c r="C43" s="116"/>
      <c r="D43" s="315" t="s">
        <v>142</v>
      </c>
      <c r="E43" s="329">
        <f>IF(Tss&gt;0.0001,Css_u*1000000000,"N/A")</f>
        <v>180</v>
      </c>
      <c r="F43" s="117" t="s">
        <v>56</v>
      </c>
      <c r="G43" s="71"/>
      <c r="H43" s="70"/>
      <c r="I43" s="38"/>
      <c r="J43" s="38"/>
      <c r="K43" s="38"/>
      <c r="L43" s="38"/>
      <c r="M43" s="38"/>
      <c r="N43" s="38"/>
      <c r="O43" s="38"/>
      <c r="P43" s="38"/>
      <c r="Q43" s="38"/>
      <c r="R43" s="58"/>
      <c r="S43" s="58"/>
      <c r="T43" s="58"/>
      <c r="U43" s="58"/>
      <c r="V43" s="58"/>
      <c r="W43" s="58"/>
      <c r="X43" s="58"/>
      <c r="Y43" s="58"/>
      <c r="Z43" s="435"/>
      <c r="AA43" s="346"/>
    </row>
    <row r="44" spans="1:27" ht="15.75" customHeight="1">
      <c r="A44" s="112"/>
      <c r="B44" s="111"/>
      <c r="C44" s="111"/>
      <c r="D44" s="67" t="s">
        <v>381</v>
      </c>
      <c r="E44" s="123"/>
      <c r="F44" s="114"/>
      <c r="G44" s="70"/>
      <c r="H44" s="70"/>
      <c r="I44" s="38"/>
      <c r="J44" s="38"/>
      <c r="K44" s="38"/>
      <c r="L44" s="38"/>
      <c r="M44" s="38"/>
      <c r="N44" s="38"/>
      <c r="O44" s="38"/>
      <c r="P44" s="38"/>
      <c r="Q44" s="38"/>
      <c r="R44" s="58"/>
      <c r="S44" s="58"/>
      <c r="T44" s="58"/>
      <c r="U44" s="58"/>
      <c r="V44" s="58"/>
      <c r="W44" s="58"/>
      <c r="X44" s="58"/>
      <c r="Y44" s="58"/>
      <c r="Z44" s="435"/>
      <c r="AA44" s="346"/>
    </row>
    <row r="45" spans="1:27" ht="15.75" customHeight="1">
      <c r="A45" s="112"/>
      <c r="B45" s="111"/>
      <c r="C45" s="111"/>
      <c r="D45" s="67" t="str">
        <f>CHOOSE(TC,"Diode Voltage Drop Thermal Coefficient","*Leave TC Pin Open")</f>
        <v>Diode Voltage Drop Thermal Coefficient</v>
      </c>
      <c r="E45" s="500">
        <v>-0.7</v>
      </c>
      <c r="F45" s="114" t="s">
        <v>380</v>
      </c>
      <c r="G45" s="70"/>
      <c r="H45" s="70"/>
      <c r="I45" s="38"/>
      <c r="J45" s="38"/>
      <c r="K45" s="38"/>
      <c r="L45" s="38"/>
      <c r="M45" s="38"/>
      <c r="N45" s="38"/>
      <c r="O45" s="38"/>
      <c r="P45" s="38"/>
      <c r="Q45" s="38"/>
      <c r="R45" s="58"/>
      <c r="S45" s="58"/>
      <c r="T45" s="58"/>
      <c r="U45" s="58"/>
      <c r="V45" s="58"/>
      <c r="W45" s="58"/>
      <c r="X45" s="58"/>
      <c r="Y45" s="58"/>
      <c r="Z45" s="435"/>
      <c r="AA45" s="346"/>
    </row>
    <row r="46" spans="1:27" ht="15.75" customHeight="1" thickBot="1">
      <c r="A46" s="115"/>
      <c r="B46" s="128"/>
      <c r="C46" s="128"/>
      <c r="D46" s="436" t="s">
        <v>382</v>
      </c>
      <c r="E46" s="450">
        <f>RTC</f>
        <v>1690</v>
      </c>
      <c r="F46" s="451" t="s">
        <v>21</v>
      </c>
      <c r="G46" s="70"/>
      <c r="H46" s="70"/>
      <c r="I46" s="38"/>
      <c r="J46" s="38"/>
      <c r="K46" s="56"/>
      <c r="L46" s="38"/>
      <c r="M46" s="38"/>
      <c r="N46" s="38"/>
      <c r="O46" s="38"/>
      <c r="P46" s="38"/>
      <c r="Q46" s="38"/>
      <c r="R46" s="58"/>
      <c r="S46" s="58"/>
      <c r="T46" s="58"/>
      <c r="U46" s="58"/>
      <c r="V46" s="58"/>
      <c r="W46" s="58"/>
      <c r="X46" s="58"/>
      <c r="Y46" s="58"/>
      <c r="Z46" s="435"/>
      <c r="AA46" s="346"/>
    </row>
    <row r="47" spans="1:27" ht="16.5" customHeight="1">
      <c r="A47" s="387"/>
      <c r="B47" s="437"/>
      <c r="C47" s="437"/>
      <c r="D47" s="696" t="s">
        <v>303</v>
      </c>
      <c r="E47" s="697"/>
      <c r="F47" s="690"/>
      <c r="G47" s="70"/>
      <c r="H47" s="70"/>
      <c r="I47" s="38"/>
      <c r="J47" s="38"/>
      <c r="K47" s="38"/>
      <c r="L47" s="38"/>
      <c r="M47" s="38"/>
      <c r="N47" s="38"/>
      <c r="O47" s="38"/>
      <c r="P47" s="38"/>
      <c r="Q47" s="38"/>
      <c r="R47" s="58"/>
      <c r="S47" s="58"/>
      <c r="T47" s="58"/>
      <c r="U47" s="58"/>
      <c r="V47" s="58"/>
      <c r="W47" s="58"/>
      <c r="X47" s="58"/>
      <c r="Y47" s="58"/>
      <c r="Z47" s="435"/>
      <c r="AA47" s="346"/>
    </row>
    <row r="48" spans="1:27" ht="15.75" customHeight="1">
      <c r="A48" s="112"/>
      <c r="B48" s="111"/>
      <c r="C48" s="125"/>
      <c r="D48" s="126" t="str">
        <f>CHOOSE(MODE_UVLO, "Input UVLO Turn-On Threshold", "*Connect EN pin to VIN or Logic HIGH")</f>
        <v>Input UVLO Turn-On Threshold</v>
      </c>
      <c r="E48" s="127">
        <v>19</v>
      </c>
      <c r="F48" s="122" t="s">
        <v>0</v>
      </c>
      <c r="G48" s="70"/>
      <c r="H48" s="70"/>
      <c r="I48" s="58"/>
      <c r="J48" s="58"/>
      <c r="K48" s="58"/>
      <c r="L48" s="181"/>
      <c r="M48" s="38"/>
      <c r="N48" s="38"/>
      <c r="O48" s="38"/>
      <c r="P48" s="38"/>
      <c r="Q48" s="38"/>
      <c r="R48" s="58"/>
      <c r="S48" s="58"/>
      <c r="T48" s="58"/>
      <c r="U48" s="58"/>
      <c r="V48" s="58"/>
      <c r="W48" s="58"/>
      <c r="X48" s="58"/>
      <c r="Y48" s="58"/>
      <c r="Z48" s="435"/>
      <c r="AA48" s="346"/>
    </row>
    <row r="49" spans="1:27" ht="15.75" customHeight="1">
      <c r="A49" s="112"/>
      <c r="B49" s="111"/>
      <c r="C49" s="111"/>
      <c r="D49" s="126" t="str">
        <f>CHOOSE(MODE_UVLO, "Input UVLO Turn-Off Threshold", "")</f>
        <v>Input UVLO Turn-Off Threshold</v>
      </c>
      <c r="E49" s="127">
        <v>18</v>
      </c>
      <c r="F49" s="122" t="s">
        <v>0</v>
      </c>
      <c r="G49" s="70"/>
      <c r="H49" s="113"/>
      <c r="I49" s="182"/>
      <c r="J49" s="184"/>
      <c r="K49" s="58"/>
      <c r="L49" s="58"/>
      <c r="M49" s="38"/>
      <c r="N49" s="38"/>
      <c r="O49" s="38"/>
      <c r="P49" s="38"/>
      <c r="Q49" s="38"/>
      <c r="R49" s="58"/>
      <c r="S49" s="58"/>
      <c r="T49" s="58"/>
      <c r="U49" s="58"/>
      <c r="V49" s="58"/>
      <c r="W49" s="58"/>
      <c r="X49" s="58"/>
      <c r="Y49" s="58"/>
      <c r="Z49" s="435"/>
      <c r="AA49" s="346"/>
    </row>
    <row r="50" spans="1:27" ht="15.75" customHeight="1">
      <c r="A50" s="698"/>
      <c r="B50" s="699"/>
      <c r="C50" s="700"/>
      <c r="D50" s="701" t="s">
        <v>821</v>
      </c>
      <c r="E50" s="702">
        <f>'Variable Mgmt'!F165</f>
        <v>73.2</v>
      </c>
      <c r="F50" s="703" t="s">
        <v>21</v>
      </c>
      <c r="G50" s="70"/>
      <c r="H50" s="113"/>
      <c r="I50" s="182"/>
      <c r="J50" s="184"/>
      <c r="K50" s="58"/>
      <c r="L50" s="58"/>
      <c r="M50" s="38"/>
      <c r="N50" s="38"/>
      <c r="O50" s="38"/>
      <c r="P50" s="38"/>
      <c r="Q50" s="38"/>
      <c r="R50" s="58"/>
      <c r="S50" s="58"/>
      <c r="T50" s="58"/>
      <c r="U50" s="58"/>
      <c r="V50" s="58"/>
      <c r="W50" s="58"/>
      <c r="X50" s="58"/>
      <c r="Y50" s="58"/>
      <c r="Z50" s="435"/>
      <c r="AA50" s="346"/>
    </row>
    <row r="51" spans="1:27" ht="15.75" customHeight="1">
      <c r="A51" s="704"/>
      <c r="B51" s="705"/>
      <c r="C51" s="705"/>
      <c r="D51" s="706" t="s">
        <v>822</v>
      </c>
      <c r="E51" s="706">
        <f>'Variable Mgmt'!F166</f>
        <v>6.34</v>
      </c>
      <c r="F51" s="707" t="s">
        <v>21</v>
      </c>
      <c r="G51" s="70"/>
      <c r="H51" s="186"/>
      <c r="I51" s="124"/>
      <c r="J51" s="498"/>
      <c r="K51" s="185"/>
      <c r="L51" s="58"/>
      <c r="M51" s="38"/>
      <c r="N51" s="38"/>
      <c r="O51" s="38"/>
      <c r="P51" s="38"/>
      <c r="Q51" s="38"/>
      <c r="R51" s="58"/>
      <c r="S51" s="58"/>
      <c r="T51" s="58"/>
      <c r="U51" s="58"/>
      <c r="V51" s="58"/>
      <c r="W51" s="58"/>
      <c r="X51" s="58"/>
      <c r="Y51" s="58"/>
      <c r="Z51" s="435"/>
      <c r="AA51" s="346"/>
    </row>
    <row r="52" spans="1:27" ht="15.75" customHeight="1">
      <c r="A52" s="112"/>
      <c r="B52" s="111"/>
      <c r="C52" s="111"/>
      <c r="D52" s="113"/>
      <c r="E52" s="113"/>
      <c r="F52" s="58"/>
      <c r="G52" s="70"/>
      <c r="H52" s="186"/>
      <c r="I52" s="124"/>
      <c r="J52" s="498"/>
      <c r="K52" s="185"/>
      <c r="L52" s="58"/>
      <c r="M52" s="38"/>
      <c r="N52" s="38"/>
      <c r="O52" s="38"/>
      <c r="P52" s="38"/>
      <c r="Q52" s="38"/>
      <c r="R52" s="58"/>
      <c r="S52" s="58"/>
      <c r="T52" s="58"/>
      <c r="U52" s="58"/>
      <c r="V52" s="58"/>
      <c r="W52" s="58"/>
      <c r="X52" s="58"/>
      <c r="Y52" s="58"/>
      <c r="Z52" s="435"/>
      <c r="AA52" s="346"/>
    </row>
    <row r="53" spans="1:27" ht="15.75" customHeight="1" thickBot="1">
      <c r="A53" s="85" t="s">
        <v>889</v>
      </c>
      <c r="B53" s="111"/>
      <c r="C53" s="111"/>
      <c r="D53" s="126" t="s">
        <v>862</v>
      </c>
      <c r="E53" s="113"/>
      <c r="F53" s="70"/>
      <c r="G53" s="70"/>
      <c r="H53" s="70"/>
      <c r="I53" s="58"/>
      <c r="J53" s="183"/>
      <c r="K53" s="58"/>
      <c r="L53" s="58"/>
      <c r="M53" s="38"/>
      <c r="N53" s="38"/>
      <c r="O53" s="38"/>
      <c r="P53" s="38"/>
      <c r="Q53" s="38" t="s">
        <v>78</v>
      </c>
      <c r="R53" s="58"/>
      <c r="S53" s="58"/>
      <c r="T53" s="58"/>
      <c r="U53" s="58"/>
      <c r="V53" s="58"/>
      <c r="W53" s="58"/>
      <c r="X53" s="58"/>
      <c r="Y53" s="58"/>
      <c r="Z53" s="435"/>
      <c r="AA53" s="346"/>
    </row>
    <row r="54" spans="1:27" ht="15.75" hidden="1" customHeight="1">
      <c r="A54" s="387"/>
      <c r="B54" s="437"/>
      <c r="C54" s="178"/>
      <c r="D54" s="178" t="s">
        <v>800</v>
      </c>
      <c r="E54" s="496">
        <f>pole1/1000</f>
        <v>0.1447787589444117</v>
      </c>
      <c r="F54" s="690" t="s">
        <v>2</v>
      </c>
      <c r="G54" s="70"/>
      <c r="H54" s="70"/>
      <c r="I54" s="58"/>
      <c r="J54" s="183"/>
      <c r="K54" s="58"/>
      <c r="L54" s="58"/>
      <c r="M54" s="38"/>
      <c r="N54" s="38"/>
      <c r="O54" s="38"/>
      <c r="P54" s="38"/>
      <c r="Q54" s="38"/>
      <c r="R54" s="58"/>
      <c r="S54" s="58"/>
      <c r="T54" s="58"/>
      <c r="U54" s="58"/>
      <c r="V54" s="58"/>
      <c r="W54" s="58"/>
      <c r="X54" s="58"/>
      <c r="Y54" s="58"/>
      <c r="Z54" s="435"/>
      <c r="AA54" s="346"/>
    </row>
    <row r="55" spans="1:27" ht="15.75" hidden="1" customHeight="1">
      <c r="A55" s="112"/>
      <c r="B55" s="111"/>
      <c r="C55" s="113"/>
      <c r="D55" s="113" t="s">
        <v>797</v>
      </c>
      <c r="E55" s="646">
        <f>Zero1/1000</f>
        <v>180.85789008381408</v>
      </c>
      <c r="F55" s="114" t="s">
        <v>2</v>
      </c>
      <c r="G55" s="70"/>
      <c r="H55" s="113"/>
      <c r="I55" s="182"/>
      <c r="J55" s="184"/>
      <c r="K55" s="58"/>
      <c r="L55" s="58"/>
      <c r="M55" s="38"/>
      <c r="N55" s="38"/>
      <c r="O55" s="38"/>
      <c r="P55" s="38"/>
      <c r="Q55" s="38"/>
      <c r="R55" s="58"/>
      <c r="S55" s="58"/>
      <c r="T55" s="58"/>
      <c r="U55" s="58"/>
      <c r="V55" s="58"/>
      <c r="W55" s="58"/>
      <c r="X55" s="58"/>
      <c r="Y55" s="58"/>
      <c r="Z55" s="435"/>
      <c r="AA55" s="346"/>
    </row>
    <row r="56" spans="1:27" ht="15.75" hidden="1" customHeight="1">
      <c r="A56" s="112"/>
      <c r="B56" s="111"/>
      <c r="C56" s="113"/>
      <c r="D56" s="113" t="s">
        <v>798</v>
      </c>
      <c r="E56" s="646">
        <f>z_RHP/1000</f>
        <v>145.47013250529912</v>
      </c>
      <c r="F56" s="114" t="s">
        <v>2</v>
      </c>
      <c r="G56" s="70"/>
      <c r="H56" s="113"/>
      <c r="I56" s="182"/>
      <c r="J56" s="184"/>
      <c r="K56" s="58"/>
      <c r="L56" s="58"/>
      <c r="M56" s="38"/>
      <c r="N56" s="38"/>
      <c r="O56" s="38"/>
      <c r="P56" s="38"/>
      <c r="Q56" s="38"/>
      <c r="R56" s="58"/>
      <c r="S56" s="58"/>
      <c r="T56" s="58"/>
      <c r="U56" s="58"/>
      <c r="V56" s="58"/>
      <c r="W56" s="58"/>
      <c r="X56" s="58"/>
      <c r="Y56" s="58"/>
      <c r="Z56" s="435"/>
      <c r="AA56" s="346"/>
    </row>
    <row r="57" spans="1:27" ht="15.75" customHeight="1">
      <c r="A57" s="387"/>
      <c r="B57" s="437"/>
      <c r="C57" s="178"/>
      <c r="D57" s="178" t="s">
        <v>799</v>
      </c>
      <c r="E57" s="496">
        <f>MIN(E56/10,'Calculations - Single'!DC212/10)*0+MIN(E56/10,CHOOSE(MODE,'Calculations - Single'!DC212/10,'Calculations - Dual'!DQ212/10))</f>
        <v>12.423623780037831</v>
      </c>
      <c r="F57" s="690" t="s">
        <v>2</v>
      </c>
      <c r="G57" s="70"/>
      <c r="H57" s="70"/>
      <c r="I57" s="38"/>
      <c r="J57" s="38"/>
      <c r="K57" s="38"/>
      <c r="L57" s="38"/>
      <c r="M57" s="38"/>
      <c r="N57" s="38"/>
      <c r="O57" s="38"/>
      <c r="P57" s="38"/>
      <c r="Q57" s="38"/>
      <c r="R57" s="58"/>
      <c r="S57" s="58"/>
      <c r="T57" s="58"/>
      <c r="U57" s="58"/>
      <c r="V57" s="58"/>
      <c r="W57" s="58"/>
      <c r="X57" s="58"/>
      <c r="Y57" s="58"/>
      <c r="Z57" s="435"/>
      <c r="AA57" s="346"/>
    </row>
    <row r="58" spans="1:27" ht="15.75" customHeight="1">
      <c r="A58" s="112"/>
      <c r="B58" s="111"/>
      <c r="C58" s="111"/>
      <c r="D58" s="126" t="s">
        <v>864</v>
      </c>
      <c r="E58" s="500">
        <v>5</v>
      </c>
      <c r="F58" s="738" t="s">
        <v>2</v>
      </c>
      <c r="G58" s="70"/>
      <c r="H58" s="70"/>
      <c r="I58" s="38"/>
      <c r="J58" s="38"/>
      <c r="K58" s="38"/>
      <c r="L58" s="38"/>
      <c r="M58" s="38"/>
      <c r="N58" s="38"/>
      <c r="O58" s="38"/>
      <c r="P58" s="38"/>
      <c r="Q58" s="38"/>
      <c r="R58" s="58"/>
      <c r="S58" s="58"/>
      <c r="T58" s="58"/>
      <c r="U58" s="58"/>
      <c r="V58" s="58"/>
      <c r="W58" s="58"/>
      <c r="X58" s="58"/>
      <c r="Y58" s="58"/>
      <c r="Z58" s="435"/>
      <c r="AA58" s="346"/>
    </row>
    <row r="59" spans="1:27" ht="15.75" customHeight="1">
      <c r="A59" s="112"/>
      <c r="B59" s="111"/>
      <c r="C59" s="113"/>
      <c r="D59" s="113" t="s">
        <v>815</v>
      </c>
      <c r="E59" s="646">
        <f>'Stability Calculations'!D64</f>
        <v>43.481246832713467</v>
      </c>
      <c r="F59" s="739" t="s">
        <v>813</v>
      </c>
      <c r="G59" s="70"/>
      <c r="H59" s="70"/>
      <c r="I59" s="38"/>
      <c r="J59" s="38"/>
      <c r="K59" s="38"/>
      <c r="L59" s="38"/>
      <c r="M59" s="38"/>
      <c r="N59" s="38"/>
      <c r="O59" s="38"/>
      <c r="P59" s="38"/>
      <c r="Q59" s="38"/>
      <c r="R59" s="58"/>
      <c r="S59" s="58"/>
      <c r="T59" s="58"/>
      <c r="U59" s="58"/>
      <c r="V59" s="58"/>
      <c r="W59" s="58"/>
      <c r="X59" s="58"/>
      <c r="Y59" s="58"/>
      <c r="Z59" s="435"/>
      <c r="AA59" s="346"/>
    </row>
    <row r="60" spans="1:27" ht="15.75" customHeight="1">
      <c r="A60" s="112"/>
      <c r="B60" s="111"/>
      <c r="C60" s="113"/>
      <c r="D60" s="126" t="s">
        <v>816</v>
      </c>
      <c r="E60" s="664">
        <v>40.200000000000003</v>
      </c>
      <c r="F60" s="738" t="s">
        <v>814</v>
      </c>
      <c r="G60" s="70"/>
      <c r="H60" s="70"/>
      <c r="I60" s="38"/>
      <c r="J60" s="38"/>
      <c r="K60" s="38"/>
      <c r="L60" s="38"/>
      <c r="M60" s="38"/>
      <c r="N60" s="38"/>
      <c r="O60" s="38"/>
      <c r="P60" s="38"/>
      <c r="Q60" s="38"/>
      <c r="R60" s="58"/>
      <c r="S60" s="58"/>
      <c r="T60" s="58"/>
      <c r="U60" s="58"/>
      <c r="V60" s="58"/>
      <c r="W60" s="58"/>
      <c r="X60" s="58"/>
      <c r="Y60" s="58"/>
      <c r="Z60" s="435"/>
      <c r="AA60" s="346"/>
    </row>
    <row r="61" spans="1:27" ht="16.5" customHeight="1">
      <c r="A61" s="112"/>
      <c r="B61" s="111"/>
      <c r="C61" s="113"/>
      <c r="D61" s="113" t="s">
        <v>817</v>
      </c>
      <c r="E61" s="646">
        <f>'Stability Calculations'!D65</f>
        <v>12.647466042452193</v>
      </c>
      <c r="F61" s="740" t="s">
        <v>56</v>
      </c>
      <c r="G61" s="70"/>
      <c r="H61" s="70"/>
      <c r="I61" s="38"/>
      <c r="J61" s="38"/>
      <c r="K61" s="38"/>
      <c r="L61" s="38"/>
      <c r="M61" s="38"/>
      <c r="N61" s="38"/>
      <c r="O61" s="38"/>
      <c r="P61" s="38"/>
      <c r="Q61" s="38"/>
      <c r="R61" s="58"/>
      <c r="S61" s="58"/>
      <c r="T61" s="58"/>
      <c r="U61" s="58"/>
      <c r="V61" s="58"/>
      <c r="W61" s="58"/>
      <c r="X61" s="58"/>
      <c r="Y61" s="58"/>
      <c r="Z61" s="435"/>
      <c r="AA61" s="346"/>
    </row>
    <row r="62" spans="1:27" ht="15.75" customHeight="1">
      <c r="A62" s="112"/>
      <c r="B62" s="111"/>
      <c r="C62" s="113"/>
      <c r="D62" s="126" t="s">
        <v>818</v>
      </c>
      <c r="E62" s="664">
        <v>10</v>
      </c>
      <c r="F62" s="738" t="s">
        <v>56</v>
      </c>
      <c r="G62" s="70"/>
      <c r="H62" s="70"/>
      <c r="I62" s="38"/>
      <c r="J62" s="38"/>
      <c r="K62" s="38"/>
      <c r="L62" s="38"/>
      <c r="M62" s="38"/>
      <c r="N62" s="38"/>
      <c r="O62" s="38"/>
      <c r="P62" s="38"/>
      <c r="Q62" s="38"/>
      <c r="R62" s="58"/>
      <c r="S62" s="58"/>
      <c r="T62" s="58"/>
      <c r="U62" s="58"/>
      <c r="V62" s="58"/>
      <c r="W62" s="58"/>
      <c r="X62" s="58"/>
      <c r="Y62" s="58"/>
      <c r="Z62" s="435"/>
      <c r="AA62" s="346"/>
    </row>
    <row r="63" spans="1:27" ht="15.75" customHeight="1">
      <c r="A63" s="112"/>
      <c r="B63" s="111"/>
      <c r="C63" s="113"/>
      <c r="D63" s="113" t="s">
        <v>819</v>
      </c>
      <c r="E63" s="663">
        <f>'Stability Calculations'!D66</f>
        <v>84.316440283014629</v>
      </c>
      <c r="F63" s="740" t="s">
        <v>15</v>
      </c>
      <c r="G63" s="70"/>
      <c r="H63" s="70"/>
      <c r="I63" s="38"/>
      <c r="J63" s="38"/>
      <c r="K63" s="38"/>
      <c r="L63" s="38"/>
      <c r="M63" s="38"/>
      <c r="N63" s="38"/>
      <c r="O63" s="38"/>
      <c r="P63" s="38"/>
      <c r="Q63" s="38"/>
      <c r="R63" s="58"/>
      <c r="S63" s="58"/>
      <c r="T63" s="58"/>
      <c r="U63" s="58"/>
      <c r="V63" s="693" t="s">
        <v>863</v>
      </c>
      <c r="W63" s="694">
        <f>Vin</f>
        <v>34</v>
      </c>
      <c r="X63" s="623" t="s">
        <v>0</v>
      </c>
      <c r="Y63" s="58"/>
      <c r="Z63" s="435"/>
      <c r="AA63" s="346"/>
    </row>
    <row r="64" spans="1:27" ht="15.75" customHeight="1" thickBot="1">
      <c r="A64" s="673"/>
      <c r="B64" s="128"/>
      <c r="C64" s="128"/>
      <c r="D64" s="439" t="s">
        <v>820</v>
      </c>
      <c r="E64" s="691">
        <v>150</v>
      </c>
      <c r="F64" s="692" t="s">
        <v>15</v>
      </c>
      <c r="G64" s="70"/>
      <c r="H64" s="70"/>
      <c r="I64" s="38"/>
      <c r="J64" s="38"/>
      <c r="K64" s="38"/>
      <c r="L64" s="38"/>
      <c r="M64" s="38"/>
      <c r="N64" s="38"/>
      <c r="O64" s="38"/>
      <c r="P64" s="38"/>
      <c r="Q64" s="38"/>
      <c r="R64" s="58"/>
      <c r="S64" s="58"/>
      <c r="T64" s="58"/>
      <c r="U64" s="58"/>
      <c r="V64" s="58"/>
      <c r="W64" s="58"/>
      <c r="X64" s="58"/>
      <c r="Y64" s="58"/>
      <c r="Z64" s="435"/>
      <c r="AA64" s="346"/>
    </row>
    <row r="65" spans="1:27" ht="15.75" customHeight="1">
      <c r="A65" s="112"/>
      <c r="B65" s="111"/>
      <c r="C65" s="111"/>
      <c r="D65" s="113"/>
      <c r="E65" s="113"/>
      <c r="F65" s="58"/>
      <c r="G65" s="70"/>
      <c r="H65" s="70"/>
      <c r="I65" s="38"/>
      <c r="J65" s="38"/>
      <c r="K65" s="38"/>
      <c r="L65" s="38"/>
      <c r="M65" s="38"/>
      <c r="N65" s="38"/>
      <c r="O65" s="38"/>
      <c r="P65" s="38"/>
      <c r="Q65" s="38"/>
      <c r="R65" s="58"/>
      <c r="S65" s="58"/>
      <c r="T65" s="58"/>
      <c r="U65" s="58"/>
      <c r="V65" s="58"/>
      <c r="W65" s="58"/>
      <c r="X65" s="58"/>
      <c r="Y65" s="58"/>
      <c r="Z65" s="435"/>
      <c r="AA65" s="346"/>
    </row>
    <row r="66" spans="1:27" ht="15.75" customHeight="1" thickBot="1">
      <c r="A66" s="85" t="s">
        <v>894</v>
      </c>
      <c r="B66" s="111"/>
      <c r="C66" s="111"/>
      <c r="D66" s="113"/>
      <c r="E66" s="113"/>
      <c r="F66" s="58"/>
      <c r="G66" s="772" t="s">
        <v>945</v>
      </c>
      <c r="H66" s="70"/>
      <c r="I66" s="38"/>
      <c r="J66" s="38"/>
      <c r="K66" s="38"/>
      <c r="L66" s="38"/>
      <c r="M66" s="38"/>
      <c r="N66" s="38"/>
      <c r="O66" s="38"/>
      <c r="P66" s="38"/>
      <c r="Q66" s="38"/>
      <c r="R66" s="58"/>
      <c r="S66" s="58"/>
      <c r="T66" s="58"/>
      <c r="U66" s="58"/>
      <c r="V66" s="58"/>
      <c r="W66" s="58"/>
      <c r="X66" s="58"/>
      <c r="Y66" s="58"/>
      <c r="Z66" s="435"/>
      <c r="AA66" s="346"/>
    </row>
    <row r="67" spans="1:27" ht="15.75" customHeight="1" thickBot="1">
      <c r="A67" s="387"/>
      <c r="B67" s="437"/>
      <c r="C67" s="437"/>
      <c r="D67" s="178" t="str">
        <f>CHOOSE(MODE, "Initial Csnb", "Inisitial Csnb1")</f>
        <v>Inisitial Csnb1</v>
      </c>
      <c r="E67" s="178">
        <v>22</v>
      </c>
      <c r="F67" s="733" t="s">
        <v>15</v>
      </c>
      <c r="G67" s="70"/>
      <c r="H67" s="742"/>
      <c r="I67" s="743"/>
      <c r="J67" s="744"/>
      <c r="K67" s="745" t="s">
        <v>892</v>
      </c>
      <c r="L67" s="745">
        <v>22</v>
      </c>
      <c r="M67" s="685" t="s">
        <v>15</v>
      </c>
      <c r="N67" s="622"/>
      <c r="O67" s="38"/>
      <c r="P67" s="623"/>
      <c r="Q67" s="38"/>
      <c r="R67" s="58"/>
      <c r="S67" s="58"/>
      <c r="T67" s="58"/>
      <c r="U67" s="58"/>
      <c r="V67" s="58"/>
      <c r="W67" s="58"/>
      <c r="X67" s="58"/>
      <c r="Y67" s="58"/>
      <c r="Z67" s="435"/>
      <c r="AA67" s="346"/>
    </row>
    <row r="68" spans="1:27" ht="15.75" customHeight="1">
      <c r="A68" s="112"/>
      <c r="B68" s="111"/>
      <c r="C68" s="111"/>
      <c r="D68" s="113" t="s">
        <v>890</v>
      </c>
      <c r="E68" s="113">
        <f>(VIN_max/Npri_sec1+E10)*1.3</f>
        <v>101.4</v>
      </c>
      <c r="F68" s="739" t="s">
        <v>0</v>
      </c>
      <c r="G68" s="751"/>
      <c r="H68" s="746"/>
      <c r="I68" s="182"/>
      <c r="J68" s="184"/>
      <c r="K68" s="113" t="s">
        <v>890</v>
      </c>
      <c r="L68" s="737">
        <f>E8/Nps*Nsec1sec2+Vout</f>
        <v>40.162866449511398</v>
      </c>
      <c r="M68" s="747" t="s">
        <v>0</v>
      </c>
      <c r="N68" s="38"/>
      <c r="O68" s="38"/>
      <c r="P68" s="38"/>
      <c r="Q68" s="38"/>
      <c r="R68" s="58"/>
      <c r="S68" s="58"/>
      <c r="T68" s="58"/>
      <c r="U68" s="58"/>
      <c r="V68" s="58"/>
      <c r="W68" s="58"/>
      <c r="X68" s="58"/>
      <c r="Y68" s="58"/>
      <c r="Z68" s="435"/>
      <c r="AA68" s="346"/>
    </row>
    <row r="69" spans="1:27" ht="16.5" customHeight="1" thickBot="1">
      <c r="A69" s="112"/>
      <c r="B69" s="111"/>
      <c r="C69" s="111"/>
      <c r="D69" s="113" t="str">
        <f>CHOOSE(MODE, "Initial Rsnb", "Inisitial Rsnb1")</f>
        <v>Inisitial Rsnb1</v>
      </c>
      <c r="E69" s="113">
        <v>100</v>
      </c>
      <c r="F69" s="739" t="s">
        <v>136</v>
      </c>
      <c r="G69" s="752"/>
      <c r="H69" s="69"/>
      <c r="I69" s="38"/>
      <c r="J69" s="57"/>
      <c r="K69" s="70" t="s">
        <v>893</v>
      </c>
      <c r="L69" s="70">
        <v>100</v>
      </c>
      <c r="M69" s="739" t="s">
        <v>136</v>
      </c>
      <c r="N69" s="38"/>
      <c r="O69" s="38"/>
      <c r="P69" s="38"/>
      <c r="Q69" s="38"/>
      <c r="R69" s="58"/>
      <c r="S69" s="58"/>
      <c r="T69" s="58"/>
      <c r="U69" s="58"/>
      <c r="V69" s="58"/>
      <c r="W69" s="58"/>
      <c r="X69" s="58"/>
      <c r="Y69" s="58"/>
      <c r="Z69" s="435"/>
      <c r="AA69" s="346"/>
    </row>
    <row r="70" spans="1:27" ht="15.75" customHeight="1" thickBot="1">
      <c r="A70" s="673"/>
      <c r="B70" s="128"/>
      <c r="C70" s="128"/>
      <c r="D70" s="436" t="s">
        <v>891</v>
      </c>
      <c r="E70" s="750">
        <f>E68*E68*E67*0.000000000001*350000*3</f>
        <v>0.23751327600000005</v>
      </c>
      <c r="F70" s="741" t="s">
        <v>45</v>
      </c>
      <c r="G70" s="70"/>
      <c r="H70" s="727"/>
      <c r="I70" s="433"/>
      <c r="J70" s="748"/>
      <c r="K70" s="436" t="s">
        <v>891</v>
      </c>
      <c r="L70" s="749">
        <f>L68*L68*L67*0.000000000001*350000*3</f>
        <v>3.7261589937293761E-2</v>
      </c>
      <c r="M70" s="84" t="s">
        <v>45</v>
      </c>
      <c r="N70" s="38"/>
      <c r="O70" s="38"/>
      <c r="P70" s="38"/>
      <c r="Q70" s="38"/>
      <c r="R70" s="58"/>
      <c r="S70" s="58"/>
      <c r="T70" s="58"/>
      <c r="U70" s="58"/>
      <c r="V70" s="58"/>
      <c r="W70" s="58"/>
      <c r="X70" s="58"/>
      <c r="Y70" s="58"/>
      <c r="Z70" s="435"/>
      <c r="AA70" s="346"/>
    </row>
    <row r="71" spans="1:27" ht="15.75" customHeight="1">
      <c r="A71" s="112"/>
      <c r="B71" s="111"/>
      <c r="C71" s="111"/>
      <c r="D71" s="113"/>
      <c r="E71" s="113"/>
      <c r="F71" s="58"/>
      <c r="G71" s="70"/>
      <c r="H71" s="70"/>
      <c r="I71" s="38"/>
      <c r="J71" s="57"/>
      <c r="K71" s="38"/>
      <c r="L71" s="38"/>
      <c r="M71" s="38"/>
      <c r="N71" s="38"/>
      <c r="O71" s="38"/>
      <c r="P71" s="38"/>
      <c r="Q71" s="38"/>
      <c r="R71" s="58"/>
      <c r="S71" s="58"/>
      <c r="T71" s="58"/>
      <c r="U71" s="58"/>
      <c r="V71" s="58"/>
      <c r="W71" s="58"/>
      <c r="X71" s="58"/>
      <c r="Y71" s="58"/>
      <c r="Z71" s="435"/>
      <c r="AA71" s="346"/>
    </row>
    <row r="72" spans="1:27" ht="15.75" customHeight="1" thickBot="1">
      <c r="A72" s="85" t="s">
        <v>895</v>
      </c>
      <c r="B72" s="111"/>
      <c r="C72" s="111"/>
      <c r="D72" s="113"/>
      <c r="E72" s="113"/>
      <c r="F72" s="58"/>
      <c r="G72" s="70"/>
      <c r="H72" s="70"/>
      <c r="I72" s="38"/>
      <c r="J72" s="57"/>
      <c r="K72" s="38"/>
      <c r="L72" s="38"/>
      <c r="M72" s="38"/>
      <c r="N72" s="38"/>
      <c r="O72" s="38"/>
      <c r="P72" s="38"/>
      <c r="Q72" s="38"/>
      <c r="R72" s="58"/>
      <c r="S72" s="58"/>
      <c r="T72" s="58"/>
      <c r="U72" s="58"/>
      <c r="V72" s="58"/>
      <c r="W72" s="58"/>
      <c r="X72" s="58"/>
      <c r="Y72" s="58"/>
      <c r="Z72" s="435"/>
      <c r="AA72" s="346"/>
    </row>
    <row r="73" spans="1:27" ht="15.75" customHeight="1" thickBot="1">
      <c r="A73" s="387"/>
      <c r="B73" s="437"/>
      <c r="C73" s="437"/>
      <c r="D73" s="696" t="str">
        <f>CHOOSE(MODE, "Min Load Current, IOUT_min ", "Min Load Current, IOUT1_min")</f>
        <v>Min Load Current, IOUT1_min</v>
      </c>
      <c r="E73" s="756">
        <v>0.02</v>
      </c>
      <c r="F73" s="757" t="s">
        <v>1</v>
      </c>
      <c r="G73" s="70"/>
      <c r="H73" s="361"/>
      <c r="I73" s="502"/>
      <c r="J73" s="502"/>
      <c r="K73" s="674" t="str">
        <f>CHOOSE(MODE, " ", "Min Load Current, IOUT2min")</f>
        <v>Min Load Current, IOUT2min</v>
      </c>
      <c r="L73" s="766">
        <v>0.01</v>
      </c>
      <c r="M73" s="759" t="str">
        <f>CHOOSE(MODE, "", "A")</f>
        <v>A</v>
      </c>
      <c r="N73" s="38"/>
      <c r="O73" s="38"/>
      <c r="P73" s="38"/>
      <c r="Q73" s="38"/>
      <c r="R73" s="58"/>
      <c r="S73" s="58"/>
      <c r="T73" s="58"/>
      <c r="U73" s="58"/>
      <c r="V73" s="58"/>
      <c r="W73" s="58"/>
      <c r="X73" s="58"/>
      <c r="Y73" s="58"/>
      <c r="Z73" s="435"/>
      <c r="AA73" s="346"/>
    </row>
    <row r="74" spans="1:27" ht="15.75" customHeight="1">
      <c r="A74" s="112"/>
      <c r="B74" s="111"/>
      <c r="C74" s="111"/>
      <c r="D74" s="126" t="str">
        <f>CHOOSE(MODE, "Max VOUT Limit","Max VOUT1 Limit")</f>
        <v>Max VOUT1 Limit</v>
      </c>
      <c r="E74" s="753">
        <v>35</v>
      </c>
      <c r="F74" s="758" t="s">
        <v>0</v>
      </c>
      <c r="G74" s="751"/>
      <c r="H74" s="69"/>
      <c r="I74" s="38"/>
      <c r="J74" s="38"/>
      <c r="K74" s="67" t="str">
        <f>CHOOSE(MODE,"","Max Output Voltage Limit, VOUT2max")</f>
        <v>Max Output Voltage Limit, VOUT2max</v>
      </c>
      <c r="L74" s="767">
        <v>6.8</v>
      </c>
      <c r="M74" s="760" t="str">
        <f>CHOOSE(MODE,"","V")</f>
        <v>V</v>
      </c>
      <c r="N74" s="38"/>
      <c r="O74" s="38"/>
      <c r="P74" s="38"/>
      <c r="Q74" s="38"/>
      <c r="R74" s="58"/>
      <c r="S74" s="58"/>
      <c r="T74" s="58"/>
      <c r="U74" s="58"/>
      <c r="V74" s="58"/>
      <c r="W74" s="58"/>
      <c r="X74" s="58"/>
      <c r="Y74" s="58"/>
      <c r="Z74" s="435"/>
      <c r="AA74" s="346"/>
    </row>
    <row r="75" spans="1:27" ht="15.75" customHeight="1">
      <c r="A75" s="112"/>
      <c r="B75" s="111"/>
      <c r="C75" s="111"/>
      <c r="D75" s="113" t="str">
        <f>CHOOSE(MODE," Zener Clamp Dz or Dymmy Load Rdmy","Zener Clamp Dz1 or Dummy Load Rdmy1")</f>
        <v>Zener Clamp Dz1 or Dummy Load Rdmy1</v>
      </c>
      <c r="E75" s="720" t="str">
        <f>CHOOSE(MODE, IF('Calculations - Single'!G329="Yes",IF(E74&gt;ROUND(Vout*11.25,0)/10, IF(E74/E10&gt;1.4,"None", "Dz"), "Rdmy"), "None"), IF('Calculations - Dual'!G329="Yes",IF(E74&gt;ROUND(Vout*11.25,0)/10, IF(E74/E10&gt;1.4,"None","Dz1"), "Rdmy1"), "None"))</f>
        <v>None</v>
      </c>
      <c r="F75" s="739"/>
      <c r="G75" s="765"/>
      <c r="H75" s="69"/>
      <c r="I75" s="38"/>
      <c r="J75" s="38"/>
      <c r="K75" s="68" t="str">
        <f>CHOOSE(MODE,"","Zener Clamp Dz2 or Dummy Load Rdmy2")</f>
        <v>Zener Clamp Dz2 or Dummy Load Rdmy2</v>
      </c>
      <c r="L75" s="768" t="str">
        <f>CHOOSE(MODE, "", IF('Calculations - Dual'!N329="Yes",IF(ABS(L74)&gt;ROUND(Vout2*11.25,0)/10, IF(L74/Vout2&gt;1.4,"None","Dz2"), "Rdmy2"), "None"))</f>
        <v>Rdmy2</v>
      </c>
      <c r="M75" s="761"/>
      <c r="N75" s="38"/>
      <c r="O75" s="38"/>
      <c r="P75" s="38"/>
      <c r="Q75" s="38"/>
      <c r="R75" s="58"/>
      <c r="S75" s="58"/>
      <c r="T75" s="58"/>
      <c r="U75" s="58"/>
      <c r="V75" s="58"/>
      <c r="W75" s="58"/>
      <c r="X75" s="58"/>
      <c r="Y75" s="58"/>
      <c r="Z75" s="435"/>
      <c r="AA75" s="346"/>
    </row>
    <row r="76" spans="1:27" ht="15.75" customHeight="1" thickBot="1">
      <c r="A76" s="112"/>
      <c r="B76" s="111"/>
      <c r="C76" s="111"/>
      <c r="D76" s="113" t="s">
        <v>959</v>
      </c>
      <c r="E76" s="783" t="str">
        <f>CHOOSE(MODE,IF(OR(E75="Rdmy",E75="Rdmy1"),'Standard Value Calculator'!J23,IF(E75="None","None",ROUND(E74/0.0105,0)/100)),IF(OR(E75="Rdmy",E75="Rdmy1"),'Standard Value Calculator'!J24,IF(E75="None","None",ROUND(E74/0.0105,0)/100)))</f>
        <v>None</v>
      </c>
      <c r="F76" s="739" t="str">
        <f>IF(OR(E75="DZ", E75="DZ1"), "V", IF(OR(E75="Rdmy", E75="Rdmy1"),"Ohm", ""))</f>
        <v/>
      </c>
      <c r="G76" s="752"/>
      <c r="H76" s="746"/>
      <c r="I76" s="182"/>
      <c r="J76" s="184"/>
      <c r="K76" s="68" t="str">
        <f>CHOOSE(MODE, "", "Selection "&amp;IF(L75="Dz", "Zener Clamp (5%)", IF(L75="Rdym", "Dummy Load (1%)", "")))</f>
        <v xml:space="preserve">Selection </v>
      </c>
      <c r="L76" s="328">
        <f>CHOOSE(MODE,"",IF(L75="Rdmy2",'Standard Value Calculator'!J25,IF(L75="None","None",ROUND(ABS(L74)/0.0105,0)/100)))</f>
        <v>383</v>
      </c>
      <c r="M76" s="714" t="str">
        <f>IF(L75="DZ2", "V", IF(L75="Rdmy2","Ohm", ""))</f>
        <v>Ohm</v>
      </c>
      <c r="N76" s="38"/>
      <c r="O76" s="38"/>
      <c r="P76" s="38"/>
      <c r="Q76" s="38"/>
      <c r="R76" s="58"/>
      <c r="S76" s="58"/>
      <c r="T76" s="58"/>
      <c r="U76" s="58"/>
      <c r="V76" s="58"/>
      <c r="W76" s="58"/>
      <c r="X76" s="58"/>
      <c r="Y76" s="58"/>
      <c r="Z76" s="435"/>
      <c r="AA76" s="346"/>
    </row>
    <row r="77" spans="1:27" ht="15.75" customHeight="1" thickBot="1">
      <c r="A77" s="673"/>
      <c r="B77" s="128"/>
      <c r="C77" s="128"/>
      <c r="D77" s="436" t="s">
        <v>897</v>
      </c>
      <c r="E77" s="436" t="str">
        <f>IF(OR(E75="Rdmy",E75="Rdmy1"),(Vout*1.08)^2/E76*4, IF(OR(E75="Dz",E75="Dz1"), E76*1.065*E73*4*1*0+'Standard Value Calculator'!I27*5, "N/A"))</f>
        <v>N/A</v>
      </c>
      <c r="F77" s="741" t="s">
        <v>45</v>
      </c>
      <c r="G77" s="70"/>
      <c r="H77" s="762"/>
      <c r="I77" s="763"/>
      <c r="J77" s="764"/>
      <c r="K77" s="179" t="str">
        <f>CHOOSE(MODE, "", "Selected Device Min Power Rating&gt;")</f>
        <v>Selected Device Min Power Rating&gt;</v>
      </c>
      <c r="L77" s="482">
        <f>CHOOSE(MODE, "", IF(L75="Rdmy2",(Vout2*1.08)^2/L76*4, IF(L75="Dz2", ABS(L60*1.065*L73*4*0+'Standard Value Calculator'!I29*5), "")))</f>
        <v>0.43854203655352492</v>
      </c>
      <c r="M77" s="540" t="str">
        <f>CHOOSE(MODE, "", "W")</f>
        <v>W</v>
      </c>
      <c r="N77" s="38"/>
      <c r="O77" s="38"/>
      <c r="P77" s="38"/>
      <c r="Q77" s="38"/>
      <c r="R77" s="58"/>
      <c r="S77" s="58"/>
      <c r="T77" s="58"/>
      <c r="U77" s="58"/>
      <c r="V77" s="58"/>
      <c r="W77" s="58"/>
      <c r="X77" s="58"/>
      <c r="Y77" s="58"/>
      <c r="Z77" s="435"/>
      <c r="AA77" s="346"/>
    </row>
    <row r="78" spans="1:27" ht="15.75" customHeight="1">
      <c r="A78" s="112"/>
      <c r="B78" s="111"/>
      <c r="C78" s="111"/>
      <c r="D78" s="113"/>
      <c r="E78" s="113"/>
      <c r="F78" s="58"/>
      <c r="G78" s="70"/>
      <c r="H78" s="113"/>
      <c r="I78" s="182"/>
      <c r="J78" s="184"/>
      <c r="K78" s="58"/>
      <c r="L78" s="58"/>
      <c r="M78" s="38"/>
      <c r="N78" s="38"/>
      <c r="O78" s="38"/>
      <c r="P78" s="38"/>
      <c r="Q78" s="38"/>
      <c r="R78" s="58"/>
      <c r="S78" s="58"/>
      <c r="T78" s="58"/>
      <c r="U78" s="58"/>
      <c r="V78" s="58"/>
      <c r="W78" s="58"/>
      <c r="X78" s="58"/>
      <c r="Y78" s="58"/>
      <c r="Z78" s="435"/>
      <c r="AA78" s="346"/>
    </row>
    <row r="79" spans="1:27" ht="15.75" customHeight="1" thickBot="1">
      <c r="A79" s="388" t="s">
        <v>896</v>
      </c>
      <c r="B79" s="70"/>
      <c r="C79" s="70"/>
      <c r="D79" s="68"/>
      <c r="E79" s="78"/>
      <c r="F79" s="70"/>
      <c r="G79" s="70"/>
      <c r="H79" s="113"/>
      <c r="I79" s="182"/>
      <c r="J79" s="184"/>
      <c r="K79" s="58"/>
      <c r="L79" s="58"/>
      <c r="M79" s="38"/>
      <c r="N79" s="38"/>
      <c r="O79" s="38"/>
      <c r="P79" s="38"/>
      <c r="Q79" s="38"/>
      <c r="R79" s="58"/>
      <c r="S79" s="58"/>
      <c r="T79" s="58"/>
      <c r="U79" s="58"/>
      <c r="V79" s="58"/>
      <c r="W79" s="58"/>
      <c r="X79" s="58"/>
      <c r="Y79" s="58"/>
      <c r="Z79" s="435"/>
      <c r="AA79" s="346"/>
    </row>
    <row r="80" spans="1:27" ht="15.75" customHeight="1">
      <c r="A80" s="487"/>
      <c r="B80" s="430"/>
      <c r="C80" s="430"/>
      <c r="D80" s="488" t="s">
        <v>924</v>
      </c>
      <c r="E80" s="491">
        <v>0.4</v>
      </c>
      <c r="F80" s="489" t="s">
        <v>0</v>
      </c>
      <c r="G80" s="70"/>
      <c r="H80" s="113"/>
      <c r="I80" s="182"/>
      <c r="J80" s="184"/>
      <c r="K80" s="58"/>
      <c r="L80" s="58"/>
      <c r="M80" s="38"/>
      <c r="N80" s="38"/>
      <c r="O80" s="38"/>
      <c r="P80" s="38"/>
      <c r="Q80" s="38"/>
      <c r="R80" s="58"/>
      <c r="S80" s="58"/>
      <c r="T80" s="58"/>
      <c r="U80" s="58"/>
      <c r="V80" s="58"/>
      <c r="W80" s="58"/>
      <c r="X80" s="58"/>
      <c r="Y80" s="58"/>
      <c r="Z80" s="435"/>
      <c r="AA80" s="346"/>
    </row>
    <row r="81" spans="1:35" ht="15.75" customHeight="1">
      <c r="A81" s="364"/>
      <c r="B81" s="58"/>
      <c r="C81" s="58"/>
      <c r="D81" s="718" t="s">
        <v>925</v>
      </c>
      <c r="E81" s="59">
        <f>L31</f>
        <v>0.7</v>
      </c>
      <c r="F81" s="539" t="s">
        <v>0</v>
      </c>
      <c r="G81" s="70"/>
      <c r="H81" s="113"/>
      <c r="I81" s="182"/>
      <c r="J81" s="184"/>
      <c r="K81" s="58"/>
      <c r="L81" s="58"/>
      <c r="M81" s="38"/>
      <c r="N81" s="38"/>
      <c r="O81" s="38"/>
      <c r="P81" s="38"/>
      <c r="Q81" s="38"/>
      <c r="R81" s="58"/>
      <c r="S81" s="58"/>
      <c r="T81" s="58"/>
      <c r="U81" s="58"/>
      <c r="V81" s="58"/>
      <c r="W81" s="58"/>
      <c r="X81" s="58"/>
      <c r="Y81" s="58"/>
      <c r="Z81" s="435"/>
      <c r="AA81" s="346"/>
    </row>
    <row r="82" spans="1:35" ht="15.75" customHeight="1">
      <c r="A82" s="69"/>
      <c r="B82" s="111"/>
      <c r="C82" s="111"/>
      <c r="D82" s="113" t="s">
        <v>958</v>
      </c>
      <c r="E82" s="782">
        <v>52.8</v>
      </c>
      <c r="F82" s="781" t="s">
        <v>84</v>
      </c>
      <c r="G82" s="70"/>
      <c r="H82" s="113"/>
      <c r="I82" s="182"/>
      <c r="J82" s="184"/>
      <c r="K82" s="58"/>
      <c r="L82" s="58"/>
      <c r="M82" s="38"/>
      <c r="N82" s="38"/>
      <c r="O82" s="38"/>
      <c r="P82" s="38"/>
      <c r="Q82" s="38"/>
      <c r="R82" s="58"/>
      <c r="S82" s="58"/>
      <c r="T82" s="58"/>
      <c r="U82" s="58"/>
      <c r="V82" s="58"/>
      <c r="W82" s="58"/>
      <c r="X82" s="58"/>
      <c r="Y82" s="58"/>
      <c r="Z82" s="435"/>
      <c r="AA82" s="346"/>
    </row>
    <row r="83" spans="1:35" ht="15.75" customHeight="1">
      <c r="A83" s="69"/>
      <c r="B83" s="70"/>
      <c r="C83" s="70"/>
      <c r="D83" s="67" t="s">
        <v>505</v>
      </c>
      <c r="E83" s="486">
        <v>85</v>
      </c>
      <c r="F83" s="366" t="s">
        <v>102</v>
      </c>
      <c r="G83" s="70"/>
      <c r="H83" s="113"/>
      <c r="I83" s="182"/>
      <c r="J83" s="184"/>
      <c r="K83" s="58"/>
      <c r="L83" s="58"/>
      <c r="M83" s="38"/>
      <c r="N83" s="38"/>
      <c r="O83" s="38"/>
      <c r="P83" s="38"/>
      <c r="Q83" s="38"/>
      <c r="R83" s="58"/>
      <c r="S83" s="58"/>
      <c r="T83" s="58"/>
      <c r="U83" s="58"/>
      <c r="V83" s="58"/>
      <c r="W83" s="58"/>
      <c r="X83" s="58"/>
      <c r="Y83" s="58"/>
      <c r="Z83" s="435"/>
      <c r="AA83" s="346"/>
    </row>
    <row r="84" spans="1:35" ht="15.75" customHeight="1">
      <c r="A84" s="69"/>
      <c r="B84" s="70"/>
      <c r="C84" s="70"/>
      <c r="D84" s="68" t="s">
        <v>779</v>
      </c>
      <c r="E84" s="313">
        <f>CHOOSE(MODE, 'Calculations - Single'!BL105, 'Calculations - Dual'!BJ105)</f>
        <v>39.551374112731736</v>
      </c>
      <c r="F84" s="82" t="s">
        <v>293</v>
      </c>
      <c r="G84" s="70"/>
      <c r="H84" s="113"/>
      <c r="I84" s="182"/>
      <c r="J84" s="184"/>
      <c r="K84" s="58"/>
      <c r="L84" s="58"/>
      <c r="M84" s="38"/>
      <c r="N84" s="38"/>
      <c r="O84" s="38"/>
      <c r="P84" s="38"/>
      <c r="Q84" s="38"/>
      <c r="R84" s="58"/>
      <c r="S84" s="58"/>
      <c r="T84" s="58"/>
      <c r="U84" s="58"/>
      <c r="V84" s="58"/>
      <c r="W84" s="58"/>
      <c r="X84" s="58"/>
      <c r="Y84" s="58"/>
      <c r="Z84" s="435"/>
      <c r="AA84" s="346"/>
    </row>
    <row r="85" spans="1:35" ht="15.75" customHeight="1" thickBot="1">
      <c r="A85" s="80"/>
      <c r="B85" s="81"/>
      <c r="C85" s="81"/>
      <c r="D85" s="315" t="s">
        <v>780</v>
      </c>
      <c r="E85" s="441">
        <f>E83+E84/1000*ThetaJA</f>
        <v>87.088312553152235</v>
      </c>
      <c r="F85" s="369" t="s">
        <v>102</v>
      </c>
      <c r="G85" s="70"/>
      <c r="H85" s="113"/>
      <c r="I85" s="182"/>
      <c r="J85" s="184"/>
      <c r="K85" s="58"/>
      <c r="L85" s="58"/>
      <c r="M85" s="38"/>
      <c r="N85" s="38"/>
      <c r="O85" s="38"/>
      <c r="P85" s="38"/>
      <c r="Q85" s="38"/>
      <c r="R85" s="58"/>
      <c r="S85" s="58"/>
      <c r="T85" s="58"/>
      <c r="U85" s="58"/>
      <c r="V85" s="58"/>
      <c r="W85" s="58"/>
      <c r="X85" s="58"/>
      <c r="Y85" s="58"/>
      <c r="Z85" s="435"/>
      <c r="AA85" s="346"/>
    </row>
    <row r="86" spans="1:35" ht="15.75" customHeight="1" thickBot="1">
      <c r="A86" s="80"/>
      <c r="B86" s="83"/>
      <c r="C86" s="83"/>
      <c r="D86" s="83"/>
      <c r="E86" s="482"/>
      <c r="F86" s="83"/>
      <c r="G86" s="83"/>
      <c r="H86" s="83"/>
      <c r="I86" s="433"/>
      <c r="J86" s="433"/>
      <c r="K86" s="433"/>
      <c r="L86" s="433"/>
      <c r="M86" s="433"/>
      <c r="N86" s="433"/>
      <c r="O86" s="433"/>
      <c r="P86" s="433"/>
      <c r="Q86" s="433"/>
      <c r="R86" s="431"/>
      <c r="S86" s="431"/>
      <c r="T86" s="431"/>
      <c r="U86" s="432"/>
      <c r="V86" s="432"/>
      <c r="W86" s="431"/>
      <c r="X86" s="431"/>
      <c r="Y86" s="431"/>
      <c r="Z86" s="483"/>
      <c r="AA86" s="346"/>
      <c r="AB86" s="18"/>
      <c r="AC86" s="18"/>
      <c r="AD86" s="18"/>
      <c r="AG86" s="18"/>
      <c r="AH86" s="18"/>
      <c r="AI86" s="18"/>
    </row>
    <row r="87" spans="1:35">
      <c r="A87" s="354"/>
      <c r="B87" s="355"/>
      <c r="C87" s="356"/>
      <c r="D87" s="356"/>
      <c r="E87" s="356"/>
      <c r="F87" s="356"/>
      <c r="G87" s="356"/>
      <c r="H87" s="356"/>
      <c r="I87" s="356"/>
      <c r="J87" s="356"/>
      <c r="K87" s="356"/>
      <c r="L87" s="356"/>
      <c r="M87" s="356"/>
      <c r="N87" s="356"/>
      <c r="O87" s="356"/>
      <c r="P87" s="356"/>
      <c r="Q87" s="356"/>
      <c r="R87" s="353"/>
      <c r="S87" s="353"/>
      <c r="T87" s="353"/>
      <c r="U87" s="346"/>
      <c r="V87" s="346"/>
      <c r="W87" s="353"/>
      <c r="X87" s="353"/>
      <c r="Y87" s="353"/>
      <c r="Z87" s="346"/>
      <c r="AA87" s="346"/>
      <c r="AB87" s="18"/>
      <c r="AC87" s="18"/>
      <c r="AD87" s="18"/>
      <c r="AG87" s="18"/>
      <c r="AH87" s="18"/>
      <c r="AI87" s="18"/>
    </row>
    <row r="88" spans="1:35">
      <c r="A88" s="35"/>
      <c r="K88" s="35" t="s">
        <v>849</v>
      </c>
      <c r="R88" s="18"/>
      <c r="S88" s="18"/>
      <c r="T88" s="18"/>
      <c r="W88" s="18"/>
      <c r="X88" s="18"/>
      <c r="Y88" s="18"/>
      <c r="AB88" s="18"/>
      <c r="AC88" s="18"/>
      <c r="AD88" s="18"/>
      <c r="AG88" s="18"/>
      <c r="AH88" s="18"/>
      <c r="AI88" s="18"/>
    </row>
    <row r="89" spans="1:35">
      <c r="R89" s="18"/>
      <c r="S89" s="18"/>
      <c r="T89" s="18"/>
      <c r="W89" s="18"/>
      <c r="X89" s="18"/>
      <c r="Y89" s="18"/>
      <c r="AB89" s="18"/>
      <c r="AC89" s="18"/>
      <c r="AD89" s="18"/>
      <c r="AG89" s="18"/>
      <c r="AH89" s="18"/>
      <c r="AI89" s="18"/>
    </row>
    <row r="90" spans="1:35">
      <c r="R90" s="18"/>
      <c r="S90" s="18"/>
      <c r="T90" s="18"/>
      <c r="W90" s="18"/>
      <c r="X90" s="18"/>
      <c r="Y90" s="18"/>
      <c r="AB90" s="18"/>
      <c r="AC90" s="18"/>
      <c r="AD90" s="18"/>
      <c r="AG90" s="18"/>
      <c r="AH90" s="18"/>
      <c r="AI90" s="18"/>
    </row>
    <row r="91" spans="1:35">
      <c r="R91" s="18"/>
      <c r="S91" s="18"/>
      <c r="T91" s="18"/>
      <c r="W91" s="18"/>
      <c r="X91" s="18"/>
      <c r="Y91" s="18"/>
      <c r="AB91" s="18"/>
      <c r="AC91" s="18"/>
      <c r="AD91" s="18"/>
      <c r="AG91" s="18"/>
      <c r="AH91" s="18"/>
      <c r="AI91" s="18"/>
    </row>
    <row r="92" spans="1:35">
      <c r="R92" s="18"/>
      <c r="S92" s="18"/>
      <c r="T92" s="18"/>
      <c r="W92" s="18"/>
      <c r="X92" s="18"/>
      <c r="Y92" s="18"/>
      <c r="AB92" s="18"/>
      <c r="AC92" s="18"/>
      <c r="AD92" s="18"/>
      <c r="AG92" s="18"/>
      <c r="AH92" s="18"/>
      <c r="AI92" s="18"/>
    </row>
  </sheetData>
  <sheetProtection algorithmName="SHA-512" hashValue="zP62NDrkP8k5beUd8zbudD5+Cxq+zARJC+DJNmCi0W+OtQoQR4RuTACcQOInFXp2VG5BXHw1G1+UE4Md1FzDog==" saltValue="wVPJQJLAvC5dKrVQGZJdFQ==" spinCount="100000" sheet="1" objects="1" scenarios="1" selectLockedCells="1"/>
  <phoneticPr fontId="6" type="noConversion"/>
  <conditionalFormatting sqref="C50:E50">
    <cfRule type="expression" dxfId="68" priority="17">
      <formula>OR(MODE_UVLO=2)</formula>
    </cfRule>
  </conditionalFormatting>
  <conditionalFormatting sqref="C51:E51">
    <cfRule type="expression" dxfId="67" priority="16">
      <formula>OR(MODE_UVLO=2)</formula>
    </cfRule>
  </conditionalFormatting>
  <conditionalFormatting sqref="D42">
    <cfRule type="expression" dxfId="66" priority="115">
      <formula>OR(MODE_SS=2,MODE_SS=3)</formula>
    </cfRule>
  </conditionalFormatting>
  <conditionalFormatting sqref="D45">
    <cfRule type="expression" dxfId="65" priority="61">
      <formula>OR(TC=2)</formula>
    </cfRule>
  </conditionalFormatting>
  <conditionalFormatting sqref="D48">
    <cfRule type="expression" dxfId="64" priority="112">
      <formula>MODE_UVLO=2</formula>
    </cfRule>
  </conditionalFormatting>
  <conditionalFormatting sqref="D43:F43">
    <cfRule type="expression" dxfId="63" priority="114">
      <formula>OR(MODE_SS=2,MODE_SS=3)</formula>
    </cfRule>
  </conditionalFormatting>
  <conditionalFormatting sqref="E6">
    <cfRule type="cellIs" dxfId="62" priority="5" operator="notBetween">
      <formula>4.5</formula>
      <formula>100</formula>
    </cfRule>
  </conditionalFormatting>
  <conditionalFormatting sqref="E7">
    <cfRule type="cellIs" dxfId="61" priority="4" operator="notBetween">
      <formula>$E$6</formula>
      <formula>100</formula>
    </cfRule>
  </conditionalFormatting>
  <conditionalFormatting sqref="E8">
    <cfRule type="cellIs" dxfId="60" priority="38" operator="notBetween">
      <formula>$E$7</formula>
      <formula>100</formula>
    </cfRule>
  </conditionalFormatting>
  <conditionalFormatting sqref="E10">
    <cfRule type="cellIs" dxfId="59" priority="145" stopIfTrue="1" operator="notBetween">
      <formula>-200</formula>
      <formula>200</formula>
    </cfRule>
  </conditionalFormatting>
  <conditionalFormatting sqref="E12">
    <cfRule type="cellIs" dxfId="58" priority="72" operator="notBetween">
      <formula>-200</formula>
      <formula>200</formula>
    </cfRule>
  </conditionalFormatting>
  <conditionalFormatting sqref="E13">
    <cfRule type="expression" dxfId="56" priority="71">
      <formula>($E$12*$E$13)&lt;0</formula>
    </cfRule>
  </conditionalFormatting>
  <conditionalFormatting sqref="E17">
    <cfRule type="cellIs" dxfId="55" priority="35" stopIfTrue="1" operator="greaterThan">
      <formula>$E$16</formula>
    </cfRule>
  </conditionalFormatting>
  <conditionalFormatting sqref="E23">
    <cfRule type="cellIs" dxfId="54" priority="195" stopIfTrue="1" operator="lessThan">
      <formula>$E$22</formula>
    </cfRule>
  </conditionalFormatting>
  <conditionalFormatting sqref="E30">
    <cfRule type="cellIs" dxfId="53" priority="138" stopIfTrue="1" operator="lessThan">
      <formula>$E$29</formula>
    </cfRule>
  </conditionalFormatting>
  <conditionalFormatting sqref="E31">
    <cfRule type="cellIs" dxfId="52" priority="137" stopIfTrue="1" operator="equal">
      <formula>0</formula>
    </cfRule>
  </conditionalFormatting>
  <conditionalFormatting sqref="E34">
    <cfRule type="cellIs" dxfId="51" priority="142" stopIfTrue="1" operator="lessThan">
      <formula>$E$33</formula>
    </cfRule>
  </conditionalFormatting>
  <conditionalFormatting sqref="E35">
    <cfRule type="cellIs" dxfId="50" priority="66" stopIfTrue="1" operator="equal">
      <formula>0</formula>
    </cfRule>
  </conditionalFormatting>
  <conditionalFormatting sqref="E40">
    <cfRule type="cellIs" dxfId="49" priority="1" operator="notBetween">
      <formula>$E$39*0.969</formula>
      <formula>$E$39*1.031</formula>
    </cfRule>
  </conditionalFormatting>
  <conditionalFormatting sqref="E42">
    <cfRule type="cellIs" dxfId="48" priority="132" operator="lessThan">
      <formula>6</formula>
    </cfRule>
  </conditionalFormatting>
  <conditionalFormatting sqref="E48">
    <cfRule type="cellIs" dxfId="47" priority="134" operator="notBetween">
      <formula>100</formula>
      <formula>4.5</formula>
    </cfRule>
  </conditionalFormatting>
  <conditionalFormatting sqref="E58">
    <cfRule type="cellIs" dxfId="46" priority="22" operator="greaterThan">
      <formula>$E$57</formula>
    </cfRule>
  </conditionalFormatting>
  <conditionalFormatting sqref="E74">
    <cfRule type="cellIs" dxfId="45" priority="3" operator="lessThan">
      <formula>$E$10*1.03</formula>
    </cfRule>
  </conditionalFormatting>
  <conditionalFormatting sqref="E80">
    <cfRule type="cellIs" dxfId="44" priority="9" operator="greaterThan">
      <formula>$E$81</formula>
    </cfRule>
  </conditionalFormatting>
  <conditionalFormatting sqref="E83">
    <cfRule type="cellIs" dxfId="43" priority="93" operator="notBetween">
      <formula>-40</formula>
      <formula>150</formula>
    </cfRule>
  </conditionalFormatting>
  <conditionalFormatting sqref="E85">
    <cfRule type="cellIs" dxfId="42" priority="94" operator="notBetween">
      <formula>-40</formula>
      <formula>150</formula>
    </cfRule>
  </conditionalFormatting>
  <conditionalFormatting sqref="E42:F42">
    <cfRule type="expression" dxfId="41" priority="116">
      <formula>OR(MODE_SS=2,MODE_SS=3)</formula>
    </cfRule>
  </conditionalFormatting>
  <conditionalFormatting sqref="E45:F45 D46:F46">
    <cfRule type="expression" dxfId="40" priority="60">
      <formula>OR(TC=2)</formula>
    </cfRule>
  </conditionalFormatting>
  <conditionalFormatting sqref="E48:F49">
    <cfRule type="expression" dxfId="39" priority="18">
      <formula>OR(MODE_UVLO=2)</formula>
    </cfRule>
  </conditionalFormatting>
  <conditionalFormatting sqref="F29">
    <cfRule type="cellIs" dxfId="37" priority="74" stopIfTrue="1" operator="lessThanOrEqual">
      <formula>0</formula>
    </cfRule>
  </conditionalFormatting>
  <conditionalFormatting sqref="F33">
    <cfRule type="cellIs" dxfId="36" priority="92" stopIfTrue="1" operator="lessThanOrEqual">
      <formula>0</formula>
    </cfRule>
  </conditionalFormatting>
  <conditionalFormatting sqref="F50:F51">
    <cfRule type="expression" dxfId="35" priority="84">
      <formula>MODE_UVLO=2</formula>
    </cfRule>
  </conditionalFormatting>
  <conditionalFormatting sqref="J51:J52">
    <cfRule type="cellIs" dxfId="30" priority="157" stopIfTrue="1" operator="greaterThan">
      <formula>$E$9</formula>
    </cfRule>
    <cfRule type="cellIs" dxfId="29" priority="156" stopIfTrue="1" operator="notBetween">
      <formula>600</formula>
      <formula>50</formula>
    </cfRule>
  </conditionalFormatting>
  <conditionalFormatting sqref="L34">
    <cfRule type="cellIs" dxfId="21" priority="56" stopIfTrue="1" operator="lessThan">
      <formula>$L$33</formula>
    </cfRule>
  </conditionalFormatting>
  <conditionalFormatting sqref="L35">
    <cfRule type="cellIs" dxfId="20" priority="54" stopIfTrue="1" operator="equal">
      <formula>0</formula>
    </cfRule>
  </conditionalFormatting>
  <conditionalFormatting sqref="L74">
    <cfRule type="cellIs" dxfId="19" priority="2" operator="lessThan">
      <formula>$E$12*1.03</formula>
    </cfRule>
  </conditionalFormatting>
  <conditionalFormatting sqref="M33">
    <cfRule type="cellIs" dxfId="15" priority="55" stopIfTrue="1" operator="lessThanOrEqual">
      <formula>0</formula>
    </cfRule>
  </conditionalFormatting>
  <conditionalFormatting sqref="S31">
    <cfRule type="cellIs" dxfId="13" priority="10" operator="notBetween">
      <formula>0.3</formula>
      <formula>1.5</formula>
    </cfRule>
  </conditionalFormatting>
  <conditionalFormatting sqref="W63">
    <cfRule type="cellIs" dxfId="12" priority="41" stopIfTrue="1" operator="notBetween">
      <formula>100</formula>
      <formula>4.5</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87"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1583" r:id="rId6" name="Drop Down 6111">
              <controlPr defaultSize="0" autoLine="0" autoPict="0">
                <anchor moveWithCells="1">
                  <from>
                    <xdr:col>24</xdr:col>
                    <xdr:colOff>304800</xdr:colOff>
                    <xdr:row>0</xdr:row>
                    <xdr:rowOff>411480</xdr:rowOff>
                  </from>
                  <to>
                    <xdr:col>25</xdr:col>
                    <xdr:colOff>220980</xdr:colOff>
                    <xdr:row>1</xdr:row>
                    <xdr:rowOff>60960</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15240</xdr:colOff>
                    <xdr:row>40</xdr:row>
                    <xdr:rowOff>0</xdr:rowOff>
                  </from>
                  <to>
                    <xdr:col>5</xdr:col>
                    <xdr:colOff>281940</xdr:colOff>
                    <xdr:row>41</xdr:row>
                    <xdr:rowOff>30480</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15240</xdr:colOff>
                    <xdr:row>46</xdr:row>
                    <xdr:rowOff>0</xdr:rowOff>
                  </from>
                  <to>
                    <xdr:col>5</xdr:col>
                    <xdr:colOff>259080</xdr:colOff>
                    <xdr:row>46</xdr:row>
                    <xdr:rowOff>205740</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15240</xdr:colOff>
                    <xdr:row>12</xdr:row>
                    <xdr:rowOff>0</xdr:rowOff>
                  </from>
                  <to>
                    <xdr:col>12</xdr:col>
                    <xdr:colOff>68580</xdr:colOff>
                    <xdr:row>13</xdr:row>
                    <xdr:rowOff>7620</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43</xdr:row>
                    <xdr:rowOff>15240</xdr:rowOff>
                  </from>
                  <to>
                    <xdr:col>5</xdr:col>
                    <xdr:colOff>266700</xdr:colOff>
                    <xdr:row>44</xdr:row>
                    <xdr:rowOff>15240</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672895" r:id="rId12" name="Spinner 127">
              <controlPr defaultSize="0" autoPict="0">
                <anchor moveWithCells="1" sizeWithCells="1">
                  <from>
                    <xdr:col>5</xdr:col>
                    <xdr:colOff>129540</xdr:colOff>
                    <xdr:row>6</xdr:row>
                    <xdr:rowOff>15240</xdr:rowOff>
                  </from>
                  <to>
                    <xdr:col>5</xdr:col>
                    <xdr:colOff>304800</xdr:colOff>
                    <xdr:row>7</xdr:row>
                    <xdr:rowOff>30480</xdr:rowOff>
                  </to>
                </anchor>
              </controlPr>
            </control>
          </mc:Choice>
        </mc:AlternateContent>
        <mc:AlternateContent xmlns:mc="http://schemas.openxmlformats.org/markup-compatibility/2006">
          <mc:Choice Requires="x14">
            <control shapeId="751280" r:id="rId13" name="Spinner 5808">
              <controlPr defaultSize="0" autoPict="0">
                <anchor moveWithCells="1" sizeWithCells="1">
                  <from>
                    <xdr:col>23</xdr:col>
                    <xdr:colOff>129540</xdr:colOff>
                    <xdr:row>62</xdr:row>
                    <xdr:rowOff>15240</xdr:rowOff>
                  </from>
                  <to>
                    <xdr:col>23</xdr:col>
                    <xdr:colOff>304800</xdr:colOff>
                    <xdr:row>63</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8" id="{7DE853EF-1754-4C48-A140-FF26B3EC5CF8}">
            <xm:f>'Variable Mgmt'!$B$58=FALSE</xm:f>
            <x14:dxf>
              <border>
                <bottom/>
                <vertical/>
                <horizontal/>
              </border>
            </x14:dxf>
          </x14:cfRule>
          <xm:sqref>A11:F12</xm:sqref>
        </x14:conditionalFormatting>
        <x14:conditionalFormatting xmlns:xm="http://schemas.microsoft.com/office/excel/2006/main">
          <x14:cfRule type="expression" priority="188" id="{9B976DD7-FFA8-454F-A63D-186A721FDF9C}">
            <xm:f>'Variable Mgmt'!$B$58</xm:f>
            <x14:dxf>
              <border>
                <bottom/>
                <vertical/>
                <horizontal/>
              </border>
            </x14:dxf>
          </x14:cfRule>
          <xm:sqref>A12:F13 A14:D14 F14</xm:sqref>
        </x14:conditionalFormatting>
        <x14:conditionalFormatting xmlns:xm="http://schemas.microsoft.com/office/excel/2006/main">
          <x14:cfRule type="expression" priority="186" id="{2F97F2FF-95A0-40C5-B045-6ADA68EA7C2F}">
            <xm:f>'Variable Mgmt'!$B$58</xm:f>
            <x14:dxf>
              <font>
                <strike val="0"/>
                <color theme="0"/>
              </font>
              <fill>
                <patternFill>
                  <bgColor theme="0"/>
                </patternFill>
              </fill>
            </x14:dxf>
          </x14:cfRule>
          <xm:sqref>E12:E13</xm:sqref>
        </x14:conditionalFormatting>
        <x14:conditionalFormatting xmlns:xm="http://schemas.microsoft.com/office/excel/2006/main">
          <x14:cfRule type="expression" priority="189" id="{25C53C6F-CE07-4419-8FCF-F6B8FCD8434A}">
            <xm:f>'Variable Mgmt'!$B$58</xm:f>
            <x14:dxf>
              <border>
                <right/>
                <vertical/>
                <horizontal/>
              </border>
            </x14:dxf>
          </x14:cfRule>
          <xm:sqref>F12:F14</xm:sqref>
        </x14:conditionalFormatting>
        <x14:conditionalFormatting xmlns:xm="http://schemas.microsoft.com/office/excel/2006/main">
          <x14:cfRule type="expression" priority="51" id="{8076779E-531E-4945-9FF1-9C72CDB0D6DC}">
            <xm:f>'Variable Mgmt'!$B$58=TRUE</xm:f>
            <x14:dxf>
              <border>
                <top/>
                <bottom/>
                <vertical/>
                <horizontal/>
              </border>
            </x14:dxf>
          </x14:cfRule>
          <xm:sqref>G34:G35</xm:sqref>
        </x14:conditionalFormatting>
        <x14:conditionalFormatting xmlns:xm="http://schemas.microsoft.com/office/excel/2006/main">
          <x14:cfRule type="expression" priority="7" id="{0343908F-1CE4-4778-868E-05BB939E0494}">
            <xm:f>'Variable Mgmt'!$B$58=TRUE</xm:f>
            <x14:dxf>
              <font>
                <color theme="0"/>
              </font>
              <fill>
                <patternFill>
                  <bgColor theme="0"/>
                </patternFill>
              </fill>
              <border>
                <right/>
                <top/>
                <bottom/>
                <vertical/>
                <horizontal/>
              </border>
            </x14:dxf>
          </x14:cfRule>
          <xm:sqref>G67:M70</xm:sqref>
        </x14:conditionalFormatting>
        <x14:conditionalFormatting xmlns:xm="http://schemas.microsoft.com/office/excel/2006/main">
          <x14:cfRule type="expression" priority="6" id="{1E57FB43-6A30-4541-BAF2-E52CAF5FFFA7}">
            <xm:f>'Variable Mgmt'!$B$58=TRUE</xm:f>
            <x14:dxf>
              <font>
                <color theme="0"/>
              </font>
              <fill>
                <patternFill>
                  <bgColor theme="0"/>
                </patternFill>
              </fill>
              <border>
                <right/>
                <top/>
                <bottom/>
                <vertical/>
                <horizontal/>
              </border>
            </x14:dxf>
          </x14:cfRule>
          <xm:sqref>G73:M77</xm:sqref>
        </x14:conditionalFormatting>
        <x14:conditionalFormatting xmlns:xm="http://schemas.microsoft.com/office/excel/2006/main">
          <x14:cfRule type="expression" priority="52" id="{B42E45EE-F49B-4512-9DB9-8B85B95C6919}">
            <xm:f>'Variable Mgmt'!$B$58=TRUE</xm:f>
            <x14:dxf>
              <border>
                <left/>
                <right/>
                <top/>
                <bottom/>
                <vertical/>
                <horizontal/>
              </border>
            </x14:dxf>
          </x14:cfRule>
          <xm:sqref>H33:J36</xm:sqref>
        </x14:conditionalFormatting>
        <x14:conditionalFormatting xmlns:xm="http://schemas.microsoft.com/office/excel/2006/main">
          <x14:cfRule type="expression" priority="53" id="{18CE8F81-B526-43C7-B5F1-BAA9C73809CD}">
            <xm:f>'Variable Mgmt'!$B$58=TRUE</xm:f>
            <x14:dxf>
              <font>
                <color theme="0"/>
              </font>
              <fill>
                <patternFill>
                  <bgColor theme="0"/>
                </patternFill>
              </fill>
              <border>
                <right/>
                <top/>
                <bottom/>
              </border>
            </x14:dxf>
          </x14:cfRule>
          <xm:sqref>K33:M36</xm:sqref>
        </x14:conditionalFormatting>
        <x14:conditionalFormatting xmlns:xm="http://schemas.microsoft.com/office/excel/2006/main">
          <x14:cfRule type="expression" priority="192" id="{2E385B5D-C8C9-48C7-B4AE-E1A8F27EB6E6}">
            <xm:f>Lmin_abs*0.000001&gt;'Variable Mgmt'!$B$80</xm:f>
            <x14:dxf>
              <font>
                <strike/>
                <color rgb="FFFF0000"/>
              </font>
            </x14:dxf>
          </x14:cfRule>
          <xm:sqref>L7</xm:sqref>
        </x14:conditionalFormatting>
        <x14:conditionalFormatting xmlns:xm="http://schemas.microsoft.com/office/excel/2006/main">
          <x14:cfRule type="expression" priority="50" id="{DA50B535-B6B5-4DFB-9CBC-C505A48C7EB5}">
            <xm:f>'Variable Mgmt'!$B$58=TRUE</xm:f>
            <x14:dxf>
              <font>
                <color theme="0"/>
              </font>
              <fill>
                <patternFill>
                  <bgColor theme="0"/>
                </patternFill>
              </fill>
            </x14:dxf>
          </x14:cfRule>
          <xm:sqref>L10</xm:sqref>
        </x14:conditionalFormatting>
        <x14:conditionalFormatting xmlns:xm="http://schemas.microsoft.com/office/excel/2006/main">
          <x14:cfRule type="expression" priority="33" id="{FDC5A767-D495-475A-B6AD-F3FAFB5256A1}">
            <xm:f>AND('Variable Mgmt'!#REF!&gt;'Variable Mgmt'!$B$62*1/1000, MODE=1)</xm:f>
            <x14:dxf>
              <font>
                <color rgb="FFFF0000"/>
              </font>
            </x14:dxf>
          </x14:cfRule>
          <xm:sqref>L11</xm:sqref>
        </x14:conditionalFormatting>
        <x14:conditionalFormatting xmlns:xm="http://schemas.microsoft.com/office/excel/2006/main">
          <x14:cfRule type="expression" priority="193" id="{EE277573-B7FD-4D2F-97C3-CC46EAD89E7B}">
            <xm:f>AND('Variable Mgmt'!#REF!&gt;'Variable Mgmt'!$B$62*1/1000, MODE=1)</xm:f>
            <x14:dxf>
              <font>
                <b/>
                <i val="0"/>
                <color rgb="FFFF0000"/>
              </font>
            </x14:dxf>
          </x14:cfRule>
          <xm:sqref>L13</xm:sqref>
        </x14:conditionalFormatting>
        <x14:conditionalFormatting xmlns:xm="http://schemas.microsoft.com/office/excel/2006/main">
          <x14:cfRule type="expression" priority="45" id="{461050CF-E84A-487F-98EC-3FE96E53D0D0}">
            <xm:f>AND('Variable Mgmt'!#REF!&gt;'Variable Mgmt'!$B$62*1/1000, MODE=1)</xm:f>
            <x14:dxf>
              <font>
                <color rgb="FFFF0000"/>
              </font>
            </x14:dxf>
          </x14:cfRule>
          <xm:sqref>L22</xm:sqref>
        </x14:conditionalFormatting>
        <x14:conditionalFormatting xmlns:xm="http://schemas.microsoft.com/office/excel/2006/main">
          <x14:cfRule type="expression" priority="8" id="{39327DC7-FED1-4A11-B0EB-9DA33BE59322}">
            <xm:f>AND('Variable Mgmt'!#REF!&gt;'Variable Mgmt'!$B$62*1/1000, MODE=1)</xm:f>
            <x14:dxf>
              <font>
                <color rgb="FFFF0000"/>
              </font>
            </x14:dxf>
          </x14:cfRule>
          <xm:sqref>L23:L26</xm:sqref>
        </x14:conditionalFormatting>
        <x14:conditionalFormatting xmlns:xm="http://schemas.microsoft.com/office/excel/2006/main">
          <x14:cfRule type="expression" priority="32" id="{004998DE-C112-4A16-9357-8F0E103D9C84}">
            <xm:f>'Variable Mgmt'!$D$67=TRUE</xm:f>
            <x14:dxf>
              <font>
                <strike val="0"/>
                <color theme="0"/>
              </font>
              <fill>
                <patternFill>
                  <bgColor rgb="FFFF0000"/>
                </patternFill>
              </fill>
            </x14:dxf>
          </x14:cfRule>
          <xm:sqref>L12:M12</xm:sqref>
        </x14:conditionalFormatting>
        <x14:conditionalFormatting xmlns:xm="http://schemas.microsoft.com/office/excel/2006/main">
          <x14:cfRule type="expression" priority="48" id="{2E35C64D-1122-4B17-B495-E52D781938E1}">
            <xm:f>'Variable Mgmt'!$D$67=TRUE</xm:f>
            <x14:dxf>
              <font>
                <strike val="0"/>
                <color theme="0"/>
              </font>
              <fill>
                <patternFill>
                  <bgColor rgb="FFFF0000"/>
                </patternFill>
              </fill>
            </x14:dxf>
          </x14:cfRule>
          <xm:sqref>L15:M16</xm:sqref>
        </x14:conditionalFormatting>
        <x14:conditionalFormatting xmlns:xm="http://schemas.microsoft.com/office/excel/2006/main">
          <x14:cfRule type="expression" priority="194" id="{FB76FAF3-E114-4E5D-9585-0FED8547CF75}">
            <xm:f>'Variable Mgmt'!$D$43=TRUE</xm:f>
            <x14:dxf>
              <font>
                <b/>
                <i val="0"/>
                <color theme="0"/>
              </font>
              <fill>
                <patternFill patternType="solid">
                  <fgColor auto="1"/>
                  <bgColor rgb="FFFF0000"/>
                </patternFill>
              </fill>
            </x14:dxf>
          </x14:cfRule>
          <xm:sqref>L16:M16</xm:sqref>
        </x14:conditionalFormatting>
        <x14:conditionalFormatting xmlns:xm="http://schemas.microsoft.com/office/excel/2006/main">
          <x14:cfRule type="expression" priority="11" id="{3BB56539-2E3C-47E6-AE6B-0D4CFCA3E58F}">
            <xm:f>'Variable Mgmt'!$B$58=TRUE</xm:f>
            <x14:dxf>
              <font>
                <color theme="0"/>
              </font>
              <fill>
                <patternFill>
                  <bgColor theme="0"/>
                </patternFill>
              </fill>
              <border>
                <right/>
                <top/>
                <bottom/>
                <vertical/>
                <horizontal/>
              </border>
            </x14:dxf>
          </x14:cfRule>
          <xm:sqref>N29:T31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Selection is out of reasonable range!" xr:uid="{DB9BF754-8A1C-46C6-8BD1-90DBE37CFCCE}">
          <x14:formula1>
            <xm:f>'Stability Calculations'!$A$49:$A$96</xm:f>
          </x14:formula1>
          <xm:sqref>E58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zoomScaleNormal="100" workbookViewId="0">
      <selection activeCell="D5" sqref="D5"/>
    </sheetView>
  </sheetViews>
  <sheetFormatPr defaultRowHeight="13.2"/>
  <cols>
    <col min="2" max="2" width="126.44140625" customWidth="1"/>
  </cols>
  <sheetData>
    <row r="2" spans="1:2" ht="17.25" customHeight="1">
      <c r="A2" s="59" t="str">
        <f>CHOOSE(MODE, "EFF_SINGLE", "EFF_DUAL")</f>
        <v>EFF_DUAL</v>
      </c>
    </row>
    <row r="5" spans="1:2" ht="409.5" customHeight="1">
      <c r="B5" s="309"/>
    </row>
    <row r="6" spans="1:2" ht="17.100000000000001" customHeight="1"/>
    <row r="7" spans="1:2" ht="409.5" customHeight="1">
      <c r="B7" s="309"/>
    </row>
  </sheetData>
  <phoneticPr fontId="83"/>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B12" sqref="B12"/>
    </sheetView>
  </sheetViews>
  <sheetFormatPr defaultRowHeight="13.2"/>
  <cols>
    <col min="2" max="2" width="126.44140625" customWidth="1"/>
  </cols>
  <sheetData>
    <row r="2" spans="1:2" ht="17.25" customHeight="1">
      <c r="A2" s="59" t="str">
        <f>CHOOSE(MODE, "Fsw_SINGLE", "Fsw_DUAL")</f>
        <v>Fsw_DUAL</v>
      </c>
    </row>
    <row r="5" spans="1:2" ht="409.5" customHeight="1">
      <c r="B5" s="309"/>
    </row>
    <row r="6" spans="1:2" ht="17.100000000000001" customHeight="1"/>
    <row r="7" spans="1:2" ht="409.5" customHeight="1">
      <c r="B7" s="309"/>
    </row>
  </sheetData>
  <phoneticPr fontId="83"/>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6"/>
  <sheetViews>
    <sheetView topLeftCell="A8" zoomScale="40" zoomScaleNormal="40" zoomScaleSheetLayoutView="145" workbookViewId="0">
      <selection activeCell="N13" sqref="N13"/>
    </sheetView>
  </sheetViews>
  <sheetFormatPr defaultRowHeight="13.2"/>
  <cols>
    <col min="1" max="1" width="12.77734375" style="309" customWidth="1"/>
    <col min="2" max="2" width="124.77734375" customWidth="1"/>
    <col min="3" max="4" width="9.21875" style="309"/>
    <col min="5" max="5" width="124.77734375" customWidth="1"/>
    <col min="8" max="8" width="124.77734375" style="309" customWidth="1"/>
  </cols>
  <sheetData>
    <row r="2" spans="1:6">
      <c r="A2" s="309" t="str">
        <f>'Variable Mgmt'!K50</f>
        <v>SCH_DUAL_UVLOadj_SSint_TCyes</v>
      </c>
    </row>
    <row r="5" spans="1:6" s="309" customFormat="1" ht="13.5" customHeight="1"/>
    <row r="6" spans="1:6" s="309" customFormat="1" ht="16.5" customHeight="1"/>
    <row r="7" spans="1:6" ht="357" customHeight="1">
      <c r="E7" s="328"/>
    </row>
    <row r="8" spans="1:6" s="309" customFormat="1" ht="17.25" customHeight="1"/>
    <row r="9" spans="1:6" ht="357" customHeight="1">
      <c r="B9" s="59"/>
      <c r="E9" s="328"/>
      <c r="F9" s="309"/>
    </row>
    <row r="10" spans="1:6" s="309" customFormat="1"/>
    <row r="11" spans="1:6" ht="357" customHeight="1">
      <c r="B11" s="328"/>
      <c r="E11" s="309"/>
      <c r="F11" s="309"/>
    </row>
    <row r="12" spans="1:6">
      <c r="B12" s="309"/>
      <c r="E12" s="309"/>
      <c r="F12" s="309"/>
    </row>
    <row r="13" spans="1:6" ht="357" customHeight="1">
      <c r="B13" s="328"/>
      <c r="E13" s="309"/>
      <c r="F13" s="309"/>
    </row>
    <row r="14" spans="1:6">
      <c r="B14" s="309"/>
      <c r="E14" s="309"/>
      <c r="F14" s="309"/>
    </row>
    <row r="15" spans="1:6" ht="357" customHeight="1">
      <c r="E15" s="309"/>
      <c r="F15" s="309"/>
    </row>
    <row r="16" spans="1:6">
      <c r="B16" s="309"/>
      <c r="E16" s="309"/>
    </row>
    <row r="17" spans="2:6" ht="357" customHeight="1">
      <c r="B17" s="328"/>
      <c r="E17" s="309"/>
      <c r="F17" s="309"/>
    </row>
    <row r="18" spans="2:6" ht="12" customHeight="1">
      <c r="B18" s="309"/>
      <c r="E18" s="309"/>
    </row>
    <row r="19" spans="2:6" ht="357" customHeight="1">
      <c r="B19" s="309"/>
      <c r="E19" s="309"/>
    </row>
    <row r="20" spans="2:6" ht="13.5" customHeight="1">
      <c r="B20" s="309"/>
      <c r="E20" s="309"/>
    </row>
    <row r="21" spans="2:6" ht="357" customHeight="1">
      <c r="B21" s="309"/>
      <c r="E21" s="309"/>
    </row>
    <row r="22" spans="2:6">
      <c r="B22" s="309"/>
      <c r="E22" s="309"/>
    </row>
    <row r="23" spans="2:6" ht="357" customHeight="1">
      <c r="B23" s="309"/>
      <c r="E23" s="309"/>
    </row>
    <row r="24" spans="2:6">
      <c r="B24" s="309"/>
      <c r="E24" s="309"/>
    </row>
    <row r="25" spans="2:6" ht="327.75" customHeight="1">
      <c r="B25" s="309"/>
      <c r="E25" s="309"/>
    </row>
    <row r="26" spans="2:6">
      <c r="E26" s="309"/>
    </row>
    <row r="27" spans="2:6" ht="327.60000000000002" customHeight="1">
      <c r="B27" s="309"/>
      <c r="E27" s="309"/>
    </row>
    <row r="28" spans="2:6">
      <c r="B28" s="309"/>
      <c r="E28" s="309"/>
    </row>
    <row r="29" spans="2:6" ht="327.75" customHeight="1">
      <c r="B29" s="309"/>
      <c r="E29" s="309"/>
    </row>
    <row r="30" spans="2:6" ht="13.5" customHeight="1">
      <c r="B30" s="309"/>
      <c r="E30" s="309"/>
    </row>
    <row r="31" spans="2:6" ht="327.75" customHeight="1">
      <c r="B31" s="309"/>
      <c r="E31" s="309"/>
    </row>
    <row r="32" spans="2:6" ht="13.5" customHeight="1">
      <c r="B32" s="309"/>
      <c r="E32" s="309"/>
    </row>
    <row r="33" spans="2:20" ht="327.75" customHeight="1">
      <c r="B33" s="309"/>
      <c r="E33" s="309"/>
    </row>
    <row r="34" spans="2:20" ht="13.5" customHeight="1">
      <c r="B34" s="309"/>
      <c r="E34" s="309"/>
    </row>
    <row r="35" spans="2:20" ht="327.60000000000002" customHeight="1">
      <c r="B35" s="309"/>
      <c r="E35" s="309"/>
    </row>
    <row r="36" spans="2:20" ht="13.5" customHeight="1">
      <c r="B36" s="309"/>
      <c r="E36" s="309"/>
    </row>
    <row r="37" spans="2:20" ht="327.75" customHeight="1">
      <c r="B37" s="309"/>
      <c r="E37" s="309"/>
    </row>
    <row r="38" spans="2:20" ht="13.5" customHeight="1">
      <c r="B38" s="309"/>
      <c r="E38" s="309"/>
      <c r="G38" s="310"/>
    </row>
    <row r="39" spans="2:20" ht="327.75" customHeight="1">
      <c r="B39" s="309"/>
      <c r="E39" s="309"/>
    </row>
    <row r="40" spans="2:20">
      <c r="B40" s="309"/>
      <c r="E40" s="309"/>
      <c r="Q40" s="9"/>
      <c r="S40" s="9"/>
      <c r="T40" s="9"/>
    </row>
    <row r="41" spans="2:20" ht="327.75" customHeight="1">
      <c r="B41" s="309"/>
      <c r="E41" s="309"/>
      <c r="Q41" s="9"/>
      <c r="S41" s="9"/>
    </row>
    <row r="42" spans="2:20">
      <c r="B42" s="309"/>
      <c r="E42" s="309"/>
      <c r="Q42" s="9"/>
      <c r="S42" s="9"/>
    </row>
    <row r="43" spans="2:20" ht="327.75" customHeight="1">
      <c r="B43" s="309"/>
      <c r="E43" s="309"/>
      <c r="Q43" s="9"/>
      <c r="S43" s="9"/>
    </row>
    <row r="44" spans="2:20">
      <c r="B44" s="309"/>
      <c r="E44" s="309"/>
      <c r="Q44" s="9"/>
      <c r="S44" s="9"/>
    </row>
    <row r="45" spans="2:20" ht="327.75" customHeight="1">
      <c r="B45" s="309"/>
      <c r="E45" s="309"/>
      <c r="Q45" s="9"/>
      <c r="S45" s="9"/>
    </row>
    <row r="46" spans="2:20">
      <c r="B46" s="309"/>
      <c r="E46" s="309"/>
      <c r="Q46" s="9"/>
      <c r="S46" s="9"/>
    </row>
    <row r="47" spans="2:20" ht="327.75" customHeight="1">
      <c r="B47" s="309"/>
      <c r="E47" s="309"/>
      <c r="Q47" s="9"/>
      <c r="S47" s="311"/>
    </row>
    <row r="48" spans="2:20">
      <c r="B48" s="309"/>
      <c r="E48" s="309"/>
      <c r="Q48" s="9"/>
      <c r="S48" s="9"/>
    </row>
    <row r="49" spans="2:19" ht="327.75" customHeight="1">
      <c r="B49" s="309"/>
      <c r="E49" s="309"/>
      <c r="Q49" s="9"/>
      <c r="S49" s="9"/>
    </row>
    <row r="50" spans="2:19">
      <c r="B50" s="309"/>
      <c r="E50" s="309"/>
      <c r="Q50" s="9"/>
      <c r="S50" s="9"/>
    </row>
    <row r="51" spans="2:19">
      <c r="B51" s="309"/>
      <c r="E51" s="309"/>
      <c r="Q51" s="9"/>
      <c r="S51" s="9"/>
    </row>
    <row r="52" spans="2:19">
      <c r="B52" s="309"/>
      <c r="E52" s="309"/>
      <c r="Q52" s="9"/>
      <c r="S52" s="9"/>
    </row>
    <row r="53" spans="2:19">
      <c r="B53" s="309"/>
      <c r="E53" s="309"/>
    </row>
    <row r="54" spans="2:19">
      <c r="B54" s="309"/>
      <c r="E54" s="309"/>
    </row>
    <row r="55" spans="2:19">
      <c r="B55" s="309"/>
      <c r="E55" s="309"/>
      <c r="R55" s="3"/>
    </row>
    <row r="56" spans="2:19">
      <c r="B56" s="309"/>
      <c r="E56" s="309"/>
    </row>
    <row r="57" spans="2:19">
      <c r="B57" s="309"/>
      <c r="E57" s="309"/>
    </row>
    <row r="66" spans="18:18">
      <c r="R66" s="3"/>
    </row>
  </sheetData>
  <sheetProtection sheet="1" objects="1" scenarios="1"/>
  <phoneticPr fontId="83"/>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O25" sqref="O25"/>
    </sheetView>
  </sheetViews>
  <sheetFormatPr defaultRowHeight="13.2"/>
  <cols>
    <col min="1" max="1" width="17.21875" customWidth="1"/>
    <col min="2" max="2" width="12" bestFit="1" customWidth="1"/>
    <col min="8" max="8" width="12.21875" customWidth="1"/>
    <col min="9" max="9" width="12.44140625" bestFit="1" customWidth="1"/>
    <col min="10" max="10" width="15.44140625" customWidth="1"/>
  </cols>
  <sheetData>
    <row r="2" spans="1:11">
      <c r="A2" t="s">
        <v>68</v>
      </c>
      <c r="B2" t="s">
        <v>66</v>
      </c>
      <c r="C2" t="s">
        <v>14</v>
      </c>
      <c r="D2" t="s">
        <v>28</v>
      </c>
      <c r="E2" t="s">
        <v>75</v>
      </c>
    </row>
    <row r="3" spans="1:11">
      <c r="A3" t="s">
        <v>71</v>
      </c>
      <c r="B3">
        <f>Css</f>
        <v>1.6750000000000001E-7</v>
      </c>
      <c r="C3">
        <f>Cout</f>
        <v>220</v>
      </c>
      <c r="D3">
        <f>Cin</f>
        <v>100</v>
      </c>
      <c r="E3">
        <f>Cb</f>
        <v>0</v>
      </c>
      <c r="H3" t="s">
        <v>73</v>
      </c>
      <c r="I3" t="s">
        <v>74</v>
      </c>
      <c r="J3" s="3" t="s">
        <v>70</v>
      </c>
    </row>
    <row r="4" spans="1:11" ht="13.8">
      <c r="A4" s="6" t="s">
        <v>70</v>
      </c>
      <c r="B4" s="6">
        <f>SUM(B6:B158)/1000000000000</f>
        <v>1.8E-7</v>
      </c>
      <c r="C4" s="6">
        <f>SUM(C6:C158)/1000000000000</f>
        <v>0</v>
      </c>
      <c r="D4" s="6">
        <f>SUM(D6:D158)/1000000000000</f>
        <v>0</v>
      </c>
      <c r="E4" s="6">
        <f>IF(E3="OPEN","OPEN",SUM(E6:E158)/1000000000000)</f>
        <v>0</v>
      </c>
      <c r="H4" s="59" t="s">
        <v>139</v>
      </c>
      <c r="I4" t="e">
        <f>Rt</f>
        <v>#NAME?</v>
      </c>
      <c r="J4" s="3" t="e">
        <f t="shared" ref="J4:J9" si="0">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2" t="s">
        <v>136</v>
      </c>
    </row>
    <row r="5" spans="1:11" ht="13.8">
      <c r="A5" t="s">
        <v>69</v>
      </c>
      <c r="J5" s="3"/>
      <c r="K5" s="12"/>
    </row>
    <row r="6" spans="1:11" ht="13.8">
      <c r="A6">
        <v>0.47</v>
      </c>
      <c r="B6">
        <f>IF(IF((B$3*10^12-$A7)*(B$3*10^12-$A6)*-1&lt;0,0,1)*IF(ABS(B$3*10^12-$A7)&gt;(B$3*10^12-$A6),$A6,$A7)=B7,0,IF((B$3*10^12-$A7)*(B$3*10^12-$A6)*-1&lt;0,0,1)*IF(ABS(B$3*10^12-$A7)&gt;(B$3*10^12-$A6),$A6,$A7))</f>
        <v>0</v>
      </c>
      <c r="C6">
        <f>IF(IF((C$3*10^12-$A7)*(C$3*10^12-$A6)*-1&lt;0,0,1)*IF(ABS(C$3*10^12-$A7)&gt;(C$3*10^12-$A6),$A6,$A7)=C7,0,IF((C$3*10^12-$A7)*(C$3*10^12-$A6)*-1&lt;0,0,1)*IF(ABS(C$3*10^12-$A7)&gt;(C$3*10^12-$A6),$A6,$A7))</f>
        <v>0</v>
      </c>
      <c r="D6">
        <f>IF(IF((D$3*10^12-$A7)*(D$3*10^12-$A6)*-1&lt;0,0,1)*IF(ABS(D$3*10^12-$A7)&gt;(D$3*10^12-$A6),$A6,$A7)=D7,0,IF((D$3*10^12-$A7)*(D$3*10^12-$A6)*-1&lt;0,0,1)*IF(ABS(D$3*10^12-$A7)&gt;(D$3*10^12-$A6),$A6,$A7))</f>
        <v>0</v>
      </c>
      <c r="E6">
        <f>IF(IF((E$3*10^12-$A7)*(E$3*10^12-$A6)*-1&lt;0,0,1)*IF(ABS(E$3*10^12-$A7)&gt;(E$3*10^12-$A6),$A6,$A7)=E7,0,IF((E$3*10^12-$A7)*(E$3*10^12-$A6)*-1&lt;0,0,1)*IF(ABS(E$3*10^12-$A7)&gt;(E$3*10^12-$A6),$A6,$A7))</f>
        <v>0</v>
      </c>
      <c r="H6" s="59" t="s">
        <v>162</v>
      </c>
      <c r="I6" t="e">
        <f>Rshunt</f>
        <v>#NAME?</v>
      </c>
      <c r="J6" s="3" t="e">
        <f t="shared" si="0"/>
        <v>#NAME?</v>
      </c>
      <c r="K6" s="12" t="s">
        <v>136</v>
      </c>
    </row>
    <row r="7" spans="1:11" ht="13.8">
      <c r="A7">
        <v>0.56000000000000005</v>
      </c>
      <c r="B7">
        <f t="shared" ref="B7:B70" si="1">IF(IF((B$3*10^12-$A8)*(B$3*10^12-$A7)*-1&lt;0,0,1)*IF(ABS(B$3*10^12-$A8)&gt;(B$3*10^12-$A7),$A7,$A8)=B8,0,IF((B$3*10^12-$A8)*(B$3*10^12-$A7)*-1&lt;0,0,1)*IF(ABS(B$3*10^12-$A8)&gt;(B$3*10^12-$A7),$A7,$A8))</f>
        <v>0</v>
      </c>
      <c r="C7">
        <f t="shared" ref="C7:C69" si="2">IF(IF((C$3*10^12-$A8)*(C$3*10^12-$A7)*-1&lt;0,0,1)*IF(ABS(C$3*10^12-$A8)&gt;(C$3*10^12-$A7),$A7,$A8)=C8,0,IF((C$3*10^12-$A8)*(C$3*10^12-$A7)*-1&lt;0,0,1)*IF(ABS(C$3*10^12-$A8)&gt;(C$3*10^12-$A7),$A7,$A8))</f>
        <v>0</v>
      </c>
      <c r="D7">
        <f t="shared" ref="D7:D69" si="3">IF(IF((D$3*10^12-$A8)*(D$3*10^12-$A7)*-1&lt;0,0,1)*IF(ABS(D$3*10^12-$A8)&gt;(D$3*10^12-$A7),$A7,$A8)=D8,0,IF((D$3*10^12-$A8)*(D$3*10^12-$A7)*-1&lt;0,0,1)*IF(ABS(D$3*10^12-$A8)&gt;(D$3*10^12-$A7),$A7,$A8))</f>
        <v>0</v>
      </c>
      <c r="E7">
        <f t="shared" ref="E7:E37" si="4">IF(IF((E$3*10^12-$A8)*(E$3*10^12-$A7)*-1&lt;0,0,1)*IF(ABS(E$3*10^12-$A8)&gt;(E$3*10^12-$A7),$A7,$A8)=E8,0,IF((E$3*10^12-$A8)*(E$3*10^12-$A7)*-1&lt;0,0,1)*IF(ABS(E$3*10^12-$A8)&gt;(E$3*10^12-$A7),$A7,$A8))</f>
        <v>0</v>
      </c>
      <c r="H7" t="s">
        <v>79</v>
      </c>
      <c r="I7">
        <v>6220.3534470000013</v>
      </c>
      <c r="J7" s="3">
        <f t="shared" si="0"/>
        <v>6190</v>
      </c>
      <c r="K7" s="12" t="s">
        <v>136</v>
      </c>
    </row>
    <row r="8" spans="1:11" ht="13.8">
      <c r="A8">
        <v>0.68</v>
      </c>
      <c r="B8">
        <f t="shared" si="1"/>
        <v>0</v>
      </c>
      <c r="C8">
        <f t="shared" si="2"/>
        <v>0</v>
      </c>
      <c r="D8">
        <f t="shared" si="3"/>
        <v>0</v>
      </c>
      <c r="E8">
        <f t="shared" si="4"/>
        <v>0</v>
      </c>
      <c r="J8" s="3"/>
      <c r="K8" s="12"/>
    </row>
    <row r="9" spans="1:11" ht="13.8">
      <c r="A9">
        <v>0.82</v>
      </c>
      <c r="B9">
        <f t="shared" si="1"/>
        <v>0</v>
      </c>
      <c r="C9">
        <f t="shared" si="2"/>
        <v>0</v>
      </c>
      <c r="D9">
        <f t="shared" si="3"/>
        <v>0</v>
      </c>
      <c r="E9">
        <f t="shared" si="4"/>
        <v>0</v>
      </c>
      <c r="H9" t="s">
        <v>377</v>
      </c>
      <c r="I9">
        <f>RTC_1</f>
        <v>1714285.7142857146</v>
      </c>
      <c r="J9" s="3">
        <f t="shared" si="0"/>
        <v>1690000</v>
      </c>
      <c r="K9" s="12" t="s">
        <v>136</v>
      </c>
    </row>
    <row r="10" spans="1:11" ht="13.8">
      <c r="A10">
        <v>1</v>
      </c>
      <c r="B10">
        <f t="shared" si="1"/>
        <v>0</v>
      </c>
      <c r="C10">
        <f t="shared" si="2"/>
        <v>0</v>
      </c>
      <c r="D10">
        <f t="shared" si="3"/>
        <v>0</v>
      </c>
      <c r="E10">
        <f t="shared" si="4"/>
        <v>0</v>
      </c>
      <c r="H10" t="s">
        <v>17</v>
      </c>
      <c r="I10">
        <f>Rfb</f>
        <v>300000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301000</v>
      </c>
      <c r="K10" s="12" t="s">
        <v>136</v>
      </c>
    </row>
    <row r="11" spans="1:11">
      <c r="A11">
        <v>1.2</v>
      </c>
      <c r="B11">
        <f t="shared" si="1"/>
        <v>0</v>
      </c>
      <c r="C11">
        <f t="shared" si="2"/>
        <v>0</v>
      </c>
      <c r="D11">
        <f t="shared" si="3"/>
        <v>0</v>
      </c>
      <c r="E11">
        <f t="shared" si="4"/>
        <v>0</v>
      </c>
      <c r="J11" s="3"/>
    </row>
    <row r="12" spans="1:11">
      <c r="A12">
        <v>1.5</v>
      </c>
      <c r="B12">
        <f t="shared" si="1"/>
        <v>0</v>
      </c>
      <c r="C12">
        <f t="shared" si="2"/>
        <v>0</v>
      </c>
      <c r="D12">
        <f t="shared" si="3"/>
        <v>0</v>
      </c>
      <c r="E12">
        <f t="shared" si="4"/>
        <v>0</v>
      </c>
      <c r="J12" s="3"/>
    </row>
    <row r="13" spans="1:11" ht="13.8">
      <c r="A13">
        <v>1.8</v>
      </c>
      <c r="B13">
        <f t="shared" si="1"/>
        <v>0</v>
      </c>
      <c r="C13">
        <f t="shared" si="2"/>
        <v>0</v>
      </c>
      <c r="D13">
        <f t="shared" si="3"/>
        <v>0</v>
      </c>
      <c r="E13">
        <f t="shared" si="4"/>
        <v>0</v>
      </c>
      <c r="H13" s="59"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2" t="s">
        <v>161</v>
      </c>
    </row>
    <row r="14" spans="1:11">
      <c r="A14">
        <v>2.2000000000000002</v>
      </c>
      <c r="B14">
        <f>IF(IF((B$3*10^12-$A15)*(B$3*10^12-$A14)*-1&lt;0,0,1)*IF(ABS(B$3*10^12-$A15)&gt;(B$3*10^12-$A14),$A14,$A15)=B15,0,IF((B$3*10^12-$A15)*(B$3*10^12-$A14)*-1&lt;0,0,1)*IF(ABS(B$3*10^12-$A15)&gt;(B$3*10^12-$A14),$A14,$A15))</f>
        <v>0</v>
      </c>
      <c r="C14">
        <f>IF(IF((C$3*10^12-$A15)*(C$3*10^12-$A14)*-1&lt;0,0,1)*IF(ABS(C$3*10^12-$A15)&gt;(C$3*10^12-$A14),$A14,$A15)=C15,0,IF((C$3*10^12-$A15)*(C$3*10^12-$A14)*-1&lt;0,0,1)*IF(ABS(C$3*10^12-$A15)&gt;(C$3*10^12-$A14),$A14,$A15))</f>
        <v>0</v>
      </c>
      <c r="D14">
        <f>IF(IF((D$3*10^12-$A15)*(D$3*10^12-$A14)*-1&lt;0,0,1)*IF(ABS(D$3*10^12-$A15)&gt;(D$3*10^12-$A14),$A14,$A15)=D15,0,IF((D$3*10^12-$A15)*(D$3*10^12-$A14)*-1&lt;0,0,1)*IF(ABS(D$3*10^12-$A15)&gt;(D$3*10^12-$A14),$A14,$A15))</f>
        <v>0</v>
      </c>
      <c r="E14">
        <f>IF(IF((E$3*10^12-$A15)*(E$3*10^12-$A14)*-1&lt;0,0,1)*IF(ABS(E$3*10^12-$A15)&gt;(E$3*10^12-$A14),$A14,$A15)=E15,0,IF((E$3*10^12-$A15)*(E$3*10^12-$A14)*-1&lt;0,0,1)*IF(ABS(E$3*10^12-$A15)&gt;(E$3*10^12-$A14),$A14,$A15))</f>
        <v>0</v>
      </c>
      <c r="H14" s="59" t="s">
        <v>160</v>
      </c>
      <c r="I14" t="e">
        <f>Cslope_ideal</f>
        <v>#NAME?</v>
      </c>
      <c r="J14" t="e">
        <f>#REF!*1000000000000</f>
        <v>#REF!</v>
      </c>
      <c r="K14" s="59" t="s">
        <v>15</v>
      </c>
    </row>
    <row r="15" spans="1:11">
      <c r="A15">
        <v>2.7</v>
      </c>
      <c r="B15">
        <f t="shared" si="1"/>
        <v>0</v>
      </c>
      <c r="C15">
        <f t="shared" si="2"/>
        <v>0</v>
      </c>
      <c r="D15">
        <f t="shared" si="3"/>
        <v>0</v>
      </c>
      <c r="E15">
        <f t="shared" si="4"/>
        <v>0</v>
      </c>
    </row>
    <row r="16" spans="1:11" ht="13.8">
      <c r="A16">
        <v>3.3</v>
      </c>
      <c r="B16">
        <f t="shared" si="1"/>
        <v>0</v>
      </c>
      <c r="C16">
        <f t="shared" si="2"/>
        <v>0</v>
      </c>
      <c r="D16">
        <f t="shared" si="3"/>
        <v>0</v>
      </c>
      <c r="E16">
        <f t="shared" si="4"/>
        <v>0</v>
      </c>
      <c r="H16" s="59" t="s">
        <v>130</v>
      </c>
      <c r="I16">
        <f>Ruvlo1</f>
        <v>73.333333333333428</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73.2</v>
      </c>
      <c r="K16" s="12" t="s">
        <v>113</v>
      </c>
    </row>
    <row r="17" spans="1:11" ht="13.8">
      <c r="A17">
        <v>3.9</v>
      </c>
      <c r="B17">
        <f t="shared" si="1"/>
        <v>0</v>
      </c>
      <c r="C17">
        <f t="shared" si="2"/>
        <v>0</v>
      </c>
      <c r="D17">
        <f t="shared" si="3"/>
        <v>0</v>
      </c>
      <c r="E17">
        <f t="shared" si="4"/>
        <v>0</v>
      </c>
      <c r="H17" s="59" t="s">
        <v>131</v>
      </c>
      <c r="I17" s="150">
        <f>Ruvlo2</f>
        <v>6.2742857142857149</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6.34</v>
      </c>
      <c r="K17" s="12" t="s">
        <v>113</v>
      </c>
    </row>
    <row r="18" spans="1:11" ht="13.8">
      <c r="A18">
        <v>4.7</v>
      </c>
      <c r="B18">
        <f t="shared" si="1"/>
        <v>0</v>
      </c>
      <c r="C18">
        <f t="shared" si="2"/>
        <v>0</v>
      </c>
      <c r="D18">
        <f t="shared" si="3"/>
        <v>0</v>
      </c>
      <c r="E18">
        <f t="shared" si="4"/>
        <v>0</v>
      </c>
      <c r="H18" s="59" t="s">
        <v>295</v>
      </c>
      <c r="I18" s="150"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2" t="s">
        <v>113</v>
      </c>
    </row>
    <row r="19" spans="1:11">
      <c r="A19">
        <v>5.6</v>
      </c>
      <c r="B19">
        <f t="shared" si="1"/>
        <v>0</v>
      </c>
      <c r="C19">
        <f t="shared" si="2"/>
        <v>0</v>
      </c>
      <c r="D19">
        <f t="shared" si="3"/>
        <v>0</v>
      </c>
      <c r="E19">
        <f t="shared" si="4"/>
        <v>0</v>
      </c>
    </row>
    <row r="20" spans="1:11">
      <c r="A20">
        <v>6.8</v>
      </c>
      <c r="B20">
        <f t="shared" si="1"/>
        <v>0</v>
      </c>
      <c r="C20">
        <f t="shared" si="2"/>
        <v>0</v>
      </c>
      <c r="D20">
        <f t="shared" si="3"/>
        <v>0</v>
      </c>
      <c r="E20">
        <f t="shared" si="4"/>
        <v>0</v>
      </c>
      <c r="H20" s="59"/>
      <c r="J20" s="3"/>
    </row>
    <row r="21" spans="1:11">
      <c r="A21">
        <v>8.1999999999999993</v>
      </c>
      <c r="B21">
        <f t="shared" si="1"/>
        <v>0</v>
      </c>
      <c r="C21">
        <f t="shared" si="2"/>
        <v>0</v>
      </c>
      <c r="D21">
        <f t="shared" si="3"/>
        <v>0</v>
      </c>
      <c r="E21">
        <f t="shared" si="4"/>
        <v>0</v>
      </c>
      <c r="J21" s="3"/>
    </row>
    <row r="22" spans="1:11" ht="13.8">
      <c r="A22">
        <v>10</v>
      </c>
      <c r="B22">
        <f t="shared" si="1"/>
        <v>0</v>
      </c>
      <c r="C22">
        <f t="shared" si="2"/>
        <v>0</v>
      </c>
      <c r="D22">
        <f t="shared" si="3"/>
        <v>0</v>
      </c>
      <c r="E22">
        <f t="shared" si="4"/>
        <v>0</v>
      </c>
      <c r="H22" s="59"/>
      <c r="J22" s="3"/>
      <c r="K22" s="12"/>
    </row>
    <row r="23" spans="1:11" ht="13.8">
      <c r="A23">
        <v>12</v>
      </c>
      <c r="B23">
        <f t="shared" si="1"/>
        <v>0</v>
      </c>
      <c r="C23">
        <f t="shared" si="2"/>
        <v>0</v>
      </c>
      <c r="D23">
        <f t="shared" si="3"/>
        <v>0</v>
      </c>
      <c r="E23">
        <f t="shared" si="4"/>
        <v>0</v>
      </c>
      <c r="H23" t="s">
        <v>898</v>
      </c>
      <c r="I23">
        <f>'Calculations - Single'!H329</f>
        <v>-2272.6973684210525</v>
      </c>
      <c r="J23" s="3" t="e">
        <f>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#NUM!</v>
      </c>
      <c r="K23" s="12" t="s">
        <v>136</v>
      </c>
    </row>
    <row r="24" spans="1:11">
      <c r="A24">
        <v>15</v>
      </c>
      <c r="B24">
        <f t="shared" si="1"/>
        <v>0</v>
      </c>
      <c r="C24">
        <f t="shared" si="2"/>
        <v>0</v>
      </c>
      <c r="D24">
        <f t="shared" si="3"/>
        <v>0</v>
      </c>
      <c r="E24">
        <f t="shared" si="4"/>
        <v>0</v>
      </c>
      <c r="H24" t="s">
        <v>899</v>
      </c>
      <c r="I24">
        <f>'Calculations - Dual'!H329</f>
        <v>-2272.6973684210525</v>
      </c>
      <c r="J24" s="3" t="e">
        <f>IF(I24&gt;(INT(0.5+100*POWER(10,IF(96*(LOG(I24)-INT(LOG(I24)))-ROUND(96*(LOG(I24)-INT(LOG(I24))),0)&lt;0,ROUND(96*(LOG(I24)-INT(LOG(I24))),0)-1,ROUND(96*(LOG(I24)-INT(LOG(I24))),0))/96))*POWER(10,INT(LOG(I24))-2)+INT(0.5+100*POWER(10,(IF(96*(LOG(I24)-INT(LOG(I24)))-ROUND(96*(LOG(I24)-INT(LOG(I24))),0)&lt;0,ROUND(96*(LOG(I24)-INT(LOG(I24))),0)-1,ROUND(96*(LOG(I24)-INT(LOG(I24))),0))+1)/96))*POWER(10,INT(LOG(I24))-2))/2,INT(0.5+100*POWER(10,(IF(96*(LOG(I24)-INT(LOG(I24)))-ROUND(96*(LOG(I24)-INT(LOG(I24))),0)&lt;0,ROUND(96*(LOG(I24)-INT(LOG(I24))),0)-1,ROUND(96*(LOG(I24)-INT(LOG(I24))),0))+1)/96))*POWER(10,INT(LOG(I24))-2),INT(0.5+100*POWER(10,IF(96*(LOG(I24)-INT(LOG(I24)))-ROUND(96*(LOG(I24)-INT(LOG(I24))),0)&lt;0,ROUND(96*(LOG(I24)-INT(LOG(I24))),0)-1,ROUND(96*(LOG(I24)-INT(LOG(I24))),0))/96))*POWER(10,INT(LOG(I24))-2))</f>
        <v>#NUM!</v>
      </c>
    </row>
    <row r="25" spans="1:11" ht="13.8">
      <c r="A25">
        <v>18</v>
      </c>
      <c r="B25">
        <f t="shared" si="1"/>
        <v>0</v>
      </c>
      <c r="C25">
        <f t="shared" si="2"/>
        <v>0</v>
      </c>
      <c r="D25">
        <f t="shared" si="3"/>
        <v>0</v>
      </c>
      <c r="E25">
        <f t="shared" si="4"/>
        <v>0</v>
      </c>
      <c r="H25" s="59" t="s">
        <v>900</v>
      </c>
      <c r="I25">
        <f>'Calculations - Dual'!O329</f>
        <v>383.83333333333366</v>
      </c>
      <c r="J25" s="3">
        <f>IF(I25&gt;(INT(0.5+100*POWER(10,IF(96*(LOG(I25)-INT(LOG(I25)))-ROUND(96*(LOG(I25)-INT(LOG(I25))),0)&lt;0,ROUND(96*(LOG(I25)-INT(LOG(I25))),0)-1,ROUND(96*(LOG(I25)-INT(LOG(I25))),0))/96))*POWER(10,INT(LOG(I25))-2)+INT(0.5+100*POWER(10,(IF(96*(LOG(I25)-INT(LOG(I25)))-ROUND(96*(LOG(I25)-INT(LOG(I25))),0)&lt;0,ROUND(96*(LOG(I25)-INT(LOG(I25))),0)-1,ROUND(96*(LOG(I25)-INT(LOG(I25))),0))+1)/96))*POWER(10,INT(LOG(I25))-2))/2,INT(0.5+100*POWER(10,(IF(96*(LOG(I25)-INT(LOG(I25)))-ROUND(96*(LOG(I25)-INT(LOG(I25))),0)&lt;0,ROUND(96*(LOG(I25)-INT(LOG(I25))),0)-1,ROUND(96*(LOG(I25)-INT(LOG(I25))),0))+1)/96))*POWER(10,INT(LOG(I25))-2),INT(0.5+100*POWER(10,IF(96*(LOG(I25)-INT(LOG(I25)))-ROUND(96*(LOG(I25)-INT(LOG(I25))),0)&lt;0,ROUND(96*(LOG(I25)-INT(LOG(I25))),0)-1,ROUND(96*(LOG(I25)-INT(LOG(I25))),0))/96))*POWER(10,INT(LOG(I25))-2))</f>
        <v>383</v>
      </c>
      <c r="K25" s="12"/>
    </row>
    <row r="26" spans="1:11">
      <c r="A26">
        <v>22</v>
      </c>
      <c r="B26">
        <f t="shared" si="1"/>
        <v>0</v>
      </c>
      <c r="C26">
        <f t="shared" si="2"/>
        <v>0</v>
      </c>
      <c r="D26">
        <f t="shared" si="3"/>
        <v>0</v>
      </c>
      <c r="E26">
        <f t="shared" si="4"/>
        <v>0</v>
      </c>
    </row>
    <row r="27" spans="1:11">
      <c r="A27">
        <v>27</v>
      </c>
      <c r="B27">
        <f t="shared" si="1"/>
        <v>0</v>
      </c>
      <c r="C27">
        <f t="shared" si="2"/>
        <v>0</v>
      </c>
      <c r="D27">
        <f t="shared" si="3"/>
        <v>0</v>
      </c>
      <c r="E27">
        <f t="shared" si="4"/>
        <v>0</v>
      </c>
      <c r="H27" t="s">
        <v>901</v>
      </c>
      <c r="I27">
        <f>'Calculations - Single'!G327</f>
        <v>0.16340425531914887</v>
      </c>
    </row>
    <row r="28" spans="1:11" ht="13.8">
      <c r="A28">
        <v>33</v>
      </c>
      <c r="B28">
        <f t="shared" si="1"/>
        <v>0</v>
      </c>
      <c r="C28">
        <f t="shared" si="2"/>
        <v>0</v>
      </c>
      <c r="D28">
        <f t="shared" si="3"/>
        <v>0</v>
      </c>
      <c r="E28">
        <f t="shared" si="4"/>
        <v>0</v>
      </c>
      <c r="H28" s="59" t="s">
        <v>902</v>
      </c>
      <c r="I28">
        <f>'Calculations - Dual'!G327</f>
        <v>0.16340425531914887</v>
      </c>
      <c r="K28" s="12"/>
    </row>
    <row r="29" spans="1:11">
      <c r="A29">
        <v>39</v>
      </c>
      <c r="B29">
        <f t="shared" si="1"/>
        <v>0</v>
      </c>
      <c r="C29">
        <f t="shared" si="2"/>
        <v>0</v>
      </c>
      <c r="D29">
        <f t="shared" si="3"/>
        <v>0</v>
      </c>
      <c r="E29">
        <f t="shared" si="4"/>
        <v>0</v>
      </c>
      <c r="H29" s="59" t="s">
        <v>903</v>
      </c>
      <c r="I29">
        <f>'Calculations - Dual'!N327</f>
        <v>0.16340425531914887</v>
      </c>
      <c r="K29" s="59"/>
    </row>
    <row r="30" spans="1:11">
      <c r="A30">
        <v>47</v>
      </c>
      <c r="B30">
        <f t="shared" si="1"/>
        <v>0</v>
      </c>
      <c r="C30">
        <f t="shared" si="2"/>
        <v>0</v>
      </c>
      <c r="D30">
        <f t="shared" si="3"/>
        <v>0</v>
      </c>
      <c r="E30">
        <f t="shared" si="4"/>
        <v>0</v>
      </c>
      <c r="H30" s="4"/>
      <c r="K30" s="59"/>
    </row>
    <row r="31" spans="1:11" ht="13.8">
      <c r="A31">
        <v>56</v>
      </c>
      <c r="B31">
        <f t="shared" si="1"/>
        <v>0</v>
      </c>
      <c r="C31">
        <f t="shared" si="2"/>
        <v>0</v>
      </c>
      <c r="D31">
        <f t="shared" si="3"/>
        <v>0</v>
      </c>
      <c r="E31">
        <f t="shared" si="4"/>
        <v>0</v>
      </c>
      <c r="H31" s="4"/>
      <c r="K31" s="12"/>
    </row>
    <row r="32" spans="1:11">
      <c r="A32">
        <v>68</v>
      </c>
      <c r="B32">
        <f t="shared" si="1"/>
        <v>0</v>
      </c>
      <c r="C32">
        <f t="shared" si="2"/>
        <v>0</v>
      </c>
      <c r="D32">
        <f t="shared" si="3"/>
        <v>0</v>
      </c>
      <c r="E32">
        <f t="shared" si="4"/>
        <v>0</v>
      </c>
      <c r="H32" s="4"/>
      <c r="K32" s="59"/>
    </row>
    <row r="33" spans="1:8">
      <c r="A33">
        <v>82</v>
      </c>
      <c r="B33">
        <f t="shared" si="1"/>
        <v>0</v>
      </c>
      <c r="C33">
        <f t="shared" si="2"/>
        <v>0</v>
      </c>
      <c r="D33">
        <f t="shared" si="3"/>
        <v>0</v>
      </c>
      <c r="E33">
        <f t="shared" si="4"/>
        <v>0</v>
      </c>
    </row>
    <row r="34" spans="1:8">
      <c r="A34">
        <f>A22*10</f>
        <v>100</v>
      </c>
      <c r="B34">
        <f t="shared" si="1"/>
        <v>0</v>
      </c>
      <c r="C34">
        <f t="shared" si="2"/>
        <v>0</v>
      </c>
      <c r="D34">
        <f t="shared" si="3"/>
        <v>0</v>
      </c>
      <c r="E34">
        <f t="shared" si="4"/>
        <v>0</v>
      </c>
      <c r="H34" s="59"/>
    </row>
    <row r="35" spans="1:8">
      <c r="A35">
        <f t="shared" ref="A35:A98" si="5">A23*10</f>
        <v>120</v>
      </c>
      <c r="B35">
        <f t="shared" si="1"/>
        <v>0</v>
      </c>
      <c r="C35">
        <f t="shared" si="2"/>
        <v>0</v>
      </c>
      <c r="D35">
        <f t="shared" si="3"/>
        <v>0</v>
      </c>
      <c r="E35">
        <f t="shared" si="4"/>
        <v>0</v>
      </c>
      <c r="H35" s="59"/>
    </row>
    <row r="36" spans="1:8">
      <c r="A36">
        <f t="shared" si="5"/>
        <v>150</v>
      </c>
      <c r="B36">
        <f t="shared" si="1"/>
        <v>0</v>
      </c>
      <c r="C36">
        <f t="shared" si="2"/>
        <v>0</v>
      </c>
      <c r="D36">
        <f t="shared" si="3"/>
        <v>0</v>
      </c>
      <c r="E36">
        <f t="shared" si="4"/>
        <v>0</v>
      </c>
    </row>
    <row r="37" spans="1:8">
      <c r="A37">
        <f t="shared" si="5"/>
        <v>180</v>
      </c>
      <c r="B37">
        <f t="shared" si="1"/>
        <v>0</v>
      </c>
      <c r="C37">
        <f t="shared" si="2"/>
        <v>0</v>
      </c>
      <c r="D37">
        <f t="shared" si="3"/>
        <v>0</v>
      </c>
      <c r="E37">
        <f t="shared" si="4"/>
        <v>0</v>
      </c>
    </row>
    <row r="38" spans="1:8">
      <c r="A38">
        <f t="shared" si="5"/>
        <v>220</v>
      </c>
      <c r="B38">
        <f t="shared" si="1"/>
        <v>0</v>
      </c>
      <c r="C38">
        <f t="shared" si="2"/>
        <v>0</v>
      </c>
      <c r="D38">
        <f t="shared" si="3"/>
        <v>0</v>
      </c>
      <c r="E38">
        <f t="shared" ref="E38:E69" si="6">IF(IF((E$3*10^12-$A39)*(E$3*10^12-$A38)*-1&lt;0,0,1)*IF(ABS(E$3*10^12-$A39)&gt;(E$3*10^12-$A38),$A38,$A39)=E39,0,IF((E$3*10^12-$A39)*(E$3*10^12-$A38)*-1&lt;0,0,1)*IF(ABS(E$3*10^12-$A39)&gt;(E$3*10^12-$A38),$A38,$A39))</f>
        <v>0</v>
      </c>
    </row>
    <row r="39" spans="1:8">
      <c r="A39">
        <f t="shared" si="5"/>
        <v>270</v>
      </c>
      <c r="B39">
        <f t="shared" si="1"/>
        <v>0</v>
      </c>
      <c r="C39">
        <f t="shared" si="2"/>
        <v>0</v>
      </c>
      <c r="D39">
        <f t="shared" si="3"/>
        <v>0</v>
      </c>
      <c r="E39">
        <f t="shared" si="6"/>
        <v>0</v>
      </c>
    </row>
    <row r="40" spans="1:8">
      <c r="A40">
        <f t="shared" si="5"/>
        <v>330</v>
      </c>
      <c r="B40">
        <f t="shared" si="1"/>
        <v>0</v>
      </c>
      <c r="C40">
        <f t="shared" si="2"/>
        <v>0</v>
      </c>
      <c r="D40">
        <f t="shared" si="3"/>
        <v>0</v>
      </c>
      <c r="E40">
        <f t="shared" si="6"/>
        <v>0</v>
      </c>
    </row>
    <row r="41" spans="1:8">
      <c r="A41">
        <f t="shared" si="5"/>
        <v>390</v>
      </c>
      <c r="B41">
        <f t="shared" si="1"/>
        <v>0</v>
      </c>
      <c r="C41">
        <f t="shared" si="2"/>
        <v>0</v>
      </c>
      <c r="D41">
        <f t="shared" si="3"/>
        <v>0</v>
      </c>
      <c r="E41">
        <f t="shared" si="6"/>
        <v>0</v>
      </c>
    </row>
    <row r="42" spans="1:8">
      <c r="A42">
        <f t="shared" si="5"/>
        <v>470</v>
      </c>
      <c r="B42">
        <f t="shared" si="1"/>
        <v>0</v>
      </c>
      <c r="C42">
        <f t="shared" si="2"/>
        <v>0</v>
      </c>
      <c r="D42">
        <f t="shared" si="3"/>
        <v>0</v>
      </c>
      <c r="E42">
        <f t="shared" si="6"/>
        <v>0</v>
      </c>
    </row>
    <row r="43" spans="1:8">
      <c r="A43">
        <f t="shared" si="5"/>
        <v>560</v>
      </c>
      <c r="B43">
        <f t="shared" si="1"/>
        <v>0</v>
      </c>
      <c r="C43">
        <f t="shared" si="2"/>
        <v>0</v>
      </c>
      <c r="D43">
        <f t="shared" si="3"/>
        <v>0</v>
      </c>
      <c r="E43">
        <f t="shared" si="6"/>
        <v>0</v>
      </c>
    </row>
    <row r="44" spans="1:8">
      <c r="A44">
        <f t="shared" si="5"/>
        <v>680</v>
      </c>
      <c r="B44">
        <f t="shared" si="1"/>
        <v>0</v>
      </c>
      <c r="C44">
        <f t="shared" si="2"/>
        <v>0</v>
      </c>
      <c r="D44">
        <f t="shared" si="3"/>
        <v>0</v>
      </c>
      <c r="E44">
        <f t="shared" si="6"/>
        <v>0</v>
      </c>
    </row>
    <row r="45" spans="1:8">
      <c r="A45">
        <f>A33*10</f>
        <v>820</v>
      </c>
      <c r="B45">
        <f t="shared" si="1"/>
        <v>0</v>
      </c>
      <c r="C45">
        <f t="shared" si="2"/>
        <v>0</v>
      </c>
      <c r="D45">
        <f t="shared" si="3"/>
        <v>0</v>
      </c>
      <c r="E45">
        <f t="shared" si="6"/>
        <v>0</v>
      </c>
    </row>
    <row r="46" spans="1:8">
      <c r="A46">
        <f t="shared" si="5"/>
        <v>1000</v>
      </c>
      <c r="B46">
        <f t="shared" si="1"/>
        <v>0</v>
      </c>
      <c r="C46">
        <f t="shared" si="2"/>
        <v>0</v>
      </c>
      <c r="D46">
        <f t="shared" si="3"/>
        <v>0</v>
      </c>
      <c r="E46">
        <f t="shared" si="6"/>
        <v>0</v>
      </c>
    </row>
    <row r="47" spans="1:8">
      <c r="A47">
        <f t="shared" si="5"/>
        <v>1200</v>
      </c>
      <c r="B47">
        <f t="shared" si="1"/>
        <v>0</v>
      </c>
      <c r="C47">
        <f t="shared" si="2"/>
        <v>0</v>
      </c>
      <c r="D47">
        <f t="shared" si="3"/>
        <v>0</v>
      </c>
      <c r="E47">
        <f t="shared" si="6"/>
        <v>0</v>
      </c>
    </row>
    <row r="48" spans="1:8">
      <c r="A48">
        <f t="shared" si="5"/>
        <v>1500</v>
      </c>
      <c r="B48">
        <f t="shared" si="1"/>
        <v>0</v>
      </c>
      <c r="C48">
        <f t="shared" si="2"/>
        <v>0</v>
      </c>
      <c r="D48">
        <f t="shared" si="3"/>
        <v>0</v>
      </c>
      <c r="E48">
        <f t="shared" si="6"/>
        <v>0</v>
      </c>
    </row>
    <row r="49" spans="1:5">
      <c r="A49">
        <f t="shared" si="5"/>
        <v>1800</v>
      </c>
      <c r="B49">
        <f t="shared" si="1"/>
        <v>0</v>
      </c>
      <c r="C49">
        <f t="shared" si="2"/>
        <v>0</v>
      </c>
      <c r="D49">
        <f t="shared" si="3"/>
        <v>0</v>
      </c>
      <c r="E49">
        <f t="shared" si="6"/>
        <v>0</v>
      </c>
    </row>
    <row r="50" spans="1:5">
      <c r="A50">
        <f t="shared" si="5"/>
        <v>2200</v>
      </c>
      <c r="B50">
        <f t="shared" si="1"/>
        <v>0</v>
      </c>
      <c r="C50">
        <f t="shared" si="2"/>
        <v>0</v>
      </c>
      <c r="D50">
        <f t="shared" si="3"/>
        <v>0</v>
      </c>
      <c r="E50">
        <f t="shared" si="6"/>
        <v>0</v>
      </c>
    </row>
    <row r="51" spans="1:5">
      <c r="A51">
        <f t="shared" si="5"/>
        <v>2700</v>
      </c>
      <c r="B51">
        <f t="shared" si="1"/>
        <v>0</v>
      </c>
      <c r="C51">
        <f t="shared" si="2"/>
        <v>0</v>
      </c>
      <c r="D51">
        <f t="shared" si="3"/>
        <v>0</v>
      </c>
      <c r="E51">
        <f t="shared" si="6"/>
        <v>0</v>
      </c>
    </row>
    <row r="52" spans="1:5">
      <c r="A52">
        <f t="shared" si="5"/>
        <v>3300</v>
      </c>
      <c r="B52">
        <f t="shared" si="1"/>
        <v>0</v>
      </c>
      <c r="C52">
        <f t="shared" si="2"/>
        <v>0</v>
      </c>
      <c r="D52">
        <f t="shared" si="3"/>
        <v>0</v>
      </c>
      <c r="E52">
        <f t="shared" si="6"/>
        <v>0</v>
      </c>
    </row>
    <row r="53" spans="1:5">
      <c r="A53">
        <f t="shared" si="5"/>
        <v>3900</v>
      </c>
      <c r="B53">
        <f t="shared" si="1"/>
        <v>0</v>
      </c>
      <c r="C53">
        <f t="shared" si="2"/>
        <v>0</v>
      </c>
      <c r="D53">
        <f t="shared" si="3"/>
        <v>0</v>
      </c>
      <c r="E53">
        <f t="shared" si="6"/>
        <v>0</v>
      </c>
    </row>
    <row r="54" spans="1:5">
      <c r="A54">
        <f t="shared" si="5"/>
        <v>4700</v>
      </c>
      <c r="B54">
        <f t="shared" si="1"/>
        <v>0</v>
      </c>
      <c r="C54">
        <f t="shared" si="2"/>
        <v>0</v>
      </c>
      <c r="D54">
        <f t="shared" si="3"/>
        <v>0</v>
      </c>
      <c r="E54">
        <f t="shared" si="6"/>
        <v>0</v>
      </c>
    </row>
    <row r="55" spans="1:5">
      <c r="A55">
        <f t="shared" si="5"/>
        <v>5600</v>
      </c>
      <c r="B55">
        <f t="shared" si="1"/>
        <v>0</v>
      </c>
      <c r="C55">
        <f t="shared" si="2"/>
        <v>0</v>
      </c>
      <c r="D55">
        <f t="shared" si="3"/>
        <v>0</v>
      </c>
      <c r="E55">
        <f t="shared" si="6"/>
        <v>0</v>
      </c>
    </row>
    <row r="56" spans="1:5">
      <c r="A56">
        <f t="shared" si="5"/>
        <v>6800</v>
      </c>
      <c r="B56">
        <f t="shared" si="1"/>
        <v>0</v>
      </c>
      <c r="C56">
        <f t="shared" si="2"/>
        <v>0</v>
      </c>
      <c r="D56">
        <f t="shared" si="3"/>
        <v>0</v>
      </c>
      <c r="E56">
        <f t="shared" si="6"/>
        <v>0</v>
      </c>
    </row>
    <row r="57" spans="1:5">
      <c r="A57">
        <f t="shared" si="5"/>
        <v>8200</v>
      </c>
      <c r="B57">
        <f t="shared" si="1"/>
        <v>0</v>
      </c>
      <c r="C57">
        <f t="shared" si="2"/>
        <v>0</v>
      </c>
      <c r="D57">
        <f t="shared" si="3"/>
        <v>0</v>
      </c>
      <c r="E57">
        <f t="shared" si="6"/>
        <v>0</v>
      </c>
    </row>
    <row r="58" spans="1:5">
      <c r="A58">
        <f t="shared" si="5"/>
        <v>10000</v>
      </c>
      <c r="B58">
        <f t="shared" si="1"/>
        <v>0</v>
      </c>
      <c r="C58">
        <f t="shared" si="2"/>
        <v>0</v>
      </c>
      <c r="D58">
        <f t="shared" si="3"/>
        <v>0</v>
      </c>
      <c r="E58">
        <f t="shared" si="6"/>
        <v>0</v>
      </c>
    </row>
    <row r="59" spans="1:5">
      <c r="A59">
        <f t="shared" si="5"/>
        <v>12000</v>
      </c>
      <c r="B59">
        <f t="shared" si="1"/>
        <v>0</v>
      </c>
      <c r="C59">
        <f t="shared" si="2"/>
        <v>0</v>
      </c>
      <c r="D59">
        <f t="shared" si="3"/>
        <v>0</v>
      </c>
      <c r="E59">
        <f t="shared" si="6"/>
        <v>0</v>
      </c>
    </row>
    <row r="60" spans="1:5">
      <c r="A60">
        <f t="shared" si="5"/>
        <v>15000</v>
      </c>
      <c r="B60">
        <f t="shared" si="1"/>
        <v>0</v>
      </c>
      <c r="C60">
        <f t="shared" si="2"/>
        <v>0</v>
      </c>
      <c r="D60">
        <f t="shared" si="3"/>
        <v>0</v>
      </c>
      <c r="E60">
        <f t="shared" si="6"/>
        <v>0</v>
      </c>
    </row>
    <row r="61" spans="1:5">
      <c r="A61">
        <f t="shared" si="5"/>
        <v>18000</v>
      </c>
      <c r="B61">
        <f t="shared" si="1"/>
        <v>0</v>
      </c>
      <c r="C61">
        <f t="shared" si="2"/>
        <v>0</v>
      </c>
      <c r="D61">
        <f t="shared" si="3"/>
        <v>0</v>
      </c>
      <c r="E61">
        <f t="shared" si="6"/>
        <v>0</v>
      </c>
    </row>
    <row r="62" spans="1:5">
      <c r="A62">
        <f t="shared" si="5"/>
        <v>22000</v>
      </c>
      <c r="B62">
        <f t="shared" si="1"/>
        <v>0</v>
      </c>
      <c r="C62">
        <f t="shared" si="2"/>
        <v>0</v>
      </c>
      <c r="D62">
        <f t="shared" si="3"/>
        <v>0</v>
      </c>
      <c r="E62">
        <f t="shared" si="6"/>
        <v>0</v>
      </c>
    </row>
    <row r="63" spans="1:5">
      <c r="A63">
        <f t="shared" si="5"/>
        <v>27000</v>
      </c>
      <c r="B63">
        <f t="shared" si="1"/>
        <v>0</v>
      </c>
      <c r="C63">
        <f t="shared" si="2"/>
        <v>0</v>
      </c>
      <c r="D63">
        <f t="shared" si="3"/>
        <v>0</v>
      </c>
      <c r="E63">
        <f t="shared" si="6"/>
        <v>0</v>
      </c>
    </row>
    <row r="64" spans="1:5">
      <c r="A64">
        <f t="shared" si="5"/>
        <v>33000</v>
      </c>
      <c r="B64">
        <f t="shared" si="1"/>
        <v>0</v>
      </c>
      <c r="C64">
        <f t="shared" si="2"/>
        <v>0</v>
      </c>
      <c r="D64">
        <f t="shared" si="3"/>
        <v>0</v>
      </c>
      <c r="E64">
        <f t="shared" si="6"/>
        <v>0</v>
      </c>
    </row>
    <row r="65" spans="1:5">
      <c r="A65">
        <f t="shared" si="5"/>
        <v>39000</v>
      </c>
      <c r="B65">
        <f t="shared" si="1"/>
        <v>0</v>
      </c>
      <c r="C65">
        <f t="shared" si="2"/>
        <v>0</v>
      </c>
      <c r="D65">
        <f t="shared" si="3"/>
        <v>0</v>
      </c>
      <c r="E65">
        <f t="shared" si="6"/>
        <v>0</v>
      </c>
    </row>
    <row r="66" spans="1:5">
      <c r="A66">
        <f t="shared" si="5"/>
        <v>47000</v>
      </c>
      <c r="B66">
        <f t="shared" si="1"/>
        <v>0</v>
      </c>
      <c r="C66">
        <f t="shared" si="2"/>
        <v>0</v>
      </c>
      <c r="D66">
        <f t="shared" si="3"/>
        <v>0</v>
      </c>
      <c r="E66">
        <f t="shared" si="6"/>
        <v>0</v>
      </c>
    </row>
    <row r="67" spans="1:5">
      <c r="A67">
        <f t="shared" si="5"/>
        <v>56000</v>
      </c>
      <c r="B67">
        <f t="shared" si="1"/>
        <v>0</v>
      </c>
      <c r="C67">
        <f t="shared" si="2"/>
        <v>0</v>
      </c>
      <c r="D67">
        <f t="shared" si="3"/>
        <v>0</v>
      </c>
      <c r="E67">
        <f t="shared" si="6"/>
        <v>0</v>
      </c>
    </row>
    <row r="68" spans="1:5">
      <c r="A68">
        <f t="shared" si="5"/>
        <v>68000</v>
      </c>
      <c r="B68">
        <f t="shared" si="1"/>
        <v>0</v>
      </c>
      <c r="C68">
        <f t="shared" si="2"/>
        <v>0</v>
      </c>
      <c r="D68">
        <f t="shared" si="3"/>
        <v>0</v>
      </c>
      <c r="E68">
        <f t="shared" si="6"/>
        <v>0</v>
      </c>
    </row>
    <row r="69" spans="1:5">
      <c r="A69">
        <f t="shared" si="5"/>
        <v>82000</v>
      </c>
      <c r="B69">
        <f t="shared" si="1"/>
        <v>0</v>
      </c>
      <c r="C69">
        <f t="shared" si="2"/>
        <v>0</v>
      </c>
      <c r="D69">
        <f t="shared" si="3"/>
        <v>0</v>
      </c>
      <c r="E69">
        <f t="shared" si="6"/>
        <v>0</v>
      </c>
    </row>
    <row r="70" spans="1:5">
      <c r="A70">
        <f t="shared" si="5"/>
        <v>100000</v>
      </c>
      <c r="B70">
        <f t="shared" si="1"/>
        <v>0</v>
      </c>
      <c r="C70">
        <f>IF(IF((C$3*10^12-$A71)*(C$3*10^12-$A70)*-1&lt;0,0,1)*IF(ABS(C$3*10^12-$A71)&gt;(C$3*10^12-$A70),$A70,$A71)=C71,0,IF((C$3*10^12-$A71)*(C$3*10^12-$A70)*-1&lt;0,0,1)*IF(ABS(C$3*10^12-$A71)&gt;(C$3*10^12-$A70),$A70,$A71))</f>
        <v>0</v>
      </c>
      <c r="D70">
        <f>IF(IF((D$3*10^12-$A71)*(D$3*10^12-$A70)*-1&lt;0,0,1)*IF(ABS(D$3*10^12-$A71)&gt;(D$3*10^12-$A70),$A70,$A71)=D71,0,IF((D$3*10^12-$A71)*(D$3*10^12-$A70)*-1&lt;0,0,1)*IF(ABS(D$3*10^12-$A71)&gt;(D$3*10^12-$A70),$A70,$A71))</f>
        <v>0</v>
      </c>
      <c r="E70">
        <f t="shared" ref="E70:E101" si="7">IF(IF((E$3*10^12-$A71)*(E$3*10^12-$A70)*-1&lt;0,0,1)*IF(ABS(E$3*10^12-$A71)&gt;(E$3*10^12-$A70),$A70,$A71)=E71,0,IF((E$3*10^12-$A71)*(E$3*10^12-$A70)*-1&lt;0,0,1)*IF(ABS(E$3*10^12-$A71)&gt;(E$3*10^12-$A70),$A70,$A71))</f>
        <v>0</v>
      </c>
    </row>
    <row r="71" spans="1:5">
      <c r="A71">
        <f t="shared" si="5"/>
        <v>120000</v>
      </c>
      <c r="B71">
        <f t="shared" ref="B71:B134" si="8">IF(IF((B$3*10^12-$A72)*(B$3*10^12-$A71)*-1&lt;0,0,1)*IF(ABS(B$3*10^12-$A72)&gt;(B$3*10^12-$A71),$A71,$A72)=B72,0,IF((B$3*10^12-$A72)*(B$3*10^12-$A71)*-1&lt;0,0,1)*IF(ABS(B$3*10^12-$A72)&gt;(B$3*10^12-$A71),$A71,$A72))</f>
        <v>0</v>
      </c>
      <c r="C71">
        <f t="shared" ref="C71:C133" si="9">IF(IF((C$3*10^12-$A72)*(C$3*10^12-$A71)*-1&lt;0,0,1)*IF(ABS(C$3*10^12-$A72)&gt;(C$3*10^12-$A71),$A71,$A72)=C72,0,IF((C$3*10^12-$A72)*(C$3*10^12-$A71)*-1&lt;0,0,1)*IF(ABS(C$3*10^12-$A72)&gt;(C$3*10^12-$A71),$A71,$A72))</f>
        <v>0</v>
      </c>
      <c r="D71">
        <f t="shared" ref="D71:D102" si="10">IF(IF((D$3*10^12-$A72)*(D$3*10^12-$A71)*-1&lt;0,0,1)*IF(ABS(D$3*10^12-$A72)&gt;(D$3*10^12-$A71),$A71,$A72)=D72,0,IF((D$3*10^12-$A72)*(D$3*10^12-$A71)*-1&lt;0,0,1)*IF(ABS(D$3*10^12-$A72)&gt;(D$3*10^12-$A71),$A71,$A72))</f>
        <v>0</v>
      </c>
      <c r="E71">
        <f t="shared" si="7"/>
        <v>0</v>
      </c>
    </row>
    <row r="72" spans="1:5">
      <c r="A72">
        <f t="shared" si="5"/>
        <v>150000</v>
      </c>
      <c r="B72">
        <f t="shared" si="8"/>
        <v>180000</v>
      </c>
      <c r="C72">
        <f t="shared" si="9"/>
        <v>0</v>
      </c>
      <c r="D72">
        <f t="shared" si="10"/>
        <v>0</v>
      </c>
      <c r="E72">
        <f t="shared" si="7"/>
        <v>0</v>
      </c>
    </row>
    <row r="73" spans="1:5">
      <c r="A73">
        <f t="shared" si="5"/>
        <v>180000</v>
      </c>
      <c r="B73">
        <f t="shared" si="8"/>
        <v>0</v>
      </c>
      <c r="C73">
        <f t="shared" si="9"/>
        <v>0</v>
      </c>
      <c r="D73">
        <f t="shared" si="10"/>
        <v>0</v>
      </c>
      <c r="E73">
        <f t="shared" si="7"/>
        <v>0</v>
      </c>
    </row>
    <row r="74" spans="1:5">
      <c r="A74">
        <f t="shared" si="5"/>
        <v>220000</v>
      </c>
      <c r="B74">
        <f t="shared" si="8"/>
        <v>0</v>
      </c>
      <c r="C74">
        <f t="shared" si="9"/>
        <v>0</v>
      </c>
      <c r="D74">
        <f t="shared" si="10"/>
        <v>0</v>
      </c>
      <c r="E74">
        <f t="shared" si="7"/>
        <v>0</v>
      </c>
    </row>
    <row r="75" spans="1:5">
      <c r="A75">
        <f t="shared" si="5"/>
        <v>270000</v>
      </c>
      <c r="B75">
        <f t="shared" si="8"/>
        <v>0</v>
      </c>
      <c r="C75">
        <f t="shared" si="9"/>
        <v>0</v>
      </c>
      <c r="D75">
        <f t="shared" si="10"/>
        <v>0</v>
      </c>
      <c r="E75">
        <f t="shared" si="7"/>
        <v>0</v>
      </c>
    </row>
    <row r="76" spans="1:5">
      <c r="A76">
        <f t="shared" si="5"/>
        <v>330000</v>
      </c>
      <c r="B76">
        <f t="shared" si="8"/>
        <v>0</v>
      </c>
      <c r="C76">
        <f t="shared" si="9"/>
        <v>0</v>
      </c>
      <c r="D76">
        <f t="shared" si="10"/>
        <v>0</v>
      </c>
      <c r="E76">
        <f t="shared" si="7"/>
        <v>0</v>
      </c>
    </row>
    <row r="77" spans="1:5">
      <c r="A77">
        <f t="shared" si="5"/>
        <v>390000</v>
      </c>
      <c r="B77">
        <f t="shared" si="8"/>
        <v>0</v>
      </c>
      <c r="C77">
        <f t="shared" si="9"/>
        <v>0</v>
      </c>
      <c r="D77">
        <f t="shared" si="10"/>
        <v>0</v>
      </c>
      <c r="E77">
        <f t="shared" si="7"/>
        <v>0</v>
      </c>
    </row>
    <row r="78" spans="1:5">
      <c r="A78">
        <f t="shared" si="5"/>
        <v>470000</v>
      </c>
      <c r="B78">
        <f t="shared" si="8"/>
        <v>0</v>
      </c>
      <c r="C78">
        <f t="shared" si="9"/>
        <v>0</v>
      </c>
      <c r="D78">
        <f t="shared" si="10"/>
        <v>0</v>
      </c>
      <c r="E78">
        <f t="shared" si="7"/>
        <v>0</v>
      </c>
    </row>
    <row r="79" spans="1:5">
      <c r="A79">
        <f t="shared" si="5"/>
        <v>560000</v>
      </c>
      <c r="B79">
        <f t="shared" si="8"/>
        <v>0</v>
      </c>
      <c r="C79">
        <f t="shared" si="9"/>
        <v>0</v>
      </c>
      <c r="D79">
        <f t="shared" si="10"/>
        <v>0</v>
      </c>
      <c r="E79">
        <f t="shared" si="7"/>
        <v>0</v>
      </c>
    </row>
    <row r="80" spans="1:5">
      <c r="A80">
        <f t="shared" si="5"/>
        <v>680000</v>
      </c>
      <c r="B80">
        <f t="shared" si="8"/>
        <v>0</v>
      </c>
      <c r="C80">
        <f t="shared" si="9"/>
        <v>0</v>
      </c>
      <c r="D80">
        <f t="shared" si="10"/>
        <v>0</v>
      </c>
      <c r="E80">
        <f t="shared" si="7"/>
        <v>0</v>
      </c>
    </row>
    <row r="81" spans="1:5">
      <c r="A81">
        <f t="shared" si="5"/>
        <v>820000</v>
      </c>
      <c r="B81">
        <f t="shared" si="8"/>
        <v>0</v>
      </c>
      <c r="C81">
        <f t="shared" si="9"/>
        <v>0</v>
      </c>
      <c r="D81">
        <f t="shared" si="10"/>
        <v>0</v>
      </c>
      <c r="E81">
        <f t="shared" si="7"/>
        <v>0</v>
      </c>
    </row>
    <row r="82" spans="1:5">
      <c r="A82">
        <f t="shared" si="5"/>
        <v>1000000</v>
      </c>
      <c r="B82">
        <f t="shared" si="8"/>
        <v>0</v>
      </c>
      <c r="C82">
        <f t="shared" si="9"/>
        <v>0</v>
      </c>
      <c r="D82">
        <f t="shared" si="10"/>
        <v>0</v>
      </c>
      <c r="E82">
        <f t="shared" si="7"/>
        <v>0</v>
      </c>
    </row>
    <row r="83" spans="1:5">
      <c r="A83">
        <f t="shared" si="5"/>
        <v>1200000</v>
      </c>
      <c r="B83">
        <f t="shared" si="8"/>
        <v>0</v>
      </c>
      <c r="C83">
        <f t="shared" si="9"/>
        <v>0</v>
      </c>
      <c r="D83">
        <f t="shared" si="10"/>
        <v>0</v>
      </c>
      <c r="E83">
        <f t="shared" si="7"/>
        <v>0</v>
      </c>
    </row>
    <row r="84" spans="1:5">
      <c r="A84">
        <f t="shared" si="5"/>
        <v>1500000</v>
      </c>
      <c r="B84">
        <f t="shared" si="8"/>
        <v>0</v>
      </c>
      <c r="C84">
        <f t="shared" si="9"/>
        <v>0</v>
      </c>
      <c r="D84">
        <f t="shared" si="10"/>
        <v>0</v>
      </c>
      <c r="E84">
        <f t="shared" si="7"/>
        <v>0</v>
      </c>
    </row>
    <row r="85" spans="1:5">
      <c r="A85">
        <f t="shared" si="5"/>
        <v>1800000</v>
      </c>
      <c r="B85">
        <f t="shared" si="8"/>
        <v>0</v>
      </c>
      <c r="C85">
        <f t="shared" si="9"/>
        <v>0</v>
      </c>
      <c r="D85">
        <f t="shared" si="10"/>
        <v>0</v>
      </c>
      <c r="E85">
        <f t="shared" si="7"/>
        <v>0</v>
      </c>
    </row>
    <row r="86" spans="1:5">
      <c r="A86">
        <f t="shared" si="5"/>
        <v>2200000</v>
      </c>
      <c r="B86">
        <f t="shared" si="8"/>
        <v>0</v>
      </c>
      <c r="C86">
        <f t="shared" si="9"/>
        <v>0</v>
      </c>
      <c r="D86">
        <f t="shared" si="10"/>
        <v>0</v>
      </c>
      <c r="E86">
        <f t="shared" si="7"/>
        <v>0</v>
      </c>
    </row>
    <row r="87" spans="1:5">
      <c r="A87">
        <f t="shared" si="5"/>
        <v>2700000</v>
      </c>
      <c r="B87">
        <f t="shared" si="8"/>
        <v>0</v>
      </c>
      <c r="C87">
        <f t="shared" si="9"/>
        <v>0</v>
      </c>
      <c r="D87">
        <f t="shared" si="10"/>
        <v>0</v>
      </c>
      <c r="E87">
        <f t="shared" si="7"/>
        <v>0</v>
      </c>
    </row>
    <row r="88" spans="1:5">
      <c r="A88">
        <f t="shared" si="5"/>
        <v>3300000</v>
      </c>
      <c r="B88">
        <f t="shared" si="8"/>
        <v>0</v>
      </c>
      <c r="C88">
        <f t="shared" si="9"/>
        <v>0</v>
      </c>
      <c r="D88">
        <f t="shared" si="10"/>
        <v>0</v>
      </c>
      <c r="E88">
        <f t="shared" si="7"/>
        <v>0</v>
      </c>
    </row>
    <row r="89" spans="1:5">
      <c r="A89">
        <f t="shared" si="5"/>
        <v>3900000</v>
      </c>
      <c r="B89">
        <f t="shared" si="8"/>
        <v>0</v>
      </c>
      <c r="C89">
        <f t="shared" si="9"/>
        <v>0</v>
      </c>
      <c r="D89">
        <f t="shared" si="10"/>
        <v>0</v>
      </c>
      <c r="E89">
        <f t="shared" si="7"/>
        <v>0</v>
      </c>
    </row>
    <row r="90" spans="1:5">
      <c r="A90">
        <f t="shared" si="5"/>
        <v>4700000</v>
      </c>
      <c r="B90">
        <f t="shared" si="8"/>
        <v>0</v>
      </c>
      <c r="C90">
        <f t="shared" si="9"/>
        <v>0</v>
      </c>
      <c r="D90">
        <f t="shared" si="10"/>
        <v>0</v>
      </c>
      <c r="E90">
        <f t="shared" si="7"/>
        <v>0</v>
      </c>
    </row>
    <row r="91" spans="1:5">
      <c r="A91">
        <f t="shared" si="5"/>
        <v>5600000</v>
      </c>
      <c r="B91">
        <f t="shared" si="8"/>
        <v>0</v>
      </c>
      <c r="C91">
        <f t="shared" si="9"/>
        <v>0</v>
      </c>
      <c r="D91">
        <f t="shared" si="10"/>
        <v>0</v>
      </c>
      <c r="E91">
        <f t="shared" si="7"/>
        <v>0</v>
      </c>
    </row>
    <row r="92" spans="1:5">
      <c r="A92">
        <f t="shared" si="5"/>
        <v>6800000</v>
      </c>
      <c r="B92">
        <f t="shared" si="8"/>
        <v>0</v>
      </c>
      <c r="C92">
        <f t="shared" si="9"/>
        <v>0</v>
      </c>
      <c r="D92">
        <f t="shared" si="10"/>
        <v>0</v>
      </c>
      <c r="E92">
        <f t="shared" si="7"/>
        <v>0</v>
      </c>
    </row>
    <row r="93" spans="1:5">
      <c r="A93">
        <f t="shared" si="5"/>
        <v>8200000</v>
      </c>
      <c r="B93">
        <f t="shared" si="8"/>
        <v>0</v>
      </c>
      <c r="C93">
        <f t="shared" si="9"/>
        <v>0</v>
      </c>
      <c r="D93">
        <f t="shared" si="10"/>
        <v>0</v>
      </c>
      <c r="E93">
        <f t="shared" si="7"/>
        <v>0</v>
      </c>
    </row>
    <row r="94" spans="1:5">
      <c r="A94">
        <f t="shared" si="5"/>
        <v>10000000</v>
      </c>
      <c r="B94">
        <f t="shared" si="8"/>
        <v>0</v>
      </c>
      <c r="C94">
        <f t="shared" si="9"/>
        <v>0</v>
      </c>
      <c r="D94">
        <f t="shared" si="10"/>
        <v>0</v>
      </c>
      <c r="E94">
        <f t="shared" si="7"/>
        <v>0</v>
      </c>
    </row>
    <row r="95" spans="1:5">
      <c r="A95">
        <f t="shared" si="5"/>
        <v>12000000</v>
      </c>
      <c r="B95">
        <f t="shared" si="8"/>
        <v>0</v>
      </c>
      <c r="C95">
        <f t="shared" si="9"/>
        <v>0</v>
      </c>
      <c r="D95">
        <f t="shared" si="10"/>
        <v>0</v>
      </c>
      <c r="E95">
        <f t="shared" si="7"/>
        <v>0</v>
      </c>
    </row>
    <row r="96" spans="1:5">
      <c r="A96">
        <f t="shared" si="5"/>
        <v>15000000</v>
      </c>
      <c r="B96">
        <f t="shared" si="8"/>
        <v>0</v>
      </c>
      <c r="C96">
        <f t="shared" si="9"/>
        <v>0</v>
      </c>
      <c r="D96">
        <f t="shared" si="10"/>
        <v>0</v>
      </c>
      <c r="E96">
        <f t="shared" si="7"/>
        <v>0</v>
      </c>
    </row>
    <row r="97" spans="1:5">
      <c r="A97">
        <f t="shared" si="5"/>
        <v>18000000</v>
      </c>
      <c r="B97">
        <f t="shared" si="8"/>
        <v>0</v>
      </c>
      <c r="C97">
        <f t="shared" si="9"/>
        <v>0</v>
      </c>
      <c r="D97">
        <f t="shared" si="10"/>
        <v>0</v>
      </c>
      <c r="E97">
        <f t="shared" si="7"/>
        <v>0</v>
      </c>
    </row>
    <row r="98" spans="1:5">
      <c r="A98">
        <f t="shared" si="5"/>
        <v>22000000</v>
      </c>
      <c r="B98">
        <f t="shared" si="8"/>
        <v>0</v>
      </c>
      <c r="C98">
        <f t="shared" si="9"/>
        <v>0</v>
      </c>
      <c r="D98">
        <f t="shared" si="10"/>
        <v>0</v>
      </c>
      <c r="E98">
        <f t="shared" si="7"/>
        <v>0</v>
      </c>
    </row>
    <row r="99" spans="1:5">
      <c r="A99">
        <f t="shared" ref="A99:A159" si="11">A87*10</f>
        <v>27000000</v>
      </c>
      <c r="B99">
        <f t="shared" si="8"/>
        <v>0</v>
      </c>
      <c r="C99">
        <f t="shared" si="9"/>
        <v>0</v>
      </c>
      <c r="D99">
        <f t="shared" si="10"/>
        <v>0</v>
      </c>
      <c r="E99">
        <f t="shared" si="7"/>
        <v>0</v>
      </c>
    </row>
    <row r="100" spans="1:5">
      <c r="A100">
        <f t="shared" si="11"/>
        <v>33000000</v>
      </c>
      <c r="B100">
        <f t="shared" si="8"/>
        <v>0</v>
      </c>
      <c r="C100">
        <f t="shared" si="9"/>
        <v>0</v>
      </c>
      <c r="D100">
        <f t="shared" si="10"/>
        <v>0</v>
      </c>
      <c r="E100">
        <f t="shared" si="7"/>
        <v>0</v>
      </c>
    </row>
    <row r="101" spans="1:5">
      <c r="A101">
        <f t="shared" si="11"/>
        <v>39000000</v>
      </c>
      <c r="B101">
        <f t="shared" si="8"/>
        <v>0</v>
      </c>
      <c r="C101">
        <f t="shared" si="9"/>
        <v>0</v>
      </c>
      <c r="D101">
        <f t="shared" si="10"/>
        <v>0</v>
      </c>
      <c r="E101">
        <f t="shared" si="7"/>
        <v>0</v>
      </c>
    </row>
    <row r="102" spans="1:5">
      <c r="A102">
        <f t="shared" si="11"/>
        <v>47000000</v>
      </c>
      <c r="B102">
        <f t="shared" si="8"/>
        <v>0</v>
      </c>
      <c r="C102">
        <f t="shared" si="9"/>
        <v>0</v>
      </c>
      <c r="D102">
        <f t="shared" si="10"/>
        <v>0</v>
      </c>
      <c r="E102">
        <f t="shared" ref="E102:E133" si="12">IF(IF((E$3*10^12-$A103)*(E$3*10^12-$A102)*-1&lt;0,0,1)*IF(ABS(E$3*10^12-$A103)&gt;(E$3*10^12-$A102),$A102,$A103)=E103,0,IF((E$3*10^12-$A103)*(E$3*10^12-$A102)*-1&lt;0,0,1)*IF(ABS(E$3*10^12-$A103)&gt;(E$3*10^12-$A102),$A102,$A103))</f>
        <v>0</v>
      </c>
    </row>
    <row r="103" spans="1:5">
      <c r="A103">
        <f t="shared" si="11"/>
        <v>56000000</v>
      </c>
      <c r="B103">
        <f t="shared" si="8"/>
        <v>0</v>
      </c>
      <c r="C103">
        <f t="shared" si="9"/>
        <v>0</v>
      </c>
      <c r="D103">
        <f t="shared" ref="D103:D134" si="13">IF(IF((D$3*10^12-$A104)*(D$3*10^12-$A103)*-1&lt;0,0,1)*IF(ABS(D$3*10^12-$A104)&gt;(D$3*10^12-$A103),$A103,$A104)=D104,0,IF((D$3*10^12-$A104)*(D$3*10^12-$A103)*-1&lt;0,0,1)*IF(ABS(D$3*10^12-$A104)&gt;(D$3*10^12-$A103),$A103,$A104))</f>
        <v>0</v>
      </c>
      <c r="E103">
        <f t="shared" si="12"/>
        <v>0</v>
      </c>
    </row>
    <row r="104" spans="1:5">
      <c r="A104">
        <f t="shared" si="11"/>
        <v>68000000</v>
      </c>
      <c r="B104">
        <f t="shared" si="8"/>
        <v>0</v>
      </c>
      <c r="C104">
        <f t="shared" si="9"/>
        <v>0</v>
      </c>
      <c r="D104">
        <f t="shared" si="13"/>
        <v>0</v>
      </c>
      <c r="E104">
        <f t="shared" si="12"/>
        <v>0</v>
      </c>
    </row>
    <row r="105" spans="1:5">
      <c r="A105">
        <f t="shared" si="11"/>
        <v>82000000</v>
      </c>
      <c r="B105">
        <f t="shared" si="8"/>
        <v>0</v>
      </c>
      <c r="C105">
        <f t="shared" si="9"/>
        <v>0</v>
      </c>
      <c r="D105">
        <f t="shared" si="13"/>
        <v>0</v>
      </c>
      <c r="E105">
        <f t="shared" si="12"/>
        <v>0</v>
      </c>
    </row>
    <row r="106" spans="1:5">
      <c r="A106">
        <f t="shared" si="11"/>
        <v>100000000</v>
      </c>
      <c r="B106">
        <f t="shared" si="8"/>
        <v>0</v>
      </c>
      <c r="C106">
        <f t="shared" si="9"/>
        <v>0</v>
      </c>
      <c r="D106">
        <f t="shared" si="13"/>
        <v>0</v>
      </c>
      <c r="E106">
        <f t="shared" si="12"/>
        <v>0</v>
      </c>
    </row>
    <row r="107" spans="1:5">
      <c r="A107">
        <f t="shared" si="11"/>
        <v>120000000</v>
      </c>
      <c r="B107">
        <f t="shared" si="8"/>
        <v>0</v>
      </c>
      <c r="C107">
        <f t="shared" si="9"/>
        <v>0</v>
      </c>
      <c r="D107">
        <f t="shared" si="13"/>
        <v>0</v>
      </c>
      <c r="E107">
        <f t="shared" si="12"/>
        <v>0</v>
      </c>
    </row>
    <row r="108" spans="1:5">
      <c r="A108">
        <f t="shared" si="11"/>
        <v>150000000</v>
      </c>
      <c r="B108">
        <f t="shared" si="8"/>
        <v>0</v>
      </c>
      <c r="C108">
        <f t="shared" si="9"/>
        <v>0</v>
      </c>
      <c r="D108">
        <f t="shared" si="13"/>
        <v>0</v>
      </c>
      <c r="E108">
        <f t="shared" si="12"/>
        <v>0</v>
      </c>
    </row>
    <row r="109" spans="1:5">
      <c r="A109">
        <f t="shared" si="11"/>
        <v>180000000</v>
      </c>
      <c r="B109">
        <f t="shared" si="8"/>
        <v>0</v>
      </c>
      <c r="C109">
        <f t="shared" si="9"/>
        <v>0</v>
      </c>
      <c r="D109">
        <f t="shared" si="13"/>
        <v>0</v>
      </c>
      <c r="E109">
        <f t="shared" si="12"/>
        <v>0</v>
      </c>
    </row>
    <row r="110" spans="1:5">
      <c r="A110">
        <f t="shared" si="11"/>
        <v>220000000</v>
      </c>
      <c r="B110">
        <f t="shared" si="8"/>
        <v>0</v>
      </c>
      <c r="C110">
        <f t="shared" si="9"/>
        <v>0</v>
      </c>
      <c r="D110">
        <f t="shared" si="13"/>
        <v>0</v>
      </c>
      <c r="E110">
        <f t="shared" si="12"/>
        <v>0</v>
      </c>
    </row>
    <row r="111" spans="1:5">
      <c r="A111">
        <f t="shared" si="11"/>
        <v>270000000</v>
      </c>
      <c r="B111">
        <f t="shared" si="8"/>
        <v>0</v>
      </c>
      <c r="C111">
        <f t="shared" si="9"/>
        <v>0</v>
      </c>
      <c r="D111">
        <f t="shared" si="13"/>
        <v>0</v>
      </c>
      <c r="E111">
        <f t="shared" si="12"/>
        <v>0</v>
      </c>
    </row>
    <row r="112" spans="1:5">
      <c r="A112">
        <f t="shared" si="11"/>
        <v>330000000</v>
      </c>
      <c r="B112">
        <f t="shared" si="8"/>
        <v>0</v>
      </c>
      <c r="C112">
        <f t="shared" si="9"/>
        <v>0</v>
      </c>
      <c r="D112">
        <f t="shared" si="13"/>
        <v>0</v>
      </c>
      <c r="E112">
        <f t="shared" si="12"/>
        <v>0</v>
      </c>
    </row>
    <row r="113" spans="1:5">
      <c r="A113">
        <f t="shared" si="11"/>
        <v>390000000</v>
      </c>
      <c r="B113">
        <f t="shared" si="8"/>
        <v>0</v>
      </c>
      <c r="C113">
        <f t="shared" si="9"/>
        <v>0</v>
      </c>
      <c r="D113">
        <f t="shared" si="13"/>
        <v>0</v>
      </c>
      <c r="E113">
        <f t="shared" si="12"/>
        <v>0</v>
      </c>
    </row>
    <row r="114" spans="1:5">
      <c r="A114">
        <f t="shared" si="11"/>
        <v>470000000</v>
      </c>
      <c r="B114">
        <f t="shared" si="8"/>
        <v>0</v>
      </c>
      <c r="C114">
        <f t="shared" si="9"/>
        <v>0</v>
      </c>
      <c r="D114">
        <f t="shared" si="13"/>
        <v>0</v>
      </c>
      <c r="E114">
        <f t="shared" si="12"/>
        <v>0</v>
      </c>
    </row>
    <row r="115" spans="1:5">
      <c r="A115">
        <f t="shared" si="11"/>
        <v>560000000</v>
      </c>
      <c r="B115">
        <f t="shared" si="8"/>
        <v>0</v>
      </c>
      <c r="C115">
        <f t="shared" si="9"/>
        <v>0</v>
      </c>
      <c r="D115">
        <f t="shared" si="13"/>
        <v>0</v>
      </c>
      <c r="E115">
        <f t="shared" si="12"/>
        <v>0</v>
      </c>
    </row>
    <row r="116" spans="1:5">
      <c r="A116">
        <f t="shared" si="11"/>
        <v>680000000</v>
      </c>
      <c r="B116">
        <f t="shared" si="8"/>
        <v>0</v>
      </c>
      <c r="C116">
        <f t="shared" si="9"/>
        <v>0</v>
      </c>
      <c r="D116">
        <f t="shared" si="13"/>
        <v>0</v>
      </c>
      <c r="E116">
        <f t="shared" si="12"/>
        <v>0</v>
      </c>
    </row>
    <row r="117" spans="1:5">
      <c r="A117">
        <f t="shared" si="11"/>
        <v>820000000</v>
      </c>
      <c r="B117">
        <f t="shared" si="8"/>
        <v>0</v>
      </c>
      <c r="C117">
        <f t="shared" si="9"/>
        <v>0</v>
      </c>
      <c r="D117">
        <f t="shared" si="13"/>
        <v>0</v>
      </c>
      <c r="E117">
        <f t="shared" si="12"/>
        <v>0</v>
      </c>
    </row>
    <row r="118" spans="1:5">
      <c r="A118">
        <f t="shared" si="11"/>
        <v>1000000000</v>
      </c>
      <c r="B118">
        <f t="shared" si="8"/>
        <v>0</v>
      </c>
      <c r="C118">
        <f t="shared" si="9"/>
        <v>0</v>
      </c>
      <c r="D118">
        <f t="shared" si="13"/>
        <v>0</v>
      </c>
      <c r="E118">
        <f t="shared" si="12"/>
        <v>0</v>
      </c>
    </row>
    <row r="119" spans="1:5">
      <c r="A119">
        <f t="shared" si="11"/>
        <v>1200000000</v>
      </c>
      <c r="B119">
        <f t="shared" si="8"/>
        <v>0</v>
      </c>
      <c r="C119">
        <f t="shared" si="9"/>
        <v>0</v>
      </c>
      <c r="D119">
        <f t="shared" si="13"/>
        <v>0</v>
      </c>
      <c r="E119">
        <f t="shared" si="12"/>
        <v>0</v>
      </c>
    </row>
    <row r="120" spans="1:5">
      <c r="A120">
        <f t="shared" si="11"/>
        <v>1500000000</v>
      </c>
      <c r="B120">
        <f t="shared" si="8"/>
        <v>0</v>
      </c>
      <c r="C120">
        <f t="shared" si="9"/>
        <v>0</v>
      </c>
      <c r="D120">
        <f t="shared" si="13"/>
        <v>0</v>
      </c>
      <c r="E120">
        <f t="shared" si="12"/>
        <v>0</v>
      </c>
    </row>
    <row r="121" spans="1:5">
      <c r="A121">
        <f t="shared" si="11"/>
        <v>1800000000</v>
      </c>
      <c r="B121">
        <f t="shared" si="8"/>
        <v>0</v>
      </c>
      <c r="C121">
        <f t="shared" si="9"/>
        <v>0</v>
      </c>
      <c r="D121">
        <f t="shared" si="13"/>
        <v>0</v>
      </c>
      <c r="E121">
        <f t="shared" si="12"/>
        <v>0</v>
      </c>
    </row>
    <row r="122" spans="1:5">
      <c r="A122">
        <f t="shared" si="11"/>
        <v>2200000000</v>
      </c>
      <c r="B122">
        <f t="shared" si="8"/>
        <v>0</v>
      </c>
      <c r="C122">
        <f t="shared" si="9"/>
        <v>0</v>
      </c>
      <c r="D122">
        <f t="shared" si="13"/>
        <v>0</v>
      </c>
      <c r="E122">
        <f t="shared" si="12"/>
        <v>0</v>
      </c>
    </row>
    <row r="123" spans="1:5">
      <c r="A123">
        <f t="shared" si="11"/>
        <v>2700000000</v>
      </c>
      <c r="B123">
        <f t="shared" si="8"/>
        <v>0</v>
      </c>
      <c r="C123">
        <f t="shared" si="9"/>
        <v>0</v>
      </c>
      <c r="D123">
        <f t="shared" si="13"/>
        <v>0</v>
      </c>
      <c r="E123">
        <f t="shared" si="12"/>
        <v>0</v>
      </c>
    </row>
    <row r="124" spans="1:5">
      <c r="A124">
        <f t="shared" si="11"/>
        <v>3300000000</v>
      </c>
      <c r="B124">
        <f t="shared" si="8"/>
        <v>0</v>
      </c>
      <c r="C124">
        <f t="shared" si="9"/>
        <v>0</v>
      </c>
      <c r="D124">
        <f t="shared" si="13"/>
        <v>0</v>
      </c>
      <c r="E124">
        <f t="shared" si="12"/>
        <v>0</v>
      </c>
    </row>
    <row r="125" spans="1:5">
      <c r="A125">
        <f t="shared" si="11"/>
        <v>3900000000</v>
      </c>
      <c r="B125">
        <f t="shared" si="8"/>
        <v>0</v>
      </c>
      <c r="C125">
        <f t="shared" si="9"/>
        <v>0</v>
      </c>
      <c r="D125">
        <f t="shared" si="13"/>
        <v>0</v>
      </c>
      <c r="E125">
        <f t="shared" si="12"/>
        <v>0</v>
      </c>
    </row>
    <row r="126" spans="1:5">
      <c r="A126">
        <f t="shared" si="11"/>
        <v>4700000000</v>
      </c>
      <c r="B126">
        <f t="shared" si="8"/>
        <v>0</v>
      </c>
      <c r="C126">
        <f t="shared" si="9"/>
        <v>0</v>
      </c>
      <c r="D126">
        <f t="shared" si="13"/>
        <v>0</v>
      </c>
      <c r="E126">
        <f t="shared" si="12"/>
        <v>0</v>
      </c>
    </row>
    <row r="127" spans="1:5">
      <c r="A127">
        <f t="shared" si="11"/>
        <v>5600000000</v>
      </c>
      <c r="B127">
        <f t="shared" si="8"/>
        <v>0</v>
      </c>
      <c r="C127">
        <f t="shared" si="9"/>
        <v>0</v>
      </c>
      <c r="D127">
        <f t="shared" si="13"/>
        <v>0</v>
      </c>
      <c r="E127">
        <f t="shared" si="12"/>
        <v>0</v>
      </c>
    </row>
    <row r="128" spans="1:5">
      <c r="A128">
        <f t="shared" si="11"/>
        <v>6800000000</v>
      </c>
      <c r="B128">
        <f t="shared" si="8"/>
        <v>0</v>
      </c>
      <c r="C128">
        <f t="shared" si="9"/>
        <v>0</v>
      </c>
      <c r="D128">
        <f t="shared" si="13"/>
        <v>0</v>
      </c>
      <c r="E128">
        <f t="shared" si="12"/>
        <v>0</v>
      </c>
    </row>
    <row r="129" spans="1:5">
      <c r="A129">
        <f t="shared" si="11"/>
        <v>8200000000</v>
      </c>
      <c r="B129">
        <f t="shared" si="8"/>
        <v>0</v>
      </c>
      <c r="C129">
        <f t="shared" si="9"/>
        <v>0</v>
      </c>
      <c r="D129">
        <f t="shared" si="13"/>
        <v>0</v>
      </c>
      <c r="E129">
        <f t="shared" si="12"/>
        <v>0</v>
      </c>
    </row>
    <row r="130" spans="1:5">
      <c r="A130">
        <f t="shared" si="11"/>
        <v>10000000000</v>
      </c>
      <c r="B130">
        <f t="shared" si="8"/>
        <v>0</v>
      </c>
      <c r="C130">
        <f t="shared" si="9"/>
        <v>0</v>
      </c>
      <c r="D130">
        <f t="shared" si="13"/>
        <v>0</v>
      </c>
      <c r="E130">
        <f t="shared" si="12"/>
        <v>0</v>
      </c>
    </row>
    <row r="131" spans="1:5">
      <c r="A131">
        <f t="shared" si="11"/>
        <v>12000000000</v>
      </c>
      <c r="B131">
        <f t="shared" si="8"/>
        <v>0</v>
      </c>
      <c r="C131">
        <f t="shared" si="9"/>
        <v>0</v>
      </c>
      <c r="D131">
        <f t="shared" si="13"/>
        <v>0</v>
      </c>
      <c r="E131">
        <f t="shared" si="12"/>
        <v>0</v>
      </c>
    </row>
    <row r="132" spans="1:5">
      <c r="A132">
        <f t="shared" si="11"/>
        <v>15000000000</v>
      </c>
      <c r="B132">
        <f t="shared" si="8"/>
        <v>0</v>
      </c>
      <c r="C132">
        <f t="shared" si="9"/>
        <v>0</v>
      </c>
      <c r="D132">
        <f t="shared" si="13"/>
        <v>0</v>
      </c>
      <c r="E132">
        <f t="shared" si="12"/>
        <v>0</v>
      </c>
    </row>
    <row r="133" spans="1:5">
      <c r="A133">
        <f t="shared" si="11"/>
        <v>18000000000</v>
      </c>
      <c r="B133">
        <f t="shared" si="8"/>
        <v>0</v>
      </c>
      <c r="C133">
        <f t="shared" si="9"/>
        <v>0</v>
      </c>
      <c r="D133">
        <f t="shared" si="13"/>
        <v>0</v>
      </c>
      <c r="E133">
        <f t="shared" si="12"/>
        <v>0</v>
      </c>
    </row>
    <row r="134" spans="1:5">
      <c r="A134">
        <f t="shared" si="11"/>
        <v>22000000000</v>
      </c>
      <c r="B134">
        <f t="shared" si="8"/>
        <v>0</v>
      </c>
      <c r="C134">
        <f t="shared" ref="C134:D159" si="14">IF(IF((C$3*10^12-$A135)*(C$3*10^12-$A134)*-1&lt;0,0,1)*IF(ABS(C$3*10^12-$A135)&gt;(C$3*10^12-$A134),$A134,$A135)=C135,0,IF((C$3*10^12-$A135)*(C$3*10^12-$A134)*-1&lt;0,0,1)*IF(ABS(C$3*10^12-$A135)&gt;(C$3*10^12-$A134),$A134,$A135))</f>
        <v>0</v>
      </c>
      <c r="D134">
        <f t="shared" si="13"/>
        <v>0</v>
      </c>
      <c r="E134">
        <f t="shared" ref="E134:E159" si="15">IF(IF((E$3*10^12-$A135)*(E$3*10^12-$A134)*-1&lt;0,0,1)*IF(ABS(E$3*10^12-$A135)&gt;(E$3*10^12-$A134),$A134,$A135)=E135,0,IF((E$3*10^12-$A135)*(E$3*10^12-$A134)*-1&lt;0,0,1)*IF(ABS(E$3*10^12-$A135)&gt;(E$3*10^12-$A134),$A134,$A135))</f>
        <v>0</v>
      </c>
    </row>
    <row r="135" spans="1:5">
      <c r="A135">
        <f t="shared" si="11"/>
        <v>27000000000</v>
      </c>
      <c r="B135">
        <f t="shared" ref="B135:B159" si="16">IF(IF((B$3*10^12-$A136)*(B$3*10^12-$A135)*-1&lt;0,0,1)*IF(ABS(B$3*10^12-$A136)&gt;(B$3*10^12-$A135),$A135,$A136)=B136,0,IF((B$3*10^12-$A136)*(B$3*10^12-$A135)*-1&lt;0,0,1)*IF(ABS(B$3*10^12-$A136)&gt;(B$3*10^12-$A135),$A135,$A136))</f>
        <v>0</v>
      </c>
      <c r="C135">
        <f t="shared" si="14"/>
        <v>0</v>
      </c>
      <c r="D135">
        <f t="shared" si="14"/>
        <v>0</v>
      </c>
      <c r="E135">
        <f t="shared" si="15"/>
        <v>0</v>
      </c>
    </row>
    <row r="136" spans="1:5">
      <c r="A136">
        <f t="shared" si="11"/>
        <v>33000000000</v>
      </c>
      <c r="B136">
        <f t="shared" si="16"/>
        <v>0</v>
      </c>
      <c r="C136">
        <f t="shared" si="14"/>
        <v>0</v>
      </c>
      <c r="D136">
        <f t="shared" si="14"/>
        <v>0</v>
      </c>
      <c r="E136">
        <f t="shared" si="15"/>
        <v>0</v>
      </c>
    </row>
    <row r="137" spans="1:5">
      <c r="A137">
        <f t="shared" si="11"/>
        <v>39000000000</v>
      </c>
      <c r="B137">
        <f t="shared" si="16"/>
        <v>0</v>
      </c>
      <c r="C137">
        <f t="shared" si="14"/>
        <v>0</v>
      </c>
      <c r="D137">
        <f t="shared" si="14"/>
        <v>0</v>
      </c>
      <c r="E137">
        <f t="shared" si="15"/>
        <v>0</v>
      </c>
    </row>
    <row r="138" spans="1:5">
      <c r="A138">
        <f t="shared" si="11"/>
        <v>47000000000</v>
      </c>
      <c r="B138">
        <f t="shared" si="16"/>
        <v>0</v>
      </c>
      <c r="C138">
        <f t="shared" si="14"/>
        <v>0</v>
      </c>
      <c r="D138">
        <f t="shared" si="14"/>
        <v>0</v>
      </c>
      <c r="E138">
        <f t="shared" si="15"/>
        <v>0</v>
      </c>
    </row>
    <row r="139" spans="1:5">
      <c r="A139">
        <f t="shared" si="11"/>
        <v>56000000000</v>
      </c>
      <c r="B139">
        <f t="shared" si="16"/>
        <v>0</v>
      </c>
      <c r="C139">
        <f t="shared" si="14"/>
        <v>0</v>
      </c>
      <c r="D139">
        <f t="shared" si="14"/>
        <v>0</v>
      </c>
      <c r="E139">
        <f t="shared" si="15"/>
        <v>0</v>
      </c>
    </row>
    <row r="140" spans="1:5">
      <c r="A140">
        <f t="shared" si="11"/>
        <v>68000000000</v>
      </c>
      <c r="B140">
        <f t="shared" si="16"/>
        <v>0</v>
      </c>
      <c r="C140">
        <f t="shared" si="14"/>
        <v>0</v>
      </c>
      <c r="D140">
        <f t="shared" si="14"/>
        <v>0</v>
      </c>
      <c r="E140">
        <f t="shared" si="15"/>
        <v>0</v>
      </c>
    </row>
    <row r="141" spans="1:5">
      <c r="A141">
        <f t="shared" si="11"/>
        <v>82000000000</v>
      </c>
      <c r="B141">
        <f t="shared" si="16"/>
        <v>0</v>
      </c>
      <c r="C141">
        <f t="shared" si="14"/>
        <v>0</v>
      </c>
      <c r="D141">
        <f t="shared" si="14"/>
        <v>0</v>
      </c>
      <c r="E141">
        <f t="shared" si="15"/>
        <v>0</v>
      </c>
    </row>
    <row r="142" spans="1:5">
      <c r="A142">
        <f t="shared" si="11"/>
        <v>100000000000</v>
      </c>
      <c r="B142">
        <f t="shared" si="16"/>
        <v>0</v>
      </c>
      <c r="C142">
        <f t="shared" si="14"/>
        <v>0</v>
      </c>
      <c r="D142">
        <f t="shared" si="14"/>
        <v>0</v>
      </c>
      <c r="E142">
        <f t="shared" si="15"/>
        <v>0</v>
      </c>
    </row>
    <row r="143" spans="1:5">
      <c r="A143">
        <f t="shared" si="11"/>
        <v>120000000000</v>
      </c>
      <c r="B143">
        <f t="shared" si="16"/>
        <v>0</v>
      </c>
      <c r="C143">
        <f t="shared" si="14"/>
        <v>0</v>
      </c>
      <c r="D143">
        <f t="shared" si="14"/>
        <v>0</v>
      </c>
      <c r="E143">
        <f t="shared" si="15"/>
        <v>0</v>
      </c>
    </row>
    <row r="144" spans="1:5">
      <c r="A144">
        <f t="shared" si="11"/>
        <v>150000000000</v>
      </c>
      <c r="B144">
        <f t="shared" si="16"/>
        <v>0</v>
      </c>
      <c r="C144">
        <f t="shared" si="14"/>
        <v>0</v>
      </c>
      <c r="D144">
        <f t="shared" si="14"/>
        <v>0</v>
      </c>
      <c r="E144">
        <f t="shared" si="15"/>
        <v>0</v>
      </c>
    </row>
    <row r="145" spans="1:5">
      <c r="A145">
        <f t="shared" si="11"/>
        <v>180000000000</v>
      </c>
      <c r="B145">
        <f t="shared" si="16"/>
        <v>0</v>
      </c>
      <c r="C145">
        <f t="shared" si="14"/>
        <v>0</v>
      </c>
      <c r="D145">
        <f t="shared" si="14"/>
        <v>0</v>
      </c>
      <c r="E145">
        <f t="shared" si="15"/>
        <v>0</v>
      </c>
    </row>
    <row r="146" spans="1:5">
      <c r="A146">
        <f t="shared" si="11"/>
        <v>220000000000</v>
      </c>
      <c r="B146">
        <f t="shared" si="16"/>
        <v>0</v>
      </c>
      <c r="C146">
        <f t="shared" si="14"/>
        <v>0</v>
      </c>
      <c r="D146">
        <f t="shared" si="14"/>
        <v>0</v>
      </c>
      <c r="E146">
        <f t="shared" si="15"/>
        <v>0</v>
      </c>
    </row>
    <row r="147" spans="1:5">
      <c r="A147">
        <f t="shared" si="11"/>
        <v>270000000000</v>
      </c>
      <c r="B147">
        <f t="shared" si="16"/>
        <v>0</v>
      </c>
      <c r="C147">
        <f t="shared" si="14"/>
        <v>0</v>
      </c>
      <c r="D147">
        <f t="shared" si="14"/>
        <v>0</v>
      </c>
      <c r="E147">
        <f t="shared" si="15"/>
        <v>0</v>
      </c>
    </row>
    <row r="148" spans="1:5">
      <c r="A148">
        <f t="shared" si="11"/>
        <v>330000000000</v>
      </c>
      <c r="B148">
        <f t="shared" si="16"/>
        <v>0</v>
      </c>
      <c r="C148">
        <f t="shared" si="14"/>
        <v>0</v>
      </c>
      <c r="D148">
        <f t="shared" si="14"/>
        <v>0</v>
      </c>
      <c r="E148">
        <f t="shared" si="15"/>
        <v>0</v>
      </c>
    </row>
    <row r="149" spans="1:5">
      <c r="A149">
        <f t="shared" si="11"/>
        <v>390000000000</v>
      </c>
      <c r="B149">
        <f t="shared" si="16"/>
        <v>0</v>
      </c>
      <c r="C149">
        <f t="shared" si="14"/>
        <v>0</v>
      </c>
      <c r="D149">
        <f t="shared" si="14"/>
        <v>0</v>
      </c>
      <c r="E149">
        <f t="shared" si="15"/>
        <v>0</v>
      </c>
    </row>
    <row r="150" spans="1:5">
      <c r="A150">
        <f t="shared" si="11"/>
        <v>470000000000</v>
      </c>
      <c r="B150">
        <f t="shared" si="16"/>
        <v>0</v>
      </c>
      <c r="C150">
        <f t="shared" si="14"/>
        <v>0</v>
      </c>
      <c r="D150">
        <f t="shared" si="14"/>
        <v>0</v>
      </c>
      <c r="E150">
        <f t="shared" si="15"/>
        <v>0</v>
      </c>
    </row>
    <row r="151" spans="1:5">
      <c r="A151">
        <f t="shared" si="11"/>
        <v>560000000000</v>
      </c>
      <c r="B151">
        <f t="shared" si="16"/>
        <v>0</v>
      </c>
      <c r="C151">
        <f t="shared" si="14"/>
        <v>0</v>
      </c>
      <c r="D151">
        <f t="shared" si="14"/>
        <v>0</v>
      </c>
      <c r="E151">
        <f t="shared" si="15"/>
        <v>0</v>
      </c>
    </row>
    <row r="152" spans="1:5">
      <c r="A152">
        <f t="shared" si="11"/>
        <v>680000000000</v>
      </c>
      <c r="B152">
        <f t="shared" si="16"/>
        <v>0</v>
      </c>
      <c r="C152">
        <f t="shared" si="14"/>
        <v>0</v>
      </c>
      <c r="D152">
        <f t="shared" si="14"/>
        <v>0</v>
      </c>
      <c r="E152">
        <f t="shared" si="15"/>
        <v>0</v>
      </c>
    </row>
    <row r="153" spans="1:5">
      <c r="A153">
        <f t="shared" si="11"/>
        <v>820000000000</v>
      </c>
      <c r="B153">
        <f t="shared" si="16"/>
        <v>0</v>
      </c>
      <c r="C153">
        <f t="shared" si="14"/>
        <v>0</v>
      </c>
      <c r="D153">
        <f t="shared" si="14"/>
        <v>0</v>
      </c>
      <c r="E153">
        <f t="shared" si="15"/>
        <v>0</v>
      </c>
    </row>
    <row r="154" spans="1:5">
      <c r="A154">
        <f t="shared" si="11"/>
        <v>1000000000000</v>
      </c>
      <c r="B154">
        <f t="shared" si="16"/>
        <v>0</v>
      </c>
      <c r="C154">
        <f t="shared" si="14"/>
        <v>0</v>
      </c>
      <c r="D154">
        <f t="shared" si="14"/>
        <v>0</v>
      </c>
      <c r="E154">
        <f t="shared" si="15"/>
        <v>0</v>
      </c>
    </row>
    <row r="155" spans="1:5">
      <c r="A155">
        <f t="shared" si="11"/>
        <v>1200000000000</v>
      </c>
      <c r="B155">
        <f t="shared" si="16"/>
        <v>0</v>
      </c>
      <c r="C155">
        <f t="shared" si="14"/>
        <v>0</v>
      </c>
      <c r="D155">
        <f t="shared" si="14"/>
        <v>0</v>
      </c>
      <c r="E155">
        <f t="shared" si="15"/>
        <v>0</v>
      </c>
    </row>
    <row r="156" spans="1:5">
      <c r="A156">
        <f t="shared" si="11"/>
        <v>1500000000000</v>
      </c>
      <c r="B156">
        <f t="shared" si="16"/>
        <v>0</v>
      </c>
      <c r="C156">
        <f t="shared" si="14"/>
        <v>0</v>
      </c>
      <c r="D156">
        <f t="shared" si="14"/>
        <v>0</v>
      </c>
      <c r="E156">
        <f t="shared" si="15"/>
        <v>0</v>
      </c>
    </row>
    <row r="157" spans="1:5">
      <c r="A157">
        <f t="shared" si="11"/>
        <v>1800000000000</v>
      </c>
      <c r="B157">
        <f t="shared" si="16"/>
        <v>0</v>
      </c>
      <c r="C157">
        <f t="shared" si="14"/>
        <v>0</v>
      </c>
      <c r="D157">
        <f t="shared" si="14"/>
        <v>0</v>
      </c>
      <c r="E157">
        <f t="shared" si="15"/>
        <v>0</v>
      </c>
    </row>
    <row r="158" spans="1:5">
      <c r="A158">
        <f t="shared" si="11"/>
        <v>2200000000000</v>
      </c>
      <c r="B158">
        <f t="shared" si="16"/>
        <v>0</v>
      </c>
      <c r="C158">
        <f t="shared" si="14"/>
        <v>0</v>
      </c>
      <c r="D158">
        <f t="shared" si="14"/>
        <v>0</v>
      </c>
      <c r="E158">
        <f t="shared" si="15"/>
        <v>0</v>
      </c>
    </row>
    <row r="159" spans="1:5">
      <c r="A159" s="10">
        <f t="shared" si="11"/>
        <v>2700000000000</v>
      </c>
      <c r="B159">
        <f t="shared" si="16"/>
        <v>2700000000000</v>
      </c>
      <c r="C159">
        <f t="shared" si="14"/>
        <v>0</v>
      </c>
      <c r="D159">
        <f t="shared" si="14"/>
        <v>0</v>
      </c>
      <c r="E159">
        <f t="shared" si="15"/>
        <v>2700000000000</v>
      </c>
    </row>
  </sheetData>
  <sheetProtection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R687"/>
  <sheetViews>
    <sheetView zoomScaleNormal="100" workbookViewId="0">
      <pane ySplit="11" topLeftCell="A19" activePane="bottomLeft" state="frozen"/>
      <selection activeCell="A93" sqref="A93"/>
      <selection pane="bottomLeft" activeCell="B19" sqref="B19"/>
    </sheetView>
  </sheetViews>
  <sheetFormatPr defaultColWidth="9.21875" defaultRowHeight="13.2"/>
  <cols>
    <col min="1" max="1" width="14.77734375" style="147" bestFit="1" customWidth="1"/>
    <col min="2" max="2" width="10.77734375" style="147" customWidth="1"/>
    <col min="3" max="3" width="10" style="147" customWidth="1"/>
    <col min="4" max="4" width="13.77734375" style="147" customWidth="1"/>
    <col min="5" max="5" width="10.21875" style="147" customWidth="1"/>
    <col min="6" max="6" width="3.21875" style="147" customWidth="1"/>
    <col min="7" max="7" width="16.21875" style="147" customWidth="1"/>
    <col min="8" max="8" width="15.77734375" style="147" customWidth="1"/>
    <col min="9" max="9" width="10" style="147" customWidth="1"/>
    <col min="10" max="10" width="10.77734375" style="147" customWidth="1"/>
    <col min="11" max="11" width="10.21875" style="147" customWidth="1"/>
    <col min="12" max="14" width="11.77734375" style="147" customWidth="1"/>
    <col min="15" max="15" width="14.21875" style="147" customWidth="1"/>
    <col min="16" max="16" width="11" style="147" customWidth="1"/>
    <col min="17" max="17" width="12" style="147" customWidth="1"/>
    <col min="18" max="18" width="11.44140625" style="147" customWidth="1"/>
    <col min="19" max="19" width="10.77734375" style="147" customWidth="1"/>
    <col min="20" max="20" width="11.44140625" style="147" customWidth="1"/>
    <col min="21" max="21" width="11.77734375" style="147" customWidth="1"/>
    <col min="22" max="22" width="13.5546875" style="147" customWidth="1"/>
    <col min="23" max="23" width="9.44140625" style="147" customWidth="1"/>
    <col min="24" max="24" width="16.21875" style="147" bestFit="1" customWidth="1"/>
    <col min="25" max="25" width="16.21875" style="149" customWidth="1"/>
    <col min="26" max="26" width="8.77734375" style="147" bestFit="1" customWidth="1"/>
    <col min="27" max="27" width="13.5546875" style="147" bestFit="1" customWidth="1"/>
    <col min="28" max="28" width="10.77734375" style="147" bestFit="1" customWidth="1"/>
    <col min="29" max="29" width="9.21875" style="147"/>
    <col min="30" max="30" width="13.5546875" style="147" customWidth="1"/>
    <col min="31" max="31" width="10.5546875" style="147" customWidth="1"/>
    <col min="32" max="32" width="9.21875" style="147"/>
    <col min="33" max="33" width="9.44140625" style="147" bestFit="1" customWidth="1"/>
    <col min="34" max="34" width="11.44140625" style="147" bestFit="1" customWidth="1"/>
    <col min="35" max="35" width="5.77734375" style="147" customWidth="1"/>
    <col min="36" max="36" width="12.21875" style="147" customWidth="1"/>
    <col min="37" max="37" width="8.77734375" style="147" customWidth="1"/>
    <col min="38" max="38" width="18.21875" style="147" customWidth="1"/>
    <col min="39" max="39" width="45.21875" style="147" customWidth="1"/>
    <col min="40" max="40" width="19.21875" style="147" bestFit="1" customWidth="1"/>
    <col min="41" max="41" width="40.77734375" style="147" bestFit="1" customWidth="1"/>
    <col min="42" max="42" width="40.21875" style="147" bestFit="1" customWidth="1"/>
    <col min="43" max="43" width="40.77734375" style="147" bestFit="1" customWidth="1"/>
    <col min="44" max="44" width="40.21875" style="147" bestFit="1" customWidth="1"/>
    <col min="45" max="45" width="28.44140625" style="147" customWidth="1"/>
    <col min="46" max="16384" width="9.21875" style="147"/>
  </cols>
  <sheetData>
    <row r="1" spans="1:44" ht="13.8" thickBot="1"/>
    <row r="2" spans="1:44">
      <c r="A2" s="285" t="s">
        <v>770</v>
      </c>
      <c r="G2" s="794" t="s">
        <v>764</v>
      </c>
      <c r="H2" s="795"/>
      <c r="I2" s="796"/>
      <c r="J2" s="797"/>
      <c r="K2" s="794" t="s">
        <v>683</v>
      </c>
      <c r="L2" s="795"/>
      <c r="M2" s="795"/>
      <c r="N2" s="547"/>
      <c r="O2" s="548"/>
      <c r="P2" s="794" t="s">
        <v>684</v>
      </c>
      <c r="Q2" s="796"/>
      <c r="R2" s="797"/>
      <c r="S2" s="794" t="s">
        <v>765</v>
      </c>
      <c r="T2" s="796"/>
      <c r="U2" s="797"/>
      <c r="V2" s="794" t="s">
        <v>685</v>
      </c>
      <c r="W2" s="795"/>
      <c r="X2" s="798"/>
      <c r="AA2" s="285" t="s">
        <v>796</v>
      </c>
    </row>
    <row r="3" spans="1:44">
      <c r="H3" s="549" t="s">
        <v>757</v>
      </c>
      <c r="I3" s="624">
        <f>Vref/(Vout_eff*Npri_sec)</f>
        <v>3.2894736842105261E-2</v>
      </c>
      <c r="J3" s="550" t="s">
        <v>686</v>
      </c>
      <c r="K3" s="551" t="s">
        <v>687</v>
      </c>
      <c r="L3" s="238">
        <f>1/Rcs_gain</f>
        <v>30.303030303030301</v>
      </c>
      <c r="M3" s="550" t="s">
        <v>688</v>
      </c>
      <c r="N3" s="169" t="s">
        <v>689</v>
      </c>
      <c r="O3" s="552">
        <f>gmEA</f>
        <v>5.9999999999999995E-4</v>
      </c>
      <c r="P3" s="551" t="s">
        <v>690</v>
      </c>
      <c r="Q3" s="553">
        <f>1/(2*Pi*D25*D26)</f>
        <v>180857.8900838141</v>
      </c>
      <c r="R3" s="550" t="s">
        <v>8</v>
      </c>
      <c r="S3" s="551"/>
      <c r="T3" s="553"/>
      <c r="U3" s="550"/>
      <c r="V3" s="250" t="s">
        <v>692</v>
      </c>
      <c r="W3" s="553">
        <f>Am*Afb*Aea</f>
        <v>234087.77988808678</v>
      </c>
      <c r="X3" s="550" t="s">
        <v>686</v>
      </c>
      <c r="AA3" s="147">
        <f>MIN(z_RHP/10,'Calculations - Single'!Y212/10)</f>
        <v>8.1653158809278032</v>
      </c>
      <c r="AB3" s="147" t="s">
        <v>2</v>
      </c>
    </row>
    <row r="4" spans="1:44">
      <c r="B4" s="147">
        <f>BODE_TYPE*0+IF('Variable Mgmt'!Y17="BCM",2, 1)</f>
        <v>1</v>
      </c>
      <c r="H4" s="549" t="s">
        <v>693</v>
      </c>
      <c r="I4" s="553">
        <f>1/(2*Pi*Rcomp*Ccomp)</f>
        <v>395.90781908894616</v>
      </c>
      <c r="J4" s="550" t="s">
        <v>8</v>
      </c>
      <c r="K4" s="551" t="s">
        <v>694</v>
      </c>
      <c r="L4" s="238">
        <f>CHOOSE(BODE_TYPE, Rload_pri/Rcs_gain*(Lmag/(2*Vout_eff*Npri_sec)*Fsw_DCM)*SQRT(Iout_eff/(Lmag/(2*Vout_eff*Npri_sec)*Fsw_DCM*Npri_sec)), Rload_pri/(Rcs_gain*2*(2*M+1)))</f>
        <v>39.534825047765771</v>
      </c>
      <c r="M4" s="550" t="s">
        <v>686</v>
      </c>
      <c r="N4" s="554" t="s">
        <v>755</v>
      </c>
      <c r="O4" s="605">
        <f>REAout</f>
        <v>300000000</v>
      </c>
      <c r="P4" s="551" t="s">
        <v>695</v>
      </c>
      <c r="Q4" s="553">
        <f>CHOOSE(BODE_TYPE, 2/(2*Pi*D25*Rload_sec), 1/(2*Pi*D25*[0]!Rload_sec)*(2*M+1)/(M+1))</f>
        <v>144.77875894441169</v>
      </c>
      <c r="R4" s="550" t="s">
        <v>8</v>
      </c>
      <c r="S4" s="551"/>
      <c r="T4" s="252"/>
      <c r="U4" s="550"/>
      <c r="V4" s="610" t="s">
        <v>696</v>
      </c>
      <c r="W4" s="611">
        <f>AK7</f>
        <v>4.3651999999999997</v>
      </c>
      <c r="X4" s="612" t="s">
        <v>2</v>
      </c>
    </row>
    <row r="5" spans="1:44">
      <c r="H5" s="549" t="s">
        <v>697</v>
      </c>
      <c r="I5" s="165">
        <f>1/(2*Pi*REAout*Ccomp)</f>
        <v>5.3051647757918791E-2</v>
      </c>
      <c r="J5" s="550" t="s">
        <v>8</v>
      </c>
      <c r="K5" s="551"/>
      <c r="L5" s="165"/>
      <c r="M5" s="550"/>
      <c r="N5" s="554"/>
      <c r="O5" s="554"/>
      <c r="P5" s="551" t="s">
        <v>712</v>
      </c>
      <c r="Q5" s="553">
        <f>Rload_pri/(2*Pi*Lmag*M*(M+1))</f>
        <v>145470.13250529912</v>
      </c>
      <c r="R5" s="550" t="s">
        <v>8</v>
      </c>
      <c r="S5" s="551"/>
      <c r="T5" s="148"/>
      <c r="U5" s="550"/>
      <c r="V5" s="610" t="s">
        <v>698</v>
      </c>
      <c r="W5" s="613">
        <f>AK9</f>
        <v>71.804728685724029</v>
      </c>
      <c r="X5" s="614" t="s">
        <v>699</v>
      </c>
    </row>
    <row r="6" spans="1:44">
      <c r="H6" s="549" t="s">
        <v>700</v>
      </c>
      <c r="I6" s="148">
        <f>gmEA*REAout</f>
        <v>179999.99999999997</v>
      </c>
      <c r="J6" s="550" t="s">
        <v>686</v>
      </c>
      <c r="K6" s="551"/>
      <c r="L6" s="165"/>
      <c r="M6" s="169"/>
      <c r="N6" s="615"/>
      <c r="O6" s="550"/>
      <c r="P6" s="551"/>
      <c r="Q6" s="148"/>
      <c r="R6" s="550"/>
      <c r="S6" s="551"/>
      <c r="T6" s="165"/>
      <c r="U6" s="550"/>
      <c r="V6" s="250" t="s">
        <v>701</v>
      </c>
      <c r="W6" s="148">
        <v>57.295779578552292</v>
      </c>
      <c r="X6" s="550"/>
      <c r="AJ6" s="555" t="s">
        <v>702</v>
      </c>
      <c r="AK6" s="555"/>
    </row>
    <row r="7" spans="1:44" ht="13.8" thickBot="1">
      <c r="H7" s="556" t="s">
        <v>703</v>
      </c>
      <c r="I7" s="557">
        <f>1/(2*Pi*Rcomp*Chf)</f>
        <v>26393.854605929744</v>
      </c>
      <c r="J7" s="558" t="s">
        <v>8</v>
      </c>
      <c r="K7" s="559"/>
      <c r="L7" s="560"/>
      <c r="M7" s="560"/>
      <c r="N7" s="561"/>
      <c r="O7" s="558"/>
      <c r="P7" s="559"/>
      <c r="Q7" s="559"/>
      <c r="R7" s="558"/>
      <c r="S7" s="559"/>
      <c r="T7" s="559"/>
      <c r="U7" s="558"/>
      <c r="V7" s="559"/>
      <c r="W7" s="559"/>
      <c r="X7" s="558"/>
      <c r="AJ7" s="147" t="s">
        <v>704</v>
      </c>
      <c r="AK7" s="147">
        <f>SUM(AJ12:AJ613)/1000</f>
        <v>4.3651999999999997</v>
      </c>
      <c r="AL7" s="172">
        <f>AK7*1000</f>
        <v>4365.2</v>
      </c>
    </row>
    <row r="8" spans="1:44">
      <c r="H8" s="562"/>
      <c r="I8" s="172"/>
      <c r="L8" s="188"/>
      <c r="M8" s="188"/>
      <c r="N8" s="188"/>
      <c r="AL8" s="147">
        <v>0</v>
      </c>
    </row>
    <row r="9" spans="1:44" ht="13.8" thickBot="1">
      <c r="A9" s="603"/>
      <c r="B9" s="229" t="s">
        <v>758</v>
      </c>
      <c r="AJ9" s="147" t="s">
        <v>705</v>
      </c>
      <c r="AK9" s="149">
        <f>SUM(AK13:AK613)</f>
        <v>71.804728685724029</v>
      </c>
      <c r="AL9" s="379">
        <f>AK9</f>
        <v>71.804728685724029</v>
      </c>
    </row>
    <row r="10" spans="1:44" ht="13.8">
      <c r="A10" s="606"/>
      <c r="B10" s="229" t="s">
        <v>762</v>
      </c>
      <c r="G10" s="784" t="s">
        <v>706</v>
      </c>
      <c r="H10" s="787" t="s">
        <v>756</v>
      </c>
      <c r="I10" s="789" t="s">
        <v>707</v>
      </c>
      <c r="J10" s="790"/>
      <c r="K10" s="790"/>
      <c r="L10" s="790"/>
      <c r="M10" s="790"/>
      <c r="N10" s="791"/>
      <c r="O10" s="789" t="s">
        <v>708</v>
      </c>
      <c r="P10" s="790"/>
      <c r="Q10" s="790"/>
      <c r="R10" s="790"/>
      <c r="S10" s="790"/>
      <c r="T10" s="791"/>
      <c r="U10" s="792" t="s">
        <v>760</v>
      </c>
      <c r="V10" s="793"/>
      <c r="W10" s="792" t="s">
        <v>709</v>
      </c>
      <c r="X10" s="799"/>
      <c r="Y10" s="800"/>
      <c r="AD10" s="801" t="s">
        <v>710</v>
      </c>
      <c r="AE10" s="802"/>
      <c r="AG10" s="801" t="s">
        <v>711</v>
      </c>
      <c r="AH10" s="802"/>
      <c r="AM10" s="235" t="s">
        <v>761</v>
      </c>
    </row>
    <row r="11" spans="1:44">
      <c r="G11" s="785"/>
      <c r="H11" s="788"/>
      <c r="I11" s="803" t="s">
        <v>695</v>
      </c>
      <c r="J11" s="804"/>
      <c r="K11" s="804" t="s">
        <v>690</v>
      </c>
      <c r="L11" s="805"/>
      <c r="M11" s="806" t="s">
        <v>712</v>
      </c>
      <c r="N11" s="807"/>
      <c r="O11" s="803" t="s">
        <v>713</v>
      </c>
      <c r="P11" s="804"/>
      <c r="Q11" s="804" t="s">
        <v>714</v>
      </c>
      <c r="R11" s="805"/>
      <c r="S11" s="806" t="s">
        <v>715</v>
      </c>
      <c r="T11" s="807"/>
      <c r="U11" s="803" t="s">
        <v>691</v>
      </c>
      <c r="V11" s="805"/>
      <c r="W11" s="551"/>
      <c r="X11" s="148"/>
      <c r="Y11" s="563"/>
      <c r="AD11" s="551"/>
      <c r="AE11" s="550"/>
      <c r="AG11" s="551"/>
      <c r="AH11" s="550"/>
    </row>
    <row r="12" spans="1:44" ht="13.8" thickBot="1">
      <c r="F12" s="601"/>
      <c r="G12" s="786"/>
      <c r="H12" s="564"/>
      <c r="I12" s="565" t="s">
        <v>716</v>
      </c>
      <c r="J12" s="566" t="s">
        <v>717</v>
      </c>
      <c r="K12" s="566" t="s">
        <v>716</v>
      </c>
      <c r="L12" s="567" t="s">
        <v>717</v>
      </c>
      <c r="M12" s="566" t="s">
        <v>716</v>
      </c>
      <c r="N12" s="567" t="s">
        <v>717</v>
      </c>
      <c r="O12" s="565" t="s">
        <v>716</v>
      </c>
      <c r="P12" s="566" t="s">
        <v>717</v>
      </c>
      <c r="Q12" s="566" t="s">
        <v>716</v>
      </c>
      <c r="R12" s="567" t="s">
        <v>717</v>
      </c>
      <c r="S12" s="565" t="s">
        <v>716</v>
      </c>
      <c r="T12" s="566" t="s">
        <v>717</v>
      </c>
      <c r="U12" s="565" t="s">
        <v>716</v>
      </c>
      <c r="V12" s="567" t="s">
        <v>717</v>
      </c>
      <c r="W12" s="565" t="s">
        <v>718</v>
      </c>
      <c r="X12" s="566" t="s">
        <v>719</v>
      </c>
      <c r="Y12" s="568" t="s">
        <v>720</v>
      </c>
      <c r="AB12" s="569" t="s">
        <v>721</v>
      </c>
      <c r="AD12" s="570" t="s">
        <v>722</v>
      </c>
      <c r="AE12" s="571" t="s">
        <v>723</v>
      </c>
      <c r="AG12" s="570" t="s">
        <v>722</v>
      </c>
      <c r="AH12" s="571" t="s">
        <v>723</v>
      </c>
    </row>
    <row r="13" spans="1:44">
      <c r="A13" s="235" t="s">
        <v>739</v>
      </c>
      <c r="B13" s="602" t="str">
        <f>Nps</f>
        <v>1</v>
      </c>
      <c r="D13" s="147" t="s">
        <v>766</v>
      </c>
      <c r="G13" s="572">
        <v>1</v>
      </c>
      <c r="H13" s="573">
        <f>G13/1000</f>
        <v>1E-3</v>
      </c>
      <c r="I13" s="574">
        <f t="shared" ref="I13:I76" si="0">SQRT(1+(G13/pole1)^2)</f>
        <v>1.0000238536655417</v>
      </c>
      <c r="J13" s="575">
        <f t="shared" ref="J13:J76" si="1">ATAN(G13/pole1)</f>
        <v>6.9069807277860442E-3</v>
      </c>
      <c r="K13" s="575">
        <f t="shared" ref="K13:K76" si="2">SQRT(1+(G13/Zero1)^2)</f>
        <v>1.000000000015286</v>
      </c>
      <c r="L13" s="576">
        <f t="shared" ref="L13:L76" si="3">ATAN(G13/Zero1)</f>
        <v>5.5292030639436533E-6</v>
      </c>
      <c r="M13" s="575">
        <f t="shared" ref="M13:M76" si="4">SQRT(1+(G13/z_RHP)^2)</f>
        <v>1.0000000000236278</v>
      </c>
      <c r="N13" s="576">
        <f t="shared" ref="N13:N76" si="5">-ATAN(G13/z_RHP)</f>
        <v>-6.8742633471363661E-6</v>
      </c>
      <c r="O13" s="574">
        <f t="shared" ref="O13:O76" si="6">SQRT(1+(G13/Pole2)^2)</f>
        <v>18.876063086015179</v>
      </c>
      <c r="P13" s="577">
        <f t="shared" ref="P13:P76" si="7">ATAN(G13/Pole2)</f>
        <v>1.517794366044795</v>
      </c>
      <c r="Q13" s="575">
        <f t="shared" ref="Q13:Q76" si="8">SQRT(1+(G13/Zero2)^2)</f>
        <v>1.0000031899300041</v>
      </c>
      <c r="R13" s="576">
        <f t="shared" ref="R13:R76" si="9">ATAN(G13/Zero2)</f>
        <v>2.5258351191090834E-3</v>
      </c>
      <c r="S13" s="574">
        <f t="shared" ref="S13:S76" si="10">SQRT(1+(G13/pole4)^2)</f>
        <v>1.0000000007177354</v>
      </c>
      <c r="T13" s="577">
        <f t="shared" ref="T13:T76" si="11">ATAN(G13/pole4)</f>
        <v>3.7887607340871156E-5</v>
      </c>
      <c r="U13" s="578">
        <f>IMABS(IMPRODUCT(AO13, AR13))</f>
        <v>0.99959999985782022</v>
      </c>
      <c r="V13" s="579">
        <f>IMARGUMENT(IMPRODUCT(AO13, AR13))</f>
        <v>-2.0763255349740299E-5</v>
      </c>
      <c r="W13" s="580">
        <f t="shared" ref="W13:W76" si="12">20*LOG10(((K13*Q13*M13*U13)/(I13*O13*S13))*Adc)</f>
        <v>81.865691913977869</v>
      </c>
      <c r="X13" s="581">
        <f t="shared" ref="X13:X76" si="13">((L13+R13+N13+V13)-(J13+P13+T13))*radconv</f>
        <v>-87.217670108745693</v>
      </c>
      <c r="Y13" s="582">
        <f t="shared" ref="Y13:Y76" si="14">IF(X13&gt;0,X13,X13+180)</f>
        <v>92.782329891254307</v>
      </c>
      <c r="AA13" s="147">
        <f t="shared" ref="AA13:AA76" si="15">IF(W13&lt;0,G13,1000000000)</f>
        <v>1000000000</v>
      </c>
      <c r="AB13" s="147">
        <f t="shared" ref="AB13:AB76" si="16">G13^2</f>
        <v>1</v>
      </c>
      <c r="AD13" s="583">
        <f t="shared" ref="AD13:AD76" si="17">20*LOG10((Q13/(O13*S13))*Aea)</f>
        <v>79.587249400439802</v>
      </c>
      <c r="AE13" s="584">
        <f t="shared" ref="AE13:AE76" si="18">(R13-(P13+T13))*radconv</f>
        <v>-86.820662550233806</v>
      </c>
      <c r="AG13" s="583">
        <f t="shared" ref="AG13:AG76" si="19">20*LOG10((K13*M13/(I13*U13))*Acs*Am)</f>
        <v>61.572585492449804</v>
      </c>
      <c r="AH13" s="584">
        <f t="shared" ref="AH13:AH76" si="20">(L13+N13-(J13+V13))*radconv</f>
        <v>-0.39462826470819162</v>
      </c>
      <c r="AJ13" s="147">
        <f t="shared" ref="AJ13:AJ76" si="21">SUM((W14&lt;0)*(W13&gt;0))*G13</f>
        <v>0</v>
      </c>
      <c r="AK13" s="147">
        <f t="shared" ref="AK13:AK44" si="22">IF(AJ13&gt;0,Y11,0)</f>
        <v>0</v>
      </c>
      <c r="AM13" s="147" t="str">
        <f>IMSUB(1,IMEXP(COMPLEX(0,-2*Pi*G13*Tsw)))</f>
        <v>4.39910996519188E-10+0.0000296617937949868i</v>
      </c>
      <c r="AN13" s="147" t="str">
        <f>COMPLEX(0, 2*Pi*G13*Tsw)</f>
        <v>0.0000296617937993363i</v>
      </c>
      <c r="AO13" s="147" t="str">
        <f>IMDIV(AM13, AN13)</f>
        <v>0.999999999853364-0.0000148308965902471i</v>
      </c>
      <c r="AP13" s="147" t="str">
        <f>IMDIV(IMEXP(COMPLEX(0,-2*Pi*G13*Tsw)),6)</f>
        <v>0.166666666593348-4.94363229916447E-06i</v>
      </c>
      <c r="AQ13" s="147" t="str">
        <f>IMSUB(1, AP13)</f>
        <v>0.833333333406652+4.94363229916447E-06i</v>
      </c>
      <c r="AR13" s="147" t="str">
        <f>IMDIV(0.833, AQ13)</f>
        <v>0.999599999876874-0.0000059299858142416i</v>
      </c>
    </row>
    <row r="14" spans="1:44">
      <c r="A14" s="235" t="s">
        <v>736</v>
      </c>
      <c r="B14" s="603">
        <f>Vout+Vfwd1</f>
        <v>30.4</v>
      </c>
      <c r="C14" s="147" t="s">
        <v>0</v>
      </c>
      <c r="D14" s="147" t="s">
        <v>763</v>
      </c>
      <c r="G14" s="585">
        <v>1.0965</v>
      </c>
      <c r="H14" s="573">
        <f t="shared" ref="H14:H77" si="23">G14/1000</f>
        <v>1.0965E-3</v>
      </c>
      <c r="I14" s="574">
        <f t="shared" si="0"/>
        <v>1.0000286794850881</v>
      </c>
      <c r="J14" s="575">
        <f t="shared" si="1"/>
        <v>7.5734800029489714E-3</v>
      </c>
      <c r="K14" s="575">
        <f t="shared" si="2"/>
        <v>1.0000000000183786</v>
      </c>
      <c r="L14" s="576">
        <f t="shared" si="3"/>
        <v>6.062771159601716E-6</v>
      </c>
      <c r="M14" s="575">
        <f t="shared" si="4"/>
        <v>1.0000000000284079</v>
      </c>
      <c r="N14" s="576">
        <f t="shared" si="5"/>
        <v>-7.5376297601110045E-6</v>
      </c>
      <c r="O14" s="574">
        <f t="shared" si="6"/>
        <v>20.69271526143303</v>
      </c>
      <c r="P14" s="577">
        <f t="shared" si="7"/>
        <v>1.5224513109911022</v>
      </c>
      <c r="Q14" s="586">
        <f t="shared" si="8"/>
        <v>1.000003835290683</v>
      </c>
      <c r="R14" s="587">
        <f t="shared" si="9"/>
        <v>2.7695770165218543E-3</v>
      </c>
      <c r="S14" s="574">
        <f t="shared" si="10"/>
        <v>1.0000000008629419</v>
      </c>
      <c r="T14" s="577">
        <f t="shared" si="11"/>
        <v>4.1543761445243601E-5</v>
      </c>
      <c r="U14" s="578">
        <f t="shared" ref="U14:U77" si="24">IMABS(IMPRODUCT(AO14, AR14))</f>
        <v>0.99959999982905412</v>
      </c>
      <c r="V14" s="579">
        <f t="shared" ref="V14:V77" si="25">IMARGUMENT(IMPRODUCT(AO14, AR14))</f>
        <v>-2.2766898633195799E-5</v>
      </c>
      <c r="W14" s="580">
        <f t="shared" si="12"/>
        <v>81.067534370192334</v>
      </c>
      <c r="X14" s="581">
        <f t="shared" si="13"/>
        <v>-87.509047332828928</v>
      </c>
      <c r="Y14" s="584">
        <f t="shared" si="14"/>
        <v>92.490952667171072</v>
      </c>
      <c r="AA14" s="147">
        <f t="shared" si="15"/>
        <v>1000000000</v>
      </c>
      <c r="AB14" s="147">
        <f t="shared" si="16"/>
        <v>1.2023122500000001</v>
      </c>
      <c r="AD14" s="583">
        <f t="shared" si="17"/>
        <v>78.789133772270844</v>
      </c>
      <c r="AE14" s="584">
        <f t="shared" si="18"/>
        <v>-87.073729941558327</v>
      </c>
      <c r="AG14" s="583">
        <f t="shared" si="19"/>
        <v>61.572543577333136</v>
      </c>
      <c r="AH14" s="584">
        <f t="shared" si="20"/>
        <v>-0.43270849685904733</v>
      </c>
      <c r="AJ14" s="147">
        <f t="shared" si="21"/>
        <v>0</v>
      </c>
      <c r="AK14" s="147">
        <f t="shared" si="22"/>
        <v>0</v>
      </c>
      <c r="AM14" s="147" t="str">
        <f t="shared" ref="AM14:AM77" si="26">IMSUB(1,IMEXP(COMPLEX(0,-2*Pi*G14*Tsw)))</f>
        <v>5.2891002688682E-10+0.0000325241568952382i</v>
      </c>
      <c r="AN14" s="147" t="str">
        <f t="shared" ref="AN14:AN77" si="27">COMPLEX(0, 2*Pi*G14*Tsw)</f>
        <v>0.0000325241569009723i</v>
      </c>
      <c r="AO14" s="147" t="str">
        <f t="shared" ref="AO14:AO77" si="28">IMDIV(AM14, AN14)</f>
        <v>0.999999999823697-0.0000162620672534945i</v>
      </c>
      <c r="AP14" s="147" t="str">
        <f t="shared" ref="AP14:AP77" si="29">IMDIV(IMEXP(COMPLEX(0,-2*Pi*G14*Tsw)),6)</f>
        <v>0.166666666578515-5.42069281587303E-06i</v>
      </c>
      <c r="AQ14" s="147" t="str">
        <f t="shared" ref="AQ14:AQ77" si="30">IMSUB(1, AP14)</f>
        <v>0.833333333421485+5.42069281587303E-06i</v>
      </c>
      <c r="AR14" s="147" t="str">
        <f t="shared" ref="AR14:AR77" si="31">IMDIV(0.833, AQ14)</f>
        <v>0.999599999851964-6.50222944484525E-06i</v>
      </c>
    </row>
    <row r="15" spans="1:44">
      <c r="A15" s="235" t="s">
        <v>735</v>
      </c>
      <c r="B15" s="603">
        <f>'Design Converter'!E11+IF(MODE=2,ABS('Design Converter'!E13*'Design Converter'!L14),0)</f>
        <v>4.1784999999999997</v>
      </c>
      <c r="C15" s="147" t="s">
        <v>1</v>
      </c>
      <c r="G15" s="585">
        <v>1.2022999999999999</v>
      </c>
      <c r="H15" s="573">
        <f t="shared" si="23"/>
        <v>1.2022999999999999E-3</v>
      </c>
      <c r="I15" s="574">
        <f>SQRT(1+(G15/pole1)^2)</f>
        <v>1.0000344808935839</v>
      </c>
      <c r="J15" s="575">
        <f t="shared" si="1"/>
        <v>8.3042040962867155E-3</v>
      </c>
      <c r="K15" s="575">
        <f t="shared" si="2"/>
        <v>1.0000000000220963</v>
      </c>
      <c r="L15" s="576">
        <f t="shared" si="3"/>
        <v>6.6477608437492714E-6</v>
      </c>
      <c r="M15" s="575">
        <f t="shared" si="4"/>
        <v>1.0000000000341545</v>
      </c>
      <c r="N15" s="576">
        <f t="shared" si="5"/>
        <v>-8.2649268222040489E-6</v>
      </c>
      <c r="O15" s="574">
        <f t="shared" si="6"/>
        <v>22.684872896552974</v>
      </c>
      <c r="P15" s="577">
        <f t="shared" si="7"/>
        <v>1.5266997977079753</v>
      </c>
      <c r="Q15" s="586">
        <f t="shared" si="8"/>
        <v>1.0000046111212177</v>
      </c>
      <c r="R15" s="587">
        <f t="shared" si="9"/>
        <v>3.0368086864545033E-3</v>
      </c>
      <c r="S15" s="574">
        <f t="shared" si="10"/>
        <v>1.0000000010375045</v>
      </c>
      <c r="T15" s="577">
        <f t="shared" si="11"/>
        <v>4.5552270296218574E-5</v>
      </c>
      <c r="U15" s="578">
        <f t="shared" si="24"/>
        <v>0.99959999979447223</v>
      </c>
      <c r="V15" s="579">
        <f t="shared" si="25"/>
        <v>-2.4963648640927477E-5</v>
      </c>
      <c r="W15" s="580">
        <f t="shared" si="12"/>
        <v>80.26911334845515</v>
      </c>
      <c r="X15" s="581">
        <f t="shared" si="13"/>
        <v>-87.779387539784992</v>
      </c>
      <c r="Y15" s="584">
        <f t="shared" si="14"/>
        <v>92.220612460215008</v>
      </c>
      <c r="AA15" s="147">
        <f t="shared" si="15"/>
        <v>1000000000</v>
      </c>
      <c r="AB15" s="147">
        <f t="shared" si="16"/>
        <v>1.4455252899999997</v>
      </c>
      <c r="AD15" s="583">
        <f t="shared" si="17"/>
        <v>77.990763139554616</v>
      </c>
      <c r="AE15" s="584">
        <f t="shared" si="18"/>
        <v>-87.302068723813392</v>
      </c>
      <c r="AG15" s="583">
        <f t="shared" si="19"/>
        <v>61.572493188913178</v>
      </c>
      <c r="AH15" s="584">
        <f t="shared" si="20"/>
        <v>-0.47445819255159122</v>
      </c>
      <c r="AJ15" s="147">
        <f t="shared" si="21"/>
        <v>0</v>
      </c>
      <c r="AK15" s="147">
        <f t="shared" si="22"/>
        <v>0</v>
      </c>
      <c r="AM15" s="147" t="str">
        <f t="shared" si="26"/>
        <v>6.35901997725341E-10+0.0000356623746773827i</v>
      </c>
      <c r="AN15" s="147" t="str">
        <f t="shared" si="27"/>
        <v>0.000035662374684942i</v>
      </c>
      <c r="AO15" s="147" t="str">
        <f t="shared" si="28"/>
        <v>0.999999999788031-0.0000178311737045891i</v>
      </c>
      <c r="AP15" s="147" t="str">
        <f t="shared" si="29"/>
        <v>0.166666666560683-5.94372911289712E-06i</v>
      </c>
      <c r="AQ15" s="147" t="str">
        <f t="shared" si="30"/>
        <v>0.833333333439317+5.94372911289712E-06i</v>
      </c>
      <c r="AR15" s="147" t="str">
        <f t="shared" si="31"/>
        <v>0.999599999822019-7.12962194332616E-06i</v>
      </c>
    </row>
    <row r="16" spans="1:44">
      <c r="A16" s="235" t="s">
        <v>3</v>
      </c>
      <c r="B16" s="603">
        <f>VIN_nom</f>
        <v>34</v>
      </c>
      <c r="C16" s="147" t="s">
        <v>0</v>
      </c>
      <c r="G16" s="585">
        <v>1.3183</v>
      </c>
      <c r="H16" s="573">
        <f t="shared" si="23"/>
        <v>1.3183000000000001E-3</v>
      </c>
      <c r="I16" s="574">
        <f t="shared" si="0"/>
        <v>1.0000414552756907</v>
      </c>
      <c r="J16" s="575">
        <f t="shared" si="1"/>
        <v>9.1053658493053871E-3</v>
      </c>
      <c r="K16" s="575">
        <f t="shared" si="2"/>
        <v>1.0000000000265659</v>
      </c>
      <c r="L16" s="576">
        <f t="shared" si="3"/>
        <v>7.2891483991421043E-6</v>
      </c>
      <c r="M16" s="575">
        <f t="shared" si="4"/>
        <v>1.0000000000410632</v>
      </c>
      <c r="N16" s="576">
        <f t="shared" si="5"/>
        <v>-9.062341370424535E-6</v>
      </c>
      <c r="O16" s="574">
        <f t="shared" si="6"/>
        <v>24.869482638026174</v>
      </c>
      <c r="P16" s="577">
        <f t="shared" si="7"/>
        <v>1.5305755596882988</v>
      </c>
      <c r="Q16" s="586">
        <f t="shared" si="8"/>
        <v>1.0000055438203275</v>
      </c>
      <c r="R16" s="587">
        <f t="shared" si="9"/>
        <v>3.3298032122064322E-3</v>
      </c>
      <c r="S16" s="574">
        <f t="shared" si="10"/>
        <v>1.0000000012473629</v>
      </c>
      <c r="T16" s="577">
        <f t="shared" si="11"/>
        <v>4.9947232739834818E-5</v>
      </c>
      <c r="U16" s="578">
        <f t="shared" si="24"/>
        <v>0.99959999975290093</v>
      </c>
      <c r="V16" s="579">
        <f t="shared" si="25"/>
        <v>-2.737220273259016E-5</v>
      </c>
      <c r="W16" s="580">
        <f t="shared" si="12"/>
        <v>79.470452862361213</v>
      </c>
      <c r="X16" s="581">
        <f t="shared" si="13"/>
        <v>-88.030966933823024</v>
      </c>
      <c r="Y16" s="584">
        <f t="shared" si="14"/>
        <v>91.969033066176976</v>
      </c>
      <c r="AA16" s="147">
        <f t="shared" si="15"/>
        <v>1000000000</v>
      </c>
      <c r="AB16" s="147">
        <f t="shared" si="16"/>
        <v>1.7379148900000001</v>
      </c>
      <c r="AD16" s="583">
        <f t="shared" si="17"/>
        <v>77.192163230136387</v>
      </c>
      <c r="AE16" s="584">
        <f t="shared" si="18"/>
        <v>-87.507597990971163</v>
      </c>
      <c r="AG16" s="583">
        <f t="shared" si="19"/>
        <v>61.572432612959943</v>
      </c>
      <c r="AH16" s="584">
        <f t="shared" si="20"/>
        <v>-0.52023231946316595</v>
      </c>
      <c r="AJ16" s="147">
        <f t="shared" si="21"/>
        <v>0</v>
      </c>
      <c r="AK16" s="147">
        <f t="shared" si="22"/>
        <v>0</v>
      </c>
      <c r="AM16" s="147" t="str">
        <f t="shared" si="26"/>
        <v>7.64527996466313E-10+0.0000391031427557i</v>
      </c>
      <c r="AN16" s="147" t="str">
        <f t="shared" si="27"/>
        <v>0.0000391031427656651i</v>
      </c>
      <c r="AO16" s="147" t="str">
        <f t="shared" si="28"/>
        <v>0.999999999745158-0.0000195515741803141i</v>
      </c>
      <c r="AP16" s="147" t="str">
        <f t="shared" si="29"/>
        <v>0.166666666539245-6.51719045928333E-06i</v>
      </c>
      <c r="AQ16" s="147" t="str">
        <f t="shared" si="30"/>
        <v>0.833333333460755+6.51719045928333E-06i</v>
      </c>
      <c r="AR16" s="147" t="str">
        <f t="shared" si="31"/>
        <v>0.999599999786017-7.81750029685072E-06i</v>
      </c>
    </row>
    <row r="17" spans="1:44">
      <c r="G17" s="585">
        <v>1.4454</v>
      </c>
      <c r="H17" s="573">
        <f t="shared" si="23"/>
        <v>1.4454000000000001E-3</v>
      </c>
      <c r="I17" s="574">
        <f t="shared" si="0"/>
        <v>1.0000498339813033</v>
      </c>
      <c r="J17" s="575">
        <f t="shared" si="1"/>
        <v>9.983177036388487E-3</v>
      </c>
      <c r="K17" s="575">
        <f t="shared" si="2"/>
        <v>1.0000000000319353</v>
      </c>
      <c r="L17" s="576">
        <f t="shared" si="3"/>
        <v>7.9919101085354488E-6</v>
      </c>
      <c r="M17" s="575">
        <f t="shared" si="4"/>
        <v>1.0000000000493627</v>
      </c>
      <c r="N17" s="576">
        <f t="shared" si="5"/>
        <v>-9.9360602417804338E-6</v>
      </c>
      <c r="O17" s="574">
        <f t="shared" si="6"/>
        <v>27.263493812685205</v>
      </c>
      <c r="P17" s="577">
        <f t="shared" si="7"/>
        <v>1.5341090126668642</v>
      </c>
      <c r="Q17" s="586">
        <f t="shared" si="8"/>
        <v>1.0000066643300891</v>
      </c>
      <c r="R17" s="587">
        <f t="shared" si="9"/>
        <v>3.6508336248765932E-3</v>
      </c>
      <c r="S17" s="574">
        <f t="shared" si="10"/>
        <v>1.0000000014994792</v>
      </c>
      <c r="T17" s="577">
        <f t="shared" si="11"/>
        <v>5.4762747621954872E-5</v>
      </c>
      <c r="U17" s="578">
        <f t="shared" si="24"/>
        <v>0.99959999970295921</v>
      </c>
      <c r="V17" s="579">
        <f t="shared" si="25"/>
        <v>-3.0011216024539614E-5</v>
      </c>
      <c r="W17" s="580">
        <f t="shared" si="12"/>
        <v>78.672094636435119</v>
      </c>
      <c r="X17" s="581">
        <f t="shared" si="13"/>
        <v>-88.265756973485409</v>
      </c>
      <c r="Y17" s="584">
        <f t="shared" si="14"/>
        <v>91.734243026514591</v>
      </c>
      <c r="AA17" s="147">
        <f t="shared" si="15"/>
        <v>1000000000</v>
      </c>
      <c r="AB17" s="147">
        <f t="shared" si="16"/>
        <v>2.0891811599999999</v>
      </c>
      <c r="AD17" s="583">
        <f t="shared" si="17"/>
        <v>76.393877777716071</v>
      </c>
      <c r="AE17" s="584">
        <f t="shared" si="18"/>
        <v>-87.691932154899106</v>
      </c>
      <c r="AG17" s="583">
        <f t="shared" si="19"/>
        <v>61.572359840322065</v>
      </c>
      <c r="AH17" s="584">
        <f t="shared" si="20"/>
        <v>-0.57038578654985528</v>
      </c>
      <c r="AJ17" s="147">
        <f t="shared" si="21"/>
        <v>0</v>
      </c>
      <c r="AK17" s="147">
        <f t="shared" si="22"/>
        <v>0</v>
      </c>
      <c r="AM17" s="147" t="str">
        <f t="shared" si="26"/>
        <v>9.19054055081858E-10+0.0000428731567444265i</v>
      </c>
      <c r="AN17" s="147" t="str">
        <f t="shared" si="27"/>
        <v>0.0000428731567575607i</v>
      </c>
      <c r="AO17" s="147" t="str">
        <f t="shared" si="28"/>
        <v>0.99999999969365-0.000021436584674157i</v>
      </c>
      <c r="AP17" s="147" t="str">
        <f t="shared" si="29"/>
        <v>0.166666666513491-7.14552612407108E-06i</v>
      </c>
      <c r="AQ17" s="147" t="str">
        <f t="shared" si="30"/>
        <v>0.833333333486509+7.14552612407108E-06i</v>
      </c>
      <c r="AR17" s="147" t="str">
        <f t="shared" si="31"/>
        <v>0.999599999742768-8.57120149256459E-06i</v>
      </c>
    </row>
    <row r="18" spans="1:44">
      <c r="A18" s="147" t="s">
        <v>742</v>
      </c>
      <c r="B18" s="607">
        <f>Vout_eff*Npri_sec/Vin_eff</f>
        <v>0.89411764705882346</v>
      </c>
      <c r="C18" s="147" t="s">
        <v>686</v>
      </c>
      <c r="G18" s="585">
        <v>1.5849</v>
      </c>
      <c r="H18" s="573">
        <f t="shared" si="23"/>
        <v>1.5849E-3</v>
      </c>
      <c r="I18" s="574">
        <f t="shared" si="0"/>
        <v>1.0000599171331455</v>
      </c>
      <c r="J18" s="575">
        <f t="shared" si="1"/>
        <v>1.0946610578564135E-2</v>
      </c>
      <c r="K18" s="575">
        <f t="shared" si="2"/>
        <v>1.0000000000383973</v>
      </c>
      <c r="L18" s="576">
        <f t="shared" si="3"/>
        <v>8.7632339359092765E-6</v>
      </c>
      <c r="M18" s="575">
        <f t="shared" si="4"/>
        <v>1.0000000000593507</v>
      </c>
      <c r="N18" s="576">
        <f t="shared" si="5"/>
        <v>-1.0895019978616958E-5</v>
      </c>
      <c r="O18" s="574">
        <f t="shared" si="6"/>
        <v>29.891393051896138</v>
      </c>
      <c r="P18" s="577">
        <f t="shared" si="7"/>
        <v>1.5373356371040561</v>
      </c>
      <c r="Q18" s="586">
        <f t="shared" si="8"/>
        <v>1.0000080127914066</v>
      </c>
      <c r="R18" s="587">
        <f t="shared" si="9"/>
        <v>4.0031832091096415E-3</v>
      </c>
      <c r="S18" s="574">
        <f t="shared" si="10"/>
        <v>1.0000000018028852</v>
      </c>
      <c r="T18" s="577">
        <f t="shared" si="11"/>
        <v>6.0048068831105927E-5</v>
      </c>
      <c r="U18" s="578">
        <f t="shared" si="24"/>
        <v>0.99959999964285318</v>
      </c>
      <c r="V18" s="579">
        <f t="shared" si="25"/>
        <v>-3.2907683653353406E-5</v>
      </c>
      <c r="W18" s="580">
        <f t="shared" si="12"/>
        <v>77.872725860845392</v>
      </c>
      <c r="X18" s="581">
        <f t="shared" si="13"/>
        <v>-88.486121000495316</v>
      </c>
      <c r="Y18" s="584">
        <f t="shared" si="14"/>
        <v>91.513878999504684</v>
      </c>
      <c r="AA18" s="147">
        <f t="shared" si="15"/>
        <v>1000000000</v>
      </c>
      <c r="AB18" s="147">
        <f t="shared" si="16"/>
        <v>2.51190801</v>
      </c>
      <c r="AD18" s="583">
        <f t="shared" si="17"/>
        <v>75.594596578844047</v>
      </c>
      <c r="AE18" s="584">
        <f t="shared" si="18"/>
        <v>-87.856918799921402</v>
      </c>
      <c r="AG18" s="583">
        <f t="shared" si="19"/>
        <v>61.57227226464893</v>
      </c>
      <c r="AH18" s="584">
        <f t="shared" si="20"/>
        <v>-0.62543125779582776</v>
      </c>
      <c r="AJ18" s="147">
        <f t="shared" si="21"/>
        <v>0</v>
      </c>
      <c r="AK18" s="147">
        <f t="shared" si="22"/>
        <v>0</v>
      </c>
      <c r="AM18" s="147" t="str">
        <f t="shared" si="26"/>
        <v>1.10501596761736E-09+0.0000470109769752521i</v>
      </c>
      <c r="AN18" s="147" t="str">
        <f t="shared" si="27"/>
        <v>0.0000470109769925681i</v>
      </c>
      <c r="AO18" s="147" t="str">
        <f t="shared" si="28"/>
        <v>0.999999999631661-0.000023505488256329i</v>
      </c>
      <c r="AP18" s="147" t="str">
        <f t="shared" si="29"/>
        <v>0.166666666482497-7.83516282920868E-06i</v>
      </c>
      <c r="AQ18" s="147" t="str">
        <f t="shared" si="30"/>
        <v>0.833333333517503+7.83516282920868E-06i</v>
      </c>
      <c r="AR18" s="147" t="str">
        <f t="shared" si="31"/>
        <v>0.999599999690719-9.39843451190738E-06i</v>
      </c>
    </row>
    <row r="19" spans="1:44">
      <c r="A19" s="147" t="s">
        <v>759</v>
      </c>
      <c r="B19" s="147">
        <f>1/'Calculations - Single'!AQ105/1000*0+1/CHOOSE(MODE, 'Calculations - Single'!AQ105,'Calculations - Dual'!AP105)/1000</f>
        <v>4.7208211095312294E-6</v>
      </c>
      <c r="C19" s="147" t="s">
        <v>51</v>
      </c>
      <c r="G19" s="585">
        <v>1.7378</v>
      </c>
      <c r="H19" s="573">
        <f t="shared" si="23"/>
        <v>1.7378000000000001E-3</v>
      </c>
      <c r="I19" s="574">
        <f t="shared" si="0"/>
        <v>1.0000720351142254</v>
      </c>
      <c r="J19" s="575">
        <f t="shared" si="1"/>
        <v>1.2002565582111161E-2</v>
      </c>
      <c r="K19" s="575">
        <f t="shared" si="2"/>
        <v>1.0000000000461631</v>
      </c>
      <c r="L19" s="576">
        <f t="shared" si="3"/>
        <v>9.608649084323489E-6</v>
      </c>
      <c r="M19" s="575">
        <f t="shared" si="4"/>
        <v>1.0000000000713545</v>
      </c>
      <c r="N19" s="576">
        <f t="shared" si="5"/>
        <v>-1.1946094844273478E-5</v>
      </c>
      <c r="O19" s="574">
        <f t="shared" si="6"/>
        <v>32.772018714013619</v>
      </c>
      <c r="P19" s="577">
        <f t="shared" si="7"/>
        <v>1.5402777537357457</v>
      </c>
      <c r="Q19" s="586">
        <f t="shared" si="8"/>
        <v>1.0000096333943795</v>
      </c>
      <c r="R19" s="587">
        <f t="shared" si="9"/>
        <v>4.3893774148379217E-3</v>
      </c>
      <c r="S19" s="574">
        <f t="shared" si="10"/>
        <v>1.0000000021675242</v>
      </c>
      <c r="T19" s="577">
        <f t="shared" si="11"/>
        <v>6.5841083973328788E-5</v>
      </c>
      <c r="U19" s="578">
        <f t="shared" si="24"/>
        <v>0.99959999957062018</v>
      </c>
      <c r="V19" s="579">
        <f t="shared" si="25"/>
        <v>-3.6082390303141889E-5</v>
      </c>
      <c r="W19" s="580">
        <f t="shared" si="12"/>
        <v>77.073493906772413</v>
      </c>
      <c r="X19" s="581">
        <f t="shared" si="13"/>
        <v>-88.693591929606129</v>
      </c>
      <c r="Y19" s="584">
        <f t="shared" si="14"/>
        <v>91.306408070393871</v>
      </c>
      <c r="AA19" s="147">
        <f t="shared" si="15"/>
        <v>1000000000</v>
      </c>
      <c r="AB19" s="147">
        <f t="shared" si="16"/>
        <v>3.0199488400000001</v>
      </c>
      <c r="AD19" s="583">
        <f t="shared" si="17"/>
        <v>74.795469873729431</v>
      </c>
      <c r="AE19" s="584">
        <f t="shared" si="18"/>
        <v>-88.00369428317785</v>
      </c>
      <c r="AG19" s="583">
        <f t="shared" si="19"/>
        <v>61.572167016945897</v>
      </c>
      <c r="AH19" s="584">
        <f t="shared" si="20"/>
        <v>-0.685762909065322</v>
      </c>
      <c r="AJ19" s="147">
        <f t="shared" si="21"/>
        <v>0</v>
      </c>
      <c r="AK19" s="147">
        <f t="shared" si="22"/>
        <v>0</v>
      </c>
      <c r="AM19" s="147" t="str">
        <f t="shared" si="26"/>
        <v>1.32850896950032E-09+0.00005154626524166i</v>
      </c>
      <c r="AN19" s="147" t="str">
        <f t="shared" si="27"/>
        <v>0.0000515462652644866i</v>
      </c>
      <c r="AO19" s="147" t="str">
        <f t="shared" si="28"/>
        <v>0.999999999557163-0.0000257731372522077i</v>
      </c>
      <c r="AP19" s="147" t="str">
        <f t="shared" si="29"/>
        <v>0.166666666445248-8.59104420694333E-06i</v>
      </c>
      <c r="AQ19" s="147" t="str">
        <f t="shared" si="30"/>
        <v>0.833333333554752+8.59104420694333E-06i</v>
      </c>
      <c r="AR19" s="147" t="str">
        <f t="shared" si="31"/>
        <v>0.999599999628166-0.0000103051293405412i</v>
      </c>
    </row>
    <row r="20" spans="1:44">
      <c r="G20" s="585">
        <v>1.9055</v>
      </c>
      <c r="H20" s="573">
        <f t="shared" si="23"/>
        <v>1.9055000000000001E-3</v>
      </c>
      <c r="I20" s="574">
        <f t="shared" si="0"/>
        <v>1.0000866082782871</v>
      </c>
      <c r="J20" s="575">
        <f t="shared" si="1"/>
        <v>1.3160701191108012E-2</v>
      </c>
      <c r="K20" s="575">
        <f t="shared" si="2"/>
        <v>1.0000000000555027</v>
      </c>
      <c r="L20" s="576">
        <f t="shared" si="3"/>
        <v>1.0535896438062151E-5</v>
      </c>
      <c r="M20" s="575">
        <f t="shared" si="4"/>
        <v>1.0000000000857907</v>
      </c>
      <c r="N20" s="576">
        <f t="shared" si="5"/>
        <v>-1.30989088074255E-5</v>
      </c>
      <c r="O20" s="574">
        <f t="shared" si="6"/>
        <v>35.931746734160576</v>
      </c>
      <c r="P20" s="577">
        <f t="shared" si="7"/>
        <v>1.5429621905292261</v>
      </c>
      <c r="Q20" s="586">
        <f t="shared" si="8"/>
        <v>1.0000115823647453</v>
      </c>
      <c r="R20" s="587">
        <f t="shared" si="9"/>
        <v>4.8129518912764443E-3</v>
      </c>
      <c r="S20" s="574">
        <f t="shared" si="10"/>
        <v>1.0000000026060472</v>
      </c>
      <c r="T20" s="577">
        <f t="shared" si="11"/>
        <v>7.2194835697145755E-5</v>
      </c>
      <c r="U20" s="578">
        <f t="shared" si="24"/>
        <v>0.99959999948374889</v>
      </c>
      <c r="V20" s="579">
        <f t="shared" si="25"/>
        <v>-3.9564379981223559E-5</v>
      </c>
      <c r="W20" s="580">
        <f t="shared" si="12"/>
        <v>76.273881545949763</v>
      </c>
      <c r="X20" s="581">
        <f t="shared" si="13"/>
        <v>-88.890062551642046</v>
      </c>
      <c r="Y20" s="584">
        <f t="shared" si="14"/>
        <v>91.109937448357954</v>
      </c>
      <c r="AA20" s="147">
        <f t="shared" si="15"/>
        <v>1000000000</v>
      </c>
      <c r="AB20" s="147">
        <f t="shared" si="16"/>
        <v>3.63093025</v>
      </c>
      <c r="AD20" s="583">
        <f t="shared" si="17"/>
        <v>73.99598408431001</v>
      </c>
      <c r="AE20" s="584">
        <f t="shared" si="18"/>
        <v>-88.133596195310801</v>
      </c>
      <c r="AG20" s="583">
        <f t="shared" si="19"/>
        <v>61.572040447052359</v>
      </c>
      <c r="AH20" s="584">
        <f t="shared" si="20"/>
        <v>-0.75193261234212105</v>
      </c>
      <c r="AJ20" s="147">
        <f t="shared" si="21"/>
        <v>0</v>
      </c>
      <c r="AK20" s="147">
        <f t="shared" si="22"/>
        <v>0</v>
      </c>
      <c r="AM20" s="147" t="str">
        <f t="shared" si="26"/>
        <v>1.59728597015629E-09+0.0000565205480545421i</v>
      </c>
      <c r="AN20" s="147" t="str">
        <f t="shared" si="27"/>
        <v>0.0000565205480846353i</v>
      </c>
      <c r="AO20" s="147" t="str">
        <f t="shared" si="28"/>
        <v>0.999999999467571-0.0000282602703668845i</v>
      </c>
      <c r="AP20" s="147" t="str">
        <f t="shared" si="29"/>
        <v>0.166666666400452-9.42009134242368E-06i</v>
      </c>
      <c r="AQ20" s="147" t="str">
        <f t="shared" si="30"/>
        <v>0.833333333599548+9.42009134242368E-06i</v>
      </c>
      <c r="AR20" s="147" t="str">
        <f t="shared" si="31"/>
        <v>0.999599999552938-0.0000112995879584007i</v>
      </c>
    </row>
    <row r="21" spans="1:44">
      <c r="A21" s="235" t="s">
        <v>738</v>
      </c>
      <c r="B21" s="609">
        <f>Vout_eff/Iout_eff</f>
        <v>7.2753380399664955</v>
      </c>
      <c r="C21" s="600" t="s">
        <v>45</v>
      </c>
      <c r="D21" s="600"/>
      <c r="E21" s="600"/>
      <c r="G21" s="585">
        <v>2.0893000000000002</v>
      </c>
      <c r="H21" s="573">
        <f t="shared" si="23"/>
        <v>2.0893000000000001E-3</v>
      </c>
      <c r="I21" s="574">
        <f t="shared" si="0"/>
        <v>1.0001041212335868</v>
      </c>
      <c r="J21" s="575">
        <f t="shared" si="1"/>
        <v>1.4429982677058638E-2</v>
      </c>
      <c r="K21" s="575">
        <f t="shared" si="2"/>
        <v>1.0000000000667262</v>
      </c>
      <c r="L21" s="576">
        <f t="shared" si="3"/>
        <v>1.1552163961101312E-5</v>
      </c>
      <c r="M21" s="575">
        <f t="shared" si="4"/>
        <v>1.0000000001031393</v>
      </c>
      <c r="N21" s="576">
        <f t="shared" si="5"/>
        <v>-1.4362398410410693E-5</v>
      </c>
      <c r="O21" s="574">
        <f t="shared" si="6"/>
        <v>39.395071130085363</v>
      </c>
      <c r="P21" s="577">
        <f t="shared" si="7"/>
        <v>1.5454097138826624</v>
      </c>
      <c r="Q21" s="586">
        <f t="shared" si="8"/>
        <v>1.0000139245263422</v>
      </c>
      <c r="R21" s="587">
        <f t="shared" si="9"/>
        <v>5.2771895487900627E-3</v>
      </c>
      <c r="S21" s="574">
        <f t="shared" si="10"/>
        <v>1.0000000031330403</v>
      </c>
      <c r="T21" s="577">
        <f t="shared" si="11"/>
        <v>7.9158577889820703E-5</v>
      </c>
      <c r="U21" s="578">
        <f t="shared" si="24"/>
        <v>0.99959999937935573</v>
      </c>
      <c r="V21" s="579">
        <f t="shared" si="25"/>
        <v>-4.3380665846641192E-5</v>
      </c>
      <c r="W21" s="580">
        <f t="shared" si="12"/>
        <v>75.474478601601305</v>
      </c>
      <c r="X21" s="581">
        <f t="shared" si="13"/>
        <v>-89.077052738852373</v>
      </c>
      <c r="Y21" s="584">
        <f t="shared" si="14"/>
        <v>90.922947261147627</v>
      </c>
      <c r="AA21" s="147">
        <f t="shared" si="15"/>
        <v>1000000000</v>
      </c>
      <c r="AB21" s="147">
        <f t="shared" si="16"/>
        <v>4.3651744900000002</v>
      </c>
      <c r="AD21" s="583">
        <f t="shared" si="17"/>
        <v>73.196733241712394</v>
      </c>
      <c r="AE21" s="584">
        <f t="shared" si="18"/>
        <v>-88.247629088423409</v>
      </c>
      <c r="AG21" s="583">
        <f t="shared" si="19"/>
        <v>61.571888347115753</v>
      </c>
      <c r="AH21" s="584">
        <f t="shared" si="20"/>
        <v>-0.82445259229233137</v>
      </c>
      <c r="AJ21" s="147">
        <f t="shared" si="21"/>
        <v>0</v>
      </c>
      <c r="AK21" s="147">
        <f t="shared" si="22"/>
        <v>0</v>
      </c>
      <c r="AM21" s="147" t="str">
        <f t="shared" si="26"/>
        <v>1.9202880396918E-09+0.0000619723857452851i</v>
      </c>
      <c r="AN21" s="147" t="str">
        <f t="shared" si="27"/>
        <v>0.0000619723857849534i</v>
      </c>
      <c r="AO21" s="147" t="str">
        <f t="shared" si="28"/>
        <v>0.999999999359904-0.000030986188693062i</v>
      </c>
      <c r="AP21" s="147" t="str">
        <f t="shared" si="29"/>
        <v>0.166666666346619-0.0000103287309575475i</v>
      </c>
      <c r="AQ21" s="147" t="str">
        <f t="shared" si="30"/>
        <v>0.833333333653381+0.0000103287309575475i</v>
      </c>
      <c r="AR21" s="147" t="str">
        <f t="shared" si="31"/>
        <v>0.999599999462535-0.0000123895193467775i</v>
      </c>
    </row>
    <row r="22" spans="1:44">
      <c r="A22" s="147" t="s">
        <v>737</v>
      </c>
      <c r="B22" s="609">
        <f>Rload_sec*(Npri_sec^2)</f>
        <v>7.2753380399664955</v>
      </c>
      <c r="C22" s="600" t="s">
        <v>45</v>
      </c>
      <c r="D22" s="600"/>
      <c r="E22" s="600"/>
      <c r="G22" s="585">
        <v>2.2909000000000002</v>
      </c>
      <c r="H22" s="573">
        <f t="shared" si="23"/>
        <v>2.2909000000000002E-3</v>
      </c>
      <c r="I22" s="574">
        <f t="shared" si="0"/>
        <v>1.0001251830093183</v>
      </c>
      <c r="J22" s="575">
        <f t="shared" si="1"/>
        <v>1.5822133340665314E-2</v>
      </c>
      <c r="K22" s="575">
        <f t="shared" si="2"/>
        <v>1.0000000000802247</v>
      </c>
      <c r="L22" s="576">
        <f t="shared" si="3"/>
        <v>1.2666851298640137E-5</v>
      </c>
      <c r="M22" s="575">
        <f t="shared" si="4"/>
        <v>1.0000000001240037</v>
      </c>
      <c r="N22" s="576">
        <f t="shared" si="5"/>
        <v>-1.5748249900900872E-5</v>
      </c>
      <c r="O22" s="574">
        <f t="shared" si="6"/>
        <v>43.194024837974212</v>
      </c>
      <c r="P22" s="577">
        <f>ATAN(G22/Pole2)</f>
        <v>1.5476429078638956</v>
      </c>
      <c r="Q22" s="586">
        <f t="shared" si="8"/>
        <v>1.0000167413499756</v>
      </c>
      <c r="R22" s="587">
        <f t="shared" si="9"/>
        <v>5.786383398705199E-3</v>
      </c>
      <c r="S22" s="574">
        <f t="shared" si="10"/>
        <v>1.0000000037668353</v>
      </c>
      <c r="T22" s="577">
        <f t="shared" si="11"/>
        <v>8.679671948076716E-5</v>
      </c>
      <c r="U22" s="578">
        <f t="shared" si="24"/>
        <v>0.99959999925380238</v>
      </c>
      <c r="V22" s="579">
        <f t="shared" si="25"/>
        <v>-4.756654229341138E-5</v>
      </c>
      <c r="W22" s="580">
        <f t="shared" si="12"/>
        <v>74.67468444783259</v>
      </c>
      <c r="X22" s="581">
        <f t="shared" si="13"/>
        <v>-89.256288030824678</v>
      </c>
      <c r="Y22" s="584">
        <f t="shared" si="14"/>
        <v>90.743711969175322</v>
      </c>
      <c r="AA22" s="147">
        <f t="shared" si="15"/>
        <v>1000000000</v>
      </c>
      <c r="AB22" s="147">
        <f t="shared" si="16"/>
        <v>5.2482228100000006</v>
      </c>
      <c r="AD22" s="583">
        <f t="shared" si="17"/>
        <v>72.3971220080237</v>
      </c>
      <c r="AE22" s="584">
        <f t="shared" si="18"/>
        <v>-88.346844653217772</v>
      </c>
      <c r="AG22" s="583">
        <f t="shared" si="19"/>
        <v>61.571705429217694</v>
      </c>
      <c r="AH22" s="584">
        <f t="shared" si="20"/>
        <v>-0.9039926533617747</v>
      </c>
      <c r="AJ22" s="147">
        <f t="shared" si="21"/>
        <v>0</v>
      </c>
      <c r="AK22" s="147">
        <f t="shared" si="22"/>
        <v>0</v>
      </c>
      <c r="AM22" s="147" t="str">
        <f t="shared" si="26"/>
        <v>2.30875096818295E-09+0.0000679522033626047i</v>
      </c>
      <c r="AN22" s="147" t="str">
        <f t="shared" si="27"/>
        <v>0.0000679522034148996i</v>
      </c>
      <c r="AO22" s="147" t="str">
        <f t="shared" si="28"/>
        <v>0.999999999230416-0.0000339761016149289i</v>
      </c>
      <c r="AP22" s="147" t="str">
        <f t="shared" si="29"/>
        <v>0.166666666281875-0.0000113253672271008i</v>
      </c>
      <c r="AQ22" s="147" t="str">
        <f t="shared" si="30"/>
        <v>0.833333333718125+0.0000113253672271008i</v>
      </c>
      <c r="AR22" s="147" t="str">
        <f t="shared" si="31"/>
        <v>0.999599999353808-0.000013585004481197i</v>
      </c>
    </row>
    <row r="23" spans="1:44">
      <c r="G23" s="585">
        <v>2.5118999999999998</v>
      </c>
      <c r="H23" s="573">
        <f t="shared" si="23"/>
        <v>2.5118999999999996E-3</v>
      </c>
      <c r="I23" s="574">
        <f t="shared" si="0"/>
        <v>1.0001504985508314</v>
      </c>
      <c r="J23" s="575">
        <f t="shared" si="1"/>
        <v>1.7348180216400132E-2</v>
      </c>
      <c r="K23" s="575">
        <f t="shared" si="2"/>
        <v>1.0000000000964495</v>
      </c>
      <c r="L23" s="576">
        <f t="shared" si="3"/>
        <v>1.3888805175568551E-5</v>
      </c>
      <c r="M23" s="575">
        <f t="shared" si="4"/>
        <v>1.0000000001490825</v>
      </c>
      <c r="N23" s="576">
        <f t="shared" si="5"/>
        <v>-1.7267462100227643E-5</v>
      </c>
      <c r="O23" s="574">
        <f t="shared" si="6"/>
        <v>47.358758351516279</v>
      </c>
      <c r="P23" s="577">
        <f t="shared" si="7"/>
        <v>1.5496793389372379</v>
      </c>
      <c r="Q23" s="586">
        <f t="shared" si="8"/>
        <v>1.0000201271446387</v>
      </c>
      <c r="R23" s="587">
        <f t="shared" si="9"/>
        <v>6.3445735962949605E-3</v>
      </c>
      <c r="S23" s="574">
        <f t="shared" si="10"/>
        <v>1.000000004528653</v>
      </c>
      <c r="T23" s="577">
        <f t="shared" si="11"/>
        <v>9.5169880637744527E-5</v>
      </c>
      <c r="U23" s="578">
        <f t="shared" si="24"/>
        <v>0.99959999910288855</v>
      </c>
      <c r="V23" s="579">
        <f t="shared" si="25"/>
        <v>-5.2155225000643196E-5</v>
      </c>
      <c r="W23" s="580">
        <f t="shared" si="12"/>
        <v>73.874961313031079</v>
      </c>
      <c r="X23" s="581">
        <f t="shared" si="13"/>
        <v>-89.429180730220736</v>
      </c>
      <c r="Y23" s="584">
        <f t="shared" si="14"/>
        <v>90.570819269779264</v>
      </c>
      <c r="AA23" s="147">
        <f t="shared" si="15"/>
        <v>1000000000</v>
      </c>
      <c r="AB23" s="147">
        <f t="shared" si="16"/>
        <v>6.309641609999999</v>
      </c>
      <c r="AD23" s="583">
        <f t="shared" si="17"/>
        <v>71.597618731869133</v>
      </c>
      <c r="AE23" s="584">
        <f t="shared" si="18"/>
        <v>-88.432021363394924</v>
      </c>
      <c r="AG23" s="583">
        <f t="shared" si="19"/>
        <v>61.571485573193442</v>
      </c>
      <c r="AH23" s="584">
        <f t="shared" si="20"/>
        <v>-0.99118281827478361</v>
      </c>
      <c r="AJ23" s="147">
        <f t="shared" si="21"/>
        <v>0</v>
      </c>
      <c r="AK23" s="147">
        <f t="shared" si="22"/>
        <v>0</v>
      </c>
      <c r="AM23" s="147" t="str">
        <f t="shared" si="26"/>
        <v>2.77568101836323E-09+0.0000745074597756166i</v>
      </c>
      <c r="AN23" s="147" t="str">
        <f t="shared" si="27"/>
        <v>0.0000745074598445529i</v>
      </c>
      <c r="AO23" s="147" t="str">
        <f t="shared" si="28"/>
        <v>0.999999999074773-0.0000372537330376611i</v>
      </c>
      <c r="AP23" s="147" t="str">
        <f t="shared" si="29"/>
        <v>0.166666666204053-0.0000124179099626028i</v>
      </c>
      <c r="AQ23" s="147" t="str">
        <f t="shared" si="30"/>
        <v>0.833333333795947+0.0000124179099626028i</v>
      </c>
      <c r="AR23" s="147" t="str">
        <f t="shared" si="31"/>
        <v>0.99959999922312-0.0000148955313384956i</v>
      </c>
    </row>
    <row r="24" spans="1:44">
      <c r="D24" s="604"/>
      <c r="G24" s="585">
        <v>2.7542</v>
      </c>
      <c r="H24" s="573">
        <f t="shared" si="23"/>
        <v>2.7542000000000001E-3</v>
      </c>
      <c r="I24" s="574">
        <f t="shared" si="0"/>
        <v>1.0001809305762741</v>
      </c>
      <c r="J24" s="575">
        <f t="shared" si="1"/>
        <v>1.9021214503329515E-2</v>
      </c>
      <c r="K24" s="575">
        <f t="shared" si="2"/>
        <v>1.0000000001159539</v>
      </c>
      <c r="L24" s="576">
        <f t="shared" si="3"/>
        <v>1.5228531077691591E-5</v>
      </c>
      <c r="M24" s="575">
        <f t="shared" si="4"/>
        <v>1.0000000001792311</v>
      </c>
      <c r="N24" s="576">
        <f t="shared" si="5"/>
        <v>-1.8933096108718945E-5</v>
      </c>
      <c r="O24" s="574">
        <f t="shared" si="6"/>
        <v>51.925077011504193</v>
      </c>
      <c r="P24" s="577">
        <f t="shared" si="7"/>
        <v>1.5515366187124247</v>
      </c>
      <c r="Q24" s="586">
        <f t="shared" si="8"/>
        <v>1.0000241973351487</v>
      </c>
      <c r="R24" s="587">
        <f t="shared" si="9"/>
        <v>6.9565576591962604E-3</v>
      </c>
      <c r="S24" s="574">
        <f t="shared" si="10"/>
        <v>1.0000000054444662</v>
      </c>
      <c r="T24" s="577">
        <f t="shared" si="11"/>
        <v>1.0435004780940426E-4</v>
      </c>
      <c r="U24" s="578">
        <f t="shared" si="24"/>
        <v>0.99959999892146945</v>
      </c>
      <c r="V24" s="579">
        <f t="shared" si="25"/>
        <v>-5.7186162734870709E-5</v>
      </c>
      <c r="W24" s="580">
        <f t="shared" si="12"/>
        <v>73.075195535781049</v>
      </c>
      <c r="X24" s="581">
        <f t="shared" si="13"/>
        <v>-89.597221632086502</v>
      </c>
      <c r="Y24" s="584">
        <f t="shared" si="14"/>
        <v>90.402778367913498</v>
      </c>
      <c r="AA24" s="147">
        <f t="shared" si="15"/>
        <v>1000000000</v>
      </c>
      <c r="AB24" s="147">
        <f t="shared" si="16"/>
        <v>7.5856176399999997</v>
      </c>
      <c r="AD24" s="583">
        <f t="shared" si="17"/>
        <v>70.798117241182766</v>
      </c>
      <c r="AE24" s="584">
        <f t="shared" si="18"/>
        <v>-88.503897536870923</v>
      </c>
      <c r="AG24" s="583">
        <f t="shared" si="19"/>
        <v>61.571221289782592</v>
      </c>
      <c r="AH24" s="584">
        <f t="shared" si="20"/>
        <v>-1.0867710436655815</v>
      </c>
      <c r="AJ24" s="147">
        <f t="shared" si="21"/>
        <v>0</v>
      </c>
      <c r="AK24" s="147">
        <f t="shared" si="22"/>
        <v>0</v>
      </c>
      <c r="AM24" s="147" t="str">
        <f t="shared" si="26"/>
        <v>3.33699701204893E-09+0.0000816945123912607i</v>
      </c>
      <c r="AN24" s="147" t="str">
        <f t="shared" si="27"/>
        <v>0.0000816945124821321i</v>
      </c>
      <c r="AO24" s="147" t="str">
        <f t="shared" si="28"/>
        <v>0.999999998887668-0.0000408472602462593i</v>
      </c>
      <c r="AP24" s="147" t="str">
        <f t="shared" si="29"/>
        <v>0.1666666661105-0.0000136157520652101i</v>
      </c>
      <c r="AQ24" s="147" t="str">
        <f t="shared" si="30"/>
        <v>0.8333333338895+0.0000136157520652101i</v>
      </c>
      <c r="AR24" s="147" t="str">
        <f t="shared" si="31"/>
        <v>0.999599999066014-0.0000163323668911003i</v>
      </c>
    </row>
    <row r="25" spans="1:44">
      <c r="A25" s="235" t="s">
        <v>751</v>
      </c>
      <c r="B25" s="603">
        <f>'Design Converter'!E34+'Design Converter'!E34*0+IF(MODE=2,ABS('Design Converter'!L34*('Design Converter'!L14)^2),0)</f>
        <v>222.4255</v>
      </c>
      <c r="C25" s="147" t="s">
        <v>749</v>
      </c>
      <c r="D25" s="236">
        <f>Cout_sec*0.000001</f>
        <v>2.2242549999999998E-4</v>
      </c>
      <c r="E25" s="147" t="s">
        <v>13</v>
      </c>
      <c r="G25" s="585">
        <v>3.02</v>
      </c>
      <c r="H25" s="573">
        <f t="shared" si="23"/>
        <v>3.0200000000000001E-3</v>
      </c>
      <c r="I25" s="574">
        <f t="shared" si="0"/>
        <v>1.0002175339054493</v>
      </c>
      <c r="J25" s="575">
        <f t="shared" si="1"/>
        <v>2.0856388882134331E-2</v>
      </c>
      <c r="K25" s="575">
        <f t="shared" si="2"/>
        <v>1.0000000001394147</v>
      </c>
      <c r="L25" s="576">
        <f t="shared" si="3"/>
        <v>1.6698193251728014E-5</v>
      </c>
      <c r="M25" s="575">
        <f t="shared" si="4"/>
        <v>1.0000000002154945</v>
      </c>
      <c r="N25" s="576">
        <f t="shared" si="5"/>
        <v>-2.0760275305696352E-5</v>
      </c>
      <c r="O25" s="574">
        <f t="shared" si="6"/>
        <v>56.934441525875542</v>
      </c>
      <c r="P25" s="577">
        <f t="shared" si="7"/>
        <v>1.5532313626646355</v>
      </c>
      <c r="Q25" s="586">
        <f t="shared" si="8"/>
        <v>1.0000290930608098</v>
      </c>
      <c r="R25" s="587">
        <f t="shared" si="9"/>
        <v>7.6278903359705413E-3</v>
      </c>
      <c r="S25" s="574">
        <f t="shared" si="10"/>
        <v>1.0000000065460339</v>
      </c>
      <c r="T25" s="577">
        <f t="shared" si="11"/>
        <v>1.1442057372484605E-4</v>
      </c>
      <c r="U25" s="578">
        <f t="shared" si="24"/>
        <v>0.99959999870325289</v>
      </c>
      <c r="V25" s="579">
        <f t="shared" si="25"/>
        <v>-6.2705028833856028E-5</v>
      </c>
      <c r="W25" s="580">
        <f t="shared" si="12"/>
        <v>72.274961865114321</v>
      </c>
      <c r="X25" s="581">
        <f t="shared" si="13"/>
        <v>-89.761920216223487</v>
      </c>
      <c r="Y25" s="584">
        <f t="shared" si="14"/>
        <v>90.238079783776513</v>
      </c>
      <c r="AA25" s="147">
        <f t="shared" si="15"/>
        <v>1000000000</v>
      </c>
      <c r="AB25" s="147">
        <f t="shared" si="16"/>
        <v>9.1204000000000001</v>
      </c>
      <c r="AD25" s="583">
        <f t="shared" si="17"/>
        <v>69.998201441041303</v>
      </c>
      <c r="AE25" s="584">
        <f t="shared" si="18"/>
        <v>-88.563111682359619</v>
      </c>
      <c r="AG25" s="583">
        <f t="shared" si="19"/>
        <v>61.570903423049671</v>
      </c>
      <c r="AH25" s="584">
        <f t="shared" si="20"/>
        <v>-1.1916230668428001</v>
      </c>
      <c r="AJ25" s="147">
        <f t="shared" si="21"/>
        <v>0</v>
      </c>
      <c r="AK25" s="147">
        <f t="shared" si="22"/>
        <v>0</v>
      </c>
      <c r="AM25" s="147" t="str">
        <f t="shared" si="26"/>
        <v>4.01216404544158E-09+0.0000895786171541943i</v>
      </c>
      <c r="AN25" s="147" t="str">
        <f t="shared" si="27"/>
        <v>0.0000895786172739957i</v>
      </c>
      <c r="AO25" s="147" t="str">
        <f t="shared" si="28"/>
        <v>0.999999998662612-0.0000447893053893599i</v>
      </c>
      <c r="AP25" s="147" t="str">
        <f t="shared" si="29"/>
        <v>0.166666665997973-0.000014929769525699i</v>
      </c>
      <c r="AQ25" s="147" t="str">
        <f t="shared" si="30"/>
        <v>0.833333334002027+0.000014929769525699i</v>
      </c>
      <c r="AR25" s="147" t="str">
        <f t="shared" si="31"/>
        <v>0.999599998877044-0.0000179085571069775i</v>
      </c>
    </row>
    <row r="26" spans="1:44">
      <c r="A26" s="235" t="s">
        <v>746</v>
      </c>
      <c r="B26" s="603">
        <f>IF(MODE=2,('Design Converter'!E35*'Design Converter'!E34+'Design Converter'!L34*'Design Converter'!L35)/Cout_sec,'Design Converter'!E35)</f>
        <v>3.9563809005712023</v>
      </c>
      <c r="C26" s="147" t="s">
        <v>748</v>
      </c>
      <c r="D26" s="147">
        <f>B26*0.001</f>
        <v>3.9563809005712025E-3</v>
      </c>
      <c r="E26" s="600" t="s">
        <v>45</v>
      </c>
      <c r="G26" s="585">
        <v>3.3113000000000001</v>
      </c>
      <c r="H26" s="573">
        <f t="shared" si="23"/>
        <v>3.3113000000000001E-3</v>
      </c>
      <c r="I26" s="574">
        <f t="shared" si="0"/>
        <v>1.0002615173937723</v>
      </c>
      <c r="J26" s="575">
        <f t="shared" si="1"/>
        <v>2.2867462198444374E-2</v>
      </c>
      <c r="K26" s="575">
        <f t="shared" si="2"/>
        <v>1.000000000167607</v>
      </c>
      <c r="L26" s="576">
        <f t="shared" si="3"/>
        <v>1.8308850103777403E-5</v>
      </c>
      <c r="M26" s="575">
        <f t="shared" si="4"/>
        <v>1.0000000002590714</v>
      </c>
      <c r="N26" s="576">
        <f t="shared" si="5"/>
        <v>-2.2762748217799756E-5</v>
      </c>
      <c r="O26" s="574">
        <f t="shared" si="6"/>
        <v>62.42454463555589</v>
      </c>
      <c r="P26" s="577">
        <f t="shared" si="7"/>
        <v>1.554776301648483</v>
      </c>
      <c r="Q26" s="586">
        <f t="shared" si="8"/>
        <v>1.00003497609417</v>
      </c>
      <c r="R26" s="587">
        <f t="shared" si="9"/>
        <v>8.3636205988966948E-3</v>
      </c>
      <c r="S26" s="574">
        <f t="shared" si="10"/>
        <v>1.0000000078697588</v>
      </c>
      <c r="T26" s="577">
        <f t="shared" si="11"/>
        <v>1.254572335896446E-4</v>
      </c>
      <c r="U26" s="578">
        <f t="shared" si="24"/>
        <v>0.99959999844102765</v>
      </c>
      <c r="V26" s="579">
        <f t="shared" si="25"/>
        <v>-6.8753373134639489E-5</v>
      </c>
      <c r="W26" s="580">
        <f t="shared" si="12"/>
        <v>71.475024644789457</v>
      </c>
      <c r="X26" s="581">
        <f t="shared" si="13"/>
        <v>-89.924511822217426</v>
      </c>
      <c r="Y26" s="584">
        <f t="shared" si="14"/>
        <v>90.075488177782574</v>
      </c>
      <c r="AA26" s="147">
        <f t="shared" si="15"/>
        <v>1000000000</v>
      </c>
      <c r="AB26" s="147">
        <f t="shared" si="16"/>
        <v>10.964707690000001</v>
      </c>
      <c r="AD26" s="583">
        <f t="shared" si="17"/>
        <v>69.198646166611709</v>
      </c>
      <c r="AE26" s="584">
        <f t="shared" si="18"/>
        <v>-88.610108280897478</v>
      </c>
      <c r="AG26" s="583">
        <f t="shared" si="19"/>
        <v>61.570521481711523</v>
      </c>
      <c r="AH26" s="584">
        <f t="shared" si="20"/>
        <v>-1.3065249850951477</v>
      </c>
      <c r="AJ26" s="147">
        <f t="shared" si="21"/>
        <v>0</v>
      </c>
      <c r="AK26" s="147">
        <f t="shared" si="22"/>
        <v>0</v>
      </c>
      <c r="AM26" s="147" t="str">
        <f t="shared" si="26"/>
        <v>4.82349604702392E-09+0.0000982190976498225i</v>
      </c>
      <c r="AN26" s="147" t="str">
        <f t="shared" si="27"/>
        <v>0.0000982190978077423i</v>
      </c>
      <c r="AO26" s="147" t="str">
        <f t="shared" si="28"/>
        <v>0.999999998392168-0.0000491095535866722i</v>
      </c>
      <c r="AP26" s="147" t="str">
        <f t="shared" si="29"/>
        <v>0.166666665862751-0.0000163698496083037i</v>
      </c>
      <c r="AQ26" s="147" t="str">
        <f t="shared" si="30"/>
        <v>0.833333334137249+0.0000163698496083037i</v>
      </c>
      <c r="AR26" s="147" t="str">
        <f t="shared" si="31"/>
        <v>0.999599998649962-0.0000196359619566898i</v>
      </c>
    </row>
    <row r="27" spans="1:44">
      <c r="A27" s="147" t="s">
        <v>740</v>
      </c>
      <c r="B27" s="608">
        <f>Cout_sec/Npri_sec^2</f>
        <v>222.4255</v>
      </c>
      <c r="C27" s="147" t="s">
        <v>749</v>
      </c>
      <c r="D27" s="236">
        <f>Cout_pri*0.000001</f>
        <v>2.2242549999999998E-4</v>
      </c>
      <c r="E27" s="147" t="s">
        <v>13</v>
      </c>
      <c r="G27" s="585">
        <v>3.6307999999999998</v>
      </c>
      <c r="H27" s="573">
        <f t="shared" si="23"/>
        <v>3.6308E-3</v>
      </c>
      <c r="I27" s="574">
        <f t="shared" si="0"/>
        <v>1.0003144102463954</v>
      </c>
      <c r="J27" s="575">
        <f t="shared" si="1"/>
        <v>2.5073009006580795E-2</v>
      </c>
      <c r="K27" s="575">
        <f t="shared" si="2"/>
        <v>1.0000000002015115</v>
      </c>
      <c r="L27" s="576">
        <f t="shared" si="3"/>
        <v>2.0075430482074243E-5</v>
      </c>
      <c r="M27" s="575">
        <f t="shared" si="4"/>
        <v>1.0000000003114777</v>
      </c>
      <c r="N27" s="576">
        <f t="shared" si="5"/>
        <v>-2.4959075355993068E-5</v>
      </c>
      <c r="O27" s="574">
        <f t="shared" si="6"/>
        <v>68.446272951229147</v>
      </c>
      <c r="P27" s="577">
        <f t="shared" si="7"/>
        <v>1.5561858076877901</v>
      </c>
      <c r="Q27" s="586">
        <f t="shared" si="8"/>
        <v>1.0000420511007504</v>
      </c>
      <c r="R27" s="587">
        <f t="shared" si="9"/>
        <v>9.1705645654078464E-3</v>
      </c>
      <c r="S27" s="574">
        <f t="shared" si="10"/>
        <v>1.0000000094616965</v>
      </c>
      <c r="T27" s="577">
        <f t="shared" si="11"/>
        <v>1.3756232393134188E-4</v>
      </c>
      <c r="U27" s="578">
        <f t="shared" si="24"/>
        <v>0.99959999812567168</v>
      </c>
      <c r="V27" s="579">
        <f t="shared" si="25"/>
        <v>-7.5387232143140446E-5</v>
      </c>
      <c r="W27" s="580">
        <f t="shared" si="12"/>
        <v>70.674738353737766</v>
      </c>
      <c r="X27" s="581">
        <f t="shared" si="13"/>
        <v>-90.086502895079036</v>
      </c>
      <c r="Y27" s="584">
        <f t="shared" si="14"/>
        <v>89.913497104920964</v>
      </c>
      <c r="AA27" s="147">
        <f t="shared" si="15"/>
        <v>1000000000</v>
      </c>
      <c r="AB27" s="147">
        <f t="shared" si="16"/>
        <v>13.182708639999998</v>
      </c>
      <c r="AD27" s="583">
        <f t="shared" si="17"/>
        <v>68.39881916677254</v>
      </c>
      <c r="AE27" s="584">
        <f t="shared" si="18"/>
        <v>-88.64532611519077</v>
      </c>
      <c r="AG27" s="583">
        <f t="shared" si="19"/>
        <v>61.570062195979496</v>
      </c>
      <c r="AH27" s="584">
        <f t="shared" si="20"/>
        <v>-1.4325380394164351</v>
      </c>
      <c r="AJ27" s="147">
        <f t="shared" si="21"/>
        <v>0</v>
      </c>
      <c r="AK27" s="147">
        <f t="shared" si="22"/>
        <v>0</v>
      </c>
      <c r="AM27" s="147" t="str">
        <f t="shared" si="26"/>
        <v>5.79921899390712E-09+0.000107696040718446i</v>
      </c>
      <c r="AN27" s="147" t="str">
        <f t="shared" si="27"/>
        <v>0.00010769604092663i</v>
      </c>
      <c r="AO27" s="147" t="str">
        <f t="shared" si="28"/>
        <v>0.99999999806693-0.0000538480239757184i</v>
      </c>
      <c r="AP27" s="147" t="str">
        <f t="shared" si="29"/>
        <v>0.16666666570013-0.000017949340119741i</v>
      </c>
      <c r="AQ27" s="147" t="str">
        <f t="shared" si="30"/>
        <v>0.83333333429987+0.000017949340119741i</v>
      </c>
      <c r="AR27" s="147" t="str">
        <f t="shared" si="31"/>
        <v>0.999599998376868-0.0000215305924004986i</v>
      </c>
    </row>
    <row r="28" spans="1:44">
      <c r="G28" s="585">
        <v>3.9811000000000001</v>
      </c>
      <c r="H28" s="573">
        <f t="shared" si="23"/>
        <v>3.9811000000000004E-3</v>
      </c>
      <c r="I28" s="574">
        <f t="shared" si="0"/>
        <v>1.0003779935647039</v>
      </c>
      <c r="J28" s="575">
        <f t="shared" si="1"/>
        <v>2.7490890751327036E-2</v>
      </c>
      <c r="K28" s="575">
        <f t="shared" si="2"/>
        <v>1.0000000002422709</v>
      </c>
      <c r="L28" s="576">
        <f t="shared" si="3"/>
        <v>2.2012310314535104E-5</v>
      </c>
      <c r="M28" s="575">
        <f t="shared" si="4"/>
        <v>1.0000000003744798</v>
      </c>
      <c r="N28" s="576">
        <f t="shared" si="5"/>
        <v>-2.7367129804883375E-5</v>
      </c>
      <c r="O28" s="574">
        <f t="shared" si="6"/>
        <v>75.04862963607026</v>
      </c>
      <c r="P28" s="577">
        <f t="shared" si="7"/>
        <v>1.5574712388025185</v>
      </c>
      <c r="Q28" s="586">
        <f t="shared" si="8"/>
        <v>1.0000505565047824</v>
      </c>
      <c r="R28" s="587">
        <f t="shared" si="9"/>
        <v>1.00552846710004E-2</v>
      </c>
      <c r="S28" s="574">
        <f t="shared" si="10"/>
        <v>1.000000011375501</v>
      </c>
      <c r="T28" s="577">
        <f t="shared" si="11"/>
        <v>1.5083435251303737E-4</v>
      </c>
      <c r="U28" s="578">
        <f t="shared" si="24"/>
        <v>0.99959999774654884</v>
      </c>
      <c r="V28" s="579">
        <f t="shared" si="25"/>
        <v>-8.2660599933402379E-5</v>
      </c>
      <c r="W28" s="580">
        <f t="shared" si="12"/>
        <v>69.874400886928356</v>
      </c>
      <c r="X28" s="581">
        <f t="shared" si="13"/>
        <v>-90.249200525046007</v>
      </c>
      <c r="Y28" s="584">
        <f t="shared" si="14"/>
        <v>89.750799474953993</v>
      </c>
      <c r="AA28" s="147">
        <f t="shared" si="15"/>
        <v>1000000000</v>
      </c>
      <c r="AB28" s="147">
        <f t="shared" si="16"/>
        <v>15.849157210000001</v>
      </c>
      <c r="AD28" s="583">
        <f t="shared" si="17"/>
        <v>67.599033788908628</v>
      </c>
      <c r="AE28" s="584">
        <f t="shared" si="18"/>
        <v>-88.669045596069097</v>
      </c>
      <c r="AG28" s="583">
        <f t="shared" si="19"/>
        <v>61.569510113622677</v>
      </c>
      <c r="AH28" s="584">
        <f t="shared" si="20"/>
        <v>-1.5706827219496824</v>
      </c>
      <c r="AJ28" s="147">
        <f t="shared" si="21"/>
        <v>0</v>
      </c>
      <c r="AK28" s="147">
        <f t="shared" si="22"/>
        <v>0</v>
      </c>
      <c r="AM28" s="147" t="str">
        <f t="shared" si="26"/>
        <v>6.97221902434819E-09+0.000118086567020096i</v>
      </c>
      <c r="AN28" s="147" t="str">
        <f t="shared" si="27"/>
        <v>0.000118086567294538i</v>
      </c>
      <c r="AO28" s="147" t="str">
        <f t="shared" si="28"/>
        <v>0.999999997675925-0.0000590432864980968i</v>
      </c>
      <c r="AP28" s="147" t="str">
        <f t="shared" si="29"/>
        <v>0.16666666550463-0.0000196810945033493i</v>
      </c>
      <c r="AQ28" s="147" t="str">
        <f t="shared" si="30"/>
        <v>0.83333333449537+0.0000196810945033493i</v>
      </c>
      <c r="AR28" s="147" t="str">
        <f t="shared" si="31"/>
        <v>0.999599998048559-0.0000236078663996499i</v>
      </c>
    </row>
    <row r="29" spans="1:44">
      <c r="G29" s="585">
        <v>4.3651999999999997</v>
      </c>
      <c r="H29" s="573">
        <f t="shared" si="23"/>
        <v>4.3651999999999996E-3</v>
      </c>
      <c r="I29" s="574">
        <f t="shared" si="0"/>
        <v>1.0004544330725025</v>
      </c>
      <c r="J29" s="575">
        <f t="shared" si="1"/>
        <v>3.0141700284791233E-2</v>
      </c>
      <c r="K29" s="575">
        <f t="shared" si="2"/>
        <v>1.000000000291275</v>
      </c>
      <c r="L29" s="576">
        <f t="shared" si="3"/>
        <v>2.4136077210285969E-5</v>
      </c>
      <c r="M29" s="575">
        <f t="shared" si="4"/>
        <v>1.0000000004502261</v>
      </c>
      <c r="N29" s="576">
        <f t="shared" si="5"/>
        <v>-3.0007534354385554E-5</v>
      </c>
      <c r="O29" s="574">
        <f t="shared" si="6"/>
        <v>82.288157847481486</v>
      </c>
      <c r="P29" s="577">
        <f t="shared" si="7"/>
        <v>1.5586436107621862</v>
      </c>
      <c r="Q29" s="586">
        <f t="shared" si="8"/>
        <v>1.0000607822735548</v>
      </c>
      <c r="R29" s="587">
        <f t="shared" si="9"/>
        <v>1.1025352146492121E-2</v>
      </c>
      <c r="S29" s="574">
        <f t="shared" si="10"/>
        <v>1.0000000136764271</v>
      </c>
      <c r="T29" s="577">
        <f t="shared" si="11"/>
        <v>1.653869821355715E-4</v>
      </c>
      <c r="U29" s="578">
        <f t="shared" si="24"/>
        <v>0.99959999729074733</v>
      </c>
      <c r="V29" s="579">
        <f t="shared" si="25"/>
        <v>-9.0635760182577221E-5</v>
      </c>
      <c r="W29" s="580">
        <f t="shared" si="12"/>
        <v>69.073934540514927</v>
      </c>
      <c r="X29" s="581">
        <f t="shared" si="13"/>
        <v>-90.41399226535323</v>
      </c>
      <c r="Y29" s="584">
        <f t="shared" si="14"/>
        <v>89.58600773464677</v>
      </c>
      <c r="AA29" s="147">
        <f t="shared" si="15"/>
        <v>1000000000</v>
      </c>
      <c r="AB29" s="147">
        <f t="shared" si="16"/>
        <v>19.054971039999998</v>
      </c>
      <c r="AD29" s="583">
        <f t="shared" si="17"/>
        <v>66.799231114273454</v>
      </c>
      <c r="AE29" s="584">
        <f t="shared" si="18"/>
        <v>-88.681470593461356</v>
      </c>
      <c r="AG29" s="583">
        <f t="shared" si="19"/>
        <v>61.568846449765658</v>
      </c>
      <c r="AH29" s="584">
        <f t="shared" si="20"/>
        <v>-1.7221355788171628</v>
      </c>
      <c r="AJ29" s="147">
        <f t="shared" si="21"/>
        <v>0</v>
      </c>
      <c r="AK29" s="147">
        <f t="shared" si="22"/>
        <v>0</v>
      </c>
      <c r="AM29" s="147" t="str">
        <f t="shared" si="26"/>
        <v>8.38249103463085E-09+0.000129479661931076i</v>
      </c>
      <c r="AN29" s="147" t="str">
        <f t="shared" si="27"/>
        <v>0.000129479662292863i</v>
      </c>
      <c r="AO29" s="147" t="str">
        <f t="shared" si="28"/>
        <v>0.999999997205839-0.0000647398277551184i</v>
      </c>
      <c r="AP29" s="147" t="str">
        <f t="shared" si="29"/>
        <v>0.166666665269585-0.0000215799436551793i</v>
      </c>
      <c r="AQ29" s="147" t="str">
        <f t="shared" si="30"/>
        <v>0.833333334730415+0.0000215799436551793i</v>
      </c>
      <c r="AR29" s="147" t="str">
        <f t="shared" si="31"/>
        <v>0.999599997653841-0.0000258855739091076i</v>
      </c>
    </row>
    <row r="30" spans="1:44">
      <c r="A30" s="147" t="s">
        <v>18</v>
      </c>
      <c r="B30" s="606">
        <f>Vref</f>
        <v>1</v>
      </c>
      <c r="C30" s="147" t="s">
        <v>0</v>
      </c>
      <c r="G30" s="585">
        <v>4.7862999999999998</v>
      </c>
      <c r="H30" s="573">
        <f t="shared" si="23"/>
        <v>4.7862999999999994E-3</v>
      </c>
      <c r="I30" s="574">
        <f t="shared" si="0"/>
        <v>1.0005463129856325</v>
      </c>
      <c r="J30" s="575">
        <f t="shared" si="1"/>
        <v>3.3047371654233298E-2</v>
      </c>
      <c r="K30" s="575">
        <f t="shared" si="2"/>
        <v>1.0000000003501828</v>
      </c>
      <c r="L30" s="576">
        <f t="shared" si="3"/>
        <v>2.6464424619044938E-5</v>
      </c>
      <c r="M30" s="575">
        <f t="shared" si="4"/>
        <v>1.0000000005412801</v>
      </c>
      <c r="N30" s="576">
        <f t="shared" si="5"/>
        <v>-3.2902286647044152E-5</v>
      </c>
      <c r="O30" s="574">
        <f t="shared" si="6"/>
        <v>90.225171265150706</v>
      </c>
      <c r="P30" s="577">
        <f t="shared" si="7"/>
        <v>1.5597127182999808</v>
      </c>
      <c r="Q30" s="586">
        <f t="shared" si="8"/>
        <v>1.000073074493034</v>
      </c>
      <c r="R30" s="587">
        <f t="shared" si="9"/>
        <v>1.2088841417621237E-2</v>
      </c>
      <c r="S30" s="574">
        <f t="shared" si="10"/>
        <v>1.0000000164423615</v>
      </c>
      <c r="T30" s="577">
        <f t="shared" si="11"/>
        <v>1.8134145311459393E-4</v>
      </c>
      <c r="U30" s="578">
        <f t="shared" si="24"/>
        <v>0.99959999674282041</v>
      </c>
      <c r="V30" s="579">
        <f t="shared" si="25"/>
        <v>-9.9379169854408586E-5</v>
      </c>
      <c r="W30" s="580">
        <f t="shared" si="12"/>
        <v>68.273436113989717</v>
      </c>
      <c r="X30" s="581">
        <f t="shared" si="13"/>
        <v>-90.582244411568169</v>
      </c>
      <c r="Y30" s="584">
        <f t="shared" si="14"/>
        <v>89.417755588431831</v>
      </c>
      <c r="AA30" s="147">
        <f t="shared" si="15"/>
        <v>1000000000</v>
      </c>
      <c r="AB30" s="147">
        <f t="shared" si="16"/>
        <v>22.908667689999998</v>
      </c>
      <c r="AD30" s="583">
        <f t="shared" si="17"/>
        <v>65.999530350865427</v>
      </c>
      <c r="AE30" s="584">
        <f t="shared" si="18"/>
        <v>-88.682706620282332</v>
      </c>
      <c r="AG30" s="583">
        <f t="shared" si="19"/>
        <v>61.568048796170764</v>
      </c>
      <c r="AH30" s="584">
        <f t="shared" si="20"/>
        <v>-1.8881497772644837</v>
      </c>
      <c r="AJ30" s="147">
        <f t="shared" si="21"/>
        <v>0</v>
      </c>
      <c r="AK30" s="147">
        <f t="shared" si="22"/>
        <v>0</v>
      </c>
      <c r="AM30" s="147" t="str">
        <f t="shared" si="26"/>
        <v>1.00777749478809E-08+0.000141970243184848i</v>
      </c>
      <c r="AN30" s="147" t="str">
        <f t="shared" si="27"/>
        <v>0.000141970243661763i</v>
      </c>
      <c r="AO30" s="147" t="str">
        <f t="shared" si="28"/>
        <v>0.99999999664074-0.0000709851211630706i</v>
      </c>
      <c r="AP30" s="147" t="str">
        <f t="shared" si="29"/>
        <v>0.166666664987037-0.0000236617071974747i</v>
      </c>
      <c r="AQ30" s="147" t="str">
        <f t="shared" si="30"/>
        <v>0.833333335012963+0.0000236617071974747i</v>
      </c>
      <c r="AR30" s="147" t="str">
        <f t="shared" si="31"/>
        <v>0.999599997179351-0.0000283826908802183i</v>
      </c>
    </row>
    <row r="31" spans="1:44">
      <c r="A31" s="147" t="s">
        <v>745</v>
      </c>
      <c r="B31" s="606">
        <v>600</v>
      </c>
      <c r="C31" s="147" t="s">
        <v>753</v>
      </c>
      <c r="D31" s="237">
        <f>B31*0.000001</f>
        <v>5.9999999999999995E-4</v>
      </c>
      <c r="E31" s="147" t="s">
        <v>754</v>
      </c>
      <c r="G31" s="585">
        <v>5.2481</v>
      </c>
      <c r="H31" s="573">
        <f t="shared" si="23"/>
        <v>5.2481000000000003E-3</v>
      </c>
      <c r="I31" s="574">
        <f t="shared" si="0"/>
        <v>1.0006567830158357</v>
      </c>
      <c r="J31" s="575">
        <f t="shared" si="1"/>
        <v>3.6233237427691335E-2</v>
      </c>
      <c r="K31" s="575">
        <f t="shared" si="2"/>
        <v>1.0000000004210166</v>
      </c>
      <c r="L31" s="576">
        <f t="shared" si="3"/>
        <v>2.9017810592033742E-5</v>
      </c>
      <c r="M31" s="575">
        <f t="shared" si="4"/>
        <v>1.0000000006507686</v>
      </c>
      <c r="N31" s="576">
        <f t="shared" si="5"/>
        <v>-3.6076821457022865E-5</v>
      </c>
      <c r="O31" s="574">
        <f t="shared" si="6"/>
        <v>98.929408556755803</v>
      </c>
      <c r="P31" s="577">
        <f t="shared" si="7"/>
        <v>1.5606879369367528</v>
      </c>
      <c r="Q31" s="586">
        <f t="shared" si="8"/>
        <v>1.000087855099024</v>
      </c>
      <c r="R31" s="587">
        <f t="shared" si="9"/>
        <v>1.3255087129663026E-2</v>
      </c>
      <c r="S31" s="574">
        <f t="shared" si="10"/>
        <v>1.0000000197682655</v>
      </c>
      <c r="T31" s="577">
        <f t="shared" si="11"/>
        <v>1.988379495603137E-4</v>
      </c>
      <c r="U31" s="578">
        <f t="shared" si="24"/>
        <v>0.99959999608396821</v>
      </c>
      <c r="V31" s="579">
        <f t="shared" si="25"/>
        <v>-1.0896763893855788E-4</v>
      </c>
      <c r="W31" s="580">
        <f t="shared" si="12"/>
        <v>67.472651548208077</v>
      </c>
      <c r="X31" s="581">
        <f t="shared" si="13"/>
        <v>-90.755423472914615</v>
      </c>
      <c r="Y31" s="584">
        <f t="shared" si="14"/>
        <v>89.244576527085385</v>
      </c>
      <c r="AA31" s="147">
        <f t="shared" si="15"/>
        <v>1000000000</v>
      </c>
      <c r="AB31" s="147">
        <f t="shared" si="16"/>
        <v>27.542553609999999</v>
      </c>
      <c r="AD31" s="583">
        <f t="shared" si="17"/>
        <v>65.199704742877529</v>
      </c>
      <c r="AE31" s="584">
        <f t="shared" si="18"/>
        <v>-88.672764050487885</v>
      </c>
      <c r="AG31" s="583">
        <f t="shared" si="19"/>
        <v>61.567089849827035</v>
      </c>
      <c r="AH31" s="584">
        <f t="shared" si="20"/>
        <v>-2.070172650783098</v>
      </c>
      <c r="AJ31" s="147">
        <f t="shared" si="21"/>
        <v>0</v>
      </c>
      <c r="AK31" s="147">
        <f t="shared" si="22"/>
        <v>0</v>
      </c>
      <c r="AM31" s="147" t="str">
        <f t="shared" si="26"/>
        <v>1.21162719857182E-08+0.000155668059409591i</v>
      </c>
      <c r="AN31" s="147" t="str">
        <f t="shared" si="27"/>
        <v>0.000155668060038297i</v>
      </c>
      <c r="AO31" s="147" t="str">
        <f t="shared" si="28"/>
        <v>0.999999995961239-0.0000778340269849665i</v>
      </c>
      <c r="AP31" s="147" t="str">
        <f t="shared" si="29"/>
        <v>0.166666664647288-0.0000259446765682652i</v>
      </c>
      <c r="AQ31" s="147" t="str">
        <f t="shared" si="30"/>
        <v>0.833333335352712+0.0000259446765682652i</v>
      </c>
      <c r="AR31" s="147" t="str">
        <f t="shared" si="31"/>
        <v>0.999599996608801-0.0000311211582561707i</v>
      </c>
    </row>
    <row r="32" spans="1:44">
      <c r="A32" s="147" t="s">
        <v>741</v>
      </c>
      <c r="B32" s="606">
        <v>300</v>
      </c>
      <c r="C32" s="600" t="s">
        <v>747</v>
      </c>
      <c r="D32" s="237">
        <f>B32*1000000</f>
        <v>300000000</v>
      </c>
      <c r="E32" s="600" t="s">
        <v>45</v>
      </c>
      <c r="G32" s="585">
        <v>5.7544000000000004</v>
      </c>
      <c r="H32" s="573">
        <f t="shared" si="23"/>
        <v>5.7544000000000007E-3</v>
      </c>
      <c r="I32" s="574">
        <f t="shared" si="0"/>
        <v>1.0007895669868851</v>
      </c>
      <c r="J32" s="575">
        <f t="shared" si="1"/>
        <v>3.9725252002180175E-2</v>
      </c>
      <c r="K32" s="575">
        <f t="shared" si="2"/>
        <v>1.0000000005061684</v>
      </c>
      <c r="L32" s="576">
        <f t="shared" si="3"/>
        <v>3.1817246100745004E-5</v>
      </c>
      <c r="M32" s="575">
        <f t="shared" si="4"/>
        <v>1.0000000007823884</v>
      </c>
      <c r="N32" s="576">
        <f t="shared" si="5"/>
        <v>-3.9557260984751843E-5</v>
      </c>
      <c r="O32" s="574">
        <f t="shared" si="6"/>
        <v>108.47249403238375</v>
      </c>
      <c r="P32" s="577">
        <f t="shared" si="7"/>
        <v>1.5615772692427372</v>
      </c>
      <c r="Q32" s="586">
        <f t="shared" si="8"/>
        <v>1.0001056231233292</v>
      </c>
      <c r="R32" s="587">
        <f t="shared" si="9"/>
        <v>1.453367312807867E-2</v>
      </c>
      <c r="S32" s="574">
        <f t="shared" si="10"/>
        <v>1.0000000237664575</v>
      </c>
      <c r="T32" s="577">
        <f t="shared" si="11"/>
        <v>2.1802044433224724E-4</v>
      </c>
      <c r="U32" s="578">
        <f t="shared" si="24"/>
        <v>0.99959999529194066</v>
      </c>
      <c r="V32" s="579">
        <f t="shared" si="25"/>
        <v>-1.19480080219071E-4</v>
      </c>
      <c r="W32" s="580">
        <f t="shared" si="12"/>
        <v>66.671769050825361</v>
      </c>
      <c r="X32" s="581">
        <f t="shared" si="13"/>
        <v>-90.934938989664786</v>
      </c>
      <c r="Y32" s="584">
        <f t="shared" si="14"/>
        <v>89.065061010335214</v>
      </c>
      <c r="AA32" s="147">
        <f t="shared" si="15"/>
        <v>1000000000</v>
      </c>
      <c r="AB32" s="147">
        <f t="shared" si="16"/>
        <v>33.113119360000006</v>
      </c>
      <c r="AD32" s="583">
        <f t="shared" si="17"/>
        <v>64.399974763945195</v>
      </c>
      <c r="AE32" s="584">
        <f t="shared" si="18"/>
        <v>-88.651560532718435</v>
      </c>
      <c r="AG32" s="583">
        <f t="shared" si="19"/>
        <v>61.565937345141101</v>
      </c>
      <c r="AH32" s="584">
        <f t="shared" si="20"/>
        <v>-2.2696870482658276</v>
      </c>
      <c r="AJ32" s="147">
        <f t="shared" si="21"/>
        <v>0</v>
      </c>
      <c r="AK32" s="147">
        <f t="shared" si="22"/>
        <v>0</v>
      </c>
      <c r="AM32" s="147" t="str">
        <f t="shared" si="26"/>
        <v>1.45668259676768E-08+0.000170685825410117i</v>
      </c>
      <c r="AN32" s="147" t="str">
        <f t="shared" si="27"/>
        <v>0.000170685826238901i</v>
      </c>
      <c r="AO32" s="147" t="str">
        <f t="shared" si="28"/>
        <v>0.999999995144389-0.0000853429150425665i</v>
      </c>
      <c r="AP32" s="147" t="str">
        <f t="shared" si="29"/>
        <v>0.166666664238862-0.0000284476375683528i</v>
      </c>
      <c r="AQ32" s="147" t="str">
        <f t="shared" si="30"/>
        <v>0.833333335761138+0.0000284476375683528i</v>
      </c>
      <c r="AR32" s="147" t="str">
        <f t="shared" si="31"/>
        <v>0.99959999592292-0.0000341235099773963i</v>
      </c>
    </row>
    <row r="33" spans="1:44">
      <c r="A33" s="147" t="s">
        <v>771</v>
      </c>
      <c r="B33" s="147">
        <f>RCS/1000</f>
        <v>3.3E-3</v>
      </c>
      <c r="C33" s="600" t="s">
        <v>45</v>
      </c>
      <c r="G33" s="585">
        <v>6.3095999999999997</v>
      </c>
      <c r="H33" s="573">
        <f t="shared" si="23"/>
        <v>6.3095999999999994E-3</v>
      </c>
      <c r="I33" s="574">
        <f t="shared" si="0"/>
        <v>1.000949200358624</v>
      </c>
      <c r="J33" s="575">
        <f t="shared" si="1"/>
        <v>4.3553418890027236E-2</v>
      </c>
      <c r="K33" s="575">
        <f t="shared" si="2"/>
        <v>1.0000000006085534</v>
      </c>
      <c r="L33" s="576">
        <f t="shared" si="3"/>
        <v>3.4887059638460633E-5</v>
      </c>
      <c r="M33" s="575">
        <f t="shared" si="4"/>
        <v>1.0000000009406456</v>
      </c>
      <c r="N33" s="576">
        <f t="shared" si="5"/>
        <v>-4.3373851988575216E-5</v>
      </c>
      <c r="O33" s="574">
        <f t="shared" si="6"/>
        <v>118.93736187441593</v>
      </c>
      <c r="P33" s="577">
        <f t="shared" si="7"/>
        <v>1.5623884407746544</v>
      </c>
      <c r="Q33" s="586">
        <f t="shared" si="8"/>
        <v>1.0001269866095341</v>
      </c>
      <c r="R33" s="587">
        <f t="shared" si="9"/>
        <v>1.5935694085358065E-2</v>
      </c>
      <c r="S33" s="574">
        <f t="shared" si="10"/>
        <v>1.0000000285738009</v>
      </c>
      <c r="T33" s="577">
        <f t="shared" si="11"/>
        <v>2.3905564283852753E-4</v>
      </c>
      <c r="U33" s="578">
        <f t="shared" si="24"/>
        <v>0.9995999943396241</v>
      </c>
      <c r="V33" s="579">
        <f t="shared" si="25"/>
        <v>-1.3100783793758283E-4</v>
      </c>
      <c r="W33" s="580">
        <f t="shared" si="12"/>
        <v>65.870595677507467</v>
      </c>
      <c r="X33" s="581">
        <f t="shared" si="13"/>
        <v>-91.122332124580481</v>
      </c>
      <c r="Y33" s="584">
        <f t="shared" si="14"/>
        <v>88.877667875419519</v>
      </c>
      <c r="AA33" s="147">
        <f t="shared" si="15"/>
        <v>1000000000</v>
      </c>
      <c r="AB33" s="147">
        <f t="shared" si="16"/>
        <v>39.811052159999996</v>
      </c>
      <c r="AD33" s="583">
        <f t="shared" si="17"/>
        <v>63.600186750087161</v>
      </c>
      <c r="AE33" s="584">
        <f t="shared" si="18"/>
        <v>-88.618912582375771</v>
      </c>
      <c r="AG33" s="583">
        <f t="shared" si="19"/>
        <v>61.564552002231281</v>
      </c>
      <c r="AH33" s="584">
        <f t="shared" si="20"/>
        <v>-2.4884071497936424</v>
      </c>
      <c r="AJ33" s="147">
        <f t="shared" si="21"/>
        <v>0</v>
      </c>
      <c r="AK33" s="147">
        <f t="shared" si="22"/>
        <v>0</v>
      </c>
      <c r="AM33" s="147" t="str">
        <f t="shared" si="26"/>
        <v>1.75133200164268E-08+0.000187154053063729i</v>
      </c>
      <c r="AN33" s="147" t="str">
        <f t="shared" si="27"/>
        <v>0.000187154054156292i</v>
      </c>
      <c r="AO33" s="147" t="str">
        <f t="shared" si="28"/>
        <v>0.999999994162226-0.0000935770272002842i</v>
      </c>
      <c r="AP33" s="147" t="str">
        <f t="shared" si="29"/>
        <v>0.16666666374778-0.0000311923421772882i</v>
      </c>
      <c r="AQ33" s="147" t="str">
        <f t="shared" si="30"/>
        <v>0.83333333625222+0.0000311923421772882i</v>
      </c>
      <c r="AR33" s="147" t="str">
        <f t="shared" si="31"/>
        <v>0.999599995098232-0.0000374158379739685i</v>
      </c>
    </row>
    <row r="34" spans="1:44">
      <c r="A34" s="147" t="s">
        <v>752</v>
      </c>
      <c r="B34" s="607">
        <f>10*B33</f>
        <v>3.3000000000000002E-2</v>
      </c>
      <c r="C34" s="600" t="s">
        <v>45</v>
      </c>
      <c r="E34" s="600"/>
      <c r="G34" s="585">
        <v>6.9183000000000003</v>
      </c>
      <c r="H34" s="573">
        <f t="shared" si="23"/>
        <v>6.9183000000000005E-3</v>
      </c>
      <c r="I34" s="574">
        <f t="shared" si="0"/>
        <v>1.0011410676087769</v>
      </c>
      <c r="J34" s="575">
        <f t="shared" si="1"/>
        <v>4.774900281318957E-2</v>
      </c>
      <c r="K34" s="575">
        <f t="shared" si="2"/>
        <v>1.0000000007316339</v>
      </c>
      <c r="L34" s="576">
        <f t="shared" si="3"/>
        <v>3.8252685539013224E-5</v>
      </c>
      <c r="M34" s="575">
        <f t="shared" si="4"/>
        <v>1.0000000011308918</v>
      </c>
      <c r="N34" s="576">
        <f t="shared" si="5"/>
        <v>-4.7558216079387186E-5</v>
      </c>
      <c r="O34" s="574">
        <f t="shared" si="6"/>
        <v>130.41071668006632</v>
      </c>
      <c r="P34" s="577">
        <f t="shared" si="7"/>
        <v>1.5631281701768722</v>
      </c>
      <c r="Q34" s="586">
        <f t="shared" si="8"/>
        <v>1.0001526678104844</v>
      </c>
      <c r="R34" s="587">
        <f t="shared" si="9"/>
        <v>1.7472743924794726E-2</v>
      </c>
      <c r="S34" s="574">
        <f t="shared" si="10"/>
        <v>1.0000000343528788</v>
      </c>
      <c r="T34" s="577">
        <f t="shared" si="11"/>
        <v>2.6211782798876845E-4</v>
      </c>
      <c r="U34" s="578">
        <f t="shared" si="24"/>
        <v>0.99959999319481041</v>
      </c>
      <c r="V34" s="579">
        <f t="shared" si="25"/>
        <v>-1.4364642929645436E-4</v>
      </c>
      <c r="W34" s="580">
        <f t="shared" si="12"/>
        <v>65.069254248408399</v>
      </c>
      <c r="X34" s="581">
        <f t="shared" si="13"/>
        <v>-91.319130694285462</v>
      </c>
      <c r="Y34" s="584">
        <f t="shared" si="14"/>
        <v>88.680869305714538</v>
      </c>
      <c r="AA34" s="147">
        <f t="shared" si="15"/>
        <v>1000000000</v>
      </c>
      <c r="AB34" s="147">
        <f t="shared" si="16"/>
        <v>47.862874890000008</v>
      </c>
      <c r="AD34" s="583">
        <f t="shared" si="17"/>
        <v>62.800510126042575</v>
      </c>
      <c r="AE34" s="584">
        <f t="shared" si="18"/>
        <v>-88.57455085222837</v>
      </c>
      <c r="AG34" s="583">
        <f t="shared" si="19"/>
        <v>61.562887217072209</v>
      </c>
      <c r="AH34" s="584">
        <f t="shared" si="20"/>
        <v>-2.7281191737566699</v>
      </c>
      <c r="AJ34" s="147">
        <f t="shared" si="21"/>
        <v>0</v>
      </c>
      <c r="AK34" s="147">
        <f t="shared" si="22"/>
        <v>0</v>
      </c>
      <c r="AM34" s="147" t="str">
        <f t="shared" si="26"/>
        <v>2.10554049751011E-08+0.000205209186601694i</v>
      </c>
      <c r="AN34" s="147" t="str">
        <f t="shared" si="27"/>
        <v>0.000205209188041948i</v>
      </c>
      <c r="AO34" s="147" t="str">
        <f t="shared" si="28"/>
        <v>0.999999992981533-0.000102604591811927i</v>
      </c>
      <c r="AP34" s="147" t="str">
        <f t="shared" si="29"/>
        <v>0.166666663157433-0.0000342015311002823i</v>
      </c>
      <c r="AQ34" s="147" t="str">
        <f t="shared" si="30"/>
        <v>0.833333336842567+0.0000342015311002823i</v>
      </c>
      <c r="AR34" s="147" t="str">
        <f t="shared" si="31"/>
        <v>0.999599994106845-0.0000410254201707834i</v>
      </c>
    </row>
    <row r="35" spans="1:44">
      <c r="G35" s="585">
        <v>7.5857999999999999</v>
      </c>
      <c r="H35" s="573">
        <f t="shared" si="23"/>
        <v>7.5858000000000002E-3</v>
      </c>
      <c r="I35" s="574">
        <f t="shared" si="0"/>
        <v>1.0013717195204515</v>
      </c>
      <c r="J35" s="575">
        <f t="shared" si="1"/>
        <v>5.2347938672658891E-2</v>
      </c>
      <c r="K35" s="575">
        <f t="shared" si="2"/>
        <v>1.0000000008796255</v>
      </c>
      <c r="L35" s="576">
        <f t="shared" si="3"/>
        <v>4.1943428578294857E-5</v>
      </c>
      <c r="M35" s="575">
        <f t="shared" si="4"/>
        <v>1.0000000013596437</v>
      </c>
      <c r="N35" s="576">
        <f t="shared" si="5"/>
        <v>-5.2146786852261087E-5</v>
      </c>
      <c r="O35" s="574">
        <f t="shared" si="6"/>
        <v>142.9924578768937</v>
      </c>
      <c r="P35" s="577">
        <f t="shared" si="7"/>
        <v>1.5638028939506416</v>
      </c>
      <c r="Q35" s="586">
        <f t="shared" si="8"/>
        <v>1.0001835459339858</v>
      </c>
      <c r="R35" s="587">
        <f t="shared" si="9"/>
        <v>1.9158176537663472E-2</v>
      </c>
      <c r="S35" s="574">
        <f t="shared" si="10"/>
        <v>1.0000000413016243</v>
      </c>
      <c r="T35" s="577">
        <f t="shared" si="11"/>
        <v>2.8740780399029615E-4</v>
      </c>
      <c r="U35" s="578">
        <f t="shared" si="24"/>
        <v>0.99959999181828418</v>
      </c>
      <c r="V35" s="579">
        <f t="shared" si="25"/>
        <v>-1.5750590471201914E-4</v>
      </c>
      <c r="W35" s="580">
        <f t="shared" si="12"/>
        <v>64.267524442309664</v>
      </c>
      <c r="X35" s="581">
        <f t="shared" si="13"/>
        <v>-91.527015498801333</v>
      </c>
      <c r="Y35" s="584">
        <f t="shared" si="14"/>
        <v>88.472984501198667</v>
      </c>
      <c r="AA35" s="147">
        <f t="shared" si="15"/>
        <v>1000000000</v>
      </c>
      <c r="AB35" s="147">
        <f t="shared" si="16"/>
        <v>57.544361639999998</v>
      </c>
      <c r="AD35" s="583">
        <f t="shared" si="17"/>
        <v>62.000781231769281</v>
      </c>
      <c r="AE35" s="584">
        <f t="shared" si="18"/>
        <v>-88.518090510255774</v>
      </c>
      <c r="AG35" s="583">
        <f t="shared" si="19"/>
        <v>61.560886329169051</v>
      </c>
      <c r="AH35" s="584">
        <f t="shared" si="20"/>
        <v>-2.990876141348163</v>
      </c>
      <c r="AJ35" s="147">
        <f t="shared" si="21"/>
        <v>0</v>
      </c>
      <c r="AK35" s="147">
        <f t="shared" si="22"/>
        <v>0</v>
      </c>
      <c r="AM35" s="147" t="str">
        <f t="shared" si="26"/>
        <v>2.53143980222248E-08+0.000225008433504354i</v>
      </c>
      <c r="AN35" s="147" t="str">
        <f t="shared" si="27"/>
        <v>0.000225008435403005i</v>
      </c>
      <c r="AO35" s="147" t="str">
        <f t="shared" si="28"/>
        <v>0.999999991561867-0.000112504217794702i</v>
      </c>
      <c r="AP35" s="147" t="str">
        <f t="shared" si="29"/>
        <v>0.1666666624476-0.000037501405584059i</v>
      </c>
      <c r="AQ35" s="147" t="str">
        <f t="shared" si="30"/>
        <v>0.8333333375524+0.000037501405584059i</v>
      </c>
      <c r="AR35" s="147" t="str">
        <f t="shared" si="31"/>
        <v>0.999599992914803-0.0000449836854795976i</v>
      </c>
    </row>
    <row r="36" spans="1:44">
      <c r="G36" s="585">
        <v>8.3176000000000005</v>
      </c>
      <c r="H36" s="573">
        <f t="shared" si="23"/>
        <v>8.3176000000000014E-3</v>
      </c>
      <c r="I36" s="574">
        <f t="shared" si="0"/>
        <v>1.0016489157158144</v>
      </c>
      <c r="J36" s="575">
        <f t="shared" si="1"/>
        <v>5.7387335365098838E-2</v>
      </c>
      <c r="K36" s="575">
        <f t="shared" si="2"/>
        <v>1.0000000010575261</v>
      </c>
      <c r="L36" s="576">
        <f t="shared" si="3"/>
        <v>4.5989699372702854E-5</v>
      </c>
      <c r="M36" s="575">
        <f t="shared" si="4"/>
        <v>1.000000001634626</v>
      </c>
      <c r="N36" s="576">
        <f t="shared" si="5"/>
        <v>-5.717737275473301E-5</v>
      </c>
      <c r="O36" s="574">
        <f t="shared" si="6"/>
        <v>156.78625524132968</v>
      </c>
      <c r="P36" s="577">
        <f t="shared" si="7"/>
        <v>1.5644181734380671</v>
      </c>
      <c r="Q36" s="586">
        <f t="shared" si="8"/>
        <v>1.000220663241904</v>
      </c>
      <c r="R36" s="587">
        <f t="shared" si="9"/>
        <v>2.1005840742728651E-2</v>
      </c>
      <c r="S36" s="574">
        <f t="shared" si="10"/>
        <v>1.0000000496547061</v>
      </c>
      <c r="T36" s="577">
        <f t="shared" si="11"/>
        <v>3.1513395253729594E-4</v>
      </c>
      <c r="U36" s="578">
        <f t="shared" si="24"/>
        <v>0.99959999016357026</v>
      </c>
      <c r="V36" s="579">
        <f t="shared" si="25"/>
        <v>-1.7270045564700832E-4</v>
      </c>
      <c r="W36" s="580">
        <f t="shared" si="12"/>
        <v>63.465545504567871</v>
      </c>
      <c r="X36" s="581">
        <f t="shared" si="13"/>
        <v>-91.747656789800743</v>
      </c>
      <c r="Y36" s="584">
        <f t="shared" si="14"/>
        <v>88.252343210199257</v>
      </c>
      <c r="AA36" s="147">
        <f t="shared" si="15"/>
        <v>1000000000</v>
      </c>
      <c r="AB36" s="147">
        <f t="shared" si="16"/>
        <v>69.182469760000004</v>
      </c>
      <c r="AD36" s="583">
        <f t="shared" si="17"/>
        <v>61.201206369147357</v>
      </c>
      <c r="AE36" s="584">
        <f t="shared" si="18"/>
        <v>-88.449068658413623</v>
      </c>
      <c r="AG36" s="583">
        <f t="shared" si="19"/>
        <v>61.558482282806004</v>
      </c>
      <c r="AH36" s="584">
        <f t="shared" si="20"/>
        <v>-3.2787981169073888</v>
      </c>
      <c r="AJ36" s="147">
        <f t="shared" si="21"/>
        <v>0</v>
      </c>
      <c r="AK36" s="147">
        <f t="shared" si="22"/>
        <v>0</v>
      </c>
      <c r="AM36" s="147" t="str">
        <f t="shared" si="26"/>
        <v>3.04341299939281E-08+0.000246714933602509i</v>
      </c>
      <c r="AN36" s="147" t="str">
        <f t="shared" si="27"/>
        <v>0.00024671493610536i</v>
      </c>
      <c r="AO36" s="147" t="str">
        <f t="shared" si="28"/>
        <v>0.999999989855292-0.000123357468641182i</v>
      </c>
      <c r="AP36" s="147" t="str">
        <f t="shared" si="29"/>
        <v>0.166666661594312-0.0000411191556004182i</v>
      </c>
      <c r="AQ36" s="147" t="str">
        <f t="shared" si="30"/>
        <v>0.833333338405688+0.0000411191556004182i</v>
      </c>
      <c r="AR36" s="147" t="str">
        <f t="shared" si="31"/>
        <v>0.999599991481853-0.0000493232488052808i</v>
      </c>
    </row>
    <row r="37" spans="1:44">
      <c r="A37" s="147" t="s">
        <v>743</v>
      </c>
      <c r="B37" s="606">
        <f>'Design Converter'!E60*0.001</f>
        <v>4.0200000000000007E-2</v>
      </c>
      <c r="C37" s="600" t="s">
        <v>747</v>
      </c>
      <c r="D37" s="147">
        <f>B37*1000000</f>
        <v>40200.000000000007</v>
      </c>
      <c r="E37" s="600" t="s">
        <v>45</v>
      </c>
      <c r="G37" s="585">
        <v>9.1201000000000008</v>
      </c>
      <c r="H37" s="573">
        <f t="shared" si="23"/>
        <v>9.1201000000000008E-3</v>
      </c>
      <c r="I37" s="574">
        <f t="shared" si="0"/>
        <v>1.0019821170979968</v>
      </c>
      <c r="J37" s="575">
        <f t="shared" si="1"/>
        <v>6.2910231853782708E-2</v>
      </c>
      <c r="K37" s="575">
        <f t="shared" si="2"/>
        <v>1.0000000012714354</v>
      </c>
      <c r="L37" s="576">
        <f t="shared" si="3"/>
        <v>5.0426884821243382E-5</v>
      </c>
      <c r="M37" s="575">
        <f t="shared" si="4"/>
        <v>1.0000000019652668</v>
      </c>
      <c r="N37" s="576">
        <f t="shared" si="5"/>
        <v>-6.2693969071065666E-5</v>
      </c>
      <c r="O37" s="574">
        <f t="shared" si="6"/>
        <v>171.91274324041493</v>
      </c>
      <c r="P37" s="577">
        <f t="shared" si="7"/>
        <v>1.5649793895473558</v>
      </c>
      <c r="Q37" s="586">
        <f t="shared" si="8"/>
        <v>1.0002652915659802</v>
      </c>
      <c r="R37" s="587">
        <f t="shared" si="9"/>
        <v>2.3031844458279563E-2</v>
      </c>
      <c r="S37" s="574">
        <f t="shared" si="10"/>
        <v>1.0000000596985181</v>
      </c>
      <c r="T37" s="577">
        <f t="shared" si="11"/>
        <v>3.455387541227149E-4</v>
      </c>
      <c r="U37" s="578">
        <f t="shared" si="24"/>
        <v>0.99959998817392071</v>
      </c>
      <c r="V37" s="579">
        <f t="shared" si="25"/>
        <v>-1.8936296646593888E-4</v>
      </c>
      <c r="W37" s="580">
        <f t="shared" si="12"/>
        <v>62.663042378751967</v>
      </c>
      <c r="X37" s="581">
        <f t="shared" si="13"/>
        <v>-91.982927905877773</v>
      </c>
      <c r="Y37" s="584">
        <f t="shared" si="14"/>
        <v>88.017072094122227</v>
      </c>
      <c r="AA37" s="147">
        <f t="shared" si="15"/>
        <v>1000000000</v>
      </c>
      <c r="AB37" s="147">
        <f t="shared" si="16"/>
        <v>83.176224010000013</v>
      </c>
      <c r="AD37" s="583">
        <f t="shared" si="17"/>
        <v>60.401592161494392</v>
      </c>
      <c r="AE37" s="584">
        <f t="shared" si="18"/>
        <v>-88.3668845774056</v>
      </c>
      <c r="AG37" s="583">
        <f t="shared" si="19"/>
        <v>61.555593399220648</v>
      </c>
      <c r="AH37" s="584">
        <f t="shared" si="20"/>
        <v>-3.5943439308982299</v>
      </c>
      <c r="AJ37" s="147">
        <f t="shared" si="21"/>
        <v>0</v>
      </c>
      <c r="AK37" s="147">
        <f t="shared" si="22"/>
        <v>0</v>
      </c>
      <c r="AM37" s="147" t="str">
        <f t="shared" si="26"/>
        <v>3.65901360321885E-08+0.00027051852232989i</v>
      </c>
      <c r="AN37" s="147" t="str">
        <f t="shared" si="27"/>
        <v>0.000270518525629327i</v>
      </c>
      <c r="AO37" s="147" t="str">
        <f t="shared" si="28"/>
        <v>0.999999987803286-0.000135259261623825i</v>
      </c>
      <c r="AP37" s="147" t="str">
        <f t="shared" si="29"/>
        <v>0.166666660568311-0.000045086420388315i</v>
      </c>
      <c r="AQ37" s="147" t="str">
        <f t="shared" si="30"/>
        <v>0.833333339431689+0.000045086420388315i</v>
      </c>
      <c r="AR37" s="147" t="str">
        <f t="shared" si="31"/>
        <v>0.999599989758861-0.000054082062034334i</v>
      </c>
    </row>
    <row r="38" spans="1:44">
      <c r="A38" s="147" t="s">
        <v>744</v>
      </c>
      <c r="B38" s="606">
        <f>'Design Converter'!E62*1000</f>
        <v>10000</v>
      </c>
      <c r="C38" s="147" t="s">
        <v>15</v>
      </c>
      <c r="D38" s="147">
        <f>B38*0.000000000001</f>
        <v>1E-8</v>
      </c>
      <c r="E38" s="147" t="s">
        <v>13</v>
      </c>
      <c r="G38" s="585">
        <v>10</v>
      </c>
      <c r="H38" s="573">
        <f t="shared" si="23"/>
        <v>0.01</v>
      </c>
      <c r="I38" s="574">
        <f t="shared" si="0"/>
        <v>1.0023825567157978</v>
      </c>
      <c r="J38" s="575">
        <f t="shared" si="1"/>
        <v>6.8961378076180815E-2</v>
      </c>
      <c r="K38" s="575">
        <f t="shared" si="2"/>
        <v>1.0000000015286044</v>
      </c>
      <c r="L38" s="576">
        <f t="shared" si="3"/>
        <v>5.5292030583653569E-5</v>
      </c>
      <c r="M38" s="575">
        <f t="shared" si="4"/>
        <v>1.0000000023627749</v>
      </c>
      <c r="N38" s="576">
        <f t="shared" si="5"/>
        <v>-6.8742633364164243E-5</v>
      </c>
      <c r="O38" s="574">
        <f t="shared" si="6"/>
        <v>188.49821156372408</v>
      </c>
      <c r="P38" s="577">
        <f t="shared" si="7"/>
        <v>1.5654912117891508</v>
      </c>
      <c r="Q38" s="586">
        <f t="shared" si="8"/>
        <v>1.0003189426469916</v>
      </c>
      <c r="R38" s="587">
        <f t="shared" si="9"/>
        <v>2.5253035449757748E-2</v>
      </c>
      <c r="S38" s="574">
        <f t="shared" si="10"/>
        <v>1.0000000717735369</v>
      </c>
      <c r="T38" s="577">
        <f t="shared" si="11"/>
        <v>3.7887605546115042E-4</v>
      </c>
      <c r="U38" s="578">
        <f t="shared" si="24"/>
        <v>0.99959998578189901</v>
      </c>
      <c r="V38" s="579">
        <f t="shared" si="25"/>
        <v>-2.0763255424996691E-4</v>
      </c>
      <c r="W38" s="580">
        <f t="shared" si="12"/>
        <v>61.860054258289281</v>
      </c>
      <c r="X38" s="581">
        <f t="shared" si="13"/>
        <v>-92.234718098494326</v>
      </c>
      <c r="Y38" s="584">
        <f t="shared" si="14"/>
        <v>87.765281901505674</v>
      </c>
      <c r="AA38" s="147">
        <f t="shared" si="15"/>
        <v>1000000000</v>
      </c>
      <c r="AB38" s="147">
        <f t="shared" si="16"/>
        <v>100</v>
      </c>
      <c r="AD38" s="583">
        <f t="shared" si="17"/>
        <v>59.602074656484369</v>
      </c>
      <c r="AE38" s="584">
        <f t="shared" si="18"/>
        <v>-88.270855048974511</v>
      </c>
      <c r="AG38" s="583">
        <f t="shared" si="19"/>
        <v>61.552122825338301</v>
      </c>
      <c r="AH38" s="584">
        <f t="shared" si="20"/>
        <v>-3.9400701113965373</v>
      </c>
      <c r="AJ38" s="147">
        <f t="shared" si="21"/>
        <v>0</v>
      </c>
      <c r="AK38" s="147">
        <f t="shared" si="22"/>
        <v>0</v>
      </c>
      <c r="AM38" s="147" t="str">
        <f t="shared" si="26"/>
        <v>4.39910999849857E-08+0.000296617933643846i</v>
      </c>
      <c r="AN38" s="147" t="str">
        <f t="shared" si="27"/>
        <v>0.000296617937993363i</v>
      </c>
      <c r="AO38" s="147" t="str">
        <f t="shared" si="28"/>
        <v>0.999999985336298-0.000148308967025352i</v>
      </c>
      <c r="AP38" s="147" t="str">
        <f t="shared" si="29"/>
        <v>0.166666659334817-0.0000494363222739743i</v>
      </c>
      <c r="AQ38" s="147" t="str">
        <f t="shared" si="30"/>
        <v>0.833333340665183+0.0000494363222739743i</v>
      </c>
      <c r="AR38" s="147" t="str">
        <f t="shared" si="31"/>
        <v>0.99959998768742-0.0000592998560419181i</v>
      </c>
    </row>
    <row r="39" spans="1:44">
      <c r="A39" s="147" t="s">
        <v>750</v>
      </c>
      <c r="B39" s="606">
        <f>'Design Converter'!E64</f>
        <v>150</v>
      </c>
      <c r="C39" s="147" t="s">
        <v>15</v>
      </c>
      <c r="D39" s="147">
        <f>B39*0.000000000001</f>
        <v>1.5E-10</v>
      </c>
      <c r="E39" s="147" t="s">
        <v>13</v>
      </c>
      <c r="G39" s="585">
        <v>10.965</v>
      </c>
      <c r="H39" s="573">
        <f t="shared" si="23"/>
        <v>1.0964999999999999E-2</v>
      </c>
      <c r="I39" s="574">
        <f t="shared" si="0"/>
        <v>1.0028638887052002</v>
      </c>
      <c r="J39" s="575">
        <f t="shared" si="1"/>
        <v>7.5591937202369217E-2</v>
      </c>
      <c r="K39" s="575">
        <f t="shared" si="2"/>
        <v>1.0000000018378596</v>
      </c>
      <c r="L39" s="576">
        <f t="shared" si="3"/>
        <v>6.0627711522476504E-5</v>
      </c>
      <c r="M39" s="575">
        <f t="shared" si="4"/>
        <v>1.0000000028407932</v>
      </c>
      <c r="N39" s="576">
        <f t="shared" si="5"/>
        <v>-7.5376297459785256E-5</v>
      </c>
      <c r="O39" s="574">
        <f t="shared" si="6"/>
        <v>206.68779956512753</v>
      </c>
      <c r="P39" s="577">
        <f t="shared" si="7"/>
        <v>1.5659580929778429</v>
      </c>
      <c r="Q39" s="586">
        <f t="shared" si="8"/>
        <v>1.0003834562844178</v>
      </c>
      <c r="R39" s="587">
        <f t="shared" si="9"/>
        <v>2.7688762783145065E-2</v>
      </c>
      <c r="S39" s="574">
        <f t="shared" si="10"/>
        <v>1.0000000862942022</v>
      </c>
      <c r="T39" s="577">
        <f t="shared" si="11"/>
        <v>4.1543759079153153E-4</v>
      </c>
      <c r="U39" s="578">
        <f t="shared" si="24"/>
        <v>0.99959998290540386</v>
      </c>
      <c r="V39" s="579">
        <f t="shared" si="25"/>
        <v>-2.2766909746630473E-4</v>
      </c>
      <c r="W39" s="580">
        <f t="shared" si="12"/>
        <v>61.056292264419298</v>
      </c>
      <c r="X39" s="581">
        <f t="shared" si="13"/>
        <v>-92.505131777930259</v>
      </c>
      <c r="Y39" s="584">
        <f t="shared" si="14"/>
        <v>87.494868222069741</v>
      </c>
      <c r="AA39" s="147">
        <f t="shared" si="15"/>
        <v>1000000000</v>
      </c>
      <c r="AB39" s="147">
        <f t="shared" si="16"/>
        <v>120.23122499999999</v>
      </c>
      <c r="AD39" s="583">
        <f t="shared" si="17"/>
        <v>58.802482538924032</v>
      </c>
      <c r="AE39" s="584">
        <f t="shared" si="18"/>
        <v>-88.160143295913315</v>
      </c>
      <c r="AG39" s="583">
        <f t="shared" si="19"/>
        <v>61.547952999018477</v>
      </c>
      <c r="AH39" s="584">
        <f t="shared" si="20"/>
        <v>-4.3188995251663957</v>
      </c>
      <c r="AJ39" s="147">
        <f t="shared" si="21"/>
        <v>0</v>
      </c>
      <c r="AK39" s="147">
        <f t="shared" si="22"/>
        <v>0</v>
      </c>
      <c r="AM39" s="147" t="str">
        <f t="shared" si="26"/>
        <v>5.28910389929749E-08+0.000325241563275601i</v>
      </c>
      <c r="AN39" s="147" t="str">
        <f t="shared" si="27"/>
        <v>0.000325241569009723i</v>
      </c>
      <c r="AO39" s="147" t="str">
        <f t="shared" si="28"/>
        <v>0.999999982369652-0.000162620784157494i</v>
      </c>
      <c r="AP39" s="147" t="str">
        <f t="shared" si="29"/>
        <v>0.166666657851494-0.0000542069272126002i</v>
      </c>
      <c r="AQ39" s="147" t="str">
        <f t="shared" si="30"/>
        <v>0.833333342148506+0.0000542069272126002i</v>
      </c>
      <c r="AR39" s="147" t="str">
        <f t="shared" si="31"/>
        <v>0.999599985196434-0.0000650222916792919i</v>
      </c>
    </row>
    <row r="40" spans="1:44">
      <c r="G40" s="585">
        <v>12.023</v>
      </c>
      <c r="H40" s="573">
        <f t="shared" si="23"/>
        <v>1.2022999999999999E-2</v>
      </c>
      <c r="I40" s="574">
        <f t="shared" si="0"/>
        <v>1.0034422243507533</v>
      </c>
      <c r="J40" s="575">
        <f t="shared" si="1"/>
        <v>8.2853837298096089E-2</v>
      </c>
      <c r="K40" s="575">
        <f t="shared" si="2"/>
        <v>1.0000000022096363</v>
      </c>
      <c r="L40" s="576">
        <f t="shared" si="3"/>
        <v>6.6477608340544437E-5</v>
      </c>
      <c r="M40" s="575">
        <f t="shared" si="4"/>
        <v>1.0000000034154508</v>
      </c>
      <c r="N40" s="576">
        <f t="shared" si="5"/>
        <v>-8.2649268035732729E-5</v>
      </c>
      <c r="O40" s="574">
        <f t="shared" si="6"/>
        <v>226.63041683162564</v>
      </c>
      <c r="P40" s="577">
        <f t="shared" si="7"/>
        <v>1.5663838421028977</v>
      </c>
      <c r="Q40" s="586">
        <f t="shared" si="8"/>
        <v>1.0004610069212005</v>
      </c>
      <c r="R40" s="587">
        <f t="shared" si="9"/>
        <v>3.0358849935186633E-2</v>
      </c>
      <c r="S40" s="574">
        <f t="shared" si="10"/>
        <v>1.0000001037504611</v>
      </c>
      <c r="T40" s="577">
        <f t="shared" si="11"/>
        <v>4.5552267177013229E-4</v>
      </c>
      <c r="U40" s="578">
        <f t="shared" si="24"/>
        <v>0.99959997944737788</v>
      </c>
      <c r="V40" s="579">
        <f t="shared" si="25"/>
        <v>-2.4963662087636412E-4</v>
      </c>
      <c r="W40" s="580">
        <f t="shared" si="12"/>
        <v>60.251890715229763</v>
      </c>
      <c r="X40" s="581">
        <f t="shared" si="13"/>
        <v>-92.796253796706196</v>
      </c>
      <c r="Y40" s="584">
        <f t="shared" si="14"/>
        <v>87.203746203293804</v>
      </c>
      <c r="AA40" s="147">
        <f t="shared" si="15"/>
        <v>1000000000</v>
      </c>
      <c r="AB40" s="147">
        <f t="shared" si="16"/>
        <v>144.55252899999999</v>
      </c>
      <c r="AD40" s="583">
        <f t="shared" si="17"/>
        <v>58.003088582139</v>
      </c>
      <c r="AE40" s="584">
        <f t="shared" si="18"/>
        <v>-88.033848904983472</v>
      </c>
      <c r="AG40" s="583">
        <f t="shared" si="19"/>
        <v>61.54294546671008</v>
      </c>
      <c r="AH40" s="584">
        <f t="shared" si="20"/>
        <v>-4.7337986421137961</v>
      </c>
      <c r="AJ40" s="147">
        <f t="shared" si="21"/>
        <v>0</v>
      </c>
      <c r="AK40" s="147">
        <f t="shared" si="22"/>
        <v>0</v>
      </c>
      <c r="AM40" s="147" t="str">
        <f t="shared" si="26"/>
        <v>6.35902479562134E-08+0.000356623739290156i</v>
      </c>
      <c r="AN40" s="147" t="str">
        <f t="shared" si="27"/>
        <v>0.00035662374684942i</v>
      </c>
      <c r="AO40" s="147" t="str">
        <f t="shared" si="28"/>
        <v>0.999999978803251-0.000178311872156577i</v>
      </c>
      <c r="AP40" s="147" t="str">
        <f t="shared" si="29"/>
        <v>0.166666656068292-0.0000594372898816927i</v>
      </c>
      <c r="AQ40" s="147" t="str">
        <f t="shared" si="30"/>
        <v>0.833333343931708+0.0000594372898816927i</v>
      </c>
      <c r="AR40" s="147" t="str">
        <f t="shared" si="31"/>
        <v>0.999599982201853-0.0000712962157826909i</v>
      </c>
    </row>
    <row r="41" spans="1:44">
      <c r="A41" s="235" t="str">
        <f>V3</f>
        <v>Adc</v>
      </c>
      <c r="B41" s="147">
        <f>Adc</f>
        <v>234087.77988808678</v>
      </c>
      <c r="C41" s="147" t="str">
        <f>X3</f>
        <v>V/V</v>
      </c>
      <c r="D41" s="149">
        <f>10*LOG10(B41)</f>
        <v>53.693787427624343</v>
      </c>
      <c r="E41" s="147" t="s">
        <v>781</v>
      </c>
      <c r="G41" s="585">
        <v>13.183</v>
      </c>
      <c r="H41" s="573">
        <f t="shared" si="23"/>
        <v>1.3183E-2</v>
      </c>
      <c r="I41" s="574">
        <f t="shared" si="0"/>
        <v>1.0041370558803913</v>
      </c>
      <c r="J41" s="575">
        <f t="shared" si="1"/>
        <v>9.080576367527822E-2</v>
      </c>
      <c r="K41" s="575">
        <f t="shared" si="2"/>
        <v>1.0000000026565841</v>
      </c>
      <c r="L41" s="576">
        <f t="shared" si="3"/>
        <v>7.2891483863617078E-5</v>
      </c>
      <c r="M41" s="575">
        <f t="shared" si="4"/>
        <v>1.0000000041063015</v>
      </c>
      <c r="N41" s="576">
        <f t="shared" si="5"/>
        <v>-9.0623413458641486E-5</v>
      </c>
      <c r="O41" s="574">
        <f t="shared" si="6"/>
        <v>248.49570754503691</v>
      </c>
      <c r="P41" s="577">
        <f t="shared" si="7"/>
        <v>1.5667721015519367</v>
      </c>
      <c r="Q41" s="586">
        <f t="shared" si="8"/>
        <v>1.0005542299840104</v>
      </c>
      <c r="R41" s="587">
        <f t="shared" si="9"/>
        <v>3.3285856734796546E-2</v>
      </c>
      <c r="S41" s="574">
        <f t="shared" si="10"/>
        <v>1.0000001247362953</v>
      </c>
      <c r="T41" s="577">
        <f t="shared" si="11"/>
        <v>4.9947228627881559E-4</v>
      </c>
      <c r="U41" s="578">
        <f t="shared" si="24"/>
        <v>0.99959997529015177</v>
      </c>
      <c r="V41" s="579">
        <f t="shared" si="25"/>
        <v>-2.7372199666569154E-4</v>
      </c>
      <c r="W41" s="580">
        <f t="shared" si="12"/>
        <v>59.446673502472677</v>
      </c>
      <c r="X41" s="581">
        <f t="shared" si="13"/>
        <v>-93.110393623722146</v>
      </c>
      <c r="Y41" s="584">
        <f t="shared" si="14"/>
        <v>86.889606376277854</v>
      </c>
      <c r="AA41" s="147">
        <f t="shared" si="15"/>
        <v>1000000000</v>
      </c>
      <c r="AB41" s="147">
        <f t="shared" si="16"/>
        <v>173.79148899999998</v>
      </c>
      <c r="AD41" s="583">
        <f t="shared" si="17"/>
        <v>57.203883840843645</v>
      </c>
      <c r="AE41" s="584">
        <f t="shared" si="18"/>
        <v>-87.89090752380497</v>
      </c>
      <c r="AG41" s="583">
        <f t="shared" si="19"/>
        <v>61.536933067495667</v>
      </c>
      <c r="AH41" s="584">
        <f t="shared" si="20"/>
        <v>-5.1881198695436712</v>
      </c>
      <c r="AJ41" s="147">
        <f t="shared" si="21"/>
        <v>0</v>
      </c>
      <c r="AK41" s="147">
        <f t="shared" si="22"/>
        <v>0</v>
      </c>
      <c r="AM41" s="147" t="str">
        <f t="shared" si="26"/>
        <v>7.64527879892896E-08+0.000391031417691503i</v>
      </c>
      <c r="AN41" s="147" t="str">
        <f t="shared" si="27"/>
        <v>0.000391031427656651i</v>
      </c>
      <c r="AO41" s="147" t="str">
        <f t="shared" si="28"/>
        <v>0.999999974515736-0.000195515711991364i</v>
      </c>
      <c r="AP41" s="147" t="str">
        <f t="shared" si="29"/>
        <v>0.166666653924535-0.0000651719029485838i</v>
      </c>
      <c r="AQ41" s="147" t="str">
        <f t="shared" si="30"/>
        <v>0.833333346075465+0.0000651719029485838i</v>
      </c>
      <c r="AR41" s="147" t="str">
        <f t="shared" si="31"/>
        <v>0.999599978601782-0.0000781749981560708i</v>
      </c>
    </row>
    <row r="42" spans="1:44">
      <c r="A42" s="235" t="str">
        <f>V4</f>
        <v>Crossover</v>
      </c>
      <c r="B42" s="286">
        <f>W4</f>
        <v>4.3651999999999997</v>
      </c>
      <c r="C42" s="147" t="str">
        <f>X4</f>
        <v>kHz</v>
      </c>
      <c r="G42" s="585">
        <v>14.454000000000001</v>
      </c>
      <c r="H42" s="573">
        <f t="shared" si="23"/>
        <v>1.4454E-2</v>
      </c>
      <c r="I42" s="574">
        <f t="shared" si="0"/>
        <v>1.0049711660556429</v>
      </c>
      <c r="J42" s="575">
        <f t="shared" si="1"/>
        <v>9.9505369662925294E-2</v>
      </c>
      <c r="K42" s="575">
        <f t="shared" si="2"/>
        <v>1.0000000031935312</v>
      </c>
      <c r="L42" s="576">
        <f t="shared" si="3"/>
        <v>7.9919100916906564E-5</v>
      </c>
      <c r="M42" s="575">
        <f t="shared" si="4"/>
        <v>1.0000000049362645</v>
      </c>
      <c r="N42" s="576">
        <f t="shared" si="5"/>
        <v>-9.9360602094093994E-5</v>
      </c>
      <c r="O42" s="574">
        <f t="shared" si="6"/>
        <v>272.45331616156273</v>
      </c>
      <c r="P42" s="577">
        <f t="shared" si="7"/>
        <v>1.567125964989978</v>
      </c>
      <c r="Q42" s="586">
        <f t="shared" si="8"/>
        <v>1.0006662133094912</v>
      </c>
      <c r="R42" s="587">
        <f t="shared" si="9"/>
        <v>3.6492291044219145E-2</v>
      </c>
      <c r="S42" s="574">
        <f t="shared" si="10"/>
        <v>1.0000001499479154</v>
      </c>
      <c r="T42" s="577">
        <f t="shared" si="11"/>
        <v>5.4762742202325951E-4</v>
      </c>
      <c r="U42" s="578">
        <f t="shared" si="24"/>
        <v>0.99959997029581393</v>
      </c>
      <c r="V42" s="579">
        <f t="shared" si="25"/>
        <v>-3.0011209257564057E-4</v>
      </c>
      <c r="W42" s="580">
        <f t="shared" si="12"/>
        <v>58.640969048240024</v>
      </c>
      <c r="X42" s="581">
        <f t="shared" si="13"/>
        <v>-93.449773137329828</v>
      </c>
      <c r="Y42" s="584">
        <f t="shared" si="14"/>
        <v>86.550226862670172</v>
      </c>
      <c r="AA42" s="147">
        <f t="shared" si="15"/>
        <v>1000000000</v>
      </c>
      <c r="AB42" s="147">
        <f t="shared" si="16"/>
        <v>208.91811600000003</v>
      </c>
      <c r="AD42" s="583">
        <f t="shared" si="17"/>
        <v>56.405391562574181</v>
      </c>
      <c r="AE42" s="584">
        <f t="shared" si="18"/>
        <v>-87.730226337969299</v>
      </c>
      <c r="AG42" s="583">
        <f t="shared" si="19"/>
        <v>61.529720978327738</v>
      </c>
      <c r="AH42" s="584">
        <f t="shared" si="20"/>
        <v>-5.6851564867503841</v>
      </c>
      <c r="AJ42" s="147">
        <f t="shared" si="21"/>
        <v>0</v>
      </c>
      <c r="AK42" s="147">
        <f t="shared" si="22"/>
        <v>0</v>
      </c>
      <c r="AM42" s="147" t="str">
        <f t="shared" si="26"/>
        <v>9.19053769754541E-08+0.000428731554441361i</v>
      </c>
      <c r="AN42" s="147" t="str">
        <f t="shared" si="27"/>
        <v>0.000428731567575607i</v>
      </c>
      <c r="AO42" s="147" t="str">
        <f t="shared" si="28"/>
        <v>0.999999969364873-0.000214365780190064i</v>
      </c>
      <c r="AP42" s="147" t="str">
        <f t="shared" si="29"/>
        <v>0.166666651349104-0.0000714552590735602i</v>
      </c>
      <c r="AQ42" s="147" t="str">
        <f t="shared" si="30"/>
        <v>0.833333348650896+0.0000714552590735602i</v>
      </c>
      <c r="AR42" s="147" t="str">
        <f t="shared" si="31"/>
        <v>0.999599974276789-0.0000857120085827676i</v>
      </c>
    </row>
    <row r="43" spans="1:44">
      <c r="A43" s="235" t="str">
        <f>V5</f>
        <v>Phase Margin</v>
      </c>
      <c r="B43" s="459">
        <f>W5</f>
        <v>71.804728685724029</v>
      </c>
      <c r="C43" s="147" t="str">
        <f>X5</f>
        <v>°</v>
      </c>
      <c r="G43" s="585">
        <v>15.849</v>
      </c>
      <c r="H43" s="573">
        <f t="shared" si="23"/>
        <v>1.5848999999999999E-2</v>
      </c>
      <c r="I43" s="574">
        <f t="shared" si="0"/>
        <v>1.005974048191788</v>
      </c>
      <c r="J43" s="575">
        <f t="shared" si="1"/>
        <v>0.10903630569479839</v>
      </c>
      <c r="K43" s="575">
        <f t="shared" si="2"/>
        <v>1.0000000038397134</v>
      </c>
      <c r="L43" s="576">
        <f t="shared" si="3"/>
        <v>8.763233913701394E-5</v>
      </c>
      <c r="M43" s="575">
        <f t="shared" si="4"/>
        <v>1.0000000059350729</v>
      </c>
      <c r="N43" s="576">
        <f t="shared" si="5"/>
        <v>-1.0895019935939551E-4</v>
      </c>
      <c r="O43" s="574">
        <f t="shared" si="6"/>
        <v>298.74828511356259</v>
      </c>
      <c r="P43" s="577">
        <f t="shared" si="7"/>
        <v>1.5674490209951941</v>
      </c>
      <c r="Q43" s="586">
        <f t="shared" si="8"/>
        <v>1.0008009615811644</v>
      </c>
      <c r="R43" s="587">
        <f t="shared" si="9"/>
        <v>4.0010681826261753E-2</v>
      </c>
      <c r="S43" s="574">
        <f t="shared" si="10"/>
        <v>1.0000001802885128</v>
      </c>
      <c r="T43" s="577">
        <f t="shared" si="11"/>
        <v>6.0048061685962005E-4</v>
      </c>
      <c r="U43" s="578">
        <f t="shared" si="24"/>
        <v>0.9995999642854434</v>
      </c>
      <c r="V43" s="579">
        <f t="shared" si="25"/>
        <v>-3.2907683340611574E-4</v>
      </c>
      <c r="W43" s="580">
        <f>20*LOG10(((K43*Q43*M43*U43)/(I43*O43*S43))*Adc)</f>
        <v>57.833208330576873</v>
      </c>
      <c r="X43" s="581">
        <f t="shared" si="13"/>
        <v>-93.81757168019837</v>
      </c>
      <c r="Y43" s="584">
        <f t="shared" si="14"/>
        <v>86.18242831980163</v>
      </c>
      <c r="AA43" s="147">
        <f t="shared" si="15"/>
        <v>1000000000</v>
      </c>
      <c r="AB43" s="147">
        <f t="shared" si="16"/>
        <v>251.19080099999999</v>
      </c>
      <c r="AD43" s="583">
        <f t="shared" si="17"/>
        <v>55.606294395126838</v>
      </c>
      <c r="AE43" s="584">
        <f t="shared" si="18"/>
        <v>-87.550175405917926</v>
      </c>
      <c r="AG43" s="583">
        <f t="shared" si="19"/>
        <v>61.521057532564541</v>
      </c>
      <c r="AH43" s="584">
        <f t="shared" si="20"/>
        <v>-6.2296868468579571</v>
      </c>
      <c r="AJ43" s="147">
        <f t="shared" si="21"/>
        <v>0</v>
      </c>
      <c r="AK43" s="147">
        <f t="shared" si="22"/>
        <v>0</v>
      </c>
      <c r="AM43" s="147" t="str">
        <f t="shared" si="26"/>
        <v>1.1050159598458E-07+0.000470109752609721i</v>
      </c>
      <c r="AN43" s="147" t="str">
        <f t="shared" si="27"/>
        <v>0.000470109769925681i</v>
      </c>
      <c r="AO43" s="147" t="str">
        <f t="shared" si="28"/>
        <v>0.999999963166134-0.000235054880910152i</v>
      </c>
      <c r="AP43" s="147" t="str">
        <f t="shared" si="29"/>
        <v>0.166666648249734-0.0000783516254349535i</v>
      </c>
      <c r="AQ43" s="147" t="str">
        <f t="shared" si="30"/>
        <v>0.833333351750266+0.0000783516254349535i</v>
      </c>
      <c r="AR43" s="147" t="str">
        <f t="shared" si="31"/>
        <v>0.999599969071931-0.0000939843367567342i</v>
      </c>
    </row>
    <row r="44" spans="1:44">
      <c r="G44" s="585">
        <v>17.378</v>
      </c>
      <c r="H44" s="573">
        <f t="shared" si="23"/>
        <v>1.7378000000000001E-2</v>
      </c>
      <c r="I44" s="574">
        <f t="shared" si="0"/>
        <v>1.0071780089690423</v>
      </c>
      <c r="J44" s="575">
        <f t="shared" si="1"/>
        <v>0.11945989972860777</v>
      </c>
      <c r="K44" s="575">
        <f t="shared" si="2"/>
        <v>1.0000000046163069</v>
      </c>
      <c r="L44" s="576">
        <f t="shared" si="3"/>
        <v>9.6086490550482181E-5</v>
      </c>
      <c r="M44" s="575">
        <f t="shared" si="4"/>
        <v>1.0000000071354591</v>
      </c>
      <c r="N44" s="576">
        <f t="shared" si="5"/>
        <v>-1.1946094788014503E-4</v>
      </c>
      <c r="O44" s="574">
        <f t="shared" si="6"/>
        <v>327.56910882921471</v>
      </c>
      <c r="P44" s="577">
        <f t="shared" si="7"/>
        <v>1.5677435311364902</v>
      </c>
      <c r="Q44" s="586">
        <f t="shared" si="8"/>
        <v>1.0009628805086321</v>
      </c>
      <c r="R44" s="587">
        <f t="shared" si="9"/>
        <v>4.3865898536294336E-2</v>
      </c>
      <c r="S44" s="574">
        <f t="shared" si="10"/>
        <v>1.000000216752394</v>
      </c>
      <c r="T44" s="577">
        <f t="shared" si="11"/>
        <v>6.584107455432992E-4</v>
      </c>
      <c r="U44" s="578">
        <f t="shared" si="24"/>
        <v>0.9995999570620695</v>
      </c>
      <c r="V44" s="579">
        <f t="shared" si="25"/>
        <v>-3.6082384874970363E-4</v>
      </c>
      <c r="W44" s="580">
        <f t="shared" si="12"/>
        <v>57.024273623041466</v>
      </c>
      <c r="X44" s="581">
        <f t="shared" si="13"/>
        <v>-94.216042123881564</v>
      </c>
      <c r="Y44" s="584">
        <f t="shared" si="14"/>
        <v>85.783957876118436</v>
      </c>
      <c r="AA44" s="147">
        <f t="shared" si="15"/>
        <v>1000000000</v>
      </c>
      <c r="AB44" s="147">
        <f t="shared" si="16"/>
        <v>301.99488400000001</v>
      </c>
      <c r="AD44" s="583">
        <f t="shared" si="17"/>
        <v>54.807748885510065</v>
      </c>
      <c r="AE44" s="584">
        <f t="shared" si="18"/>
        <v>-87.349481099095726</v>
      </c>
      <c r="AG44" s="583">
        <f t="shared" si="19"/>
        <v>61.510668460178984</v>
      </c>
      <c r="AH44" s="584">
        <f t="shared" si="20"/>
        <v>-6.8252136573765503</v>
      </c>
      <c r="AJ44" s="147">
        <f t="shared" si="21"/>
        <v>0</v>
      </c>
      <c r="AK44" s="147">
        <f t="shared" si="22"/>
        <v>0</v>
      </c>
      <c r="AM44" s="147" t="str">
        <f t="shared" si="26"/>
        <v>1.32850869971612E-07+0.000515462629818312i</v>
      </c>
      <c r="AN44" s="147" t="str">
        <f t="shared" si="27"/>
        <v>0.000515462652644866i</v>
      </c>
      <c r="AO44" s="147" t="str">
        <f t="shared" si="28"/>
        <v>0.999999955716377-0.000257731320183814i</v>
      </c>
      <c r="AP44" s="147" t="str">
        <f t="shared" si="29"/>
        <v>0.166666644524855-0.000085910438303052i</v>
      </c>
      <c r="AQ44" s="147" t="str">
        <f t="shared" si="30"/>
        <v>0.833333355475145+0.000085910438303052i</v>
      </c>
      <c r="AR44" s="147" t="str">
        <f t="shared" si="31"/>
        <v>0.999599962816638-0.00010305128238186i</v>
      </c>
    </row>
    <row r="45" spans="1:44">
      <c r="G45" s="585">
        <v>19.055</v>
      </c>
      <c r="H45" s="573">
        <f t="shared" si="23"/>
        <v>1.9054999999999999E-2</v>
      </c>
      <c r="I45" s="574">
        <f t="shared" si="0"/>
        <v>1.0086240160519713</v>
      </c>
      <c r="J45" s="575">
        <f t="shared" si="1"/>
        <v>0.13086245233828797</v>
      </c>
      <c r="K45" s="575">
        <f t="shared" si="2"/>
        <v>1.0000000055502556</v>
      </c>
      <c r="L45" s="576">
        <f t="shared" si="3"/>
        <v>1.0535896399467386E-4</v>
      </c>
      <c r="M45" s="575">
        <f t="shared" si="4"/>
        <v>1.0000000085790706</v>
      </c>
      <c r="N45" s="576">
        <f t="shared" si="5"/>
        <v>-1.3098908733257035E-4</v>
      </c>
      <c r="O45" s="574">
        <f t="shared" si="6"/>
        <v>359.1796797381304</v>
      </c>
      <c r="P45" s="577">
        <f t="shared" si="7"/>
        <v>1.5680122013326137</v>
      </c>
      <c r="Q45" s="586">
        <f t="shared" si="8"/>
        <v>1.0011575731942497</v>
      </c>
      <c r="R45" s="587">
        <f t="shared" si="9"/>
        <v>4.8092778038728121E-2</v>
      </c>
      <c r="S45" s="574">
        <f t="shared" si="10"/>
        <v>1.0000002606046821</v>
      </c>
      <c r="T45" s="577">
        <f t="shared" si="11"/>
        <v>7.2194823279701976E-4</v>
      </c>
      <c r="U45" s="578">
        <f t="shared" si="24"/>
        <v>0.99959994837507526</v>
      </c>
      <c r="V45" s="579">
        <f t="shared" si="25"/>
        <v>-3.9564382730362225E-4</v>
      </c>
      <c r="W45" s="580">
        <f t="shared" si="12"/>
        <v>56.213324679301628</v>
      </c>
      <c r="X45" s="581">
        <f t="shared" si="13"/>
        <v>-94.648336284721736</v>
      </c>
      <c r="Y45" s="584">
        <f t="shared" si="14"/>
        <v>85.351663715278264</v>
      </c>
      <c r="AA45" s="147">
        <f t="shared" si="15"/>
        <v>1000000000</v>
      </c>
      <c r="AB45" s="147">
        <f t="shared" si="16"/>
        <v>363.09302500000001</v>
      </c>
      <c r="AD45" s="583">
        <f t="shared" si="17"/>
        <v>54.009261398999733</v>
      </c>
      <c r="AE45" s="584">
        <f t="shared" si="18"/>
        <v>-87.126332841020243</v>
      </c>
      <c r="AG45" s="583">
        <f t="shared" si="19"/>
        <v>61.498207153918415</v>
      </c>
      <c r="AH45" s="584">
        <f t="shared" si="20"/>
        <v>-7.4766660006598888</v>
      </c>
      <c r="AJ45" s="147">
        <f t="shared" si="21"/>
        <v>0</v>
      </c>
      <c r="AK45" s="147">
        <f t="shared" ref="AK45:AK53" si="32">IF(AJ45&gt;0,Y43,0)</f>
        <v>0</v>
      </c>
      <c r="AM45" s="147" t="str">
        <f t="shared" si="26"/>
        <v>1.59728614002042E-07+0.00056520545075319i</v>
      </c>
      <c r="AN45" s="147" t="str">
        <f t="shared" si="27"/>
        <v>0.000565205480846353i</v>
      </c>
      <c r="AO45" s="147" t="str">
        <f t="shared" si="28"/>
        <v>0.999999946757128-0.000282602733722363i</v>
      </c>
      <c r="AP45" s="147" t="str">
        <f t="shared" si="29"/>
        <v>0.166666640045231-0.000094200908458865i</v>
      </c>
      <c r="AQ45" s="147" t="str">
        <f t="shared" si="30"/>
        <v>0.833333359954769+0.000094200908458865i</v>
      </c>
      <c r="AR45" s="147" t="str">
        <f t="shared" si="31"/>
        <v>0.999599955293881-0.000112995865051215i</v>
      </c>
    </row>
    <row r="46" spans="1:44">
      <c r="G46" s="585">
        <v>20.893000000000001</v>
      </c>
      <c r="H46" s="573">
        <f t="shared" si="23"/>
        <v>2.0893000000000002E-2</v>
      </c>
      <c r="I46" s="574">
        <f t="shared" si="0"/>
        <v>1.0103590108671787</v>
      </c>
      <c r="J46" s="575">
        <f t="shared" si="1"/>
        <v>0.14332041048615934</v>
      </c>
      <c r="K46" s="575">
        <f t="shared" si="2"/>
        <v>1.0000000066726245</v>
      </c>
      <c r="L46" s="576">
        <f t="shared" si="3"/>
        <v>1.1552163910226363E-4</v>
      </c>
      <c r="M46" s="575">
        <f t="shared" si="4"/>
        <v>1.0000000103139244</v>
      </c>
      <c r="N46" s="576">
        <f t="shared" si="5"/>
        <v>-1.4362398312643118E-4</v>
      </c>
      <c r="O46" s="574">
        <f t="shared" si="6"/>
        <v>393.82504102005566</v>
      </c>
      <c r="P46" s="577">
        <f t="shared" si="7"/>
        <v>1.5682571254480213</v>
      </c>
      <c r="Q46" s="586">
        <f t="shared" si="8"/>
        <v>1.0013914942007702</v>
      </c>
      <c r="R46" s="587">
        <f t="shared" si="9"/>
        <v>5.2723478027005229E-2</v>
      </c>
      <c r="S46" s="574">
        <f t="shared" si="10"/>
        <v>1.0000003133039748</v>
      </c>
      <c r="T46" s="577">
        <f t="shared" si="11"/>
        <v>7.9158561521364243E-4</v>
      </c>
      <c r="U46" s="578">
        <f t="shared" si="24"/>
        <v>0.99959993793552016</v>
      </c>
      <c r="V46" s="579">
        <f t="shared" si="25"/>
        <v>-4.338066873356989E-4</v>
      </c>
      <c r="W46" s="580">
        <f t="shared" si="12"/>
        <v>55.400593735490133</v>
      </c>
      <c r="X46" s="581">
        <f t="shared" si="13"/>
        <v>-95.117156407809517</v>
      </c>
      <c r="Y46" s="584">
        <f t="shared" si="14"/>
        <v>84.882843592190483</v>
      </c>
      <c r="AA46" s="147">
        <f t="shared" si="15"/>
        <v>1000000000</v>
      </c>
      <c r="AB46" s="147">
        <f t="shared" si="16"/>
        <v>436.51744900000006</v>
      </c>
      <c r="AD46" s="583">
        <f t="shared" si="17"/>
        <v>53.211458806261206</v>
      </c>
      <c r="AE46" s="584">
        <f t="shared" si="18"/>
        <v>-86.879036321440765</v>
      </c>
      <c r="AG46" s="583">
        <f t="shared" si="19"/>
        <v>61.483278984271678</v>
      </c>
      <c r="AH46" s="584">
        <f t="shared" si="20"/>
        <v>-8.1884095016941814</v>
      </c>
      <c r="AJ46" s="147">
        <f t="shared" si="21"/>
        <v>0</v>
      </c>
      <c r="AK46" s="147">
        <f t="shared" si="32"/>
        <v>0</v>
      </c>
      <c r="AM46" s="147" t="str">
        <f t="shared" si="26"/>
        <v>1.92028823953194E-07+0.000619723818181252i</v>
      </c>
      <c r="AN46" s="147" t="str">
        <f t="shared" si="27"/>
        <v>0.000619723857849534i</v>
      </c>
      <c r="AO46" s="147" t="str">
        <f t="shared" si="28"/>
        <v>0.999999935990391-0.000309861919177263i</v>
      </c>
      <c r="AP46" s="147" t="str">
        <f t="shared" si="29"/>
        <v>0.166666634661863-0.000103287303030209i</v>
      </c>
      <c r="AQ46" s="147" t="str">
        <f t="shared" si="30"/>
        <v>0.833333365338137+0.000103287303030209i</v>
      </c>
      <c r="AR46" s="147" t="str">
        <f t="shared" si="31"/>
        <v>0.999599946253442-0.000123895174310903i</v>
      </c>
    </row>
    <row r="47" spans="1:44">
      <c r="G47" s="585">
        <v>22.909000000000002</v>
      </c>
      <c r="H47" s="573">
        <f t="shared" si="23"/>
        <v>2.2909000000000002E-2</v>
      </c>
      <c r="I47" s="574">
        <f t="shared" si="0"/>
        <v>1.0124416866873021</v>
      </c>
      <c r="J47" s="575">
        <f t="shared" si="1"/>
        <v>0.15693339511231705</v>
      </c>
      <c r="K47" s="575">
        <f t="shared" si="2"/>
        <v>1.000000008022456</v>
      </c>
      <c r="L47" s="576">
        <f t="shared" si="3"/>
        <v>1.2666851231571427E-4</v>
      </c>
      <c r="M47" s="575">
        <f t="shared" si="4"/>
        <v>1.0000000124003687</v>
      </c>
      <c r="N47" s="576">
        <f t="shared" si="5"/>
        <v>-1.5748249772013363E-4</v>
      </c>
      <c r="O47" s="574">
        <f t="shared" si="6"/>
        <v>431.82563398940709</v>
      </c>
      <c r="P47" s="577">
        <f t="shared" si="7"/>
        <v>1.5684805752158477</v>
      </c>
      <c r="Q47" s="586">
        <f t="shared" si="8"/>
        <v>1.0016727499649907</v>
      </c>
      <c r="R47" s="587">
        <f t="shared" si="9"/>
        <v>5.7800026726787773E-2</v>
      </c>
      <c r="S47" s="574">
        <f t="shared" si="10"/>
        <v>1.0000003766834564</v>
      </c>
      <c r="T47" s="577">
        <f t="shared" si="11"/>
        <v>8.6796697902146607E-4</v>
      </c>
      <c r="U47" s="578">
        <f t="shared" si="24"/>
        <v>0.99959992538025255</v>
      </c>
      <c r="V47" s="579">
        <f t="shared" si="25"/>
        <v>-4.7566540704492268E-4</v>
      </c>
      <c r="W47" s="580">
        <f t="shared" si="12"/>
        <v>54.585044485040385</v>
      </c>
      <c r="X47" s="581">
        <f t="shared" si="13"/>
        <v>-95.625990911047168</v>
      </c>
      <c r="Y47" s="584">
        <f t="shared" si="14"/>
        <v>84.374009088952832</v>
      </c>
      <c r="AA47" s="147">
        <f t="shared" si="15"/>
        <v>1000000000</v>
      </c>
      <c r="AB47" s="147">
        <f t="shared" si="16"/>
        <v>524.82228100000009</v>
      </c>
      <c r="AD47" s="583">
        <f t="shared" si="17"/>
        <v>52.4137956272304</v>
      </c>
      <c r="AE47" s="584">
        <f t="shared" si="18"/>
        <v>-86.605350564547138</v>
      </c>
      <c r="AG47" s="583">
        <f t="shared" si="19"/>
        <v>61.465393131047364</v>
      </c>
      <c r="AH47" s="584">
        <f t="shared" si="20"/>
        <v>-8.9661331058696536</v>
      </c>
      <c r="AJ47" s="147">
        <f t="shared" si="21"/>
        <v>0</v>
      </c>
      <c r="AK47" s="147">
        <f t="shared" si="32"/>
        <v>0</v>
      </c>
      <c r="AM47" s="147" t="str">
        <f t="shared" si="26"/>
        <v>2.30875089046734E-07+0.000679521981854092i</v>
      </c>
      <c r="AN47" s="147" t="str">
        <f t="shared" si="27"/>
        <v>0.000679522034148996i</v>
      </c>
      <c r="AO47" s="147" t="str">
        <f t="shared" si="28"/>
        <v>0.999999923041636-0.000339761004712484i</v>
      </c>
      <c r="AP47" s="147" t="str">
        <f t="shared" si="29"/>
        <v>0.166666628187485-0.000113253663642349i</v>
      </c>
      <c r="AQ47" s="147" t="str">
        <f t="shared" si="30"/>
        <v>0.833333371812515+0.000113253663642349i</v>
      </c>
      <c r="AR47" s="147" t="str">
        <f t="shared" si="31"/>
        <v>0.99959993538084-0.000135850019557365i</v>
      </c>
    </row>
    <row r="48" spans="1:44">
      <c r="A48" s="147" t="s">
        <v>802</v>
      </c>
      <c r="G48" s="585">
        <v>25.119</v>
      </c>
      <c r="H48" s="573">
        <f t="shared" si="23"/>
        <v>2.5118999999999999E-2</v>
      </c>
      <c r="I48" s="574">
        <f t="shared" si="0"/>
        <v>1.0149393948151182</v>
      </c>
      <c r="J48" s="575">
        <f t="shared" si="1"/>
        <v>0.17178910022060218</v>
      </c>
      <c r="K48" s="575">
        <f t="shared" si="2"/>
        <v>1.0000000096449455</v>
      </c>
      <c r="L48" s="576">
        <f t="shared" si="3"/>
        <v>1.3888805087157089E-4</v>
      </c>
      <c r="M48" s="575">
        <f t="shared" si="4"/>
        <v>1.0000000149082622</v>
      </c>
      <c r="N48" s="576">
        <f t="shared" si="5"/>
        <v>-1.7267461930325264E-4</v>
      </c>
      <c r="O48" s="574">
        <f t="shared" si="6"/>
        <v>473.48305065728727</v>
      </c>
      <c r="P48" s="577">
        <f t="shared" si="7"/>
        <v>1.5686843172054448</v>
      </c>
      <c r="Q48" s="586">
        <f t="shared" si="8"/>
        <v>1.0020107132350971</v>
      </c>
      <c r="R48" s="587">
        <f t="shared" si="9"/>
        <v>6.3361658217471306E-2</v>
      </c>
      <c r="S48" s="574">
        <f t="shared" si="10"/>
        <v>1.0000004528652093</v>
      </c>
      <c r="T48" s="577">
        <f t="shared" si="11"/>
        <v>9.5169852192329197E-4</v>
      </c>
      <c r="U48" s="578">
        <f t="shared" si="24"/>
        <v>0.99959991028889794</v>
      </c>
      <c r="V48" s="579">
        <f t="shared" si="25"/>
        <v>-5.2155219600751436E-4</v>
      </c>
      <c r="W48" s="580">
        <f t="shared" si="12"/>
        <v>53.766651661617004</v>
      </c>
      <c r="X48" s="581">
        <f t="shared" si="13"/>
        <v>-96.177772560388703</v>
      </c>
      <c r="Y48" s="584">
        <f t="shared" si="14"/>
        <v>83.822227439611297</v>
      </c>
      <c r="AA48" s="147">
        <f t="shared" si="15"/>
        <v>1000000000</v>
      </c>
      <c r="AB48" s="147">
        <f t="shared" si="16"/>
        <v>630.96416099999999</v>
      </c>
      <c r="AD48" s="583">
        <f t="shared" si="17"/>
        <v>51.616804724622732</v>
      </c>
      <c r="AE48" s="584">
        <f t="shared" si="18"/>
        <v>-86.303163572712506</v>
      </c>
      <c r="AG48" s="583">
        <f t="shared" si="19"/>
        <v>61.443991472500265</v>
      </c>
      <c r="AH48" s="584">
        <f t="shared" si="20"/>
        <v>-9.8148435083538708</v>
      </c>
      <c r="AJ48" s="147">
        <f t="shared" si="21"/>
        <v>0</v>
      </c>
      <c r="AK48" s="147">
        <f t="shared" si="32"/>
        <v>0</v>
      </c>
      <c r="AM48" s="147" t="str">
        <f t="shared" si="26"/>
        <v>2.77568065976119E-07+0.000745074529509223i</v>
      </c>
      <c r="AN48" s="147" t="str">
        <f t="shared" si="27"/>
        <v>0.000745074598445529i</v>
      </c>
      <c r="AO48" s="147" t="str">
        <f t="shared" si="28"/>
        <v>0.99999990747731-0.000372537282246929i</v>
      </c>
      <c r="AP48" s="147" t="str">
        <f t="shared" si="29"/>
        <v>0.166666620405322-0.000124179088251537i</v>
      </c>
      <c r="AQ48" s="147" t="str">
        <f t="shared" si="30"/>
        <v>0.833333379594678+0.000124179088251537i</v>
      </c>
      <c r="AR48" s="147" t="str">
        <f t="shared" si="31"/>
        <v>0.999599922312039-0.000148955280093774i</v>
      </c>
    </row>
    <row r="49" spans="1:44">
      <c r="A49" s="147">
        <v>0.1</v>
      </c>
      <c r="C49" s="235" t="s">
        <v>803</v>
      </c>
      <c r="D49" s="648">
        <f>Fco_desire*1000</f>
        <v>5000</v>
      </c>
      <c r="E49" s="648" t="s">
        <v>8</v>
      </c>
      <c r="G49" s="585">
        <v>27.542000000000002</v>
      </c>
      <c r="H49" s="573">
        <f t="shared" si="23"/>
        <v>2.7542000000000001E-2</v>
      </c>
      <c r="I49" s="574">
        <f t="shared" si="0"/>
        <v>1.0179338823529638</v>
      </c>
      <c r="J49" s="575">
        <f t="shared" si="1"/>
        <v>0.18798883409064071</v>
      </c>
      <c r="K49" s="575">
        <f t="shared" si="2"/>
        <v>1.000000011595408</v>
      </c>
      <c r="L49" s="576">
        <f t="shared" si="3"/>
        <v>1.5228530961148114E-4</v>
      </c>
      <c r="M49" s="575">
        <f t="shared" si="4"/>
        <v>1.0000000179231063</v>
      </c>
      <c r="N49" s="576">
        <f t="shared" si="5"/>
        <v>-1.8933095884754618E-4</v>
      </c>
      <c r="O49" s="574">
        <f t="shared" si="6"/>
        <v>519.15543170139733</v>
      </c>
      <c r="P49" s="577">
        <f t="shared" si="7"/>
        <v>1.5688701201960333</v>
      </c>
      <c r="Q49" s="586">
        <f t="shared" si="8"/>
        <v>1.0024168422272401</v>
      </c>
      <c r="R49" s="587">
        <f t="shared" si="9"/>
        <v>6.9454800261525909E-2</v>
      </c>
      <c r="S49" s="574">
        <f t="shared" si="10"/>
        <v>1.0000005444464797</v>
      </c>
      <c r="T49" s="577">
        <f t="shared" si="11"/>
        <v>1.0435001031282799E-3</v>
      </c>
      <c r="U49" s="578">
        <f t="shared" si="24"/>
        <v>0.99959989214694889</v>
      </c>
      <c r="V49" s="579">
        <f t="shared" si="25"/>
        <v>-5.718615569623198E-4</v>
      </c>
      <c r="W49" s="580">
        <f t="shared" si="12"/>
        <v>52.944722042742505</v>
      </c>
      <c r="X49" s="581">
        <f t="shared" si="13"/>
        <v>-96.775812433927555</v>
      </c>
      <c r="Y49" s="584">
        <f t="shared" si="14"/>
        <v>83.224187566072445</v>
      </c>
      <c r="AA49" s="147">
        <f t="shared" si="15"/>
        <v>1000000000</v>
      </c>
      <c r="AB49" s="147">
        <f t="shared" si="16"/>
        <v>758.56176400000004</v>
      </c>
      <c r="AD49" s="583">
        <f t="shared" si="17"/>
        <v>50.820464426811</v>
      </c>
      <c r="AE49" s="584">
        <f t="shared" si="18"/>
        <v>-85.96995781957105</v>
      </c>
      <c r="AG49" s="583">
        <f t="shared" si="19"/>
        <v>61.418402466721574</v>
      </c>
      <c r="AH49" s="584">
        <f t="shared" si="20"/>
        <v>-10.7403241069222</v>
      </c>
      <c r="AJ49" s="147">
        <f t="shared" si="21"/>
        <v>0</v>
      </c>
      <c r="AK49" s="147">
        <f t="shared" si="32"/>
        <v>0</v>
      </c>
      <c r="AM49" s="147" t="str">
        <f t="shared" si="26"/>
        <v>3.33699650023611E-07+0.000816945033949885i</v>
      </c>
      <c r="AN49" s="147" t="str">
        <f t="shared" si="27"/>
        <v>0.000816945124821321i</v>
      </c>
      <c r="AO49" s="147" t="str">
        <f t="shared" si="28"/>
        <v>0.999999888766781-0.000408472539812997i</v>
      </c>
      <c r="AP49" s="147" t="str">
        <f t="shared" si="29"/>
        <v>0.166666611050058-0.000136157505658314i</v>
      </c>
      <c r="AQ49" s="147" t="str">
        <f t="shared" si="30"/>
        <v>0.833333388949942+0.000136157505658314i</v>
      </c>
      <c r="AR49" s="147" t="str">
        <f t="shared" si="31"/>
        <v>0.999599906601487-0.000163323625026763i</v>
      </c>
    </row>
    <row r="50" spans="1:44">
      <c r="A50" s="147">
        <v>0.2</v>
      </c>
      <c r="C50" s="647" t="s">
        <v>810</v>
      </c>
      <c r="D50" s="147">
        <f>SQRT(1+(D49/Zero1)^2)*SQRT(1+(D49/z_RHP)^2)/SQRT(1+(D49/pole1)^2)/D58</f>
        <v>2.9086280900675821E-2</v>
      </c>
      <c r="G50" s="585">
        <v>30.2</v>
      </c>
      <c r="H50" s="573">
        <f t="shared" si="23"/>
        <v>3.0199999999999998E-2</v>
      </c>
      <c r="I50" s="574">
        <f t="shared" si="0"/>
        <v>1.021524112877358</v>
      </c>
      <c r="J50" s="575">
        <f t="shared" si="1"/>
        <v>0.20564532925784207</v>
      </c>
      <c r="K50" s="575">
        <f t="shared" si="2"/>
        <v>1.0000000139414829</v>
      </c>
      <c r="L50" s="576">
        <f t="shared" si="3"/>
        <v>1.6698193098081617E-4</v>
      </c>
      <c r="M50" s="575">
        <f t="shared" si="4"/>
        <v>1.0000000215494513</v>
      </c>
      <c r="N50" s="576">
        <f t="shared" si="5"/>
        <v>-2.076027501043048E-4</v>
      </c>
      <c r="O50" s="574">
        <f t="shared" si="6"/>
        <v>569.25746651786142</v>
      </c>
      <c r="P50" s="577">
        <f t="shared" si="7"/>
        <v>1.5690396515238014</v>
      </c>
      <c r="Q50" s="586">
        <f t="shared" si="8"/>
        <v>1.0029051285154413</v>
      </c>
      <c r="R50" s="587">
        <f t="shared" si="9"/>
        <v>7.6132946400988097E-2</v>
      </c>
      <c r="S50" s="574">
        <f t="shared" si="10"/>
        <v>1.0000006546031761</v>
      </c>
      <c r="T50" s="577">
        <f t="shared" si="11"/>
        <v>1.1442052429082204E-3</v>
      </c>
      <c r="U50" s="578">
        <f t="shared" si="24"/>
        <v>0.99959987032526787</v>
      </c>
      <c r="V50" s="579">
        <f t="shared" si="25"/>
        <v>-6.2705028086532306E-4</v>
      </c>
      <c r="W50" s="580">
        <f t="shared" si="12"/>
        <v>52.118143179820287</v>
      </c>
      <c r="X50" s="581">
        <f t="shared" si="13"/>
        <v>-97.423675832141839</v>
      </c>
      <c r="Y50" s="584">
        <f t="shared" si="14"/>
        <v>82.576324167858161</v>
      </c>
      <c r="AA50" s="147">
        <f t="shared" si="15"/>
        <v>1000000000</v>
      </c>
      <c r="AB50" s="147">
        <f t="shared" si="16"/>
        <v>912.04</v>
      </c>
      <c r="AD50" s="583">
        <f t="shared" si="17"/>
        <v>50.02446674658961</v>
      </c>
      <c r="AE50" s="584">
        <f t="shared" si="18"/>
        <v>-85.602811639449769</v>
      </c>
      <c r="AG50" s="583">
        <f t="shared" si="19"/>
        <v>61.387821663253909</v>
      </c>
      <c r="AH50" s="584">
        <f t="shared" si="20"/>
        <v>-11.749009523337801</v>
      </c>
      <c r="AJ50" s="147">
        <f t="shared" si="21"/>
        <v>0</v>
      </c>
      <c r="AK50" s="147">
        <f t="shared" si="32"/>
        <v>0</v>
      </c>
      <c r="AM50" s="147" t="str">
        <f t="shared" si="26"/>
        <v>4.01216406986649E-07+0.000895786052938584i</v>
      </c>
      <c r="AN50" s="147" t="str">
        <f t="shared" si="27"/>
        <v>0.000895786172739957i</v>
      </c>
      <c r="AO50" s="147" t="str">
        <f t="shared" si="28"/>
        <v>0.999999866261194-0.000447893056620244i</v>
      </c>
      <c r="AP50" s="147" t="str">
        <f t="shared" si="29"/>
        <v>0.166666599797266-0.000149297675489764i</v>
      </c>
      <c r="AQ50" s="147" t="str">
        <f t="shared" si="30"/>
        <v>0.833333400202734+0.000149297675489764i</v>
      </c>
      <c r="AR50" s="147" t="str">
        <f t="shared" si="31"/>
        <v>0.999599887704364-0.0001790855132145i</v>
      </c>
    </row>
    <row r="51" spans="1:44">
      <c r="A51" s="147">
        <v>0.3</v>
      </c>
      <c r="C51" s="235" t="s">
        <v>811</v>
      </c>
      <c r="D51" s="648">
        <f>20*LOG(D50*Acs*Am)</f>
        <v>30.843081507830775</v>
      </c>
      <c r="E51" s="235" t="s">
        <v>781</v>
      </c>
      <c r="G51" s="585">
        <v>33.113</v>
      </c>
      <c r="H51" s="573">
        <f t="shared" si="23"/>
        <v>3.3112999999999997E-2</v>
      </c>
      <c r="I51" s="574">
        <f t="shared" si="0"/>
        <v>1.0258217768643765</v>
      </c>
      <c r="J51" s="575">
        <f t="shared" si="1"/>
        <v>0.22484712239270985</v>
      </c>
      <c r="K51" s="575">
        <f t="shared" si="2"/>
        <v>1.0000000167606995</v>
      </c>
      <c r="L51" s="576">
        <f t="shared" si="3"/>
        <v>1.8308849901243777E-4</v>
      </c>
      <c r="M51" s="575">
        <f t="shared" si="4"/>
        <v>1.0000000259071349</v>
      </c>
      <c r="N51" s="576">
        <f t="shared" si="5"/>
        <v>-2.2762747828586149E-4</v>
      </c>
      <c r="O51" s="574">
        <f t="shared" si="6"/>
        <v>624.16614558597371</v>
      </c>
      <c r="P51" s="577">
        <f t="shared" si="7"/>
        <v>1.569194188590382</v>
      </c>
      <c r="Q51" s="586">
        <f t="shared" si="8"/>
        <v>1.0034915750352469</v>
      </c>
      <c r="R51" s="587">
        <f t="shared" si="9"/>
        <v>8.344394484821796E-2</v>
      </c>
      <c r="S51" s="574">
        <f t="shared" si="10"/>
        <v>1.0000007869755716</v>
      </c>
      <c r="T51" s="577">
        <f t="shared" si="11"/>
        <v>1.2545716842670724E-3</v>
      </c>
      <c r="U51" s="578">
        <f t="shared" si="24"/>
        <v>0.99959984410272873</v>
      </c>
      <c r="V51" s="579">
        <f t="shared" si="25"/>
        <v>-6.87533631655141E-4</v>
      </c>
      <c r="W51" s="580">
        <f t="shared" si="12"/>
        <v>51.286924129399686</v>
      </c>
      <c r="X51" s="581">
        <f t="shared" si="13"/>
        <v>-98.123835971354353</v>
      </c>
      <c r="Y51" s="584">
        <f t="shared" si="14"/>
        <v>81.876164028645647</v>
      </c>
      <c r="AA51" s="147">
        <f t="shared" si="15"/>
        <v>1000000000</v>
      </c>
      <c r="AB51" s="147">
        <f t="shared" si="16"/>
        <v>1096.470769</v>
      </c>
      <c r="AD51" s="583">
        <f t="shared" si="17"/>
        <v>49.229713697880236</v>
      </c>
      <c r="AE51" s="584">
        <f t="shared" si="18"/>
        <v>-85.199100136918631</v>
      </c>
      <c r="AG51" s="583">
        <f t="shared" si="19"/>
        <v>61.35135611725719</v>
      </c>
      <c r="AH51" s="584">
        <f t="shared" si="20"/>
        <v>-12.845950283611423</v>
      </c>
      <c r="AJ51" s="147">
        <f t="shared" si="21"/>
        <v>0</v>
      </c>
      <c r="AK51" s="147">
        <f t="shared" si="32"/>
        <v>0</v>
      </c>
      <c r="AM51" s="147" t="str">
        <f t="shared" si="26"/>
        <v>4.82349519992376E-07+0.000982190820157636i</v>
      </c>
      <c r="AN51" s="147" t="str">
        <f t="shared" si="27"/>
        <v>0.000982190978077423i</v>
      </c>
      <c r="AO51" s="147" t="str">
        <f t="shared" si="28"/>
        <v>0.999999839216822-0.00049109544962075i</v>
      </c>
      <c r="AP51" s="147" t="str">
        <f t="shared" si="29"/>
        <v>0.16666658627508-0.000163698470026273i</v>
      </c>
      <c r="AQ51" s="147" t="str">
        <f t="shared" si="30"/>
        <v>0.83333341372492+0.000163698470026273i</v>
      </c>
      <c r="AR51" s="147" t="str">
        <f t="shared" si="31"/>
        <v>0.999599864996189-0.000196359543303228i</v>
      </c>
    </row>
    <row r="52" spans="1:44">
      <c r="A52" s="147">
        <v>0.4</v>
      </c>
      <c r="C52" s="147" t="s">
        <v>694</v>
      </c>
      <c r="D52" s="147" t="str">
        <f>IMSUB(1,IMEXP(COMPLEX(0,-2*Pi*D49*Tsw)))</f>
        <v>0.010977631406862+0.147765877056983i</v>
      </c>
      <c r="G52" s="585">
        <v>36.308</v>
      </c>
      <c r="H52" s="573">
        <f t="shared" si="23"/>
        <v>3.6308E-2</v>
      </c>
      <c r="I52" s="574">
        <f t="shared" si="0"/>
        <v>1.0309665051103272</v>
      </c>
      <c r="J52" s="575">
        <f t="shared" si="1"/>
        <v>0.24571513372886442</v>
      </c>
      <c r="K52" s="575">
        <f t="shared" si="2"/>
        <v>1.0000000201511452</v>
      </c>
      <c r="L52" s="576">
        <f t="shared" si="3"/>
        <v>2.0075430215075923E-4</v>
      </c>
      <c r="M52" s="575">
        <f t="shared" si="4"/>
        <v>1.0000000311477717</v>
      </c>
      <c r="N52" s="576">
        <f t="shared" si="5"/>
        <v>-2.495907484289616E-4</v>
      </c>
      <c r="O52" s="574">
        <f t="shared" si="6"/>
        <v>684.39040619475099</v>
      </c>
      <c r="P52" s="577">
        <f t="shared" si="7"/>
        <v>1.5693351719528978</v>
      </c>
      <c r="Q52" s="586">
        <f t="shared" si="8"/>
        <v>1.0041963936300555</v>
      </c>
      <c r="R52" s="587">
        <f t="shared" si="9"/>
        <v>9.1452405345631163E-2</v>
      </c>
      <c r="S52" s="574">
        <f t="shared" si="10"/>
        <v>1.0000009461692125</v>
      </c>
      <c r="T52" s="577">
        <f t="shared" si="11"/>
        <v>1.3756223802762367E-3</v>
      </c>
      <c r="U52" s="578">
        <f t="shared" si="24"/>
        <v>0.99959981256698771</v>
      </c>
      <c r="V52" s="579">
        <f t="shared" si="25"/>
        <v>-7.5387221608132682E-4</v>
      </c>
      <c r="W52" s="580">
        <f t="shared" si="12"/>
        <v>50.449494175029272</v>
      </c>
      <c r="X52" s="581">
        <f t="shared" si="13"/>
        <v>-98.879694554982478</v>
      </c>
      <c r="Y52" s="584">
        <f t="shared" si="14"/>
        <v>81.120305445017522</v>
      </c>
      <c r="AA52" s="147">
        <f t="shared" si="15"/>
        <v>1000000000</v>
      </c>
      <c r="AB52" s="147">
        <f t="shared" si="16"/>
        <v>1318.2708640000001</v>
      </c>
      <c r="AD52" s="583">
        <f t="shared" si="17"/>
        <v>48.435736771767559</v>
      </c>
      <c r="AE52" s="584">
        <f t="shared" si="18"/>
        <v>-84.755262595154633</v>
      </c>
      <c r="AG52" s="583">
        <f t="shared" si="19"/>
        <v>61.307903637050707</v>
      </c>
      <c r="AH52" s="584">
        <f t="shared" si="20"/>
        <v>-14.038044567181879</v>
      </c>
      <c r="AJ52" s="147">
        <f t="shared" si="21"/>
        <v>0</v>
      </c>
      <c r="AK52" s="147">
        <f t="shared" si="32"/>
        <v>0</v>
      </c>
      <c r="AM52" s="147" t="str">
        <f t="shared" si="26"/>
        <v>5.79921805021755E-07+0.00107696020108202i</v>
      </c>
      <c r="AN52" s="147" t="str">
        <f t="shared" si="27"/>
        <v>0.0010769604092663i</v>
      </c>
      <c r="AO52" s="147" t="str">
        <f t="shared" si="28"/>
        <v>0.999999806692727-0.000538480152131904i</v>
      </c>
      <c r="AP52" s="147" t="str">
        <f t="shared" si="29"/>
        <v>0.166666570013033-0.000179493366847003i</v>
      </c>
      <c r="AQ52" s="147" t="str">
        <f t="shared" si="30"/>
        <v>0.833333429986967+0.000179493366847003i</v>
      </c>
      <c r="AR52" s="147" t="str">
        <f t="shared" si="31"/>
        <v>0.999599837686891-0.000215305823467257i</v>
      </c>
    </row>
    <row r="53" spans="1:44">
      <c r="A53" s="147">
        <v>0.5</v>
      </c>
      <c r="C53" s="147" t="s">
        <v>804</v>
      </c>
      <c r="D53" s="147" t="str">
        <f>COMPLEX(0, 2*Pi*D49*Tsw)</f>
        <v>0.148308968996682i</v>
      </c>
      <c r="G53" s="585">
        <v>39.811</v>
      </c>
      <c r="H53" s="573">
        <f t="shared" si="23"/>
        <v>3.9810999999999999E-2</v>
      </c>
      <c r="I53" s="574">
        <f t="shared" si="0"/>
        <v>1.037117640797933</v>
      </c>
      <c r="J53" s="575">
        <f t="shared" si="1"/>
        <v>0.26834592724221862</v>
      </c>
      <c r="K53" s="575">
        <f t="shared" si="2"/>
        <v>1.0000000242270899</v>
      </c>
      <c r="L53" s="576">
        <f t="shared" si="3"/>
        <v>2.2012309962560921E-4</v>
      </c>
      <c r="M53" s="575">
        <f t="shared" si="4"/>
        <v>1.0000000374479889</v>
      </c>
      <c r="N53" s="576">
        <f t="shared" si="5"/>
        <v>-2.736712912848637E-4</v>
      </c>
      <c r="O53" s="574">
        <f t="shared" si="6"/>
        <v>750.42033622843962</v>
      </c>
      <c r="P53" s="577">
        <f t="shared" si="7"/>
        <v>1.5694637399130025</v>
      </c>
      <c r="Q53" s="586">
        <f t="shared" si="8"/>
        <v>1.0050430620388802</v>
      </c>
      <c r="R53" s="587">
        <f t="shared" si="9"/>
        <v>0.10021935059338843</v>
      </c>
      <c r="S53" s="574">
        <f t="shared" si="10"/>
        <v>1.0000011375494651</v>
      </c>
      <c r="T53" s="577">
        <f t="shared" si="11"/>
        <v>1.508342392693138E-3</v>
      </c>
      <c r="U53" s="578">
        <f t="shared" si="24"/>
        <v>0.99959977465517569</v>
      </c>
      <c r="V53" s="579">
        <f t="shared" si="25"/>
        <v>-8.2660587903579772E-4</v>
      </c>
      <c r="W53" s="580">
        <f t="shared" si="12"/>
        <v>49.605129574714041</v>
      </c>
      <c r="X53" s="581">
        <f t="shared" si="13"/>
        <v>-99.693442542444117</v>
      </c>
      <c r="Y53" s="584">
        <f t="shared" si="14"/>
        <v>80.306557457555883</v>
      </c>
      <c r="AA53" s="147">
        <f t="shared" si="15"/>
        <v>1000000000</v>
      </c>
      <c r="AB53" s="147">
        <f t="shared" si="16"/>
        <v>1584.9157210000001</v>
      </c>
      <c r="AD53" s="583">
        <f t="shared" si="17"/>
        <v>47.643041723524668</v>
      </c>
      <c r="AE53" s="584">
        <f t="shared" si="18"/>
        <v>-84.267924330742005</v>
      </c>
      <c r="AG53" s="583">
        <f t="shared" si="19"/>
        <v>61.25623474383768</v>
      </c>
      <c r="AH53" s="584">
        <f t="shared" si="20"/>
        <v>-15.330796155214955</v>
      </c>
      <c r="AJ53" s="147">
        <f t="shared" si="21"/>
        <v>0</v>
      </c>
      <c r="AK53" s="147">
        <f t="shared" si="32"/>
        <v>0</v>
      </c>
      <c r="AM53" s="147" t="str">
        <f t="shared" si="26"/>
        <v>6.97221787970825E-07+0.00118086539850361i</v>
      </c>
      <c r="AN53" s="147" t="str">
        <f t="shared" si="27"/>
        <v>0.00118086567294538i</v>
      </c>
      <c r="AO53" s="147" t="str">
        <f t="shared" si="28"/>
        <v>0.999999767592728-0.000590432768048694i</v>
      </c>
      <c r="AP53" s="147" t="str">
        <f t="shared" si="29"/>
        <v>0.166666550463035-0.000196810899750602i</v>
      </c>
      <c r="AQ53" s="147" t="str">
        <f t="shared" si="30"/>
        <v>0.833333449536965+0.000196810899750602i</v>
      </c>
      <c r="AR53" s="147" t="str">
        <f t="shared" si="31"/>
        <v>0.999599804856053-0.000236078531461276i</v>
      </c>
    </row>
    <row r="54" spans="1:44">
      <c r="A54" s="147">
        <v>0.6</v>
      </c>
      <c r="C54" s="147" t="s">
        <v>805</v>
      </c>
      <c r="D54" s="147" t="str">
        <f>IMDIV(D52, D53)</f>
        <v>0.99633810454369-0.0740186617244139i</v>
      </c>
      <c r="G54" s="585">
        <v>43.652000000000001</v>
      </c>
      <c r="H54" s="573">
        <f t="shared" si="23"/>
        <v>4.3652000000000003E-2</v>
      </c>
      <c r="I54" s="574">
        <f t="shared" si="0"/>
        <v>1.0444650618581084</v>
      </c>
      <c r="J54" s="575">
        <f t="shared" si="1"/>
        <v>0.29283999678424361</v>
      </c>
      <c r="K54" s="575">
        <f t="shared" si="2"/>
        <v>1.0000000291275108</v>
      </c>
      <c r="L54" s="576">
        <f t="shared" si="3"/>
        <v>2.4136076746290243E-4</v>
      </c>
      <c r="M54" s="575">
        <f t="shared" si="4"/>
        <v>1.000000045022605</v>
      </c>
      <c r="N54" s="576">
        <f t="shared" si="5"/>
        <v>-3.0007533462714128E-4</v>
      </c>
      <c r="O54" s="574">
        <f t="shared" si="6"/>
        <v>822.82142181229267</v>
      </c>
      <c r="P54" s="577">
        <f t="shared" si="7"/>
        <v>1.5695809959592348</v>
      </c>
      <c r="Q54" s="586">
        <f t="shared" si="8"/>
        <v>1.0060600499768497</v>
      </c>
      <c r="R54" s="587">
        <f t="shared" si="9"/>
        <v>0.1098144243694347</v>
      </c>
      <c r="S54" s="574">
        <f t="shared" si="10"/>
        <v>1.0000013676417827</v>
      </c>
      <c r="T54" s="577">
        <f t="shared" si="11"/>
        <v>1.6538683285021844E-3</v>
      </c>
      <c r="U54" s="578">
        <f t="shared" si="24"/>
        <v>0.9995997290746248</v>
      </c>
      <c r="V54" s="579">
        <f t="shared" si="25"/>
        <v>-9.0635751426005695E-4</v>
      </c>
      <c r="W54" s="580">
        <f t="shared" si="12"/>
        <v>48.752574152032089</v>
      </c>
      <c r="X54" s="581">
        <f t="shared" si="13"/>
        <v>-100.56701386193866</v>
      </c>
      <c r="Y54" s="584">
        <f t="shared" si="14"/>
        <v>79.432986138061338</v>
      </c>
      <c r="AA54" s="147">
        <f t="shared" si="15"/>
        <v>1000000000</v>
      </c>
      <c r="AB54" s="147">
        <f t="shared" si="16"/>
        <v>1905.497104</v>
      </c>
      <c r="AD54" s="583">
        <f t="shared" si="17"/>
        <v>46.851804501516156</v>
      </c>
      <c r="AE54" s="584">
        <f t="shared" si="18"/>
        <v>-83.73322339714997</v>
      </c>
      <c r="AG54" s="583">
        <f t="shared" si="19"/>
        <v>61.194917335296552</v>
      </c>
      <c r="AH54" s="584">
        <f t="shared" si="20"/>
        <v>-16.729929544075866</v>
      </c>
      <c r="AJ54" s="147">
        <f t="shared" si="21"/>
        <v>0</v>
      </c>
      <c r="AK54" s="147">
        <f t="shared" ref="AK54:AK85" si="33">IF(AJ54&gt;0,Y54,0)</f>
        <v>0</v>
      </c>
      <c r="AM54" s="147" t="str">
        <f t="shared" si="26"/>
        <v>8.3824902996632E-07+0.00129479626114127i</v>
      </c>
      <c r="AN54" s="147" t="str">
        <f t="shared" si="27"/>
        <v>0.00129479662292863i</v>
      </c>
      <c r="AO54" s="147" t="str">
        <f t="shared" si="28"/>
        <v>0.999999720583639-0.000647398220788011i</v>
      </c>
      <c r="AP54" s="147" t="str">
        <f t="shared" si="29"/>
        <v>0.166666526958495-0.000215799376856878i</v>
      </c>
      <c r="AQ54" s="147" t="str">
        <f t="shared" si="30"/>
        <v>0.833333473041505+0.000215799376856878i</v>
      </c>
      <c r="AR54" s="147" t="str">
        <f t="shared" si="31"/>
        <v>0.99959976538425-0.000258855564374358i</v>
      </c>
    </row>
    <row r="55" spans="1:44">
      <c r="A55" s="147">
        <v>0.7</v>
      </c>
      <c r="C55" s="147" t="s">
        <v>806</v>
      </c>
      <c r="D55" s="147" t="str">
        <f>IMDIV(IMEXP(COMPLEX(0,-2*Pi*D49*Tsw)),6)</f>
        <v>0.16483706143219-0.0246276461761638i</v>
      </c>
      <c r="G55" s="585">
        <v>47.863</v>
      </c>
      <c r="H55" s="573">
        <f t="shared" si="23"/>
        <v>4.7863000000000003E-2</v>
      </c>
      <c r="I55" s="574">
        <f t="shared" si="0"/>
        <v>1.0532295300238832</v>
      </c>
      <c r="J55" s="575">
        <f t="shared" si="1"/>
        <v>0.31928319994959486</v>
      </c>
      <c r="K55" s="575">
        <f t="shared" si="2"/>
        <v>1.0000000350182878</v>
      </c>
      <c r="L55" s="576">
        <f t="shared" si="3"/>
        <v>2.6464424007397315E-4</v>
      </c>
      <c r="M55" s="575">
        <f t="shared" si="4"/>
        <v>1.0000000541280218</v>
      </c>
      <c r="N55" s="576">
        <f t="shared" si="5"/>
        <v>-3.290228547162664E-4</v>
      </c>
      <c r="O55" s="574">
        <f t="shared" si="6"/>
        <v>902.19684824464866</v>
      </c>
      <c r="P55" s="577">
        <f t="shared" si="7"/>
        <v>1.5696879210110521</v>
      </c>
      <c r="Q55" s="586">
        <f t="shared" si="8"/>
        <v>1.0072812083003213</v>
      </c>
      <c r="R55" s="587">
        <f t="shared" si="9"/>
        <v>0.12031044077479099</v>
      </c>
      <c r="S55" s="574">
        <f t="shared" si="10"/>
        <v>1.0000016442348152</v>
      </c>
      <c r="T55" s="577">
        <f t="shared" si="11"/>
        <v>1.8134125632398789E-3</v>
      </c>
      <c r="U55" s="578">
        <f t="shared" si="24"/>
        <v>0.99959967428242891</v>
      </c>
      <c r="V55" s="579">
        <f t="shared" si="25"/>
        <v>-9.937915454082233E-4</v>
      </c>
      <c r="W55" s="580">
        <f t="shared" si="12"/>
        <v>47.890611449151635</v>
      </c>
      <c r="X55" s="581">
        <f t="shared" si="13"/>
        <v>-101.5013220519364</v>
      </c>
      <c r="Y55" s="584">
        <f t="shared" si="14"/>
        <v>78.498677948063602</v>
      </c>
      <c r="AA55" s="147">
        <f t="shared" si="15"/>
        <v>1000000000</v>
      </c>
      <c r="AB55" s="147">
        <f t="shared" si="16"/>
        <v>2290.8667689999997</v>
      </c>
      <c r="AD55" s="583">
        <f t="shared" si="17"/>
        <v>46.062424346403112</v>
      </c>
      <c r="AE55" s="584">
        <f t="shared" si="18"/>
        <v>-83.147113520242712</v>
      </c>
      <c r="AG55" s="583">
        <f t="shared" si="19"/>
        <v>61.122335739748252</v>
      </c>
      <c r="AH55" s="584">
        <f t="shared" si="20"/>
        <v>-18.240328409028205</v>
      </c>
      <c r="AJ55" s="147">
        <f t="shared" si="21"/>
        <v>0</v>
      </c>
      <c r="AK55" s="147">
        <f t="shared" si="33"/>
        <v>0</v>
      </c>
      <c r="AM55" s="147" t="str">
        <f t="shared" si="26"/>
        <v>1.00777733502699E-06+0.00141970195970295i</v>
      </c>
      <c r="AN55" s="147" t="str">
        <f t="shared" si="27"/>
        <v>0.00141970243661763i</v>
      </c>
      <c r="AO55" s="147" t="str">
        <f t="shared" si="28"/>
        <v>0.999999664074198-0.000709851099099308i</v>
      </c>
      <c r="AP55" s="147" t="str">
        <f t="shared" si="29"/>
        <v>0.166666498703778-0.000236616993283825i</v>
      </c>
      <c r="AQ55" s="147" t="str">
        <f t="shared" si="30"/>
        <v>0.833333501296222+0.000236616993283825i</v>
      </c>
      <c r="AR55" s="147" t="str">
        <f t="shared" si="31"/>
        <v>0.999599717935354-0.000283826678487449i</v>
      </c>
    </row>
    <row r="56" spans="1:44">
      <c r="A56" s="147">
        <v>0.8</v>
      </c>
      <c r="C56" s="147" t="s">
        <v>807</v>
      </c>
      <c r="D56" s="147" t="str">
        <f>IMSUB(1, D55)</f>
        <v>0.83516293856781+0.0246276461761638i</v>
      </c>
      <c r="G56" s="585">
        <v>52.481000000000002</v>
      </c>
      <c r="H56" s="573">
        <f t="shared" si="23"/>
        <v>5.2481E-2</v>
      </c>
      <c r="I56" s="574">
        <f t="shared" si="0"/>
        <v>1.0636727596211817</v>
      </c>
      <c r="J56" s="575">
        <f t="shared" si="1"/>
        <v>0.3477590507839135</v>
      </c>
      <c r="K56" s="575">
        <f t="shared" si="2"/>
        <v>1.0000000421016657</v>
      </c>
      <c r="L56" s="576">
        <f t="shared" si="3"/>
        <v>2.9017809785712983E-4</v>
      </c>
      <c r="M56" s="575">
        <f t="shared" si="4"/>
        <v>1.0000000650768501</v>
      </c>
      <c r="N56" s="576">
        <f t="shared" si="5"/>
        <v>-3.6076819907497436E-4</v>
      </c>
      <c r="O56" s="574">
        <f t="shared" si="6"/>
        <v>989.24404862447921</v>
      </c>
      <c r="P56" s="577">
        <f t="shared" si="7"/>
        <v>1.5697854537229774</v>
      </c>
      <c r="Q56" s="586">
        <f t="shared" si="8"/>
        <v>1.0087476352669387</v>
      </c>
      <c r="R56" s="587">
        <f t="shared" si="9"/>
        <v>0.13179028849209329</v>
      </c>
      <c r="S56" s="574">
        <f t="shared" si="10"/>
        <v>1.0000019768246073</v>
      </c>
      <c r="T56" s="577">
        <f t="shared" si="11"/>
        <v>1.9883769013595938E-3</v>
      </c>
      <c r="U56" s="578">
        <f t="shared" si="24"/>
        <v>0.99959960839744311</v>
      </c>
      <c r="V56" s="579">
        <f t="shared" si="25"/>
        <v>-1.0896762089082533E-3</v>
      </c>
      <c r="W56" s="580">
        <f t="shared" si="12"/>
        <v>47.017501086763538</v>
      </c>
      <c r="X56" s="581">
        <f t="shared" si="13"/>
        <v>-102.49658390967109</v>
      </c>
      <c r="Y56" s="584">
        <f t="shared" si="14"/>
        <v>77.503416090328912</v>
      </c>
      <c r="AA56" s="147">
        <f t="shared" si="15"/>
        <v>1000000000</v>
      </c>
      <c r="AB56" s="147">
        <f t="shared" si="16"/>
        <v>2754.255361</v>
      </c>
      <c r="AD56" s="583">
        <f t="shared" si="17"/>
        <v>45.275014600660583</v>
      </c>
      <c r="AE56" s="584">
        <f t="shared" si="18"/>
        <v>-82.504979626752004</v>
      </c>
      <c r="AG56" s="583">
        <f t="shared" si="19"/>
        <v>61.036636268100523</v>
      </c>
      <c r="AH56" s="584">
        <f t="shared" si="20"/>
        <v>-19.866736587163885</v>
      </c>
      <c r="AJ56" s="147">
        <f t="shared" si="21"/>
        <v>0</v>
      </c>
      <c r="AK56" s="147">
        <f t="shared" si="33"/>
        <v>0</v>
      </c>
      <c r="AM56" s="147" t="str">
        <f t="shared" si="26"/>
        <v>1.21162700095212E-06+0.0015566799716775i</v>
      </c>
      <c r="AN56" s="147" t="str">
        <f t="shared" si="27"/>
        <v>0.00155668060038297i</v>
      </c>
      <c r="AO56" s="147" t="str">
        <f t="shared" si="28"/>
        <v>0.999999596124298-0.000778340142900245i</v>
      </c>
      <c r="AP56" s="147" t="str">
        <f t="shared" si="29"/>
        <v>0.166666464728833-0.00025944666194625i</v>
      </c>
      <c r="AQ56" s="147" t="str">
        <f t="shared" si="30"/>
        <v>0.833333535271167+0.00025944666194625i</v>
      </c>
      <c r="AR56" s="147" t="str">
        <f t="shared" si="31"/>
        <v>0.999599660880339-0.000311211278943211i</v>
      </c>
    </row>
    <row r="57" spans="1:44">
      <c r="A57" s="147">
        <v>0.9</v>
      </c>
      <c r="C57" s="147" t="s">
        <v>808</v>
      </c>
      <c r="D57" s="147" t="str">
        <f>IMDIV(0.833,D56)</f>
        <v>0.996543597688639-0.0293865088949998i</v>
      </c>
      <c r="G57" s="585">
        <v>57.544000000000004</v>
      </c>
      <c r="H57" s="573">
        <f t="shared" si="23"/>
        <v>5.7544000000000005E-2</v>
      </c>
      <c r="I57" s="574">
        <f t="shared" si="0"/>
        <v>1.0760928115082373</v>
      </c>
      <c r="J57" s="575">
        <f t="shared" si="1"/>
        <v>0.37831620449803749</v>
      </c>
      <c r="K57" s="575">
        <f t="shared" si="2"/>
        <v>1.0000000506168563</v>
      </c>
      <c r="L57" s="576">
        <f t="shared" si="3"/>
        <v>3.1817245037822319E-4</v>
      </c>
      <c r="M57" s="575">
        <f t="shared" si="4"/>
        <v>1.0000000782388418</v>
      </c>
      <c r="N57" s="576">
        <f t="shared" si="5"/>
        <v>-3.9557258942108525E-4</v>
      </c>
      <c r="O57" s="574">
        <f t="shared" si="6"/>
        <v>1084.6793056754391</v>
      </c>
      <c r="P57" s="577">
        <f t="shared" si="7"/>
        <v>1.5698743951820897</v>
      </c>
      <c r="Q57" s="586">
        <f t="shared" si="8"/>
        <v>1.010507664637067</v>
      </c>
      <c r="R57" s="587">
        <f t="shared" si="9"/>
        <v>0.14433622541812893</v>
      </c>
      <c r="S57" s="574">
        <f t="shared" si="10"/>
        <v>1.0000023766429584</v>
      </c>
      <c r="T57" s="577">
        <f t="shared" si="11"/>
        <v>2.1802010234936299E-3</v>
      </c>
      <c r="U57" s="578">
        <f t="shared" si="24"/>
        <v>0.99959952919468076</v>
      </c>
      <c r="V57" s="579">
        <f t="shared" si="25"/>
        <v>-1.1948005050120359E-3</v>
      </c>
      <c r="W57" s="580">
        <f t="shared" si="12"/>
        <v>46.131846734910297</v>
      </c>
      <c r="X57" s="581">
        <f t="shared" si="13"/>
        <v>-103.55105066448331</v>
      </c>
      <c r="Y57" s="584">
        <f t="shared" si="14"/>
        <v>76.448949335516687</v>
      </c>
      <c r="AA57" s="147">
        <f t="shared" si="15"/>
        <v>1000000000</v>
      </c>
      <c r="AB57" s="147">
        <f t="shared" si="16"/>
        <v>3311.3119360000005</v>
      </c>
      <c r="AD57" s="583">
        <f t="shared" si="17"/>
        <v>44.490194609229164</v>
      </c>
      <c r="AE57" s="584">
        <f t="shared" si="18"/>
        <v>-81.802237072887792</v>
      </c>
      <c r="AG57" s="583">
        <f t="shared" si="19"/>
        <v>60.93580328412277</v>
      </c>
      <c r="AH57" s="584">
        <f t="shared" si="20"/>
        <v>-21.611899538844504</v>
      </c>
      <c r="AJ57" s="147">
        <f t="shared" si="21"/>
        <v>0</v>
      </c>
      <c r="AK57" s="147">
        <f t="shared" si="33"/>
        <v>0</v>
      </c>
      <c r="AM57" s="147" t="str">
        <f t="shared" si="26"/>
        <v>1.45668220996598E-06+0.00170685743360557i</v>
      </c>
      <c r="AN57" s="147" t="str">
        <f t="shared" si="27"/>
        <v>0.00170685826238901i</v>
      </c>
      <c r="AO57" s="147" t="str">
        <f t="shared" si="28"/>
        <v>0.999999514439214-0.000853428923809485i</v>
      </c>
      <c r="AP57" s="147" t="str">
        <f t="shared" si="29"/>
        <v>0.166666423886298-0.000284476238934262i</v>
      </c>
      <c r="AQ57" s="147" t="str">
        <f t="shared" si="30"/>
        <v>0.833333576113702+0.000284476238934262i</v>
      </c>
      <c r="AR57" s="147" t="str">
        <f t="shared" si="31"/>
        <v>0.999599592292414-0.000341234699532578i</v>
      </c>
    </row>
    <row r="58" spans="1:44">
      <c r="A58" s="147">
        <v>1</v>
      </c>
      <c r="C58" s="147" t="s">
        <v>809</v>
      </c>
      <c r="D58" s="147">
        <f>IMABS(IMPRODUCT(D54, D57))</f>
        <v>0.99606332522900098</v>
      </c>
      <c r="G58" s="585">
        <v>63.095999999999997</v>
      </c>
      <c r="H58" s="573">
        <f t="shared" si="23"/>
        <v>6.3095999999999999E-2</v>
      </c>
      <c r="I58" s="574">
        <f t="shared" si="0"/>
        <v>1.0908392044003856</v>
      </c>
      <c r="J58" s="575">
        <f t="shared" si="1"/>
        <v>0.41099089032943509</v>
      </c>
      <c r="K58" s="575">
        <f t="shared" si="2"/>
        <v>1.0000000608553448</v>
      </c>
      <c r="L58" s="576">
        <f t="shared" si="3"/>
        <v>3.488705823723843E-4</v>
      </c>
      <c r="M58" s="575">
        <f t="shared" si="4"/>
        <v>1.0000000940645475</v>
      </c>
      <c r="N58" s="576">
        <f t="shared" si="5"/>
        <v>-4.3373849295813831E-4</v>
      </c>
      <c r="O58" s="574">
        <f t="shared" si="6"/>
        <v>1189.3319994705332</v>
      </c>
      <c r="P58" s="577">
        <f t="shared" si="7"/>
        <v>1.569955518577955</v>
      </c>
      <c r="Q58" s="586">
        <f t="shared" si="8"/>
        <v>1.0126198370892918</v>
      </c>
      <c r="R58" s="587">
        <f t="shared" si="9"/>
        <v>0.15804134821785254</v>
      </c>
      <c r="S58" s="574">
        <f t="shared" si="10"/>
        <v>1.0000028573760451</v>
      </c>
      <c r="T58" s="577">
        <f t="shared" si="11"/>
        <v>2.3905519201200369E-3</v>
      </c>
      <c r="U58" s="578">
        <f t="shared" si="24"/>
        <v>0.99959943396295037</v>
      </c>
      <c r="V58" s="579">
        <f t="shared" si="25"/>
        <v>-1.3100780119346884E-3</v>
      </c>
      <c r="W58" s="580">
        <f t="shared" si="12"/>
        <v>45.231723193474387</v>
      </c>
      <c r="X58" s="581">
        <f t="shared" si="13"/>
        <v>-104.66165959988224</v>
      </c>
      <c r="Y58" s="584">
        <f t="shared" si="14"/>
        <v>75.338340400117758</v>
      </c>
      <c r="AA58" s="147">
        <f t="shared" si="15"/>
        <v>1000000000</v>
      </c>
      <c r="AB58" s="147">
        <f t="shared" si="16"/>
        <v>3981.1052159999995</v>
      </c>
      <c r="AD58" s="583">
        <f t="shared" si="17"/>
        <v>43.708291823094413</v>
      </c>
      <c r="AE58" s="584">
        <f t="shared" si="18"/>
        <v>-81.033691624673239</v>
      </c>
      <c r="AG58" s="583">
        <f t="shared" si="19"/>
        <v>60.817584183829098</v>
      </c>
      <c r="AH58" s="584">
        <f t="shared" si="20"/>
        <v>-23.47784409320397</v>
      </c>
      <c r="AJ58" s="147">
        <f t="shared" si="21"/>
        <v>0</v>
      </c>
      <c r="AK58" s="147">
        <f t="shared" si="33"/>
        <v>0</v>
      </c>
      <c r="AM58" s="147" t="str">
        <f t="shared" si="26"/>
        <v>1.75133148805351E-06+0.00187153944900017i</v>
      </c>
      <c r="AN58" s="147" t="str">
        <f t="shared" si="27"/>
        <v>0.00187154054156292i</v>
      </c>
      <c r="AO58" s="147" t="str">
        <f t="shared" si="28"/>
        <v>0.999999416222772-0.0009357699975823i</v>
      </c>
      <c r="AP58" s="147" t="str">
        <f t="shared" si="29"/>
        <v>0.166666374778085-0.000311923241500028i</v>
      </c>
      <c r="AQ58" s="147" t="str">
        <f t="shared" si="30"/>
        <v>0.833333625221915+0.000311923241500028i</v>
      </c>
      <c r="AR58" s="147" t="str">
        <f t="shared" si="31"/>
        <v>0.999599509823744-0.000374157852112388i</v>
      </c>
    </row>
    <row r="59" spans="1:44">
      <c r="A59" s="147">
        <v>1.2</v>
      </c>
      <c r="G59" s="585">
        <v>69.183000000000007</v>
      </c>
      <c r="H59" s="573">
        <f t="shared" si="23"/>
        <v>6.9183000000000008E-2</v>
      </c>
      <c r="I59" s="574">
        <f t="shared" si="0"/>
        <v>1.1083066927904663</v>
      </c>
      <c r="J59" s="575">
        <f t="shared" si="1"/>
        <v>0.44577375392899782</v>
      </c>
      <c r="K59" s="575">
        <f t="shared" si="2"/>
        <v>1.0000000731633949</v>
      </c>
      <c r="L59" s="576">
        <f t="shared" si="3"/>
        <v>3.8252683691873733E-4</v>
      </c>
      <c r="M59" s="575">
        <f t="shared" si="4"/>
        <v>1.0000001130891896</v>
      </c>
      <c r="N59" s="576">
        <f t="shared" si="5"/>
        <v>-4.7558212529696188E-4</v>
      </c>
      <c r="O59" s="574">
        <f t="shared" si="6"/>
        <v>1304.0692092449899</v>
      </c>
      <c r="P59" s="577">
        <f t="shared" si="7"/>
        <v>1.5700294962532999</v>
      </c>
      <c r="Q59" s="586">
        <f t="shared" si="8"/>
        <v>1.0151531376314145</v>
      </c>
      <c r="R59" s="587">
        <f t="shared" si="9"/>
        <v>0.17299844912688772</v>
      </c>
      <c r="S59" s="574">
        <f t="shared" si="10"/>
        <v>1.0000034352820442</v>
      </c>
      <c r="T59" s="577">
        <f t="shared" si="11"/>
        <v>2.621172336940876E-3</v>
      </c>
      <c r="U59" s="578">
        <f t="shared" si="24"/>
        <v>0.99959931948153469</v>
      </c>
      <c r="V59" s="579">
        <f t="shared" si="25"/>
        <v>-1.4364638323663666E-3</v>
      </c>
      <c r="W59" s="580">
        <f t="shared" si="12"/>
        <v>44.315484963533045</v>
      </c>
      <c r="X59" s="581">
        <f t="shared" si="13"/>
        <v>-105.82275479042679</v>
      </c>
      <c r="Y59" s="584">
        <f t="shared" si="14"/>
        <v>74.177245209573215</v>
      </c>
      <c r="AA59" s="147">
        <f t="shared" si="15"/>
        <v>1000000000</v>
      </c>
      <c r="AB59" s="147">
        <f t="shared" si="16"/>
        <v>4786.2874890000012</v>
      </c>
      <c r="AD59" s="583">
        <f t="shared" si="17"/>
        <v>42.930038673567125</v>
      </c>
      <c r="AE59" s="584">
        <f t="shared" si="18"/>
        <v>-80.194165053003786</v>
      </c>
      <c r="AG59" s="583">
        <f t="shared" si="19"/>
        <v>60.679601092957959</v>
      </c>
      <c r="AH59" s="584">
        <f t="shared" si="20"/>
        <v>-25.463983107199379</v>
      </c>
      <c r="AJ59" s="147">
        <f t="shared" si="21"/>
        <v>0</v>
      </c>
      <c r="AK59" s="147">
        <f t="shared" si="33"/>
        <v>0</v>
      </c>
      <c r="AM59" s="147" t="str">
        <f t="shared" si="26"/>
        <v>2.10553980395378E-06+0.00205209044016557i</v>
      </c>
      <c r="AN59" s="147" t="str">
        <f t="shared" si="27"/>
        <v>0.00205209188041948i</v>
      </c>
      <c r="AO59" s="147" t="str">
        <f t="shared" si="28"/>
        <v>0.999999298153302-0.00102604558014399i</v>
      </c>
      <c r="AP59" s="147" t="str">
        <f t="shared" si="29"/>
        <v>0.166666315743366-0.000342015073360928i</v>
      </c>
      <c r="AQ59" s="147" t="str">
        <f t="shared" si="30"/>
        <v>0.833333684256634+0.000342015073360928i</v>
      </c>
      <c r="AR59" s="147" t="str">
        <f t="shared" si="31"/>
        <v>0.999599410685271-0.000410253506171459i</v>
      </c>
    </row>
    <row r="60" spans="1:44">
      <c r="A60" s="147">
        <v>1.5</v>
      </c>
      <c r="C60" s="147" t="s">
        <v>743</v>
      </c>
      <c r="D60" s="147">
        <f>10^(-D51/20)/O3*'Design Converter'!E40/10*Acs</f>
        <v>43481.24683271347</v>
      </c>
      <c r="G60" s="585">
        <v>75.858000000000004</v>
      </c>
      <c r="H60" s="573">
        <f t="shared" si="23"/>
        <v>7.5858000000000009E-2</v>
      </c>
      <c r="I60" s="574">
        <f t="shared" si="0"/>
        <v>1.1289517551846895</v>
      </c>
      <c r="J60" s="575">
        <f t="shared" si="1"/>
        <v>0.48262985653511353</v>
      </c>
      <c r="K60" s="575">
        <f t="shared" si="2"/>
        <v>1.0000000879625563</v>
      </c>
      <c r="L60" s="576">
        <f t="shared" si="3"/>
        <v>4.1943426143257215E-4</v>
      </c>
      <c r="M60" s="575">
        <f t="shared" si="4"/>
        <v>1.00000013596436</v>
      </c>
      <c r="N60" s="576">
        <f t="shared" si="5"/>
        <v>-5.2146782172792568E-4</v>
      </c>
      <c r="O60" s="574">
        <f t="shared" si="6"/>
        <v>1429.8899611395004</v>
      </c>
      <c r="P60" s="577">
        <f t="shared" si="7"/>
        <v>1.5700969722230811</v>
      </c>
      <c r="Q60" s="586">
        <f t="shared" si="8"/>
        <v>1.0181908248006231</v>
      </c>
      <c r="R60" s="587">
        <f t="shared" si="9"/>
        <v>0.18931076832421251</v>
      </c>
      <c r="S60" s="574">
        <f t="shared" si="10"/>
        <v>1.0000041301539881</v>
      </c>
      <c r="T60" s="577">
        <f t="shared" si="11"/>
        <v>2.8740702054717644E-3</v>
      </c>
      <c r="U60" s="578">
        <f t="shared" si="24"/>
        <v>0.99959918182948126</v>
      </c>
      <c r="V60" s="579">
        <f t="shared" si="25"/>
        <v>-1.5750584098185273E-3</v>
      </c>
      <c r="W60" s="580">
        <f t="shared" si="12"/>
        <v>43.381082345051809</v>
      </c>
      <c r="X60" s="581">
        <f t="shared" si="13"/>
        <v>-107.02663824659834</v>
      </c>
      <c r="Y60" s="584">
        <f t="shared" si="14"/>
        <v>72.973361753401662</v>
      </c>
      <c r="AA60" s="147">
        <f t="shared" si="15"/>
        <v>1000000000</v>
      </c>
      <c r="AB60" s="147">
        <f t="shared" si="16"/>
        <v>5754.4361640000006</v>
      </c>
      <c r="AD60" s="583">
        <f t="shared" si="17"/>
        <v>42.155945469315057</v>
      </c>
      <c r="AE60" s="584">
        <f t="shared" si="18"/>
        <v>-79.27789407668152</v>
      </c>
      <c r="AG60" s="583">
        <f t="shared" si="19"/>
        <v>60.519294070948568</v>
      </c>
      <c r="AH60" s="584">
        <f t="shared" si="20"/>
        <v>-27.568255770972172</v>
      </c>
      <c r="AJ60" s="147">
        <f t="shared" si="21"/>
        <v>0</v>
      </c>
      <c r="AK60" s="147">
        <f t="shared" si="33"/>
        <v>0</v>
      </c>
      <c r="AM60" s="147" t="str">
        <f t="shared" si="26"/>
        <v>2.53143873196748E-06+0.0022500824553795i</v>
      </c>
      <c r="AN60" s="147" t="str">
        <f t="shared" si="27"/>
        <v>0.00225008435403005i</v>
      </c>
      <c r="AO60" s="147" t="str">
        <f t="shared" si="28"/>
        <v>0.999999156186946-0.00112504170229596i</v>
      </c>
      <c r="AP60" s="147" t="str">
        <f t="shared" si="29"/>
        <v>0.166666244760211-0.00037501374256325i</v>
      </c>
      <c r="AQ60" s="147" t="str">
        <f t="shared" si="30"/>
        <v>0.833333755239789+0.00037501374256325i</v>
      </c>
      <c r="AR60" s="147" t="str">
        <f t="shared" si="31"/>
        <v>0.999599291481537-0.000449835937888053i</v>
      </c>
    </row>
    <row r="61" spans="1:44">
      <c r="A61" s="147">
        <v>1.8</v>
      </c>
      <c r="C61" s="147" t="s">
        <v>744</v>
      </c>
      <c r="D61" s="147">
        <f>1/(6.28*D60*pole1*2)</f>
        <v>1.2647466042452193E-8</v>
      </c>
      <c r="G61" s="585">
        <v>83.176000000000002</v>
      </c>
      <c r="H61" s="573">
        <f t="shared" si="23"/>
        <v>8.3176E-2</v>
      </c>
      <c r="I61" s="574">
        <f t="shared" si="0"/>
        <v>1.1532801201211578</v>
      </c>
      <c r="J61" s="575">
        <f t="shared" si="1"/>
        <v>0.52146156672277411</v>
      </c>
      <c r="K61" s="575">
        <f t="shared" si="2"/>
        <v>1.0000001057526169</v>
      </c>
      <c r="L61" s="576">
        <f t="shared" si="3"/>
        <v>4.5989696162772591E-4</v>
      </c>
      <c r="M61" s="575">
        <f t="shared" si="4"/>
        <v>1.0000001634625848</v>
      </c>
      <c r="N61" s="576">
        <f t="shared" si="5"/>
        <v>-5.7177366586135371E-4</v>
      </c>
      <c r="O61" s="574">
        <f t="shared" si="6"/>
        <v>1567.8309804503601</v>
      </c>
      <c r="P61" s="577">
        <f t="shared" si="7"/>
        <v>1.5701585028966114</v>
      </c>
      <c r="Q61" s="586">
        <f t="shared" si="8"/>
        <v>1.0218304740060435</v>
      </c>
      <c r="R61" s="587">
        <f t="shared" si="9"/>
        <v>0.20707772917024303</v>
      </c>
      <c r="S61" s="574">
        <f t="shared" si="10"/>
        <v>1.0000049654584029</v>
      </c>
      <c r="T61" s="577">
        <f t="shared" si="11"/>
        <v>3.1513291978312141E-3</v>
      </c>
      <c r="U61" s="578">
        <f t="shared" si="24"/>
        <v>0.99959901635812332</v>
      </c>
      <c r="V61" s="579">
        <f t="shared" si="25"/>
        <v>-1.7270037117098718E-3</v>
      </c>
      <c r="W61" s="580">
        <f t="shared" si="12"/>
        <v>42.426946520932631</v>
      </c>
      <c r="X61" s="581">
        <f t="shared" si="13"/>
        <v>-108.26224049490473</v>
      </c>
      <c r="Y61" s="584">
        <f t="shared" si="14"/>
        <v>71.737759505095269</v>
      </c>
      <c r="AA61" s="147">
        <f t="shared" si="15"/>
        <v>1000000000</v>
      </c>
      <c r="AB61" s="147">
        <f t="shared" si="16"/>
        <v>6918.2469760000004</v>
      </c>
      <c r="AD61" s="583">
        <f t="shared" si="17"/>
        <v>41.386999144743399</v>
      </c>
      <c r="AE61" s="584">
        <f t="shared" si="18"/>
        <v>-78.279333422286896</v>
      </c>
      <c r="AG61" s="583">
        <f t="shared" si="19"/>
        <v>60.334107447085827</v>
      </c>
      <c r="AH61" s="584">
        <f t="shared" si="20"/>
        <v>-29.785007024622878</v>
      </c>
      <c r="AJ61" s="147">
        <f t="shared" si="21"/>
        <v>0</v>
      </c>
      <c r="AK61" s="147">
        <f t="shared" si="33"/>
        <v>0</v>
      </c>
      <c r="AM61" s="147" t="str">
        <f t="shared" si="26"/>
        <v>3.04341144097275E-06+0.00246714685820289i</v>
      </c>
      <c r="AN61" s="147" t="str">
        <f t="shared" si="27"/>
        <v>0.0024671493610536i</v>
      </c>
      <c r="AO61" s="147" t="str">
        <f t="shared" si="28"/>
        <v>0.999998985529312-0.00123357405474351i</v>
      </c>
      <c r="AP61" s="147" t="str">
        <f t="shared" si="29"/>
        <v>0.166666159431427-0.000411191143033815i</v>
      </c>
      <c r="AQ61" s="147" t="str">
        <f t="shared" si="30"/>
        <v>0.833333840568573+0.000411191143033815i</v>
      </c>
      <c r="AR61" s="147" t="str">
        <f t="shared" si="31"/>
        <v>0.999599148186904-0.000493231279361177i</v>
      </c>
    </row>
    <row r="62" spans="1:44">
      <c r="A62" s="147">
        <v>2</v>
      </c>
      <c r="C62" s="147" t="s">
        <v>812</v>
      </c>
      <c r="D62" s="147">
        <f>D61/150</f>
        <v>8.4316440283014624E-11</v>
      </c>
      <c r="G62" s="585">
        <v>91.201000000000008</v>
      </c>
      <c r="H62" s="573">
        <f t="shared" si="23"/>
        <v>9.1201000000000004E-2</v>
      </c>
      <c r="I62" s="574">
        <f t="shared" si="0"/>
        <v>1.1818698314190001</v>
      </c>
      <c r="J62" s="575">
        <f t="shared" si="1"/>
        <v>0.56213918479070457</v>
      </c>
      <c r="K62" s="575">
        <f t="shared" si="2"/>
        <v>1.0000001271435277</v>
      </c>
      <c r="L62" s="576">
        <f t="shared" si="3"/>
        <v>5.0426880589685423E-4</v>
      </c>
      <c r="M62" s="575">
        <f t="shared" si="4"/>
        <v>1.0000001965266692</v>
      </c>
      <c r="N62" s="576">
        <f t="shared" si="5"/>
        <v>-6.269396093918243E-4</v>
      </c>
      <c r="O62" s="574">
        <f t="shared" si="6"/>
        <v>1719.0986384860187</v>
      </c>
      <c r="P62" s="577">
        <f t="shared" si="7"/>
        <v>1.5702146265747878</v>
      </c>
      <c r="Q62" s="586">
        <f t="shared" si="8"/>
        <v>1.0261897247378438</v>
      </c>
      <c r="R62" s="587">
        <f t="shared" si="9"/>
        <v>0.22640949388253076</v>
      </c>
      <c r="S62" s="574">
        <f t="shared" si="10"/>
        <v>1.0000059698341857</v>
      </c>
      <c r="T62" s="577">
        <f t="shared" si="11"/>
        <v>3.4553739267446349E-3</v>
      </c>
      <c r="U62" s="578">
        <f t="shared" si="24"/>
        <v>0.99959881739414413</v>
      </c>
      <c r="V62" s="579">
        <f t="shared" si="25"/>
        <v>-1.8936285707743922E-3</v>
      </c>
      <c r="W62" s="580">
        <f t="shared" si="12"/>
        <v>41.451184855469243</v>
      </c>
      <c r="X62" s="581">
        <f t="shared" si="13"/>
        <v>-109.51606929087879</v>
      </c>
      <c r="Y62" s="584">
        <f t="shared" si="14"/>
        <v>70.483930709121211</v>
      </c>
      <c r="AA62" s="147">
        <f t="shared" si="15"/>
        <v>1000000000</v>
      </c>
      <c r="AB62" s="147">
        <f t="shared" si="16"/>
        <v>8317.6224010000005</v>
      </c>
      <c r="AD62" s="583">
        <f t="shared" si="17"/>
        <v>40.623935556463628</v>
      </c>
      <c r="AE62" s="584">
        <f t="shared" si="18"/>
        <v>-77.192341022131018</v>
      </c>
      <c r="AG62" s="583">
        <f t="shared" si="19"/>
        <v>60.121412827647376</v>
      </c>
      <c r="AH62" s="584">
        <f t="shared" si="20"/>
        <v>-32.106734418358315</v>
      </c>
      <c r="AJ62" s="147">
        <f t="shared" si="21"/>
        <v>0</v>
      </c>
      <c r="AK62" s="147">
        <f t="shared" si="33"/>
        <v>0</v>
      </c>
      <c r="AM62" s="147" t="str">
        <f t="shared" si="26"/>
        <v>3.65901140397806E-06+0.0027051819568579i</v>
      </c>
      <c r="AN62" s="147" t="str">
        <f t="shared" si="27"/>
        <v>0.00270518525629327i</v>
      </c>
      <c r="AO62" s="147" t="str">
        <f t="shared" si="28"/>
        <v>0.999998780329235-0.00135259180326591i</v>
      </c>
      <c r="AP62" s="147" t="str">
        <f t="shared" si="29"/>
        <v>0.166666056831433-0.000450863659476317i</v>
      </c>
      <c r="AQ62" s="147" t="str">
        <f t="shared" si="30"/>
        <v>0.833333943168567+0.000450863659476317i</v>
      </c>
      <c r="AR62" s="147" t="str">
        <f t="shared" si="31"/>
        <v>0.999598975888415-0.000540819026960798i</v>
      </c>
    </row>
    <row r="63" spans="1:44">
      <c r="A63" s="147">
        <v>2.5</v>
      </c>
      <c r="G63" s="585">
        <v>100</v>
      </c>
      <c r="H63" s="573">
        <f t="shared" si="23"/>
        <v>0.1</v>
      </c>
      <c r="I63" s="574">
        <f t="shared" si="0"/>
        <v>1.2153513898498558</v>
      </c>
      <c r="J63" s="575">
        <f t="shared" si="1"/>
        <v>0.60446317713230791</v>
      </c>
      <c r="K63" s="575">
        <f t="shared" si="2"/>
        <v>1.000000152860421</v>
      </c>
      <c r="L63" s="576">
        <f t="shared" si="3"/>
        <v>5.5292025005358541E-4</v>
      </c>
      <c r="M63" s="575">
        <f t="shared" si="4"/>
        <v>1.0000002362774549</v>
      </c>
      <c r="N63" s="576">
        <f t="shared" si="5"/>
        <v>-6.8742622644225285E-4</v>
      </c>
      <c r="O63" s="574">
        <f t="shared" si="6"/>
        <v>1884.9558552582205</v>
      </c>
      <c r="P63" s="577">
        <f t="shared" si="7"/>
        <v>1.5702658103670883</v>
      </c>
      <c r="Q63" s="586">
        <f t="shared" si="8"/>
        <v>1.0314061769446334</v>
      </c>
      <c r="R63" s="587">
        <f t="shared" si="9"/>
        <v>0.24740922670105239</v>
      </c>
      <c r="S63" s="574">
        <f t="shared" si="10"/>
        <v>1.0000071773282</v>
      </c>
      <c r="T63" s="577">
        <f t="shared" si="11"/>
        <v>3.7887426072049E-3</v>
      </c>
      <c r="U63" s="578">
        <f t="shared" si="24"/>
        <v>0.99959857819290554</v>
      </c>
      <c r="V63" s="579">
        <f t="shared" si="25"/>
        <v>-2.0763241046602159E-3</v>
      </c>
      <c r="W63" s="580">
        <f t="shared" si="12"/>
        <v>40.452562135161649</v>
      </c>
      <c r="X63" s="581">
        <f t="shared" si="13"/>
        <v>-110.7710383864017</v>
      </c>
      <c r="Y63" s="584">
        <f t="shared" si="14"/>
        <v>69.228961613598301</v>
      </c>
      <c r="AA63" s="147">
        <f t="shared" si="15"/>
        <v>1000000000</v>
      </c>
      <c r="AB63" s="147">
        <f t="shared" si="16"/>
        <v>10000</v>
      </c>
      <c r="AD63" s="583">
        <f t="shared" si="17"/>
        <v>39.867958646992044</v>
      </c>
      <c r="AE63" s="584">
        <f t="shared" si="18"/>
        <v>-76.011178193068204</v>
      </c>
      <c r="AG63" s="583">
        <f t="shared" si="19"/>
        <v>59.878771173830707</v>
      </c>
      <c r="AH63" s="584">
        <f t="shared" si="20"/>
        <v>-34.521930976865043</v>
      </c>
      <c r="AJ63" s="147">
        <f t="shared" si="21"/>
        <v>0</v>
      </c>
      <c r="AK63" s="147">
        <f t="shared" si="33"/>
        <v>0</v>
      </c>
      <c r="AM63" s="147" t="str">
        <f t="shared" si="26"/>
        <v>4.39910683203149E-06+0.00296617503041903i</v>
      </c>
      <c r="AN63" s="147" t="str">
        <f t="shared" si="27"/>
        <v>0.00296617937993363i</v>
      </c>
      <c r="AO63" s="147" t="str">
        <f t="shared" si="28"/>
        <v>0.999998533630626-0.00148308860272973i</v>
      </c>
      <c r="AP63" s="147" t="str">
        <f t="shared" si="29"/>
        <v>0.166665933482195-0.000494362505069838i</v>
      </c>
      <c r="AQ63" s="147" t="str">
        <f t="shared" si="30"/>
        <v>0.833334066517805+0.000494362505069838i</v>
      </c>
      <c r="AR63" s="147" t="str">
        <f t="shared" si="31"/>
        <v>0.999598768745387-0.000592996459927079i</v>
      </c>
    </row>
    <row r="64" spans="1:44">
      <c r="A64" s="147">
        <v>3</v>
      </c>
      <c r="C64" s="147" t="s">
        <v>743</v>
      </c>
      <c r="D64" s="149">
        <f>D60/1000</f>
        <v>43.481246832713467</v>
      </c>
      <c r="G64" s="585">
        <v>109.65</v>
      </c>
      <c r="H64" s="573">
        <f t="shared" si="23"/>
        <v>0.10965000000000001</v>
      </c>
      <c r="I64" s="574">
        <f t="shared" si="0"/>
        <v>1.2544313161315745</v>
      </c>
      <c r="J64" s="575">
        <f t="shared" si="1"/>
        <v>0.6481964683385586</v>
      </c>
      <c r="K64" s="575">
        <f t="shared" si="2"/>
        <v>1.0000001837859538</v>
      </c>
      <c r="L64" s="576">
        <f t="shared" si="3"/>
        <v>6.0627704168413087E-4</v>
      </c>
      <c r="M64" s="575">
        <f t="shared" si="4"/>
        <v>1.0000002840792717</v>
      </c>
      <c r="N64" s="576">
        <f t="shared" si="5"/>
        <v>-7.5376283327311256E-4</v>
      </c>
      <c r="O64" s="574">
        <f t="shared" si="6"/>
        <v>2066.8540463485647</v>
      </c>
      <c r="P64" s="577">
        <f t="shared" si="7"/>
        <v>1.5703124996757145</v>
      </c>
      <c r="Q64" s="586">
        <f t="shared" si="8"/>
        <v>1.0376444288655831</v>
      </c>
      <c r="R64" s="587">
        <f t="shared" si="9"/>
        <v>0.27018601572024786</v>
      </c>
      <c r="S64" s="574">
        <f t="shared" si="10"/>
        <v>1.0000086293833519</v>
      </c>
      <c r="T64" s="577">
        <f t="shared" si="11"/>
        <v>4.1543522472558122E-3</v>
      </c>
      <c r="U64" s="578">
        <f t="shared" si="24"/>
        <v>0.99959829054461069</v>
      </c>
      <c r="V64" s="579">
        <f t="shared" si="25"/>
        <v>-2.2766890563634878E-3</v>
      </c>
      <c r="W64" s="580">
        <f t="shared" si="12"/>
        <v>39.429851297989806</v>
      </c>
      <c r="X64" s="581">
        <f t="shared" si="13"/>
        <v>-112.00760426087132</v>
      </c>
      <c r="Y64" s="584">
        <f t="shared" si="14"/>
        <v>67.992395739128682</v>
      </c>
      <c r="AA64" s="147">
        <f t="shared" si="15"/>
        <v>1000000000</v>
      </c>
      <c r="AB64" s="147">
        <f t="shared" si="16"/>
        <v>12023.122500000001</v>
      </c>
      <c r="AD64" s="583">
        <f t="shared" si="17"/>
        <v>39.120150133570675</v>
      </c>
      <c r="AE64" s="584">
        <f t="shared" si="18"/>
        <v>-74.729787299601057</v>
      </c>
      <c r="AG64" s="583">
        <f t="shared" si="19"/>
        <v>59.603873849050331</v>
      </c>
      <c r="AH64" s="584">
        <f t="shared" si="20"/>
        <v>-37.016927612585647</v>
      </c>
      <c r="AJ64" s="147">
        <f t="shared" si="21"/>
        <v>0</v>
      </c>
      <c r="AK64" s="147">
        <f t="shared" si="33"/>
        <v>0</v>
      </c>
      <c r="AM64" s="147" t="str">
        <f t="shared" si="26"/>
        <v>5.28909924801813E-06+0.00325240995597875i</v>
      </c>
      <c r="AN64" s="147" t="str">
        <f t="shared" si="27"/>
        <v>0.00325241569009723i</v>
      </c>
      <c r="AO64" s="147" t="str">
        <f t="shared" si="28"/>
        <v>0.999998236966296-0.00162620641147504i</v>
      </c>
      <c r="AP64" s="147" t="str">
        <f t="shared" si="29"/>
        <v>0.166665785150125-0.000542068325996458i</v>
      </c>
      <c r="AQ64" s="147" t="str">
        <f t="shared" si="30"/>
        <v>0.833334214849875+0.000542068325996458i</v>
      </c>
      <c r="AR64" s="147" t="str">
        <f t="shared" si="31"/>
        <v>0.999598519648347-0.000650220147641402i</v>
      </c>
    </row>
    <row r="65" spans="1:44">
      <c r="A65" s="147">
        <v>4</v>
      </c>
      <c r="C65" s="147" t="s">
        <v>744</v>
      </c>
      <c r="D65" s="149">
        <f>D61*1000000000</f>
        <v>12.647466042452193</v>
      </c>
      <c r="G65" s="585">
        <v>120.23</v>
      </c>
      <c r="H65" s="573">
        <f t="shared" si="23"/>
        <v>0.12023</v>
      </c>
      <c r="I65" s="574">
        <f t="shared" si="0"/>
        <v>1.2998575925841842</v>
      </c>
      <c r="J65" s="575">
        <f t="shared" si="1"/>
        <v>0.69302800697759237</v>
      </c>
      <c r="K65" s="575">
        <f t="shared" si="2"/>
        <v>1.0000002209635968</v>
      </c>
      <c r="L65" s="576">
        <f t="shared" si="3"/>
        <v>6.6477598645719202E-4</v>
      </c>
      <c r="M65" s="575">
        <f t="shared" si="4"/>
        <v>1.0000003415450185</v>
      </c>
      <c r="N65" s="576">
        <f t="shared" si="5"/>
        <v>-8.2649249404963005E-4</v>
      </c>
      <c r="O65" s="574">
        <f t="shared" si="6"/>
        <v>2266.2823264826561</v>
      </c>
      <c r="P65" s="577">
        <f t="shared" si="7"/>
        <v>1.5703550754906064</v>
      </c>
      <c r="Q65" s="586">
        <f t="shared" si="8"/>
        <v>1.0450945588693068</v>
      </c>
      <c r="R65" s="587">
        <f t="shared" si="9"/>
        <v>0.29483116244494417</v>
      </c>
      <c r="S65" s="574">
        <f t="shared" si="10"/>
        <v>1.0000103749928397</v>
      </c>
      <c r="T65" s="577">
        <f t="shared" si="11"/>
        <v>4.5551955260361562E-3</v>
      </c>
      <c r="U65" s="578">
        <f t="shared" si="24"/>
        <v>0.99959794474373831</v>
      </c>
      <c r="V65" s="579">
        <f t="shared" si="25"/>
        <v>-2.4963636879442364E-3</v>
      </c>
      <c r="W65" s="580">
        <f t="shared" si="12"/>
        <v>38.382912704003942</v>
      </c>
      <c r="X65" s="581">
        <f t="shared" si="13"/>
        <v>-113.20300715437084</v>
      </c>
      <c r="Y65" s="584">
        <f t="shared" si="14"/>
        <v>66.796992845629163</v>
      </c>
      <c r="AA65" s="147">
        <f t="shared" si="15"/>
        <v>1000000000</v>
      </c>
      <c r="AB65" s="147">
        <f t="shared" si="16"/>
        <v>14455.252900000001</v>
      </c>
      <c r="AD65" s="583">
        <f t="shared" si="17"/>
        <v>38.382191480218523</v>
      </c>
      <c r="AE65" s="584">
        <f t="shared" si="18"/>
        <v>-73.34313044783373</v>
      </c>
      <c r="AG65" s="583">
        <f t="shared" si="19"/>
        <v>59.294899918008198</v>
      </c>
      <c r="AH65" s="584">
        <f t="shared" si="20"/>
        <v>-39.573814499312405</v>
      </c>
      <c r="AJ65" s="147">
        <f t="shared" si="21"/>
        <v>0</v>
      </c>
      <c r="AK65" s="147">
        <f t="shared" si="33"/>
        <v>0</v>
      </c>
      <c r="AM65" s="147" t="str">
        <f t="shared" si="26"/>
        <v>0.0000063590181009765+0.00356622990923479i</v>
      </c>
      <c r="AN65" s="147" t="str">
        <f t="shared" si="27"/>
        <v>0.0035662374684942i</v>
      </c>
      <c r="AO65" s="147" t="str">
        <f t="shared" si="28"/>
        <v>0.999997880326401-0.00178311684433665i</v>
      </c>
      <c r="AP65" s="147" t="str">
        <f t="shared" si="29"/>
        <v>0.166665606830317-0.000594371651539132i</v>
      </c>
      <c r="AQ65" s="147" t="str">
        <f t="shared" si="30"/>
        <v>0.833334393169683+0.000594371651539132i</v>
      </c>
      <c r="AR65" s="147" t="str">
        <f t="shared" si="31"/>
        <v>0.999598220192575-0.000712958507270515i</v>
      </c>
    </row>
    <row r="66" spans="1:44">
      <c r="A66" s="147">
        <v>5</v>
      </c>
      <c r="C66" s="147" t="s">
        <v>812</v>
      </c>
      <c r="D66" s="149">
        <f>D62*1000000000000</f>
        <v>84.316440283014629</v>
      </c>
      <c r="G66" s="585">
        <v>131.83000000000001</v>
      </c>
      <c r="H66" s="573">
        <f t="shared" si="23"/>
        <v>0.13183</v>
      </c>
      <c r="I66" s="574">
        <f t="shared" si="0"/>
        <v>1.3524506272740533</v>
      </c>
      <c r="J66" s="575">
        <f t="shared" si="1"/>
        <v>0.73861977245346555</v>
      </c>
      <c r="K66" s="575">
        <f t="shared" si="2"/>
        <v>1.0000002656583866</v>
      </c>
      <c r="L66" s="576">
        <f t="shared" si="3"/>
        <v>7.2891471083225037E-4</v>
      </c>
      <c r="M66" s="575">
        <f t="shared" si="4"/>
        <v>1.0000004106300713</v>
      </c>
      <c r="N66" s="576">
        <f t="shared" si="5"/>
        <v>-9.0623388898267447E-4</v>
      </c>
      <c r="O66" s="574">
        <f t="shared" si="6"/>
        <v>2484.9371555093403</v>
      </c>
      <c r="P66" s="577">
        <f t="shared" si="7"/>
        <v>1.5703939021199813</v>
      </c>
      <c r="Q66" s="586">
        <f t="shared" si="8"/>
        <v>1.0539813631604757</v>
      </c>
      <c r="R66" s="587">
        <f t="shared" si="9"/>
        <v>0.32143391767936347</v>
      </c>
      <c r="S66" s="574">
        <f t="shared" si="10"/>
        <v>1.0000124735525178</v>
      </c>
      <c r="T66" s="577">
        <f t="shared" si="11"/>
        <v>4.9946817438708789E-3</v>
      </c>
      <c r="U66" s="578">
        <f t="shared" si="24"/>
        <v>0.99959752902396204</v>
      </c>
      <c r="V66" s="579">
        <f t="shared" si="25"/>
        <v>-2.7372166453034034E-3</v>
      </c>
      <c r="W66" s="580">
        <f t="shared" si="12"/>
        <v>37.311897906478549</v>
      </c>
      <c r="X66" s="581">
        <f t="shared" si="13"/>
        <v>-114.33309643217223</v>
      </c>
      <c r="Y66" s="584">
        <f t="shared" si="14"/>
        <v>65.666903567827774</v>
      </c>
      <c r="AA66" s="147">
        <f t="shared" si="15"/>
        <v>1000000000</v>
      </c>
      <c r="AB66" s="147">
        <f t="shared" si="16"/>
        <v>17379.148900000004</v>
      </c>
      <c r="AD66" s="583">
        <f t="shared" si="17"/>
        <v>37.655692194505697</v>
      </c>
      <c r="AE66" s="584">
        <f t="shared" si="18"/>
        <v>-71.846310155203582</v>
      </c>
      <c r="AG66" s="583">
        <f t="shared" si="19"/>
        <v>58.95039163089406</v>
      </c>
      <c r="AH66" s="584">
        <f t="shared" si="20"/>
        <v>-42.173124353832527</v>
      </c>
      <c r="AJ66" s="147">
        <f t="shared" si="21"/>
        <v>0</v>
      </c>
      <c r="AK66" s="147">
        <f t="shared" si="33"/>
        <v>0</v>
      </c>
      <c r="AM66" s="147" t="str">
        <f t="shared" si="26"/>
        <v>7.64526912899743E-06+0.00391030431142642i</v>
      </c>
      <c r="AN66" s="147" t="str">
        <f t="shared" si="27"/>
        <v>0.00391031427656651i</v>
      </c>
      <c r="AO66" s="147" t="str">
        <f t="shared" si="28"/>
        <v>0.999997451575657-0.00195515464698414i</v>
      </c>
      <c r="AP66" s="147" t="str">
        <f t="shared" si="29"/>
        <v>0.166665392455145-0.000651717385237737i</v>
      </c>
      <c r="AQ66" s="147" t="str">
        <f t="shared" si="30"/>
        <v>0.833334607544855+0.000651717385237737i</v>
      </c>
      <c r="AR66" s="147" t="str">
        <f t="shared" si="31"/>
        <v>0.999597860188766-0.00078174516914731i</v>
      </c>
    </row>
    <row r="67" spans="1:44">
      <c r="A67" s="147">
        <v>6</v>
      </c>
      <c r="G67" s="585">
        <v>144.54</v>
      </c>
      <c r="H67" s="573">
        <f t="shared" si="23"/>
        <v>0.14454</v>
      </c>
      <c r="I67" s="574">
        <f t="shared" si="0"/>
        <v>1.41304793277646</v>
      </c>
      <c r="J67" s="575">
        <f t="shared" si="1"/>
        <v>0.78457291829034848</v>
      </c>
      <c r="K67" s="575">
        <f t="shared" si="2"/>
        <v>1.0000003193530849</v>
      </c>
      <c r="L67" s="576">
        <f t="shared" si="3"/>
        <v>7.9919084072118806E-4</v>
      </c>
      <c r="M67" s="575">
        <f t="shared" si="4"/>
        <v>1.0000004936263438</v>
      </c>
      <c r="N67" s="576">
        <f t="shared" si="5"/>
        <v>-9.9360569723078184E-4</v>
      </c>
      <c r="O67" s="574">
        <f t="shared" si="6"/>
        <v>2724.5149933049083</v>
      </c>
      <c r="P67" s="577">
        <f t="shared" si="7"/>
        <v>1.5704292889826952</v>
      </c>
      <c r="Q67" s="586">
        <f t="shared" si="8"/>
        <v>1.0645595548937756</v>
      </c>
      <c r="R67" s="587">
        <f t="shared" si="9"/>
        <v>0.35004984677895423</v>
      </c>
      <c r="S67" s="574">
        <f t="shared" si="10"/>
        <v>1.0000149946802452</v>
      </c>
      <c r="T67" s="577">
        <f t="shared" si="11"/>
        <v>5.4762200249184045E-3</v>
      </c>
      <c r="U67" s="578">
        <f t="shared" si="24"/>
        <v>0.9995970295939397</v>
      </c>
      <c r="V67" s="579">
        <f t="shared" si="25"/>
        <v>-3.0011165599105115E-3</v>
      </c>
      <c r="W67" s="580">
        <f t="shared" si="12"/>
        <v>36.218428134243638</v>
      </c>
      <c r="X67" s="581">
        <f t="shared" si="13"/>
        <v>-115.3721632715104</v>
      </c>
      <c r="Y67" s="584">
        <f t="shared" si="14"/>
        <v>64.627836728489598</v>
      </c>
      <c r="AA67" s="147">
        <f t="shared" si="15"/>
        <v>1000000000</v>
      </c>
      <c r="AB67" s="147">
        <f t="shared" si="16"/>
        <v>20891.811599999997</v>
      </c>
      <c r="AD67" s="583">
        <f t="shared" si="17"/>
        <v>36.942935062317119</v>
      </c>
      <c r="AE67" s="584">
        <f t="shared" si="18"/>
        <v>-70.236355818173507</v>
      </c>
      <c r="AG67" s="583">
        <f t="shared" si="19"/>
        <v>58.569687670331241</v>
      </c>
      <c r="AH67" s="584">
        <f t="shared" si="20"/>
        <v>-44.791904827524519</v>
      </c>
      <c r="AJ67" s="147">
        <f t="shared" si="21"/>
        <v>0</v>
      </c>
      <c r="AK67" s="147">
        <f t="shared" si="33"/>
        <v>0</v>
      </c>
      <c r="AM67" s="147" t="str">
        <f t="shared" si="26"/>
        <v>9.19052377401641E-06+0.00428730254152247i</v>
      </c>
      <c r="AN67" s="147" t="str">
        <f t="shared" si="27"/>
        <v>0.00428731567575607i</v>
      </c>
      <c r="AO67" s="147" t="str">
        <f t="shared" si="28"/>
        <v>0.999996936490197-0.0021436545542907i</v>
      </c>
      <c r="AP67" s="147" t="str">
        <f t="shared" si="29"/>
        <v>0.166665134912704-0.000714550423587078i</v>
      </c>
      <c r="AQ67" s="147" t="str">
        <f t="shared" si="30"/>
        <v>0.833334865087296+0.000714550423587078i</v>
      </c>
      <c r="AR67" s="147" t="str">
        <f t="shared" si="31"/>
        <v>0.999597427694029-0.00085711374298554i</v>
      </c>
    </row>
    <row r="68" spans="1:44">
      <c r="A68" s="147">
        <v>7</v>
      </c>
      <c r="G68" s="585">
        <v>158.49</v>
      </c>
      <c r="H68" s="573">
        <f t="shared" si="23"/>
        <v>0.15849000000000002</v>
      </c>
      <c r="I68" s="574">
        <f t="shared" si="0"/>
        <v>1.4826930105511984</v>
      </c>
      <c r="J68" s="575">
        <f t="shared" si="1"/>
        <v>0.83057891411792661</v>
      </c>
      <c r="K68" s="575">
        <f t="shared" si="2"/>
        <v>1.0000003839712714</v>
      </c>
      <c r="L68" s="576">
        <f t="shared" si="3"/>
        <v>8.7632316929141512E-4</v>
      </c>
      <c r="M68" s="575">
        <f t="shared" si="4"/>
        <v>1.0000005935071257</v>
      </c>
      <c r="N68" s="576">
        <f t="shared" si="5"/>
        <v>-1.0895015668201842E-3</v>
      </c>
      <c r="O68" s="574">
        <f t="shared" si="6"/>
        <v>2987.4662819569107</v>
      </c>
      <c r="P68" s="577">
        <f t="shared" si="7"/>
        <v>1.5704615949772645</v>
      </c>
      <c r="Q68" s="586">
        <f t="shared" si="8"/>
        <v>1.0771520181378085</v>
      </c>
      <c r="R68" s="587">
        <f t="shared" si="9"/>
        <v>0.38078260464612751</v>
      </c>
      <c r="S68" s="574">
        <f t="shared" si="10"/>
        <v>1.0000180286903781</v>
      </c>
      <c r="T68" s="577">
        <f t="shared" si="11"/>
        <v>6.0047347187025856E-3</v>
      </c>
      <c r="U68" s="578">
        <f t="shared" si="24"/>
        <v>0.9995964285622787</v>
      </c>
      <c r="V68" s="579">
        <f t="shared" si="25"/>
        <v>-3.2907625713506894E-3</v>
      </c>
      <c r="W68" s="580">
        <f t="shared" si="12"/>
        <v>35.102375604487754</v>
      </c>
      <c r="X68" s="581">
        <f t="shared" si="13"/>
        <v>-116.29705857142116</v>
      </c>
      <c r="Y68" s="584">
        <f t="shared" si="14"/>
        <v>63.702941428578839</v>
      </c>
      <c r="AA68" s="147">
        <f t="shared" si="15"/>
        <v>1000000000</v>
      </c>
      <c r="AB68" s="147">
        <f t="shared" si="16"/>
        <v>25119.080100000003</v>
      </c>
      <c r="AD68" s="583">
        <f t="shared" si="17"/>
        <v>36.244773251333783</v>
      </c>
      <c r="AE68" s="584">
        <f t="shared" si="18"/>
        <v>-68.507631156117924</v>
      </c>
      <c r="AG68" s="583">
        <f t="shared" si="19"/>
        <v>58.151807396760297</v>
      </c>
      <c r="AH68" s="584">
        <f t="shared" si="20"/>
        <v>-47.412333801436297</v>
      </c>
      <c r="AJ68" s="147">
        <f t="shared" si="21"/>
        <v>0</v>
      </c>
      <c r="AK68" s="147">
        <f t="shared" si="33"/>
        <v>0</v>
      </c>
      <c r="AM68" s="147" t="str">
        <f t="shared" si="26"/>
        <v>0.0000110501394380291+0.00470108038331569i</v>
      </c>
      <c r="AN68" s="147" t="str">
        <f t="shared" si="27"/>
        <v>0.00470109769925681i</v>
      </c>
      <c r="AO68" s="147" t="str">
        <f t="shared" si="28"/>
        <v>0.999996316617474-0.00235054452065015i</v>
      </c>
      <c r="AP68" s="147" t="str">
        <f t="shared" si="29"/>
        <v>0.16666482497676-0.000783513397219282i</v>
      </c>
      <c r="AQ68" s="147" t="str">
        <f t="shared" si="30"/>
        <v>0.83333517502324+0.000783513397219282i</v>
      </c>
      <c r="AR68" s="147" t="str">
        <f t="shared" si="31"/>
        <v>0.999596907214977-0.000939835005284701i</v>
      </c>
    </row>
    <row r="69" spans="1:44">
      <c r="A69" s="147">
        <v>8</v>
      </c>
      <c r="G69" s="585">
        <v>173.78</v>
      </c>
      <c r="H69" s="573">
        <f t="shared" si="23"/>
        <v>0.17377999999999999</v>
      </c>
      <c r="I69" s="574">
        <f t="shared" si="0"/>
        <v>1.5622913220921528</v>
      </c>
      <c r="J69" s="575">
        <f t="shared" si="1"/>
        <v>0.87618680057340115</v>
      </c>
      <c r="K69" s="575">
        <f t="shared" si="2"/>
        <v>1.0000004616305795</v>
      </c>
      <c r="L69" s="576">
        <f t="shared" si="3"/>
        <v>9.6086461275226578E-4</v>
      </c>
      <c r="M69" s="575">
        <f t="shared" si="4"/>
        <v>1.0000007135456557</v>
      </c>
      <c r="N69" s="576">
        <f t="shared" si="5"/>
        <v>-1.1946089162121868E-3</v>
      </c>
      <c r="O69" s="574">
        <f t="shared" si="6"/>
        <v>3275.6759769422538</v>
      </c>
      <c r="P69" s="577">
        <f t="shared" si="7"/>
        <v>1.5704910462901789</v>
      </c>
      <c r="Q69" s="586">
        <f t="shared" si="8"/>
        <v>1.0920937760164364</v>
      </c>
      <c r="R69" s="587">
        <f t="shared" si="9"/>
        <v>0.41361892788198135</v>
      </c>
      <c r="S69" s="574">
        <f t="shared" si="10"/>
        <v>1.0000216750068536</v>
      </c>
      <c r="T69" s="577">
        <f t="shared" si="11"/>
        <v>6.5840132678939541E-3</v>
      </c>
      <c r="U69" s="578">
        <f t="shared" si="24"/>
        <v>0.99959570623283389</v>
      </c>
      <c r="V69" s="579">
        <f t="shared" si="25"/>
        <v>-3.608230898826319E-3</v>
      </c>
      <c r="W69" s="580">
        <f t="shared" si="12"/>
        <v>33.967823954276959</v>
      </c>
      <c r="X69" s="581">
        <f t="shared" si="13"/>
        <v>-117.08306082945545</v>
      </c>
      <c r="Y69" s="584">
        <f t="shared" si="14"/>
        <v>62.916939170544552</v>
      </c>
      <c r="AA69" s="147">
        <f t="shared" si="15"/>
        <v>1000000000</v>
      </c>
      <c r="AB69" s="147">
        <f t="shared" si="16"/>
        <v>30199.488400000002</v>
      </c>
      <c r="AD69" s="583">
        <f t="shared" si="17"/>
        <v>35.564441763504384</v>
      </c>
      <c r="AE69" s="584">
        <f t="shared" si="18"/>
        <v>-66.661126069828455</v>
      </c>
      <c r="AG69" s="583">
        <f t="shared" si="19"/>
        <v>57.697599787597227</v>
      </c>
      <c r="AH69" s="584">
        <f t="shared" si="20"/>
        <v>-50.008461955131651</v>
      </c>
      <c r="AJ69" s="147">
        <f t="shared" si="21"/>
        <v>0</v>
      </c>
      <c r="AK69" s="147">
        <f t="shared" si="33"/>
        <v>0</v>
      </c>
      <c r="AM69" s="147" t="str">
        <f t="shared" si="26"/>
        <v>0.0000132850578979937+0.00515460369992449i</v>
      </c>
      <c r="AN69" s="147" t="str">
        <f t="shared" si="27"/>
        <v>0.00515462652644866i</v>
      </c>
      <c r="AO69" s="147" t="str">
        <f t="shared" si="28"/>
        <v>0.999995571643444-0.00257730755658579i</v>
      </c>
      <c r="AP69" s="147" t="str">
        <f t="shared" si="29"/>
        <v>0.16666445249035-0.000859100616654082i</v>
      </c>
      <c r="AQ69" s="147" t="str">
        <f t="shared" si="30"/>
        <v>0.83333554750965+0.000859100616654082i</v>
      </c>
      <c r="AR69" s="147" t="str">
        <f t="shared" si="31"/>
        <v>0.999596281695426-0.00103050180035638i</v>
      </c>
    </row>
    <row r="70" spans="1:44">
      <c r="A70" s="147">
        <v>9</v>
      </c>
      <c r="G70" s="585">
        <v>190.55</v>
      </c>
      <c r="H70" s="573">
        <f t="shared" si="23"/>
        <v>0.19055000000000002</v>
      </c>
      <c r="I70" s="574">
        <f t="shared" si="0"/>
        <v>1.652949054169764</v>
      </c>
      <c r="J70" s="575">
        <f t="shared" si="1"/>
        <v>0.92105642769554419</v>
      </c>
      <c r="K70" s="575">
        <f t="shared" si="2"/>
        <v>1.0000005550254147</v>
      </c>
      <c r="L70" s="576">
        <f t="shared" si="3"/>
        <v>1.0535892539993322E-3</v>
      </c>
      <c r="M70" s="575">
        <f t="shared" si="4"/>
        <v>1.0000008579066919</v>
      </c>
      <c r="N70" s="576">
        <f t="shared" si="5"/>
        <v>-1.3098901316418161E-3</v>
      </c>
      <c r="O70" s="574">
        <f t="shared" si="6"/>
        <v>3591.7830159516307</v>
      </c>
      <c r="P70" s="577">
        <f t="shared" si="7"/>
        <v>1.5705179135365015</v>
      </c>
      <c r="Q70" s="586">
        <f t="shared" si="8"/>
        <v>1.1097966644480117</v>
      </c>
      <c r="R70" s="587">
        <f t="shared" si="9"/>
        <v>0.44857511750706158</v>
      </c>
      <c r="S70" s="574">
        <f t="shared" si="10"/>
        <v>1.0000260601320321</v>
      </c>
      <c r="T70" s="577">
        <f t="shared" si="11"/>
        <v>7.2193581574152236E-3</v>
      </c>
      <c r="U70" s="578">
        <f t="shared" si="24"/>
        <v>0.9995948375450503</v>
      </c>
      <c r="V70" s="579">
        <f t="shared" si="25"/>
        <v>-3.9564282547011062E-3</v>
      </c>
      <c r="W70" s="580">
        <f t="shared" si="12"/>
        <v>32.817317952883748</v>
      </c>
      <c r="X70" s="581">
        <f t="shared" si="13"/>
        <v>-117.71024355517692</v>
      </c>
      <c r="Y70" s="584">
        <f t="shared" si="14"/>
        <v>62.289756444823084</v>
      </c>
      <c r="AA70" s="147">
        <f t="shared" si="15"/>
        <v>1000000000</v>
      </c>
      <c r="AB70" s="147">
        <f t="shared" si="16"/>
        <v>36309.302500000005</v>
      </c>
      <c r="AD70" s="583">
        <f t="shared" si="17"/>
        <v>34.903890202857774</v>
      </c>
      <c r="AE70" s="584">
        <f t="shared" si="18"/>
        <v>-64.696225894733331</v>
      </c>
      <c r="AG70" s="583">
        <f t="shared" si="19"/>
        <v>57.20766044361315</v>
      </c>
      <c r="AH70" s="584">
        <f t="shared" si="20"/>
        <v>-52.560644378044167</v>
      </c>
      <c r="AJ70" s="147">
        <f t="shared" si="21"/>
        <v>0</v>
      </c>
      <c r="AK70" s="147">
        <f t="shared" si="33"/>
        <v>0</v>
      </c>
      <c r="AM70" s="147" t="str">
        <f t="shared" si="26"/>
        <v>0.0000159728192570263+0.00565202471534819i</v>
      </c>
      <c r="AN70" s="147" t="str">
        <f t="shared" si="27"/>
        <v>0.00565205480846353i</v>
      </c>
      <c r="AO70" s="147" t="str">
        <f t="shared" si="28"/>
        <v>0.999994675721245-0.0028260198809658i</v>
      </c>
      <c r="AP70" s="147" t="str">
        <f t="shared" si="29"/>
        <v>0.166664004530124-0.000942004119224698i</v>
      </c>
      <c r="AQ70" s="147" t="str">
        <f t="shared" si="30"/>
        <v>0.833335995469876+0.000942004119224698i</v>
      </c>
      <c r="AR70" s="147" t="str">
        <f t="shared" si="31"/>
        <v>0.99959552943384-0.00112994411786369i</v>
      </c>
    </row>
    <row r="71" spans="1:44">
      <c r="A71" s="147">
        <v>10</v>
      </c>
      <c r="G71" s="585">
        <v>208.93</v>
      </c>
      <c r="H71" s="573">
        <f t="shared" si="23"/>
        <v>0.20893</v>
      </c>
      <c r="I71" s="574">
        <f t="shared" si="0"/>
        <v>1.755714408453265</v>
      </c>
      <c r="J71" s="575">
        <f t="shared" si="1"/>
        <v>0.96481528024937468</v>
      </c>
      <c r="K71" s="575">
        <f t="shared" si="2"/>
        <v>1.0000006672622384</v>
      </c>
      <c r="L71" s="576">
        <f t="shared" si="3"/>
        <v>1.1552158822735745E-3</v>
      </c>
      <c r="M71" s="575">
        <f t="shared" si="4"/>
        <v>1.0000010313919088</v>
      </c>
      <c r="N71" s="576">
        <f t="shared" si="5"/>
        <v>-1.4362388535897699E-3</v>
      </c>
      <c r="O71" s="574">
        <f t="shared" si="6"/>
        <v>3938.2378411473387</v>
      </c>
      <c r="P71" s="577">
        <f t="shared" si="7"/>
        <v>1.5705424061199444</v>
      </c>
      <c r="Q71" s="586">
        <f t="shared" si="8"/>
        <v>1.1307044113140692</v>
      </c>
      <c r="R71" s="587">
        <f t="shared" si="9"/>
        <v>0.48557991637589737</v>
      </c>
      <c r="S71" s="574">
        <f t="shared" si="10"/>
        <v>1.0000313299116168</v>
      </c>
      <c r="T71" s="577">
        <f t="shared" si="11"/>
        <v>7.9156924737248027E-3</v>
      </c>
      <c r="U71" s="578">
        <f t="shared" si="24"/>
        <v>0.99959379360613398</v>
      </c>
      <c r="V71" s="579">
        <f t="shared" si="25"/>
        <v>-4.3380536764993146E-3</v>
      </c>
      <c r="W71" s="580">
        <f t="shared" si="12"/>
        <v>31.655653953827859</v>
      </c>
      <c r="X71" s="581">
        <f t="shared" si="13"/>
        <v>-118.16180466321536</v>
      </c>
      <c r="Y71" s="584">
        <f t="shared" si="14"/>
        <v>61.838195336784636</v>
      </c>
      <c r="AA71" s="147">
        <f t="shared" si="15"/>
        <v>1000000000</v>
      </c>
      <c r="AB71" s="147">
        <f t="shared" si="16"/>
        <v>43651.744900000005</v>
      </c>
      <c r="AD71" s="583">
        <f t="shared" si="17"/>
        <v>34.266120891692189</v>
      </c>
      <c r="AE71" s="584">
        <f t="shared" si="18"/>
        <v>-62.617307434558356</v>
      </c>
      <c r="AG71" s="583">
        <f t="shared" si="19"/>
        <v>56.683783898159376</v>
      </c>
      <c r="AH71" s="584">
        <f t="shared" si="20"/>
        <v>-55.047392894159735</v>
      </c>
      <c r="AJ71" s="147">
        <f t="shared" si="21"/>
        <v>0</v>
      </c>
      <c r="AK71" s="147">
        <f t="shared" si="33"/>
        <v>0</v>
      </c>
      <c r="AM71" s="147" t="str">
        <f t="shared" si="26"/>
        <v>0.0000192028215409978+0.00619719891028907i</v>
      </c>
      <c r="AN71" s="147" t="str">
        <f t="shared" si="27"/>
        <v>0.00619723857849534i</v>
      </c>
      <c r="AO71" s="147" t="str">
        <f t="shared" si="28"/>
        <v>0.999993599051292-0.00309860937218592i</v>
      </c>
      <c r="AP71" s="147" t="str">
        <f t="shared" si="29"/>
        <v>0.16666346619641-0.00103286648504818i</v>
      </c>
      <c r="AQ71" s="147" t="str">
        <f t="shared" si="30"/>
        <v>0.83333653380359+0.00103286648504818i</v>
      </c>
      <c r="AR71" s="147" t="str">
        <f t="shared" si="31"/>
        <v>0.999594625410224-0.00123893258646434i</v>
      </c>
    </row>
    <row r="72" spans="1:44">
      <c r="A72" s="147">
        <v>11</v>
      </c>
      <c r="G72" s="585">
        <v>229.09</v>
      </c>
      <c r="H72" s="573">
        <f t="shared" si="23"/>
        <v>0.22909000000000002</v>
      </c>
      <c r="I72" s="574">
        <f t="shared" si="0"/>
        <v>1.8718485233113618</v>
      </c>
      <c r="J72" s="575">
        <f t="shared" si="1"/>
        <v>1.0071982255054022</v>
      </c>
      <c r="K72" s="575">
        <f t="shared" si="2"/>
        <v>1.0000008022452873</v>
      </c>
      <c r="L72" s="576">
        <f t="shared" si="3"/>
        <v>1.2666844524706895E-3</v>
      </c>
      <c r="M72" s="575">
        <f t="shared" si="4"/>
        <v>1.000001240036106</v>
      </c>
      <c r="N72" s="576">
        <f t="shared" si="5"/>
        <v>-1.5748236883281741E-3</v>
      </c>
      <c r="O72" s="574">
        <f t="shared" si="6"/>
        <v>4318.2448769187858</v>
      </c>
      <c r="P72" s="577">
        <f t="shared" si="7"/>
        <v>1.5705647512271739</v>
      </c>
      <c r="Q72" s="586">
        <f t="shared" si="8"/>
        <v>1.1553483467087693</v>
      </c>
      <c r="R72" s="587">
        <f t="shared" si="9"/>
        <v>0.52456912796650745</v>
      </c>
      <c r="S72" s="574">
        <f t="shared" si="10"/>
        <v>1.0000376676433267</v>
      </c>
      <c r="T72" s="577">
        <f t="shared" si="11"/>
        <v>8.6794540137615939E-3</v>
      </c>
      <c r="U72" s="578">
        <f t="shared" si="24"/>
        <v>0.9995925381036137</v>
      </c>
      <c r="V72" s="579">
        <f t="shared" si="25"/>
        <v>-4.7566366681076055E-3</v>
      </c>
      <c r="W72" s="580">
        <f t="shared" si="12"/>
        <v>30.486425125060414</v>
      </c>
      <c r="X72" s="581">
        <f t="shared" si="13"/>
        <v>-118.42682855878309</v>
      </c>
      <c r="Y72" s="584">
        <f t="shared" si="14"/>
        <v>61.573171441216914</v>
      </c>
      <c r="AA72" s="147">
        <f t="shared" si="15"/>
        <v>1000000000</v>
      </c>
      <c r="AB72" s="147">
        <f t="shared" si="16"/>
        <v>52482.2281</v>
      </c>
      <c r="AD72" s="583">
        <f t="shared" si="17"/>
        <v>33.653236546327179</v>
      </c>
      <c r="AE72" s="584">
        <f t="shared" si="18"/>
        <v>-60.428430754508234</v>
      </c>
      <c r="AG72" s="583">
        <f t="shared" si="19"/>
        <v>56.127461233946399</v>
      </c>
      <c r="AH72" s="584">
        <f t="shared" si="20"/>
        <v>-57.453327392132572</v>
      </c>
      <c r="AJ72" s="147">
        <f t="shared" si="21"/>
        <v>0</v>
      </c>
      <c r="AK72" s="147">
        <f t="shared" si="33"/>
        <v>0</v>
      </c>
      <c r="AM72" s="147" t="str">
        <f t="shared" si="26"/>
        <v>0.0000230874209059539+0.00679516804670541i</v>
      </c>
      <c r="AN72" s="147" t="str">
        <f t="shared" si="27"/>
        <v>0.00679522034148996i</v>
      </c>
      <c r="AO72" s="147" t="str">
        <f t="shared" si="28"/>
        <v>0.999992304181186-0.00339759709703418i</v>
      </c>
      <c r="AP72" s="147" t="str">
        <f t="shared" si="29"/>
        <v>0.166662818763182-0.00113252800778424i</v>
      </c>
      <c r="AQ72" s="147" t="str">
        <f t="shared" si="30"/>
        <v>0.833337181236818+0.00113252800778424i</v>
      </c>
      <c r="AR72" s="147" t="str">
        <f t="shared" si="31"/>
        <v>0.999593538179547-0.00135847494132963i</v>
      </c>
    </row>
    <row r="73" spans="1:44">
      <c r="A73" s="147">
        <v>12</v>
      </c>
      <c r="G73" s="585">
        <v>251.19</v>
      </c>
      <c r="H73" s="573">
        <f t="shared" si="23"/>
        <v>0.25119000000000002</v>
      </c>
      <c r="I73" s="574">
        <f t="shared" si="0"/>
        <v>2.0025477559268965</v>
      </c>
      <c r="J73" s="575">
        <f t="shared" si="1"/>
        <v>1.047931933648286</v>
      </c>
      <c r="K73" s="575">
        <f t="shared" si="2"/>
        <v>1.000000964494081</v>
      </c>
      <c r="L73" s="576">
        <f t="shared" si="3"/>
        <v>1.3888796246020704E-3</v>
      </c>
      <c r="M73" s="575">
        <f t="shared" si="4"/>
        <v>1.000001490825126</v>
      </c>
      <c r="N73" s="576">
        <f t="shared" si="5"/>
        <v>-1.7267444940117498E-3</v>
      </c>
      <c r="O73" s="574">
        <f t="shared" si="6"/>
        <v>4734.8200521216349</v>
      </c>
      <c r="P73" s="577">
        <f t="shared" si="7"/>
        <v>1.5705851255250645</v>
      </c>
      <c r="Q73" s="586">
        <f t="shared" si="8"/>
        <v>1.1842917477508546</v>
      </c>
      <c r="R73" s="587">
        <f t="shared" si="9"/>
        <v>0.56537729516680213</v>
      </c>
      <c r="S73" s="574">
        <f t="shared" si="10"/>
        <v>1.000045285505788</v>
      </c>
      <c r="T73" s="577">
        <f t="shared" si="11"/>
        <v>9.5167007805353806E-3</v>
      </c>
      <c r="U73" s="578">
        <f t="shared" si="24"/>
        <v>0.99959102900302088</v>
      </c>
      <c r="V73" s="579">
        <f t="shared" si="25"/>
        <v>-5.2154990267734153E-3</v>
      </c>
      <c r="W73" s="580">
        <f t="shared" si="12"/>
        <v>29.315096705105432</v>
      </c>
      <c r="X73" s="581">
        <f t="shared" si="13"/>
        <v>-118.49969446643186</v>
      </c>
      <c r="Y73" s="584">
        <f t="shared" si="14"/>
        <v>61.500305533568138</v>
      </c>
      <c r="AA73" s="147">
        <f t="shared" si="15"/>
        <v>1000000000</v>
      </c>
      <c r="AB73" s="147">
        <f t="shared" si="16"/>
        <v>63096.416100000002</v>
      </c>
      <c r="AD73" s="583">
        <f t="shared" si="17"/>
        <v>33.06816126391989</v>
      </c>
      <c r="AE73" s="584">
        <f t="shared" si="18"/>
        <v>-58.139433069078379</v>
      </c>
      <c r="AG73" s="583">
        <f t="shared" si="19"/>
        <v>55.541234322867183</v>
      </c>
      <c r="AH73" s="584">
        <f t="shared" si="20"/>
        <v>-59.762609232093148</v>
      </c>
      <c r="AJ73" s="147">
        <f t="shared" si="21"/>
        <v>0</v>
      </c>
      <c r="AK73" s="147">
        <f t="shared" si="33"/>
        <v>0</v>
      </c>
      <c r="AM73" s="147" t="str">
        <f t="shared" si="26"/>
        <v>0.0000277566794559814+0.00745067704833839i</v>
      </c>
      <c r="AN73" s="147" t="str">
        <f t="shared" si="27"/>
        <v>0.00745074598445529i</v>
      </c>
      <c r="AO73" s="147" t="str">
        <f t="shared" si="28"/>
        <v>0.999990747756393-0.0037253557581873i</v>
      </c>
      <c r="AP73" s="147" t="str">
        <f t="shared" si="29"/>
        <v>0.166662040553424-0.0012417795080564i</v>
      </c>
      <c r="AQ73" s="147" t="str">
        <f t="shared" si="30"/>
        <v>0.833337959446576+0.0012417795080564i</v>
      </c>
      <c r="AR73" s="147" t="str">
        <f t="shared" si="31"/>
        <v>0.999592231342004-0.00148951951032833i</v>
      </c>
    </row>
    <row r="74" spans="1:44">
      <c r="A74" s="147">
        <v>13</v>
      </c>
      <c r="G74" s="585">
        <v>275.42</v>
      </c>
      <c r="H74" s="573">
        <f t="shared" si="23"/>
        <v>0.27542</v>
      </c>
      <c r="I74" s="574">
        <f t="shared" si="0"/>
        <v>2.1491716739752857</v>
      </c>
      <c r="J74" s="575">
        <f t="shared" si="1"/>
        <v>1.086827857145009</v>
      </c>
      <c r="K74" s="575">
        <f t="shared" si="2"/>
        <v>1.0000011595401217</v>
      </c>
      <c r="L74" s="576">
        <f t="shared" si="3"/>
        <v>1.52285193068165E-3</v>
      </c>
      <c r="M74" s="575">
        <f t="shared" si="4"/>
        <v>1.0000017923090356</v>
      </c>
      <c r="N74" s="576">
        <f t="shared" si="5"/>
        <v>-1.8933073488370106E-3</v>
      </c>
      <c r="O74" s="574">
        <f t="shared" si="6"/>
        <v>5191.5447822884489</v>
      </c>
      <c r="P74" s="577">
        <f t="shared" si="7"/>
        <v>1.5706037058991671</v>
      </c>
      <c r="Q74" s="586">
        <f t="shared" si="8"/>
        <v>1.2181759142599846</v>
      </c>
      <c r="R74" s="587">
        <f t="shared" si="9"/>
        <v>0.60781197898760908</v>
      </c>
      <c r="S74" s="574">
        <f t="shared" si="10"/>
        <v>1.0000544431807543</v>
      </c>
      <c r="T74" s="577">
        <f t="shared" si="11"/>
        <v>1.0434626090013513E-2</v>
      </c>
      <c r="U74" s="578">
        <f t="shared" si="24"/>
        <v>0.9995892148585096</v>
      </c>
      <c r="V74" s="579">
        <f t="shared" si="25"/>
        <v>-5.7185853412894281E-3</v>
      </c>
      <c r="W74" s="580">
        <f t="shared" si="12"/>
        <v>28.146404769726207</v>
      </c>
      <c r="X74" s="581">
        <f t="shared" si="13"/>
        <v>-118.38128828162507</v>
      </c>
      <c r="Y74" s="584">
        <f t="shared" si="14"/>
        <v>61.618711718374925</v>
      </c>
      <c r="AA74" s="147">
        <f t="shared" si="15"/>
        <v>1000000000</v>
      </c>
      <c r="AB74" s="147">
        <f t="shared" si="16"/>
        <v>75856.176400000011</v>
      </c>
      <c r="AD74" s="583">
        <f t="shared" si="17"/>
        <v>32.513245303476204</v>
      </c>
      <c r="AE74" s="584">
        <f t="shared" si="18"/>
        <v>-55.761762601616361</v>
      </c>
      <c r="AG74" s="583">
        <f t="shared" si="19"/>
        <v>54.927489875772238</v>
      </c>
      <c r="AH74" s="584">
        <f t="shared" si="20"/>
        <v>-61.964224069577412</v>
      </c>
      <c r="AJ74" s="147">
        <f t="shared" si="21"/>
        <v>0</v>
      </c>
      <c r="AK74" s="147">
        <f t="shared" si="33"/>
        <v>0</v>
      </c>
      <c r="AM74" s="147" t="str">
        <f t="shared" si="26"/>
        <v>0.0000333697812560096+0.00816936037707734i</v>
      </c>
      <c r="AN74" s="147" t="str">
        <f t="shared" si="27"/>
        <v>0.00816945124821321i</v>
      </c>
      <c r="AO74" s="147" t="str">
        <f t="shared" si="28"/>
        <v>0.999988876714836-0.00408470290624577i</v>
      </c>
      <c r="AP74" s="147" t="str">
        <f t="shared" si="29"/>
        <v>0.166661105036457-0.00136156006284622i</v>
      </c>
      <c r="AQ74" s="147" t="str">
        <f t="shared" si="30"/>
        <v>0.833338894963543+0.00136156006284622i</v>
      </c>
      <c r="AR74" s="147" t="str">
        <f t="shared" si="31"/>
        <v>0.999590660348261-0.00163319236693472i</v>
      </c>
    </row>
    <row r="75" spans="1:44">
      <c r="A75" s="147">
        <v>14</v>
      </c>
      <c r="G75" s="585">
        <v>302</v>
      </c>
      <c r="H75" s="573">
        <f t="shared" si="23"/>
        <v>0.30199999999999999</v>
      </c>
      <c r="I75" s="574">
        <f t="shared" si="0"/>
        <v>2.3132555671579627</v>
      </c>
      <c r="J75" s="575">
        <f t="shared" si="1"/>
        <v>1.1237642226038485</v>
      </c>
      <c r="K75" s="575">
        <f t="shared" si="2"/>
        <v>1.0000013941473178</v>
      </c>
      <c r="L75" s="576">
        <f t="shared" si="3"/>
        <v>1.6698177733467585E-3</v>
      </c>
      <c r="M75" s="575">
        <f t="shared" si="4"/>
        <v>1.0000021549428326</v>
      </c>
      <c r="N75" s="576">
        <f t="shared" si="5"/>
        <v>-2.0760245483919509E-3</v>
      </c>
      <c r="O75" s="574">
        <f t="shared" si="6"/>
        <v>5692.5659696338535</v>
      </c>
      <c r="P75" s="577">
        <f t="shared" si="7"/>
        <v>1.570620659088896</v>
      </c>
      <c r="Q75" s="586">
        <f t="shared" si="8"/>
        <v>1.2577240079832228</v>
      </c>
      <c r="R75" s="587">
        <f t="shared" si="9"/>
        <v>0.65164532461399727</v>
      </c>
      <c r="S75" s="574">
        <f t="shared" si="10"/>
        <v>1.0000654581966413</v>
      </c>
      <c r="T75" s="577">
        <f t="shared" si="11"/>
        <v>1.1441558127666179E-2</v>
      </c>
      <c r="U75" s="578">
        <f t="shared" si="24"/>
        <v>0.99958703276329863</v>
      </c>
      <c r="V75" s="579">
        <f t="shared" si="25"/>
        <v>-6.2704629565159056E-3</v>
      </c>
      <c r="W75" s="580">
        <f t="shared" si="12"/>
        <v>26.984522664059241</v>
      </c>
      <c r="X75" s="581">
        <f t="shared" si="13"/>
        <v>-118.07845338854972</v>
      </c>
      <c r="Y75" s="584">
        <f t="shared" si="14"/>
        <v>61.921546611450282</v>
      </c>
      <c r="AA75" s="147">
        <f t="shared" si="15"/>
        <v>1000000000</v>
      </c>
      <c r="AB75" s="147">
        <f t="shared" si="16"/>
        <v>91204</v>
      </c>
      <c r="AD75" s="583">
        <f t="shared" si="17"/>
        <v>31.990427133166985</v>
      </c>
      <c r="AE75" s="584">
        <f t="shared" si="18"/>
        <v>-53.308961194718115</v>
      </c>
      <c r="AG75" s="583">
        <f t="shared" si="19"/>
        <v>54.288463862910234</v>
      </c>
      <c r="AH75" s="584">
        <f t="shared" si="20"/>
        <v>-64.050950067007562</v>
      </c>
      <c r="AJ75" s="147">
        <f t="shared" si="21"/>
        <v>0</v>
      </c>
      <c r="AK75" s="147">
        <f t="shared" si="33"/>
        <v>0</v>
      </c>
      <c r="AM75" s="147" t="str">
        <f t="shared" si="26"/>
        <v>0.0000401213750730323+0.00895774192650239i</v>
      </c>
      <c r="AN75" s="147" t="str">
        <f t="shared" si="27"/>
        <v>0.00895786172739957i</v>
      </c>
      <c r="AO75" s="147" t="str">
        <f t="shared" si="28"/>
        <v>0.999986626172537-0.00447890091340798i</v>
      </c>
      <c r="AP75" s="147" t="str">
        <f t="shared" si="29"/>
        <v>0.166659979770821-0.0014929569877504i</v>
      </c>
      <c r="AQ75" s="147" t="str">
        <f t="shared" si="30"/>
        <v>0.833340020229179+0.0014929569877504i</v>
      </c>
      <c r="AR75" s="147" t="str">
        <f t="shared" si="31"/>
        <v>0.99958877072483-0.0017907972783067i</v>
      </c>
    </row>
    <row r="76" spans="1:44">
      <c r="A76" s="147">
        <v>15</v>
      </c>
      <c r="G76" s="585">
        <v>331.13</v>
      </c>
      <c r="H76" s="573">
        <f t="shared" si="23"/>
        <v>0.33112999999999998</v>
      </c>
      <c r="I76" s="574">
        <f t="shared" si="0"/>
        <v>2.4962034750634139</v>
      </c>
      <c r="J76" s="575">
        <f t="shared" si="1"/>
        <v>1.1586156007438797</v>
      </c>
      <c r="K76" s="575">
        <f t="shared" si="2"/>
        <v>1.0000016760685564</v>
      </c>
      <c r="L76" s="576">
        <f t="shared" si="3"/>
        <v>1.8308829647921889E-3</v>
      </c>
      <c r="M76" s="575">
        <f t="shared" si="4"/>
        <v>1.0000025907101771</v>
      </c>
      <c r="N76" s="576">
        <f t="shared" si="5"/>
        <v>-2.2762708907346847E-3</v>
      </c>
      <c r="O76" s="574">
        <f t="shared" si="6"/>
        <v>6241.6535252739786</v>
      </c>
      <c r="P76" s="577">
        <f t="shared" si="7"/>
        <v>1.5706361128387343</v>
      </c>
      <c r="Q76" s="586">
        <f t="shared" si="8"/>
        <v>1.3036618106978783</v>
      </c>
      <c r="R76" s="587">
        <f t="shared" si="9"/>
        <v>0.69653453585532143</v>
      </c>
      <c r="S76" s="574">
        <f t="shared" si="10"/>
        <v>1.0000786944917142</v>
      </c>
      <c r="T76" s="577">
        <f t="shared" si="11"/>
        <v>1.2545065274821784E-2</v>
      </c>
      <c r="U76" s="578">
        <f t="shared" si="24"/>
        <v>0.99958441061463921</v>
      </c>
      <c r="V76" s="579">
        <f t="shared" si="25"/>
        <v>-6.8752837865248169E-3</v>
      </c>
      <c r="W76" s="580">
        <f t="shared" si="12"/>
        <v>25.835023953745008</v>
      </c>
      <c r="X76" s="581">
        <f t="shared" si="13"/>
        <v>-117.60433824818907</v>
      </c>
      <c r="Y76" s="584">
        <f t="shared" si="14"/>
        <v>62.395661751810934</v>
      </c>
      <c r="AA76" s="147">
        <f t="shared" si="15"/>
        <v>1000000000</v>
      </c>
      <c r="AB76" s="147">
        <f t="shared" si="16"/>
        <v>109647.0769</v>
      </c>
      <c r="AD76" s="583">
        <f t="shared" si="17"/>
        <v>31.502072322718373</v>
      </c>
      <c r="AE76" s="584">
        <f t="shared" si="18"/>
        <v>-50.801110578891318</v>
      </c>
      <c r="AG76" s="583">
        <f t="shared" si="19"/>
        <v>53.627365533311121</v>
      </c>
      <c r="AH76" s="584">
        <f t="shared" si="20"/>
        <v>-66.015378180552304</v>
      </c>
      <c r="AJ76" s="147">
        <f t="shared" si="21"/>
        <v>0</v>
      </c>
      <c r="AK76" s="147">
        <f t="shared" si="33"/>
        <v>0</v>
      </c>
      <c r="AM76" s="147" t="str">
        <f t="shared" si="26"/>
        <v>0.0000482345681039886+0.00982175186174101i</v>
      </c>
      <c r="AN76" s="147" t="str">
        <f t="shared" si="27"/>
        <v>0.00982190978077423i</v>
      </c>
      <c r="AO76" s="147" t="str">
        <f t="shared" si="28"/>
        <v>0.99998392175893-0.00491091541060627i</v>
      </c>
      <c r="AP76" s="147" t="str">
        <f t="shared" si="29"/>
        <v>0.166658627571983-0.0016369586436235i</v>
      </c>
      <c r="AQ76" s="147" t="str">
        <f t="shared" si="30"/>
        <v>0.833341372428017+0.0016369586436235i</v>
      </c>
      <c r="AR76" s="147" t="str">
        <f t="shared" si="31"/>
        <v>0.999586500035762-0.00196351917163964i</v>
      </c>
    </row>
    <row r="77" spans="1:44">
      <c r="A77" s="147">
        <v>16</v>
      </c>
      <c r="G77" s="585">
        <v>363.08</v>
      </c>
      <c r="H77" s="573">
        <f t="shared" si="23"/>
        <v>0.36307999999999996</v>
      </c>
      <c r="I77" s="574">
        <f t="shared" ref="I77:I140" si="34">SQRT(1+(G77/pole1)^2)</f>
        <v>2.6998506377094715</v>
      </c>
      <c r="J77" s="575">
        <f t="shared" ref="J77:J140" si="35">ATAN(G77/pole1)</f>
        <v>1.1913665530738662</v>
      </c>
      <c r="K77" s="575">
        <f t="shared" ref="K77:K140" si="36">SQRT(1+(G77/Zero1)^2)</f>
        <v>1.0000020151125155</v>
      </c>
      <c r="L77" s="576">
        <f t="shared" ref="L77:L140" si="37">ATAN(G77/Zero1)</f>
        <v>2.0075403515308421E-3</v>
      </c>
      <c r="M77" s="575">
        <f t="shared" ref="M77:M140" si="38">SQRT(1+(G77/z_RHP)^2)</f>
        <v>1.0000031147723634</v>
      </c>
      <c r="N77" s="576">
        <f t="shared" ref="N77:N140" si="39">-ATAN(G77/z_RHP)</f>
        <v>-2.4959023533396769E-3</v>
      </c>
      <c r="O77" s="574">
        <f t="shared" ref="O77:O140" si="40">SQRT(1+(G77/Pole2)^2)</f>
        <v>6843.8968292297941</v>
      </c>
      <c r="P77" s="577">
        <f t="shared" ref="P77:P140" si="41">ATAN(G77/Pole2)</f>
        <v>1.5706502112077523</v>
      </c>
      <c r="Q77" s="586">
        <f t="shared" ref="Q77:Q140" si="42">SQRT(1+(G77/Zero2)^2)</f>
        <v>1.3568491802558409</v>
      </c>
      <c r="R77" s="587">
        <f t="shared" ref="R77:R140" si="43">ATAN(G77/Zero2)</f>
        <v>0.74217300168715938</v>
      </c>
      <c r="S77" s="574">
        <f t="shared" ref="S77:S140" si="44">SQRT(1+(G77/pole4)^2)</f>
        <v>1.000094612490259</v>
      </c>
      <c r="T77" s="577">
        <f t="shared" ref="T77:T140" si="45">ATAN(G77/pole4)</f>
        <v>1.3755364863092368E-2</v>
      </c>
      <c r="U77" s="578">
        <f t="shared" si="24"/>
        <v>0.99958125719261615</v>
      </c>
      <c r="V77" s="579">
        <f t="shared" si="25"/>
        <v>-7.5386529165247769E-3</v>
      </c>
      <c r="W77" s="580">
        <f t="shared" ref="W77:W140" si="46">20*LOG10(((K77*Q77*M77*U77)/(I77*O77*S77))*Adc)</f>
        <v>24.70092742277226</v>
      </c>
      <c r="X77" s="581">
        <f t="shared" ref="X77:X140" si="47">((L77+R77+N77+V77)-(J77+P77+T77))*radconv</f>
        <v>-116.97656143537874</v>
      </c>
      <c r="Y77" s="584">
        <f t="shared" ref="Y77:Y140" si="48">IF(X77&gt;0,X77,X77+180)</f>
        <v>63.023438564621259</v>
      </c>
      <c r="AA77" s="147">
        <f t="shared" ref="AA77:AA140" si="49">IF(W77&lt;0,G77,1000000000)</f>
        <v>1000000000</v>
      </c>
      <c r="AB77" s="147">
        <f t="shared" ref="AB77:AB140" si="50">G77^2</f>
        <v>131827.0864</v>
      </c>
      <c r="AD77" s="583">
        <f t="shared" ref="AD77:AD140" si="51">20*LOG10((Q77/(O77*S77))*Aea)</f>
        <v>31.049190799549304</v>
      </c>
      <c r="AE77" s="584">
        <f t="shared" ref="AE77:AE140" si="52">(R77-(P77+T77))*radconv</f>
        <v>-48.256371935764278</v>
      </c>
      <c r="AG77" s="583">
        <f t="shared" ref="AG77:AG140" si="53">20*LOG10((K77*M77/(I77*U77))*Acs*Am)</f>
        <v>52.946205328920925</v>
      </c>
      <c r="AH77" s="584">
        <f t="shared" ref="AH77:AH140" si="54">(L77+N77-(J77+V77))*radconv</f>
        <v>-67.856323507965627</v>
      </c>
      <c r="AJ77" s="147">
        <f t="shared" ref="AJ77:AJ140" si="55">SUM((W78&lt;0)*(W77&gt;0))*G77</f>
        <v>0</v>
      </c>
      <c r="AK77" s="147">
        <f t="shared" si="33"/>
        <v>0</v>
      </c>
      <c r="AM77" s="147" t="str">
        <f t="shared" si="26"/>
        <v>0.0000579916256430169+0.0107693959095752i</v>
      </c>
      <c r="AN77" s="147" t="str">
        <f t="shared" si="27"/>
        <v>0.010769604092663i</v>
      </c>
      <c r="AO77" s="147" t="str">
        <f t="shared" si="28"/>
        <v>0.999980669383386-0.00538475000046889i</v>
      </c>
      <c r="AP77" s="147" t="str">
        <f t="shared" si="29"/>
        <v>0.166657001395726-0.00179489931826253i</v>
      </c>
      <c r="AQ77" s="147" t="str">
        <f t="shared" si="30"/>
        <v>0.833342998604274+0.00179489931826253i</v>
      </c>
      <c r="AR77" s="147" t="str">
        <f t="shared" si="31"/>
        <v>0.99958376929168-0.00215295770055411i</v>
      </c>
    </row>
    <row r="78" spans="1:44">
      <c r="A78" s="147">
        <v>17</v>
      </c>
      <c r="G78" s="585">
        <v>398.11</v>
      </c>
      <c r="H78" s="573">
        <f t="shared" ref="H78:H141" si="56">G78/1000</f>
        <v>0.39811000000000002</v>
      </c>
      <c r="I78" s="574">
        <f t="shared" si="34"/>
        <v>2.9259699392555336</v>
      </c>
      <c r="J78" s="575">
        <f t="shared" si="35"/>
        <v>1.2219998411404134</v>
      </c>
      <c r="K78" s="575">
        <f t="shared" si="36"/>
        <v>1.0000024227060931</v>
      </c>
      <c r="L78" s="576">
        <f t="shared" si="37"/>
        <v>2.2012274765245139E-3</v>
      </c>
      <c r="M78" s="575">
        <f t="shared" si="38"/>
        <v>1.000003744791959</v>
      </c>
      <c r="N78" s="576">
        <f t="shared" si="39"/>
        <v>-2.7367061489089661E-3</v>
      </c>
      <c r="O78" s="574">
        <f t="shared" si="40"/>
        <v>7504.1967659783841</v>
      </c>
      <c r="P78" s="577">
        <f t="shared" si="41"/>
        <v>1.5706630680286162</v>
      </c>
      <c r="Q78" s="586">
        <f t="shared" si="42"/>
        <v>1.4181521974911073</v>
      </c>
      <c r="R78" s="587">
        <f t="shared" si="43"/>
        <v>0.78817162163939813</v>
      </c>
      <c r="S78" s="574">
        <f t="shared" si="44"/>
        <v>1.0001137485418501</v>
      </c>
      <c r="T78" s="577">
        <f t="shared" si="45"/>
        <v>1.5082291644239496E-2</v>
      </c>
      <c r="U78" s="578">
        <f t="shared" ref="U78:U141" si="57">IMABS(IMPRODUCT(AO78, AR78))</f>
        <v>0.999577466231798</v>
      </c>
      <c r="V78" s="579">
        <f t="shared" ref="V78:V141" si="58">IMARGUMENT(IMPRODUCT(AO78, AR78))</f>
        <v>-8.2659675007095718E-3</v>
      </c>
      <c r="W78" s="580">
        <f t="shared" si="46"/>
        <v>23.585945001500189</v>
      </c>
      <c r="X78" s="581">
        <f t="shared" si="47"/>
        <v>-116.21732835492013</v>
      </c>
      <c r="Y78" s="584">
        <f t="shared" si="48"/>
        <v>63.782671645079873</v>
      </c>
      <c r="AA78" s="147">
        <f t="shared" si="49"/>
        <v>1000000000</v>
      </c>
      <c r="AB78" s="147">
        <f t="shared" si="50"/>
        <v>158491.57210000002</v>
      </c>
      <c r="AD78" s="583">
        <f t="shared" si="51"/>
        <v>30.632834734865835</v>
      </c>
      <c r="AE78" s="584">
        <f t="shared" si="52"/>
        <v>-45.697609092006992</v>
      </c>
      <c r="AG78" s="583">
        <f t="shared" si="53"/>
        <v>52.247644855779996</v>
      </c>
      <c r="AH78" s="584">
        <f t="shared" si="54"/>
        <v>-69.572509159064865</v>
      </c>
      <c r="AJ78" s="147">
        <f t="shared" si="55"/>
        <v>0</v>
      </c>
      <c r="AK78" s="147">
        <f t="shared" si="33"/>
        <v>0</v>
      </c>
      <c r="AM78" s="147" t="str">
        <f t="shared" ref="AM78:AM141" si="59">IMSUB(1,IMEXP(COMPLEX(0,-2*Pi*G78*Tsw)))</f>
        <v>0.0000697213766840399+0.0118083822895768i</v>
      </c>
      <c r="AN78" s="147" t="str">
        <f t="shared" ref="AN78:AN141" si="60">COMPLEX(0, 2*Pi*G78*Tsw)</f>
        <v>0.0118086567294538i</v>
      </c>
      <c r="AO78" s="147" t="str">
        <f t="shared" ref="AO78:AO141" si="61">IMDIV(AM78, AN78)</f>
        <v>0.999976759433076-0.00590425975463721i</v>
      </c>
      <c r="AP78" s="147" t="str">
        <f t="shared" ref="AP78:AP141" si="62">IMDIV(IMEXP(COMPLEX(0,-2*Pi*G78*Tsw)),6)</f>
        <v>0.166655046437219-0.00196806371492947i</v>
      </c>
      <c r="AQ78" s="147" t="str">
        <f t="shared" ref="AQ78:AQ141" si="63">IMSUB(1, AP78)</f>
        <v>0.833344953562781+0.00196806371492947i</v>
      </c>
      <c r="AR78" s="147" t="str">
        <f t="shared" ref="AR78:AR141" si="64">IMDIV(0.833, AQ78)</f>
        <v>0.999580486476367-0.00236065278511041i</v>
      </c>
    </row>
    <row r="79" spans="1:44">
      <c r="A79" s="147">
        <v>18</v>
      </c>
      <c r="G79" s="585">
        <v>436.52</v>
      </c>
      <c r="H79" s="573">
        <f t="shared" si="56"/>
        <v>0.43651999999999996</v>
      </c>
      <c r="I79" s="574">
        <f t="shared" si="34"/>
        <v>3.1765903960419939</v>
      </c>
      <c r="J79" s="575">
        <f t="shared" si="35"/>
        <v>1.2505472943182452</v>
      </c>
      <c r="K79" s="575">
        <f t="shared" si="36"/>
        <v>1.0000029127468746</v>
      </c>
      <c r="L79" s="576">
        <f t="shared" si="37"/>
        <v>2.4136030346879377E-3</v>
      </c>
      <c r="M79" s="575">
        <f t="shared" si="38"/>
        <v>1.0000045022504578</v>
      </c>
      <c r="N79" s="576">
        <f t="shared" si="39"/>
        <v>-3.0007444296052642E-3</v>
      </c>
      <c r="O79" s="574">
        <f t="shared" si="40"/>
        <v>8228.2082022345712</v>
      </c>
      <c r="P79" s="577">
        <f t="shared" si="41"/>
        <v>1.5706747936520928</v>
      </c>
      <c r="Q79" s="586">
        <f t="shared" si="42"/>
        <v>1.4885168510776476</v>
      </c>
      <c r="R79" s="587">
        <f t="shared" si="43"/>
        <v>0.8341471405104921</v>
      </c>
      <c r="S79" s="574">
        <f t="shared" si="44"/>
        <v>1.0001367549208393</v>
      </c>
      <c r="T79" s="577">
        <f t="shared" si="45"/>
        <v>1.6537190676421551E-2</v>
      </c>
      <c r="U79" s="578">
        <f t="shared" si="57"/>
        <v>0.99957290849513336</v>
      </c>
      <c r="V79" s="579">
        <f t="shared" si="58"/>
        <v>-9.0634548038781501E-3</v>
      </c>
      <c r="W79" s="580">
        <f t="shared" si="46"/>
        <v>22.492486335477363</v>
      </c>
      <c r="X79" s="581">
        <f t="shared" si="47"/>
        <v>-115.35145786017526</v>
      </c>
      <c r="Y79" s="584">
        <f t="shared" si="48"/>
        <v>64.648542139824741</v>
      </c>
      <c r="AA79" s="147">
        <f t="shared" si="49"/>
        <v>1000000000</v>
      </c>
      <c r="AB79" s="147">
        <f t="shared" si="50"/>
        <v>190549.71039999998</v>
      </c>
      <c r="AD79" s="583">
        <f t="shared" si="51"/>
        <v>30.253232009439657</v>
      </c>
      <c r="AE79" s="584">
        <f t="shared" si="52"/>
        <v>-43.147437299754316</v>
      </c>
      <c r="AG79" s="583">
        <f t="shared" si="53"/>
        <v>51.53386812482794</v>
      </c>
      <c r="AH79" s="584">
        <f t="shared" si="54"/>
        <v>-71.165425143094581</v>
      </c>
      <c r="AJ79" s="147">
        <f t="shared" si="55"/>
        <v>0</v>
      </c>
      <c r="AK79" s="147">
        <f t="shared" si="33"/>
        <v>0</v>
      </c>
      <c r="AM79" s="147" t="str">
        <f t="shared" si="59"/>
        <v>0.0000838237436410205+0.0129476044449306i</v>
      </c>
      <c r="AN79" s="147" t="str">
        <f t="shared" si="60"/>
        <v>0.0129479662292863i</v>
      </c>
      <c r="AO79" s="147" t="str">
        <f t="shared" si="61"/>
        <v>0.999972058595976-0.00647389266828825i</v>
      </c>
      <c r="AP79" s="147" t="str">
        <f t="shared" si="62"/>
        <v>0.166652696042727-0.0021579340741551i</v>
      </c>
      <c r="AQ79" s="147" t="str">
        <f t="shared" si="63"/>
        <v>0.833347303957273+0.0021579340741551i</v>
      </c>
      <c r="AR79" s="147" t="str">
        <f t="shared" si="64"/>
        <v>0.999576539683976-0.00258838093609611i</v>
      </c>
    </row>
    <row r="80" spans="1:44">
      <c r="A80" s="147">
        <v>19</v>
      </c>
      <c r="G80" s="585">
        <v>478.63</v>
      </c>
      <c r="H80" s="573">
        <f t="shared" si="56"/>
        <v>0.47863</v>
      </c>
      <c r="I80" s="574">
        <f t="shared" si="34"/>
        <v>3.4538738094251484</v>
      </c>
      <c r="J80" s="575">
        <f t="shared" si="35"/>
        <v>1.2770605823545991</v>
      </c>
      <c r="K80" s="575">
        <f t="shared" si="36"/>
        <v>1.0000035018227222</v>
      </c>
      <c r="L80" s="576">
        <f t="shared" si="37"/>
        <v>2.6464362842892318E-3</v>
      </c>
      <c r="M80" s="575">
        <f t="shared" si="38"/>
        <v>1.0000054127876878</v>
      </c>
      <c r="N80" s="576">
        <f t="shared" si="39"/>
        <v>-3.2902167930638831E-3</v>
      </c>
      <c r="O80" s="574">
        <f t="shared" si="40"/>
        <v>9021.9629958373134</v>
      </c>
      <c r="P80" s="577">
        <f t="shared" si="41"/>
        <v>1.5706854861715744</v>
      </c>
      <c r="Q80" s="586">
        <f t="shared" si="42"/>
        <v>1.5689306101595177</v>
      </c>
      <c r="R80" s="587">
        <f t="shared" si="43"/>
        <v>0.87970716263138671</v>
      </c>
      <c r="S80" s="574">
        <f t="shared" si="44"/>
        <v>1.0001644101013525</v>
      </c>
      <c r="T80" s="577">
        <f t="shared" si="45"/>
        <v>1.8132158114492904E-2</v>
      </c>
      <c r="U80" s="578">
        <f t="shared" si="57"/>
        <v>0.99956742973528956</v>
      </c>
      <c r="V80" s="579">
        <f t="shared" si="58"/>
        <v>-9.937756819260516E-3</v>
      </c>
      <c r="W80" s="580">
        <f t="shared" si="46"/>
        <v>21.422390857849738</v>
      </c>
      <c r="X80" s="581">
        <f t="shared" si="47"/>
        <v>-114.40549691912371</v>
      </c>
      <c r="Y80" s="584">
        <f t="shared" si="48"/>
        <v>65.594503080876294</v>
      </c>
      <c r="AA80" s="147">
        <f t="shared" si="49"/>
        <v>1000000000</v>
      </c>
      <c r="AB80" s="147">
        <f t="shared" si="50"/>
        <v>229086.67689999999</v>
      </c>
      <c r="AD80" s="583">
        <f t="shared" si="51"/>
        <v>29.910076067139965</v>
      </c>
      <c r="AE80" s="584">
        <f t="shared" si="52"/>
        <v>-40.629037853727631</v>
      </c>
      <c r="AG80" s="583">
        <f t="shared" si="53"/>
        <v>50.807023806233822</v>
      </c>
      <c r="AH80" s="584">
        <f t="shared" si="54"/>
        <v>-72.637676016952852</v>
      </c>
      <c r="AJ80" s="147">
        <f t="shared" si="55"/>
        <v>0</v>
      </c>
      <c r="AK80" s="147">
        <f t="shared" si="33"/>
        <v>0</v>
      </c>
      <c r="AM80" s="147" t="str">
        <f t="shared" si="59"/>
        <v>0.000100776057746055+0.0141965474562564i</v>
      </c>
      <c r="AN80" s="147" t="str">
        <f t="shared" si="60"/>
        <v>0.0141970243661763i</v>
      </c>
      <c r="AO80" s="147" t="str">
        <f t="shared" si="61"/>
        <v>0.999966407755062-0.00709839295522722i</v>
      </c>
      <c r="AP80" s="147" t="str">
        <f t="shared" si="62"/>
        <v>0.166649870657042-0.0023660912427094i</v>
      </c>
      <c r="AQ80" s="147" t="str">
        <f t="shared" si="63"/>
        <v>0.833350129342958+0.0023660912427094i</v>
      </c>
      <c r="AR80" s="147" t="str">
        <f t="shared" si="64"/>
        <v>0.999571795355079-0.00283803648451303i</v>
      </c>
    </row>
    <row r="81" spans="1:44">
      <c r="A81" s="147">
        <v>20</v>
      </c>
      <c r="G81" s="585">
        <v>524.80999999999995</v>
      </c>
      <c r="H81" s="573">
        <f t="shared" si="56"/>
        <v>0.52481</v>
      </c>
      <c r="I81" s="574">
        <f t="shared" si="34"/>
        <v>3.760315672388955</v>
      </c>
      <c r="J81" s="575">
        <f t="shared" si="35"/>
        <v>1.3016224833457652</v>
      </c>
      <c r="K81" s="575">
        <f t="shared" si="36"/>
        <v>1.0000042101577975</v>
      </c>
      <c r="L81" s="576">
        <f t="shared" si="37"/>
        <v>2.9017729154044046E-3</v>
      </c>
      <c r="M81" s="575">
        <f t="shared" si="38"/>
        <v>1.000006507664063</v>
      </c>
      <c r="N81" s="576">
        <f t="shared" si="39"/>
        <v>-3.6076664956164553E-3</v>
      </c>
      <c r="O81" s="574">
        <f t="shared" si="40"/>
        <v>9892.4354824226702</v>
      </c>
      <c r="P81" s="577">
        <f t="shared" si="41"/>
        <v>1.5706952394536164</v>
      </c>
      <c r="Q81" s="586">
        <f t="shared" si="42"/>
        <v>1.6604755841818513</v>
      </c>
      <c r="R81" s="587">
        <f t="shared" si="43"/>
        <v>0.92449590111198898</v>
      </c>
      <c r="S81" s="574">
        <f t="shared" si="44"/>
        <v>1.0001976631207825</v>
      </c>
      <c r="T81" s="577">
        <f t="shared" si="45"/>
        <v>1.9881175385221474E-2</v>
      </c>
      <c r="U81" s="578">
        <f t="shared" si="57"/>
        <v>0.99956084190155003</v>
      </c>
      <c r="V81" s="579">
        <f t="shared" si="58"/>
        <v>-1.0896552967556669E-2</v>
      </c>
      <c r="W81" s="580">
        <f t="shared" si="46"/>
        <v>20.376235177316765</v>
      </c>
      <c r="X81" s="581">
        <f t="shared" si="47"/>
        <v>-113.40584841630212</v>
      </c>
      <c r="Y81" s="584">
        <f t="shared" si="48"/>
        <v>66.594151583697879</v>
      </c>
      <c r="AA81" s="147">
        <f t="shared" si="49"/>
        <v>1000000000</v>
      </c>
      <c r="AB81" s="147">
        <f t="shared" si="50"/>
        <v>275425.53609999997</v>
      </c>
      <c r="AD81" s="583">
        <f t="shared" si="51"/>
        <v>29.6023187426578</v>
      </c>
      <c r="AE81" s="584">
        <f t="shared" si="52"/>
        <v>-38.163602296062415</v>
      </c>
      <c r="AG81" s="583">
        <f t="shared" si="53"/>
        <v>50.068739942479738</v>
      </c>
      <c r="AH81" s="584">
        <f t="shared" si="54"/>
        <v>-73.993593126249408</v>
      </c>
      <c r="AJ81" s="147">
        <f t="shared" si="55"/>
        <v>0</v>
      </c>
      <c r="AK81" s="147">
        <f t="shared" si="33"/>
        <v>0</v>
      </c>
      <c r="AM81" s="147" t="str">
        <f t="shared" si="59"/>
        <v>0.000121160277866017+0.0155661773059044i</v>
      </c>
      <c r="AN81" s="147" t="str">
        <f t="shared" si="60"/>
        <v>0.0155668060038297i</v>
      </c>
      <c r="AO81" s="147" t="str">
        <f t="shared" si="61"/>
        <v>0.999959612914483-0.0077832458268067i</v>
      </c>
      <c r="AP81" s="147" t="str">
        <f t="shared" si="62"/>
        <v>0.166646473287022-0.0025943628843174i</v>
      </c>
      <c r="AQ81" s="147" t="str">
        <f t="shared" si="63"/>
        <v>0.833353526712978+0.0025943628843174i</v>
      </c>
      <c r="AR81" s="147" t="str">
        <f t="shared" si="64"/>
        <v>0.999566090664211-0.00311180919371645i</v>
      </c>
    </row>
    <row r="82" spans="1:44">
      <c r="A82" s="147">
        <v>21</v>
      </c>
      <c r="G82" s="585">
        <v>575.44000000000005</v>
      </c>
      <c r="H82" s="573">
        <f t="shared" si="56"/>
        <v>0.57544000000000006</v>
      </c>
      <c r="I82" s="574">
        <f t="shared" si="34"/>
        <v>4.0984843415548493</v>
      </c>
      <c r="J82" s="575">
        <f t="shared" si="35"/>
        <v>1.3243155280488523</v>
      </c>
      <c r="K82" s="575">
        <f t="shared" si="36"/>
        <v>1.0000050616729403</v>
      </c>
      <c r="L82" s="576">
        <f t="shared" si="37"/>
        <v>3.181713874619956E-3</v>
      </c>
      <c r="M82" s="575">
        <f t="shared" si="38"/>
        <v>1.000007823853885</v>
      </c>
      <c r="N82" s="576">
        <f t="shared" si="39"/>
        <v>-3.9557054679694465E-3</v>
      </c>
      <c r="O82" s="574">
        <f t="shared" si="40"/>
        <v>10846.788493192595</v>
      </c>
      <c r="P82" s="577">
        <f t="shared" si="41"/>
        <v>1.570704133607757</v>
      </c>
      <c r="Q82" s="586">
        <f t="shared" si="42"/>
        <v>1.7642488568866608</v>
      </c>
      <c r="R82" s="587">
        <f t="shared" si="43"/>
        <v>0.96816352303927045</v>
      </c>
      <c r="S82" s="574">
        <f t="shared" si="44"/>
        <v>1.0002376363427499</v>
      </c>
      <c r="T82" s="577">
        <f t="shared" si="45"/>
        <v>2.1798591380991408E-2</v>
      </c>
      <c r="U82" s="578">
        <f t="shared" si="57"/>
        <v>0.99955292258606454</v>
      </c>
      <c r="V82" s="579">
        <f t="shared" si="58"/>
        <v>-1.1947729381215346E-2</v>
      </c>
      <c r="W82" s="580">
        <f t="shared" si="46"/>
        <v>19.354446662083792</v>
      </c>
      <c r="X82" s="581">
        <f t="shared" si="47"/>
        <v>-112.37859280550614</v>
      </c>
      <c r="Y82" s="584">
        <f t="shared" si="48"/>
        <v>67.621407194493855</v>
      </c>
      <c r="AA82" s="147">
        <f t="shared" si="49"/>
        <v>1000000000</v>
      </c>
      <c r="AB82" s="147">
        <f t="shared" si="50"/>
        <v>331131.19360000006</v>
      </c>
      <c r="AD82" s="583">
        <f t="shared" si="51"/>
        <v>29.328559724091605</v>
      </c>
      <c r="AE82" s="584">
        <f t="shared" si="52"/>
        <v>-35.772001297146538</v>
      </c>
      <c r="AG82" s="583">
        <f t="shared" si="53"/>
        <v>49.320848079401486</v>
      </c>
      <c r="AH82" s="584">
        <f t="shared" si="54"/>
        <v>-75.237482570179026</v>
      </c>
      <c r="AJ82" s="147">
        <f t="shared" si="55"/>
        <v>0</v>
      </c>
      <c r="AK82" s="147">
        <f t="shared" si="33"/>
        <v>0</v>
      </c>
      <c r="AM82" s="147" t="str">
        <f t="shared" si="59"/>
        <v>0.000145664719888972+0.0170677538524061i</v>
      </c>
      <c r="AN82" s="147" t="str">
        <f t="shared" si="60"/>
        <v>0.0170685826238901i</v>
      </c>
      <c r="AO82" s="147" t="str">
        <f t="shared" si="61"/>
        <v>0.999951444621837-0.0085340841180973i</v>
      </c>
      <c r="AP82" s="147" t="str">
        <f t="shared" si="62"/>
        <v>0.166642389213352-0.00284462564206768i</v>
      </c>
      <c r="AQ82" s="147" t="str">
        <f t="shared" si="63"/>
        <v>0.833357610786648+0.00284462564206768i</v>
      </c>
      <c r="AR82" s="147" t="str">
        <f t="shared" si="64"/>
        <v>0.999559233043267-0.00341194679004177i</v>
      </c>
    </row>
    <row r="83" spans="1:44">
      <c r="A83" s="147">
        <v>22</v>
      </c>
      <c r="G83" s="585">
        <v>630.96</v>
      </c>
      <c r="H83" s="573">
        <f t="shared" si="56"/>
        <v>0.63096000000000008</v>
      </c>
      <c r="I83" s="574">
        <f t="shared" si="34"/>
        <v>4.4713551621054037</v>
      </c>
      <c r="J83" s="575">
        <f t="shared" si="35"/>
        <v>1.3452428598880741</v>
      </c>
      <c r="K83" s="575">
        <f t="shared" si="36"/>
        <v>1.0000060855161392</v>
      </c>
      <c r="L83" s="576">
        <f t="shared" si="37"/>
        <v>3.4886918116040946E-3</v>
      </c>
      <c r="M83" s="575">
        <f t="shared" si="38"/>
        <v>1.000009406410953</v>
      </c>
      <c r="N83" s="576">
        <f t="shared" si="39"/>
        <v>-4.3373580022714655E-3</v>
      </c>
      <c r="O83" s="574">
        <f t="shared" si="40"/>
        <v>11893.315832704422</v>
      </c>
      <c r="P83" s="577">
        <f t="shared" si="41"/>
        <v>1.5707122459535867</v>
      </c>
      <c r="Q83" s="586">
        <f t="shared" si="42"/>
        <v>1.8814604557827928</v>
      </c>
      <c r="R83" s="587">
        <f t="shared" si="43"/>
        <v>1.0104235446678709</v>
      </c>
      <c r="S83" s="574">
        <f t="shared" si="44"/>
        <v>1.0002856972013054</v>
      </c>
      <c r="T83" s="577">
        <f t="shared" si="45"/>
        <v>2.390101248099508E-2</v>
      </c>
      <c r="U83" s="578">
        <f t="shared" si="57"/>
        <v>0.99954340080124138</v>
      </c>
      <c r="V83" s="579">
        <f t="shared" si="58"/>
        <v>-1.3100416714745999E-2</v>
      </c>
      <c r="W83" s="580">
        <f t="shared" si="46"/>
        <v>18.356320868189581</v>
      </c>
      <c r="X83" s="581">
        <f t="shared" si="47"/>
        <v>-111.34756703127495</v>
      </c>
      <c r="Y83" s="584">
        <f t="shared" si="48"/>
        <v>68.652432968725051</v>
      </c>
      <c r="AA83" s="147">
        <f t="shared" si="49"/>
        <v>1000000000</v>
      </c>
      <c r="AB83" s="147">
        <f t="shared" si="50"/>
        <v>398110.52160000004</v>
      </c>
      <c r="AD83" s="583">
        <f t="shared" si="51"/>
        <v>29.086811779908</v>
      </c>
      <c r="AE83" s="584">
        <f t="shared" si="52"/>
        <v>-33.471605072035025</v>
      </c>
      <c r="AG83" s="583">
        <f t="shared" si="53"/>
        <v>48.56463571480765</v>
      </c>
      <c r="AH83" s="584">
        <f t="shared" si="54"/>
        <v>-76.37476478228939</v>
      </c>
      <c r="AJ83" s="147">
        <f t="shared" si="55"/>
        <v>0</v>
      </c>
      <c r="AK83" s="147">
        <f t="shared" si="33"/>
        <v>0</v>
      </c>
      <c r="AM83" s="147" t="str">
        <f t="shared" si="59"/>
        <v>0.000175128088055976+0.0187143128718173i</v>
      </c>
      <c r="AN83" s="147" t="str">
        <f t="shared" si="60"/>
        <v>0.0187154054156292i</v>
      </c>
      <c r="AO83" s="147" t="str">
        <f t="shared" si="61"/>
        <v>0.999941623289069-0.00935742957027941i</v>
      </c>
      <c r="AP83" s="147" t="str">
        <f t="shared" si="62"/>
        <v>0.166637478651991-0.00311905214530288i</v>
      </c>
      <c r="AQ83" s="147" t="str">
        <f t="shared" si="63"/>
        <v>0.833362521348009+0.00311905214530288i</v>
      </c>
      <c r="AR83" s="147" t="str">
        <f t="shared" si="64"/>
        <v>0.999550987869723-0.00374105095104553i</v>
      </c>
    </row>
    <row r="84" spans="1:44">
      <c r="A84" s="147">
        <v>23</v>
      </c>
      <c r="G84" s="585">
        <v>691.83</v>
      </c>
      <c r="H84" s="573">
        <f t="shared" si="56"/>
        <v>0.69183000000000006</v>
      </c>
      <c r="I84" s="574">
        <f t="shared" si="34"/>
        <v>4.882045936737395</v>
      </c>
      <c r="J84" s="575">
        <f t="shared" si="35"/>
        <v>1.3645041014154304</v>
      </c>
      <c r="K84" s="575">
        <f t="shared" si="36"/>
        <v>1.0000073163129977</v>
      </c>
      <c r="L84" s="576">
        <f t="shared" si="37"/>
        <v>3.8252498979546379E-3</v>
      </c>
      <c r="M84" s="575">
        <f t="shared" si="38"/>
        <v>1.0000113088556553</v>
      </c>
      <c r="N84" s="576">
        <f t="shared" si="39"/>
        <v>-4.7557857565413498E-3</v>
      </c>
      <c r="O84" s="574">
        <f t="shared" si="40"/>
        <v>13040.688296638535</v>
      </c>
      <c r="P84" s="577">
        <f t="shared" si="41"/>
        <v>1.5707196437258566</v>
      </c>
      <c r="Q84" s="586">
        <f t="shared" si="42"/>
        <v>2.0133527471087951</v>
      </c>
      <c r="R84" s="587">
        <f t="shared" si="43"/>
        <v>1.0510223793637248</v>
      </c>
      <c r="S84" s="574">
        <f t="shared" si="44"/>
        <v>1.0003434698087279</v>
      </c>
      <c r="T84" s="577">
        <f t="shared" si="45"/>
        <v>2.6205782871039609E-2</v>
      </c>
      <c r="U84" s="578">
        <f t="shared" si="57"/>
        <v>0.99953195466679789</v>
      </c>
      <c r="V84" s="579">
        <f t="shared" si="58"/>
        <v>-1.4364159277052308E-2</v>
      </c>
      <c r="W84" s="580">
        <f t="shared" si="46"/>
        <v>17.381037374739186</v>
      </c>
      <c r="X84" s="581">
        <f t="shared" si="47"/>
        <v>-110.3345883754736</v>
      </c>
      <c r="Y84" s="584">
        <f t="shared" si="48"/>
        <v>69.665411624526399</v>
      </c>
      <c r="AA84" s="147">
        <f t="shared" si="49"/>
        <v>1000000000</v>
      </c>
      <c r="AB84" s="147">
        <f t="shared" si="50"/>
        <v>478628.74890000006</v>
      </c>
      <c r="AD84" s="583">
        <f t="shared" si="51"/>
        <v>28.874854418317067</v>
      </c>
      <c r="AE84" s="584">
        <f t="shared" si="52"/>
        <v>-31.277940665531808</v>
      </c>
      <c r="AG84" s="583">
        <f t="shared" si="53"/>
        <v>47.801508514639863</v>
      </c>
      <c r="AH84" s="584">
        <f t="shared" si="54"/>
        <v>-77.41063630240339</v>
      </c>
      <c r="AJ84" s="147">
        <f t="shared" si="55"/>
        <v>0</v>
      </c>
      <c r="AK84" s="147">
        <f t="shared" si="33"/>
        <v>0</v>
      </c>
      <c r="AM84" s="147" t="str">
        <f t="shared" si="59"/>
        <v>0.00021054666555298+0.0205194785803023i</v>
      </c>
      <c r="AN84" s="147" t="str">
        <f t="shared" si="60"/>
        <v>0.0205209188041948i</v>
      </c>
      <c r="AO84" s="147" t="str">
        <f t="shared" si="61"/>
        <v>0.999929816792989-0.0102600993435996i</v>
      </c>
      <c r="AP84" s="147" t="str">
        <f t="shared" si="62"/>
        <v>0.166631575555741-0.00341991309671705i</v>
      </c>
      <c r="AQ84" s="147" t="str">
        <f t="shared" si="63"/>
        <v>0.833368424444259+0.00341991309671705i</v>
      </c>
      <c r="AR84" s="147" t="str">
        <f t="shared" si="64"/>
        <v>0.999541076469825-0.00410183961602022i</v>
      </c>
    </row>
    <row r="85" spans="1:44">
      <c r="A85" s="147">
        <v>24</v>
      </c>
      <c r="G85" s="585">
        <v>758.58</v>
      </c>
      <c r="H85" s="573">
        <f t="shared" si="56"/>
        <v>0.75858000000000003</v>
      </c>
      <c r="I85" s="574">
        <f t="shared" si="34"/>
        <v>5.3341547178029183</v>
      </c>
      <c r="J85" s="575">
        <f t="shared" si="35"/>
        <v>1.3822093341963986</v>
      </c>
      <c r="K85" s="575">
        <f t="shared" si="36"/>
        <v>1.0000087962173281</v>
      </c>
      <c r="L85" s="576">
        <f t="shared" si="37"/>
        <v>4.1943182642063346E-3</v>
      </c>
      <c r="M85" s="575">
        <f t="shared" si="38"/>
        <v>1.0000135963444894</v>
      </c>
      <c r="N85" s="576">
        <f t="shared" si="39"/>
        <v>-5.2146314233574549E-3</v>
      </c>
      <c r="O85" s="574">
        <f t="shared" si="40"/>
        <v>14298.896149589737</v>
      </c>
      <c r="P85" s="577">
        <f t="shared" si="41"/>
        <v>1.5707263913264273</v>
      </c>
      <c r="Q85" s="586">
        <f t="shared" si="42"/>
        <v>2.1613087634156494</v>
      </c>
      <c r="R85" s="587">
        <f t="shared" si="43"/>
        <v>1.0897775118544362</v>
      </c>
      <c r="S85" s="574">
        <f t="shared" si="44"/>
        <v>1.0004129309957133</v>
      </c>
      <c r="T85" s="577">
        <f t="shared" si="45"/>
        <v>2.873287150373615E-2</v>
      </c>
      <c r="U85" s="578">
        <f t="shared" si="57"/>
        <v>0.99951819236311834</v>
      </c>
      <c r="V85" s="579">
        <f t="shared" si="58"/>
        <v>-1.5749952594099875E-2</v>
      </c>
      <c r="W85" s="580">
        <f t="shared" si="46"/>
        <v>16.426971366788941</v>
      </c>
      <c r="X85" s="581">
        <f t="shared" si="47"/>
        <v>-109.35824005272222</v>
      </c>
      <c r="Y85" s="584">
        <f t="shared" si="48"/>
        <v>70.641759947277777</v>
      </c>
      <c r="AA85" s="147">
        <f t="shared" si="49"/>
        <v>1000000000</v>
      </c>
      <c r="AB85" s="147">
        <f t="shared" si="50"/>
        <v>575443.61640000006</v>
      </c>
      <c r="AD85" s="583">
        <f t="shared" si="51"/>
        <v>28.69015021788509</v>
      </c>
      <c r="AE85" s="584">
        <f t="shared" si="52"/>
        <v>-29.202613259115846</v>
      </c>
      <c r="AG85" s="583">
        <f t="shared" si="53"/>
        <v>47.032385896420777</v>
      </c>
      <c r="AH85" s="584">
        <f t="shared" si="54"/>
        <v>-78.350815169198</v>
      </c>
      <c r="AJ85" s="147">
        <f t="shared" si="55"/>
        <v>0</v>
      </c>
      <c r="AK85" s="147">
        <f t="shared" si="33"/>
        <v>0</v>
      </c>
      <c r="AM85" s="147" t="str">
        <f t="shared" si="59"/>
        <v>0.000253133299879971+0.022498944937334i</v>
      </c>
      <c r="AN85" s="147" t="str">
        <f t="shared" si="60"/>
        <v>0.0225008435403005i</v>
      </c>
      <c r="AO85" s="147" t="str">
        <f t="shared" si="61"/>
        <v>0.999915620809367-0.0112499471153867i</v>
      </c>
      <c r="AP85" s="147" t="str">
        <f t="shared" si="62"/>
        <v>0.166624477783353-0.00374982415622233i</v>
      </c>
      <c r="AQ85" s="147" t="str">
        <f t="shared" si="63"/>
        <v>0.833375522216647+0.00374982415622233i</v>
      </c>
      <c r="AR85" s="147" t="str">
        <f t="shared" si="64"/>
        <v>0.999529159634349-0.00449744261467657i</v>
      </c>
    </row>
    <row r="86" spans="1:44">
      <c r="A86" s="147">
        <v>25</v>
      </c>
      <c r="G86" s="585">
        <v>831.76</v>
      </c>
      <c r="H86" s="573">
        <f t="shared" si="56"/>
        <v>0.83175999999999994</v>
      </c>
      <c r="I86" s="574">
        <f t="shared" si="34"/>
        <v>5.8314238009826722</v>
      </c>
      <c r="J86" s="575">
        <f t="shared" si="35"/>
        <v>1.3984598240578698</v>
      </c>
      <c r="K86" s="575">
        <f t="shared" si="36"/>
        <v>1.0000105752063393</v>
      </c>
      <c r="L86" s="576">
        <f t="shared" si="37"/>
        <v>4.5989375173819437E-3</v>
      </c>
      <c r="M86" s="575">
        <f t="shared" si="38"/>
        <v>1.0000163461262133</v>
      </c>
      <c r="N86" s="576">
        <f t="shared" si="39"/>
        <v>-5.7176749738469777E-3</v>
      </c>
      <c r="O86" s="574">
        <f t="shared" si="40"/>
        <v>15678.3066472752</v>
      </c>
      <c r="P86" s="577">
        <f t="shared" si="41"/>
        <v>1.5707325443965052</v>
      </c>
      <c r="Q86" s="586">
        <f t="shared" si="42"/>
        <v>2.3267470341104004</v>
      </c>
      <c r="R86" s="587">
        <f t="shared" si="43"/>
        <v>1.1265421403605036</v>
      </c>
      <c r="S86" s="574">
        <f t="shared" si="44"/>
        <v>1.0004964238547616</v>
      </c>
      <c r="T86" s="577">
        <f t="shared" si="45"/>
        <v>3.15029705853156E-2</v>
      </c>
      <c r="U86" s="578">
        <f t="shared" si="57"/>
        <v>0.99950164942035569</v>
      </c>
      <c r="V86" s="579">
        <f t="shared" si="58"/>
        <v>-1.7269204668588226E-2</v>
      </c>
      <c r="W86" s="580">
        <f t="shared" si="46"/>
        <v>15.492676368862808</v>
      </c>
      <c r="X86" s="581">
        <f t="shared" si="47"/>
        <v>-108.43462004686167</v>
      </c>
      <c r="Y86" s="584">
        <f t="shared" si="48"/>
        <v>71.565379953138333</v>
      </c>
      <c r="AA86" s="147">
        <f t="shared" si="49"/>
        <v>1000000000</v>
      </c>
      <c r="AB86" s="147">
        <f t="shared" si="50"/>
        <v>691824.69759999996</v>
      </c>
      <c r="AD86" s="583">
        <f t="shared" si="51"/>
        <v>28.530139580434714</v>
      </c>
      <c r="AE86" s="584">
        <f t="shared" si="52"/>
        <v>-27.255222739280693</v>
      </c>
      <c r="AG86" s="583">
        <f t="shared" si="53"/>
        <v>46.258389057203438</v>
      </c>
      <c r="AH86" s="584">
        <f t="shared" si="54"/>
        <v>-79.200492219204278</v>
      </c>
      <c r="AJ86" s="147">
        <f t="shared" si="55"/>
        <v>0</v>
      </c>
      <c r="AK86" s="147">
        <f>IF(AJ86&gt;0,Y86,0)</f>
        <v>0</v>
      </c>
      <c r="AM86" s="147" t="str">
        <f t="shared" si="59"/>
        <v>0.000304325861529953+0.02466899083524i</v>
      </c>
      <c r="AN86" s="147" t="str">
        <f t="shared" si="60"/>
        <v>0.024671493610536i</v>
      </c>
      <c r="AO86" s="147" t="str">
        <f t="shared" si="61"/>
        <v>0.999898555987914-0.0123351211051118i</v>
      </c>
      <c r="AP86" s="147" t="str">
        <f t="shared" si="62"/>
        <v>0.166615945689745-0.00411149847254i</v>
      </c>
      <c r="AQ86" s="147" t="str">
        <f t="shared" si="63"/>
        <v>0.833384054310255+0.00411149847254i</v>
      </c>
      <c r="AR86" s="147" t="str">
        <f t="shared" si="64"/>
        <v>0.999514835283824-0.00493110432974593i</v>
      </c>
    </row>
    <row r="87" spans="1:44">
      <c r="A87" s="147">
        <v>26</v>
      </c>
      <c r="G87" s="585">
        <v>912.01</v>
      </c>
      <c r="H87" s="573">
        <f t="shared" si="56"/>
        <v>0.91200999999999999</v>
      </c>
      <c r="I87" s="574">
        <f t="shared" si="34"/>
        <v>6.3782152552134486</v>
      </c>
      <c r="J87" s="575">
        <f t="shared" si="35"/>
        <v>1.4133631256919768</v>
      </c>
      <c r="K87" s="575">
        <f t="shared" si="36"/>
        <v>1.0000127142727591</v>
      </c>
      <c r="L87" s="576">
        <f t="shared" si="37"/>
        <v>5.0426457440344756E-3</v>
      </c>
      <c r="M87" s="575">
        <f t="shared" si="38"/>
        <v>1.000019652475731</v>
      </c>
      <c r="N87" s="576">
        <f t="shared" si="39"/>
        <v>-6.2693147770033954E-3</v>
      </c>
      <c r="O87" s="574">
        <f t="shared" si="40"/>
        <v>17190.983505444015</v>
      </c>
      <c r="P87" s="577">
        <f t="shared" si="41"/>
        <v>1.5707381567663903</v>
      </c>
      <c r="Q87" s="586">
        <f t="shared" si="42"/>
        <v>2.5112815683935468</v>
      </c>
      <c r="R87" s="587">
        <f t="shared" si="43"/>
        <v>1.1612392683330899</v>
      </c>
      <c r="S87" s="574">
        <f t="shared" si="44"/>
        <v>1.0005968071111582</v>
      </c>
      <c r="T87" s="577">
        <f t="shared" si="45"/>
        <v>3.4540134528807269E-2</v>
      </c>
      <c r="U87" s="578">
        <f t="shared" si="57"/>
        <v>0.99948175908348424</v>
      </c>
      <c r="V87" s="579">
        <f t="shared" si="58"/>
        <v>-1.8935188340737544E-2</v>
      </c>
      <c r="W87" s="580">
        <f t="shared" si="46"/>
        <v>14.576081453891906</v>
      </c>
      <c r="X87" s="581">
        <f t="shared" si="47"/>
        <v>-107.57649343399194</v>
      </c>
      <c r="Y87" s="584">
        <f t="shared" si="48"/>
        <v>72.423506566008058</v>
      </c>
      <c r="AA87" s="147">
        <f t="shared" si="49"/>
        <v>1000000000</v>
      </c>
      <c r="AB87" s="147">
        <f t="shared" si="50"/>
        <v>831762.24009999994</v>
      </c>
      <c r="AD87" s="583">
        <f t="shared" si="51"/>
        <v>28.392161558147308</v>
      </c>
      <c r="AE87" s="584">
        <f t="shared" si="52"/>
        <v>-25.441561983912639</v>
      </c>
      <c r="AG87" s="583">
        <f t="shared" si="53"/>
        <v>45.480117870782834</v>
      </c>
      <c r="AH87" s="584">
        <f t="shared" si="54"/>
        <v>-79.965118695180749</v>
      </c>
      <c r="AJ87" s="147">
        <f t="shared" si="55"/>
        <v>0</v>
      </c>
      <c r="AK87" s="147">
        <f t="shared" ref="AK87:AK150" si="65">IF(AJ87&gt;0,Y87,0)</f>
        <v>0</v>
      </c>
      <c r="AM87" s="147" t="str">
        <f t="shared" si="59"/>
        <v>0.000365879050119977+0.0270485532470777i</v>
      </c>
      <c r="AN87" s="147" t="str">
        <f t="shared" si="60"/>
        <v>0.0270518525629327i</v>
      </c>
      <c r="AO87" s="147" t="str">
        <f t="shared" si="61"/>
        <v>0.999878037341534-0.0135251014424541i</v>
      </c>
      <c r="AP87" s="147" t="str">
        <f t="shared" si="62"/>
        <v>0.16660568682498-0.00450809220784628i</v>
      </c>
      <c r="AQ87" s="147" t="str">
        <f t="shared" si="63"/>
        <v>0.83339431317502+0.00450809220784628i</v>
      </c>
      <c r="AR87" s="147" t="str">
        <f t="shared" si="64"/>
        <v>0.999497612825854-0.00540659724803633i</v>
      </c>
    </row>
    <row r="88" spans="1:44">
      <c r="A88" s="147">
        <v>27</v>
      </c>
      <c r="G88" s="585">
        <v>1000</v>
      </c>
      <c r="H88" s="573">
        <f t="shared" si="56"/>
        <v>1</v>
      </c>
      <c r="I88" s="574">
        <f t="shared" si="34"/>
        <v>6.9791045328894183</v>
      </c>
      <c r="J88" s="575">
        <f t="shared" si="35"/>
        <v>1.4270165971391828</v>
      </c>
      <c r="K88" s="575">
        <f t="shared" si="36"/>
        <v>1.0000152859264317</v>
      </c>
      <c r="L88" s="576">
        <f t="shared" si="37"/>
        <v>5.5291467186087285E-3</v>
      </c>
      <c r="M88" s="575">
        <f t="shared" si="38"/>
        <v>1.000023627469155</v>
      </c>
      <c r="N88" s="576">
        <f t="shared" si="39"/>
        <v>-6.874155068072034E-3</v>
      </c>
      <c r="O88" s="574">
        <f t="shared" si="40"/>
        <v>18849.555926525827</v>
      </c>
      <c r="P88" s="577">
        <f t="shared" si="41"/>
        <v>1.5707432751471884</v>
      </c>
      <c r="Q88" s="586">
        <f t="shared" si="42"/>
        <v>2.7165916483627885</v>
      </c>
      <c r="R88" s="587">
        <f t="shared" si="43"/>
        <v>1.1938226621712671</v>
      </c>
      <c r="S88" s="574">
        <f t="shared" si="44"/>
        <v>1.0007174780083485</v>
      </c>
      <c r="T88" s="577">
        <f t="shared" si="45"/>
        <v>3.786949410583023E-2</v>
      </c>
      <c r="U88" s="578">
        <f t="shared" si="57"/>
        <v>0.99945784772000823</v>
      </c>
      <c r="V88" s="579">
        <f t="shared" si="58"/>
        <v>-2.0761794471397605E-2</v>
      </c>
      <c r="W88" s="580">
        <f t="shared" si="46"/>
        <v>13.675443492833633</v>
      </c>
      <c r="X88" s="581">
        <f t="shared" si="47"/>
        <v>-106.79437745295309</v>
      </c>
      <c r="Y88" s="584">
        <f t="shared" si="48"/>
        <v>73.205622547046914</v>
      </c>
      <c r="AA88" s="147">
        <f t="shared" si="49"/>
        <v>1000000000</v>
      </c>
      <c r="AB88" s="147">
        <f t="shared" si="50"/>
        <v>1000000</v>
      </c>
      <c r="AD88" s="583">
        <f t="shared" si="51"/>
        <v>28.273685162056672</v>
      </c>
      <c r="AE88" s="584">
        <f t="shared" si="52"/>
        <v>-23.765722546720134</v>
      </c>
      <c r="AG88" s="583">
        <f t="shared" si="53"/>
        <v>44.698371909095158</v>
      </c>
      <c r="AH88" s="584">
        <f t="shared" si="54"/>
        <v>-80.649528506856129</v>
      </c>
      <c r="AJ88" s="147">
        <f t="shared" si="55"/>
        <v>0</v>
      </c>
      <c r="AK88" s="147">
        <f t="shared" si="65"/>
        <v>0</v>
      </c>
      <c r="AM88" s="147" t="str">
        <f t="shared" si="59"/>
        <v>0.000439878753027978+0.0296574444741586i</v>
      </c>
      <c r="AN88" s="147" t="str">
        <f t="shared" si="60"/>
        <v>0.0296617937993363i</v>
      </c>
      <c r="AO88" s="147" t="str">
        <f t="shared" si="61"/>
        <v>0.999853369448688-0.0148298095524425i</v>
      </c>
      <c r="AP88" s="147" t="str">
        <f t="shared" si="62"/>
        <v>0.166593353541162-0.00494290741235977i</v>
      </c>
      <c r="AQ88" s="147" t="str">
        <f t="shared" si="63"/>
        <v>0.833406646458838+0.00494290741235977i</v>
      </c>
      <c r="AR88" s="147" t="str">
        <f t="shared" si="64"/>
        <v>0.999476909205185-0.00592786467924664i</v>
      </c>
    </row>
    <row r="89" spans="1:44">
      <c r="A89" s="147">
        <v>28</v>
      </c>
      <c r="G89" s="585">
        <v>1096.5</v>
      </c>
      <c r="H89" s="573">
        <f t="shared" si="56"/>
        <v>1.0965</v>
      </c>
      <c r="I89" s="574">
        <f t="shared" si="34"/>
        <v>7.6393581333224212</v>
      </c>
      <c r="J89" s="575">
        <f t="shared" si="35"/>
        <v>1.4395185311918972</v>
      </c>
      <c r="K89" s="575">
        <f t="shared" si="36"/>
        <v>1.000018378428184</v>
      </c>
      <c r="L89" s="576">
        <f t="shared" si="37"/>
        <v>6.0626968778287249E-3</v>
      </c>
      <c r="M89" s="575">
        <f t="shared" si="38"/>
        <v>1.0000284075277075</v>
      </c>
      <c r="N89" s="576">
        <f t="shared" si="39"/>
        <v>-7.5374870128081493E-3</v>
      </c>
      <c r="O89" s="574">
        <f t="shared" si="40"/>
        <v>20668.538068541362</v>
      </c>
      <c r="P89" s="577">
        <f t="shared" si="41"/>
        <v>1.5707479440792409</v>
      </c>
      <c r="Q89" s="586">
        <f t="shared" si="42"/>
        <v>2.9445875900672727</v>
      </c>
      <c r="R89" s="587">
        <f t="shared" si="43"/>
        <v>1.2242982171822436</v>
      </c>
      <c r="S89" s="574">
        <f t="shared" si="44"/>
        <v>1.0008625700449614</v>
      </c>
      <c r="T89" s="577">
        <f t="shared" si="45"/>
        <v>4.1519886281728549E-2</v>
      </c>
      <c r="U89" s="578">
        <f t="shared" si="57"/>
        <v>0.99942909555560344</v>
      </c>
      <c r="V89" s="579">
        <f t="shared" si="58"/>
        <v>-2.2764983561128452E-2</v>
      </c>
      <c r="W89" s="580">
        <f t="shared" si="46"/>
        <v>12.788689001672713</v>
      </c>
      <c r="X89" s="581">
        <f t="shared" si="47"/>
        <v>-106.09619463300295</v>
      </c>
      <c r="Y89" s="584">
        <f t="shared" si="48"/>
        <v>73.903805366997048</v>
      </c>
      <c r="AA89" s="147">
        <f t="shared" si="49"/>
        <v>1000000000</v>
      </c>
      <c r="AB89" s="147">
        <f t="shared" si="50"/>
        <v>1202312.25</v>
      </c>
      <c r="AD89" s="583">
        <f t="shared" si="51"/>
        <v>28.172255509700378</v>
      </c>
      <c r="AE89" s="584">
        <f t="shared" si="52"/>
        <v>-22.229021439864471</v>
      </c>
      <c r="AG89" s="583">
        <f t="shared" si="53"/>
        <v>43.913546824671812</v>
      </c>
      <c r="AH89" s="584">
        <f t="shared" si="54"/>
        <v>-81.258498232682911</v>
      </c>
      <c r="AJ89" s="147">
        <f t="shared" si="55"/>
        <v>0</v>
      </c>
      <c r="AK89" s="147">
        <f t="shared" si="65"/>
        <v>0</v>
      </c>
      <c r="AM89" s="147" t="str">
        <f t="shared" si="59"/>
        <v>0.000528863768336052+0.0325184230827332i</v>
      </c>
      <c r="AN89" s="147" t="str">
        <f t="shared" si="60"/>
        <v>0.0325241569009723i</v>
      </c>
      <c r="AO89" s="147" t="str">
        <f t="shared" si="61"/>
        <v>0.999823705860952-0.0162606449706385i</v>
      </c>
      <c r="AP89" s="147" t="str">
        <f t="shared" si="62"/>
        <v>0.166578522705277-0.00541973718045553i</v>
      </c>
      <c r="AQ89" s="147" t="str">
        <f t="shared" si="63"/>
        <v>0.833421477294723+0.00541973718045553i</v>
      </c>
      <c r="AR89" s="147" t="str">
        <f t="shared" si="64"/>
        <v>0.999452014944296-0.00649943323161957i</v>
      </c>
    </row>
    <row r="90" spans="1:44">
      <c r="A90" s="147">
        <v>29</v>
      </c>
      <c r="G90" s="585">
        <v>1202.3</v>
      </c>
      <c r="H90" s="573">
        <f t="shared" si="56"/>
        <v>1.2022999999999999</v>
      </c>
      <c r="I90" s="574">
        <f t="shared" si="34"/>
        <v>8.3643873714621275</v>
      </c>
      <c r="J90" s="575">
        <f t="shared" si="35"/>
        <v>1.4509551929716791</v>
      </c>
      <c r="K90" s="575">
        <f t="shared" si="36"/>
        <v>1.0000220961179993</v>
      </c>
      <c r="L90" s="576">
        <f t="shared" si="37"/>
        <v>6.6476629188898058E-3</v>
      </c>
      <c r="M90" s="575">
        <f t="shared" si="38"/>
        <v>1.0000341539244444</v>
      </c>
      <c r="N90" s="576">
        <f t="shared" si="39"/>
        <v>-8.2647386404337535E-3</v>
      </c>
      <c r="O90" s="574">
        <f t="shared" si="40"/>
        <v>22662.821080632566</v>
      </c>
      <c r="P90" s="577">
        <f t="shared" si="41"/>
        <v>1.5707522016616324</v>
      </c>
      <c r="Q90" s="586">
        <f t="shared" si="42"/>
        <v>3.1972275017306964</v>
      </c>
      <c r="R90" s="587">
        <f t="shared" si="43"/>
        <v>1.2526873357604753</v>
      </c>
      <c r="S90" s="574">
        <f t="shared" si="44"/>
        <v>1.0010369670157093</v>
      </c>
      <c r="T90" s="577">
        <f t="shared" si="45"/>
        <v>4.5520802367556616E-2</v>
      </c>
      <c r="U90" s="578">
        <f t="shared" si="57"/>
        <v>0.99939453377220788</v>
      </c>
      <c r="V90" s="579">
        <f t="shared" si="58"/>
        <v>-2.4961122993167162E-2</v>
      </c>
      <c r="W90" s="580">
        <f t="shared" si="46"/>
        <v>11.9143091545837</v>
      </c>
      <c r="X90" s="581">
        <f t="shared" si="47"/>
        <v>-105.48835183705904</v>
      </c>
      <c r="Y90" s="584">
        <f t="shared" si="48"/>
        <v>74.511648162940958</v>
      </c>
      <c r="AA90" s="147">
        <f t="shared" si="49"/>
        <v>1000000000</v>
      </c>
      <c r="AB90" s="147">
        <f t="shared" si="50"/>
        <v>1445525.2899999998</v>
      </c>
      <c r="AD90" s="583">
        <f t="shared" si="51"/>
        <v>28.085639185582096</v>
      </c>
      <c r="AE90" s="584">
        <f t="shared" si="52"/>
        <v>-20.831924307044858</v>
      </c>
      <c r="AG90" s="583">
        <f t="shared" si="53"/>
        <v>43.126384054727808</v>
      </c>
      <c r="AH90" s="584">
        <f t="shared" si="54"/>
        <v>-81.796093527914891</v>
      </c>
      <c r="AJ90" s="147">
        <f t="shared" si="55"/>
        <v>0</v>
      </c>
      <c r="AK90" s="147">
        <f t="shared" si="65"/>
        <v>0</v>
      </c>
      <c r="AM90" s="147" t="str">
        <f t="shared" si="59"/>
        <v>0.000635835091613024+0.0356548159014061i</v>
      </c>
      <c r="AN90" s="147" t="str">
        <f t="shared" si="60"/>
        <v>0.035662374684942i</v>
      </c>
      <c r="AO90" s="147" t="str">
        <f t="shared" si="61"/>
        <v>0.999788045983963-0.0178292976065191i</v>
      </c>
      <c r="AP90" s="147" t="str">
        <f t="shared" si="62"/>
        <v>0.166560694151398-0.00594246931690102i</v>
      </c>
      <c r="AQ90" s="147" t="str">
        <f t="shared" si="63"/>
        <v>0.833439305848602+0.00594246931690102i</v>
      </c>
      <c r="AR90" s="147" t="str">
        <f t="shared" si="64"/>
        <v>0.999422091685646-0.00712593595334205i</v>
      </c>
    </row>
    <row r="91" spans="1:44">
      <c r="A91" s="147">
        <v>30</v>
      </c>
      <c r="G91" s="585">
        <v>1318.3</v>
      </c>
      <c r="H91" s="573">
        <f t="shared" si="56"/>
        <v>1.3183</v>
      </c>
      <c r="I91" s="574">
        <f t="shared" si="34"/>
        <v>9.1603640714437748</v>
      </c>
      <c r="J91" s="575">
        <f t="shared" si="35"/>
        <v>1.4614123633155227</v>
      </c>
      <c r="K91" s="575">
        <f t="shared" si="36"/>
        <v>1.0000265654893308</v>
      </c>
      <c r="L91" s="576">
        <f t="shared" si="37"/>
        <v>7.2890193084757283E-3</v>
      </c>
      <c r="M91" s="575">
        <f t="shared" si="38"/>
        <v>1.0000410621725082</v>
      </c>
      <c r="N91" s="576">
        <f t="shared" si="39"/>
        <v>-9.0620932981866249E-3</v>
      </c>
      <c r="O91" s="574">
        <f t="shared" si="40"/>
        <v>24849.369563091237</v>
      </c>
      <c r="P91" s="577">
        <f t="shared" si="41"/>
        <v>1.5707560843252544</v>
      </c>
      <c r="Q91" s="586">
        <f t="shared" si="42"/>
        <v>3.4767328613169979</v>
      </c>
      <c r="R91" s="587">
        <f t="shared" si="43"/>
        <v>1.2790487890719759</v>
      </c>
      <c r="S91" s="574">
        <f t="shared" si="44"/>
        <v>1.001246586042877</v>
      </c>
      <c r="T91" s="577">
        <f t="shared" si="45"/>
        <v>4.9905759953909126E-2</v>
      </c>
      <c r="U91" s="578">
        <f t="shared" si="57"/>
        <v>0.99935298824858732</v>
      </c>
      <c r="V91" s="579">
        <f t="shared" si="58"/>
        <v>-2.7368852639234574E-2</v>
      </c>
      <c r="W91" s="580">
        <f t="shared" si="46"/>
        <v>11.050583849115945</v>
      </c>
      <c r="X91" s="581">
        <f t="shared" si="47"/>
        <v>-104.97545635883061</v>
      </c>
      <c r="Y91" s="584">
        <f t="shared" si="48"/>
        <v>75.024543641169387</v>
      </c>
      <c r="AA91" s="147">
        <f t="shared" si="49"/>
        <v>1000000000</v>
      </c>
      <c r="AB91" s="147">
        <f t="shared" si="50"/>
        <v>1737914.89</v>
      </c>
      <c r="AD91" s="583">
        <f t="shared" si="51"/>
        <v>28.011748085476242</v>
      </c>
      <c r="AE91" s="584">
        <f t="shared" si="52"/>
        <v>-19.572986312306838</v>
      </c>
      <c r="AG91" s="583">
        <f t="shared" si="53"/>
        <v>42.337272021284463</v>
      </c>
      <c r="AH91" s="584">
        <f t="shared" si="54"/>
        <v>-82.266230550252843</v>
      </c>
      <c r="AJ91" s="147">
        <f t="shared" si="55"/>
        <v>0</v>
      </c>
      <c r="AK91" s="147">
        <f t="shared" si="65"/>
        <v>0</v>
      </c>
      <c r="AM91" s="147" t="str">
        <f t="shared" si="59"/>
        <v>0.000764430474893052+0.0390931783797951i</v>
      </c>
      <c r="AN91" s="147" t="str">
        <f t="shared" si="60"/>
        <v>0.0391031427656651i</v>
      </c>
      <c r="AO91" s="147" t="str">
        <f t="shared" si="61"/>
        <v>0.999745176853694-0.0195490802228886i</v>
      </c>
      <c r="AP91" s="147" t="str">
        <f t="shared" si="62"/>
        <v>0.166539261587518-0.00651552972996585i</v>
      </c>
      <c r="AQ91" s="147" t="str">
        <f t="shared" si="63"/>
        <v>0.833460738412482+0.00651552972996585i</v>
      </c>
      <c r="AR91" s="147" t="str">
        <f t="shared" si="64"/>
        <v>0.999386123560204-0.00781264155546732i</v>
      </c>
    </row>
    <row r="92" spans="1:44">
      <c r="A92" s="147">
        <v>31</v>
      </c>
      <c r="G92" s="585">
        <v>1445.4</v>
      </c>
      <c r="H92" s="573">
        <f t="shared" si="56"/>
        <v>1.4454</v>
      </c>
      <c r="I92" s="574">
        <f t="shared" si="34"/>
        <v>10.033466301950824</v>
      </c>
      <c r="J92" s="575">
        <f t="shared" si="35"/>
        <v>1.4709641271014477</v>
      </c>
      <c r="K92" s="575">
        <f t="shared" si="36"/>
        <v>1.000031934803677</v>
      </c>
      <c r="L92" s="576">
        <f t="shared" si="37"/>
        <v>7.9917399657888147E-3</v>
      </c>
      <c r="M92" s="575">
        <f t="shared" si="38"/>
        <v>1.0000493614282921</v>
      </c>
      <c r="N92" s="576">
        <f t="shared" si="39"/>
        <v>-9.9357332813214405E-3</v>
      </c>
      <c r="O92" s="574">
        <f t="shared" si="40"/>
        <v>27245.148116211898</v>
      </c>
      <c r="P92" s="577">
        <f t="shared" si="41"/>
        <v>1.5707596230120446</v>
      </c>
      <c r="Q92" s="586">
        <f t="shared" si="42"/>
        <v>3.7853275408560583</v>
      </c>
      <c r="R92" s="587">
        <f t="shared" si="43"/>
        <v>1.3034448531295824</v>
      </c>
      <c r="S92" s="574">
        <f t="shared" si="44"/>
        <v>1.0014983567301057</v>
      </c>
      <c r="T92" s="577">
        <f t="shared" si="45"/>
        <v>5.4708102234218771E-2</v>
      </c>
      <c r="U92" s="578">
        <f t="shared" si="57"/>
        <v>0.99930308344837382</v>
      </c>
      <c r="V92" s="579">
        <f t="shared" si="58"/>
        <v>-3.0006798196789104E-2</v>
      </c>
      <c r="W92" s="580">
        <f t="shared" si="46"/>
        <v>10.196486597014784</v>
      </c>
      <c r="X92" s="581">
        <f t="shared" si="47"/>
        <v>-104.56123340226208</v>
      </c>
      <c r="Y92" s="584">
        <f t="shared" si="48"/>
        <v>75.438766597737924</v>
      </c>
      <c r="AA92" s="147">
        <f t="shared" si="49"/>
        <v>1000000000</v>
      </c>
      <c r="AB92" s="147">
        <f t="shared" si="50"/>
        <v>2089181.1600000001</v>
      </c>
      <c r="AD92" s="583">
        <f t="shared" si="51"/>
        <v>27.948731107405177</v>
      </c>
      <c r="AE92" s="584">
        <f t="shared" si="52"/>
        <v>-18.450551500049695</v>
      </c>
      <c r="AG92" s="583">
        <f t="shared" si="53"/>
        <v>41.547059265369754</v>
      </c>
      <c r="AH92" s="584">
        <f t="shared" si="54"/>
        <v>-82.672156111529731</v>
      </c>
      <c r="AJ92" s="147">
        <f t="shared" si="55"/>
        <v>0</v>
      </c>
      <c r="AK92" s="147">
        <f t="shared" si="65"/>
        <v>0</v>
      </c>
      <c r="AM92" s="147" t="str">
        <f t="shared" si="59"/>
        <v>0.000918913017160961+0.0428600237189488i</v>
      </c>
      <c r="AN92" s="147" t="str">
        <f t="shared" si="60"/>
        <v>0.0428731567575607i</v>
      </c>
      <c r="AO92" s="147" t="str">
        <f t="shared" si="61"/>
        <v>0.99969367689237-0.0214332950185412i</v>
      </c>
      <c r="AP92" s="147" t="str">
        <f t="shared" si="62"/>
        <v>0.16651351449714-0.00714333728649147i</v>
      </c>
      <c r="AQ92" s="147" t="str">
        <f t="shared" si="63"/>
        <v>0.83348648550286+0.00714333728649147i</v>
      </c>
      <c r="AR92" s="147" t="str">
        <f t="shared" si="64"/>
        <v>0.999342920665556-0.00856479819570758i</v>
      </c>
    </row>
    <row r="93" spans="1:44">
      <c r="A93" s="147">
        <v>32</v>
      </c>
      <c r="G93" s="585">
        <v>1584.9</v>
      </c>
      <c r="H93" s="573">
        <f t="shared" si="56"/>
        <v>1.5849000000000002</v>
      </c>
      <c r="I93" s="574">
        <f t="shared" si="34"/>
        <v>10.992627363544058</v>
      </c>
      <c r="J93" s="575">
        <f t="shared" si="35"/>
        <v>1.4797003233189969</v>
      </c>
      <c r="K93" s="575">
        <f t="shared" si="36"/>
        <v>1.000038396397368</v>
      </c>
      <c r="L93" s="576">
        <f t="shared" si="37"/>
        <v>8.7630096244208974E-3</v>
      </c>
      <c r="M93" s="575">
        <f t="shared" si="38"/>
        <v>1.0000593489690219</v>
      </c>
      <c r="N93" s="576">
        <f t="shared" si="39"/>
        <v>-1.0894588924820356E-2</v>
      </c>
      <c r="O93" s="574">
        <f t="shared" si="40"/>
        <v>29874.661162646596</v>
      </c>
      <c r="P93" s="577">
        <f t="shared" si="41"/>
        <v>1.5707628536118958</v>
      </c>
      <c r="Q93" s="586">
        <f t="shared" si="42"/>
        <v>4.1262146112187814</v>
      </c>
      <c r="R93" s="587">
        <f t="shared" si="43"/>
        <v>1.3260060271386553</v>
      </c>
      <c r="S93" s="574">
        <f t="shared" si="44"/>
        <v>1.0018012630152813</v>
      </c>
      <c r="T93" s="577">
        <f t="shared" si="45"/>
        <v>5.9976051459492946E-2</v>
      </c>
      <c r="U93" s="578">
        <f t="shared" si="57"/>
        <v>0.99924303554623162</v>
      </c>
      <c r="V93" s="579">
        <f t="shared" si="58"/>
        <v>-3.2901868225442263E-2</v>
      </c>
      <c r="W93" s="580">
        <f t="shared" si="46"/>
        <v>9.3491613056172724</v>
      </c>
      <c r="X93" s="581">
        <f t="shared" si="47"/>
        <v>-104.247760058887</v>
      </c>
      <c r="Y93" s="584">
        <f t="shared" si="48"/>
        <v>75.752239941113004</v>
      </c>
      <c r="AA93" s="147">
        <f t="shared" si="49"/>
        <v>1000000000</v>
      </c>
      <c r="AB93" s="147">
        <f t="shared" si="50"/>
        <v>2511908.0100000002</v>
      </c>
      <c r="AD93" s="583">
        <f t="shared" si="51"/>
        <v>27.894795091593885</v>
      </c>
      <c r="AE93" s="584">
        <f t="shared" si="52"/>
        <v>-17.459907804371774</v>
      </c>
      <c r="AG93" s="583">
        <f t="shared" si="53"/>
        <v>40.754713887537406</v>
      </c>
      <c r="AH93" s="584">
        <f t="shared" si="54"/>
        <v>-83.017575875380189</v>
      </c>
      <c r="AJ93" s="147">
        <f t="shared" si="55"/>
        <v>0</v>
      </c>
      <c r="AK93" s="147">
        <f t="shared" si="65"/>
        <v>0</v>
      </c>
      <c r="AM93" s="147" t="str">
        <f t="shared" si="59"/>
        <v>0.00110481248383698+0.0469936629456552i</v>
      </c>
      <c r="AN93" s="147" t="str">
        <f t="shared" si="60"/>
        <v>0.0470109769925681i</v>
      </c>
      <c r="AO93" s="147" t="str">
        <f t="shared" si="61"/>
        <v>0.999631702040235-0.0235011598251114i</v>
      </c>
      <c r="AP93" s="147" t="str">
        <f t="shared" si="62"/>
        <v>0.166482531252694-0.0078322771576092i</v>
      </c>
      <c r="AQ93" s="147" t="str">
        <f t="shared" si="63"/>
        <v>0.833517468747306+0.0078322771576092i</v>
      </c>
      <c r="AR93" s="147" t="str">
        <f t="shared" si="64"/>
        <v>0.999290940141055-0.00938999348872124i</v>
      </c>
    </row>
    <row r="94" spans="1:44">
      <c r="A94" s="147">
        <v>33</v>
      </c>
      <c r="G94" s="585">
        <v>1737.8</v>
      </c>
      <c r="H94" s="573">
        <f t="shared" si="56"/>
        <v>1.7378</v>
      </c>
      <c r="I94" s="574">
        <f t="shared" si="34"/>
        <v>12.044725713292298</v>
      </c>
      <c r="J94" s="575">
        <f t="shared" si="35"/>
        <v>1.4876767581344699</v>
      </c>
      <c r="K94" s="575">
        <f t="shared" si="36"/>
        <v>1.0000461620031504</v>
      </c>
      <c r="L94" s="576">
        <f t="shared" si="37"/>
        <v>9.6083533911811674E-3</v>
      </c>
      <c r="M94" s="575">
        <f t="shared" si="38"/>
        <v>1.0000713520454638</v>
      </c>
      <c r="N94" s="576">
        <f t="shared" si="39"/>
        <v>-1.1945526621020776E-2</v>
      </c>
      <c r="O94" s="574">
        <f t="shared" si="40"/>
        <v>32756.758258284026</v>
      </c>
      <c r="P94" s="577">
        <f t="shared" si="41"/>
        <v>1.570765798743486</v>
      </c>
      <c r="Q94" s="586">
        <f t="shared" si="42"/>
        <v>4.5018753382766867</v>
      </c>
      <c r="R94" s="587">
        <f t="shared" si="43"/>
        <v>1.3467981781794336</v>
      </c>
      <c r="S94" s="574">
        <f t="shared" si="44"/>
        <v>1.0021651801730647</v>
      </c>
      <c r="T94" s="577">
        <f t="shared" si="45"/>
        <v>6.5746189342743483E-2</v>
      </c>
      <c r="U94" s="578">
        <f t="shared" si="57"/>
        <v>0.99917088244212204</v>
      </c>
      <c r="V94" s="579">
        <f t="shared" si="58"/>
        <v>-3.607471991395874E-2</v>
      </c>
      <c r="W94" s="580">
        <f t="shared" si="46"/>
        <v>8.5085174324143615</v>
      </c>
      <c r="X94" s="581">
        <f t="shared" si="47"/>
        <v>-104.03781757425219</v>
      </c>
      <c r="Y94" s="584">
        <f t="shared" si="48"/>
        <v>75.962182425747812</v>
      </c>
      <c r="AA94" s="147">
        <f t="shared" si="49"/>
        <v>1000000000</v>
      </c>
      <c r="AB94" s="147">
        <f t="shared" si="50"/>
        <v>3019948.84</v>
      </c>
      <c r="AD94" s="583">
        <f t="shared" si="51"/>
        <v>27.848514898112313</v>
      </c>
      <c r="AE94" s="584">
        <f t="shared" si="52"/>
        <v>-16.599378593282381</v>
      </c>
      <c r="AG94" s="583">
        <f t="shared" si="53"/>
        <v>39.961604630423857</v>
      </c>
      <c r="AH94" s="584">
        <f t="shared" si="54"/>
        <v>-83.304580579873431</v>
      </c>
      <c r="AJ94" s="147">
        <f t="shared" si="55"/>
        <v>0</v>
      </c>
      <c r="AK94" s="147">
        <f t="shared" si="65"/>
        <v>0</v>
      </c>
      <c r="AM94" s="147" t="str">
        <f t="shared" si="59"/>
        <v>0.00132821460150201+0.0515234417423315i</v>
      </c>
      <c r="AN94" s="147" t="str">
        <f t="shared" si="60"/>
        <v>0.0515462652644866i</v>
      </c>
      <c r="AO94" s="147" t="str">
        <f t="shared" si="61"/>
        <v>0.999557222583673-0.0257674264990271i</v>
      </c>
      <c r="AP94" s="147" t="str">
        <f t="shared" si="62"/>
        <v>0.166445297566416-0.00858724029038858i</v>
      </c>
      <c r="AQ94" s="147" t="str">
        <f t="shared" si="63"/>
        <v>0.833554702433584+0.00858724029038858i</v>
      </c>
      <c r="AR94" s="147" t="str">
        <f t="shared" si="64"/>
        <v>0.999228485528069-0.010294003603098i</v>
      </c>
    </row>
    <row r="95" spans="1:44">
      <c r="A95" s="147">
        <v>34</v>
      </c>
      <c r="G95" s="585">
        <v>1905.5</v>
      </c>
      <c r="H95" s="573">
        <f t="shared" si="56"/>
        <v>1.9055</v>
      </c>
      <c r="I95" s="574">
        <f t="shared" si="34"/>
        <v>13.199396106188788</v>
      </c>
      <c r="J95" s="575">
        <f t="shared" si="35"/>
        <v>1.4949626224466201</v>
      </c>
      <c r="K95" s="575">
        <f t="shared" si="36"/>
        <v>1.0000555010166994</v>
      </c>
      <c r="L95" s="576">
        <f t="shared" si="37"/>
        <v>1.053550661828731E-2</v>
      </c>
      <c r="M95" s="575">
        <f t="shared" si="38"/>
        <v>1.0000857870262756</v>
      </c>
      <c r="N95" s="576">
        <f t="shared" si="39"/>
        <v>-1.3098159708869241E-2</v>
      </c>
      <c r="O95" s="574">
        <f t="shared" si="40"/>
        <v>35917.828781370663</v>
      </c>
      <c r="P95" s="577">
        <f t="shared" si="41"/>
        <v>1.570768485468345</v>
      </c>
      <c r="Q95" s="586">
        <f t="shared" si="42"/>
        <v>4.9157770130461858</v>
      </c>
      <c r="R95" s="587">
        <f t="shared" si="43"/>
        <v>1.3659398499911806</v>
      </c>
      <c r="S95" s="574">
        <f t="shared" si="44"/>
        <v>1.002602660239563</v>
      </c>
      <c r="T95" s="577">
        <f t="shared" si="45"/>
        <v>7.2069797851529116E-2</v>
      </c>
      <c r="U95" s="578">
        <f t="shared" si="57"/>
        <v>0.99908412908185507</v>
      </c>
      <c r="V95" s="579">
        <f t="shared" si="58"/>
        <v>-3.9554278618358113E-2</v>
      </c>
      <c r="W95" s="580">
        <f t="shared" si="46"/>
        <v>7.672826902781253</v>
      </c>
      <c r="X95" s="581">
        <f t="shared" si="47"/>
        <v>-103.93328293124371</v>
      </c>
      <c r="Y95" s="584">
        <f t="shared" si="48"/>
        <v>76.06671706875629</v>
      </c>
      <c r="AA95" s="147">
        <f t="shared" si="49"/>
        <v>1000000000</v>
      </c>
      <c r="AB95" s="147">
        <f t="shared" si="50"/>
        <v>3630930.25</v>
      </c>
      <c r="AD95" s="583">
        <f t="shared" si="51"/>
        <v>27.808515021126095</v>
      </c>
      <c r="AE95" s="584">
        <f t="shared" si="52"/>
        <v>-15.865111601647278</v>
      </c>
      <c r="AG95" s="583">
        <f t="shared" si="53"/>
        <v>39.167422354053542</v>
      </c>
      <c r="AH95" s="584">
        <f t="shared" si="54"/>
        <v>-83.535584871384231</v>
      </c>
      <c r="AJ95" s="147">
        <f t="shared" si="55"/>
        <v>0</v>
      </c>
      <c r="AK95" s="147">
        <f t="shared" si="65"/>
        <v>0</v>
      </c>
      <c r="AM95" s="147" t="str">
        <f t="shared" si="59"/>
        <v>0.001596861002649+0.0564904597276016i</v>
      </c>
      <c r="AN95" s="147" t="str">
        <f t="shared" si="60"/>
        <v>0.0565205480846353i</v>
      </c>
      <c r="AO95" s="147" t="str">
        <f t="shared" si="61"/>
        <v>0.999467656311672-0.0282527515525472i</v>
      </c>
      <c r="AP95" s="147" t="str">
        <f t="shared" si="62"/>
        <v>0.166400523166225-0.00941507662126693i</v>
      </c>
      <c r="AQ95" s="147" t="str">
        <f t="shared" si="63"/>
        <v>0.833599476833775+0.00941507662126693i</v>
      </c>
      <c r="AR95" s="147" t="str">
        <f t="shared" si="64"/>
        <v>0.999153400083526-0.0112849228911664i</v>
      </c>
    </row>
    <row r="96" spans="1:44">
      <c r="A96" s="147">
        <v>35</v>
      </c>
      <c r="G96" s="585">
        <v>2089.3000000000002</v>
      </c>
      <c r="H96" s="573">
        <f t="shared" si="56"/>
        <v>2.0893000000000002</v>
      </c>
      <c r="I96" s="574">
        <f t="shared" si="34"/>
        <v>14.465590496244522</v>
      </c>
      <c r="J96" s="575">
        <f t="shared" si="35"/>
        <v>1.5016115810484725</v>
      </c>
      <c r="K96" s="575">
        <f t="shared" si="36"/>
        <v>1.0000667240200507</v>
      </c>
      <c r="L96" s="576">
        <f t="shared" si="37"/>
        <v>1.1551650114402109E-2</v>
      </c>
      <c r="M96" s="575">
        <f t="shared" si="38"/>
        <v>1.0001031339257607</v>
      </c>
      <c r="N96" s="576">
        <f t="shared" si="39"/>
        <v>-1.436141098232986E-2</v>
      </c>
      <c r="O96" s="574">
        <f t="shared" si="40"/>
        <v>39382.377154566042</v>
      </c>
      <c r="P96" s="577">
        <f t="shared" si="41"/>
        <v>1.5707709347268612</v>
      </c>
      <c r="Q96" s="586">
        <f t="shared" si="42"/>
        <v>5.3711494651061038</v>
      </c>
      <c r="R96" s="587">
        <f t="shared" si="43"/>
        <v>1.3835237172290811</v>
      </c>
      <c r="S96" s="574">
        <f t="shared" si="44"/>
        <v>1.0031281475861968</v>
      </c>
      <c r="T96" s="577">
        <f t="shared" si="45"/>
        <v>7.8993858892288937E-2</v>
      </c>
      <c r="U96" s="578">
        <f t="shared" si="57"/>
        <v>0.99897990190959218</v>
      </c>
      <c r="V96" s="579">
        <f t="shared" si="58"/>
        <v>-4.3367351428837811E-2</v>
      </c>
      <c r="W96" s="580">
        <f t="shared" si="46"/>
        <v>6.841639724646055</v>
      </c>
      <c r="X96" s="581">
        <f t="shared" si="47"/>
        <v>-103.93624983568611</v>
      </c>
      <c r="Y96" s="584">
        <f t="shared" si="48"/>
        <v>76.063750164313888</v>
      </c>
      <c r="AA96" s="147">
        <f t="shared" si="49"/>
        <v>1000000000</v>
      </c>
      <c r="AB96" s="147">
        <f t="shared" si="50"/>
        <v>4365174.4900000012</v>
      </c>
      <c r="AD96" s="583">
        <f t="shared" si="51"/>
        <v>27.773627982836537</v>
      </c>
      <c r="AE96" s="584">
        <f t="shared" si="52"/>
        <v>-15.254490027601902</v>
      </c>
      <c r="AG96" s="583">
        <f t="shared" si="53"/>
        <v>38.372934579982662</v>
      </c>
      <c r="AH96" s="584">
        <f t="shared" si="54"/>
        <v>-83.712227391339624</v>
      </c>
      <c r="AJ96" s="147">
        <f t="shared" si="55"/>
        <v>0</v>
      </c>
      <c r="AK96" s="147">
        <f t="shared" si="65"/>
        <v>0</v>
      </c>
      <c r="AM96" s="147" t="str">
        <f t="shared" si="59"/>
        <v>0.00191967379408697+0.0619327251192634i</v>
      </c>
      <c r="AN96" s="147" t="str">
        <f t="shared" si="60"/>
        <v>0.0619723857849534i</v>
      </c>
      <c r="AO96" s="147" t="str">
        <f t="shared" si="61"/>
        <v>0.999360026805687-0.0309762770913534i</v>
      </c>
      <c r="AP96" s="147" t="str">
        <f t="shared" si="62"/>
        <v>0.166346721034319-0.0103221208532106i</v>
      </c>
      <c r="AQ96" s="147" t="str">
        <f t="shared" si="63"/>
        <v>0.833653278965681+0.0103221208532106i</v>
      </c>
      <c r="AR96" s="147" t="str">
        <f t="shared" si="64"/>
        <v>0.999063200971054-0.0123701919738304i</v>
      </c>
    </row>
    <row r="97" spans="1:44">
      <c r="A97" s="147" t="s">
        <v>801</v>
      </c>
      <c r="G97" s="585">
        <v>2290.9</v>
      </c>
      <c r="H97" s="573">
        <f t="shared" si="56"/>
        <v>2.2909000000000002</v>
      </c>
      <c r="I97" s="574">
        <f t="shared" si="34"/>
        <v>15.85502095307012</v>
      </c>
      <c r="J97" s="575">
        <f t="shared" si="35"/>
        <v>1.5076829323037921</v>
      </c>
      <c r="K97" s="575">
        <f t="shared" si="36"/>
        <v>1.0000802213431876</v>
      </c>
      <c r="L97" s="576">
        <f t="shared" si="37"/>
        <v>1.2666173902806527E-2</v>
      </c>
      <c r="M97" s="575">
        <f t="shared" si="38"/>
        <v>1.000123995999987</v>
      </c>
      <c r="N97" s="576">
        <f t="shared" si="39"/>
        <v>-1.5746948201856445E-2</v>
      </c>
      <c r="O97" s="574">
        <f t="shared" si="40"/>
        <v>43182.44762288878</v>
      </c>
      <c r="P97" s="577">
        <f t="shared" si="41"/>
        <v>1.5707731692377145</v>
      </c>
      <c r="Q97" s="586">
        <f t="shared" si="42"/>
        <v>5.872221063981554</v>
      </c>
      <c r="R97" s="587">
        <f t="shared" si="43"/>
        <v>1.3996690009937196</v>
      </c>
      <c r="S97" s="574">
        <f t="shared" si="44"/>
        <v>1.0037597673499674</v>
      </c>
      <c r="T97" s="577">
        <f t="shared" si="45"/>
        <v>8.6579733714353638E-2</v>
      </c>
      <c r="U97" s="578">
        <f t="shared" si="57"/>
        <v>0.99885459265171683</v>
      </c>
      <c r="V97" s="579">
        <f t="shared" si="58"/>
        <v>-4.7548987026253119E-2</v>
      </c>
      <c r="W97" s="580">
        <f t="shared" si="46"/>
        <v>6.0133647257086684</v>
      </c>
      <c r="X97" s="581">
        <f t="shared" si="47"/>
        <v>-104.04894065617955</v>
      </c>
      <c r="Y97" s="584">
        <f t="shared" si="48"/>
        <v>75.951059343820447</v>
      </c>
      <c r="AA97" s="147">
        <f t="shared" si="49"/>
        <v>1000000000</v>
      </c>
      <c r="AB97" s="147">
        <f t="shared" si="50"/>
        <v>5248222.8100000005</v>
      </c>
      <c r="AD97" s="583">
        <f t="shared" si="51"/>
        <v>27.742757247903775</v>
      </c>
      <c r="AE97" s="584">
        <f t="shared" si="52"/>
        <v>-14.764200047546819</v>
      </c>
      <c r="AG97" s="583">
        <f t="shared" si="53"/>
        <v>37.577709520289353</v>
      </c>
      <c r="AH97" s="584">
        <f t="shared" si="54"/>
        <v>-83.836028048953452</v>
      </c>
      <c r="AJ97" s="147">
        <f t="shared" si="55"/>
        <v>0</v>
      </c>
      <c r="AK97" s="147">
        <f t="shared" si="65"/>
        <v>0</v>
      </c>
      <c r="AM97" s="147" t="str">
        <f t="shared" si="59"/>
        <v>0.00230786272268602+0.0678999205818798i</v>
      </c>
      <c r="AN97" s="147" t="str">
        <f t="shared" si="60"/>
        <v>0.0679522034148996i</v>
      </c>
      <c r="AO97" s="147" t="str">
        <f t="shared" si="61"/>
        <v>0.999230594000012-0.0339630299932259i</v>
      </c>
      <c r="AP97" s="147" t="str">
        <f t="shared" si="62"/>
        <v>0.166282022879552-0.0113166534303133i</v>
      </c>
      <c r="AQ97" s="147" t="str">
        <f t="shared" si="63"/>
        <v>0.833717977120448+0.0113166534303133i</v>
      </c>
      <c r="AR97" s="147" t="str">
        <f t="shared" si="64"/>
        <v>0.998954771685492-0.0135595312251366i</v>
      </c>
    </row>
    <row r="98" spans="1:44">
      <c r="G98" s="585">
        <v>2511.9</v>
      </c>
      <c r="H98" s="573">
        <f t="shared" si="56"/>
        <v>2.5119000000000002</v>
      </c>
      <c r="I98" s="574">
        <f t="shared" si="34"/>
        <v>17.378715472576935</v>
      </c>
      <c r="J98" s="575">
        <f t="shared" si="35"/>
        <v>1.5132228734682749</v>
      </c>
      <c r="K98" s="575">
        <f t="shared" si="36"/>
        <v>1.0000964448038148</v>
      </c>
      <c r="L98" s="576">
        <f t="shared" si="37"/>
        <v>1.3887912234684803E-2</v>
      </c>
      <c r="M98" s="575">
        <f t="shared" si="38"/>
        <v>1.0001490715125632</v>
      </c>
      <c r="N98" s="576">
        <f t="shared" si="39"/>
        <v>-1.726574622319918E-2</v>
      </c>
      <c r="O98" s="574">
        <f t="shared" si="40"/>
        <v>47348.199475770067</v>
      </c>
      <c r="P98" s="577">
        <f t="shared" si="41"/>
        <v>1.5707752066676026</v>
      </c>
      <c r="Q98" s="586">
        <f t="shared" si="42"/>
        <v>6.4229817358511427</v>
      </c>
      <c r="R98" s="587">
        <f t="shared" si="43"/>
        <v>1.4144694525834718</v>
      </c>
      <c r="S98" s="574">
        <f t="shared" si="44"/>
        <v>1.0045184449452844</v>
      </c>
      <c r="T98" s="577">
        <f t="shared" si="45"/>
        <v>9.4884104756967569E-2</v>
      </c>
      <c r="U98" s="578">
        <f t="shared" si="57"/>
        <v>0.99870403073982361</v>
      </c>
      <c r="V98" s="579">
        <f t="shared" si="58"/>
        <v>-5.2132084206234934E-2</v>
      </c>
      <c r="W98" s="580">
        <f t="shared" si="46"/>
        <v>5.1875958970257816</v>
      </c>
      <c r="X98" s="581">
        <f t="shared" si="47"/>
        <v>-104.27388703329886</v>
      </c>
      <c r="Y98" s="584">
        <f t="shared" si="48"/>
        <v>75.726112966701137</v>
      </c>
      <c r="AA98" s="147">
        <f t="shared" si="49"/>
        <v>1000000000</v>
      </c>
      <c r="AB98" s="147">
        <f t="shared" si="50"/>
        <v>6309641.6100000003</v>
      </c>
      <c r="AD98" s="583">
        <f t="shared" si="51"/>
        <v>27.714956158126455</v>
      </c>
      <c r="AE98" s="584">
        <f t="shared" si="52"/>
        <v>-14.392118784527236</v>
      </c>
      <c r="AG98" s="583">
        <f t="shared" si="53"/>
        <v>36.78236050633646</v>
      </c>
      <c r="AH98" s="584">
        <f t="shared" si="54"/>
        <v>-83.907871437469709</v>
      </c>
      <c r="AJ98" s="147">
        <f t="shared" si="55"/>
        <v>0</v>
      </c>
      <c r="AK98" s="147">
        <f t="shared" si="65"/>
        <v>0</v>
      </c>
      <c r="AM98" s="147" t="str">
        <f t="shared" si="59"/>
        <v>0.00277439695652604+0.0744385426683018i</v>
      </c>
      <c r="AN98" s="147" t="str">
        <f t="shared" si="60"/>
        <v>0.0745074598445529i</v>
      </c>
      <c r="AO98" s="147" t="str">
        <f t="shared" si="61"/>
        <v>0.999075029850771-0.0372364990339806i</v>
      </c>
      <c r="AP98" s="147" t="str">
        <f t="shared" si="62"/>
        <v>0.166204267173912-0.0124064237780503i</v>
      </c>
      <c r="AQ98" s="147" t="str">
        <f t="shared" si="63"/>
        <v>0.833795732826088+0.0124064237780503i</v>
      </c>
      <c r="AR98" s="147" t="str">
        <f t="shared" si="64"/>
        <v>0.998824512309761-0.0148619616193262i</v>
      </c>
    </row>
    <row r="99" spans="1:44">
      <c r="G99" s="585">
        <v>2754.2</v>
      </c>
      <c r="H99" s="573">
        <f t="shared" si="56"/>
        <v>2.7542</v>
      </c>
      <c r="I99" s="574">
        <f t="shared" si="34"/>
        <v>19.04977397298385</v>
      </c>
      <c r="J99" s="575">
        <f t="shared" si="35"/>
        <v>1.5182781266870276</v>
      </c>
      <c r="K99" s="575">
        <f t="shared" si="36"/>
        <v>1.0001159473575152</v>
      </c>
      <c r="L99" s="576">
        <f t="shared" si="37"/>
        <v>1.5227354035775983E-2</v>
      </c>
      <c r="M99" s="575">
        <f t="shared" si="38"/>
        <v>1.0001792150051647</v>
      </c>
      <c r="N99" s="576">
        <f t="shared" si="39"/>
        <v>-1.8930834331442617E-2</v>
      </c>
      <c r="O99" s="574">
        <f t="shared" si="40"/>
        <v>51915.446869411047</v>
      </c>
      <c r="P99" s="577">
        <f t="shared" si="41"/>
        <v>1.5707770647050878</v>
      </c>
      <c r="Q99" s="586">
        <f t="shared" si="42"/>
        <v>7.028175852119448</v>
      </c>
      <c r="R99" s="587">
        <f t="shared" si="43"/>
        <v>1.4280273809129249</v>
      </c>
      <c r="S99" s="574">
        <f t="shared" si="44"/>
        <v>1.0054297253199105</v>
      </c>
      <c r="T99" s="577">
        <f t="shared" si="45"/>
        <v>0.10397375009068766</v>
      </c>
      <c r="U99" s="578">
        <f t="shared" si="57"/>
        <v>0.99852311924713588</v>
      </c>
      <c r="V99" s="579">
        <f t="shared" si="58"/>
        <v>-5.7155665408029452E-2</v>
      </c>
      <c r="W99" s="580">
        <f t="shared" si="46"/>
        <v>4.3633903962285165</v>
      </c>
      <c r="X99" s="581">
        <f t="shared" si="47"/>
        <v>-104.61411256779054</v>
      </c>
      <c r="Y99" s="584">
        <f t="shared" si="48"/>
        <v>75.385887432209458</v>
      </c>
      <c r="AA99" s="147">
        <f t="shared" si="49"/>
        <v>1000000000</v>
      </c>
      <c r="AB99" s="147">
        <f t="shared" si="50"/>
        <v>7585617.6399999987</v>
      </c>
      <c r="AD99" s="583">
        <f t="shared" si="51"/>
        <v>27.689336140588381</v>
      </c>
      <c r="AE99" s="584">
        <f t="shared" si="52"/>
        <v>-14.136211484615325</v>
      </c>
      <c r="AG99" s="583">
        <f t="shared" si="53"/>
        <v>35.986922140848129</v>
      </c>
      <c r="AH99" s="584">
        <f t="shared" si="54"/>
        <v>-83.928344269407305</v>
      </c>
      <c r="AJ99" s="147">
        <f t="shared" si="55"/>
        <v>0</v>
      </c>
      <c r="AK99" s="147">
        <f t="shared" si="65"/>
        <v>0</v>
      </c>
      <c r="AM99" s="147" t="str">
        <f t="shared" si="59"/>
        <v>0.003335141173199+0.0816036713619754i</v>
      </c>
      <c r="AN99" s="147" t="str">
        <f t="shared" si="60"/>
        <v>0.0816945124821321i</v>
      </c>
      <c r="AO99" s="147" t="str">
        <f t="shared" si="61"/>
        <v>0.998888038897636-0.0408245434346456i</v>
      </c>
      <c r="AP99" s="147" t="str">
        <f t="shared" si="62"/>
        <v>0.166110809804467-0.0136006118936626i</v>
      </c>
      <c r="AQ99" s="147" t="str">
        <f t="shared" si="63"/>
        <v>0.833889190195533+0.0136006118936626i</v>
      </c>
      <c r="AR99" s="147" t="str">
        <f t="shared" si="64"/>
        <v>0.998668025974489-0.0162881308351105i</v>
      </c>
    </row>
    <row r="100" spans="1:44">
      <c r="G100" s="585">
        <v>3020</v>
      </c>
      <c r="H100" s="573">
        <f t="shared" si="56"/>
        <v>3.02</v>
      </c>
      <c r="I100" s="574">
        <f t="shared" si="34"/>
        <v>20.883369744816825</v>
      </c>
      <c r="J100" s="575">
        <f t="shared" si="35"/>
        <v>1.522893015730922</v>
      </c>
      <c r="K100" s="575">
        <f t="shared" si="36"/>
        <v>1.0001394051120693</v>
      </c>
      <c r="L100" s="576">
        <f t="shared" si="37"/>
        <v>1.6696641529034186E-2</v>
      </c>
      <c r="M100" s="575">
        <f t="shared" si="38"/>
        <v>1.0002154713015052</v>
      </c>
      <c r="N100" s="576">
        <f t="shared" si="39"/>
        <v>-2.0757293596046684E-2</v>
      </c>
      <c r="O100" s="574">
        <f t="shared" si="40"/>
        <v>56925.658826783387</v>
      </c>
      <c r="P100" s="577">
        <f t="shared" si="41"/>
        <v>1.5707787600241176</v>
      </c>
      <c r="Q100" s="586">
        <f t="shared" si="42"/>
        <v>7.6933067029553799</v>
      </c>
      <c r="R100" s="587">
        <f t="shared" si="43"/>
        <v>1.4404443726393881</v>
      </c>
      <c r="S100" s="574">
        <f t="shared" si="44"/>
        <v>1.0065247477363839</v>
      </c>
      <c r="T100" s="577">
        <f t="shared" si="45"/>
        <v>0.1139251263300919</v>
      </c>
      <c r="U100" s="578">
        <f t="shared" si="57"/>
        <v>0.99830563672093264</v>
      </c>
      <c r="V100" s="579">
        <f t="shared" si="58"/>
        <v>-6.2664841380612304E-2</v>
      </c>
      <c r="W100" s="580">
        <f t="shared" si="46"/>
        <v>3.5395263626561975</v>
      </c>
      <c r="X100" s="581">
        <f t="shared" si="47"/>
        <v>-105.07347097364969</v>
      </c>
      <c r="Y100" s="584">
        <f t="shared" si="48"/>
        <v>74.926529026350309</v>
      </c>
      <c r="AA100" s="147">
        <f t="shared" si="49"/>
        <v>1000000000</v>
      </c>
      <c r="AB100" s="147">
        <f t="shared" si="50"/>
        <v>9120400</v>
      </c>
      <c r="AD100" s="583">
        <f t="shared" si="51"/>
        <v>27.665060569298245</v>
      </c>
      <c r="AE100" s="584">
        <f t="shared" si="52"/>
        <v>-13.995039257768788</v>
      </c>
      <c r="AG100" s="583">
        <f t="shared" si="53"/>
        <v>35.191117737109032</v>
      </c>
      <c r="AH100" s="584">
        <f t="shared" si="54"/>
        <v>-83.897569837743916</v>
      </c>
      <c r="AJ100" s="147">
        <f t="shared" si="55"/>
        <v>0</v>
      </c>
      <c r="AK100" s="147">
        <f t="shared" si="65"/>
        <v>0</v>
      </c>
      <c r="AM100" s="147" t="str">
        <f t="shared" si="59"/>
        <v>0.004009482143433+0.0894588639532526i</v>
      </c>
      <c r="AN100" s="147" t="str">
        <f t="shared" si="60"/>
        <v>0.0895786172739957i</v>
      </c>
      <c r="AO100" s="147" t="str">
        <f t="shared" si="61"/>
        <v>0.998663148367464-0.0447593663024416i</v>
      </c>
      <c r="AP100" s="147" t="str">
        <f t="shared" si="62"/>
        <v>0.165998419642761-0.0149098106588754i</v>
      </c>
      <c r="AQ100" s="147" t="str">
        <f t="shared" si="63"/>
        <v>0.834001580357239+0.0149098106588754i</v>
      </c>
      <c r="AR100" s="147" t="str">
        <f t="shared" si="64"/>
        <v>0.998479949656328-0.0178502623336547i</v>
      </c>
    </row>
    <row r="101" spans="1:44">
      <c r="G101" s="585">
        <v>3311.3</v>
      </c>
      <c r="H101" s="573">
        <f t="shared" si="56"/>
        <v>3.3113000000000001</v>
      </c>
      <c r="I101" s="574">
        <f t="shared" si="34"/>
        <v>22.893299868998056</v>
      </c>
      <c r="J101" s="575">
        <f t="shared" si="35"/>
        <v>1.5271015216503192</v>
      </c>
      <c r="K101" s="575">
        <f t="shared" si="36"/>
        <v>1.0001675929523999</v>
      </c>
      <c r="L101" s="576">
        <f t="shared" si="37"/>
        <v>1.8306804722946511E-2</v>
      </c>
      <c r="M101" s="575">
        <f t="shared" si="38"/>
        <v>1.0002590378030112</v>
      </c>
      <c r="N101" s="576">
        <f t="shared" si="39"/>
        <v>-2.2758817992852728E-2</v>
      </c>
      <c r="O101" s="574">
        <f t="shared" si="40"/>
        <v>62416.534459680704</v>
      </c>
      <c r="P101" s="577">
        <f t="shared" si="41"/>
        <v>1.5707803053991447</v>
      </c>
      <c r="Q101" s="586">
        <f t="shared" si="42"/>
        <v>8.4233848105857714</v>
      </c>
      <c r="R101" s="587">
        <f t="shared" si="43"/>
        <v>1.4517985598117764</v>
      </c>
      <c r="S101" s="574">
        <f t="shared" si="44"/>
        <v>1.0078390335887579</v>
      </c>
      <c r="T101" s="577">
        <f t="shared" si="45"/>
        <v>0.1248051690575986</v>
      </c>
      <c r="U101" s="578">
        <f t="shared" si="57"/>
        <v>0.99804447155529152</v>
      </c>
      <c r="V101" s="579">
        <f t="shared" si="58"/>
        <v>-6.8700406506998657E-2</v>
      </c>
      <c r="W101" s="580">
        <f t="shared" si="46"/>
        <v>2.716026336300434</v>
      </c>
      <c r="X101" s="581">
        <f t="shared" si="47"/>
        <v>-105.6557584233571</v>
      </c>
      <c r="Y101" s="584">
        <f t="shared" si="48"/>
        <v>74.344241576642901</v>
      </c>
      <c r="AA101" s="147">
        <f t="shared" si="49"/>
        <v>1000000000</v>
      </c>
      <c r="AB101" s="147">
        <f t="shared" si="50"/>
        <v>10964707.690000001</v>
      </c>
      <c r="AD101" s="583">
        <f t="shared" si="51"/>
        <v>27.641366401322621</v>
      </c>
      <c r="AE101" s="584">
        <f t="shared" si="52"/>
        <v>-13.967961325633366</v>
      </c>
      <c r="AG101" s="583">
        <f t="shared" si="53"/>
        <v>34.395857077107877</v>
      </c>
      <c r="AH101" s="584">
        <f t="shared" si="54"/>
        <v>-83.815310401359881</v>
      </c>
      <c r="AJ101" s="147">
        <f t="shared" si="55"/>
        <v>0</v>
      </c>
      <c r="AK101" s="147">
        <f t="shared" si="65"/>
        <v>0</v>
      </c>
      <c r="AM101" s="147" t="str">
        <f t="shared" si="59"/>
        <v>0.00481961914885498+0.0980612541678443i</v>
      </c>
      <c r="AN101" s="147" t="str">
        <f t="shared" si="60"/>
        <v>0.0982190978077423i</v>
      </c>
      <c r="AO101" s="147" t="str">
        <f t="shared" si="61"/>
        <v>0.998392943496519-0.0490700816483682i</v>
      </c>
      <c r="AP101" s="147" t="str">
        <f t="shared" si="62"/>
        <v>0.165863396808524-0.0163435423613074i</v>
      </c>
      <c r="AQ101" s="147" t="str">
        <f t="shared" si="63"/>
        <v>0.834136603191476+0.0163435423613074i</v>
      </c>
      <c r="AR101" s="147" t="str">
        <f t="shared" si="64"/>
        <v>0.998254159925231-0.0195591574421585i</v>
      </c>
    </row>
    <row r="102" spans="1:44">
      <c r="G102" s="585">
        <v>3630.8</v>
      </c>
      <c r="H102" s="573">
        <f t="shared" si="56"/>
        <v>3.6308000000000002</v>
      </c>
      <c r="I102" s="574">
        <f t="shared" si="34"/>
        <v>25.098194090293113</v>
      </c>
      <c r="J102" s="575">
        <f t="shared" si="35"/>
        <v>1.5309422731633855</v>
      </c>
      <c r="K102" s="575">
        <f t="shared" si="36"/>
        <v>1.0002014911552317</v>
      </c>
      <c r="L102" s="576">
        <f t="shared" si="37"/>
        <v>2.0072734183944979E-2</v>
      </c>
      <c r="M102" s="575">
        <f t="shared" si="38"/>
        <v>1.0003114292273607</v>
      </c>
      <c r="N102" s="576">
        <f t="shared" si="39"/>
        <v>-2.4953894500223492E-2</v>
      </c>
      <c r="O102" s="574">
        <f t="shared" si="40"/>
        <v>68438.967569025786</v>
      </c>
      <c r="P102" s="577">
        <f t="shared" si="41"/>
        <v>1.5707817152360792</v>
      </c>
      <c r="Q102" s="586">
        <f t="shared" si="42"/>
        <v>9.2251812879799147</v>
      </c>
      <c r="R102" s="587">
        <f t="shared" si="43"/>
        <v>1.4621839553008977</v>
      </c>
      <c r="S102" s="574">
        <f t="shared" si="44"/>
        <v>1.0094173533301878</v>
      </c>
      <c r="T102" s="577">
        <f t="shared" si="45"/>
        <v>0.1367043303117694</v>
      </c>
      <c r="U102" s="578">
        <f t="shared" si="57"/>
        <v>0.99773064600189187</v>
      </c>
      <c r="V102" s="579">
        <f t="shared" si="58"/>
        <v>-7.5317435715903422E-2</v>
      </c>
      <c r="W102" s="580">
        <f t="shared" si="46"/>
        <v>1.8914600680566331</v>
      </c>
      <c r="X102" s="581">
        <f t="shared" si="47"/>
        <v>-106.36634660437382</v>
      </c>
      <c r="Y102" s="584">
        <f t="shared" si="48"/>
        <v>73.633653395626183</v>
      </c>
      <c r="AA102" s="147">
        <f t="shared" si="49"/>
        <v>1000000000</v>
      </c>
      <c r="AB102" s="147">
        <f t="shared" si="50"/>
        <v>13182708.640000001</v>
      </c>
      <c r="AD102" s="583">
        <f t="shared" si="51"/>
        <v>27.617463970348073</v>
      </c>
      <c r="AE102" s="584">
        <f t="shared" si="52"/>
        <v>-14.054774492947443</v>
      </c>
      <c r="AG102" s="583">
        <f t="shared" si="53"/>
        <v>33.600656488920997</v>
      </c>
      <c r="AH102" s="584">
        <f t="shared" si="54"/>
        <v>-83.680829721026015</v>
      </c>
      <c r="AJ102" s="147">
        <f t="shared" si="55"/>
        <v>0</v>
      </c>
      <c r="AK102" s="147">
        <f t="shared" si="65"/>
        <v>0</v>
      </c>
      <c r="AM102" s="147" t="str">
        <f t="shared" si="59"/>
        <v>0.00579361562612901+0.107487977328795i</v>
      </c>
      <c r="AN102" s="147" t="str">
        <f t="shared" si="60"/>
        <v>0.10769604092663i</v>
      </c>
      <c r="AO102" s="147" t="str">
        <f t="shared" si="61"/>
        <v>0.998068047849811-0.0537959945071335i</v>
      </c>
      <c r="AP102" s="147" t="str">
        <f t="shared" si="62"/>
        <v>0.165701064062312-0.0179146628881325i</v>
      </c>
      <c r="AQ102" s="147" t="str">
        <f t="shared" si="63"/>
        <v>0.834298935937688+0.0179146628881325i</v>
      </c>
      <c r="AR102" s="147" t="str">
        <f t="shared" si="64"/>
        <v>0.997982933467362-0.0214294026410129i</v>
      </c>
    </row>
    <row r="103" spans="1:44">
      <c r="G103" s="585">
        <v>3981.1</v>
      </c>
      <c r="H103" s="573">
        <f t="shared" si="56"/>
        <v>3.9811000000000001</v>
      </c>
      <c r="I103" s="574">
        <f t="shared" si="34"/>
        <v>27.515995503392261</v>
      </c>
      <c r="J103" s="575">
        <f t="shared" si="35"/>
        <v>1.5344458243994705</v>
      </c>
      <c r="K103" s="575">
        <f t="shared" si="36"/>
        <v>1.0002422415622827</v>
      </c>
      <c r="L103" s="576">
        <f t="shared" si="37"/>
        <v>2.2008756056484315E-2</v>
      </c>
      <c r="M103" s="575">
        <f t="shared" si="38"/>
        <v>1.0003744098057143</v>
      </c>
      <c r="N103" s="576">
        <f t="shared" si="39"/>
        <v>-2.7360300587038661E-2</v>
      </c>
      <c r="O103" s="574">
        <f t="shared" si="40"/>
        <v>75041.967000152945</v>
      </c>
      <c r="P103" s="577">
        <f t="shared" si="41"/>
        <v>1.5707830009181905</v>
      </c>
      <c r="Q103" s="586">
        <f t="shared" si="42"/>
        <v>10.105224664740796</v>
      </c>
      <c r="R103" s="587">
        <f t="shared" si="43"/>
        <v>1.47167538632893</v>
      </c>
      <c r="S103" s="574">
        <f t="shared" si="44"/>
        <v>1.0113115258134355</v>
      </c>
      <c r="T103" s="577">
        <f t="shared" si="45"/>
        <v>0.14970584136029086</v>
      </c>
      <c r="U103" s="578">
        <f t="shared" si="57"/>
        <v>0.99735374017381062</v>
      </c>
      <c r="V103" s="579">
        <f t="shared" si="58"/>
        <v>-8.2568633350863604E-2</v>
      </c>
      <c r="W103" s="580">
        <f t="shared" si="46"/>
        <v>1.065346120507261</v>
      </c>
      <c r="X103" s="581">
        <f t="shared" si="47"/>
        <v>-107.21068579068614</v>
      </c>
      <c r="Y103" s="584">
        <f t="shared" si="48"/>
        <v>72.789314209313858</v>
      </c>
      <c r="AA103" s="147">
        <f t="shared" si="49"/>
        <v>1000000000</v>
      </c>
      <c r="AB103" s="147">
        <f t="shared" si="50"/>
        <v>15849157.209999999</v>
      </c>
      <c r="AD103" s="583">
        <f t="shared" si="51"/>
        <v>27.592586248043183</v>
      </c>
      <c r="AE103" s="584">
        <f t="shared" si="52"/>
        <v>-14.255960928263315</v>
      </c>
      <c r="AG103" s="583">
        <f t="shared" si="53"/>
        <v>32.805983920809588</v>
      </c>
      <c r="AH103" s="584">
        <f t="shared" si="54"/>
        <v>-83.493056429276095</v>
      </c>
      <c r="AJ103" s="147">
        <f t="shared" si="55"/>
        <v>0</v>
      </c>
      <c r="AK103" s="147">
        <f t="shared" si="65"/>
        <v>0</v>
      </c>
      <c r="AM103" s="147" t="str">
        <f t="shared" si="59"/>
        <v>0.00696412048044304+0.11781231678742i</v>
      </c>
      <c r="AN103" s="147" t="str">
        <f t="shared" si="60"/>
        <v>0.118086567294538i</v>
      </c>
      <c r="AO103" s="147" t="str">
        <f t="shared" si="61"/>
        <v>0.997677546960664-0.0589747050828631i</v>
      </c>
      <c r="AP103" s="147" t="str">
        <f t="shared" si="62"/>
        <v>0.165505979919926-0.0196353861312367i</v>
      </c>
      <c r="AQ103" s="147" t="str">
        <f t="shared" si="63"/>
        <v>0.834494020080074+0.0196353861312367i</v>
      </c>
      <c r="AR103" s="147" t="str">
        <f t="shared" si="64"/>
        <v>0.997657320193957-0.0234745681062921i</v>
      </c>
    </row>
    <row r="104" spans="1:44">
      <c r="G104" s="585">
        <v>4365.2</v>
      </c>
      <c r="H104" s="573">
        <f t="shared" si="56"/>
        <v>4.3651999999999997</v>
      </c>
      <c r="I104" s="574">
        <f t="shared" si="34"/>
        <v>30.167410469289926</v>
      </c>
      <c r="J104" s="575">
        <f t="shared" si="35"/>
        <v>1.5376418991984888</v>
      </c>
      <c r="K104" s="575">
        <f t="shared" si="36"/>
        <v>1.0002912327034199</v>
      </c>
      <c r="L104" s="576">
        <f t="shared" si="37"/>
        <v>2.4131392026754326E-2</v>
      </c>
      <c r="M104" s="575">
        <f t="shared" si="38"/>
        <v>1.0004501247531383</v>
      </c>
      <c r="N104" s="576">
        <f t="shared" si="39"/>
        <v>-2.9998532443740449E-2</v>
      </c>
      <c r="O104" s="574">
        <f t="shared" si="40"/>
        <v>82282.081420756658</v>
      </c>
      <c r="P104" s="577">
        <f t="shared" si="41"/>
        <v>1.570784173480557</v>
      </c>
      <c r="Q104" s="586">
        <f t="shared" si="42"/>
        <v>11.0710542223499</v>
      </c>
      <c r="R104" s="587">
        <f t="shared" si="43"/>
        <v>1.4803474153056926</v>
      </c>
      <c r="S104" s="574">
        <f t="shared" si="44"/>
        <v>1.0135841624446871</v>
      </c>
      <c r="T104" s="577">
        <f t="shared" si="45"/>
        <v>0.16390332263154742</v>
      </c>
      <c r="U104" s="578">
        <f t="shared" si="57"/>
        <v>0.99690112922754237</v>
      </c>
      <c r="V104" s="579">
        <f t="shared" si="58"/>
        <v>-9.0514596943031433E-2</v>
      </c>
      <c r="W104" s="580">
        <f t="shared" si="46"/>
        <v>0.23677191917858162</v>
      </c>
      <c r="X104" s="581">
        <f t="shared" si="47"/>
        <v>-108.19527131427597</v>
      </c>
      <c r="Y104" s="584">
        <f t="shared" si="48"/>
        <v>71.804728685724029</v>
      </c>
      <c r="AA104" s="147">
        <f t="shared" si="49"/>
        <v>1000000000</v>
      </c>
      <c r="AB104" s="147">
        <f t="shared" si="50"/>
        <v>19054971.039999999</v>
      </c>
      <c r="AD104" s="583">
        <f t="shared" si="51"/>
        <v>27.56592795628184</v>
      </c>
      <c r="AE104" s="584">
        <f t="shared" si="52"/>
        <v>-14.572613207875349</v>
      </c>
      <c r="AG104" s="583">
        <f t="shared" si="53"/>
        <v>32.011953319897806</v>
      </c>
      <c r="AH104" s="584">
        <f t="shared" si="54"/>
        <v>-83.250449316221761</v>
      </c>
      <c r="AJ104" s="147">
        <f t="shared" si="55"/>
        <v>4365.2</v>
      </c>
      <c r="AK104" s="147">
        <f t="shared" si="65"/>
        <v>71.804728685724029</v>
      </c>
      <c r="AM104" s="147" t="str">
        <f t="shared" si="59"/>
        <v>0.00837078698906601+0.129118178051409i</v>
      </c>
      <c r="AN104" s="147" t="str">
        <f t="shared" si="60"/>
        <v>0.129479662292863i</v>
      </c>
      <c r="AO104" s="147" t="str">
        <f t="shared" si="61"/>
        <v>0.997208177446151-0.0646494348288659i</v>
      </c>
      <c r="AP104" s="147" t="str">
        <f t="shared" si="62"/>
        <v>0.165271535501822-0.0215196963419015i</v>
      </c>
      <c r="AQ104" s="147" t="str">
        <f t="shared" si="63"/>
        <v>0.834728464498178+0.0215196963419015i</v>
      </c>
      <c r="AR104" s="147" t="str">
        <f t="shared" si="64"/>
        <v>0.997266493149818-0.0257100039321637i</v>
      </c>
    </row>
    <row r="105" spans="1:44">
      <c r="G105" s="585">
        <v>4786.3</v>
      </c>
      <c r="H105" s="573">
        <f t="shared" si="56"/>
        <v>4.7862999999999998</v>
      </c>
      <c r="I105" s="574">
        <f t="shared" si="34"/>
        <v>33.074528403944008</v>
      </c>
      <c r="J105" s="575">
        <f t="shared" si="35"/>
        <v>1.5405569713867759</v>
      </c>
      <c r="K105" s="575">
        <f t="shared" si="36"/>
        <v>1.0003501215928072</v>
      </c>
      <c r="L105" s="576">
        <f t="shared" si="37"/>
        <v>2.6458248961099828E-2</v>
      </c>
      <c r="M105" s="575">
        <f t="shared" si="38"/>
        <v>1.0005411338207868</v>
      </c>
      <c r="N105" s="576">
        <f t="shared" si="39"/>
        <v>-3.2890421459900142E-2</v>
      </c>
      <c r="O105" s="574">
        <f t="shared" si="40"/>
        <v>90219.629409712041</v>
      </c>
      <c r="P105" s="577">
        <f t="shared" si="41"/>
        <v>1.5707852427325195</v>
      </c>
      <c r="Q105" s="586">
        <f t="shared" si="42"/>
        <v>12.13071827838532</v>
      </c>
      <c r="R105" s="587">
        <f t="shared" si="43"/>
        <v>1.4882673246034519</v>
      </c>
      <c r="S105" s="574">
        <f t="shared" si="44"/>
        <v>1.0163093639924061</v>
      </c>
      <c r="T105" s="577">
        <f t="shared" si="45"/>
        <v>0.17939198964184452</v>
      </c>
      <c r="U105" s="578">
        <f t="shared" si="57"/>
        <v>0.99635781852505823</v>
      </c>
      <c r="V105" s="579">
        <f t="shared" si="58"/>
        <v>-9.9219551008205523E-2</v>
      </c>
      <c r="W105" s="580">
        <f t="shared" si="46"/>
        <v>-0.59506113024349738</v>
      </c>
      <c r="X105" s="581">
        <f t="shared" si="47"/>
        <v>-109.32714286801148</v>
      </c>
      <c r="Y105" s="584">
        <f t="shared" si="48"/>
        <v>70.672857131988522</v>
      </c>
      <c r="AA105" s="147">
        <f t="shared" si="49"/>
        <v>4786.3</v>
      </c>
      <c r="AB105" s="147">
        <f t="shared" si="50"/>
        <v>22908667.690000001</v>
      </c>
      <c r="AD105" s="583">
        <f t="shared" si="51"/>
        <v>27.536641121369513</v>
      </c>
      <c r="AE105" s="584">
        <f t="shared" si="52"/>
        <v>-15.006332345081143</v>
      </c>
      <c r="AG105" s="583">
        <f t="shared" si="53"/>
        <v>31.21887729875786</v>
      </c>
      <c r="AH105" s="584">
        <f t="shared" si="54"/>
        <v>-82.951087474032235</v>
      </c>
      <c r="AJ105" s="147">
        <f t="shared" si="55"/>
        <v>0</v>
      </c>
      <c r="AK105" s="147">
        <f t="shared" si="65"/>
        <v>0</v>
      </c>
      <c r="AM105" s="147" t="str">
        <f t="shared" si="59"/>
        <v>0.010060859486012+0.141493809328985i</v>
      </c>
      <c r="AN105" s="147" t="str">
        <f t="shared" si="60"/>
        <v>0.141970243661763i</v>
      </c>
      <c r="AO105" s="147" t="str">
        <f t="shared" si="61"/>
        <v>0.996644125413259-0.0708659732245124i</v>
      </c>
      <c r="AP105" s="147" t="str">
        <f t="shared" si="62"/>
        <v>0.164989856752331-0.0235823015548308i</v>
      </c>
      <c r="AQ105" s="147" t="str">
        <f t="shared" si="63"/>
        <v>0.835010143247669+0.0235823015548308i</v>
      </c>
      <c r="AR105" s="147" t="str">
        <f t="shared" si="64"/>
        <v>0.996797619451502-0.0281514928185376i</v>
      </c>
    </row>
    <row r="106" spans="1:44">
      <c r="G106" s="585">
        <v>5248.1</v>
      </c>
      <c r="H106" s="573">
        <f t="shared" si="56"/>
        <v>5.2481</v>
      </c>
      <c r="I106" s="574">
        <f t="shared" si="34"/>
        <v>36.262892818987851</v>
      </c>
      <c r="J106" s="575">
        <f t="shared" si="35"/>
        <v>1.5432164315188233</v>
      </c>
      <c r="K106" s="575">
        <f t="shared" si="36"/>
        <v>1.0004209280757914</v>
      </c>
      <c r="L106" s="576">
        <f t="shared" si="37"/>
        <v>2.9009670057964912E-2</v>
      </c>
      <c r="M106" s="575">
        <f t="shared" si="38"/>
        <v>1.000650556911638</v>
      </c>
      <c r="N106" s="576">
        <f t="shared" si="39"/>
        <v>-3.6061181910905488E-2</v>
      </c>
      <c r="O106" s="574">
        <f t="shared" si="40"/>
        <v>98924.354323844382</v>
      </c>
      <c r="P106" s="577">
        <f t="shared" si="41"/>
        <v>1.5707862180607346</v>
      </c>
      <c r="Q106" s="586">
        <f t="shared" si="42"/>
        <v>13.293529123840894</v>
      </c>
      <c r="R106" s="587">
        <f t="shared" si="43"/>
        <v>1.4955006304433029</v>
      </c>
      <c r="S106" s="574">
        <f t="shared" si="44"/>
        <v>1.0195766431354936</v>
      </c>
      <c r="T106" s="577">
        <f t="shared" si="45"/>
        <v>0.19627795689119337</v>
      </c>
      <c r="U106" s="578">
        <f t="shared" si="57"/>
        <v>0.99570562535424567</v>
      </c>
      <c r="V106" s="579">
        <f t="shared" si="58"/>
        <v>-0.10875738474626029</v>
      </c>
      <c r="W106" s="580">
        <f t="shared" si="46"/>
        <v>-1.4314068806792974</v>
      </c>
      <c r="X106" s="581">
        <f t="shared" si="47"/>
        <v>-110.61459450282224</v>
      </c>
      <c r="Y106" s="584">
        <f t="shared" si="48"/>
        <v>69.385405497177757</v>
      </c>
      <c r="AA106" s="147">
        <f t="shared" si="49"/>
        <v>5248.1</v>
      </c>
      <c r="AB106" s="147">
        <f t="shared" si="50"/>
        <v>27542553.610000003</v>
      </c>
      <c r="AD106" s="583">
        <f t="shared" si="51"/>
        <v>27.503793884568417</v>
      </c>
      <c r="AE106" s="584">
        <f t="shared" si="52"/>
        <v>-15.559444987736557</v>
      </c>
      <c r="AG106" s="583">
        <f t="shared" si="53"/>
        <v>30.426753680082825</v>
      </c>
      <c r="AH106" s="584">
        <f t="shared" si="54"/>
        <v>-82.592471227162648</v>
      </c>
      <c r="AJ106" s="147">
        <f t="shared" si="55"/>
        <v>0</v>
      </c>
      <c r="AK106" s="147">
        <f t="shared" si="65"/>
        <v>0</v>
      </c>
      <c r="AM106" s="147" t="str">
        <f t="shared" si="59"/>
        <v>0.01209182486998+0.15504011581289i</v>
      </c>
      <c r="AN106" s="147" t="str">
        <f t="shared" si="60"/>
        <v>0.155668060038297i</v>
      </c>
      <c r="AO106" s="147" t="str">
        <f t="shared" si="61"/>
        <v>0.995966133160184-0.0776769805379807i</v>
      </c>
      <c r="AP106" s="147" t="str">
        <f t="shared" si="62"/>
        <v>0.16465136252167-0.0258400193021483i</v>
      </c>
      <c r="AQ106" s="147" t="str">
        <f t="shared" si="63"/>
        <v>0.83534863747833+0.0258400193021483i</v>
      </c>
      <c r="AR106" s="147" t="str">
        <f t="shared" si="64"/>
        <v>0.99623517303203-0.0308167571546371i</v>
      </c>
    </row>
    <row r="107" spans="1:44">
      <c r="G107" s="585">
        <v>5370.3</v>
      </c>
      <c r="H107" s="573">
        <f t="shared" si="56"/>
        <v>5.3703000000000003</v>
      </c>
      <c r="I107" s="574">
        <f t="shared" si="34"/>
        <v>37.106625594272145</v>
      </c>
      <c r="J107" s="575">
        <f t="shared" si="35"/>
        <v>1.5438436985708837</v>
      </c>
      <c r="K107" s="575">
        <f t="shared" si="36"/>
        <v>1.0004407542217919</v>
      </c>
      <c r="L107" s="576">
        <f t="shared" si="37"/>
        <v>2.9684756888090608E-2</v>
      </c>
      <c r="M107" s="575">
        <f t="shared" si="38"/>
        <v>1.000681195131808</v>
      </c>
      <c r="N107" s="576">
        <f t="shared" si="39"/>
        <v>-3.690009938863572E-2</v>
      </c>
      <c r="O107" s="574">
        <f t="shared" si="40"/>
        <v>101227.77005470937</v>
      </c>
      <c r="P107" s="577">
        <f t="shared" si="41"/>
        <v>1.5707864480827658</v>
      </c>
      <c r="Q107" s="586">
        <f t="shared" si="42"/>
        <v>13.601332104746106</v>
      </c>
      <c r="R107" s="587">
        <f t="shared" si="43"/>
        <v>1.4972077172326417</v>
      </c>
      <c r="S107" s="574">
        <f t="shared" si="44"/>
        <v>1.0204896632893001</v>
      </c>
      <c r="T107" s="577">
        <f t="shared" si="45"/>
        <v>0.20072776549270682</v>
      </c>
      <c r="U107" s="578">
        <f t="shared" si="57"/>
        <v>0.99552321706209501</v>
      </c>
      <c r="V107" s="579">
        <f t="shared" si="58"/>
        <v>-0.11127967224892701</v>
      </c>
      <c r="W107" s="580">
        <f t="shared" si="46"/>
        <v>-1.6412209610734987</v>
      </c>
      <c r="X107" s="581">
        <f t="shared" si="47"/>
        <v>-110.96159705472111</v>
      </c>
      <c r="Y107" s="584">
        <f t="shared" si="48"/>
        <v>69.038402945278889</v>
      </c>
      <c r="AA107" s="147">
        <f t="shared" si="49"/>
        <v>5370.3</v>
      </c>
      <c r="AB107" s="147">
        <f t="shared" si="50"/>
        <v>28840122.090000004</v>
      </c>
      <c r="AD107" s="583">
        <f t="shared" si="51"/>
        <v>27.494913402575559</v>
      </c>
      <c r="AE107" s="584">
        <f t="shared" si="52"/>
        <v>-15.716604551423805</v>
      </c>
      <c r="AG107" s="583">
        <f t="shared" si="53"/>
        <v>30.229002796325567</v>
      </c>
      <c r="AH107" s="584">
        <f t="shared" si="54"/>
        <v>-82.493281357801195</v>
      </c>
      <c r="AJ107" s="147">
        <f t="shared" si="55"/>
        <v>0</v>
      </c>
      <c r="AK107" s="147">
        <f t="shared" si="65"/>
        <v>0</v>
      </c>
      <c r="AM107" s="147" t="str">
        <f t="shared" si="59"/>
        <v>0.012660282763318+0.158619931808677i</v>
      </c>
      <c r="AN107" s="147" t="str">
        <f t="shared" si="60"/>
        <v>0.159292731240576i</v>
      </c>
      <c r="AO107" s="147" t="str">
        <f t="shared" si="61"/>
        <v>0.995776333127951-0.0794780946043136i</v>
      </c>
      <c r="AP107" s="147" t="str">
        <f t="shared" si="62"/>
        <v>0.164556619539447-0.0264366553014462i</v>
      </c>
      <c r="AQ107" s="147" t="str">
        <f t="shared" si="63"/>
        <v>0.835443380460553+0.0264366553014462i</v>
      </c>
      <c r="AR107" s="147" t="str">
        <f t="shared" si="64"/>
        <v>0.996077942097439-0.0315197532525632i</v>
      </c>
    </row>
    <row r="108" spans="1:44">
      <c r="G108" s="585">
        <v>5432.85</v>
      </c>
      <c r="H108" s="573">
        <f t="shared" si="56"/>
        <v>5.4328500000000002</v>
      </c>
      <c r="I108" s="574">
        <f t="shared" si="34"/>
        <v>37.538508998374361</v>
      </c>
      <c r="J108" s="575">
        <f t="shared" si="35"/>
        <v>1.544153864428907</v>
      </c>
      <c r="K108" s="575">
        <f t="shared" si="36"/>
        <v>1.0004510789633305</v>
      </c>
      <c r="L108" s="576">
        <f t="shared" si="37"/>
        <v>3.0030300310835766E-2</v>
      </c>
      <c r="M108" s="575">
        <f t="shared" si="38"/>
        <v>1.0006971502804649</v>
      </c>
      <c r="N108" s="576">
        <f t="shared" si="39"/>
        <v>-3.7329492518252128E-2</v>
      </c>
      <c r="O108" s="574">
        <f t="shared" si="40"/>
        <v>102406.80977619751</v>
      </c>
      <c r="P108" s="577">
        <f t="shared" si="41"/>
        <v>1.5707865618192842</v>
      </c>
      <c r="Q108" s="586">
        <f t="shared" si="42"/>
        <v>13.758900739864277</v>
      </c>
      <c r="R108" s="587">
        <f t="shared" si="43"/>
        <v>1.498051961468357</v>
      </c>
      <c r="S108" s="574">
        <f t="shared" si="44"/>
        <v>1.0209648150906687</v>
      </c>
      <c r="T108" s="577">
        <f t="shared" si="45"/>
        <v>0.20300236783999165</v>
      </c>
      <c r="U108" s="578">
        <f t="shared" si="57"/>
        <v>0.99542826153257813</v>
      </c>
      <c r="V108" s="579">
        <f t="shared" si="58"/>
        <v>-0.11257047822611531</v>
      </c>
      <c r="W108" s="580">
        <f t="shared" si="46"/>
        <v>-1.7469132845662187</v>
      </c>
      <c r="X108" s="581">
        <f t="shared" si="47"/>
        <v>-111.14009021812687</v>
      </c>
      <c r="Y108" s="584">
        <f t="shared" si="48"/>
        <v>68.859909781873128</v>
      </c>
      <c r="AA108" s="147">
        <f t="shared" si="49"/>
        <v>5432.85</v>
      </c>
      <c r="AB108" s="147">
        <f t="shared" si="50"/>
        <v>29515859.122500002</v>
      </c>
      <c r="AD108" s="583">
        <f t="shared" si="51"/>
        <v>27.490332602800997</v>
      </c>
      <c r="AE108" s="584">
        <f t="shared" si="52"/>
        <v>-15.798564551125178</v>
      </c>
      <c r="AG108" s="583">
        <f t="shared" si="53"/>
        <v>30.129548316004801</v>
      </c>
      <c r="AH108" s="584">
        <f t="shared" si="54"/>
        <v>-82.441899052010271</v>
      </c>
      <c r="AJ108" s="147">
        <f t="shared" si="55"/>
        <v>0</v>
      </c>
      <c r="AK108" s="147">
        <f t="shared" si="65"/>
        <v>0</v>
      </c>
      <c r="AM108" s="147" t="str">
        <f t="shared" si="59"/>
        <v>0.012956276686062+0.160451513755895i</v>
      </c>
      <c r="AN108" s="147" t="str">
        <f t="shared" si="60"/>
        <v>0.161148076442724i</v>
      </c>
      <c r="AO108" s="147" t="str">
        <f t="shared" si="61"/>
        <v>0.995677499215595-0.0803998221515662i</v>
      </c>
      <c r="AP108" s="147" t="str">
        <f t="shared" si="62"/>
        <v>0.16450728721899-0.0267419189593158i</v>
      </c>
      <c r="AQ108" s="147" t="str">
        <f t="shared" si="63"/>
        <v>0.83549271278101+0.0267419189593158i</v>
      </c>
      <c r="AR108" s="147" t="str">
        <f t="shared" si="64"/>
        <v>0.995996106292025-0.0318792094183551i</v>
      </c>
    </row>
    <row r="109" spans="1:44">
      <c r="G109" s="585">
        <v>5495.4</v>
      </c>
      <c r="H109" s="573">
        <f t="shared" si="56"/>
        <v>5.4954000000000001</v>
      </c>
      <c r="I109" s="574">
        <f t="shared" si="34"/>
        <v>37.970395931636595</v>
      </c>
      <c r="J109" s="575">
        <f t="shared" si="35"/>
        <v>1.544456974472274</v>
      </c>
      <c r="K109" s="575">
        <f t="shared" si="36"/>
        <v>1.0004615231565113</v>
      </c>
      <c r="L109" s="576">
        <f t="shared" si="37"/>
        <v>3.0375836560322465E-2</v>
      </c>
      <c r="M109" s="575">
        <f t="shared" si="38"/>
        <v>1.0007132899302178</v>
      </c>
      <c r="N109" s="576">
        <f t="shared" si="39"/>
        <v>-3.7758871876404795E-2</v>
      </c>
      <c r="O109" s="574">
        <f t="shared" si="40"/>
        <v>103585.84949768691</v>
      </c>
      <c r="P109" s="577">
        <f t="shared" si="41"/>
        <v>1.5707866729666482</v>
      </c>
      <c r="Q109" s="586">
        <f t="shared" si="42"/>
        <v>13.91647895954171</v>
      </c>
      <c r="R109" s="587">
        <f t="shared" si="43"/>
        <v>1.4988770872921939</v>
      </c>
      <c r="S109" s="574">
        <f t="shared" si="44"/>
        <v>1.021445244245651</v>
      </c>
      <c r="T109" s="577">
        <f t="shared" si="45"/>
        <v>0.20527484225096082</v>
      </c>
      <c r="U109" s="578">
        <f t="shared" si="57"/>
        <v>0.99533223257865877</v>
      </c>
      <c r="V109" s="579">
        <f t="shared" si="58"/>
        <v>-0.11386110090981566</v>
      </c>
      <c r="W109" s="580">
        <f t="shared" si="46"/>
        <v>-1.8514882363536951</v>
      </c>
      <c r="X109" s="581">
        <f t="shared" si="47"/>
        <v>-111.3191415673339</v>
      </c>
      <c r="Y109" s="584">
        <f t="shared" si="48"/>
        <v>68.680858432666099</v>
      </c>
      <c r="AA109" s="147">
        <f t="shared" si="49"/>
        <v>5495.4</v>
      </c>
      <c r="AB109" s="147">
        <f t="shared" si="50"/>
        <v>30199421.159999996</v>
      </c>
      <c r="AD109" s="583">
        <f t="shared" si="51"/>
        <v>27.485726993783956</v>
      </c>
      <c r="AE109" s="584">
        <f t="shared" si="52"/>
        <v>-15.881497885021691</v>
      </c>
      <c r="AG109" s="583">
        <f t="shared" si="53"/>
        <v>30.031254909438477</v>
      </c>
      <c r="AH109" s="584">
        <f t="shared" si="54"/>
        <v>-82.390122601712008</v>
      </c>
      <c r="AJ109" s="147">
        <f t="shared" si="55"/>
        <v>0</v>
      </c>
      <c r="AK109" s="147">
        <f t="shared" si="65"/>
        <v>0</v>
      </c>
      <c r="AM109" s="147" t="str">
        <f t="shared" si="59"/>
        <v>0.013255668314184+0.162282543380093i</v>
      </c>
      <c r="AN109" s="147" t="str">
        <f t="shared" si="60"/>
        <v>0.163003421644873i</v>
      </c>
      <c r="AO109" s="147" t="str">
        <f t="shared" si="61"/>
        <v>0.995577526793575-0.0813214114183654i</v>
      </c>
      <c r="AP109" s="147" t="str">
        <f t="shared" si="62"/>
        <v>0.164457388614303-0.0270470905633488i</v>
      </c>
      <c r="AQ109" s="147" t="str">
        <f t="shared" si="63"/>
        <v>0.835542611385697+0.0270470905633488i</v>
      </c>
      <c r="AR109" s="147" t="str">
        <f t="shared" si="64"/>
        <v>0.995913354602201-0.0322384021211098i</v>
      </c>
    </row>
    <row r="110" spans="1:44">
      <c r="G110" s="585">
        <v>5559.4</v>
      </c>
      <c r="H110" s="573">
        <f t="shared" si="56"/>
        <v>5.5593999999999992</v>
      </c>
      <c r="I110" s="574">
        <f t="shared" si="34"/>
        <v>38.412298160998276</v>
      </c>
      <c r="J110" s="575">
        <f t="shared" si="35"/>
        <v>1.5447600561719961</v>
      </c>
      <c r="K110" s="575">
        <f t="shared" si="36"/>
        <v>1.0004723330947141</v>
      </c>
      <c r="L110" s="576">
        <f t="shared" si="37"/>
        <v>3.0729375332328984E-2</v>
      </c>
      <c r="M110" s="575">
        <f t="shared" si="38"/>
        <v>1.000729994677396</v>
      </c>
      <c r="N110" s="576">
        <f t="shared" si="39"/>
        <v>-3.8198190454286789E-2</v>
      </c>
      <c r="O110" s="574">
        <f t="shared" si="40"/>
        <v>104792.22107523135</v>
      </c>
      <c r="P110" s="577">
        <f t="shared" si="41"/>
        <v>1.5707867841018441</v>
      </c>
      <c r="Q110" s="586">
        <f t="shared" si="42"/>
        <v>14.077719656307274</v>
      </c>
      <c r="R110" s="587">
        <f t="shared" si="43"/>
        <v>1.4997022208774369</v>
      </c>
      <c r="S110" s="574">
        <f t="shared" si="44"/>
        <v>1.021942264960382</v>
      </c>
      <c r="T110" s="577">
        <f t="shared" si="45"/>
        <v>0.20759777209137859</v>
      </c>
      <c r="U110" s="578">
        <f t="shared" si="57"/>
        <v>0.99523286742517181</v>
      </c>
      <c r="V110" s="579">
        <f t="shared" si="58"/>
        <v>-0.1151814502622273</v>
      </c>
      <c r="W110" s="580">
        <f t="shared" si="46"/>
        <v>-1.9573586389020181</v>
      </c>
      <c r="X110" s="581">
        <f t="shared" si="47"/>
        <v>-111.50289590757541</v>
      </c>
      <c r="Y110" s="584">
        <f t="shared" si="48"/>
        <v>68.497104092424593</v>
      </c>
      <c r="AA110" s="147">
        <f t="shared" si="49"/>
        <v>5559.4</v>
      </c>
      <c r="AB110" s="147">
        <f t="shared" si="50"/>
        <v>30906928.359999996</v>
      </c>
      <c r="AD110" s="583">
        <f t="shared" si="51"/>
        <v>27.480988226465051</v>
      </c>
      <c r="AE110" s="584">
        <f t="shared" si="52"/>
        <v>-15.967321656689467</v>
      </c>
      <c r="AG110" s="583">
        <f t="shared" si="53"/>
        <v>29.931857605345019</v>
      </c>
      <c r="AH110" s="584">
        <f t="shared" si="54"/>
        <v>-82.336752279360837</v>
      </c>
      <c r="AJ110" s="147">
        <f t="shared" si="55"/>
        <v>0</v>
      </c>
      <c r="AK110" s="147">
        <f t="shared" si="65"/>
        <v>0</v>
      </c>
      <c r="AM110" s="147" t="str">
        <f t="shared" si="59"/>
        <v>0.013565515964725+0.164155440683704i</v>
      </c>
      <c r="AN110" s="147" t="str">
        <f t="shared" si="60"/>
        <v>0.16490177644803i</v>
      </c>
      <c r="AO110" s="147" t="str">
        <f t="shared" si="61"/>
        <v>0.995474058676613-0.0822642196883808i</v>
      </c>
      <c r="AP110" s="147" t="str">
        <f t="shared" si="62"/>
        <v>0.164405747339213-0.0273592401139507i</v>
      </c>
      <c r="AQ110" s="147" t="str">
        <f t="shared" si="63"/>
        <v>0.835594252660787+0.0273592401139507i</v>
      </c>
      <c r="AR110" s="147" t="str">
        <f t="shared" si="64"/>
        <v>0.99582773775584-0.0326056457456926i</v>
      </c>
    </row>
    <row r="111" spans="1:44">
      <c r="G111" s="585">
        <v>5623.4</v>
      </c>
      <c r="H111" s="573">
        <f t="shared" si="56"/>
        <v>5.6233999999999993</v>
      </c>
      <c r="I111" s="574">
        <f t="shared" si="34"/>
        <v>38.854203838594884</v>
      </c>
      <c r="J111" s="575">
        <f t="shared" si="35"/>
        <v>1.5450562437397035</v>
      </c>
      <c r="K111" s="575">
        <f t="shared" si="36"/>
        <v>1.0004832680789055</v>
      </c>
      <c r="L111" s="576">
        <f t="shared" si="37"/>
        <v>3.1082906420375429E-2</v>
      </c>
      <c r="M111" s="575">
        <f t="shared" si="38"/>
        <v>1.0007468925598069</v>
      </c>
      <c r="N111" s="576">
        <f t="shared" si="39"/>
        <v>-3.8637494280925985E-2</v>
      </c>
      <c r="O111" s="574">
        <f t="shared" si="40"/>
        <v>105998.59265277705</v>
      </c>
      <c r="P111" s="577">
        <f t="shared" si="41"/>
        <v>1.5707868927073774</v>
      </c>
      <c r="Q111" s="586">
        <f t="shared" si="42"/>
        <v>14.238969720746661</v>
      </c>
      <c r="R111" s="587">
        <f t="shared" si="43"/>
        <v>1.5005086664521305</v>
      </c>
      <c r="S111" s="574">
        <f t="shared" si="44"/>
        <v>1.0224447947001229</v>
      </c>
      <c r="T111" s="577">
        <f t="shared" si="45"/>
        <v>0.20991843101236879</v>
      </c>
      <c r="U111" s="578">
        <f t="shared" si="57"/>
        <v>0.99513238040091279</v>
      </c>
      <c r="V111" s="579">
        <f t="shared" si="58"/>
        <v>-0.11650160340904545</v>
      </c>
      <c r="W111" s="580">
        <f t="shared" si="46"/>
        <v>-2.0621146867791702</v>
      </c>
      <c r="X111" s="581">
        <f t="shared" si="47"/>
        <v>-111.68718408156599</v>
      </c>
      <c r="Y111" s="584">
        <f t="shared" si="48"/>
        <v>68.312815918434012</v>
      </c>
      <c r="AA111" s="147">
        <f t="shared" si="49"/>
        <v>5623.4</v>
      </c>
      <c r="AB111" s="147">
        <f t="shared" si="50"/>
        <v>31622627.559999995</v>
      </c>
      <c r="AD111" s="583">
        <f t="shared" si="51"/>
        <v>27.476222083457277</v>
      </c>
      <c r="AE111" s="584">
        <f t="shared" si="52"/>
        <v>-16.054085913452464</v>
      </c>
      <c r="AG111" s="583">
        <f t="shared" si="53"/>
        <v>29.833621788986715</v>
      </c>
      <c r="AH111" s="584">
        <f t="shared" si="54"/>
        <v>-82.282997789168348</v>
      </c>
      <c r="AJ111" s="147">
        <f t="shared" si="55"/>
        <v>0</v>
      </c>
      <c r="AK111" s="147">
        <f t="shared" si="65"/>
        <v>0</v>
      </c>
      <c r="AM111" s="147" t="str">
        <f t="shared" si="59"/>
        <v>0.013878918478417+0.166027746412166i</v>
      </c>
      <c r="AN111" s="147" t="str">
        <f t="shared" si="60"/>
        <v>0.166800131251188i</v>
      </c>
      <c r="AO111" s="147" t="str">
        <f t="shared" si="61"/>
        <v>0.995369399093225-0.0832068798406185i</v>
      </c>
      <c r="AP111" s="147" t="str">
        <f t="shared" si="62"/>
        <v>0.16435351358693-0.0276712910686943i</v>
      </c>
      <c r="AQ111" s="147" t="str">
        <f t="shared" si="63"/>
        <v>0.83564648641307+0.0276712910686943i</v>
      </c>
      <c r="AR111" s="147" t="str">
        <f t="shared" si="64"/>
        <v>0.995741164368187-0.0329726074797288i</v>
      </c>
    </row>
    <row r="112" spans="1:44">
      <c r="G112" s="585">
        <v>5688.9</v>
      </c>
      <c r="H112" s="573">
        <f t="shared" si="56"/>
        <v>5.6888999999999994</v>
      </c>
      <c r="I112" s="574">
        <f t="shared" si="34"/>
        <v>39.306470129556686</v>
      </c>
      <c r="J112" s="575">
        <f t="shared" si="35"/>
        <v>1.5453524773955756</v>
      </c>
      <c r="K112" s="575">
        <f t="shared" si="36"/>
        <v>1.000494588823992</v>
      </c>
      <c r="L112" s="576">
        <f t="shared" si="37"/>
        <v>3.1444715345135148E-2</v>
      </c>
      <c r="M112" s="575">
        <f t="shared" si="38"/>
        <v>1.0007643864543165</v>
      </c>
      <c r="N112" s="576">
        <f t="shared" si="39"/>
        <v>-3.9087078840953873E-2</v>
      </c>
      <c r="O112" s="574">
        <f t="shared" si="40"/>
        <v>107233.23856417273</v>
      </c>
      <c r="P112" s="577">
        <f t="shared" si="41"/>
        <v>1.5707870013281533</v>
      </c>
      <c r="Q112" s="586">
        <f t="shared" si="42"/>
        <v>14.404008454850608</v>
      </c>
      <c r="R112" s="587">
        <f t="shared" si="43"/>
        <v>1.5013153168157694</v>
      </c>
      <c r="S112" s="574">
        <f t="shared" si="44"/>
        <v>1.0229647982226302</v>
      </c>
      <c r="T112" s="577">
        <f t="shared" si="45"/>
        <v>0.21229110642590637</v>
      </c>
      <c r="U112" s="578">
        <f t="shared" si="57"/>
        <v>0.9950283776099611</v>
      </c>
      <c r="V112" s="579">
        <f t="shared" si="58"/>
        <v>-0.11785249221454334</v>
      </c>
      <c r="W112" s="580">
        <f t="shared" si="46"/>
        <v>-2.1681998530170485</v>
      </c>
      <c r="X112" s="581">
        <f t="shared" si="47"/>
        <v>-111.87631927008772</v>
      </c>
      <c r="Y112" s="584">
        <f t="shared" si="48"/>
        <v>68.12368072991228</v>
      </c>
      <c r="AA112" s="147">
        <f t="shared" si="49"/>
        <v>5688.9</v>
      </c>
      <c r="AB112" s="147">
        <f t="shared" si="50"/>
        <v>32363583.209999997</v>
      </c>
      <c r="AD112" s="583">
        <f t="shared" si="51"/>
        <v>27.471315222448656</v>
      </c>
      <c r="AE112" s="584">
        <f t="shared" si="52"/>
        <v>-16.143818763037991</v>
      </c>
      <c r="AG112" s="583">
        <f t="shared" si="53"/>
        <v>29.734259129576909</v>
      </c>
      <c r="AH112" s="584">
        <f t="shared" si="54"/>
        <v>-82.227599673634685</v>
      </c>
      <c r="AJ112" s="147">
        <f t="shared" si="55"/>
        <v>0</v>
      </c>
      <c r="AK112" s="147">
        <f t="shared" si="65"/>
        <v>0</v>
      </c>
      <c r="AM112" s="147" t="str">
        <f t="shared" si="59"/>
        <v>0.014203346000047+0.167943314729992i</v>
      </c>
      <c r="AN112" s="147" t="str">
        <f t="shared" si="60"/>
        <v>0.168742978745044i</v>
      </c>
      <c r="AO112" s="147" t="str">
        <f t="shared" si="61"/>
        <v>0.99526105310574-0.084171478456043i</v>
      </c>
      <c r="AP112" s="147" t="str">
        <f t="shared" si="62"/>
        <v>0.164299442333325-0.0279905524549987i</v>
      </c>
      <c r="AQ112" s="147" t="str">
        <f t="shared" si="63"/>
        <v>0.835700557666675+0.0279905524549987i</v>
      </c>
      <c r="AR112" s="147" t="str">
        <f t="shared" si="64"/>
        <v>0.995651572716592-0.0333478748067815i</v>
      </c>
    </row>
    <row r="113" spans="7:44">
      <c r="G113" s="585">
        <v>5754.4</v>
      </c>
      <c r="H113" s="573">
        <f t="shared" si="56"/>
        <v>5.7543999999999995</v>
      </c>
      <c r="I113" s="574">
        <f t="shared" si="34"/>
        <v>39.758739791359432</v>
      </c>
      <c r="J113" s="575">
        <f t="shared" si="35"/>
        <v>1.545641971552129</v>
      </c>
      <c r="K113" s="575">
        <f t="shared" si="36"/>
        <v>1.0005060405365469</v>
      </c>
      <c r="L113" s="576">
        <f t="shared" si="37"/>
        <v>3.1806516034783391E-2</v>
      </c>
      <c r="M113" s="575">
        <f t="shared" si="38"/>
        <v>1.0007820826225098</v>
      </c>
      <c r="N113" s="576">
        <f t="shared" si="39"/>
        <v>-3.9536647592435421E-2</v>
      </c>
      <c r="O113" s="574">
        <f t="shared" si="40"/>
        <v>108467.88447556968</v>
      </c>
      <c r="P113" s="577">
        <f t="shared" si="41"/>
        <v>1.5707871074761568</v>
      </c>
      <c r="Q113" s="586">
        <f t="shared" si="42"/>
        <v>14.569056349077277</v>
      </c>
      <c r="R113" s="587">
        <f t="shared" si="43"/>
        <v>1.5021036911464107</v>
      </c>
      <c r="S113" s="574">
        <f t="shared" si="44"/>
        <v>1.0234905547454176</v>
      </c>
      <c r="T113" s="577">
        <f t="shared" si="45"/>
        <v>0.21466135753392845</v>
      </c>
      <c r="U113" s="578">
        <f t="shared" si="57"/>
        <v>0.99492320182217353</v>
      </c>
      <c r="V113" s="579">
        <f t="shared" si="58"/>
        <v>-0.11920317089525122</v>
      </c>
      <c r="W113" s="580">
        <f t="shared" si="46"/>
        <v>-2.2731731669018052</v>
      </c>
      <c r="X113" s="581">
        <f t="shared" si="47"/>
        <v>-112.06596393595689</v>
      </c>
      <c r="Y113" s="584">
        <f t="shared" si="48"/>
        <v>67.934036064043113</v>
      </c>
      <c r="AA113" s="147">
        <f t="shared" si="49"/>
        <v>5754.4</v>
      </c>
      <c r="AB113" s="147">
        <f t="shared" si="50"/>
        <v>33113119.359999996</v>
      </c>
      <c r="AD113" s="583">
        <f t="shared" si="51"/>
        <v>27.466378382077746</v>
      </c>
      <c r="AE113" s="584">
        <f t="shared" si="52"/>
        <v>-16.234459708027838</v>
      </c>
      <c r="AG113" s="583">
        <f t="shared" si="53"/>
        <v>29.636058972676217</v>
      </c>
      <c r="AH113" s="584">
        <f t="shared" si="54"/>
        <v>-82.171827018571406</v>
      </c>
      <c r="AJ113" s="147">
        <f t="shared" si="55"/>
        <v>0</v>
      </c>
      <c r="AK113" s="147">
        <f t="shared" si="65"/>
        <v>0</v>
      </c>
      <c r="AM113" s="147" t="str">
        <f t="shared" si="59"/>
        <v>0.014531494564141+0.169858249119712i</v>
      </c>
      <c r="AN113" s="147" t="str">
        <f t="shared" si="60"/>
        <v>0.170685826238901i</v>
      </c>
      <c r="AO113" s="147" t="str">
        <f t="shared" si="61"/>
        <v>0.995151459629514-0.0851359183380695i</v>
      </c>
      <c r="AP113" s="147" t="str">
        <f t="shared" si="62"/>
        <v>0.164244750905976-0.0283097081866187i</v>
      </c>
      <c r="AQ113" s="147" t="str">
        <f t="shared" si="63"/>
        <v>0.835755249094024+0.0283097081866187i</v>
      </c>
      <c r="AR113" s="147" t="str">
        <f t="shared" si="64"/>
        <v>0.995560981676382-0.0337228403935172i</v>
      </c>
    </row>
    <row r="114" spans="7:44">
      <c r="G114" s="585">
        <v>5821.4</v>
      </c>
      <c r="H114" s="573">
        <f t="shared" si="56"/>
        <v>5.8213999999999997</v>
      </c>
      <c r="I114" s="574">
        <f t="shared" si="34"/>
        <v>40.221370142634221</v>
      </c>
      <c r="J114" s="575">
        <f t="shared" si="35"/>
        <v>1.5459313595319857</v>
      </c>
      <c r="K114" s="575">
        <f t="shared" si="36"/>
        <v>1.0005178899980665</v>
      </c>
      <c r="L114" s="576">
        <f t="shared" si="37"/>
        <v>3.2176593617802625E-2</v>
      </c>
      <c r="M114" s="575">
        <f t="shared" si="38"/>
        <v>1.0008003933103335</v>
      </c>
      <c r="N114" s="576">
        <f t="shared" si="39"/>
        <v>-3.9996495267202385E-2</v>
      </c>
      <c r="O114" s="574">
        <f t="shared" si="40"/>
        <v>109730.80472081661</v>
      </c>
      <c r="P114" s="577">
        <f t="shared" si="41"/>
        <v>1.5707872135836833</v>
      </c>
      <c r="Q114" s="586">
        <f t="shared" si="42"/>
        <v>14.737893122425675</v>
      </c>
      <c r="R114" s="587">
        <f t="shared" si="43"/>
        <v>1.5028918503346007</v>
      </c>
      <c r="S114" s="574">
        <f t="shared" si="44"/>
        <v>1.0240342943865746</v>
      </c>
      <c r="T114" s="577">
        <f t="shared" si="45"/>
        <v>0.21708335713334587</v>
      </c>
      <c r="U114" s="578">
        <f t="shared" si="57"/>
        <v>0.99481440494366569</v>
      </c>
      <c r="V114" s="579">
        <f t="shared" si="58"/>
        <v>-0.12058456132244828</v>
      </c>
      <c r="W114" s="580">
        <f t="shared" si="46"/>
        <v>-2.3794277890196494</v>
      </c>
      <c r="X114" s="581">
        <f t="shared" si="47"/>
        <v>-112.26045417426322</v>
      </c>
      <c r="Y114" s="584">
        <f t="shared" si="48"/>
        <v>67.739545825736784</v>
      </c>
      <c r="AA114" s="147">
        <f t="shared" si="49"/>
        <v>5821.4</v>
      </c>
      <c r="AB114" s="147">
        <f t="shared" si="50"/>
        <v>33888697.959999993</v>
      </c>
      <c r="AD114" s="583">
        <f t="shared" si="51"/>
        <v>27.461296850244842</v>
      </c>
      <c r="AE114" s="584">
        <f t="shared" si="52"/>
        <v>-16.328077947609515</v>
      </c>
      <c r="AG114" s="583">
        <f t="shared" si="53"/>
        <v>29.536785625709015</v>
      </c>
      <c r="AH114" s="584">
        <f t="shared" si="54"/>
        <v>-82.114403334438876</v>
      </c>
      <c r="AJ114" s="147">
        <f t="shared" si="55"/>
        <v>0</v>
      </c>
      <c r="AK114" s="147">
        <f t="shared" si="65"/>
        <v>0</v>
      </c>
      <c r="AM114" s="147" t="str">
        <f t="shared" si="59"/>
        <v>0.0148710065297331+0.171816373562763i</v>
      </c>
      <c r="AN114" s="147" t="str">
        <f t="shared" si="60"/>
        <v>0.172673166423456i</v>
      </c>
      <c r="AO114" s="147" t="str">
        <f t="shared" si="61"/>
        <v>0.995038065969139-0.0861222785088918i</v>
      </c>
      <c r="AP114" s="147" t="str">
        <f t="shared" si="62"/>
        <v>0.164188165578378-0.0286360622604605i</v>
      </c>
      <c r="AQ114" s="147" t="str">
        <f t="shared" si="63"/>
        <v>0.835811834421622+0.0286360622604605i</v>
      </c>
      <c r="AR114" s="147" t="str">
        <f t="shared" si="64"/>
        <v>0.995467283399074-0.034106077386896i</v>
      </c>
    </row>
    <row r="115" spans="7:44">
      <c r="G115" s="585">
        <v>5888.4</v>
      </c>
      <c r="H115" s="573">
        <f t="shared" si="56"/>
        <v>5.8883999999999999</v>
      </c>
      <c r="I115" s="574">
        <f t="shared" si="34"/>
        <v>40.684003785658497</v>
      </c>
      <c r="J115" s="575">
        <f t="shared" si="35"/>
        <v>1.5462141660483566</v>
      </c>
      <c r="K115" s="575">
        <f t="shared" si="36"/>
        <v>1.0005298764846757</v>
      </c>
      <c r="L115" s="576">
        <f t="shared" si="37"/>
        <v>3.2546662384343034E-2</v>
      </c>
      <c r="M115" s="575">
        <f t="shared" si="38"/>
        <v>1.0008189156195222</v>
      </c>
      <c r="N115" s="576">
        <f t="shared" si="39"/>
        <v>-4.0456326018259207E-2</v>
      </c>
      <c r="O115" s="574">
        <f t="shared" si="40"/>
        <v>110993.72496606476</v>
      </c>
      <c r="P115" s="577">
        <f t="shared" si="41"/>
        <v>1.570787317276563</v>
      </c>
      <c r="Q115" s="586">
        <f t="shared" si="42"/>
        <v>14.906738843489769</v>
      </c>
      <c r="R115" s="587">
        <f t="shared" si="43"/>
        <v>1.5036621553417584</v>
      </c>
      <c r="S115" s="574">
        <f t="shared" si="44"/>
        <v>1.0245840347005715</v>
      </c>
      <c r="T115" s="577">
        <f t="shared" si="45"/>
        <v>0.21950277186603301</v>
      </c>
      <c r="U115" s="578">
        <f t="shared" si="57"/>
        <v>0.99470438300059361</v>
      </c>
      <c r="V115" s="579">
        <f t="shared" si="58"/>
        <v>-0.12196572696342846</v>
      </c>
      <c r="W115" s="580">
        <f t="shared" si="46"/>
        <v>-2.4845742638912531</v>
      </c>
      <c r="X115" s="581">
        <f t="shared" si="47"/>
        <v>-112.45542870759421</v>
      </c>
      <c r="Y115" s="584">
        <f t="shared" si="48"/>
        <v>67.544571292405791</v>
      </c>
      <c r="AA115" s="147">
        <f t="shared" si="49"/>
        <v>5888.4</v>
      </c>
      <c r="AB115" s="147">
        <f t="shared" si="50"/>
        <v>34673254.559999995</v>
      </c>
      <c r="AD115" s="583">
        <f t="shared" si="51"/>
        <v>27.456182742559552</v>
      </c>
      <c r="AE115" s="584">
        <f t="shared" si="52"/>
        <v>-16.422570916108665</v>
      </c>
      <c r="AG115" s="583">
        <f t="shared" si="53"/>
        <v>29.438674604452292</v>
      </c>
      <c r="AH115" s="584">
        <f t="shared" si="54"/>
        <v>-82.056614975016558</v>
      </c>
      <c r="AJ115" s="147">
        <f t="shared" si="55"/>
        <v>0</v>
      </c>
      <c r="AK115" s="147">
        <f t="shared" si="65"/>
        <v>0</v>
      </c>
      <c r="AM115" s="147" t="str">
        <f t="shared" si="59"/>
        <v>0.015214409281701+0.173773819413661i</v>
      </c>
      <c r="AN115" s="147" t="str">
        <f t="shared" si="60"/>
        <v>0.174660506608012i</v>
      </c>
      <c r="AO115" s="147" t="str">
        <f t="shared" si="61"/>
        <v>0.994923367557035-0.087108468749873i</v>
      </c>
      <c r="AP115" s="147" t="str">
        <f t="shared" si="62"/>
        <v>0.164130931786383-0.0289623032356102i</v>
      </c>
      <c r="AQ115" s="147" t="str">
        <f t="shared" si="63"/>
        <v>0.835869068213617+0.0289623032356102i</v>
      </c>
      <c r="AR115" s="147" t="str">
        <f t="shared" si="64"/>
        <v>0.995372542186195-0.0344889917517912i</v>
      </c>
    </row>
    <row r="116" spans="7:44">
      <c r="G116" s="585">
        <v>5957</v>
      </c>
      <c r="H116" s="573">
        <f t="shared" si="56"/>
        <v>5.9569999999999999</v>
      </c>
      <c r="I116" s="574">
        <f t="shared" si="34"/>
        <v>41.157688690952618</v>
      </c>
      <c r="J116" s="575">
        <f t="shared" si="35"/>
        <v>1.5464971387935516</v>
      </c>
      <c r="K116" s="575">
        <f t="shared" si="36"/>
        <v>1.0005422911831205</v>
      </c>
      <c r="L116" s="576">
        <f t="shared" si="37"/>
        <v>3.2925559373632694E-2</v>
      </c>
      <c r="M116" s="575">
        <f t="shared" si="38"/>
        <v>1.0008380995024151</v>
      </c>
      <c r="N116" s="576">
        <f t="shared" si="39"/>
        <v>-4.0927120065324021E-2</v>
      </c>
      <c r="O116" s="574">
        <f t="shared" si="40"/>
        <v>112286.8045007529</v>
      </c>
      <c r="P116" s="577">
        <f t="shared" si="41"/>
        <v>1.5707874210289479</v>
      </c>
      <c r="Q116" s="586">
        <f t="shared" si="42"/>
        <v>15.079625658066247</v>
      </c>
      <c r="R116" s="587">
        <f t="shared" si="43"/>
        <v>1.5044329822666487</v>
      </c>
      <c r="S116" s="574">
        <f t="shared" si="44"/>
        <v>1.0251531103923779</v>
      </c>
      <c r="T116" s="577">
        <f t="shared" si="45"/>
        <v>0.22197726025821782</v>
      </c>
      <c r="U116" s="578">
        <f t="shared" si="57"/>
        <v>0.99459046559037434</v>
      </c>
      <c r="V116" s="579">
        <f t="shared" si="58"/>
        <v>-0.12337964016535866</v>
      </c>
      <c r="W116" s="580">
        <f t="shared" si="46"/>
        <v>-2.5911111910477995</v>
      </c>
      <c r="X116" s="581">
        <f t="shared" si="47"/>
        <v>-112.65553698083718</v>
      </c>
      <c r="Y116" s="584">
        <f t="shared" si="48"/>
        <v>67.344463019162816</v>
      </c>
      <c r="AA116" s="147">
        <f t="shared" si="49"/>
        <v>5957</v>
      </c>
      <c r="AB116" s="147">
        <f t="shared" si="50"/>
        <v>35485849</v>
      </c>
      <c r="AD116" s="583">
        <f t="shared" si="51"/>
        <v>27.450912185558657</v>
      </c>
      <c r="AE116" s="584">
        <f t="shared" si="52"/>
        <v>-16.520189472589021</v>
      </c>
      <c r="AG116" s="583">
        <f t="shared" si="53"/>
        <v>29.339397831876504</v>
      </c>
      <c r="AH116" s="584">
        <f t="shared" si="54"/>
        <v>-81.997082173457187</v>
      </c>
      <c r="AJ116" s="147">
        <f t="shared" si="55"/>
        <v>0</v>
      </c>
      <c r="AK116" s="147">
        <f t="shared" si="65"/>
        <v>0</v>
      </c>
      <c r="AM116" s="147" t="str">
        <f t="shared" si="59"/>
        <v>0.015570042547128+0.175777299072824i</v>
      </c>
      <c r="AN116" s="147" t="str">
        <f t="shared" si="60"/>
        <v>0.176695305662646i</v>
      </c>
      <c r="AO116" s="147" t="str">
        <f t="shared" si="61"/>
        <v>0.994804578500944-0.0881180317085219i</v>
      </c>
      <c r="AP116" s="147" t="str">
        <f t="shared" si="62"/>
        <v>0.164071659575479-0.0292962165121373i</v>
      </c>
      <c r="AQ116" s="147" t="str">
        <f t="shared" si="63"/>
        <v>0.835928340424521+0.0292962165121373i</v>
      </c>
      <c r="AR116" s="147" t="str">
        <f t="shared" si="64"/>
        <v>0.995274459380284-0.0348807124258972i</v>
      </c>
    </row>
    <row r="117" spans="7:44">
      <c r="G117" s="585">
        <v>6025.6</v>
      </c>
      <c r="H117" s="573">
        <f t="shared" si="56"/>
        <v>6.0256000000000007</v>
      </c>
      <c r="I117" s="574">
        <f t="shared" si="34"/>
        <v>41.631376816893699</v>
      </c>
      <c r="J117" s="575">
        <f t="shared" si="35"/>
        <v>1.5467736721467593</v>
      </c>
      <c r="K117" s="575">
        <f t="shared" si="36"/>
        <v>1.0005548495187699</v>
      </c>
      <c r="L117" s="576">
        <f t="shared" si="37"/>
        <v>3.3304446905961675E-2</v>
      </c>
      <c r="M117" s="575">
        <f t="shared" si="38"/>
        <v>1.0008575052095725</v>
      </c>
      <c r="N117" s="576">
        <f t="shared" si="39"/>
        <v>-4.1397895960203809E-2</v>
      </c>
      <c r="O117" s="574">
        <f t="shared" si="40"/>
        <v>113579.8840354422</v>
      </c>
      <c r="P117" s="577">
        <f t="shared" si="41"/>
        <v>1.5707875224189414</v>
      </c>
      <c r="Q117" s="586">
        <f t="shared" si="42"/>
        <v>15.252521229442522</v>
      </c>
      <c r="R117" s="587">
        <f t="shared" si="43"/>
        <v>1.5051863341511671</v>
      </c>
      <c r="S117" s="574">
        <f t="shared" si="44"/>
        <v>1.0257284562043132</v>
      </c>
      <c r="T117" s="577">
        <f t="shared" si="45"/>
        <v>0.22444898781883957</v>
      </c>
      <c r="U117" s="578">
        <f t="shared" si="57"/>
        <v>0.99447526639684225</v>
      </c>
      <c r="V117" s="579">
        <f t="shared" si="58"/>
        <v>-0.12479331244488402</v>
      </c>
      <c r="W117" s="580">
        <f t="shared" si="46"/>
        <v>-2.6965416066188213</v>
      </c>
      <c r="X117" s="581">
        <f t="shared" si="47"/>
        <v>-112.85610492876911</v>
      </c>
      <c r="Y117" s="584">
        <f t="shared" si="48"/>
        <v>67.143895071230887</v>
      </c>
      <c r="AA117" s="147">
        <f t="shared" si="49"/>
        <v>6025.6</v>
      </c>
      <c r="AB117" s="147">
        <f t="shared" si="50"/>
        <v>36307855.360000007</v>
      </c>
      <c r="AD117" s="583">
        <f t="shared" si="51"/>
        <v>27.445606364855351</v>
      </c>
      <c r="AE117" s="584">
        <f t="shared" si="52"/>
        <v>-16.618650955778907</v>
      </c>
      <c r="AG117" s="583">
        <f t="shared" si="53"/>
        <v>29.241285453028482</v>
      </c>
      <c r="AH117" s="584">
        <f t="shared" si="54"/>
        <v>-81.937193727551247</v>
      </c>
      <c r="AJ117" s="147">
        <f t="shared" si="55"/>
        <v>0</v>
      </c>
      <c r="AK117" s="147">
        <f t="shared" si="65"/>
        <v>0</v>
      </c>
      <c r="AM117" s="147" t="str">
        <f t="shared" si="59"/>
        <v>0.015929751752025+0.177780050942646i</v>
      </c>
      <c r="AN117" s="147" t="str">
        <f t="shared" si="60"/>
        <v>0.178730104717281i</v>
      </c>
      <c r="AO117" s="147" t="str">
        <f t="shared" si="61"/>
        <v>0.994684422212263-0.0891274124033162i</v>
      </c>
      <c r="AP117" s="147" t="str">
        <f t="shared" si="62"/>
        <v>0.164011708041329-0.029630008490441i</v>
      </c>
      <c r="AQ117" s="147" t="str">
        <f t="shared" si="63"/>
        <v>0.835988291958671+0.029630008490441i</v>
      </c>
      <c r="AR117" s="147" t="str">
        <f t="shared" si="64"/>
        <v>0.995175286245636-0.0352720874975998i</v>
      </c>
    </row>
    <row r="118" spans="7:44">
      <c r="G118" s="585">
        <v>6095.8</v>
      </c>
      <c r="H118" s="573">
        <f t="shared" si="56"/>
        <v>6.0958000000000006</v>
      </c>
      <c r="I118" s="574">
        <f t="shared" si="34"/>
        <v>42.11611628321311</v>
      </c>
      <c r="J118" s="575">
        <f t="shared" si="35"/>
        <v>1.5470502154703976</v>
      </c>
      <c r="K118" s="575">
        <f t="shared" si="36"/>
        <v>1.0005678494560462</v>
      </c>
      <c r="L118" s="576">
        <f t="shared" si="37"/>
        <v>3.3692161561774847E-2</v>
      </c>
      <c r="M118" s="575">
        <f t="shared" si="38"/>
        <v>1.0008775931597285</v>
      </c>
      <c r="N118" s="576">
        <f t="shared" si="39"/>
        <v>-4.1879633042093578E-2</v>
      </c>
      <c r="O118" s="574">
        <f t="shared" si="40"/>
        <v>114903.12285957151</v>
      </c>
      <c r="P118" s="577">
        <f t="shared" si="41"/>
        <v>1.5707876238112428</v>
      </c>
      <c r="Q118" s="586">
        <f t="shared" si="42"/>
        <v>15.429458109007891</v>
      </c>
      <c r="R118" s="587">
        <f t="shared" si="43"/>
        <v>1.5059397777757344</v>
      </c>
      <c r="S118" s="574">
        <f t="shared" si="44"/>
        <v>1.0263237013466886</v>
      </c>
      <c r="T118" s="577">
        <f t="shared" si="45"/>
        <v>0.2269754801929596</v>
      </c>
      <c r="U118" s="578">
        <f t="shared" si="57"/>
        <v>0.99435605470144861</v>
      </c>
      <c r="V118" s="579">
        <f t="shared" si="58"/>
        <v>-0.126239704479186</v>
      </c>
      <c r="W118" s="580">
        <f t="shared" si="46"/>
        <v>-2.8033131418675028</v>
      </c>
      <c r="X118" s="581">
        <f t="shared" si="47"/>
        <v>-113.06180296115303</v>
      </c>
      <c r="Y118" s="584">
        <f t="shared" si="48"/>
        <v>66.938197038846965</v>
      </c>
      <c r="AA118" s="147">
        <f t="shared" si="49"/>
        <v>6095.8</v>
      </c>
      <c r="AB118" s="147">
        <f t="shared" si="50"/>
        <v>37158777.640000001</v>
      </c>
      <c r="AD118" s="583">
        <f t="shared" si="51"/>
        <v>27.440139764219147</v>
      </c>
      <c r="AE118" s="584">
        <f t="shared" si="52"/>
        <v>-16.720244975466258</v>
      </c>
      <c r="AG118" s="583">
        <f t="shared" si="53"/>
        <v>29.142063067338103</v>
      </c>
      <c r="AH118" s="584">
        <f t="shared" si="54"/>
        <v>-81.875553421884732</v>
      </c>
      <c r="AJ118" s="147">
        <f t="shared" si="55"/>
        <v>0</v>
      </c>
      <c r="AK118" s="147">
        <f t="shared" si="65"/>
        <v>0</v>
      </c>
      <c r="AM118" s="147" t="str">
        <f t="shared" si="59"/>
        <v>0.0163020687686179+0.179828752125735i</v>
      </c>
      <c r="AN118" s="147" t="str">
        <f t="shared" si="60"/>
        <v>0.180812362641994i</v>
      </c>
      <c r="AO118" s="147" t="str">
        <f t="shared" si="61"/>
        <v>0.99456004831812-0.0901601446406393i</v>
      </c>
      <c r="AP118" s="147" t="str">
        <f t="shared" si="62"/>
        <v>0.16394965520523-0.0299714586876225i</v>
      </c>
      <c r="AQ118" s="147" t="str">
        <f t="shared" si="63"/>
        <v>0.83605034479477+0.0299714586876225i</v>
      </c>
      <c r="AR118" s="147" t="str">
        <f t="shared" si="64"/>
        <v>0.995072672879555-0.0356722291810222i</v>
      </c>
    </row>
    <row r="119" spans="7:44">
      <c r="G119" s="585">
        <v>6166</v>
      </c>
      <c r="H119" s="573">
        <f t="shared" si="56"/>
        <v>6.1660000000000004</v>
      </c>
      <c r="I119" s="574">
        <f t="shared" si="34"/>
        <v>42.600858897114904</v>
      </c>
      <c r="J119" s="575">
        <f t="shared" si="35"/>
        <v>1.5473204654044137</v>
      </c>
      <c r="K119" s="575">
        <f t="shared" si="36"/>
        <v>1.0005809997974158</v>
      </c>
      <c r="L119" s="576">
        <f t="shared" si="37"/>
        <v>3.4079866084628478E-2</v>
      </c>
      <c r="M119" s="575">
        <f t="shared" si="38"/>
        <v>1.0008979133748093</v>
      </c>
      <c r="N119" s="576">
        <f t="shared" si="39"/>
        <v>-4.2361350675333448E-2</v>
      </c>
      <c r="O119" s="574">
        <f t="shared" si="40"/>
        <v>116226.36168370197</v>
      </c>
      <c r="P119" s="577">
        <f t="shared" si="41"/>
        <v>1.5707877228948388</v>
      </c>
      <c r="Q119" s="586">
        <f t="shared" si="42"/>
        <v>15.606403548914995</v>
      </c>
      <c r="R119" s="587">
        <f t="shared" si="43"/>
        <v>1.5066761367193011</v>
      </c>
      <c r="S119" s="574">
        <f t="shared" si="44"/>
        <v>1.0269254900622571</v>
      </c>
      <c r="T119" s="577">
        <f t="shared" si="45"/>
        <v>0.22949902755951426</v>
      </c>
      <c r="U119" s="578">
        <f t="shared" si="57"/>
        <v>0.9942355034604563</v>
      </c>
      <c r="V119" s="579">
        <f t="shared" si="58"/>
        <v>-0.12768583858659704</v>
      </c>
      <c r="W119" s="580">
        <f t="shared" si="46"/>
        <v>-2.9089810736020656</v>
      </c>
      <c r="X119" s="581">
        <f t="shared" si="47"/>
        <v>-113.26793510833373</v>
      </c>
      <c r="Y119" s="584">
        <f t="shared" si="48"/>
        <v>66.732064891666269</v>
      </c>
      <c r="AA119" s="147">
        <f t="shared" si="49"/>
        <v>6166</v>
      </c>
      <c r="AB119" s="147">
        <f t="shared" si="50"/>
        <v>38019556</v>
      </c>
      <c r="AD119" s="583">
        <f t="shared" si="51"/>
        <v>27.434635217123994</v>
      </c>
      <c r="AE119" s="584">
        <f t="shared" si="52"/>
        <v>-16.822649006487001</v>
      </c>
      <c r="AG119" s="583">
        <f t="shared" si="53"/>
        <v>29.044005886503044</v>
      </c>
      <c r="AH119" s="584">
        <f t="shared" si="54"/>
        <v>-81.813566775926162</v>
      </c>
      <c r="AJ119" s="147">
        <f t="shared" si="55"/>
        <v>0</v>
      </c>
      <c r="AK119" s="147">
        <f t="shared" si="65"/>
        <v>0</v>
      </c>
      <c r="AM119" s="147" t="str">
        <f t="shared" si="59"/>
        <v>0.016678650899256+0.181876673607952i</v>
      </c>
      <c r="AN119" s="147" t="str">
        <f t="shared" si="60"/>
        <v>0.182894620566708i</v>
      </c>
      <c r="AO119" s="147" t="str">
        <f t="shared" si="61"/>
        <v>0.99443424330578-0.0911926815976127i</v>
      </c>
      <c r="AP119" s="147" t="str">
        <f t="shared" si="62"/>
        <v>0.163886891516791-0.0303127789346587i</v>
      </c>
      <c r="AQ119" s="147" t="str">
        <f t="shared" si="63"/>
        <v>0.836113108483209+0.0303127789346587i</v>
      </c>
      <c r="AR119" s="147" t="str">
        <f t="shared" si="64"/>
        <v>0.994968921028844-0.0360720010773625i</v>
      </c>
    </row>
    <row r="120" spans="7:44">
      <c r="G120" s="585">
        <v>6237.8</v>
      </c>
      <c r="H120" s="573">
        <f t="shared" si="56"/>
        <v>6.2378</v>
      </c>
      <c r="I120" s="574">
        <f t="shared" si="34"/>
        <v>43.096652921027001</v>
      </c>
      <c r="J120" s="575">
        <f t="shared" si="35"/>
        <v>1.5475905860024679</v>
      </c>
      <c r="K120" s="575">
        <f t="shared" si="36"/>
        <v>1.0005946054406636</v>
      </c>
      <c r="L120" s="576">
        <f t="shared" si="37"/>
        <v>3.4476396574718536E-2</v>
      </c>
      <c r="M120" s="575">
        <f t="shared" si="38"/>
        <v>1.0009189369798839</v>
      </c>
      <c r="N120" s="576">
        <f t="shared" si="39"/>
        <v>-4.2854027277453605E-2</v>
      </c>
      <c r="O120" s="574">
        <f t="shared" si="40"/>
        <v>117579.75979727245</v>
      </c>
      <c r="P120" s="577">
        <f t="shared" si="41"/>
        <v>1.5707878219297589</v>
      </c>
      <c r="Q120" s="586">
        <f t="shared" si="42"/>
        <v>15.787390488536916</v>
      </c>
      <c r="R120" s="587">
        <f t="shared" si="43"/>
        <v>1.5074122035044064</v>
      </c>
      <c r="S120" s="574">
        <f t="shared" si="44"/>
        <v>1.0275477517606897</v>
      </c>
      <c r="T120" s="577">
        <f t="shared" si="45"/>
        <v>0.23207701714167245</v>
      </c>
      <c r="U120" s="578">
        <f t="shared" si="57"/>
        <v>0.99411082038311271</v>
      </c>
      <c r="V120" s="579">
        <f t="shared" si="58"/>
        <v>-0.12916466323959974</v>
      </c>
      <c r="W120" s="580">
        <f t="shared" si="46"/>
        <v>-3.0159433282414678</v>
      </c>
      <c r="X120" s="581">
        <f t="shared" si="47"/>
        <v>-113.47919113323901</v>
      </c>
      <c r="Y120" s="584">
        <f t="shared" si="48"/>
        <v>66.520808866760987</v>
      </c>
      <c r="AA120" s="147">
        <f t="shared" si="49"/>
        <v>6237.8</v>
      </c>
      <c r="AB120" s="147">
        <f t="shared" si="50"/>
        <v>38910148.840000004</v>
      </c>
      <c r="AD120" s="583">
        <f t="shared" si="51"/>
        <v>27.428965482597714</v>
      </c>
      <c r="AE120" s="584">
        <f t="shared" si="52"/>
        <v>-16.928189083350595</v>
      </c>
      <c r="AG120" s="583">
        <f t="shared" si="53"/>
        <v>28.944892028000272</v>
      </c>
      <c r="AH120" s="584">
        <f t="shared" si="54"/>
        <v>-81.749821901260347</v>
      </c>
      <c r="AJ120" s="147">
        <f t="shared" si="55"/>
        <v>0</v>
      </c>
      <c r="AK120" s="147">
        <f t="shared" si="65"/>
        <v>0</v>
      </c>
      <c r="AM120" s="147" t="str">
        <f t="shared" si="59"/>
        <v>0.017068226434151+0.183970455548425i</v>
      </c>
      <c r="AN120" s="147" t="str">
        <f t="shared" si="60"/>
        <v>0.1850243373615i</v>
      </c>
      <c r="AO120" s="147" t="str">
        <f t="shared" si="61"/>
        <v>0.99430409086662-0.0922485478264578i</v>
      </c>
      <c r="AP120" s="147" t="str">
        <f t="shared" si="62"/>
        <v>0.163821962260975-0.0306617425914042i</v>
      </c>
      <c r="AQ120" s="147" t="str">
        <f t="shared" si="63"/>
        <v>0.836178037739025+0.0306617425914042i</v>
      </c>
      <c r="AR120" s="147" t="str">
        <f t="shared" si="64"/>
        <v>0.994861628526473-0.0364804979217409i</v>
      </c>
    </row>
    <row r="121" spans="7:44">
      <c r="G121" s="585">
        <v>6309.6</v>
      </c>
      <c r="H121" s="573">
        <f t="shared" si="56"/>
        <v>6.3096000000000005</v>
      </c>
      <c r="I121" s="574">
        <f t="shared" si="34"/>
        <v>43.592450017963714</v>
      </c>
      <c r="J121" s="575">
        <f t="shared" si="35"/>
        <v>1.5478545622064177</v>
      </c>
      <c r="K121" s="575">
        <f t="shared" si="36"/>
        <v>1.0006083684095417</v>
      </c>
      <c r="L121" s="576">
        <f t="shared" si="37"/>
        <v>3.4872916218917152E-2</v>
      </c>
      <c r="M121" s="575">
        <f t="shared" si="38"/>
        <v>1.0009402035280062</v>
      </c>
      <c r="N121" s="576">
        <f t="shared" si="39"/>
        <v>-4.3346683063774184E-2</v>
      </c>
      <c r="O121" s="574">
        <f t="shared" si="40"/>
        <v>118933.15791084406</v>
      </c>
      <c r="P121" s="577">
        <f t="shared" si="41"/>
        <v>1.5707879187107461</v>
      </c>
      <c r="Q121" s="586">
        <f t="shared" si="42"/>
        <v>15.968385787782042</v>
      </c>
      <c r="R121" s="587">
        <f t="shared" si="43"/>
        <v>1.508131584623668</v>
      </c>
      <c r="S121" s="574">
        <f t="shared" si="44"/>
        <v>1.0281768342800639</v>
      </c>
      <c r="T121" s="577">
        <f t="shared" si="45"/>
        <v>0.23465186917065572</v>
      </c>
      <c r="U121" s="578">
        <f t="shared" si="57"/>
        <v>0.99398473898269224</v>
      </c>
      <c r="V121" s="579">
        <f t="shared" si="58"/>
        <v>-0.13064321206144858</v>
      </c>
      <c r="W121" s="580">
        <f t="shared" si="46"/>
        <v>-3.1218060699149754</v>
      </c>
      <c r="X121" s="581">
        <f t="shared" si="47"/>
        <v>-113.69085485563581</v>
      </c>
      <c r="Y121" s="584">
        <f t="shared" si="48"/>
        <v>66.309145144364194</v>
      </c>
      <c r="AA121" s="147">
        <f t="shared" si="49"/>
        <v>6309.6</v>
      </c>
      <c r="AB121" s="147">
        <f t="shared" si="50"/>
        <v>39811052.160000004</v>
      </c>
      <c r="AD121" s="583">
        <f t="shared" si="51"/>
        <v>27.42325512952123</v>
      </c>
      <c r="AE121" s="584">
        <f t="shared" si="52"/>
        <v>-17.03450528075053</v>
      </c>
      <c r="AG121" s="583">
        <f t="shared" si="53"/>
        <v>28.846943012627982</v>
      </c>
      <c r="AH121" s="584">
        <f t="shared" si="54"/>
        <v>-81.685740211471611</v>
      </c>
      <c r="AJ121" s="147">
        <f t="shared" si="55"/>
        <v>0</v>
      </c>
      <c r="AK121" s="147">
        <f t="shared" si="65"/>
        <v>0</v>
      </c>
      <c r="AM121" s="147" t="str">
        <f t="shared" si="59"/>
        <v>0.017462260244741+0.186063403055592i</v>
      </c>
      <c r="AN121" s="147" t="str">
        <f t="shared" si="60"/>
        <v>0.187154054156292i</v>
      </c>
      <c r="AO121" s="147" t="str">
        <f t="shared" si="61"/>
        <v>0.994172442025813-0.0933042050489502i</v>
      </c>
      <c r="AP121" s="147" t="str">
        <f t="shared" si="62"/>
        <v>0.16375628995921-0.031010567175932i</v>
      </c>
      <c r="AQ121" s="147" t="str">
        <f t="shared" si="63"/>
        <v>0.83624371004079+0.031010567175932i</v>
      </c>
      <c r="AR121" s="147" t="str">
        <f t="shared" si="64"/>
        <v>0.994753148654807-0.0368885995427399i</v>
      </c>
    </row>
    <row r="122" spans="7:44">
      <c r="G122" s="585">
        <v>6383.05</v>
      </c>
      <c r="H122" s="573">
        <f t="shared" si="56"/>
        <v>6.3830499999999999</v>
      </c>
      <c r="I122" s="574">
        <f t="shared" si="34"/>
        <v>44.099643852474053</v>
      </c>
      <c r="J122" s="575">
        <f t="shared" si="35"/>
        <v>1.5481184629386664</v>
      </c>
      <c r="K122" s="575">
        <f t="shared" si="36"/>
        <v>1.0006226104418812</v>
      </c>
      <c r="L122" s="576">
        <f t="shared" si="37"/>
        <v>3.527853673119246E-2</v>
      </c>
      <c r="M122" s="575">
        <f t="shared" si="38"/>
        <v>1.0009622101575477</v>
      </c>
      <c r="N122" s="576">
        <f t="shared" si="39"/>
        <v>-4.3850638540291052E-2</v>
      </c>
      <c r="O122" s="574">
        <f t="shared" si="40"/>
        <v>120317.65779165068</v>
      </c>
      <c r="P122" s="577">
        <f t="shared" si="41"/>
        <v>1.5707880154628913</v>
      </c>
      <c r="Q122" s="586">
        <f t="shared" si="42"/>
        <v>16.153548806758135</v>
      </c>
      <c r="R122" s="587">
        <f t="shared" si="43"/>
        <v>1.5088508162794809</v>
      </c>
      <c r="S122" s="574">
        <f t="shared" si="44"/>
        <v>1.0288274181254946</v>
      </c>
      <c r="T122" s="577">
        <f t="shared" si="45"/>
        <v>0.23728261649181828</v>
      </c>
      <c r="U122" s="578">
        <f t="shared" si="57"/>
        <v>0.99385431487103348</v>
      </c>
      <c r="V122" s="579">
        <f t="shared" si="58"/>
        <v>-0.13215545010172253</v>
      </c>
      <c r="W122" s="580">
        <f t="shared" si="46"/>
        <v>-3.2289913682085087</v>
      </c>
      <c r="X122" s="581">
        <f t="shared" si="47"/>
        <v>-113.90778161339563</v>
      </c>
      <c r="Y122" s="584">
        <f t="shared" si="48"/>
        <v>66.092218386604372</v>
      </c>
      <c r="AA122" s="147">
        <f t="shared" si="49"/>
        <v>6383.05</v>
      </c>
      <c r="AB122" s="147">
        <f t="shared" si="50"/>
        <v>40743327.302500002</v>
      </c>
      <c r="AD122" s="583">
        <f t="shared" si="51"/>
        <v>27.417371094131123</v>
      </c>
      <c r="AE122" s="584">
        <f t="shared" si="52"/>
        <v>-17.144032604462943</v>
      </c>
      <c r="AG122" s="583">
        <f t="shared" si="53"/>
        <v>28.747921309409112</v>
      </c>
      <c r="AH122" s="584">
        <f t="shared" si="54"/>
        <v>-81.619849930667357</v>
      </c>
      <c r="AJ122" s="147">
        <f t="shared" si="55"/>
        <v>0</v>
      </c>
      <c r="AK122" s="147">
        <f t="shared" si="65"/>
        <v>0</v>
      </c>
      <c r="AM122" s="147" t="str">
        <f t="shared" si="59"/>
        <v>0.01786996041931+0.188203574230757i</v>
      </c>
      <c r="AN122" s="147" t="str">
        <f t="shared" si="60"/>
        <v>0.189332712910854i</v>
      </c>
      <c r="AO122" s="147" t="str">
        <f t="shared" si="61"/>
        <v>0.994036219823097-0.0943839030486187i</v>
      </c>
      <c r="AP122" s="147" t="str">
        <f t="shared" si="62"/>
        <v>0.163688339930115-0.0313672623717928i</v>
      </c>
      <c r="AQ122" s="147" t="str">
        <f t="shared" si="63"/>
        <v>0.836311660069885+0.0313672623717928i</v>
      </c>
      <c r="AR122" s="147" t="str">
        <f t="shared" si="64"/>
        <v>0.994640949178273-0.0373056661866903i</v>
      </c>
    </row>
    <row r="123" spans="7:44">
      <c r="G123" s="585">
        <v>6456.5</v>
      </c>
      <c r="H123" s="573">
        <f t="shared" si="56"/>
        <v>6.4565000000000001</v>
      </c>
      <c r="I123" s="574">
        <f t="shared" si="34"/>
        <v>44.606840688399728</v>
      </c>
      <c r="J123" s="575">
        <f t="shared" si="35"/>
        <v>1.548376362384059</v>
      </c>
      <c r="K123" s="575">
        <f t="shared" si="36"/>
        <v>1.0006370170999555</v>
      </c>
      <c r="L123" s="576">
        <f t="shared" si="37"/>
        <v>3.568414563036839E-2</v>
      </c>
      <c r="M123" s="575">
        <f t="shared" si="38"/>
        <v>1.0009844709913696</v>
      </c>
      <c r="N123" s="576">
        <f t="shared" si="39"/>
        <v>-4.4354571729916234E-2</v>
      </c>
      <c r="O123" s="574">
        <f t="shared" si="40"/>
        <v>121702.15767245842</v>
      </c>
      <c r="P123" s="577">
        <f t="shared" si="41"/>
        <v>1.570788110013706</v>
      </c>
      <c r="Q123" s="586">
        <f t="shared" si="42"/>
        <v>16.338719992472022</v>
      </c>
      <c r="R123" s="587">
        <f t="shared" si="43"/>
        <v>1.5095537457936488</v>
      </c>
      <c r="S123" s="574">
        <f t="shared" si="44"/>
        <v>1.0294851132839615</v>
      </c>
      <c r="T123" s="577">
        <f t="shared" si="45"/>
        <v>0.23991002062776598</v>
      </c>
      <c r="U123" s="578">
        <f t="shared" si="57"/>
        <v>0.99372243068739385</v>
      </c>
      <c r="V123" s="579">
        <f t="shared" si="58"/>
        <v>-0.13366739307114486</v>
      </c>
      <c r="W123" s="580">
        <f t="shared" si="46"/>
        <v>-3.3350808656978135</v>
      </c>
      <c r="X123" s="581">
        <f t="shared" si="47"/>
        <v>-114.12508937225309</v>
      </c>
      <c r="Y123" s="584">
        <f t="shared" si="48"/>
        <v>65.874910627746914</v>
      </c>
      <c r="AA123" s="147">
        <f t="shared" si="49"/>
        <v>6456.5</v>
      </c>
      <c r="AB123" s="147">
        <f t="shared" si="50"/>
        <v>41686392.25</v>
      </c>
      <c r="AD123" s="583">
        <f t="shared" si="51"/>
        <v>27.411443724788942</v>
      </c>
      <c r="AE123" s="584">
        <f t="shared" si="52"/>
        <v>-17.254302295559604</v>
      </c>
      <c r="AG123" s="583">
        <f t="shared" si="53"/>
        <v>28.650064564374045</v>
      </c>
      <c r="AH123" s="584">
        <f t="shared" si="54"/>
        <v>-81.553632096205433</v>
      </c>
      <c r="AJ123" s="147">
        <f t="shared" si="55"/>
        <v>0</v>
      </c>
      <c r="AK123" s="147">
        <f t="shared" si="65"/>
        <v>0</v>
      </c>
      <c r="AM123" s="147" t="str">
        <f t="shared" si="59"/>
        <v>0.018282322325271+0.190342852087851i</v>
      </c>
      <c r="AN123" s="147" t="str">
        <f t="shared" si="60"/>
        <v>0.191511371665415i</v>
      </c>
      <c r="AO123" s="147" t="str">
        <f t="shared" si="61"/>
        <v>0.993898432414732-0.095463377272508i</v>
      </c>
      <c r="AP123" s="147" t="str">
        <f t="shared" si="62"/>
        <v>0.163619612945788-0.0317238086813085i</v>
      </c>
      <c r="AQ123" s="147" t="str">
        <f t="shared" si="63"/>
        <v>0.836380387054212+0.0317238086813085i</v>
      </c>
      <c r="AR123" s="147" t="str">
        <f t="shared" si="64"/>
        <v>0.994527511070274-0.037722310300237i</v>
      </c>
    </row>
    <row r="124" spans="7:44">
      <c r="G124" s="585">
        <v>6531.7</v>
      </c>
      <c r="H124" s="573">
        <f t="shared" si="56"/>
        <v>6.5316999999999998</v>
      </c>
      <c r="I124" s="574">
        <f t="shared" si="34"/>
        <v>45.126124863954814</v>
      </c>
      <c r="J124" s="575">
        <f t="shared" si="35"/>
        <v>1.5486344002788561</v>
      </c>
      <c r="K124" s="575">
        <f t="shared" si="36"/>
        <v>1.000651937555729</v>
      </c>
      <c r="L124" s="576">
        <f t="shared" si="37"/>
        <v>3.6099406288117308E-2</v>
      </c>
      <c r="M124" s="575">
        <f t="shared" si="38"/>
        <v>1.0010075255494728</v>
      </c>
      <c r="N124" s="576">
        <f t="shared" si="39"/>
        <v>-4.4870488141128026E-2</v>
      </c>
      <c r="O124" s="574">
        <f t="shared" si="40"/>
        <v>123119.6442760911</v>
      </c>
      <c r="P124" s="577">
        <f t="shared" si="41"/>
        <v>1.5707882046141846</v>
      </c>
      <c r="Q124" s="586">
        <f t="shared" si="42"/>
        <v>16.528311191486939</v>
      </c>
      <c r="R124" s="587">
        <f t="shared" si="43"/>
        <v>1.5102571051779627</v>
      </c>
      <c r="S124" s="574">
        <f t="shared" si="44"/>
        <v>1.0301658317667075</v>
      </c>
      <c r="T124" s="577">
        <f t="shared" si="45"/>
        <v>0.24259652981949334</v>
      </c>
      <c r="U124" s="578">
        <f t="shared" si="57"/>
        <v>0.99358589334674696</v>
      </c>
      <c r="V124" s="579">
        <f t="shared" si="58"/>
        <v>-0.13521505010810217</v>
      </c>
      <c r="W124" s="580">
        <f t="shared" si="46"/>
        <v>-3.4425902037376761</v>
      </c>
      <c r="X124" s="581">
        <f t="shared" si="47"/>
        <v>-114.34794675535771</v>
      </c>
      <c r="Y124" s="584">
        <f t="shared" si="48"/>
        <v>65.652053244642289</v>
      </c>
      <c r="AA124" s="147">
        <f t="shared" si="49"/>
        <v>6531.7</v>
      </c>
      <c r="AB124" s="147">
        <f t="shared" si="50"/>
        <v>42663104.890000001</v>
      </c>
      <c r="AD124" s="583">
        <f t="shared" si="51"/>
        <v>27.405329857743546</v>
      </c>
      <c r="AE124" s="584">
        <f t="shared" si="52"/>
        <v>-17.367933830004578</v>
      </c>
      <c r="AG124" s="583">
        <f t="shared" si="53"/>
        <v>28.55105613772465</v>
      </c>
      <c r="AH124" s="584">
        <f t="shared" si="54"/>
        <v>-81.485509511959677</v>
      </c>
      <c r="AJ124" s="147">
        <f t="shared" si="55"/>
        <v>0</v>
      </c>
      <c r="AK124" s="147">
        <f t="shared" si="65"/>
        <v>0</v>
      </c>
      <c r="AM124" s="147" t="str">
        <f t="shared" si="59"/>
        <v>0.018709336669647+0.192532163704343i</v>
      </c>
      <c r="AN124" s="147" t="str">
        <f t="shared" si="60"/>
        <v>0.193741938559125i</v>
      </c>
      <c r="AO124" s="147" t="str">
        <f t="shared" si="61"/>
        <v>0.993755740941898-0.0965683362558974i</v>
      </c>
      <c r="AP124" s="147" t="str">
        <f t="shared" si="62"/>
        <v>0.163548443888392-0.0320886939507238i</v>
      </c>
      <c r="AQ124" s="147" t="str">
        <f t="shared" si="63"/>
        <v>0.836451556111608+0.0320886939507238i</v>
      </c>
      <c r="AR124" s="147" t="str">
        <f t="shared" si="64"/>
        <v>0.994410089077756-0.0381484388148719i</v>
      </c>
    </row>
    <row r="125" spans="7:44">
      <c r="G125" s="585">
        <v>6606.9</v>
      </c>
      <c r="H125" s="573">
        <f t="shared" si="56"/>
        <v>6.6068999999999996</v>
      </c>
      <c r="I125" s="574">
        <f t="shared" si="34"/>
        <v>45.645411975802745</v>
      </c>
      <c r="J125" s="575">
        <f t="shared" si="35"/>
        <v>1.5488865670303613</v>
      </c>
      <c r="K125" s="575">
        <f t="shared" si="36"/>
        <v>1.0006670305601744</v>
      </c>
      <c r="L125" s="576">
        <f t="shared" si="37"/>
        <v>3.6514654490764208E-2</v>
      </c>
      <c r="M125" s="575">
        <f t="shared" si="38"/>
        <v>1.0010308465331785</v>
      </c>
      <c r="N125" s="576">
        <f t="shared" si="39"/>
        <v>-4.5386380651073144E-2</v>
      </c>
      <c r="O125" s="574">
        <f t="shared" si="40"/>
        <v>124537.13087972488</v>
      </c>
      <c r="P125" s="577">
        <f t="shared" si="41"/>
        <v>1.5707882970611702</v>
      </c>
      <c r="Q125" s="586">
        <f t="shared" si="42"/>
        <v>16.717910381833907</v>
      </c>
      <c r="R125" s="587">
        <f t="shared" si="43"/>
        <v>1.5109445111832238</v>
      </c>
      <c r="S125" s="574">
        <f t="shared" si="44"/>
        <v>1.0308539754472414</v>
      </c>
      <c r="T125" s="577">
        <f t="shared" si="45"/>
        <v>0.24527947161011346</v>
      </c>
      <c r="U125" s="578">
        <f t="shared" si="57"/>
        <v>0.99344782909944862</v>
      </c>
      <c r="V125" s="579">
        <f t="shared" si="58"/>
        <v>-0.13676239098510107</v>
      </c>
      <c r="W125" s="580">
        <f t="shared" si="46"/>
        <v>-3.5490057050554658</v>
      </c>
      <c r="X125" s="581">
        <f t="shared" si="47"/>
        <v>-114.57115851715837</v>
      </c>
      <c r="Y125" s="584">
        <f t="shared" si="48"/>
        <v>65.428841482841634</v>
      </c>
      <c r="AA125" s="147">
        <f t="shared" si="49"/>
        <v>6606.9</v>
      </c>
      <c r="AB125" s="147">
        <f t="shared" si="50"/>
        <v>43651127.609999992</v>
      </c>
      <c r="AD125" s="583">
        <f t="shared" si="51"/>
        <v>27.399169834213343</v>
      </c>
      <c r="AE125" s="584">
        <f t="shared" si="52"/>
        <v>-17.482274905325728</v>
      </c>
      <c r="AG125" s="583">
        <f t="shared" si="53"/>
        <v>28.453214732337308</v>
      </c>
      <c r="AH125" s="584">
        <f t="shared" si="54"/>
        <v>-81.417067994796341</v>
      </c>
      <c r="AJ125" s="147">
        <f t="shared" si="55"/>
        <v>0</v>
      </c>
      <c r="AK125" s="147">
        <f t="shared" si="65"/>
        <v>0</v>
      </c>
      <c r="AM125" s="147" t="str">
        <f t="shared" si="59"/>
        <v>0.019141233353696+0.194720517391185i</v>
      </c>
      <c r="AN125" s="147" t="str">
        <f t="shared" si="60"/>
        <v>0.195972505452835i</v>
      </c>
      <c r="AO125" s="147" t="str">
        <f t="shared" si="61"/>
        <v>0.993611409627299-0.0976730552557167i</v>
      </c>
      <c r="AP125" s="147" t="str">
        <f t="shared" si="62"/>
        <v>0.163476461107717-0.0324534195651975i</v>
      </c>
      <c r="AQ125" s="147" t="str">
        <f t="shared" si="63"/>
        <v>0.836523538892283+0.0324534195651975i</v>
      </c>
      <c r="AR125" s="147" t="str">
        <f t="shared" si="64"/>
        <v>0.994291373039471-0.0385741148922545i</v>
      </c>
    </row>
    <row r="126" spans="7:44">
      <c r="G126" s="585">
        <v>6683.85</v>
      </c>
      <c r="H126" s="573">
        <f t="shared" si="56"/>
        <v>6.6838500000000005</v>
      </c>
      <c r="I126" s="574">
        <f t="shared" si="34"/>
        <v>46.176786497906321</v>
      </c>
      <c r="J126" s="575">
        <f t="shared" si="35"/>
        <v>1.5491387309471107</v>
      </c>
      <c r="K126" s="575">
        <f t="shared" si="36"/>
        <v>1.0006826534084912</v>
      </c>
      <c r="L126" s="576">
        <f t="shared" si="37"/>
        <v>3.6939553007147685E-2</v>
      </c>
      <c r="M126" s="575">
        <f t="shared" si="38"/>
        <v>1.00105498600436</v>
      </c>
      <c r="N126" s="576">
        <f t="shared" si="39"/>
        <v>-4.5914253611536476E-2</v>
      </c>
      <c r="O126" s="574">
        <f t="shared" si="40"/>
        <v>125987.60420618366</v>
      </c>
      <c r="P126" s="577">
        <f t="shared" si="41"/>
        <v>1.570788389506095</v>
      </c>
      <c r="Q126" s="586">
        <f t="shared" si="42"/>
        <v>16.911929779445536</v>
      </c>
      <c r="R126" s="587">
        <f t="shared" si="43"/>
        <v>1.5116319584977902</v>
      </c>
      <c r="S126" s="574">
        <f t="shared" si="44"/>
        <v>1.0315658040060274</v>
      </c>
      <c r="T126" s="577">
        <f t="shared" si="45"/>
        <v>0.24802112318401462</v>
      </c>
      <c r="U126" s="578">
        <f t="shared" si="57"/>
        <v>0.99330497321410938</v>
      </c>
      <c r="V126" s="579">
        <f t="shared" si="58"/>
        <v>-0.1383454095661662</v>
      </c>
      <c r="W126" s="580">
        <f t="shared" si="46"/>
        <v>-3.6567927411033905</v>
      </c>
      <c r="X126" s="581">
        <f t="shared" si="47"/>
        <v>-114.79990926124596</v>
      </c>
      <c r="Y126" s="584">
        <f t="shared" si="48"/>
        <v>65.200090738754042</v>
      </c>
      <c r="AA126" s="147">
        <f t="shared" si="49"/>
        <v>6683.85</v>
      </c>
      <c r="AB126" s="147">
        <f t="shared" si="50"/>
        <v>44673850.822500005</v>
      </c>
      <c r="AD126" s="583">
        <f t="shared" si="51"/>
        <v>27.392818347697592</v>
      </c>
      <c r="AE126" s="584">
        <f t="shared" si="52"/>
        <v>-17.599977436481932</v>
      </c>
      <c r="AG126" s="583">
        <f t="shared" si="53"/>
        <v>28.354277390845706</v>
      </c>
      <c r="AH126" s="584">
        <f t="shared" si="54"/>
        <v>-81.346715640348833</v>
      </c>
      <c r="AJ126" s="147">
        <f t="shared" si="55"/>
        <v>0</v>
      </c>
      <c r="AK126" s="147">
        <f t="shared" si="65"/>
        <v>0</v>
      </c>
      <c r="AM126" s="147" t="str">
        <f t="shared" si="59"/>
        <v>0.019588232672184+0.196958793876152i</v>
      </c>
      <c r="AN126" s="147" t="str">
        <f t="shared" si="60"/>
        <v>0.198254980485694i</v>
      </c>
      <c r="AO126" s="147" t="str">
        <f t="shared" si="61"/>
        <v>0.993462022460336-0.0988032311934654i</v>
      </c>
      <c r="AP126" s="147" t="str">
        <f t="shared" si="62"/>
        <v>0.163401961221303-0.0328264656460253i</v>
      </c>
      <c r="AQ126" s="147" t="str">
        <f t="shared" si="63"/>
        <v>0.836598038778697+0.0328264656460253i</v>
      </c>
      <c r="AR126" s="147" t="str">
        <f t="shared" si="64"/>
        <v>0.994168557070416-0.0390092236322627i</v>
      </c>
    </row>
    <row r="127" spans="7:44">
      <c r="G127" s="585">
        <v>6760.8</v>
      </c>
      <c r="H127" s="573">
        <f t="shared" si="56"/>
        <v>6.7608000000000006</v>
      </c>
      <c r="I127" s="574">
        <f t="shared" si="34"/>
        <v>46.708163889428675</v>
      </c>
      <c r="J127" s="575">
        <f t="shared" si="35"/>
        <v>1.5493851573724187</v>
      </c>
      <c r="K127" s="575">
        <f t="shared" si="36"/>
        <v>1.0006984569131427</v>
      </c>
      <c r="L127" s="576">
        <f t="shared" si="37"/>
        <v>3.7364438179839587E-2</v>
      </c>
      <c r="M127" s="575">
        <f t="shared" si="38"/>
        <v>1.0010794044058777</v>
      </c>
      <c r="N127" s="576">
        <f t="shared" si="39"/>
        <v>-4.6442100967247289E-2</v>
      </c>
      <c r="O127" s="574">
        <f t="shared" si="40"/>
        <v>127438.07753264348</v>
      </c>
      <c r="P127" s="577">
        <f t="shared" si="41"/>
        <v>1.5707884798466425</v>
      </c>
      <c r="Q127" s="586">
        <f t="shared" si="42"/>
        <v>17.105956988058388</v>
      </c>
      <c r="R127" s="587">
        <f t="shared" si="43"/>
        <v>1.5123038111491542</v>
      </c>
      <c r="S127" s="574">
        <f t="shared" si="44"/>
        <v>1.0322853757597235</v>
      </c>
      <c r="T127" s="577">
        <f t="shared" si="45"/>
        <v>0.25075897308560291</v>
      </c>
      <c r="U127" s="578">
        <f t="shared" si="57"/>
        <v>0.99316052243420327</v>
      </c>
      <c r="V127" s="579">
        <f t="shared" si="58"/>
        <v>-0.13992808977291468</v>
      </c>
      <c r="W127" s="580">
        <f t="shared" si="46"/>
        <v>-3.7634891621101758</v>
      </c>
      <c r="X127" s="581">
        <f t="shared" si="47"/>
        <v>-115.02898674939595</v>
      </c>
      <c r="Y127" s="584">
        <f t="shared" si="48"/>
        <v>64.971013250604045</v>
      </c>
      <c r="AA127" s="147">
        <f t="shared" si="49"/>
        <v>6760.8</v>
      </c>
      <c r="AB127" s="147">
        <f t="shared" si="50"/>
        <v>45708416.640000001</v>
      </c>
      <c r="AD127" s="583">
        <f t="shared" si="51"/>
        <v>27.386417894023118</v>
      </c>
      <c r="AE127" s="584">
        <f t="shared" si="52"/>
        <v>-17.718355535672767</v>
      </c>
      <c r="AG127" s="583">
        <f t="shared" si="53"/>
        <v>28.256507887803572</v>
      </c>
      <c r="AH127" s="584">
        <f t="shared" si="54"/>
        <v>-81.276053236769584</v>
      </c>
      <c r="AJ127" s="147">
        <f t="shared" si="55"/>
        <v>0</v>
      </c>
      <c r="AK127" s="147">
        <f t="shared" si="65"/>
        <v>0</v>
      </c>
      <c r="AM127" s="147" t="str">
        <f t="shared" si="59"/>
        <v>0.020040339632066+0.199196044266857i</v>
      </c>
      <c r="AN127" s="147" t="str">
        <f t="shared" si="60"/>
        <v>0.200537455518553i</v>
      </c>
      <c r="AO127" s="147" t="str">
        <f t="shared" si="61"/>
        <v>0.993310919158581-0.0999331500454385i</v>
      </c>
      <c r="AP127" s="147" t="str">
        <f t="shared" si="62"/>
        <v>0.163326610061322-0.0331993407111428i</v>
      </c>
      <c r="AQ127" s="147" t="str">
        <f t="shared" si="63"/>
        <v>0.836673389938678+0.0331993407111428i</v>
      </c>
      <c r="AR127" s="147" t="str">
        <f t="shared" si="64"/>
        <v>0.994044390842363-0.0394438484723349i</v>
      </c>
    </row>
    <row r="128" spans="7:44">
      <c r="G128" s="585">
        <v>6839.55</v>
      </c>
      <c r="H128" s="573">
        <f t="shared" si="56"/>
        <v>6.83955</v>
      </c>
      <c r="I128" s="574">
        <f t="shared" si="34"/>
        <v>47.25197403132988</v>
      </c>
      <c r="J128" s="575">
        <f t="shared" si="35"/>
        <v>1.5496316097233902</v>
      </c>
      <c r="K128" s="575">
        <f t="shared" si="36"/>
        <v>1.0007148171260651</v>
      </c>
      <c r="L128" s="576">
        <f t="shared" si="37"/>
        <v>3.7799248212032163E-2</v>
      </c>
      <c r="M128" s="575">
        <f t="shared" si="38"/>
        <v>1.0011046827704535</v>
      </c>
      <c r="N128" s="576">
        <f t="shared" si="39"/>
        <v>-4.6982268814404801E-2</v>
      </c>
      <c r="O128" s="574">
        <f t="shared" si="40"/>
        <v>128922.48005972331</v>
      </c>
      <c r="P128" s="577">
        <f t="shared" si="41"/>
        <v>1.5707885701957407</v>
      </c>
      <c r="Q128" s="586">
        <f t="shared" si="42"/>
        <v>17.304530657879475</v>
      </c>
      <c r="R128" s="587">
        <f t="shared" si="43"/>
        <v>1.5129757802692128</v>
      </c>
      <c r="S128" s="574">
        <f t="shared" si="44"/>
        <v>1.0330297797208634</v>
      </c>
      <c r="T128" s="577">
        <f t="shared" si="45"/>
        <v>0.2535568956642707</v>
      </c>
      <c r="U128" s="578">
        <f t="shared" si="57"/>
        <v>0.99301104348956459</v>
      </c>
      <c r="V128" s="579">
        <f t="shared" si="58"/>
        <v>-0.14154743754220761</v>
      </c>
      <c r="W128" s="580">
        <f t="shared" si="46"/>
        <v>-3.8715796091146908</v>
      </c>
      <c r="X128" s="581">
        <f t="shared" si="47"/>
        <v>-115.26373911734815</v>
      </c>
      <c r="Y128" s="584">
        <f t="shared" si="48"/>
        <v>64.736260882651848</v>
      </c>
      <c r="AA128" s="147">
        <f t="shared" si="49"/>
        <v>6839.55</v>
      </c>
      <c r="AB128" s="147">
        <f t="shared" si="50"/>
        <v>46779444.202500001</v>
      </c>
      <c r="AD128" s="583">
        <f t="shared" si="51"/>
        <v>27.37981674049346</v>
      </c>
      <c r="AE128" s="584">
        <f t="shared" si="52"/>
        <v>-17.840168873053525</v>
      </c>
      <c r="AG128" s="583">
        <f t="shared" si="53"/>
        <v>28.157633388822951</v>
      </c>
      <c r="AH128" s="584">
        <f t="shared" si="54"/>
        <v>-81.203428681640148</v>
      </c>
      <c r="AJ128" s="147">
        <f t="shared" si="55"/>
        <v>0</v>
      </c>
      <c r="AK128" s="147">
        <f t="shared" si="65"/>
        <v>0</v>
      </c>
      <c r="AM128" s="147" t="str">
        <f t="shared" si="59"/>
        <v>0.02050830798982+0.201484553460147i</v>
      </c>
      <c r="AN128" s="147" t="str">
        <f t="shared" si="60"/>
        <v>0.202873321780251i</v>
      </c>
      <c r="AO128" s="147" t="str">
        <f t="shared" si="61"/>
        <v>0.993154504949604-0.101089230510231i</v>
      </c>
      <c r="AP128" s="147" t="str">
        <f t="shared" si="62"/>
        <v>0.16324861533503-0.0335807589100245i</v>
      </c>
      <c r="AQ128" s="147" t="str">
        <f t="shared" si="63"/>
        <v>0.83675138466497+0.0335807589100245i</v>
      </c>
      <c r="AR128" s="147" t="str">
        <f t="shared" si="64"/>
        <v>0.993915924661828-0.039888133625577i</v>
      </c>
    </row>
    <row r="129" spans="7:44">
      <c r="G129" s="585">
        <v>6918.3</v>
      </c>
      <c r="H129" s="573">
        <f t="shared" si="56"/>
        <v>6.9183000000000003</v>
      </c>
      <c r="I129" s="574">
        <f t="shared" si="34"/>
        <v>47.795786977948275</v>
      </c>
      <c r="J129" s="575">
        <f t="shared" si="35"/>
        <v>1.5498724538965427</v>
      </c>
      <c r="K129" s="575">
        <f t="shared" si="36"/>
        <v>1.000731366527688</v>
      </c>
      <c r="L129" s="576">
        <f t="shared" si="37"/>
        <v>3.8234043945251067E-2</v>
      </c>
      <c r="M129" s="575">
        <f t="shared" si="38"/>
        <v>1.0011302532238571</v>
      </c>
      <c r="N129" s="576">
        <f t="shared" si="39"/>
        <v>-4.7522409225672607E-2</v>
      </c>
      <c r="O129" s="574">
        <f t="shared" si="40"/>
        <v>130406.88258680417</v>
      </c>
      <c r="P129" s="577">
        <f t="shared" si="41"/>
        <v>1.5707886584879778</v>
      </c>
      <c r="Q129" s="586">
        <f t="shared" si="42"/>
        <v>17.503111964135211</v>
      </c>
      <c r="R129" s="587">
        <f t="shared" si="43"/>
        <v>1.5136325020481605</v>
      </c>
      <c r="S129" s="574">
        <f t="shared" si="44"/>
        <v>1.0337822589387655</v>
      </c>
      <c r="T129" s="577">
        <f t="shared" si="45"/>
        <v>0.25635076693124959</v>
      </c>
      <c r="U129" s="578">
        <f t="shared" si="57"/>
        <v>0.99285989843562938</v>
      </c>
      <c r="V129" s="579">
        <f t="shared" si="58"/>
        <v>-0.14316642309546121</v>
      </c>
      <c r="W129" s="580">
        <f t="shared" si="46"/>
        <v>-3.9785824660704079</v>
      </c>
      <c r="X129" s="581">
        <f t="shared" si="47"/>
        <v>-115.4987900216244</v>
      </c>
      <c r="Y129" s="584">
        <f t="shared" si="48"/>
        <v>64.501209978375599</v>
      </c>
      <c r="AA129" s="147">
        <f t="shared" si="49"/>
        <v>6918.3</v>
      </c>
      <c r="AB129" s="147">
        <f t="shared" si="50"/>
        <v>47862874.890000001</v>
      </c>
      <c r="AD129" s="583">
        <f t="shared" si="51"/>
        <v>27.373163761322665</v>
      </c>
      <c r="AE129" s="584">
        <f t="shared" si="52"/>
        <v>-17.962623577818725</v>
      </c>
      <c r="AG129" s="583">
        <f t="shared" si="53"/>
        <v>28.059927850572169</v>
      </c>
      <c r="AH129" s="584">
        <f t="shared" si="54"/>
        <v>-81.130502802351074</v>
      </c>
      <c r="AJ129" s="147">
        <f t="shared" si="55"/>
        <v>0</v>
      </c>
      <c r="AK129" s="147">
        <f t="shared" si="65"/>
        <v>0</v>
      </c>
      <c r="AM129" s="147" t="str">
        <f t="shared" si="59"/>
        <v>0.020981620717446+0.203771963299571i</v>
      </c>
      <c r="AN129" s="147" t="str">
        <f t="shared" si="60"/>
        <v>0.205209188041948i</v>
      </c>
      <c r="AO129" s="147" t="str">
        <f t="shared" si="61"/>
        <v>0.992996294385789-0.102245035505706i</v>
      </c>
      <c r="AP129" s="147" t="str">
        <f t="shared" si="62"/>
        <v>0.163169729880426-0.0339619938832618i</v>
      </c>
      <c r="AQ129" s="147" t="str">
        <f t="shared" si="63"/>
        <v>0.836830270119574+0.0339619938832618i</v>
      </c>
      <c r="AR129" s="147" t="str">
        <f t="shared" si="64"/>
        <v>0.993786049470973-0.0403319011495383i</v>
      </c>
    </row>
    <row r="130" spans="7:44">
      <c r="G130" s="585">
        <v>6998.9</v>
      </c>
      <c r="H130" s="573">
        <f t="shared" si="56"/>
        <v>6.9988999999999999</v>
      </c>
      <c r="I130" s="574">
        <f t="shared" si="34"/>
        <v>48.352378018399413</v>
      </c>
      <c r="J130" s="575">
        <f t="shared" si="35"/>
        <v>1.5501133460986207</v>
      </c>
      <c r="K130" s="575">
        <f t="shared" si="36"/>
        <v>1.000748500606663</v>
      </c>
      <c r="L130" s="576">
        <f t="shared" si="37"/>
        <v>3.8679038949832482E-2</v>
      </c>
      <c r="M130" s="575">
        <f t="shared" si="38"/>
        <v>1.0011567268186976</v>
      </c>
      <c r="N130" s="576">
        <f t="shared" si="39"/>
        <v>-4.8075209912812458E-2</v>
      </c>
      <c r="O130" s="574">
        <f t="shared" si="40"/>
        <v>131926.15679230003</v>
      </c>
      <c r="P130" s="577">
        <f t="shared" si="41"/>
        <v>1.5707887467969317</v>
      </c>
      <c r="Q130" s="586">
        <f t="shared" si="42"/>
        <v>17.706365994539311</v>
      </c>
      <c r="R130" s="587">
        <f t="shared" si="43"/>
        <v>1.514289397547196</v>
      </c>
      <c r="S130" s="574">
        <f t="shared" si="44"/>
        <v>1.0345607590977102</v>
      </c>
      <c r="T130" s="577">
        <f t="shared" si="45"/>
        <v>0.25920604056837615</v>
      </c>
      <c r="U130" s="578">
        <f t="shared" si="57"/>
        <v>0.99270347968342032</v>
      </c>
      <c r="V130" s="579">
        <f t="shared" si="58"/>
        <v>-0.14482306276079976</v>
      </c>
      <c r="W130" s="580">
        <f t="shared" si="46"/>
        <v>-4.087000176087499</v>
      </c>
      <c r="X130" s="581">
        <f t="shared" si="47"/>
        <v>-115.73965024882912</v>
      </c>
      <c r="Y130" s="584">
        <f t="shared" si="48"/>
        <v>64.260349751170878</v>
      </c>
      <c r="AA130" s="147">
        <f t="shared" si="49"/>
        <v>6998.9</v>
      </c>
      <c r="AB130" s="147">
        <f t="shared" si="50"/>
        <v>48984601.209999993</v>
      </c>
      <c r="AD130" s="583">
        <f t="shared" si="51"/>
        <v>27.366300589668448</v>
      </c>
      <c r="AE130" s="584">
        <f t="shared" si="52"/>
        <v>-18.088586426779454</v>
      </c>
      <c r="AG130" s="583">
        <f t="shared" si="53"/>
        <v>27.96111034097764</v>
      </c>
      <c r="AH130" s="584">
        <f t="shared" si="54"/>
        <v>-81.055563258382378</v>
      </c>
      <c r="AJ130" s="147">
        <f t="shared" si="55"/>
        <v>0</v>
      </c>
      <c r="AK130" s="147">
        <f t="shared" si="65"/>
        <v>0</v>
      </c>
      <c r="AM130" s="147" t="str">
        <f t="shared" si="59"/>
        <v>0.021471584012369+0.206111957694691i</v>
      </c>
      <c r="AN130" s="147" t="str">
        <f t="shared" si="60"/>
        <v>0.207599928622175i</v>
      </c>
      <c r="AO130" s="147" t="str">
        <f t="shared" si="61"/>
        <v>0.992832507518863-0.103427704213938i</v>
      </c>
      <c r="AP130" s="147" t="str">
        <f t="shared" si="62"/>
        <v>0.163088069331272-0.0343519929491152i</v>
      </c>
      <c r="AQ130" s="147" t="str">
        <f t="shared" si="63"/>
        <v>0.836911930668728+0.0343519929491152i</v>
      </c>
      <c r="AR130" s="147" t="str">
        <f t="shared" si="64"/>
        <v>0.99365166695762-0.0407855519874478i</v>
      </c>
    </row>
    <row r="131" spans="7:44">
      <c r="G131" s="585">
        <v>7079.5</v>
      </c>
      <c r="H131" s="573">
        <f t="shared" si="56"/>
        <v>7.0795000000000003</v>
      </c>
      <c r="I131" s="574">
        <f t="shared" si="34"/>
        <v>48.908971800831395</v>
      </c>
      <c r="J131" s="575">
        <f t="shared" si="35"/>
        <v>1.5503487555121953</v>
      </c>
      <c r="K131" s="575">
        <f t="shared" si="36"/>
        <v>1.0007658328476019</v>
      </c>
      <c r="L131" s="576">
        <f t="shared" si="37"/>
        <v>3.9124018628809556E-2</v>
      </c>
      <c r="M131" s="575">
        <f t="shared" si="38"/>
        <v>1.0011835063393861</v>
      </c>
      <c r="N131" s="576">
        <f t="shared" si="39"/>
        <v>-4.8627981196389759E-2</v>
      </c>
      <c r="O131" s="574">
        <f t="shared" si="40"/>
        <v>133445.43099779688</v>
      </c>
      <c r="P131" s="577">
        <f t="shared" si="41"/>
        <v>1.5707888330950934</v>
      </c>
      <c r="Q131" s="586">
        <f t="shared" si="42"/>
        <v>17.909627492023379</v>
      </c>
      <c r="R131" s="587">
        <f t="shared" si="43"/>
        <v>1.5149313827273101</v>
      </c>
      <c r="S131" s="574">
        <f t="shared" si="44"/>
        <v>1.0353476808798017</v>
      </c>
      <c r="T131" s="577">
        <f t="shared" si="45"/>
        <v>0.26205699708556235</v>
      </c>
      <c r="U131" s="578">
        <f t="shared" si="57"/>
        <v>0.99254532029799625</v>
      </c>
      <c r="V131" s="579">
        <f t="shared" si="58"/>
        <v>-0.1464793146327254</v>
      </c>
      <c r="W131" s="580">
        <f t="shared" si="46"/>
        <v>-4.194333176071174</v>
      </c>
      <c r="X131" s="581">
        <f t="shared" si="47"/>
        <v>-115.98078014024266</v>
      </c>
      <c r="Y131" s="584">
        <f t="shared" si="48"/>
        <v>64.019219859757342</v>
      </c>
      <c r="AA131" s="147">
        <f t="shared" si="49"/>
        <v>7079.5</v>
      </c>
      <c r="AB131" s="147">
        <f t="shared" si="50"/>
        <v>50119320.25</v>
      </c>
      <c r="AD131" s="583">
        <f t="shared" si="51"/>
        <v>27.359382685831623</v>
      </c>
      <c r="AE131" s="584">
        <f t="shared" si="52"/>
        <v>-18.215156106124141</v>
      </c>
      <c r="AG131" s="583">
        <f t="shared" si="53"/>
        <v>27.863463169878642</v>
      </c>
      <c r="AH131" s="584">
        <f t="shared" si="54"/>
        <v>-80.980330986090436</v>
      </c>
      <c r="AJ131" s="147">
        <f t="shared" si="55"/>
        <v>0</v>
      </c>
      <c r="AK131" s="147">
        <f t="shared" si="65"/>
        <v>0</v>
      </c>
      <c r="AM131" s="147" t="str">
        <f t="shared" si="59"/>
        <v>0.021967140221294+0.208450774028514i</v>
      </c>
      <c r="AN131" s="147" t="str">
        <f t="shared" si="60"/>
        <v>0.209990669202401i</v>
      </c>
      <c r="AO131" s="147" t="str">
        <f t="shared" si="61"/>
        <v>0.992666840008959-0.104610077698837i</v>
      </c>
      <c r="AP131" s="147" t="str">
        <f t="shared" si="62"/>
        <v>0.163005476629784-0.034741795671419i</v>
      </c>
      <c r="AQ131" s="147" t="str">
        <f t="shared" si="63"/>
        <v>0.836994523370216+0.034741795671419i</v>
      </c>
      <c r="AR131" s="147" t="str">
        <f t="shared" si="64"/>
        <v>0.993515814096878-0.0412386490543499i</v>
      </c>
    </row>
    <row r="132" spans="7:44">
      <c r="G132" s="585">
        <v>7161.95</v>
      </c>
      <c r="H132" s="573">
        <f t="shared" si="56"/>
        <v>7.16195</v>
      </c>
      <c r="I132" s="574">
        <f t="shared" si="34"/>
        <v>49.478343739494193</v>
      </c>
      <c r="J132" s="575">
        <f t="shared" si="35"/>
        <v>1.5505840881312609</v>
      </c>
      <c r="K132" s="575">
        <f t="shared" si="36"/>
        <v>1.0007837679389315</v>
      </c>
      <c r="L132" s="576">
        <f t="shared" si="37"/>
        <v>3.9579195821029999E-2</v>
      </c>
      <c r="M132" s="575">
        <f t="shared" si="38"/>
        <v>1.0012112170401379</v>
      </c>
      <c r="N132" s="576">
        <f t="shared" si="39"/>
        <v>-4.919340938493675E-2</v>
      </c>
      <c r="O132" s="574">
        <f t="shared" si="40"/>
        <v>134999.57688170872</v>
      </c>
      <c r="P132" s="577">
        <f t="shared" si="41"/>
        <v>1.5707889193642728</v>
      </c>
      <c r="Q132" s="586">
        <f t="shared" si="42"/>
        <v>18.117561885005621</v>
      </c>
      <c r="R132" s="587">
        <f t="shared" si="43"/>
        <v>1.5155731983798102</v>
      </c>
      <c r="S132" s="574">
        <f t="shared" si="44"/>
        <v>1.0361613585478986</v>
      </c>
      <c r="T132" s="577">
        <f t="shared" si="45"/>
        <v>0.26496888629134646</v>
      </c>
      <c r="U132" s="578">
        <f t="shared" si="57"/>
        <v>0.99238173218705594</v>
      </c>
      <c r="V132" s="579">
        <f t="shared" si="58"/>
        <v>-0.14817317656899751</v>
      </c>
      <c r="W132" s="580">
        <f t="shared" si="46"/>
        <v>-4.3030347243528393</v>
      </c>
      <c r="X132" s="581">
        <f t="shared" si="47"/>
        <v>-116.22770233982924</v>
      </c>
      <c r="Y132" s="584">
        <f t="shared" si="48"/>
        <v>63.772297660170764</v>
      </c>
      <c r="AA132" s="147">
        <f t="shared" si="49"/>
        <v>7161.95</v>
      </c>
      <c r="AB132" s="147">
        <f t="shared" si="50"/>
        <v>51293527.802499995</v>
      </c>
      <c r="AD132" s="583">
        <f t="shared" si="51"/>
        <v>27.352249181133949</v>
      </c>
      <c r="AE132" s="584">
        <f t="shared" si="52"/>
        <v>-18.345226682920082</v>
      </c>
      <c r="AG132" s="583">
        <f t="shared" si="53"/>
        <v>27.764758522768936</v>
      </c>
      <c r="AH132" s="584">
        <f t="shared" si="54"/>
        <v>-80.903080328606762</v>
      </c>
      <c r="AJ132" s="147">
        <f t="shared" si="55"/>
        <v>0</v>
      </c>
      <c r="AK132" s="147">
        <f t="shared" si="65"/>
        <v>0</v>
      </c>
      <c r="AM132" s="147" t="str">
        <f t="shared" si="59"/>
        <v>0.0224798548533089+0.210842040002444i</v>
      </c>
      <c r="AN132" s="147" t="str">
        <f t="shared" si="60"/>
        <v>0.212436284101157i</v>
      </c>
      <c r="AO132" s="147" t="str">
        <f t="shared" si="61"/>
        <v>0.992495424661289-0.105819281053723i</v>
      </c>
      <c r="AP132" s="147" t="str">
        <f t="shared" si="62"/>
        <v>0.162920024191115-0.0351403400004073i</v>
      </c>
      <c r="AQ132" s="147" t="str">
        <f t="shared" si="63"/>
        <v>0.837079975808885+0.0351403400004073i</v>
      </c>
      <c r="AR132" s="147" t="str">
        <f t="shared" si="64"/>
        <v>0.993375324687632-0.0417015669545871i</v>
      </c>
    </row>
    <row r="133" spans="7:44">
      <c r="G133" s="585">
        <v>7244.4</v>
      </c>
      <c r="H133" s="573">
        <f t="shared" si="56"/>
        <v>7.2443999999999997</v>
      </c>
      <c r="I133" s="574">
        <f t="shared" si="34"/>
        <v>50.04771835599108</v>
      </c>
      <c r="J133" s="575">
        <f t="shared" si="35"/>
        <v>1.550814066176275</v>
      </c>
      <c r="K133" s="575">
        <f t="shared" si="36"/>
        <v>1.0008019103714667</v>
      </c>
      <c r="L133" s="576">
        <f t="shared" si="37"/>
        <v>4.0034356604741445E-2</v>
      </c>
      <c r="M133" s="575">
        <f t="shared" si="38"/>
        <v>1.0012392478193852</v>
      </c>
      <c r="N133" s="576">
        <f t="shared" si="39"/>
        <v>-4.9758806094686352E-2</v>
      </c>
      <c r="O133" s="574">
        <f t="shared" si="40"/>
        <v>136553.72276562155</v>
      </c>
      <c r="P133" s="577">
        <f t="shared" si="41"/>
        <v>1.5707890036697576</v>
      </c>
      <c r="Q133" s="586">
        <f t="shared" si="42"/>
        <v>18.325503571741152</v>
      </c>
      <c r="R133" s="587">
        <f t="shared" si="43"/>
        <v>1.5162004487674692</v>
      </c>
      <c r="S133" s="574">
        <f t="shared" si="44"/>
        <v>1.0369838080994935</v>
      </c>
      <c r="T133" s="577">
        <f t="shared" si="45"/>
        <v>0.26787618117792639</v>
      </c>
      <c r="U133" s="578">
        <f t="shared" si="57"/>
        <v>0.99221632773147261</v>
      </c>
      <c r="V133" s="579">
        <f t="shared" si="58"/>
        <v>-0.14986662379034238</v>
      </c>
      <c r="W133" s="580">
        <f t="shared" si="46"/>
        <v>-4.4106556398643875</v>
      </c>
      <c r="X133" s="581">
        <f t="shared" si="47"/>
        <v>-116.4748643006342</v>
      </c>
      <c r="Y133" s="584">
        <f t="shared" si="48"/>
        <v>63.525135699365805</v>
      </c>
      <c r="AA133" s="147">
        <f t="shared" si="49"/>
        <v>7244.4</v>
      </c>
      <c r="AB133" s="147">
        <f t="shared" si="50"/>
        <v>52481331.359999992</v>
      </c>
      <c r="AD133" s="583">
        <f t="shared" si="51"/>
        <v>27.345058060050619</v>
      </c>
      <c r="AE133" s="584">
        <f t="shared" si="52"/>
        <v>-18.47586844030803</v>
      </c>
      <c r="AG133" s="583">
        <f t="shared" si="53"/>
        <v>27.667224397502508</v>
      </c>
      <c r="AH133" s="584">
        <f t="shared" si="54"/>
        <v>-80.825545774579638</v>
      </c>
      <c r="AJ133" s="147">
        <f t="shared" si="55"/>
        <v>0</v>
      </c>
      <c r="AK133" s="147">
        <f t="shared" si="65"/>
        <v>0</v>
      </c>
      <c r="AM133" s="147" t="str">
        <f t="shared" si="59"/>
        <v>0.022998416061906+0.213232044923964i</v>
      </c>
      <c r="AN133" s="147" t="str">
        <f t="shared" si="60"/>
        <v>0.214881898999912i</v>
      </c>
      <c r="AO133" s="147" t="str">
        <f t="shared" si="61"/>
        <v>0.992322042556276-0.107028168351748i</v>
      </c>
      <c r="AP133" s="147" t="str">
        <f t="shared" si="62"/>
        <v>0.162833597323016-0.035538674153994i</v>
      </c>
      <c r="AQ133" s="147" t="str">
        <f t="shared" si="63"/>
        <v>0.837166402676984+0.035538674153994i</v>
      </c>
      <c r="AR133" s="147" t="str">
        <f t="shared" si="64"/>
        <v>0.993233302821577-0.0421638930981932i</v>
      </c>
    </row>
    <row r="134" spans="7:44">
      <c r="G134" s="585">
        <v>7328.75</v>
      </c>
      <c r="H134" s="573">
        <f t="shared" si="56"/>
        <v>7.3287500000000003</v>
      </c>
      <c r="I134" s="574">
        <f t="shared" si="34"/>
        <v>50.630216471357521</v>
      </c>
      <c r="J134" s="575">
        <f t="shared" si="35"/>
        <v>1.5510439911650553</v>
      </c>
      <c r="K134" s="575">
        <f t="shared" si="36"/>
        <v>1.0008206854346418</v>
      </c>
      <c r="L134" s="576">
        <f t="shared" si="37"/>
        <v>4.049998906033319E-2</v>
      </c>
      <c r="M134" s="575">
        <f t="shared" si="38"/>
        <v>1.001268255746868</v>
      </c>
      <c r="N134" s="576">
        <f t="shared" si="39"/>
        <v>-5.033719900901068E-2</v>
      </c>
      <c r="O134" s="574">
        <f t="shared" si="40"/>
        <v>138143.68280574444</v>
      </c>
      <c r="P134" s="577">
        <f t="shared" si="41"/>
        <v>1.5707890879550184</v>
      </c>
      <c r="Q134" s="586">
        <f t="shared" si="42"/>
        <v>18.538244414563547</v>
      </c>
      <c r="R134" s="587">
        <f t="shared" si="43"/>
        <v>1.5168275916748439</v>
      </c>
      <c r="S134" s="574">
        <f t="shared" si="44"/>
        <v>1.0378342660772826</v>
      </c>
      <c r="T134" s="577">
        <f t="shared" si="45"/>
        <v>0.27084567840691398</v>
      </c>
      <c r="U134" s="578">
        <f t="shared" si="57"/>
        <v>0.99204523477591566</v>
      </c>
      <c r="V134" s="579">
        <f t="shared" si="58"/>
        <v>-0.15159866141843339</v>
      </c>
      <c r="W134" s="580">
        <f t="shared" si="46"/>
        <v>-4.519665546910538</v>
      </c>
      <c r="X134" s="581">
        <f t="shared" si="47"/>
        <v>-116.72794902275629</v>
      </c>
      <c r="Y134" s="584">
        <f t="shared" si="48"/>
        <v>63.272050977243708</v>
      </c>
      <c r="AA134" s="147">
        <f t="shared" si="49"/>
        <v>7328.75</v>
      </c>
      <c r="AB134" s="147">
        <f t="shared" si="50"/>
        <v>53710576.5625</v>
      </c>
      <c r="AD134" s="583">
        <f t="shared" si="51"/>
        <v>27.337641468181797</v>
      </c>
      <c r="AE134" s="584">
        <f t="shared" si="52"/>
        <v>-18.610080286403747</v>
      </c>
      <c r="AG134" s="583">
        <f t="shared" si="53"/>
        <v>27.568626845709563</v>
      </c>
      <c r="AH134" s="584">
        <f t="shared" si="54"/>
        <v>-80.745941758284232</v>
      </c>
      <c r="AJ134" s="147">
        <f t="shared" si="55"/>
        <v>0</v>
      </c>
      <c r="AK134" s="147">
        <f t="shared" si="65"/>
        <v>0</v>
      </c>
      <c r="AM134" s="147" t="str">
        <f t="shared" si="59"/>
        <v>0.023534974124281+0.215675805878941i</v>
      </c>
      <c r="AN134" s="147" t="str">
        <f t="shared" si="60"/>
        <v>0.217383871306886i</v>
      </c>
      <c r="AO134" s="147" t="str">
        <f t="shared" si="61"/>
        <v>0.992142630372362-0.108264582753042i</v>
      </c>
      <c r="AP134" s="147" t="str">
        <f t="shared" si="62"/>
        <v>0.162744170979287-0.0359459676464902i</v>
      </c>
      <c r="AQ134" s="147" t="str">
        <f t="shared" si="63"/>
        <v>0.837255829020713+0.0359459676464902i</v>
      </c>
      <c r="AR134" s="147" t="str">
        <f t="shared" si="64"/>
        <v>0.993086425628364-0.0426362544021448i</v>
      </c>
    </row>
    <row r="135" spans="7:44">
      <c r="G135" s="585">
        <v>7413.1</v>
      </c>
      <c r="H135" s="573">
        <f t="shared" si="56"/>
        <v>7.4131</v>
      </c>
      <c r="I135" s="574">
        <f t="shared" si="34"/>
        <v>51.212717202428024</v>
      </c>
      <c r="J135" s="575">
        <f t="shared" si="35"/>
        <v>1.5512686857664262</v>
      </c>
      <c r="K135" s="575">
        <f t="shared" si="36"/>
        <v>1.0008396774811676</v>
      </c>
      <c r="L135" s="576">
        <f t="shared" si="37"/>
        <v>4.0965603945085471E-2</v>
      </c>
      <c r="M135" s="575">
        <f t="shared" si="38"/>
        <v>1.0012975986175208</v>
      </c>
      <c r="N135" s="576">
        <f t="shared" si="39"/>
        <v>-5.0915558217379864E-2</v>
      </c>
      <c r="O135" s="574">
        <f t="shared" si="40"/>
        <v>139733.64284586825</v>
      </c>
      <c r="P135" s="577">
        <f t="shared" si="41"/>
        <v>1.5707891703221988</v>
      </c>
      <c r="Q135" s="586">
        <f t="shared" si="42"/>
        <v>18.750992383181565</v>
      </c>
      <c r="R135" s="587">
        <f t="shared" si="43"/>
        <v>1.5174405037447989</v>
      </c>
      <c r="S135" s="574">
        <f t="shared" si="44"/>
        <v>1.0386938605550144</v>
      </c>
      <c r="T135" s="577">
        <f t="shared" si="45"/>
        <v>0.27381028679318292</v>
      </c>
      <c r="U135" s="578">
        <f t="shared" si="57"/>
        <v>0.99187224638288995</v>
      </c>
      <c r="V135" s="579">
        <f t="shared" si="58"/>
        <v>-0.15333025549139226</v>
      </c>
      <c r="W135" s="580">
        <f t="shared" si="46"/>
        <v>-4.6275987452708351</v>
      </c>
      <c r="X135" s="581">
        <f t="shared" si="47"/>
        <v>-116.98124287441441</v>
      </c>
      <c r="Y135" s="584">
        <f t="shared" si="48"/>
        <v>63.018757125585594</v>
      </c>
      <c r="AA135" s="147">
        <f t="shared" si="49"/>
        <v>7413.1</v>
      </c>
      <c r="AB135" s="147">
        <f t="shared" si="50"/>
        <v>54954051.610000007</v>
      </c>
      <c r="AD135" s="583">
        <f t="shared" si="51"/>
        <v>27.330164333038304</v>
      </c>
      <c r="AE135" s="584">
        <f t="shared" si="52"/>
        <v>-18.744827279470776</v>
      </c>
      <c r="AG135" s="583">
        <f t="shared" si="53"/>
        <v>27.471200259491816</v>
      </c>
      <c r="AH135" s="584">
        <f t="shared" si="54"/>
        <v>-80.6660625522278</v>
      </c>
      <c r="AJ135" s="147">
        <f t="shared" si="55"/>
        <v>0</v>
      </c>
      <c r="AK135" s="147">
        <f t="shared" si="65"/>
        <v>0</v>
      </c>
      <c r="AM135" s="147" t="str">
        <f t="shared" si="59"/>
        <v>0.024077644723121+0.218118216733103i</v>
      </c>
      <c r="AN135" s="147" t="str">
        <f t="shared" si="60"/>
        <v>0.21988584361386i</v>
      </c>
      <c r="AO135" s="147" t="str">
        <f t="shared" si="61"/>
        <v>0.991961161065643-0.109500658739103i</v>
      </c>
      <c r="AP135" s="147" t="str">
        <f t="shared" si="62"/>
        <v>0.16265372587948-0.0363530361221838i</v>
      </c>
      <c r="AQ135" s="147" t="str">
        <f t="shared" si="63"/>
        <v>0.83734627412052+0.0363530361221838i</v>
      </c>
      <c r="AR135" s="147" t="str">
        <f t="shared" si="64"/>
        <v>0.992937951266155-0.0431079833099853i</v>
      </c>
    </row>
    <row r="136" spans="7:44">
      <c r="G136" s="585">
        <v>7499.45</v>
      </c>
      <c r="H136" s="573">
        <f t="shared" si="56"/>
        <v>7.4994499999999995</v>
      </c>
      <c r="I136" s="574">
        <f t="shared" si="34"/>
        <v>51.809032067894186</v>
      </c>
      <c r="J136" s="575">
        <f t="shared" si="35"/>
        <v>1.5514934743229962</v>
      </c>
      <c r="K136" s="575">
        <f t="shared" si="36"/>
        <v>1.0008593445916614</v>
      </c>
      <c r="L136" s="576">
        <f t="shared" si="37"/>
        <v>4.144224048780526E-2</v>
      </c>
      <c r="M136" s="575">
        <f t="shared" si="38"/>
        <v>1.0013279841482297</v>
      </c>
      <c r="N136" s="576">
        <f t="shared" si="39"/>
        <v>-5.1507595429198069E-2</v>
      </c>
      <c r="O136" s="574">
        <f t="shared" si="40"/>
        <v>141361.30199779206</v>
      </c>
      <c r="P136" s="577">
        <f t="shared" si="41"/>
        <v>1.5707892527230971</v>
      </c>
      <c r="Q136" s="586">
        <f t="shared" si="42"/>
        <v>18.968791892166745</v>
      </c>
      <c r="R136" s="587">
        <f t="shared" si="43"/>
        <v>1.5180537068716922</v>
      </c>
      <c r="S136" s="574">
        <f t="shared" si="44"/>
        <v>1.0395832769989495</v>
      </c>
      <c r="T136" s="577">
        <f t="shared" si="45"/>
        <v>0.27684008243822672</v>
      </c>
      <c r="U136" s="578">
        <f t="shared" si="57"/>
        <v>0.99169319591872496</v>
      </c>
      <c r="V136" s="579">
        <f t="shared" si="58"/>
        <v>-0.15510244246402441</v>
      </c>
      <c r="W136" s="580">
        <f t="shared" si="46"/>
        <v>-4.7370029949859704</v>
      </c>
      <c r="X136" s="581">
        <f t="shared" si="47"/>
        <v>-117.24073838893408</v>
      </c>
      <c r="Y136" s="584">
        <f t="shared" si="48"/>
        <v>62.759261611065924</v>
      </c>
      <c r="AA136" s="147">
        <f t="shared" si="49"/>
        <v>7499.45</v>
      </c>
      <c r="AB136" s="147">
        <f t="shared" si="50"/>
        <v>56241750.302499995</v>
      </c>
      <c r="AD136" s="583">
        <f t="shared" si="51"/>
        <v>27.322447114435636</v>
      </c>
      <c r="AE136" s="584">
        <f t="shared" si="52"/>
        <v>-18.883292552945615</v>
      </c>
      <c r="AG136" s="583">
        <f t="shared" si="53"/>
        <v>27.372649424528838</v>
      </c>
      <c r="AH136" s="584">
        <f t="shared" si="54"/>
        <v>-80.584015124960771</v>
      </c>
      <c r="AJ136" s="147">
        <f t="shared" si="55"/>
        <v>0</v>
      </c>
      <c r="AK136" s="147">
        <f t="shared" si="65"/>
        <v>0</v>
      </c>
      <c r="AM136" s="147" t="str">
        <f t="shared" si="59"/>
        <v>0.0246395105443979+0.220617124468904i</v>
      </c>
      <c r="AN136" s="147" t="str">
        <f t="shared" si="60"/>
        <v>0.222447139508433i</v>
      </c>
      <c r="AO136" s="147" t="str">
        <f t="shared" si="61"/>
        <v>0.991773258835456-0.110765688418591i</v>
      </c>
      <c r="AP136" s="147" t="str">
        <f t="shared" si="62"/>
        <v>0.162560081575934-0.0367695207448173i</v>
      </c>
      <c r="AQ136" s="147" t="str">
        <f t="shared" si="63"/>
        <v>0.837439918424066+0.0367695207448173i</v>
      </c>
      <c r="AR136" s="147" t="str">
        <f t="shared" si="64"/>
        <v>0.992784305651676-0.0435902353335194i</v>
      </c>
    </row>
    <row r="137" spans="7:44">
      <c r="G137" s="585">
        <v>7585.8</v>
      </c>
      <c r="H137" s="573">
        <f t="shared" si="56"/>
        <v>7.5857999999999999</v>
      </c>
      <c r="I137" s="574">
        <f t="shared" si="34"/>
        <v>52.405349491687517</v>
      </c>
      <c r="J137" s="575">
        <f t="shared" si="35"/>
        <v>1.5517131471786352</v>
      </c>
      <c r="K137" s="575">
        <f t="shared" si="36"/>
        <v>1.000879239070811</v>
      </c>
      <c r="L137" s="576">
        <f t="shared" si="37"/>
        <v>4.1918858190589117E-2</v>
      </c>
      <c r="M137" s="575">
        <f t="shared" si="38"/>
        <v>1.0013587206310957</v>
      </c>
      <c r="N137" s="576">
        <f t="shared" si="39"/>
        <v>-5.2099596503606196E-2</v>
      </c>
      <c r="O137" s="574">
        <f t="shared" si="40"/>
        <v>142988.96114971678</v>
      </c>
      <c r="P137" s="577">
        <f t="shared" si="41"/>
        <v>1.5707893332480385</v>
      </c>
      <c r="Q137" s="586">
        <f t="shared" si="42"/>
        <v>19.186598371825276</v>
      </c>
      <c r="R137" s="587">
        <f t="shared" si="43"/>
        <v>1.5186529880421498</v>
      </c>
      <c r="S137" s="574">
        <f t="shared" si="44"/>
        <v>1.0404822200995982</v>
      </c>
      <c r="T137" s="577">
        <f t="shared" si="45"/>
        <v>0.2798646705166325</v>
      </c>
      <c r="U137" s="578">
        <f t="shared" si="57"/>
        <v>0.99151216517863427</v>
      </c>
      <c r="V137" s="579">
        <f t="shared" si="58"/>
        <v>-0.15687415444647887</v>
      </c>
      <c r="W137" s="580">
        <f t="shared" si="46"/>
        <v>-4.845333122325103</v>
      </c>
      <c r="X137" s="581">
        <f t="shared" si="47"/>
        <v>-117.50041177964854</v>
      </c>
      <c r="Y137" s="584">
        <f t="shared" si="48"/>
        <v>62.499588220351455</v>
      </c>
      <c r="AA137" s="147">
        <f t="shared" si="49"/>
        <v>7585.8</v>
      </c>
      <c r="AB137" s="147">
        <f t="shared" si="50"/>
        <v>57544361.640000001</v>
      </c>
      <c r="AD137" s="583">
        <f t="shared" si="51"/>
        <v>27.314666310683073</v>
      </c>
      <c r="AE137" s="584">
        <f t="shared" si="52"/>
        <v>-19.022257016693054</v>
      </c>
      <c r="AG137" s="583">
        <f t="shared" si="53"/>
        <v>27.275271558754433</v>
      </c>
      <c r="AH137" s="584">
        <f t="shared" si="54"/>
        <v>-80.501700813481079</v>
      </c>
      <c r="AJ137" s="147">
        <f t="shared" si="55"/>
        <v>0</v>
      </c>
      <c r="AK137" s="147">
        <f t="shared" si="65"/>
        <v>0</v>
      </c>
      <c r="AM137" s="147" t="str">
        <f t="shared" si="59"/>
        <v>0.025207774957815+0.223114584904948i</v>
      </c>
      <c r="AN137" s="147" t="str">
        <f t="shared" si="60"/>
        <v>0.225008435403005i</v>
      </c>
      <c r="AO137" s="147" t="str">
        <f t="shared" si="61"/>
        <v>0.991583202226774-0.112030355273864i</v>
      </c>
      <c r="AP137" s="147" t="str">
        <f t="shared" si="62"/>
        <v>0.162465370840364-0.0371857641508247i</v>
      </c>
      <c r="AQ137" s="147" t="str">
        <f t="shared" si="63"/>
        <v>0.837534629159636+0.0371857641508247i</v>
      </c>
      <c r="AR137" s="147" t="str">
        <f t="shared" si="64"/>
        <v>0.992628993591775-0.0440718107166633i</v>
      </c>
    </row>
    <row r="138" spans="7:44">
      <c r="G138" s="585">
        <v>7674.15</v>
      </c>
      <c r="H138" s="573">
        <f t="shared" si="56"/>
        <v>7.67415</v>
      </c>
      <c r="I138" s="574">
        <f t="shared" si="34"/>
        <v>53.015481110250867</v>
      </c>
      <c r="J138" s="575">
        <f t="shared" si="35"/>
        <v>1.5519327932193825</v>
      </c>
      <c r="K138" s="575">
        <f t="shared" si="36"/>
        <v>1.0008998296517877</v>
      </c>
      <c r="L138" s="576">
        <f t="shared" si="37"/>
        <v>4.2406495374789743E-2</v>
      </c>
      <c r="M138" s="575">
        <f t="shared" si="38"/>
        <v>1.0013905322240826</v>
      </c>
      <c r="N138" s="576">
        <f t="shared" si="39"/>
        <v>-5.270527140967475E-2</v>
      </c>
      <c r="O138" s="574">
        <f t="shared" si="40"/>
        <v>144654.31941344152</v>
      </c>
      <c r="P138" s="577">
        <f t="shared" si="41"/>
        <v>1.5707894137624752</v>
      </c>
      <c r="Q138" s="586">
        <f t="shared" si="42"/>
        <v>19.409456557511675</v>
      </c>
      <c r="R138" s="587">
        <f t="shared" si="43"/>
        <v>1.5192522285181138</v>
      </c>
      <c r="S138" s="574">
        <f t="shared" si="44"/>
        <v>1.0414118185751662</v>
      </c>
      <c r="T138" s="577">
        <f t="shared" si="45"/>
        <v>0.28295387928790178</v>
      </c>
      <c r="U138" s="578">
        <f t="shared" si="57"/>
        <v>0.99132489515264055</v>
      </c>
      <c r="V138" s="579">
        <f t="shared" si="58"/>
        <v>-0.15868640506981621</v>
      </c>
      <c r="W138" s="580">
        <f t="shared" si="46"/>
        <v>-4.9550877521568539</v>
      </c>
      <c r="X138" s="581">
        <f t="shared" si="47"/>
        <v>-117.76626323407726</v>
      </c>
      <c r="Y138" s="584">
        <f t="shared" si="48"/>
        <v>62.233736765922743</v>
      </c>
      <c r="AA138" s="147">
        <f t="shared" si="49"/>
        <v>7674.15</v>
      </c>
      <c r="AB138" s="147">
        <f t="shared" si="50"/>
        <v>58892578.222499996</v>
      </c>
      <c r="AD138" s="583">
        <f t="shared" si="51"/>
        <v>27.306639451843843</v>
      </c>
      <c r="AE138" s="584">
        <f t="shared" si="52"/>
        <v>-19.164926304435863</v>
      </c>
      <c r="AG138" s="583">
        <f t="shared" si="53"/>
        <v>27.176825160327866</v>
      </c>
      <c r="AH138" s="584">
        <f t="shared" si="54"/>
        <v>-80.417214355655304</v>
      </c>
      <c r="AJ138" s="147">
        <f t="shared" si="55"/>
        <v>0</v>
      </c>
      <c r="AK138" s="147">
        <f t="shared" si="65"/>
        <v>0</v>
      </c>
      <c r="AM138" s="147" t="str">
        <f t="shared" si="59"/>
        <v>0.0257958199788+0.225668375341388i</v>
      </c>
      <c r="AN138" s="147" t="str">
        <f t="shared" si="60"/>
        <v>0.227629054885177i</v>
      </c>
      <c r="AO138" s="147" t="str">
        <f t="shared" si="61"/>
        <v>0.991386514587173-0.113323933940736i</v>
      </c>
      <c r="AP138" s="147" t="str">
        <f t="shared" si="62"/>
        <v>0.162367363336867-0.0376113958902313i</v>
      </c>
      <c r="AQ138" s="147" t="str">
        <f t="shared" si="63"/>
        <v>0.837632636663133+0.0376113958902313i</v>
      </c>
      <c r="AR138" s="147" t="str">
        <f t="shared" si="64"/>
        <v>0.992468363416239-0.0445638325097762i</v>
      </c>
    </row>
    <row r="139" spans="7:44">
      <c r="G139" s="585">
        <v>7762.5</v>
      </c>
      <c r="H139" s="573">
        <f t="shared" si="56"/>
        <v>7.7625000000000002</v>
      </c>
      <c r="I139" s="574">
        <f t="shared" si="34"/>
        <v>53.625615228312306</v>
      </c>
      <c r="J139" s="575">
        <f t="shared" si="35"/>
        <v>1.5521474411535212</v>
      </c>
      <c r="K139" s="575">
        <f t="shared" si="36"/>
        <v>1.000920658226933</v>
      </c>
      <c r="L139" s="576">
        <f t="shared" si="37"/>
        <v>4.2894112380046014E-2</v>
      </c>
      <c r="M139" s="575">
        <f t="shared" si="38"/>
        <v>1.0014227111458491</v>
      </c>
      <c r="N139" s="576">
        <f t="shared" si="39"/>
        <v>-5.3310907613351874E-2</v>
      </c>
      <c r="O139" s="574">
        <f t="shared" si="40"/>
        <v>146319.67767716717</v>
      </c>
      <c r="P139" s="577">
        <f t="shared" si="41"/>
        <v>1.5707894924441388</v>
      </c>
      <c r="Q139" s="586">
        <f t="shared" si="42"/>
        <v>19.632321554686847</v>
      </c>
      <c r="R139" s="587">
        <f t="shared" si="43"/>
        <v>1.5198378641128418</v>
      </c>
      <c r="S139" s="574">
        <f t="shared" si="44"/>
        <v>1.0423513376812972</v>
      </c>
      <c r="T139" s="577">
        <f t="shared" si="45"/>
        <v>0.28603754855196484</v>
      </c>
      <c r="U139" s="578">
        <f t="shared" si="57"/>
        <v>0.99113555873667913</v>
      </c>
      <c r="V139" s="579">
        <f t="shared" si="58"/>
        <v>-0.16049814761775458</v>
      </c>
      <c r="W139" s="580">
        <f t="shared" si="46"/>
        <v>-5.0637720663086476</v>
      </c>
      <c r="X139" s="581">
        <f t="shared" si="47"/>
        <v>-118.03226015308248</v>
      </c>
      <c r="Y139" s="584">
        <f t="shared" si="48"/>
        <v>61.967739846917524</v>
      </c>
      <c r="AA139" s="147">
        <f t="shared" si="49"/>
        <v>7762.5</v>
      </c>
      <c r="AB139" s="147">
        <f t="shared" si="50"/>
        <v>60256406.25</v>
      </c>
      <c r="AD139" s="583">
        <f t="shared" si="51"/>
        <v>27.298545998597916</v>
      </c>
      <c r="AE139" s="584">
        <f t="shared" si="52"/>
        <v>-19.308057599061137</v>
      </c>
      <c r="AG139" s="583">
        <f t="shared" si="53"/>
        <v>27.079552509811084</v>
      </c>
      <c r="AH139" s="584">
        <f t="shared" si="54"/>
        <v>-80.33246957667572</v>
      </c>
      <c r="AJ139" s="147">
        <f t="shared" si="55"/>
        <v>0</v>
      </c>
      <c r="AK139" s="147">
        <f t="shared" si="65"/>
        <v>0</v>
      </c>
      <c r="AM139" s="147" t="str">
        <f t="shared" si="59"/>
        <v>0.026390555485854+0.228220615968093i</v>
      </c>
      <c r="AN139" s="147" t="str">
        <f t="shared" si="60"/>
        <v>0.230249674367348i</v>
      </c>
      <c r="AO139" s="147" t="str">
        <f t="shared" si="61"/>
        <v>0.991187573207953-0.11461712403445i</v>
      </c>
      <c r="AP139" s="147" t="str">
        <f t="shared" si="62"/>
        <v>0.162268240752358-0.0380367693280155i</v>
      </c>
      <c r="AQ139" s="147" t="str">
        <f t="shared" si="63"/>
        <v>0.837731759247642+0.0380367693280155i</v>
      </c>
      <c r="AR139" s="147" t="str">
        <f t="shared" si="64"/>
        <v>0.992305996748981-0.0450551311735454i</v>
      </c>
    </row>
    <row r="140" spans="7:44">
      <c r="G140" s="585">
        <v>7852.9</v>
      </c>
      <c r="H140" s="573">
        <f t="shared" si="56"/>
        <v>7.8529</v>
      </c>
      <c r="I140" s="574">
        <f t="shared" si="34"/>
        <v>54.2499088907567</v>
      </c>
      <c r="J140" s="575">
        <f t="shared" si="35"/>
        <v>1.5523620720716824</v>
      </c>
      <c r="K140" s="575">
        <f t="shared" si="36"/>
        <v>1.0009422164170971</v>
      </c>
      <c r="L140" s="576">
        <f t="shared" si="37"/>
        <v>4.3393022517937821E-2</v>
      </c>
      <c r="M140" s="575">
        <f t="shared" si="38"/>
        <v>1.0014560168960962</v>
      </c>
      <c r="N140" s="576">
        <f t="shared" si="39"/>
        <v>-5.3930555976993949E-2</v>
      </c>
      <c r="O140" s="574">
        <f t="shared" si="40"/>
        <v>148023.67753048785</v>
      </c>
      <c r="P140" s="577">
        <f t="shared" si="41"/>
        <v>1.5707895711189352</v>
      </c>
      <c r="Q140" s="586">
        <f t="shared" si="42"/>
        <v>19.860364537311916</v>
      </c>
      <c r="R140" s="587">
        <f t="shared" si="43"/>
        <v>1.5204234835756101</v>
      </c>
      <c r="S140" s="574">
        <f t="shared" si="44"/>
        <v>1.0433228972374067</v>
      </c>
      <c r="T140" s="577">
        <f t="shared" si="45"/>
        <v>0.28918698944126014</v>
      </c>
      <c r="U140" s="578">
        <f t="shared" si="57"/>
        <v>0.99093969382671054</v>
      </c>
      <c r="V140" s="579">
        <f t="shared" si="58"/>
        <v>-0.16235139674748325</v>
      </c>
      <c r="W140" s="580">
        <f t="shared" si="46"/>
        <v>-5.1738974194192169</v>
      </c>
      <c r="X140" s="581">
        <f t="shared" si="47"/>
        <v>-118.3045593983374</v>
      </c>
      <c r="Y140" s="584">
        <f t="shared" si="48"/>
        <v>61.695440601662597</v>
      </c>
      <c r="AA140" s="147">
        <f t="shared" si="49"/>
        <v>7852.9</v>
      </c>
      <c r="AB140" s="147">
        <f t="shared" si="50"/>
        <v>61668038.409999996</v>
      </c>
      <c r="AD140" s="583">
        <f t="shared" si="51"/>
        <v>27.290195847990255</v>
      </c>
      <c r="AE140" s="584">
        <f t="shared" si="52"/>
        <v>-19.454958254128002</v>
      </c>
      <c r="AG140" s="583">
        <f t="shared" si="53"/>
        <v>26.981210599753144</v>
      </c>
      <c r="AH140" s="584">
        <f t="shared" si="54"/>
        <v>-80.245501459581632</v>
      </c>
      <c r="AJ140" s="147">
        <f t="shared" si="55"/>
        <v>0</v>
      </c>
      <c r="AK140" s="147">
        <f t="shared" si="65"/>
        <v>0</v>
      </c>
      <c r="AM140" s="147" t="str">
        <f t="shared" si="59"/>
        <v>0.027006011628676+0.230830454215348i</v>
      </c>
      <c r="AN140" s="147" t="str">
        <f t="shared" si="60"/>
        <v>0.232931100526808i</v>
      </c>
      <c r="AO140" s="147" t="str">
        <f t="shared" si="61"/>
        <v>0.99098168382535-0.115939913423317i</v>
      </c>
      <c r="AP140" s="147" t="str">
        <f t="shared" si="62"/>
        <v>0.162165664728554-0.0384717423692247i</v>
      </c>
      <c r="AQ140" s="147" t="str">
        <f t="shared" si="63"/>
        <v>0.837834335271446+0.0384717423692247i</v>
      </c>
      <c r="AR140" s="147" t="str">
        <f t="shared" si="64"/>
        <v>0.992138069567686-0.0455570732783847i</v>
      </c>
    </row>
    <row r="141" spans="7:44">
      <c r="G141" s="585">
        <v>7943.3</v>
      </c>
      <c r="H141" s="573">
        <f t="shared" si="56"/>
        <v>7.9432999999999998</v>
      </c>
      <c r="I141" s="574">
        <f t="shared" ref="I141:I204" si="66">SQRT(1+(G141/pole1)^2)</f>
        <v>54.87420499543714</v>
      </c>
      <c r="J141" s="575">
        <f t="shared" ref="J141:J204" si="67">ATAN(G141/pole1)</f>
        <v>1.5525718193478462</v>
      </c>
      <c r="K141" s="575">
        <f t="shared" ref="K141:K204" si="68">SQRT(1+(G141/Zero1)^2)</f>
        <v>1.0009640237423472</v>
      </c>
      <c r="L141" s="576">
        <f t="shared" ref="L141:L204" si="69">ATAN(G141/Zero1)</f>
        <v>4.3891911041169608E-2</v>
      </c>
      <c r="M141" s="575">
        <f t="shared" ref="M141:M204" si="70">SQRT(1+(G141/z_RHP)^2)</f>
        <v>1.0014897071438342</v>
      </c>
      <c r="N141" s="576">
        <f t="shared" ref="N141:N204" si="71">-ATAN(G141/z_RHP)</f>
        <v>-5.4550162888421849E-2</v>
      </c>
      <c r="O141" s="574">
        <f t="shared" ref="O141:O204" si="72">SQRT(1+(G141/Pole2)^2)</f>
        <v>149727.67738380941</v>
      </c>
      <c r="P141" s="577">
        <f t="shared" ref="P141:P204" si="73">ATAN(G141/Pole2)</f>
        <v>1.5707896480029893</v>
      </c>
      <c r="Q141" s="586">
        <f t="shared" ref="Q141:Q147" si="74">SQRT(1+(G141/Zero2)^2)</f>
        <v>20.088414176411664</v>
      </c>
      <c r="R141" s="587">
        <f t="shared" ref="R141:R147" si="75">ATAN(G141/Zero2)</f>
        <v>1.5209958069791043</v>
      </c>
      <c r="S141" s="574">
        <f t="shared" ref="S141:S204" si="76">SQRT(1+(G141/pole4)^2)</f>
        <v>1.0443047861748445</v>
      </c>
      <c r="T141" s="577">
        <f t="shared" ref="T141:T204" si="77">ATAN(G141/pole4)</f>
        <v>0.29233053905156631</v>
      </c>
      <c r="U141" s="578">
        <f t="shared" si="57"/>
        <v>0.99074167282157366</v>
      </c>
      <c r="V141" s="579">
        <f t="shared" si="58"/>
        <v>-0.1642041024066333</v>
      </c>
      <c r="W141" s="580">
        <f t="shared" ref="W141:W204" si="78">20*LOG10(((K141*Q141*M141*U141)/(I141*O141*S141))*Adc)</f>
        <v>-5.2829562269402501</v>
      </c>
      <c r="X141" s="581">
        <f t="shared" ref="X141:X204" si="79">((L141+R141+N141+V141)-(J141+P141+T141))*radconv</f>
        <v>-118.57697071639537</v>
      </c>
      <c r="Y141" s="584">
        <f t="shared" ref="Y141:Y204" si="80">IF(X141&gt;0,X141,X141+180)</f>
        <v>61.423029283604635</v>
      </c>
      <c r="AA141" s="147">
        <f t="shared" ref="AA141:AA204" si="81">IF(W141&lt;0,G141,1000000000)</f>
        <v>7943.3</v>
      </c>
      <c r="AB141" s="147">
        <f t="shared" ref="AB141:AB204" si="82">G141^2</f>
        <v>63096014.890000001</v>
      </c>
      <c r="AD141" s="583">
        <f t="shared" ref="AD141:AD204" si="83">20*LOG10((Q141/(O141*S141))*Aea)</f>
        <v>27.28177605732245</v>
      </c>
      <c r="AE141" s="584">
        <f t="shared" ref="AE141:AE204" si="84">(R141-(P141+T141))*radconv</f>
        <v>-19.6022830692519</v>
      </c>
      <c r="AG141" s="583">
        <f t="shared" ref="AG141:AG204" si="85">20*LOG10((K141*M141/(I141*U141))*Acs*Am)</f>
        <v>26.884043359203226</v>
      </c>
      <c r="AH141" s="584">
        <f t="shared" ref="AH141:AH204" si="86">(L141+N141-(J141+V141))*radconv</f>
        <v>-80.158283532374469</v>
      </c>
      <c r="AJ141" s="147">
        <f t="shared" ref="AJ141:AJ204" si="87">SUM((W142&lt;0)*(W141&gt;0))*G141</f>
        <v>0</v>
      </c>
      <c r="AK141" s="147">
        <f t="shared" si="65"/>
        <v>0</v>
      </c>
      <c r="AM141" s="147" t="str">
        <f t="shared" si="59"/>
        <v>0.027628463639083+0.233438632781957i</v>
      </c>
      <c r="AN141" s="147" t="str">
        <f t="shared" si="60"/>
        <v>0.235612526686268i</v>
      </c>
      <c r="AO141" s="147" t="str">
        <f t="shared" si="61"/>
        <v>0.990773436646662-0.117262286635005i</v>
      </c>
      <c r="AP141" s="147" t="str">
        <f t="shared" si="62"/>
        <v>0.162061922726819-0.0389064387969928i</v>
      </c>
      <c r="AQ141" s="147" t="str">
        <f t="shared" si="63"/>
        <v>0.837938077273181+0.0389064387969928i</v>
      </c>
      <c r="AR141" s="147" t="str">
        <f t="shared" si="64"/>
        <v>0.991968333159294-0.0460582425949774i</v>
      </c>
    </row>
    <row r="142" spans="7:44">
      <c r="G142" s="585">
        <v>8035.8</v>
      </c>
      <c r="H142" s="573">
        <f t="shared" ref="H142:H205" si="88">G142/1000</f>
        <v>8.0358000000000001</v>
      </c>
      <c r="I142" s="574">
        <f t="shared" si="66"/>
        <v>55.513005995922285</v>
      </c>
      <c r="J142" s="575">
        <f t="shared" si="67"/>
        <v>1.5527815557917948</v>
      </c>
      <c r="K142" s="575">
        <f t="shared" si="68"/>
        <v>1.0009865955201587</v>
      </c>
      <c r="L142" s="576">
        <f t="shared" si="69"/>
        <v>4.4402366157722986E-2</v>
      </c>
      <c r="M142" s="575">
        <f t="shared" si="70"/>
        <v>1.0015245779776318</v>
      </c>
      <c r="N142" s="576">
        <f t="shared" si="71"/>
        <v>-5.5184119923548977E-2</v>
      </c>
      <c r="O142" s="574">
        <f t="shared" si="72"/>
        <v>151471.26130452097</v>
      </c>
      <c r="P142" s="577">
        <f t="shared" si="73"/>
        <v>1.5707897248824849</v>
      </c>
      <c r="Q142" s="586">
        <f t="shared" si="74"/>
        <v>20.321768085264544</v>
      </c>
      <c r="R142" s="587">
        <f t="shared" si="75"/>
        <v>1.5215681291005534</v>
      </c>
      <c r="S142" s="574">
        <f t="shared" si="76"/>
        <v>1.0453201462112156</v>
      </c>
      <c r="T142" s="577">
        <f t="shared" si="77"/>
        <v>0.29554096805200358</v>
      </c>
      <c r="U142" s="578">
        <f t="shared" ref="U142:U205" si="89">IMABS(IMPRODUCT(AO142, AR142))</f>
        <v>0.99053682387380582</v>
      </c>
      <c r="V142" s="579">
        <f t="shared" ref="V142:V205" si="90">IMARGUMENT(IMPRODUCT(AO142, AR142))</f>
        <v>-0.16609927796023333</v>
      </c>
      <c r="W142" s="580">
        <f t="shared" si="78"/>
        <v>-5.3934714956674776</v>
      </c>
      <c r="X142" s="581">
        <f t="shared" si="79"/>
        <v>-118.85580622405708</v>
      </c>
      <c r="Y142" s="584">
        <f t="shared" si="80"/>
        <v>61.144193775942924</v>
      </c>
      <c r="AA142" s="147">
        <f t="shared" si="81"/>
        <v>8035.8</v>
      </c>
      <c r="AB142" s="147">
        <f t="shared" si="82"/>
        <v>64574081.640000001</v>
      </c>
      <c r="AD142" s="583">
        <f t="shared" si="83"/>
        <v>27.273088671810918</v>
      </c>
      <c r="AE142" s="584">
        <f t="shared" si="84"/>
        <v>-19.75343986436571</v>
      </c>
      <c r="AG142" s="583">
        <f t="shared" si="85"/>
        <v>26.785807692552936</v>
      </c>
      <c r="AH142" s="584">
        <f t="shared" si="86"/>
        <v>-80.068791123358949</v>
      </c>
      <c r="AJ142" s="147">
        <f t="shared" si="87"/>
        <v>0</v>
      </c>
      <c r="AK142" s="147">
        <f t="shared" si="65"/>
        <v>0</v>
      </c>
      <c r="AM142" s="147" t="str">
        <f t="shared" ref="AM142:AM205" si="91">IMSUB(1,IMEXP(COMPLEX(0,-2*Pi*G142*Tsw)))</f>
        <v>0.028272612123121+0.23610566204557i</v>
      </c>
      <c r="AN142" s="147" t="str">
        <f t="shared" ref="AN142:AN205" si="92">COMPLEX(0, 2*Pi*G142*Tsw)</f>
        <v>0.238356242612707i</v>
      </c>
      <c r="AO142" s="147" t="str">
        <f t="shared" ref="AO142:AO205" si="93">IMDIV(AM142, AN142)</f>
        <v>0.990557912213804-0.118614942966104i</v>
      </c>
      <c r="AP142" s="147" t="str">
        <f t="shared" ref="AP142:AP205" si="94">IMDIV(IMEXP(COMPLEX(0,-2*Pi*G142*Tsw)),6)</f>
        <v>0.161954564646146-0.0393509436742617i</v>
      </c>
      <c r="AQ142" s="147" t="str">
        <f t="shared" ref="AQ142:AQ205" si="95">IMSUB(1, AP142)</f>
        <v>0.838045435353854+0.0393509436742617i</v>
      </c>
      <c r="AR142" s="147" t="str">
        <f t="shared" ref="AR142:AR205" si="96">IMDIV(0.833, AQ142)</f>
        <v>0.991792785702055-0.0465702459559625i</v>
      </c>
    </row>
    <row r="143" spans="7:44">
      <c r="G143" s="585">
        <v>8128.3</v>
      </c>
      <c r="H143" s="573">
        <f t="shared" si="88"/>
        <v>8.1282999999999994</v>
      </c>
      <c r="I143" s="574">
        <f t="shared" si="66"/>
        <v>56.151809382828297</v>
      </c>
      <c r="J143" s="575">
        <f t="shared" si="67"/>
        <v>1.5529865201685966</v>
      </c>
      <c r="K143" s="575">
        <f t="shared" si="68"/>
        <v>1.0010094281076658</v>
      </c>
      <c r="L143" s="576">
        <f t="shared" si="69"/>
        <v>4.4912798120755569E-2</v>
      </c>
      <c r="M143" s="575">
        <f t="shared" si="70"/>
        <v>1.0015598512975594</v>
      </c>
      <c r="N143" s="576">
        <f t="shared" si="71"/>
        <v>-5.5818032559546461E-2</v>
      </c>
      <c r="O143" s="574">
        <f t="shared" si="72"/>
        <v>153214.84522523341</v>
      </c>
      <c r="P143" s="577">
        <f t="shared" si="73"/>
        <v>1.5707898000122045</v>
      </c>
      <c r="Q143" s="586">
        <f t="shared" si="74"/>
        <v>20.555128499428527</v>
      </c>
      <c r="R143" s="587">
        <f t="shared" si="75"/>
        <v>1.5221274563647997</v>
      </c>
      <c r="S143" s="574">
        <f t="shared" si="76"/>
        <v>1.0463462592355861</v>
      </c>
      <c r="T143" s="577">
        <f t="shared" si="77"/>
        <v>0.29874513332596292</v>
      </c>
      <c r="U143" s="578">
        <f t="shared" si="89"/>
        <v>0.99032972547287834</v>
      </c>
      <c r="V143" s="579">
        <f t="shared" si="90"/>
        <v>-0.16799387219453696</v>
      </c>
      <c r="W143" s="580">
        <f t="shared" si="78"/>
        <v>-5.5029239841727318</v>
      </c>
      <c r="X143" s="581">
        <f t="shared" si="79"/>
        <v>-119.134719353113</v>
      </c>
      <c r="Y143" s="584">
        <f t="shared" si="80"/>
        <v>60.865280646887001</v>
      </c>
      <c r="AA143" s="147">
        <f t="shared" si="81"/>
        <v>8128.3</v>
      </c>
      <c r="AB143" s="147">
        <f t="shared" si="82"/>
        <v>66069260.890000001</v>
      </c>
      <c r="AD143" s="583">
        <f t="shared" si="83"/>
        <v>27.264328567625764</v>
      </c>
      <c r="AE143" s="584">
        <f t="shared" si="84"/>
        <v>-19.904982224607057</v>
      </c>
      <c r="AG143" s="583">
        <f t="shared" si="85"/>
        <v>26.688747726301223</v>
      </c>
      <c r="AH143" s="584">
        <f t="shared" si="86"/>
        <v>-79.979057384894602</v>
      </c>
      <c r="AJ143" s="147">
        <f t="shared" si="87"/>
        <v>0</v>
      </c>
      <c r="AK143" s="147">
        <f t="shared" si="65"/>
        <v>0</v>
      </c>
      <c r="AM143" s="147" t="str">
        <f t="shared" si="91"/>
        <v>0.028924075744078+0.238770913912284i</v>
      </c>
      <c r="AN143" s="147" t="str">
        <f t="shared" si="92"/>
        <v>0.241099958539145i</v>
      </c>
      <c r="AO143" s="147" t="str">
        <f t="shared" si="93"/>
        <v>0.990339921080978-0.119967153538029i</v>
      </c>
      <c r="AP143" s="147" t="str">
        <f t="shared" si="94"/>
        <v>0.161845987375987-0.039795152318714i</v>
      </c>
      <c r="AQ143" s="147" t="str">
        <f t="shared" si="95"/>
        <v>0.838154012624013+0.039795152318714i</v>
      </c>
      <c r="AR143" s="147" t="str">
        <f t="shared" si="96"/>
        <v>0.991615353576751-0.047081423512631i</v>
      </c>
    </row>
    <row r="144" spans="7:44">
      <c r="G144" s="585">
        <v>8222.9500000000007</v>
      </c>
      <c r="H144" s="573">
        <f t="shared" si="88"/>
        <v>8.2229500000000009</v>
      </c>
      <c r="I144" s="574">
        <f t="shared" si="66"/>
        <v>56.805463018524975</v>
      </c>
      <c r="J144" s="575">
        <f t="shared" si="67"/>
        <v>1.5531914767707753</v>
      </c>
      <c r="K144" s="575">
        <f t="shared" si="68"/>
        <v>1.0010330613531817</v>
      </c>
      <c r="L144" s="576">
        <f t="shared" si="69"/>
        <v>4.5435069935252391E-2</v>
      </c>
      <c r="M144" s="575">
        <f t="shared" si="70"/>
        <v>1.0015963610669567</v>
      </c>
      <c r="N144" s="576">
        <f t="shared" si="71"/>
        <v>-5.646663289551207E-2</v>
      </c>
      <c r="O144" s="574">
        <f t="shared" si="72"/>
        <v>154998.95569113086</v>
      </c>
      <c r="P144" s="577">
        <f t="shared" si="73"/>
        <v>1.5707898751385254</v>
      </c>
      <c r="Q144" s="586">
        <f t="shared" si="74"/>
        <v>20.793919471867486</v>
      </c>
      <c r="R144" s="587">
        <f t="shared" si="75"/>
        <v>1.5226867888046631</v>
      </c>
      <c r="S144" s="574">
        <f t="shared" si="76"/>
        <v>1.0474073202797298</v>
      </c>
      <c r="T144" s="577">
        <f t="shared" si="77"/>
        <v>0.30201724066865843</v>
      </c>
      <c r="U144" s="578">
        <f t="shared" si="89"/>
        <v>0.99011548921723336</v>
      </c>
      <c r="V144" s="579">
        <f t="shared" si="90"/>
        <v>-0.16993189473251011</v>
      </c>
      <c r="W144" s="580">
        <f t="shared" si="78"/>
        <v>-5.6138473330409955</v>
      </c>
      <c r="X144" s="581">
        <f t="shared" si="79"/>
        <v>-119.42017596198914</v>
      </c>
      <c r="Y144" s="584">
        <f t="shared" si="80"/>
        <v>60.579824038010855</v>
      </c>
      <c r="AA144" s="147">
        <f t="shared" si="81"/>
        <v>8222.9500000000007</v>
      </c>
      <c r="AB144" s="147">
        <f t="shared" si="82"/>
        <v>67616906.702500015</v>
      </c>
      <c r="AD144" s="583">
        <f t="shared" si="83"/>
        <v>27.255289718187864</v>
      </c>
      <c r="AE144" s="584">
        <f t="shared" si="84"/>
        <v>-20.060417081907069</v>
      </c>
      <c r="AG144" s="583">
        <f t="shared" si="85"/>
        <v>26.590621639305517</v>
      </c>
      <c r="AH144" s="584">
        <f t="shared" si="86"/>
        <v>-79.886998112162772</v>
      </c>
      <c r="AJ144" s="147">
        <f t="shared" si="87"/>
        <v>0</v>
      </c>
      <c r="AK144" s="147">
        <f t="shared" si="65"/>
        <v>0</v>
      </c>
      <c r="AM144" s="147" t="str">
        <f t="shared" si="91"/>
        <v>0.029598248530443+0.241496254101004i</v>
      </c>
      <c r="AN144" s="147" t="str">
        <f t="shared" si="92"/>
        <v>0.243907447322253i</v>
      </c>
      <c r="AO144" s="147" t="str">
        <f t="shared" si="93"/>
        <v>0.990114310785831-0.121350327164621i</v>
      </c>
      <c r="AP144" s="147" t="str">
        <f t="shared" si="94"/>
        <v>0.161733625244926-0.0402493756835007i</v>
      </c>
      <c r="AQ144" s="147" t="str">
        <f t="shared" si="95"/>
        <v>0.838266374755074+0.0402493756835007i</v>
      </c>
      <c r="AR144" s="147" t="str">
        <f t="shared" si="96"/>
        <v>0.991431851600761-0.047603618922836i</v>
      </c>
    </row>
    <row r="145" spans="7:44">
      <c r="G145" s="585">
        <v>8270.2750000000015</v>
      </c>
      <c r="H145" s="573">
        <f t="shared" si="88"/>
        <v>8.2702750000000016</v>
      </c>
      <c r="I145" s="574">
        <f t="shared" si="66"/>
        <v>57.132290715856058</v>
      </c>
      <c r="J145" s="575">
        <f t="shared" si="67"/>
        <v>1.5532921963800539</v>
      </c>
      <c r="K145" s="575">
        <f t="shared" si="68"/>
        <v>1.0010449803659189</v>
      </c>
      <c r="L145" s="576">
        <f t="shared" si="69"/>
        <v>4.5696196559317448E-2</v>
      </c>
      <c r="M145" s="575">
        <f t="shared" si="70"/>
        <v>1.0016147739507317</v>
      </c>
      <c r="N145" s="576">
        <f t="shared" si="71"/>
        <v>-5.6790915263731166E-2</v>
      </c>
      <c r="O145" s="574">
        <f t="shared" si="72"/>
        <v>155891.01092407989</v>
      </c>
      <c r="P145" s="577">
        <f t="shared" si="73"/>
        <v>1.5707899120568429</v>
      </c>
      <c r="Q145" s="586">
        <f t="shared" si="74"/>
        <v>20.913317355842615</v>
      </c>
      <c r="R145" s="587">
        <f t="shared" si="75"/>
        <v>1.5229616650838531</v>
      </c>
      <c r="S145" s="574">
        <f t="shared" si="76"/>
        <v>1.0479420497507925</v>
      </c>
      <c r="T145" s="577">
        <f t="shared" si="77"/>
        <v>0.30365080079341572</v>
      </c>
      <c r="U145" s="578">
        <f t="shared" si="89"/>
        <v>0.99000749086567308</v>
      </c>
      <c r="V145" s="579">
        <f t="shared" si="90"/>
        <v>-0.17090067325022179</v>
      </c>
      <c r="W145" s="580">
        <f t="shared" si="78"/>
        <v>-5.6689102530802113</v>
      </c>
      <c r="X145" s="581">
        <f t="shared" si="79"/>
        <v>-119.56292121392539</v>
      </c>
      <c r="Y145" s="584">
        <f t="shared" si="80"/>
        <v>60.437078786074608</v>
      </c>
      <c r="AA145" s="147">
        <f t="shared" si="81"/>
        <v>8270.2750000000015</v>
      </c>
      <c r="AB145" s="147">
        <f t="shared" si="82"/>
        <v>68397448.575625017</v>
      </c>
      <c r="AD145" s="583">
        <f t="shared" si="83"/>
        <v>27.250741847108589</v>
      </c>
      <c r="AE145" s="584">
        <f t="shared" si="84"/>
        <v>-20.138266047303429</v>
      </c>
      <c r="AG145" s="583">
        <f t="shared" si="85"/>
        <v>26.542001546917689</v>
      </c>
      <c r="AH145" s="584">
        <f t="shared" si="86"/>
        <v>-79.840880557880155</v>
      </c>
      <c r="AJ145" s="147">
        <f t="shared" si="87"/>
        <v>0</v>
      </c>
      <c r="AK145" s="147">
        <f t="shared" si="65"/>
        <v>0</v>
      </c>
      <c r="AM145" s="147" t="str">
        <f t="shared" si="91"/>
        <v>0.029938203518738+0.242858211735873i</v>
      </c>
      <c r="AN145" s="147" t="str">
        <f t="shared" si="92"/>
        <v>0.245311191713806i</v>
      </c>
      <c r="AO145" s="147" t="str">
        <f t="shared" si="93"/>
        <v>0.990000537844214-0.122041735273398i</v>
      </c>
      <c r="AP145" s="147" t="str">
        <f t="shared" si="94"/>
        <v>0.16167696608021-0.0404763686226455i</v>
      </c>
      <c r="AQ145" s="147" t="str">
        <f t="shared" si="95"/>
        <v>0.83832303391979+0.0404763686226455i</v>
      </c>
      <c r="AR145" s="147" t="str">
        <f t="shared" si="96"/>
        <v>0.991339364219242-0.0478643862958873i</v>
      </c>
    </row>
    <row r="146" spans="7:44">
      <c r="G146" s="585">
        <v>8317.6</v>
      </c>
      <c r="H146" s="573">
        <f t="shared" si="88"/>
        <v>8.3176000000000005</v>
      </c>
      <c r="I146" s="574">
        <f t="shared" si="66"/>
        <v>57.459118986168939</v>
      </c>
      <c r="J146" s="575">
        <f t="shared" si="67"/>
        <v>1.5533917702012479</v>
      </c>
      <c r="K146" s="575">
        <f t="shared" si="68"/>
        <v>1.0010569676353958</v>
      </c>
      <c r="L146" s="576">
        <f t="shared" si="69"/>
        <v>4.5957316947406804E-2</v>
      </c>
      <c r="M146" s="575">
        <f t="shared" si="70"/>
        <v>1.0016332921594904</v>
      </c>
      <c r="N146" s="576">
        <f t="shared" si="71"/>
        <v>-5.7115185675376268E-2</v>
      </c>
      <c r="O146" s="574">
        <f t="shared" si="72"/>
        <v>156783.06615702916</v>
      </c>
      <c r="P146" s="577">
        <f t="shared" si="73"/>
        <v>1.5707899485550489</v>
      </c>
      <c r="Q146" s="586">
        <f t="shared" si="74"/>
        <v>21.032716802024282</v>
      </c>
      <c r="R146" s="587">
        <f t="shared" si="75"/>
        <v>1.5232334205240265</v>
      </c>
      <c r="S146" s="574">
        <f t="shared" si="76"/>
        <v>1.0484795728180329</v>
      </c>
      <c r="T146" s="577">
        <f t="shared" si="77"/>
        <v>0.30528269031762773</v>
      </c>
      <c r="U146" s="578">
        <f t="shared" si="89"/>
        <v>0.98989890644114298</v>
      </c>
      <c r="V146" s="579">
        <f t="shared" si="90"/>
        <v>-0.17186929549822469</v>
      </c>
      <c r="W146" s="580">
        <f t="shared" si="78"/>
        <v>-5.7237116905755547</v>
      </c>
      <c r="X146" s="581">
        <f t="shared" si="79"/>
        <v>-119.70567460415229</v>
      </c>
      <c r="Y146" s="584">
        <f t="shared" si="80"/>
        <v>60.294325395847707</v>
      </c>
      <c r="AA146" s="147">
        <f t="shared" si="81"/>
        <v>8317.6</v>
      </c>
      <c r="AB146" s="147">
        <f t="shared" si="82"/>
        <v>69182469.760000005</v>
      </c>
      <c r="AD146" s="583">
        <f t="shared" si="83"/>
        <v>27.246175042662909</v>
      </c>
      <c r="AE146" s="584">
        <f t="shared" si="84"/>
        <v>-20.216198081172944</v>
      </c>
      <c r="AG146" s="583">
        <f t="shared" si="85"/>
        <v>26.493672362186413</v>
      </c>
      <c r="AH146" s="584">
        <f t="shared" si="86"/>
        <v>-79.794705980604661</v>
      </c>
      <c r="AJ146" s="147">
        <f t="shared" si="87"/>
        <v>0</v>
      </c>
      <c r="AK146" s="147">
        <f t="shared" si="65"/>
        <v>0</v>
      </c>
      <c r="AM146" s="147" t="str">
        <f t="shared" si="91"/>
        <v>0.030280070011856+0.244219690819125i</v>
      </c>
      <c r="AN146" s="147" t="str">
        <f t="shared" si="92"/>
        <v>0.24671493610536i</v>
      </c>
      <c r="AO146" s="147" t="str">
        <f t="shared" si="93"/>
        <v>0.989886119885464-0.122733023342068i</v>
      </c>
      <c r="AP146" s="147" t="str">
        <f t="shared" si="94"/>
        <v>0.161619988331357-0.0407032818031875i</v>
      </c>
      <c r="AQ146" s="147" t="str">
        <f t="shared" si="95"/>
        <v>0.838380011668643+0.0407032818031875i</v>
      </c>
      <c r="AR146" s="147" t="str">
        <f t="shared" si="96"/>
        <v>0.991246386800931-0.0481249319602054i</v>
      </c>
    </row>
    <row r="147" spans="7:44">
      <c r="G147" s="585">
        <v>8366.0499999999993</v>
      </c>
      <c r="H147" s="573">
        <f t="shared" si="88"/>
        <v>8.3660499999999995</v>
      </c>
      <c r="I147" s="574">
        <f t="shared" si="66"/>
        <v>57.793717133178902</v>
      </c>
      <c r="J147" s="575">
        <f t="shared" si="67"/>
        <v>1.5534925443972412</v>
      </c>
      <c r="K147" s="575">
        <f t="shared" si="68"/>
        <v>1.001069310571078</v>
      </c>
      <c r="L147" s="576">
        <f t="shared" si="69"/>
        <v>4.6224638137693626E-2</v>
      </c>
      <c r="M147" s="575">
        <f t="shared" si="70"/>
        <v>1.0016523596835221</v>
      </c>
      <c r="N147" s="576">
        <f t="shared" si="71"/>
        <v>-5.7447152118605085E-2</v>
      </c>
      <c r="O147" s="574">
        <f t="shared" si="72"/>
        <v>157696.32714036567</v>
      </c>
      <c r="P147" s="577">
        <f t="shared" si="73"/>
        <v>1.5707899854931164</v>
      </c>
      <c r="Q147" s="586">
        <f t="shared" si="74"/>
        <v>21.154956177596524</v>
      </c>
      <c r="R147" s="587">
        <f t="shared" si="75"/>
        <v>1.5235084582087974</v>
      </c>
      <c r="S147" s="574">
        <f t="shared" si="76"/>
        <v>1.0490327632858312</v>
      </c>
      <c r="T147" s="577">
        <f t="shared" si="77"/>
        <v>0.30695163574927964</v>
      </c>
      <c r="U147" s="578">
        <f t="shared" si="89"/>
        <v>0.98978713421909159</v>
      </c>
      <c r="V147" s="579">
        <f t="shared" si="90"/>
        <v>-0.17286078088394871</v>
      </c>
      <c r="W147" s="580">
        <f t="shared" si="78"/>
        <v>-5.7795483102434995</v>
      </c>
      <c r="X147" s="581">
        <f t="shared" si="79"/>
        <v>-119.85182751596579</v>
      </c>
      <c r="Y147" s="584">
        <f t="shared" si="80"/>
        <v>60.148172484034205</v>
      </c>
      <c r="AA147" s="147">
        <f t="shared" si="81"/>
        <v>8366.0499999999993</v>
      </c>
      <c r="AB147" s="147">
        <f t="shared" si="82"/>
        <v>69990792.602499992</v>
      </c>
      <c r="AD147" s="583">
        <f t="shared" si="83"/>
        <v>27.241480089321556</v>
      </c>
      <c r="AE147" s="584">
        <f t="shared" si="84"/>
        <v>-20.296065228586446</v>
      </c>
      <c r="AG147" s="583">
        <f t="shared" si="85"/>
        <v>26.444492302228575</v>
      </c>
      <c r="AH147" s="584">
        <f t="shared" si="86"/>
        <v>-79.747375888773064</v>
      </c>
      <c r="AJ147" s="147">
        <f t="shared" si="87"/>
        <v>0</v>
      </c>
      <c r="AK147" s="147">
        <f t="shared" si="65"/>
        <v>0</v>
      </c>
      <c r="AM147" s="147" t="str">
        <f t="shared" si="91"/>
        <v>0.030632042785077+0.245613036146227i</v>
      </c>
      <c r="AN147" s="147" t="str">
        <f t="shared" si="92"/>
        <v>0.248152050014938i</v>
      </c>
      <c r="AO147" s="147" t="str">
        <f t="shared" si="93"/>
        <v>0.989768313948814-0.123440619504183i</v>
      </c>
      <c r="AP147" s="147" t="str">
        <f t="shared" si="94"/>
        <v>0.161561326202487-0.0409355060243712i</v>
      </c>
      <c r="AQ147" s="147" t="str">
        <f t="shared" si="95"/>
        <v>0.838438673797513+0.0409355060243712i</v>
      </c>
      <c r="AR147" s="147" t="str">
        <f t="shared" si="96"/>
        <v>0.991150692196872-0.0483914404230874i</v>
      </c>
    </row>
    <row r="148" spans="7:44">
      <c r="G148" s="588">
        <v>8414.5</v>
      </c>
      <c r="H148" s="573">
        <f t="shared" si="88"/>
        <v>8.4145000000000003</v>
      </c>
      <c r="I148" s="574">
        <f t="shared" si="66"/>
        <v>58.128315860352558</v>
      </c>
      <c r="J148" s="575">
        <f t="shared" si="67"/>
        <v>1.5535921584395953</v>
      </c>
      <c r="K148" s="575">
        <f t="shared" si="68"/>
        <v>1.0010817250420254</v>
      </c>
      <c r="L148" s="576">
        <f t="shared" si="69"/>
        <v>4.6491952716952202E-2</v>
      </c>
      <c r="M148" s="575">
        <f t="shared" si="70"/>
        <v>1.0016715375871565</v>
      </c>
      <c r="N148" s="576">
        <f t="shared" si="71"/>
        <v>-5.7779105886821613E-2</v>
      </c>
      <c r="O148" s="574">
        <f t="shared" si="72"/>
        <v>158609.58812370239</v>
      </c>
      <c r="P148" s="577">
        <f t="shared" si="73"/>
        <v>1.5707900220058115</v>
      </c>
      <c r="Q148" s="586">
        <f t="shared" ref="Q148:Q157" si="97">SQRT(1+(G148/Zero2)^2)</f>
        <v>21.277197135063243</v>
      </c>
      <c r="R148" s="587">
        <f t="shared" ref="R148:R157" si="98">ATAN(G148/Zero2)</f>
        <v>1.5237803356414916</v>
      </c>
      <c r="S148" s="574">
        <f t="shared" si="76"/>
        <v>1.0495888726225033</v>
      </c>
      <c r="T148" s="577">
        <f t="shared" si="77"/>
        <v>0.30861881728784407</v>
      </c>
      <c r="U148" s="578">
        <f t="shared" si="89"/>
        <v>0.9896747489207609</v>
      </c>
      <c r="V148" s="579">
        <f t="shared" si="90"/>
        <v>-0.17385210073286428</v>
      </c>
      <c r="W148" s="580">
        <f t="shared" si="78"/>
        <v>-5.8351175807833391</v>
      </c>
      <c r="X148" s="581">
        <f t="shared" si="79"/>
        <v>-119.99798410497577</v>
      </c>
      <c r="Y148" s="584">
        <f t="shared" si="80"/>
        <v>60.002015895024229</v>
      </c>
      <c r="AA148" s="147">
        <f t="shared" si="81"/>
        <v>8414.5</v>
      </c>
      <c r="AB148" s="147">
        <f t="shared" si="82"/>
        <v>70803810.25</v>
      </c>
      <c r="AD148" s="583">
        <f t="shared" si="83"/>
        <v>27.236765346181517</v>
      </c>
      <c r="AE148" s="584">
        <f t="shared" si="84"/>
        <v>-20.37601235710477</v>
      </c>
      <c r="AG148" s="583">
        <f t="shared" si="85"/>
        <v>26.39561036406144</v>
      </c>
      <c r="AH148" s="584">
        <f t="shared" si="86"/>
        <v>-79.699988462154082</v>
      </c>
      <c r="AJ148" s="147">
        <f t="shared" si="87"/>
        <v>0</v>
      </c>
      <c r="AK148" s="147">
        <f t="shared" si="65"/>
        <v>0</v>
      </c>
      <c r="AM148" s="147" t="str">
        <f t="shared" si="91"/>
        <v>0.030986017590096+0.2470058742097i</v>
      </c>
      <c r="AN148" s="147" t="str">
        <f t="shared" si="92"/>
        <v>0.249589163924515i</v>
      </c>
      <c r="AO148" s="147" t="str">
        <f t="shared" si="93"/>
        <v>0.989649832251546-0.124148088414076i</v>
      </c>
      <c r="AP148" s="147" t="str">
        <f t="shared" si="94"/>
        <v>0.161502330401651-0.0411676457016167i</v>
      </c>
      <c r="AQ148" s="147" t="str">
        <f t="shared" si="95"/>
        <v>0.838497669598349+0.0411676457016167i</v>
      </c>
      <c r="AR148" s="147" t="str">
        <f t="shared" si="96"/>
        <v>0.991054485412105-0.0486577141543959i</v>
      </c>
    </row>
    <row r="149" spans="7:44">
      <c r="G149" s="588">
        <v>8462.9500000000007</v>
      </c>
      <c r="H149" s="573">
        <f t="shared" si="88"/>
        <v>8.4629500000000011</v>
      </c>
      <c r="I149" s="574">
        <f t="shared" si="66"/>
        <v>58.462915157728609</v>
      </c>
      <c r="J149" s="575">
        <f t="shared" si="67"/>
        <v>1.5536906322459485</v>
      </c>
      <c r="K149" s="575">
        <f t="shared" si="68"/>
        <v>1.0010942110455769</v>
      </c>
      <c r="L149" s="576">
        <f t="shared" si="69"/>
        <v>4.6759260647226145E-2</v>
      </c>
      <c r="M149" s="575">
        <f t="shared" si="70"/>
        <v>1.0016908258640542</v>
      </c>
      <c r="N149" s="576">
        <f t="shared" si="71"/>
        <v>-5.8111046907597802E-2</v>
      </c>
      <c r="O149" s="574">
        <f t="shared" si="72"/>
        <v>159522.84910703936</v>
      </c>
      <c r="P149" s="577">
        <f t="shared" si="73"/>
        <v>1.5707900581004393</v>
      </c>
      <c r="Q149" s="586">
        <f t="shared" si="97"/>
        <v>21.399439647315457</v>
      </c>
      <c r="R149" s="587">
        <f t="shared" si="98"/>
        <v>1.5240491069395956</v>
      </c>
      <c r="S149" s="574">
        <f t="shared" si="76"/>
        <v>1.0501478961909587</v>
      </c>
      <c r="T149" s="577">
        <f t="shared" si="77"/>
        <v>0.31028422847509035</v>
      </c>
      <c r="U149" s="578">
        <f t="shared" si="89"/>
        <v>0.98956175115348266</v>
      </c>
      <c r="V149" s="579">
        <f t="shared" si="90"/>
        <v>-0.174843254161966</v>
      </c>
      <c r="W149" s="580">
        <f t="shared" si="78"/>
        <v>-5.8904228083428958</v>
      </c>
      <c r="X149" s="581">
        <f t="shared" si="79"/>
        <v>-120.1441419894968</v>
      </c>
      <c r="Y149" s="584">
        <f t="shared" si="80"/>
        <v>59.855858010503198</v>
      </c>
      <c r="AA149" s="147">
        <f t="shared" si="81"/>
        <v>8462.9500000000007</v>
      </c>
      <c r="AB149" s="147">
        <f t="shared" si="82"/>
        <v>71621522.702500015</v>
      </c>
      <c r="AD149" s="583">
        <f t="shared" si="83"/>
        <v>27.232030842980691</v>
      </c>
      <c r="AE149" s="584">
        <f t="shared" si="84"/>
        <v>-20.456035996413515</v>
      </c>
      <c r="AG149" s="583">
        <f t="shared" si="85"/>
        <v>26.347023204854136</v>
      </c>
      <c r="AH149" s="584">
        <f t="shared" si="86"/>
        <v>-79.6525448905617</v>
      </c>
      <c r="AJ149" s="147">
        <f t="shared" si="87"/>
        <v>0</v>
      </c>
      <c r="AK149" s="147">
        <f t="shared" si="65"/>
        <v>0</v>
      </c>
      <c r="AM149" s="147" t="str">
        <f t="shared" si="91"/>
        <v>0.031341993695849+0.248398202132921i</v>
      </c>
      <c r="AN149" s="147" t="str">
        <f t="shared" si="92"/>
        <v>0.251026277834093i</v>
      </c>
      <c r="AO149" s="147" t="str">
        <f t="shared" si="93"/>
        <v>0.989530674940299-0.124855429344984i</v>
      </c>
      <c r="AP149" s="147" t="str">
        <f t="shared" si="94"/>
        <v>0.161443001050692-0.0413997003554868i</v>
      </c>
      <c r="AQ149" s="147" t="str">
        <f t="shared" si="95"/>
        <v>0.838556998949308+0.0413997003554868i</v>
      </c>
      <c r="AR149" s="147" t="str">
        <f t="shared" si="96"/>
        <v>0.990957767175672-0.0489237519660784i</v>
      </c>
    </row>
    <row r="150" spans="7:44">
      <c r="G150" s="588">
        <v>8511.4</v>
      </c>
      <c r="H150" s="573">
        <f t="shared" si="88"/>
        <v>8.5114000000000001</v>
      </c>
      <c r="I150" s="574">
        <f t="shared" si="66"/>
        <v>58.797515015572465</v>
      </c>
      <c r="J150" s="575">
        <f t="shared" si="67"/>
        <v>1.5537879852806467</v>
      </c>
      <c r="K150" s="575">
        <f t="shared" si="68"/>
        <v>1.001106768579056</v>
      </c>
      <c r="L150" s="576">
        <f t="shared" si="69"/>
        <v>4.7026561890564762E-2</v>
      </c>
      <c r="M150" s="575">
        <f t="shared" si="70"/>
        <v>1.0017102245078386</v>
      </c>
      <c r="N150" s="576">
        <f t="shared" si="71"/>
        <v>-5.8442975108522387E-2</v>
      </c>
      <c r="O150" s="574">
        <f t="shared" si="72"/>
        <v>160436.11009037652</v>
      </c>
      <c r="P150" s="577">
        <f t="shared" si="73"/>
        <v>1.5707900937841397</v>
      </c>
      <c r="Q150" s="586">
        <f t="shared" si="97"/>
        <v>21.521683687859753</v>
      </c>
      <c r="R150" s="587">
        <f t="shared" si="98"/>
        <v>1.5243148249928575</v>
      </c>
      <c r="S150" s="574">
        <f t="shared" si="76"/>
        <v>1.0507098293397017</v>
      </c>
      <c r="T150" s="577">
        <f t="shared" si="77"/>
        <v>0.31194786290577803</v>
      </c>
      <c r="U150" s="578">
        <f t="shared" si="89"/>
        <v>0.98944814152754612</v>
      </c>
      <c r="V150" s="579">
        <f t="shared" si="90"/>
        <v>-0.17583424028951855</v>
      </c>
      <c r="W150" s="580">
        <f t="shared" si="78"/>
        <v>-5.9454672405136391</v>
      </c>
      <c r="X150" s="581">
        <f t="shared" si="79"/>
        <v>-120.29029883531619</v>
      </c>
      <c r="Y150" s="584">
        <f t="shared" si="80"/>
        <v>59.709701164683807</v>
      </c>
      <c r="AA150" s="147">
        <f t="shared" si="81"/>
        <v>8511.4</v>
      </c>
      <c r="AB150" s="147">
        <f t="shared" si="82"/>
        <v>72443929.959999993</v>
      </c>
      <c r="AD150" s="583">
        <f t="shared" si="83"/>
        <v>27.227276610876515</v>
      </c>
      <c r="AE150" s="584">
        <f t="shared" si="84"/>
        <v>-20.536132749569173</v>
      </c>
      <c r="AG150" s="583">
        <f t="shared" si="85"/>
        <v>26.298727538877444</v>
      </c>
      <c r="AH150" s="584">
        <f t="shared" si="86"/>
        <v>-79.605046337766112</v>
      </c>
      <c r="AJ150" s="147">
        <f t="shared" si="87"/>
        <v>0</v>
      </c>
      <c r="AK150" s="147">
        <f t="shared" si="65"/>
        <v>0</v>
      </c>
      <c r="AM150" s="147" t="str">
        <f t="shared" si="91"/>
        <v>0.031699970367141+0.249790017040321i</v>
      </c>
      <c r="AN150" s="147" t="str">
        <f t="shared" si="92"/>
        <v>0.252463391743671i</v>
      </c>
      <c r="AO150" s="147" t="str">
        <f t="shared" si="93"/>
        <v>0.989410842162557-0.125562641570332i</v>
      </c>
      <c r="AP150" s="147" t="str">
        <f t="shared" si="94"/>
        <v>0.161383338272143-0.0416316695067202i</v>
      </c>
      <c r="AQ150" s="147" t="str">
        <f t="shared" si="95"/>
        <v>0.838616661727857+0.0416316695067202i</v>
      </c>
      <c r="AR150" s="147" t="str">
        <f t="shared" si="96"/>
        <v>0.990860538220018-0.0491895526728913i</v>
      </c>
    </row>
    <row r="151" spans="7:44">
      <c r="G151" s="588">
        <v>8560.9500000000007</v>
      </c>
      <c r="H151" s="573">
        <f t="shared" si="88"/>
        <v>8.5609500000000001</v>
      </c>
      <c r="I151" s="574">
        <f t="shared" si="66"/>
        <v>59.139712137600782</v>
      </c>
      <c r="J151" s="575">
        <f t="shared" si="67"/>
        <v>1.5538864091947686</v>
      </c>
      <c r="K151" s="575">
        <f t="shared" si="68"/>
        <v>1.0011196851980559</v>
      </c>
      <c r="L151" s="576">
        <f t="shared" si="69"/>
        <v>4.7299924936850903E-2</v>
      </c>
      <c r="M151" s="575">
        <f t="shared" si="70"/>
        <v>1.0017301777221828</v>
      </c>
      <c r="N151" s="576">
        <f t="shared" si="71"/>
        <v>-5.8782426011842401E-2</v>
      </c>
      <c r="O151" s="574">
        <f t="shared" si="72"/>
        <v>161370.10558520351</v>
      </c>
      <c r="P151" s="577">
        <f t="shared" si="73"/>
        <v>1.5707901298602389</v>
      </c>
      <c r="Q151" s="586">
        <f t="shared" si="97"/>
        <v>21.646704688647407</v>
      </c>
      <c r="R151" s="587">
        <f t="shared" si="98"/>
        <v>1.5245834717165596</v>
      </c>
      <c r="S151" s="574">
        <f t="shared" si="76"/>
        <v>1.0512875250722038</v>
      </c>
      <c r="T151" s="577">
        <f t="shared" si="77"/>
        <v>0.31364742384757294</v>
      </c>
      <c r="U151" s="578">
        <f t="shared" si="89"/>
        <v>0.98933132031473237</v>
      </c>
      <c r="V151" s="579">
        <f t="shared" si="90"/>
        <v>-0.17684755162630222</v>
      </c>
      <c r="W151" s="580">
        <f t="shared" si="78"/>
        <v>-6.0014949717838642</v>
      </c>
      <c r="X151" s="581">
        <f t="shared" si="79"/>
        <v>-120.43977054113513</v>
      </c>
      <c r="Y151" s="584">
        <f t="shared" si="80"/>
        <v>59.560229458864868</v>
      </c>
      <c r="AA151" s="147">
        <f t="shared" si="81"/>
        <v>8560.9500000000007</v>
      </c>
      <c r="AB151" s="147">
        <f t="shared" si="82"/>
        <v>73289864.902500018</v>
      </c>
      <c r="AD151" s="583">
        <f t="shared" si="83"/>
        <v>27.222394067589782</v>
      </c>
      <c r="AE151" s="584">
        <f t="shared" si="84"/>
        <v>-20.618120162213067</v>
      </c>
      <c r="AG151" s="583">
        <f t="shared" si="85"/>
        <v>26.249633506533343</v>
      </c>
      <c r="AH151" s="584">
        <f t="shared" si="86"/>
        <v>-79.556413704947516</v>
      </c>
      <c r="AJ151" s="147">
        <f t="shared" si="87"/>
        <v>0</v>
      </c>
      <c r="AK151" s="147">
        <f t="shared" ref="AK151:AK214" si="99">IF(AJ151&gt;0,Y151,0)</f>
        <v>0</v>
      </c>
      <c r="AM151" s="147" t="str">
        <f t="shared" si="91"/>
        <v>0.032068142917112+0.251212897845774i</v>
      </c>
      <c r="AN151" s="147" t="str">
        <f t="shared" si="92"/>
        <v>0.253933133626428i</v>
      </c>
      <c r="AO151" s="147" t="str">
        <f t="shared" si="93"/>
        <v>0.989287590233672-0.126285776334682i</v>
      </c>
      <c r="AP151" s="147" t="str">
        <f t="shared" si="94"/>
        <v>0.161321976180481-0.041868816307629i</v>
      </c>
      <c r="AQ151" s="147" t="str">
        <f t="shared" si="95"/>
        <v>0.838678023819519+0.041868816307629i</v>
      </c>
      <c r="AR151" s="147" t="str">
        <f t="shared" si="96"/>
        <v>0.990760574318917-0.0494611415976801i</v>
      </c>
    </row>
    <row r="152" spans="7:44">
      <c r="G152" s="588">
        <v>8610.5</v>
      </c>
      <c r="H152" s="573">
        <f t="shared" si="88"/>
        <v>8.6105</v>
      </c>
      <c r="I152" s="574">
        <f t="shared" si="66"/>
        <v>59.481909825939489</v>
      </c>
      <c r="J152" s="575">
        <f t="shared" si="67"/>
        <v>1.5539837006500228</v>
      </c>
      <c r="K152" s="575">
        <f t="shared" si="68"/>
        <v>1.0011326766261481</v>
      </c>
      <c r="L152" s="576">
        <f t="shared" si="69"/>
        <v>4.7573280908847056E-2</v>
      </c>
      <c r="M152" s="575">
        <f t="shared" si="70"/>
        <v>1.0017502463581998</v>
      </c>
      <c r="N152" s="576">
        <f t="shared" si="71"/>
        <v>-5.9121863353444978E-2</v>
      </c>
      <c r="O152" s="574">
        <f t="shared" si="72"/>
        <v>162304.10108003067</v>
      </c>
      <c r="P152" s="577">
        <f t="shared" si="73"/>
        <v>1.5707901655211312</v>
      </c>
      <c r="Q152" s="586">
        <f t="shared" si="97"/>
        <v>21.771727233758494</v>
      </c>
      <c r="R152" s="587">
        <f t="shared" si="98"/>
        <v>1.524849033091072</v>
      </c>
      <c r="S152" s="574">
        <f t="shared" si="76"/>
        <v>1.0518682541158688</v>
      </c>
      <c r="T152" s="577">
        <f t="shared" si="77"/>
        <v>0.31534511305743901</v>
      </c>
      <c r="U152" s="578">
        <f t="shared" si="89"/>
        <v>0.98921386044532511</v>
      </c>
      <c r="V152" s="579">
        <f t="shared" si="90"/>
        <v>-0.17786068611719244</v>
      </c>
      <c r="W152" s="580">
        <f t="shared" si="78"/>
        <v>-6.0572566199741873</v>
      </c>
      <c r="X152" s="581">
        <f t="shared" si="79"/>
        <v>-120.58923636897227</v>
      </c>
      <c r="Y152" s="584">
        <f t="shared" si="80"/>
        <v>59.410763631027734</v>
      </c>
      <c r="AA152" s="147">
        <f t="shared" si="81"/>
        <v>8610.5</v>
      </c>
      <c r="AB152" s="147">
        <f t="shared" si="82"/>
        <v>74140710.25</v>
      </c>
      <c r="AD152" s="583">
        <f t="shared" si="83"/>
        <v>27.217490959652718</v>
      </c>
      <c r="AE152" s="584">
        <f t="shared" si="84"/>
        <v>-20.700177086214424</v>
      </c>
      <c r="AG152" s="583">
        <f t="shared" si="85"/>
        <v>26.200837579706739</v>
      </c>
      <c r="AH152" s="584">
        <f t="shared" si="86"/>
        <v>-79.507725947836377</v>
      </c>
      <c r="AJ152" s="147">
        <f t="shared" si="87"/>
        <v>0</v>
      </c>
      <c r="AK152" s="147">
        <f t="shared" si="99"/>
        <v>0</v>
      </c>
      <c r="AM152" s="147" t="str">
        <f t="shared" si="91"/>
        <v>0.032438406336192+0.252635235995993i</v>
      </c>
      <c r="AN152" s="147" t="str">
        <f t="shared" si="92"/>
        <v>0.255402875509185i</v>
      </c>
      <c r="AO152" s="147" t="str">
        <f t="shared" si="93"/>
        <v>0.989163632133451-0.127008774946332i</v>
      </c>
      <c r="AP152" s="147" t="str">
        <f t="shared" si="94"/>
        <v>0.161260265610635-0.0421058726659988i</v>
      </c>
      <c r="AQ152" s="147" t="str">
        <f t="shared" si="95"/>
        <v>0.838739734389365+0.0421058726659988i</v>
      </c>
      <c r="AR152" s="147" t="str">
        <f t="shared" si="96"/>
        <v>0.990660077805186-0.0497324800305568i</v>
      </c>
    </row>
    <row r="153" spans="7:44">
      <c r="G153" s="588">
        <v>8660.0499999999993</v>
      </c>
      <c r="H153" s="573">
        <f t="shared" si="88"/>
        <v>8.66005</v>
      </c>
      <c r="I153" s="574">
        <f t="shared" si="66"/>
        <v>59.824108070870594</v>
      </c>
      <c r="J153" s="575">
        <f t="shared" si="67"/>
        <v>1.5540798790777923</v>
      </c>
      <c r="K153" s="575">
        <f t="shared" si="68"/>
        <v>1.0011457428604207</v>
      </c>
      <c r="L153" s="576">
        <f t="shared" si="69"/>
        <v>4.7846629765977214E-2</v>
      </c>
      <c r="M153" s="575">
        <f t="shared" si="70"/>
        <v>1.0017704304089528</v>
      </c>
      <c r="N153" s="576">
        <f t="shared" si="71"/>
        <v>-5.9461287055929145E-2</v>
      </c>
      <c r="O153" s="574">
        <f t="shared" si="72"/>
        <v>163238.09657485801</v>
      </c>
      <c r="P153" s="577">
        <f t="shared" si="73"/>
        <v>1.5707902007739432</v>
      </c>
      <c r="Q153" s="586">
        <f t="shared" si="97"/>
        <v>21.896751296740423</v>
      </c>
      <c r="R153" s="587">
        <f t="shared" si="98"/>
        <v>1.5251115619279458</v>
      </c>
      <c r="S153" s="574">
        <f t="shared" si="76"/>
        <v>1.0524520114494738</v>
      </c>
      <c r="T153" s="577">
        <f t="shared" si="77"/>
        <v>0.31704092385590738</v>
      </c>
      <c r="U153" s="578">
        <f t="shared" si="89"/>
        <v>0.98909576258163534</v>
      </c>
      <c r="V153" s="579">
        <f t="shared" si="90"/>
        <v>-0.17887364282314328</v>
      </c>
      <c r="W153" s="580">
        <f t="shared" si="78"/>
        <v>-6.1127554775117465</v>
      </c>
      <c r="X153" s="581">
        <f t="shared" si="79"/>
        <v>-120.7386939680746</v>
      </c>
      <c r="Y153" s="584">
        <f t="shared" si="80"/>
        <v>59.2613060319254</v>
      </c>
      <c r="AA153" s="147">
        <f t="shared" si="81"/>
        <v>8660.0499999999993</v>
      </c>
      <c r="AB153" s="147">
        <f t="shared" si="82"/>
        <v>74996466.002499983</v>
      </c>
      <c r="AD153" s="583">
        <f t="shared" si="83"/>
        <v>27.212567324707031</v>
      </c>
      <c r="AE153" s="584">
        <f t="shared" si="84"/>
        <v>-20.782300113397206</v>
      </c>
      <c r="AG153" s="583">
        <f t="shared" si="85"/>
        <v>26.15233642074935</v>
      </c>
      <c r="AH153" s="584">
        <f t="shared" si="86"/>
        <v>-79.458984231462395</v>
      </c>
      <c r="AJ153" s="147">
        <f t="shared" si="87"/>
        <v>0</v>
      </c>
      <c r="AK153" s="147">
        <f t="shared" si="99"/>
        <v>0</v>
      </c>
      <c r="AM153" s="147" t="str">
        <f t="shared" si="91"/>
        <v>0.0328107598245591+0.254057028418529i</v>
      </c>
      <c r="AN153" s="147" t="str">
        <f t="shared" si="92"/>
        <v>0.256872617391942i</v>
      </c>
      <c r="AO153" s="147" t="str">
        <f t="shared" si="93"/>
        <v>0.989038968022361-0.127731636628655i</v>
      </c>
      <c r="AP153" s="147" t="str">
        <f t="shared" si="94"/>
        <v>0.161198206695907-0.0423428380697548i</v>
      </c>
      <c r="AQ153" s="147" t="str">
        <f t="shared" si="95"/>
        <v>0.838801793304093+0.0423428380697548i</v>
      </c>
      <c r="AR153" s="147" t="str">
        <f t="shared" si="96"/>
        <v>0.990559049473257-0.050003566712894i</v>
      </c>
    </row>
    <row r="154" spans="7:44">
      <c r="G154" s="588">
        <v>8709.6</v>
      </c>
      <c r="H154" s="573">
        <f t="shared" si="88"/>
        <v>8.7096</v>
      </c>
      <c r="I154" s="574">
        <f t="shared" si="66"/>
        <v>60.166306862897208</v>
      </c>
      <c r="J154" s="575">
        <f t="shared" si="67"/>
        <v>1.5541749634674762</v>
      </c>
      <c r="K154" s="575">
        <f t="shared" si="68"/>
        <v>1.0011588838979446</v>
      </c>
      <c r="L154" s="576">
        <f t="shared" si="69"/>
        <v>4.8119971467671739E-2</v>
      </c>
      <c r="M154" s="575">
        <f t="shared" si="70"/>
        <v>1.0017907298674658</v>
      </c>
      <c r="N154" s="576">
        <f t="shared" si="71"/>
        <v>-5.9800697041912744E-2</v>
      </c>
      <c r="O154" s="574">
        <f t="shared" si="72"/>
        <v>164172.0920696856</v>
      </c>
      <c r="P154" s="577">
        <f t="shared" si="73"/>
        <v>1.57079023562564</v>
      </c>
      <c r="Q154" s="586">
        <f t="shared" si="97"/>
        <v>22.021776851741016</v>
      </c>
      <c r="R154" s="587">
        <f t="shared" si="98"/>
        <v>1.5253711098411051</v>
      </c>
      <c r="S154" s="574">
        <f t="shared" si="76"/>
        <v>1.0530387920367759</v>
      </c>
      <c r="T154" s="577">
        <f t="shared" si="77"/>
        <v>0.31873484962149673</v>
      </c>
      <c r="U154" s="578">
        <f t="shared" si="89"/>
        <v>0.98897702738915183</v>
      </c>
      <c r="V154" s="579">
        <f t="shared" si="90"/>
        <v>-0.17988642080652611</v>
      </c>
      <c r="W154" s="580">
        <f t="shared" si="78"/>
        <v>-6.1679947784488842</v>
      </c>
      <c r="X154" s="581">
        <f t="shared" si="79"/>
        <v>-120.8881410343793</v>
      </c>
      <c r="Y154" s="584">
        <f t="shared" si="80"/>
        <v>59.111858965620698</v>
      </c>
      <c r="AA154" s="147">
        <f t="shared" si="81"/>
        <v>8709.6</v>
      </c>
      <c r="AB154" s="147">
        <f t="shared" si="82"/>
        <v>75857132.160000011</v>
      </c>
      <c r="AD154" s="583">
        <f t="shared" si="83"/>
        <v>27.207623201755091</v>
      </c>
      <c r="AE154" s="584">
        <f t="shared" si="84"/>
        <v>-20.864485907517544</v>
      </c>
      <c r="AG154" s="583">
        <f t="shared" si="85"/>
        <v>26.104126748989277</v>
      </c>
      <c r="AH154" s="584">
        <f t="shared" si="86"/>
        <v>-79.410189695450924</v>
      </c>
      <c r="AJ154" s="147">
        <f t="shared" si="87"/>
        <v>0</v>
      </c>
      <c r="AK154" s="147">
        <f t="shared" si="99"/>
        <v>0</v>
      </c>
      <c r="AM154" s="147" t="str">
        <f t="shared" si="91"/>
        <v>0.033185202577878+0.25547827204211i</v>
      </c>
      <c r="AN154" s="147" t="str">
        <f t="shared" si="92"/>
        <v>0.2583423592747i</v>
      </c>
      <c r="AO154" s="147" t="str">
        <f t="shared" si="93"/>
        <v>0.98891359806177-0.128454360605229i</v>
      </c>
      <c r="AP154" s="147" t="str">
        <f t="shared" si="94"/>
        <v>0.161135799570354-0.0425797120070183i</v>
      </c>
      <c r="AQ154" s="147" t="str">
        <f t="shared" si="95"/>
        <v>0.838864200429646+0.0425797120070183i</v>
      </c>
      <c r="AR154" s="147" t="str">
        <f t="shared" si="96"/>
        <v>0.990457490121234-0.0502744003891883i</v>
      </c>
    </row>
    <row r="155" spans="7:44">
      <c r="G155" s="588">
        <v>8760.3250000000007</v>
      </c>
      <c r="H155" s="573">
        <f t="shared" si="88"/>
        <v>8.7603249999999999</v>
      </c>
      <c r="I155" s="574">
        <f t="shared" si="66"/>
        <v>60.516620915891956</v>
      </c>
      <c r="J155" s="575">
        <f t="shared" si="67"/>
        <v>1.5542711887472098</v>
      </c>
      <c r="K155" s="575">
        <f t="shared" si="68"/>
        <v>1.0011724140363902</v>
      </c>
      <c r="L155" s="576">
        <f t="shared" si="69"/>
        <v>4.8399787581840326E-2</v>
      </c>
      <c r="M155" s="575">
        <f t="shared" si="70"/>
        <v>1.0018116302335331</v>
      </c>
      <c r="N155" s="576">
        <f t="shared" si="71"/>
        <v>-6.0148141310688234E-2</v>
      </c>
      <c r="O155" s="574">
        <f t="shared" si="72"/>
        <v>165128.23579269546</v>
      </c>
      <c r="P155" s="577">
        <f t="shared" si="73"/>
        <v>1.5707902708954</v>
      </c>
      <c r="Q155" s="586">
        <f t="shared" si="97"/>
        <v>22.149768709467928</v>
      </c>
      <c r="R155" s="587">
        <f t="shared" si="98"/>
        <v>1.5256337773942235</v>
      </c>
      <c r="S155" s="574">
        <f t="shared" si="76"/>
        <v>1.0536426135666961</v>
      </c>
      <c r="T155" s="577">
        <f t="shared" si="77"/>
        <v>0.32046698469560958</v>
      </c>
      <c r="U155" s="578">
        <f t="shared" si="89"/>
        <v>0.98885481709935885</v>
      </c>
      <c r="V155" s="579">
        <f t="shared" si="90"/>
        <v>-0.18092302911294789</v>
      </c>
      <c r="W155" s="580">
        <f t="shared" si="78"/>
        <v>-6.2242784467124448</v>
      </c>
      <c r="X155" s="581">
        <f t="shared" si="79"/>
        <v>-121.04111873365964</v>
      </c>
      <c r="Y155" s="584">
        <f t="shared" si="80"/>
        <v>58.958881266340356</v>
      </c>
      <c r="AA155" s="147">
        <f t="shared" si="81"/>
        <v>8760.3250000000007</v>
      </c>
      <c r="AB155" s="147">
        <f t="shared" si="82"/>
        <v>76743294.105625018</v>
      </c>
      <c r="AD155" s="583">
        <f t="shared" si="83"/>
        <v>27.202540656309626</v>
      </c>
      <c r="AE155" s="584">
        <f t="shared" si="84"/>
        <v>-20.948682215506683</v>
      </c>
      <c r="AG155" s="583">
        <f t="shared" si="85"/>
        <v>26.055072431712986</v>
      </c>
      <c r="AH155" s="584">
        <f t="shared" si="86"/>
        <v>-79.36018452467404</v>
      </c>
      <c r="AJ155" s="147">
        <f t="shared" si="87"/>
        <v>0</v>
      </c>
      <c r="AK155" s="147">
        <f t="shared" si="99"/>
        <v>0</v>
      </c>
      <c r="AM155" s="147" t="str">
        <f t="shared" si="91"/>
        <v>0.0335706879730741+0.256932646534384i</v>
      </c>
      <c r="AN155" s="147" t="str">
        <f t="shared" si="92"/>
        <v>0.259846953765171i</v>
      </c>
      <c r="AO155" s="147" t="str">
        <f t="shared" si="93"/>
        <v>0.988784524164864-0.129194079386486i</v>
      </c>
      <c r="AP155" s="147" t="str">
        <f t="shared" si="94"/>
        <v>0.161071552004488-0.0428221077557307i</v>
      </c>
      <c r="AQ155" s="147" t="str">
        <f t="shared" si="95"/>
        <v>0.838928447995512+0.0428221077557307i</v>
      </c>
      <c r="AR155" s="147" t="str">
        <f t="shared" si="96"/>
        <v>0.990352973228792-0.0505513930742738i</v>
      </c>
    </row>
    <row r="156" spans="7:44">
      <c r="G156" s="588">
        <v>8811.0499999999993</v>
      </c>
      <c r="H156" s="573">
        <f t="shared" si="88"/>
        <v>8.8110499999999998</v>
      </c>
      <c r="I156" s="574">
        <f t="shared" si="66"/>
        <v>60.866935522778519</v>
      </c>
      <c r="J156" s="575">
        <f t="shared" si="67"/>
        <v>1.5543663063945579</v>
      </c>
      <c r="K156" s="575">
        <f t="shared" si="68"/>
        <v>1.0011860225615679</v>
      </c>
      <c r="L156" s="576">
        <f t="shared" si="69"/>
        <v>4.8679596111169086E-2</v>
      </c>
      <c r="M156" s="575">
        <f t="shared" si="70"/>
        <v>1.0018326515307614</v>
      </c>
      <c r="N156" s="576">
        <f t="shared" si="71"/>
        <v>-6.0495571040666024E-2</v>
      </c>
      <c r="O156" s="574">
        <f t="shared" si="72"/>
        <v>166084.37951570554</v>
      </c>
      <c r="P156" s="577">
        <f t="shared" si="73"/>
        <v>1.5707903057590658</v>
      </c>
      <c r="Q156" s="586">
        <f t="shared" si="97"/>
        <v>22.277762077841373</v>
      </c>
      <c r="R156" s="587">
        <f t="shared" si="98"/>
        <v>1.5258934267350879</v>
      </c>
      <c r="S156" s="574">
        <f t="shared" si="76"/>
        <v>1.0542495927053062</v>
      </c>
      <c r="T156" s="577">
        <f t="shared" si="77"/>
        <v>0.3221971304188001</v>
      </c>
      <c r="U156" s="578">
        <f t="shared" si="89"/>
        <v>0.98873194031746303</v>
      </c>
      <c r="V156" s="579">
        <f t="shared" si="90"/>
        <v>-0.18195944813602777</v>
      </c>
      <c r="W156" s="580">
        <f t="shared" si="78"/>
        <v>-6.2802967796471778</v>
      </c>
      <c r="X156" s="581">
        <f t="shared" si="79"/>
        <v>-121.19408065285451</v>
      </c>
      <c r="Y156" s="584">
        <f t="shared" si="80"/>
        <v>58.80591934714549</v>
      </c>
      <c r="AA156" s="147">
        <f t="shared" si="81"/>
        <v>8811.0499999999993</v>
      </c>
      <c r="AB156" s="147">
        <f t="shared" si="82"/>
        <v>77634602.102499992</v>
      </c>
      <c r="AD156" s="583">
        <f t="shared" si="83"/>
        <v>27.197436726552201</v>
      </c>
      <c r="AE156" s="584">
        <f t="shared" si="84"/>
        <v>-21.032937449640396</v>
      </c>
      <c r="AG156" s="583">
        <f t="shared" si="85"/>
        <v>26.006316809512533</v>
      </c>
      <c r="AH156" s="584">
        <f t="shared" si="86"/>
        <v>-79.31012633794036</v>
      </c>
      <c r="AJ156" s="147">
        <f t="shared" si="87"/>
        <v>0</v>
      </c>
      <c r="AK156" s="147">
        <f t="shared" si="99"/>
        <v>0</v>
      </c>
      <c r="AM156" s="147" t="str">
        <f t="shared" si="91"/>
        <v>0.033958361174961+0.258386439381466i</v>
      </c>
      <c r="AN156" s="147" t="str">
        <f t="shared" si="92"/>
        <v>0.261351548255642i</v>
      </c>
      <c r="AO156" s="147" t="str">
        <f t="shared" si="93"/>
        <v>0.988654710890499-0.129933652207579i</v>
      </c>
      <c r="AP156" s="147" t="str">
        <f t="shared" si="94"/>
        <v>0.161006939804173-0.0430644065635777i</v>
      </c>
      <c r="AQ156" s="147" t="str">
        <f t="shared" si="95"/>
        <v>0.838993060195827+0.0430644065635777i</v>
      </c>
      <c r="AR156" s="147" t="str">
        <f t="shared" si="96"/>
        <v>0.990247901537384-0.0508281179591427i</v>
      </c>
    </row>
    <row r="157" spans="7:44">
      <c r="G157" s="588">
        <v>8861.7749999999996</v>
      </c>
      <c r="H157" s="573">
        <f t="shared" si="88"/>
        <v>8.8617749999999997</v>
      </c>
      <c r="I157" s="574">
        <f t="shared" si="66"/>
        <v>61.217250674048003</v>
      </c>
      <c r="J157" s="575">
        <f t="shared" si="67"/>
        <v>1.5544603354230324</v>
      </c>
      <c r="K157" s="575">
        <f t="shared" si="68"/>
        <v>1.0011997094702811</v>
      </c>
      <c r="L157" s="576">
        <f t="shared" si="69"/>
        <v>4.8959397012154252E-2</v>
      </c>
      <c r="M157" s="575">
        <f t="shared" si="70"/>
        <v>1.0018537937515384</v>
      </c>
      <c r="N157" s="576">
        <f t="shared" si="71"/>
        <v>-6.0842986148889285E-2</v>
      </c>
      <c r="O157" s="574">
        <f t="shared" si="72"/>
        <v>167040.52323871577</v>
      </c>
      <c r="P157" s="577">
        <f t="shared" si="73"/>
        <v>1.5707903402236107</v>
      </c>
      <c r="Q157" s="586">
        <f t="shared" si="97"/>
        <v>22.405756930972565</v>
      </c>
      <c r="R157" s="587">
        <f t="shared" si="98"/>
        <v>1.5261501095537922</v>
      </c>
      <c r="S157" s="574">
        <f t="shared" si="76"/>
        <v>1.0548597240018269</v>
      </c>
      <c r="T157" s="577">
        <f t="shared" si="77"/>
        <v>0.32392527987607628</v>
      </c>
      <c r="U157" s="578">
        <f t="shared" si="89"/>
        <v>0.98860839776772924</v>
      </c>
      <c r="V157" s="579">
        <f t="shared" si="90"/>
        <v>-0.18299567687445048</v>
      </c>
      <c r="W157" s="580">
        <f t="shared" si="78"/>
        <v>-6.3360530653859017</v>
      </c>
      <c r="X157" s="581">
        <f t="shared" si="79"/>
        <v>-121.34702446430164</v>
      </c>
      <c r="Y157" s="584">
        <f t="shared" si="80"/>
        <v>58.65297553569836</v>
      </c>
      <c r="AA157" s="147">
        <f t="shared" si="81"/>
        <v>8861.7749999999996</v>
      </c>
      <c r="AB157" s="147">
        <f t="shared" si="82"/>
        <v>78531056.15062499</v>
      </c>
      <c r="AD157" s="583">
        <f t="shared" si="83"/>
        <v>27.192311458473203</v>
      </c>
      <c r="AE157" s="584">
        <f t="shared" si="84"/>
        <v>-21.117248252494186</v>
      </c>
      <c r="AG157" s="583">
        <f t="shared" si="85"/>
        <v>25.957856539970013</v>
      </c>
      <c r="AH157" s="584">
        <f t="shared" si="86"/>
        <v>-79.260016279754481</v>
      </c>
      <c r="AJ157" s="147">
        <f t="shared" si="87"/>
        <v>0</v>
      </c>
      <c r="AK157" s="147">
        <f t="shared" si="99"/>
        <v>0</v>
      </c>
      <c r="AM157" s="147" t="str">
        <f t="shared" si="91"/>
        <v>0.034348221305922+0.259839647292255i</v>
      </c>
      <c r="AN157" s="147" t="str">
        <f t="shared" si="92"/>
        <v>0.262856142746114i</v>
      </c>
      <c r="AO157" s="147" t="str">
        <f t="shared" si="93"/>
        <v>0.98852415841477-0.130673078236174i</v>
      </c>
      <c r="AP157" s="147" t="str">
        <f t="shared" si="94"/>
        <v>0.16094196311568-0.0433066078820425i</v>
      </c>
      <c r="AQ157" s="147" t="str">
        <f t="shared" si="95"/>
        <v>0.83905803688432+0.0433066078820425i</v>
      </c>
      <c r="AR157" s="147" t="str">
        <f t="shared" si="96"/>
        <v>0.990142275915089-0.0511045737070983i</v>
      </c>
    </row>
    <row r="158" spans="7:44">
      <c r="G158" s="585">
        <v>8912.5</v>
      </c>
      <c r="H158" s="573">
        <f t="shared" si="88"/>
        <v>8.9124999999999996</v>
      </c>
      <c r="I158" s="574">
        <f t="shared" si="66"/>
        <v>61.567566360407909</v>
      </c>
      <c r="J158" s="575">
        <f t="shared" si="67"/>
        <v>1.5545532944134812</v>
      </c>
      <c r="K158" s="575">
        <f t="shared" si="68"/>
        <v>1.0012134747593155</v>
      </c>
      <c r="L158" s="576">
        <f t="shared" si="69"/>
        <v>4.9239190241299129E-2</v>
      </c>
      <c r="M158" s="575">
        <f t="shared" si="70"/>
        <v>1.0018750568882087</v>
      </c>
      <c r="N158" s="576">
        <f t="shared" si="71"/>
        <v>-6.1190386552422239E-2</v>
      </c>
      <c r="O158" s="574">
        <f t="shared" si="72"/>
        <v>167996.66696172627</v>
      </c>
      <c r="P158" s="577">
        <f t="shared" si="73"/>
        <v>1.5707903742958496</v>
      </c>
      <c r="Q158" s="586">
        <f t="shared" ref="Q158:Q214" si="100">SQRT(1+(G158/Zero2)^2)</f>
        <v>22.533753243560607</v>
      </c>
      <c r="R158" s="587">
        <f t="shared" ref="R158:R214" si="101">ATAN(G158/Zero2)</f>
        <v>1.5264038763675729</v>
      </c>
      <c r="S158" s="574">
        <f t="shared" si="76"/>
        <v>1.0554730019898082</v>
      </c>
      <c r="T158" s="577">
        <f t="shared" si="77"/>
        <v>0.32565142621608828</v>
      </c>
      <c r="U158" s="578">
        <f t="shared" si="89"/>
        <v>0.98848419017786715</v>
      </c>
      <c r="V158" s="579">
        <f t="shared" si="90"/>
        <v>-0.18403171432847737</v>
      </c>
      <c r="W158" s="580">
        <f t="shared" si="78"/>
        <v>-6.3915505336362957</v>
      </c>
      <c r="X158" s="581">
        <f t="shared" si="79"/>
        <v>-121.49994788647734</v>
      </c>
      <c r="Y158" s="584">
        <f t="shared" si="80"/>
        <v>58.500052113522656</v>
      </c>
      <c r="AA158" s="147">
        <f t="shared" si="81"/>
        <v>8912.5</v>
      </c>
      <c r="AB158" s="147">
        <f t="shared" si="82"/>
        <v>79432656.25</v>
      </c>
      <c r="AD158" s="583">
        <f t="shared" si="83"/>
        <v>27.18716489937108</v>
      </c>
      <c r="AE158" s="584">
        <f t="shared" si="84"/>
        <v>-21.201611337480589</v>
      </c>
      <c r="AG158" s="583">
        <f t="shared" si="85"/>
        <v>25.909688337743511</v>
      </c>
      <c r="AH158" s="584">
        <f t="shared" si="86"/>
        <v>-79.209855469741711</v>
      </c>
      <c r="AJ158" s="147">
        <f t="shared" si="87"/>
        <v>0</v>
      </c>
      <c r="AK158" s="147">
        <f t="shared" si="99"/>
        <v>0</v>
      </c>
      <c r="AM158" s="147" t="str">
        <f t="shared" si="91"/>
        <v>0.034740267483391+0.261292266976969i</v>
      </c>
      <c r="AN158" s="147" t="str">
        <f t="shared" si="92"/>
        <v>0.264360737236585i</v>
      </c>
      <c r="AO158" s="147" t="str">
        <f t="shared" si="93"/>
        <v>0.988392866914765-0.131412356640165i</v>
      </c>
      <c r="AP158" s="147" t="str">
        <f t="shared" si="94"/>
        <v>0.160876622086102-0.0435487111628282i</v>
      </c>
      <c r="AQ158" s="147" t="str">
        <f t="shared" si="95"/>
        <v>0.839123377913898+0.0435487111628282i</v>
      </c>
      <c r="AR158" s="147" t="str">
        <f t="shared" si="96"/>
        <v>0.990036097233943-0.0513807589849304i</v>
      </c>
    </row>
    <row r="159" spans="7:44">
      <c r="G159" s="585">
        <v>8964.4</v>
      </c>
      <c r="H159" s="573">
        <f t="shared" si="88"/>
        <v>8.9643999999999995</v>
      </c>
      <c r="I159" s="574">
        <f t="shared" si="66"/>
        <v>61.925997345809058</v>
      </c>
      <c r="J159" s="575">
        <f t="shared" si="67"/>
        <v>1.5546473181512726</v>
      </c>
      <c r="K159" s="575">
        <f t="shared" si="68"/>
        <v>1.0012276400305549</v>
      </c>
      <c r="L159" s="576">
        <f t="shared" si="69"/>
        <v>4.9525456648625371E-2</v>
      </c>
      <c r="M159" s="575">
        <f t="shared" si="70"/>
        <v>1.0018969377084026</v>
      </c>
      <c r="N159" s="576">
        <f t="shared" si="71"/>
        <v>-6.1545818874632223E-2</v>
      </c>
      <c r="O159" s="574">
        <f t="shared" si="72"/>
        <v>168974.95891291901</v>
      </c>
      <c r="P159" s="577">
        <f t="shared" si="73"/>
        <v>1.5707904087582454</v>
      </c>
      <c r="Q159" s="586">
        <f t="shared" si="100"/>
        <v>22.664715962895031</v>
      </c>
      <c r="R159" s="587">
        <f t="shared" si="101"/>
        <v>1.5266605548533028</v>
      </c>
      <c r="S159" s="574">
        <f t="shared" si="76"/>
        <v>1.056103737176282</v>
      </c>
      <c r="T159" s="577">
        <f t="shared" si="77"/>
        <v>0.32741547688289052</v>
      </c>
      <c r="U159" s="578">
        <f t="shared" si="89"/>
        <v>0.98835641786491824</v>
      </c>
      <c r="V159" s="579">
        <f t="shared" si="90"/>
        <v>-0.18509155165547284</v>
      </c>
      <c r="W159" s="580">
        <f t="shared" si="78"/>
        <v>-6.4480689807937992</v>
      </c>
      <c r="X159" s="581">
        <f t="shared" si="79"/>
        <v>-121.65639020950262</v>
      </c>
      <c r="Y159" s="584">
        <f t="shared" si="80"/>
        <v>58.343609790497382</v>
      </c>
      <c r="AA159" s="147">
        <f t="shared" si="81"/>
        <v>8964.4</v>
      </c>
      <c r="AB159" s="147">
        <f t="shared" si="82"/>
        <v>80360467.359999999</v>
      </c>
      <c r="AD159" s="583">
        <f t="shared" si="83"/>
        <v>27.18187713889759</v>
      </c>
      <c r="AE159" s="584">
        <f t="shared" si="84"/>
        <v>-21.287979376259987</v>
      </c>
      <c r="AG159" s="583">
        <f t="shared" si="85"/>
        <v>25.860703287265274</v>
      </c>
      <c r="AH159" s="584">
        <f t="shared" si="86"/>
        <v>-79.158481342234225</v>
      </c>
      <c r="AJ159" s="147">
        <f t="shared" si="87"/>
        <v>0</v>
      </c>
      <c r="AK159" s="147">
        <f t="shared" si="99"/>
        <v>0</v>
      </c>
      <c r="AM159" s="147" t="str">
        <f t="shared" si="91"/>
        <v>0.03514365672971+0.262777923066389i</v>
      </c>
      <c r="AN159" s="147" t="str">
        <f t="shared" si="92"/>
        <v>0.26590018433477i</v>
      </c>
      <c r="AO159" s="147" t="str">
        <f t="shared" si="93"/>
        <v>0.988257769447613-0.132168606116737i</v>
      </c>
      <c r="AP159" s="147" t="str">
        <f t="shared" si="94"/>
        <v>0.160809390545048-0.0437963205110648i</v>
      </c>
      <c r="AQ159" s="147" t="str">
        <f t="shared" si="95"/>
        <v>0.839190609454952+0.0437963205110648i</v>
      </c>
      <c r="AR159" s="147" t="str">
        <f t="shared" si="96"/>
        <v>0.989926887506819-0.0516630605243882i</v>
      </c>
    </row>
    <row r="160" spans="7:44">
      <c r="G160" s="585">
        <v>9016.2999999999993</v>
      </c>
      <c r="H160" s="573">
        <f t="shared" si="88"/>
        <v>9.0162999999999993</v>
      </c>
      <c r="I160" s="574">
        <f t="shared" si="66"/>
        <v>62.28442887236379</v>
      </c>
      <c r="J160" s="575">
        <f t="shared" si="67"/>
        <v>1.5547402597230349</v>
      </c>
      <c r="K160" s="575">
        <f t="shared" si="68"/>
        <v>1.0012418873485278</v>
      </c>
      <c r="L160" s="576">
        <f t="shared" si="69"/>
        <v>4.9811714932470004E-2</v>
      </c>
      <c r="M160" s="575">
        <f t="shared" si="70"/>
        <v>1.0019189450948389</v>
      </c>
      <c r="N160" s="576">
        <f t="shared" si="71"/>
        <v>-6.1901235627431189E-2</v>
      </c>
      <c r="O160" s="574">
        <f t="shared" si="72"/>
        <v>169953.25086411199</v>
      </c>
      <c r="P160" s="577">
        <f t="shared" si="73"/>
        <v>1.5707904428238932</v>
      </c>
      <c r="Q160" s="586">
        <f t="shared" si="100"/>
        <v>22.795680158310518</v>
      </c>
      <c r="R160" s="587">
        <f t="shared" si="101"/>
        <v>1.5269142840519383</v>
      </c>
      <c r="S160" s="574">
        <f t="shared" si="76"/>
        <v>1.0567377548961701</v>
      </c>
      <c r="T160" s="577">
        <f t="shared" si="77"/>
        <v>0.3291774162496019</v>
      </c>
      <c r="U160" s="578">
        <f t="shared" si="89"/>
        <v>0.98822795089714932</v>
      </c>
      <c r="V160" s="579">
        <f t="shared" si="90"/>
        <v>-0.1861511866211995</v>
      </c>
      <c r="W160" s="580">
        <f t="shared" si="78"/>
        <v>-6.5043231399123949</v>
      </c>
      <c r="X160" s="581">
        <f t="shared" si="79"/>
        <v>-121.81280649830124</v>
      </c>
      <c r="Y160" s="584">
        <f t="shared" si="80"/>
        <v>58.187193501698758</v>
      </c>
      <c r="AA160" s="147">
        <f t="shared" si="81"/>
        <v>9016.2999999999993</v>
      </c>
      <c r="AB160" s="147">
        <f t="shared" si="82"/>
        <v>81293665.689999983</v>
      </c>
      <c r="AD160" s="583">
        <f t="shared" si="83"/>
        <v>27.176567193788138</v>
      </c>
      <c r="AE160" s="584">
        <f t="shared" si="84"/>
        <v>-21.374395405426046</v>
      </c>
      <c r="AG160" s="583">
        <f t="shared" si="85"/>
        <v>25.812017210927127</v>
      </c>
      <c r="AH160" s="584">
        <f t="shared" si="86"/>
        <v>-79.107056379006792</v>
      </c>
      <c r="AJ160" s="147">
        <f t="shared" si="87"/>
        <v>0</v>
      </c>
      <c r="AK160" s="147">
        <f t="shared" si="99"/>
        <v>0</v>
      </c>
      <c r="AM160" s="147" t="str">
        <f t="shared" si="91"/>
        <v>0.0355493325860869+0.264262956399224i</v>
      </c>
      <c r="AN160" s="147" t="str">
        <f t="shared" si="92"/>
        <v>0.267439631432956i</v>
      </c>
      <c r="AO160" s="147" t="str">
        <f t="shared" si="93"/>
        <v>0.988121898700237-0.132924699288627i</v>
      </c>
      <c r="AP160" s="147" t="str">
        <f t="shared" si="94"/>
        <v>0.160741777902319-0.0440438260665373i</v>
      </c>
      <c r="AQ160" s="147" t="str">
        <f t="shared" si="95"/>
        <v>0.839258222097681+0.0440438260665373i</v>
      </c>
      <c r="AR160" s="147" t="str">
        <f t="shared" si="96"/>
        <v>0.989817100661422-0.0519450761057207i</v>
      </c>
    </row>
    <row r="161" spans="7:44">
      <c r="G161" s="585">
        <v>9068.2000000000007</v>
      </c>
      <c r="H161" s="573">
        <f t="shared" si="88"/>
        <v>9.0682000000000009</v>
      </c>
      <c r="I161" s="574">
        <f t="shared" si="66"/>
        <v>62.642860930782952</v>
      </c>
      <c r="J161" s="575">
        <f t="shared" si="67"/>
        <v>1.5548321377030723</v>
      </c>
      <c r="K161" s="575">
        <f t="shared" si="68"/>
        <v>1.0012562167097321</v>
      </c>
      <c r="L161" s="576">
        <f t="shared" si="69"/>
        <v>5.0097965046266638E-2</v>
      </c>
      <c r="M161" s="575">
        <f t="shared" si="70"/>
        <v>1.0019410790391772</v>
      </c>
      <c r="N161" s="576">
        <f t="shared" si="71"/>
        <v>-6.2256636722054816E-2</v>
      </c>
      <c r="O161" s="574">
        <f t="shared" si="72"/>
        <v>170931.54281530518</v>
      </c>
      <c r="P161" s="577">
        <f t="shared" si="73"/>
        <v>1.5707904764996057</v>
      </c>
      <c r="Q161" s="586">
        <f t="shared" si="100"/>
        <v>22.926645804511562</v>
      </c>
      <c r="R161" s="587">
        <f t="shared" si="101"/>
        <v>1.5271651144728466</v>
      </c>
      <c r="S161" s="574">
        <f t="shared" si="76"/>
        <v>1.0573750492447056</v>
      </c>
      <c r="T161" s="577">
        <f t="shared" si="77"/>
        <v>0.33093723718435664</v>
      </c>
      <c r="U161" s="578">
        <f t="shared" si="89"/>
        <v>0.98809879006515999</v>
      </c>
      <c r="V161" s="579">
        <f t="shared" si="90"/>
        <v>-0.18721061815997028</v>
      </c>
      <c r="W161" s="580">
        <f t="shared" si="78"/>
        <v>-6.5603162890750983</v>
      </c>
      <c r="X161" s="581">
        <f t="shared" si="79"/>
        <v>-121.96919445141631</v>
      </c>
      <c r="Y161" s="584">
        <f t="shared" si="80"/>
        <v>58.030805548583686</v>
      </c>
      <c r="AA161" s="147">
        <f t="shared" si="81"/>
        <v>9068.2000000000007</v>
      </c>
      <c r="AB161" s="147">
        <f t="shared" si="82"/>
        <v>82232251.24000001</v>
      </c>
      <c r="AD161" s="583">
        <f t="shared" si="83"/>
        <v>27.171235118681551</v>
      </c>
      <c r="AE161" s="584">
        <f t="shared" si="84"/>
        <v>-21.460856122769709</v>
      </c>
      <c r="AG161" s="583">
        <f t="shared" si="85"/>
        <v>25.763626766945613</v>
      </c>
      <c r="AH161" s="584">
        <f t="shared" si="86"/>
        <v>-79.055581702930269</v>
      </c>
      <c r="AJ161" s="147">
        <f t="shared" si="87"/>
        <v>0</v>
      </c>
      <c r="AK161" s="147">
        <f t="shared" si="99"/>
        <v>0</v>
      </c>
      <c r="AM161" s="147" t="str">
        <f t="shared" si="91"/>
        <v>0.035957294091111+0.265747363456098i</v>
      </c>
      <c r="AN161" s="147" t="str">
        <f t="shared" si="92"/>
        <v>0.268979078531142i</v>
      </c>
      <c r="AO161" s="147" t="str">
        <f t="shared" si="93"/>
        <v>0.987985254865576-0.133680635265274i</v>
      </c>
      <c r="AP161" s="147" t="str">
        <f t="shared" si="94"/>
        <v>0.160673784318148-0.044291227242683i</v>
      </c>
      <c r="AQ161" s="147" t="str">
        <f t="shared" si="95"/>
        <v>0.839326215681852+0.044291227242683i</v>
      </c>
      <c r="AR161" s="147" t="str">
        <f t="shared" si="96"/>
        <v>0.989706737644564-0.0522268043123363i</v>
      </c>
    </row>
    <row r="162" spans="7:44">
      <c r="G162" s="585">
        <v>9120.1</v>
      </c>
      <c r="H162" s="573">
        <f t="shared" si="88"/>
        <v>9.1201000000000008</v>
      </c>
      <c r="I162" s="574">
        <f t="shared" si="66"/>
        <v>63.001293511988749</v>
      </c>
      <c r="J162" s="575">
        <f t="shared" si="67"/>
        <v>1.5549229702430631</v>
      </c>
      <c r="K162" s="575">
        <f t="shared" si="68"/>
        <v>1.0012706281106452</v>
      </c>
      <c r="L162" s="576">
        <f t="shared" si="69"/>
        <v>5.0384206943456862E-2</v>
      </c>
      <c r="M162" s="575">
        <f t="shared" si="70"/>
        <v>1.0019633395330305</v>
      </c>
      <c r="N162" s="576">
        <f t="shared" si="71"/>
        <v>-6.2612022069762394E-2</v>
      </c>
      <c r="O162" s="574">
        <f t="shared" si="72"/>
        <v>171909.8347664985</v>
      </c>
      <c r="P162" s="577">
        <f t="shared" si="73"/>
        <v>1.5707905097920394</v>
      </c>
      <c r="Q162" s="586">
        <f t="shared" si="100"/>
        <v>23.057612876777064</v>
      </c>
      <c r="R162" s="587">
        <f t="shared" si="101"/>
        <v>1.5274130954793022</v>
      </c>
      <c r="S162" s="574">
        <f t="shared" si="76"/>
        <v>1.0580156143008694</v>
      </c>
      <c r="T162" s="577">
        <f t="shared" si="77"/>
        <v>0.33269493262491351</v>
      </c>
      <c r="U162" s="578">
        <f t="shared" si="89"/>
        <v>0.98796893616328008</v>
      </c>
      <c r="V162" s="579">
        <f t="shared" si="90"/>
        <v>-0.18826984520785175</v>
      </c>
      <c r="W162" s="580">
        <f t="shared" si="78"/>
        <v>-6.6160516480152545</v>
      </c>
      <c r="X162" s="581">
        <f t="shared" si="79"/>
        <v>-122.12555181292416</v>
      </c>
      <c r="Y162" s="584">
        <f t="shared" si="80"/>
        <v>57.874448187075842</v>
      </c>
      <c r="AA162" s="147">
        <f t="shared" si="81"/>
        <v>9120.1</v>
      </c>
      <c r="AB162" s="147">
        <f t="shared" si="82"/>
        <v>83176224.010000005</v>
      </c>
      <c r="AD162" s="583">
        <f t="shared" si="83"/>
        <v>27.165880969469754</v>
      </c>
      <c r="AE162" s="584">
        <f t="shared" si="84"/>
        <v>-21.547358295728486</v>
      </c>
      <c r="AG162" s="583">
        <f t="shared" si="85"/>
        <v>25.715528670589233</v>
      </c>
      <c r="AH162" s="584">
        <f t="shared" si="86"/>
        <v>-79.004058412561236</v>
      </c>
      <c r="AJ162" s="147">
        <f t="shared" si="87"/>
        <v>0</v>
      </c>
      <c r="AK162" s="147">
        <f t="shared" si="99"/>
        <v>0</v>
      </c>
      <c r="AM162" s="147" t="str">
        <f t="shared" si="91"/>
        <v>0.036367540277955+0.267231140719119i</v>
      </c>
      <c r="AN162" s="147" t="str">
        <f t="shared" si="92"/>
        <v>0.270518525629327i</v>
      </c>
      <c r="AO162" s="147" t="str">
        <f t="shared" si="93"/>
        <v>0.987847838137664-0.134436413156365i</v>
      </c>
      <c r="AP162" s="147" t="str">
        <f t="shared" si="94"/>
        <v>0.160605409953674-0.0445385234531865i</v>
      </c>
      <c r="AQ162" s="147" t="str">
        <f t="shared" si="95"/>
        <v>0.839394590046326+0.0445385234531865i</v>
      </c>
      <c r="AR162" s="147" t="str">
        <f t="shared" si="96"/>
        <v>0.989595799407325-0.0525082437315274i</v>
      </c>
    </row>
    <row r="163" spans="7:44">
      <c r="G163" s="585">
        <v>9173.2000000000007</v>
      </c>
      <c r="H163" s="573">
        <f t="shared" si="88"/>
        <v>9.1732000000000014</v>
      </c>
      <c r="I163" s="574">
        <f t="shared" si="66"/>
        <v>63.368014083525232</v>
      </c>
      <c r="J163" s="575">
        <f t="shared" si="67"/>
        <v>1.555014839479993</v>
      </c>
      <c r="K163" s="575">
        <f t="shared" si="68"/>
        <v>1.0012854576263912</v>
      </c>
      <c r="L163" s="576">
        <f t="shared" si="69"/>
        <v>5.067705859808852E-2</v>
      </c>
      <c r="M163" s="575">
        <f t="shared" si="70"/>
        <v>1.0019862456839288</v>
      </c>
      <c r="N163" s="576">
        <f t="shared" si="71"/>
        <v>-6.297560802994305E-2</v>
      </c>
      <c r="O163" s="574">
        <f t="shared" si="72"/>
        <v>172910.74618477171</v>
      </c>
      <c r="P163" s="577">
        <f t="shared" si="73"/>
        <v>1.5707905434643514</v>
      </c>
      <c r="Q163" s="586">
        <f t="shared" si="100"/>
        <v>23.191609540149518</v>
      </c>
      <c r="R163" s="587">
        <f t="shared" si="101"/>
        <v>1.5276639114649986</v>
      </c>
      <c r="S163" s="574">
        <f t="shared" si="76"/>
        <v>1.0586743689346219</v>
      </c>
      <c r="T163" s="577">
        <f t="shared" si="77"/>
        <v>0.33449106135116935</v>
      </c>
      <c r="U163" s="578">
        <f t="shared" si="89"/>
        <v>0.9878353633991086</v>
      </c>
      <c r="V163" s="579">
        <f t="shared" si="90"/>
        <v>-0.18935335030905887</v>
      </c>
      <c r="W163" s="580">
        <f t="shared" si="78"/>
        <v>-6.6728121840882162</v>
      </c>
      <c r="X163" s="581">
        <f t="shared" si="79"/>
        <v>-122.28549040654812</v>
      </c>
      <c r="Y163" s="584">
        <f t="shared" si="80"/>
        <v>57.714509593451879</v>
      </c>
      <c r="AA163" s="147">
        <f t="shared" si="81"/>
        <v>9173.2000000000007</v>
      </c>
      <c r="AB163" s="147">
        <f t="shared" si="82"/>
        <v>84147598.24000001</v>
      </c>
      <c r="AD163" s="583">
        <f t="shared" si="83"/>
        <v>27.160380238880656</v>
      </c>
      <c r="AE163" s="584">
        <f t="shared" si="84"/>
        <v>-21.63590012317287</v>
      </c>
      <c r="AG163" s="583">
        <f t="shared" si="85"/>
        <v>25.666617677263073</v>
      </c>
      <c r="AH163" s="584">
        <f t="shared" si="86"/>
        <v>-78.951294639838792</v>
      </c>
      <c r="AJ163" s="147">
        <f t="shared" si="87"/>
        <v>0</v>
      </c>
      <c r="AK163" s="147">
        <f t="shared" si="99"/>
        <v>0</v>
      </c>
      <c r="AM163" s="147" t="str">
        <f t="shared" si="91"/>
        <v>0.036789635441792+0.268748569498788i</v>
      </c>
      <c r="AN163" s="147" t="str">
        <f t="shared" si="92"/>
        <v>0.272093566880072i</v>
      </c>
      <c r="AO163" s="147" t="str">
        <f t="shared" si="93"/>
        <v>0.98770644444248-0.135209501141963i</v>
      </c>
      <c r="AP163" s="147" t="str">
        <f t="shared" si="94"/>
        <v>0.160535060759701-0.044791428249798i</v>
      </c>
      <c r="AQ163" s="147" t="str">
        <f t="shared" si="95"/>
        <v>0.839464939240299+0.044791428249798i</v>
      </c>
      <c r="AR163" s="147" t="str">
        <f t="shared" si="96"/>
        <v>0.989481701796522-0.0527958900709016i</v>
      </c>
    </row>
    <row r="164" spans="7:44">
      <c r="G164" s="585">
        <v>9226.2999999999993</v>
      </c>
      <c r="H164" s="573">
        <f t="shared" si="88"/>
        <v>9.2262999999999984</v>
      </c>
      <c r="I164" s="574">
        <f t="shared" si="66"/>
        <v>63.7347351837304</v>
      </c>
      <c r="J164" s="575">
        <f t="shared" si="67"/>
        <v>1.5551056515111981</v>
      </c>
      <c r="K164" s="575">
        <f t="shared" si="68"/>
        <v>1.0013003730119243</v>
      </c>
      <c r="L164" s="576">
        <f t="shared" si="69"/>
        <v>5.0969901553188993E-2</v>
      </c>
      <c r="M164" s="575">
        <f t="shared" si="70"/>
        <v>1.0020092842860824</v>
      </c>
      <c r="N164" s="576">
        <f t="shared" si="71"/>
        <v>-6.3339177318753354E-2</v>
      </c>
      <c r="O164" s="574">
        <f t="shared" si="72"/>
        <v>173911.65760304502</v>
      </c>
      <c r="P164" s="577">
        <f t="shared" si="73"/>
        <v>1.5707905767490757</v>
      </c>
      <c r="Q164" s="586">
        <f t="shared" si="100"/>
        <v>23.325607645712715</v>
      </c>
      <c r="R164" s="587">
        <f t="shared" si="101"/>
        <v>1.5279118457519827</v>
      </c>
      <c r="S164" s="574">
        <f t="shared" si="76"/>
        <v>1.0593365346807357</v>
      </c>
      <c r="T164" s="577">
        <f t="shared" si="77"/>
        <v>0.33628495042505002</v>
      </c>
      <c r="U164" s="578">
        <f t="shared" si="89"/>
        <v>0.98770106683914283</v>
      </c>
      <c r="V164" s="579">
        <f t="shared" si="90"/>
        <v>-0.19043663910634218</v>
      </c>
      <c r="W164" s="580">
        <f t="shared" si="78"/>
        <v>-6.7293095084898873</v>
      </c>
      <c r="X164" s="581">
        <f t="shared" si="79"/>
        <v>-122.44539234102946</v>
      </c>
      <c r="Y164" s="584">
        <f t="shared" si="80"/>
        <v>57.554607658970539</v>
      </c>
      <c r="AA164" s="147">
        <f t="shared" si="81"/>
        <v>9226.2999999999993</v>
      </c>
      <c r="AB164" s="147">
        <f t="shared" si="82"/>
        <v>85124611.689999983</v>
      </c>
      <c r="AD164" s="583">
        <f t="shared" si="83"/>
        <v>27.154856523821991</v>
      </c>
      <c r="AE164" s="584">
        <f t="shared" si="84"/>
        <v>-21.724478714955531</v>
      </c>
      <c r="AG164" s="583">
        <f t="shared" si="85"/>
        <v>25.618005927883924</v>
      </c>
      <c r="AH164" s="584">
        <f t="shared" si="86"/>
        <v>-78.898482230239381</v>
      </c>
      <c r="AJ164" s="147">
        <f t="shared" si="87"/>
        <v>0</v>
      </c>
      <c r="AK164" s="147">
        <f t="shared" si="99"/>
        <v>0</v>
      </c>
      <c r="AM164" s="147" t="str">
        <f t="shared" si="91"/>
        <v>0.037214120094007+0.270265331579253i</v>
      </c>
      <c r="AN164" s="147" t="str">
        <f t="shared" si="92"/>
        <v>0.273668608130817i</v>
      </c>
      <c r="AO164" s="147" t="str">
        <f t="shared" si="93"/>
        <v>0.987564242114546-0.135982421762522i</v>
      </c>
      <c r="AP164" s="147" t="str">
        <f t="shared" si="94"/>
        <v>0.160464313317666-0.0450442219298755i</v>
      </c>
      <c r="AQ164" s="147" t="str">
        <f t="shared" si="95"/>
        <v>0.839535686682334+0.0450442219298755i</v>
      </c>
      <c r="AR164" s="147" t="str">
        <f t="shared" si="96"/>
        <v>0.989367004085788-0.0530832311348773i</v>
      </c>
    </row>
    <row r="165" spans="7:44">
      <c r="G165" s="585">
        <v>9279.4</v>
      </c>
      <c r="H165" s="573">
        <f t="shared" si="88"/>
        <v>9.279399999999999</v>
      </c>
      <c r="I165" s="574">
        <f t="shared" si="66"/>
        <v>64.101456803530823</v>
      </c>
      <c r="J165" s="575">
        <f t="shared" si="67"/>
        <v>1.5551954244798503</v>
      </c>
      <c r="K165" s="575">
        <f t="shared" si="68"/>
        <v>1.0013153742634076</v>
      </c>
      <c r="L165" s="576">
        <f t="shared" si="69"/>
        <v>5.1262735758921534E-2</v>
      </c>
      <c r="M165" s="575">
        <f t="shared" si="70"/>
        <v>1.0020324553303555</v>
      </c>
      <c r="N165" s="576">
        <f t="shared" si="71"/>
        <v>-6.3702729841231445E-2</v>
      </c>
      <c r="O165" s="574">
        <f t="shared" si="72"/>
        <v>174912.56902131857</v>
      </c>
      <c r="P165" s="577">
        <f t="shared" si="73"/>
        <v>1.5707906096528661</v>
      </c>
      <c r="Q165" s="586">
        <f t="shared" si="100"/>
        <v>23.459607168753863</v>
      </c>
      <c r="R165" s="587">
        <f t="shared" si="101"/>
        <v>1.5281569476896517</v>
      </c>
      <c r="S165" s="574">
        <f t="shared" si="76"/>
        <v>1.0600021051466151</v>
      </c>
      <c r="T165" s="577">
        <f t="shared" si="77"/>
        <v>0.33807659250902172</v>
      </c>
      <c r="U165" s="578">
        <f t="shared" si="89"/>
        <v>0.98756604734612063</v>
      </c>
      <c r="V165" s="579">
        <f t="shared" si="90"/>
        <v>-0.1915197104660038</v>
      </c>
      <c r="W165" s="580">
        <f t="shared" si="78"/>
        <v>-6.7855468884474588</v>
      </c>
      <c r="X165" s="581">
        <f t="shared" si="79"/>
        <v>-122.6052553408132</v>
      </c>
      <c r="Y165" s="584">
        <f t="shared" si="80"/>
        <v>57.394744659186799</v>
      </c>
      <c r="AA165" s="147">
        <f t="shared" si="81"/>
        <v>9279.4</v>
      </c>
      <c r="AB165" s="147">
        <f t="shared" si="82"/>
        <v>86107264.359999999</v>
      </c>
      <c r="AD165" s="583">
        <f t="shared" si="83"/>
        <v>27.149309887958708</v>
      </c>
      <c r="AE165" s="584">
        <f t="shared" si="84"/>
        <v>-21.813090823535788</v>
      </c>
      <c r="AG165" s="583">
        <f t="shared" si="85"/>
        <v>25.569690081663012</v>
      </c>
      <c r="AH165" s="584">
        <f t="shared" si="86"/>
        <v>-78.845622285660781</v>
      </c>
      <c r="AJ165" s="147">
        <f t="shared" si="87"/>
        <v>0</v>
      </c>
      <c r="AK165" s="147">
        <f t="shared" si="99"/>
        <v>0</v>
      </c>
      <c r="AM165" s="147" t="str">
        <f t="shared" si="91"/>
        <v>0.037640993181558+0.271781423197799i</v>
      </c>
      <c r="AN165" s="147" t="str">
        <f t="shared" si="92"/>
        <v>0.275243649381561i</v>
      </c>
      <c r="AO165" s="147" t="str">
        <f t="shared" si="93"/>
        <v>0.987421231365224-0.136755174065352i</v>
      </c>
      <c r="AP165" s="147" t="str">
        <f t="shared" si="94"/>
        <v>0.160393167803074-0.0452969038662998i</v>
      </c>
      <c r="AQ165" s="147" t="str">
        <f t="shared" si="95"/>
        <v>0.839606832196926+0.0452969038662998i</v>
      </c>
      <c r="AR165" s="147" t="str">
        <f t="shared" si="96"/>
        <v>0.989251707307447-0.0533702654231956i</v>
      </c>
    </row>
    <row r="166" spans="7:44">
      <c r="G166" s="585">
        <v>9332.5</v>
      </c>
      <c r="H166" s="573">
        <f t="shared" si="88"/>
        <v>9.3324999999999996</v>
      </c>
      <c r="I166" s="574">
        <f t="shared" si="66"/>
        <v>64.468178934059452</v>
      </c>
      <c r="J166" s="575">
        <f t="shared" si="67"/>
        <v>1.5552841761163649</v>
      </c>
      <c r="K166" s="575">
        <f t="shared" si="68"/>
        <v>1.0013304613769818</v>
      </c>
      <c r="L166" s="576">
        <f t="shared" si="69"/>
        <v>5.155556116545832E-2</v>
      </c>
      <c r="M166" s="575">
        <f t="shared" si="70"/>
        <v>1.0020557588075607</v>
      </c>
      <c r="N166" s="576">
        <f t="shared" si="71"/>
        <v>-6.4066265502441988E-2</v>
      </c>
      <c r="O166" s="574">
        <f t="shared" si="72"/>
        <v>175913.48043959233</v>
      </c>
      <c r="P166" s="577">
        <f t="shared" si="73"/>
        <v>1.5707906421822251</v>
      </c>
      <c r="Q166" s="586">
        <f t="shared" si="100"/>
        <v>23.593608085121335</v>
      </c>
      <c r="R166" s="587">
        <f t="shared" si="101"/>
        <v>1.5283992655076535</v>
      </c>
      <c r="S166" s="574">
        <f t="shared" si="76"/>
        <v>1.0606710739228813</v>
      </c>
      <c r="T166" s="577">
        <f t="shared" si="77"/>
        <v>0.33986598034162246</v>
      </c>
      <c r="U166" s="578">
        <f t="shared" si="89"/>
        <v>0.98743030578680546</v>
      </c>
      <c r="V166" s="579">
        <f t="shared" si="90"/>
        <v>-0.19260256325629732</v>
      </c>
      <c r="W166" s="580">
        <f t="shared" si="78"/>
        <v>-6.8415275329230028</v>
      </c>
      <c r="X166" s="581">
        <f t="shared" si="79"/>
        <v>-122.7650771753146</v>
      </c>
      <c r="Y166" s="584">
        <f t="shared" si="80"/>
        <v>57.234922824685398</v>
      </c>
      <c r="AA166" s="147">
        <f t="shared" si="81"/>
        <v>9332.5</v>
      </c>
      <c r="AB166" s="147">
        <f t="shared" si="82"/>
        <v>87095556.25</v>
      </c>
      <c r="AD166" s="583">
        <f t="shared" si="83"/>
        <v>27.143740396153781</v>
      </c>
      <c r="AE166" s="584">
        <f t="shared" si="84"/>
        <v>-21.90173326987982</v>
      </c>
      <c r="AG166" s="583">
        <f t="shared" si="85"/>
        <v>25.521666854830322</v>
      </c>
      <c r="AH166" s="584">
        <f t="shared" si="86"/>
        <v>-78.79271588424082</v>
      </c>
      <c r="AJ166" s="147">
        <f t="shared" si="87"/>
        <v>0</v>
      </c>
      <c r="AK166" s="147">
        <f t="shared" si="99"/>
        <v>0</v>
      </c>
      <c r="AM166" s="147" t="str">
        <f t="shared" si="91"/>
        <v>0.038070253645476+0.273296840593376i</v>
      </c>
      <c r="AN166" s="147" t="str">
        <f t="shared" si="92"/>
        <v>0.276818690632306i</v>
      </c>
      <c r="AO166" s="147" t="str">
        <f t="shared" si="93"/>
        <v>0.987277412407069-0.137527757098035i</v>
      </c>
      <c r="AP166" s="147" t="str">
        <f t="shared" si="94"/>
        <v>0.160321624392421-0.0455494734322293i</v>
      </c>
      <c r="AQ166" s="147" t="str">
        <f t="shared" si="95"/>
        <v>0.839678375607579+0.0455494734322293i</v>
      </c>
      <c r="AR166" s="147" t="str">
        <f t="shared" si="96"/>
        <v>0.989135812498417-0.0536569914399217i</v>
      </c>
    </row>
    <row r="167" spans="7:44">
      <c r="G167" s="585">
        <v>9386.85</v>
      </c>
      <c r="H167" s="573">
        <f t="shared" si="88"/>
        <v>9.3868500000000008</v>
      </c>
      <c r="I167" s="574">
        <f t="shared" si="66"/>
        <v>64.843534402963257</v>
      </c>
      <c r="J167" s="575">
        <f t="shared" si="67"/>
        <v>1.5553739774152016</v>
      </c>
      <c r="K167" s="575">
        <f t="shared" si="68"/>
        <v>1.0013459925622805</v>
      </c>
      <c r="L167" s="576">
        <f t="shared" si="69"/>
        <v>5.1855270661108316E-2</v>
      </c>
      <c r="M167" s="575">
        <f t="shared" si="70"/>
        <v>1.0020797479963166</v>
      </c>
      <c r="N167" s="576">
        <f t="shared" si="71"/>
        <v>-6.4438341410739258E-2</v>
      </c>
      <c r="O167" s="574">
        <f t="shared" si="72"/>
        <v>176937.95380274087</v>
      </c>
      <c r="P167" s="577">
        <f t="shared" si="73"/>
        <v>1.5707906750962164</v>
      </c>
      <c r="Q167" s="586">
        <f t="shared" si="100"/>
        <v>23.7307648669494</v>
      </c>
      <c r="R167" s="587">
        <f t="shared" si="101"/>
        <v>1.5286444536010106</v>
      </c>
      <c r="S167" s="574">
        <f t="shared" si="76"/>
        <v>1.0613593030936079</v>
      </c>
      <c r="T167" s="577">
        <f t="shared" si="77"/>
        <v>0.34169514926562228</v>
      </c>
      <c r="U167" s="578">
        <f t="shared" si="89"/>
        <v>0.98729062195053674</v>
      </c>
      <c r="V167" s="579">
        <f t="shared" si="90"/>
        <v>-0.19371067940456949</v>
      </c>
      <c r="W167" s="580">
        <f t="shared" si="78"/>
        <v>-6.8985634065187194</v>
      </c>
      <c r="X167" s="581">
        <f t="shared" si="79"/>
        <v>-122.92861638170733</v>
      </c>
      <c r="Y167" s="584">
        <f t="shared" si="80"/>
        <v>57.071383618292671</v>
      </c>
      <c r="AA167" s="147">
        <f t="shared" si="81"/>
        <v>9386.85</v>
      </c>
      <c r="AB167" s="147">
        <f t="shared" si="82"/>
        <v>88112952.922499999</v>
      </c>
      <c r="AD167" s="583">
        <f t="shared" si="83"/>
        <v>27.138016195363601</v>
      </c>
      <c r="AE167" s="584">
        <f t="shared" si="84"/>
        <v>-21.992490572241763</v>
      </c>
      <c r="AG167" s="583">
        <f t="shared" si="85"/>
        <v>25.472812801977124</v>
      </c>
      <c r="AH167" s="584">
        <f t="shared" si="86"/>
        <v>-78.738517031113929</v>
      </c>
      <c r="AJ167" s="147">
        <f t="shared" si="87"/>
        <v>0</v>
      </c>
      <c r="AK167" s="147">
        <f t="shared" si="99"/>
        <v>0</v>
      </c>
      <c r="AM167" s="147" t="str">
        <f t="shared" si="91"/>
        <v>0.038512090337292+0.274847229515664i</v>
      </c>
      <c r="AN167" s="147" t="str">
        <f t="shared" si="92"/>
        <v>0.2784308091253i</v>
      </c>
      <c r="AO167" s="147" t="str">
        <f t="shared" si="93"/>
        <v>0.987129371132117-0.138318350825755i</v>
      </c>
      <c r="AP167" s="147" t="str">
        <f t="shared" si="94"/>
        <v>0.160247984943785-0.045807871585944i</v>
      </c>
      <c r="AQ167" s="147" t="str">
        <f t="shared" si="95"/>
        <v>0.839752015056215+0.045807871585944i</v>
      </c>
      <c r="AR167" s="147" t="str">
        <f t="shared" si="96"/>
        <v>0.989016571242581-0.0539501463283991i</v>
      </c>
    </row>
    <row r="168" spans="7:44">
      <c r="G168" s="585">
        <v>9441.2000000000007</v>
      </c>
      <c r="H168" s="573">
        <f t="shared" si="88"/>
        <v>9.4412000000000003</v>
      </c>
      <c r="I168" s="574">
        <f t="shared" si="66"/>
        <v>65.21889038876391</v>
      </c>
      <c r="J168" s="575">
        <f t="shared" si="67"/>
        <v>1.5554627450432188</v>
      </c>
      <c r="K168" s="575">
        <f t="shared" si="68"/>
        <v>1.0013616136914714</v>
      </c>
      <c r="L168" s="576">
        <f t="shared" si="69"/>
        <v>5.2154970832809178E-2</v>
      </c>
      <c r="M168" s="575">
        <f t="shared" si="70"/>
        <v>1.0021038759068219</v>
      </c>
      <c r="N168" s="576">
        <f t="shared" si="71"/>
        <v>-6.4810399453409356E-2</v>
      </c>
      <c r="O168" s="574">
        <f t="shared" si="72"/>
        <v>177962.42716588962</v>
      </c>
      <c r="P168" s="577">
        <f t="shared" si="73"/>
        <v>1.5707907076312566</v>
      </c>
      <c r="Q168" s="586">
        <f t="shared" si="100"/>
        <v>23.867923059008383</v>
      </c>
      <c r="R168" s="587">
        <f t="shared" si="101"/>
        <v>1.5288868237379591</v>
      </c>
      <c r="S168" s="574">
        <f t="shared" si="76"/>
        <v>1.0620510788134991</v>
      </c>
      <c r="T168" s="577">
        <f t="shared" si="77"/>
        <v>0.34352194140669606</v>
      </c>
      <c r="U168" s="578">
        <f t="shared" si="89"/>
        <v>0.98715018350257933</v>
      </c>
      <c r="V168" s="579">
        <f t="shared" si="90"/>
        <v>-0.19481856417899374</v>
      </c>
      <c r="W168" s="580">
        <f t="shared" si="78"/>
        <v>-6.9553369365186608</v>
      </c>
      <c r="X168" s="581">
        <f t="shared" si="79"/>
        <v>-123.09210787264387</v>
      </c>
      <c r="Y168" s="584">
        <f t="shared" si="80"/>
        <v>56.907892127356135</v>
      </c>
      <c r="AA168" s="147">
        <f t="shared" si="81"/>
        <v>9441.2000000000007</v>
      </c>
      <c r="AB168" s="147">
        <f t="shared" si="82"/>
        <v>89136257.440000013</v>
      </c>
      <c r="AD168" s="583">
        <f t="shared" si="83"/>
        <v>27.132268191062696</v>
      </c>
      <c r="AE168" s="584">
        <f t="shared" si="84"/>
        <v>-22.083273130270037</v>
      </c>
      <c r="AG168" s="583">
        <f t="shared" si="85"/>
        <v>25.424258523546857</v>
      </c>
      <c r="AH168" s="584">
        <f t="shared" si="86"/>
        <v>-78.684271720354488</v>
      </c>
      <c r="AJ168" s="147">
        <f t="shared" si="87"/>
        <v>0</v>
      </c>
      <c r="AK168" s="147">
        <f t="shared" si="99"/>
        <v>0</v>
      </c>
      <c r="AM168" s="147" t="str">
        <f t="shared" si="91"/>
        <v>0.038956425864527+0.276396904130485i</v>
      </c>
      <c r="AN168" s="147" t="str">
        <f t="shared" si="92"/>
        <v>0.280042927618294i</v>
      </c>
      <c r="AO168" s="147" t="str">
        <f t="shared" si="93"/>
        <v>0.986980483603647-0.139108765201975i</v>
      </c>
      <c r="AP168" s="147" t="str">
        <f t="shared" si="94"/>
        <v>0.160173929022579-0.0460661506884142i</v>
      </c>
      <c r="AQ168" s="147" t="str">
        <f t="shared" si="95"/>
        <v>0.839826070977421+0.0460661506884142i</v>
      </c>
      <c r="AR168" s="147" t="str">
        <f t="shared" si="96"/>
        <v>0.988896705681607-0.0542429751033891i</v>
      </c>
    </row>
    <row r="169" spans="7:44">
      <c r="G169" s="585">
        <v>9495.5499999999993</v>
      </c>
      <c r="H169" s="573">
        <f t="shared" si="88"/>
        <v>9.4955499999999997</v>
      </c>
      <c r="I169" s="574">
        <f t="shared" si="66"/>
        <v>65.594246882587782</v>
      </c>
      <c r="J169" s="575">
        <f t="shared" si="67"/>
        <v>1.5555504967442384</v>
      </c>
      <c r="K169" s="575">
        <f t="shared" si="68"/>
        <v>1.0013773247603444</v>
      </c>
      <c r="L169" s="576">
        <f t="shared" si="69"/>
        <v>5.2454661627160268E-2</v>
      </c>
      <c r="M169" s="575">
        <f t="shared" si="70"/>
        <v>1.0021281425290571</v>
      </c>
      <c r="N169" s="576">
        <f t="shared" si="71"/>
        <v>-6.5182439528740532E-2</v>
      </c>
      <c r="O169" s="574">
        <f t="shared" si="72"/>
        <v>178986.90052903851</v>
      </c>
      <c r="P169" s="577">
        <f t="shared" si="73"/>
        <v>1.5707907397938532</v>
      </c>
      <c r="Q169" s="586">
        <f t="shared" si="100"/>
        <v>24.005082637125312</v>
      </c>
      <c r="R169" s="587">
        <f t="shared" si="101"/>
        <v>1.5291264241932609</v>
      </c>
      <c r="S169" s="574">
        <f t="shared" si="76"/>
        <v>1.0627463941568673</v>
      </c>
      <c r="T169" s="577">
        <f t="shared" si="77"/>
        <v>0.34534634922552659</v>
      </c>
      <c r="U169" s="578">
        <f t="shared" si="89"/>
        <v>0.98700899138536824</v>
      </c>
      <c r="V169" s="579">
        <f t="shared" si="90"/>
        <v>-0.19592621637243959</v>
      </c>
      <c r="W169" s="580">
        <f t="shared" si="78"/>
        <v>-7.0118513828427789</v>
      </c>
      <c r="X169" s="581">
        <f t="shared" si="79"/>
        <v>-123.25554939530045</v>
      </c>
      <c r="Y169" s="584">
        <f t="shared" si="80"/>
        <v>56.744450604699551</v>
      </c>
      <c r="AA169" s="147">
        <f t="shared" si="81"/>
        <v>9495.5499999999993</v>
      </c>
      <c r="AB169" s="147">
        <f t="shared" si="82"/>
        <v>90165469.80249998</v>
      </c>
      <c r="AD169" s="583">
        <f t="shared" si="83"/>
        <v>27.126496456443054</v>
      </c>
      <c r="AE169" s="584">
        <f t="shared" si="84"/>
        <v>-22.174077746426288</v>
      </c>
      <c r="AG169" s="583">
        <f t="shared" si="85"/>
        <v>25.376000675607266</v>
      </c>
      <c r="AH169" s="584">
        <f t="shared" si="86"/>
        <v>-78.629981035004079</v>
      </c>
      <c r="AJ169" s="147">
        <f t="shared" si="87"/>
        <v>0</v>
      </c>
      <c r="AK169" s="147">
        <f t="shared" si="99"/>
        <v>0</v>
      </c>
      <c r="AM169" s="147" t="str">
        <f t="shared" si="91"/>
        <v>0.039403259072388+0.277945860410351i</v>
      </c>
      <c r="AN169" s="147" t="str">
        <f t="shared" si="92"/>
        <v>0.281655046111288i</v>
      </c>
      <c r="AO169" s="147" t="str">
        <f t="shared" si="93"/>
        <v>0.986830750053484-0.139898999206352i</v>
      </c>
      <c r="AP169" s="147" t="str">
        <f t="shared" si="94"/>
        <v>0.160099456821269-0.0463243100683918i</v>
      </c>
      <c r="AQ169" s="147" t="str">
        <f t="shared" si="95"/>
        <v>0.839900543178731+0.0463243100683918i</v>
      </c>
      <c r="AR169" s="147" t="str">
        <f t="shared" si="96"/>
        <v>0.988776216942174-0.0545354761749851i</v>
      </c>
    </row>
    <row r="170" spans="7:44">
      <c r="G170" s="585">
        <v>9549.9</v>
      </c>
      <c r="H170" s="573">
        <f t="shared" si="88"/>
        <v>9.5498999999999992</v>
      </c>
      <c r="I170" s="574">
        <f t="shared" si="66"/>
        <v>65.969603875763198</v>
      </c>
      <c r="J170" s="575">
        <f t="shared" si="67"/>
        <v>1.5556372498583062</v>
      </c>
      <c r="K170" s="575">
        <f t="shared" si="68"/>
        <v>1.0013931257646667</v>
      </c>
      <c r="L170" s="576">
        <f t="shared" si="69"/>
        <v>5.2754342990771037E-2</v>
      </c>
      <c r="M170" s="575">
        <f t="shared" si="70"/>
        <v>1.0021525478529456</v>
      </c>
      <c r="N170" s="576">
        <f t="shared" si="71"/>
        <v>-6.5554461535050818E-2</v>
      </c>
      <c r="O170" s="574">
        <f t="shared" si="72"/>
        <v>180011.37389218761</v>
      </c>
      <c r="P170" s="577">
        <f t="shared" si="73"/>
        <v>1.5707907715903648</v>
      </c>
      <c r="Q170" s="586">
        <f t="shared" si="100"/>
        <v>24.142243577676314</v>
      </c>
      <c r="R170" s="587">
        <f t="shared" si="101"/>
        <v>1.5293633021459008</v>
      </c>
      <c r="S170" s="574">
        <f t="shared" si="76"/>
        <v>1.0634452421807468</v>
      </c>
      <c r="T170" s="577">
        <f t="shared" si="77"/>
        <v>0.34716836526595285</v>
      </c>
      <c r="U170" s="578">
        <f t="shared" si="89"/>
        <v>0.98686704654568191</v>
      </c>
      <c r="V170" s="579">
        <f t="shared" si="90"/>
        <v>-0.19703363477995092</v>
      </c>
      <c r="W170" s="580">
        <f t="shared" si="78"/>
        <v>-7.0681099471359135</v>
      </c>
      <c r="X170" s="581">
        <f t="shared" si="79"/>
        <v>-123.4189387413838</v>
      </c>
      <c r="Y170" s="584">
        <f t="shared" si="80"/>
        <v>56.581061258616202</v>
      </c>
      <c r="AA170" s="147">
        <f t="shared" si="81"/>
        <v>9549.9</v>
      </c>
      <c r="AB170" s="147">
        <f t="shared" si="82"/>
        <v>91200590.00999999</v>
      </c>
      <c r="AD170" s="583">
        <f t="shared" si="83"/>
        <v>27.120701065841104</v>
      </c>
      <c r="AE170" s="584">
        <f t="shared" si="84"/>
        <v>-22.264901290711581</v>
      </c>
      <c r="AG170" s="583">
        <f t="shared" si="85"/>
        <v>25.328035971304523</v>
      </c>
      <c r="AH170" s="584">
        <f t="shared" si="86"/>
        <v>-78.575646034846145</v>
      </c>
      <c r="AJ170" s="147">
        <f t="shared" si="87"/>
        <v>0</v>
      </c>
      <c r="AK170" s="147">
        <f t="shared" si="99"/>
        <v>0</v>
      </c>
      <c r="AM170" s="147" t="str">
        <f t="shared" si="91"/>
        <v>0.039852588799588+0.279494094329641i</v>
      </c>
      <c r="AN170" s="147" t="str">
        <f t="shared" si="92"/>
        <v>0.283267164604282i</v>
      </c>
      <c r="AO170" s="147" t="str">
        <f t="shared" si="93"/>
        <v>0.986680170714767-0.140689051818841i</v>
      </c>
      <c r="AP170" s="147" t="str">
        <f t="shared" si="94"/>
        <v>0.160024568533402-0.0465823490549402i</v>
      </c>
      <c r="AQ170" s="147" t="str">
        <f t="shared" si="95"/>
        <v>0.839975431466598+0.0465823490549402i</v>
      </c>
      <c r="AR170" s="147" t="str">
        <f t="shared" si="96"/>
        <v>0.988655106155896-0.054827647958099i</v>
      </c>
    </row>
    <row r="171" spans="7:44">
      <c r="G171" s="585">
        <v>9605.5249999999996</v>
      </c>
      <c r="H171" s="573">
        <f t="shared" si="88"/>
        <v>9.6055250000000001</v>
      </c>
      <c r="I171" s="574">
        <f t="shared" si="66"/>
        <v>66.353766899994454</v>
      </c>
      <c r="J171" s="575">
        <f t="shared" si="67"/>
        <v>1.5557250218020267</v>
      </c>
      <c r="K171" s="575">
        <f t="shared" si="68"/>
        <v>1.0014093905661785</v>
      </c>
      <c r="L171" s="576">
        <f t="shared" si="69"/>
        <v>5.3061044777066933E-2</v>
      </c>
      <c r="M171" s="575">
        <f t="shared" si="70"/>
        <v>1.0021776693127917</v>
      </c>
      <c r="N171" s="576">
        <f t="shared" si="71"/>
        <v>-6.5935192012641405E-2</v>
      </c>
      <c r="O171" s="574">
        <f t="shared" si="72"/>
        <v>181059.88043910902</v>
      </c>
      <c r="P171" s="577">
        <f t="shared" si="73"/>
        <v>1.5707908037602101</v>
      </c>
      <c r="Q171" s="586">
        <f t="shared" si="100"/>
        <v>24.282623571844145</v>
      </c>
      <c r="R171" s="587">
        <f t="shared" si="101"/>
        <v>1.5296029660966999</v>
      </c>
      <c r="S171" s="574">
        <f t="shared" si="76"/>
        <v>1.0641641352228861</v>
      </c>
      <c r="T171" s="577">
        <f t="shared" si="77"/>
        <v>0.34903063979935134</v>
      </c>
      <c r="U171" s="578">
        <f t="shared" si="89"/>
        <v>0.98672099338898567</v>
      </c>
      <c r="V171" s="579">
        <f t="shared" si="90"/>
        <v>-0.19816678885213795</v>
      </c>
      <c r="W171" s="580">
        <f t="shared" si="78"/>
        <v>-7.1254266093350269</v>
      </c>
      <c r="X171" s="581">
        <f t="shared" si="79"/>
        <v>-123.58610476233068</v>
      </c>
      <c r="Y171" s="584">
        <f t="shared" si="80"/>
        <v>56.413895237669323</v>
      </c>
      <c r="AA171" s="147">
        <f t="shared" si="81"/>
        <v>9605.5249999999996</v>
      </c>
      <c r="AB171" s="147">
        <f t="shared" si="82"/>
        <v>92266110.52562499</v>
      </c>
      <c r="AD171" s="583">
        <f t="shared" si="83"/>
        <v>27.114745304635797</v>
      </c>
      <c r="AE171" s="584">
        <f t="shared" si="84"/>
        <v>-22.357871872190383</v>
      </c>
      <c r="AG171" s="583">
        <f t="shared" si="85"/>
        <v>25.279246228175477</v>
      </c>
      <c r="AH171" s="584">
        <f t="shared" si="86"/>
        <v>-78.519991582417077</v>
      </c>
      <c r="AJ171" s="147">
        <f t="shared" si="87"/>
        <v>0</v>
      </c>
      <c r="AK171" s="147">
        <f t="shared" si="99"/>
        <v>0</v>
      </c>
      <c r="AM171" s="147" t="str">
        <f t="shared" si="91"/>
        <v>0.0403150432171619+0.281077896186667i</v>
      </c>
      <c r="AN171" s="147" t="str">
        <f t="shared" si="92"/>
        <v>0.28491710188437i</v>
      </c>
      <c r="AO171" s="147" t="str">
        <f t="shared" si="93"/>
        <v>0.986525183387338-0.141497449435391i</v>
      </c>
      <c r="AP171" s="147" t="str">
        <f t="shared" si="94"/>
        <v>0.15994749279714-0.0468463160311112i</v>
      </c>
      <c r="AQ171" s="147" t="str">
        <f t="shared" si="95"/>
        <v>0.84005250720286+0.0468463160311112i</v>
      </c>
      <c r="AR171" s="147" t="str">
        <f t="shared" si="96"/>
        <v>0.98853051130333-0.0551263312017338i</v>
      </c>
    </row>
    <row r="172" spans="7:44">
      <c r="G172" s="585">
        <v>9661.15</v>
      </c>
      <c r="H172" s="573">
        <f t="shared" si="88"/>
        <v>9.6611499999999992</v>
      </c>
      <c r="I172" s="574">
        <f t="shared" si="66"/>
        <v>66.737930429524411</v>
      </c>
      <c r="J172" s="575">
        <f t="shared" si="67"/>
        <v>1.5558117832631808</v>
      </c>
      <c r="K172" s="575">
        <f t="shared" si="68"/>
        <v>1.0014257495631869</v>
      </c>
      <c r="L172" s="576">
        <f t="shared" si="69"/>
        <v>5.3367736571830644E-2</v>
      </c>
      <c r="M172" s="575">
        <f t="shared" si="70"/>
        <v>1.0022029360367046</v>
      </c>
      <c r="N172" s="576">
        <f t="shared" si="71"/>
        <v>-6.6315903348082739E-2</v>
      </c>
      <c r="O172" s="574">
        <f t="shared" si="72"/>
        <v>182108.38698603064</v>
      </c>
      <c r="P172" s="577">
        <f t="shared" si="73"/>
        <v>1.5707908355596134</v>
      </c>
      <c r="Q172" s="586">
        <f t="shared" si="100"/>
        <v>24.423004944743088</v>
      </c>
      <c r="R172" s="587">
        <f t="shared" si="101"/>
        <v>1.5298398749246187</v>
      </c>
      <c r="S172" s="574">
        <f t="shared" si="76"/>
        <v>1.0648867138665328</v>
      </c>
      <c r="T172" s="577">
        <f t="shared" si="77"/>
        <v>0.35089039348328016</v>
      </c>
      <c r="U172" s="578">
        <f t="shared" si="89"/>
        <v>0.98657415379983238</v>
      </c>
      <c r="V172" s="579">
        <f t="shared" si="90"/>
        <v>-0.19929969549407867</v>
      </c>
      <c r="W172" s="580">
        <f t="shared" si="78"/>
        <v>-7.1824818478424906</v>
      </c>
      <c r="X172" s="581">
        <f t="shared" si="79"/>
        <v>-123.75321158754352</v>
      </c>
      <c r="Y172" s="584">
        <f t="shared" si="80"/>
        <v>56.246788412456482</v>
      </c>
      <c r="AA172" s="147">
        <f t="shared" si="81"/>
        <v>9661.15</v>
      </c>
      <c r="AB172" s="147">
        <f t="shared" si="82"/>
        <v>93337819.32249999</v>
      </c>
      <c r="AD172" s="583">
        <f t="shared" si="83"/>
        <v>27.108764925595324</v>
      </c>
      <c r="AE172" s="584">
        <f t="shared" si="84"/>
        <v>-22.450855855322128</v>
      </c>
      <c r="AG172" s="583">
        <f t="shared" si="85"/>
        <v>25.230756754822785</v>
      </c>
      <c r="AH172" s="584">
        <f t="shared" si="86"/>
        <v>-78.464292886018725</v>
      </c>
      <c r="AJ172" s="147">
        <f t="shared" si="87"/>
        <v>0</v>
      </c>
      <c r="AK172" s="147">
        <f t="shared" si="99"/>
        <v>0</v>
      </c>
      <c r="AM172" s="147" t="str">
        <f t="shared" si="91"/>
        <v>0.040780110177811+0.282660932867469i</v>
      </c>
      <c r="AN172" s="147" t="str">
        <f t="shared" si="92"/>
        <v>0.286567039164458i</v>
      </c>
      <c r="AO172" s="147" t="str">
        <f t="shared" si="93"/>
        <v>0.986369310621424-0.14230565488869i</v>
      </c>
      <c r="AP172" s="147" t="str">
        <f t="shared" si="94"/>
        <v>0.159869981637032-0.0471101554779115i</v>
      </c>
      <c r="AQ172" s="147" t="str">
        <f t="shared" si="95"/>
        <v>0.840130018362968+0.0471101554779115i</v>
      </c>
      <c r="AR172" s="147" t="str">
        <f t="shared" si="96"/>
        <v>0.988405267290539-0.0554246661819987i</v>
      </c>
    </row>
    <row r="173" spans="7:44">
      <c r="G173" s="585">
        <v>9716.7749999999996</v>
      </c>
      <c r="H173" s="573">
        <f t="shared" si="88"/>
        <v>9.7167750000000002</v>
      </c>
      <c r="I173" s="574">
        <f t="shared" si="66"/>
        <v>67.122094455677001</v>
      </c>
      <c r="J173" s="575">
        <f t="shared" si="67"/>
        <v>1.5558975515905231</v>
      </c>
      <c r="K173" s="575">
        <f t="shared" si="68"/>
        <v>1.0014422027510754</v>
      </c>
      <c r="L173" s="576">
        <f t="shared" si="69"/>
        <v>5.3674418317858477E-2</v>
      </c>
      <c r="M173" s="575">
        <f t="shared" si="70"/>
        <v>1.002228348013698</v>
      </c>
      <c r="N173" s="576">
        <f t="shared" si="71"/>
        <v>-6.6696595432465297E-2</v>
      </c>
      <c r="O173" s="574">
        <f t="shared" si="72"/>
        <v>183156.89353295241</v>
      </c>
      <c r="P173" s="577">
        <f t="shared" si="73"/>
        <v>1.5707908669949364</v>
      </c>
      <c r="Q173" s="586">
        <f t="shared" si="100"/>
        <v>24.563387672734528</v>
      </c>
      <c r="R173" s="587">
        <f t="shared" si="101"/>
        <v>1.5300740758404134</v>
      </c>
      <c r="S173" s="574">
        <f t="shared" si="76"/>
        <v>1.0656129706142075</v>
      </c>
      <c r="T173" s="577">
        <f t="shared" si="77"/>
        <v>0.35274761859433035</v>
      </c>
      <c r="U173" s="578">
        <f t="shared" si="89"/>
        <v>0.98642652880724691</v>
      </c>
      <c r="V173" s="579">
        <f t="shared" si="90"/>
        <v>-0.20043235342118351</v>
      </c>
      <c r="W173" s="580">
        <f t="shared" si="78"/>
        <v>-7.2392789139352445</v>
      </c>
      <c r="X173" s="581">
        <f t="shared" si="79"/>
        <v>-123.92025698733728</v>
      </c>
      <c r="Y173" s="584">
        <f t="shared" si="80"/>
        <v>56.079743012662718</v>
      </c>
      <c r="AA173" s="147">
        <f t="shared" si="81"/>
        <v>9716.7749999999996</v>
      </c>
      <c r="AB173" s="147">
        <f t="shared" si="82"/>
        <v>94415716.40062499</v>
      </c>
      <c r="AD173" s="583">
        <f t="shared" si="83"/>
        <v>27.102760011882051</v>
      </c>
      <c r="AE173" s="584">
        <f t="shared" si="84"/>
        <v>-22.543850092975482</v>
      </c>
      <c r="AG173" s="583">
        <f t="shared" si="85"/>
        <v>25.182564204981944</v>
      </c>
      <c r="AH173" s="584">
        <f t="shared" si="86"/>
        <v>-78.408551010300556</v>
      </c>
      <c r="AJ173" s="147">
        <f t="shared" si="87"/>
        <v>0</v>
      </c>
      <c r="AK173" s="147">
        <f t="shared" si="99"/>
        <v>0</v>
      </c>
      <c r="AM173" s="147" t="str">
        <f t="shared" si="91"/>
        <v>0.041247788415486+0.284243200062558i</v>
      </c>
      <c r="AN173" s="147" t="str">
        <f t="shared" si="92"/>
        <v>0.288216976444546i</v>
      </c>
      <c r="AO173" s="147" t="str">
        <f t="shared" si="93"/>
        <v>0.986212552671225-0.143113667086235i</v>
      </c>
      <c r="AP173" s="147" t="str">
        <f t="shared" si="94"/>
        <v>0.159792035264086-0.047373866677093i</v>
      </c>
      <c r="AQ173" s="147" t="str">
        <f t="shared" si="95"/>
        <v>0.840207964735914+0.047373866677093i</v>
      </c>
      <c r="AR173" s="147" t="str">
        <f t="shared" si="96"/>
        <v>0.988279375346576-0.0557226512154107i</v>
      </c>
    </row>
    <row r="174" spans="7:44">
      <c r="G174" s="585">
        <v>9772.4</v>
      </c>
      <c r="H174" s="573">
        <f t="shared" si="88"/>
        <v>9.7723999999999993</v>
      </c>
      <c r="I174" s="574">
        <f t="shared" si="66"/>
        <v>67.506258969973743</v>
      </c>
      <c r="J174" s="575">
        <f t="shared" si="67"/>
        <v>1.5559823437379536</v>
      </c>
      <c r="K174" s="575">
        <f t="shared" si="68"/>
        <v>1.0014587501252017</v>
      </c>
      <c r="L174" s="576">
        <f t="shared" si="69"/>
        <v>5.3981089957958049E-2</v>
      </c>
      <c r="M174" s="575">
        <f t="shared" si="70"/>
        <v>1.0022539052327233</v>
      </c>
      <c r="N174" s="576">
        <f t="shared" si="71"/>
        <v>-6.7077268156912909E-2</v>
      </c>
      <c r="O174" s="574">
        <f t="shared" si="72"/>
        <v>184205.40007987438</v>
      </c>
      <c r="P174" s="577">
        <f t="shared" si="73"/>
        <v>1.5707908980723968</v>
      </c>
      <c r="Q174" s="586">
        <f t="shared" si="100"/>
        <v>24.703771732716945</v>
      </c>
      <c r="R174" s="587">
        <f t="shared" si="101"/>
        <v>1.5303056149829066</v>
      </c>
      <c r="S174" s="574">
        <f t="shared" si="76"/>
        <v>1.0663428979507443</v>
      </c>
      <c r="T174" s="577">
        <f t="shared" si="77"/>
        <v>0.35460230749985433</v>
      </c>
      <c r="U174" s="578">
        <f t="shared" si="89"/>
        <v>0.98627811944495392</v>
      </c>
      <c r="V174" s="579">
        <f t="shared" si="90"/>
        <v>-0.20156476135130361</v>
      </c>
      <c r="W174" s="580">
        <f t="shared" si="78"/>
        <v>-7.2958210006257298</v>
      </c>
      <c r="X174" s="581">
        <f t="shared" si="79"/>
        <v>-124.08723877615394</v>
      </c>
      <c r="Y174" s="584">
        <f t="shared" si="80"/>
        <v>55.912761223846061</v>
      </c>
      <c r="AA174" s="147">
        <f t="shared" si="81"/>
        <v>9772.4</v>
      </c>
      <c r="AB174" s="147">
        <f t="shared" si="82"/>
        <v>95499801.75999999</v>
      </c>
      <c r="AD174" s="583">
        <f t="shared" si="83"/>
        <v>27.096730647747755</v>
      </c>
      <c r="AE174" s="584">
        <f t="shared" si="84"/>
        <v>-22.636851504628392</v>
      </c>
      <c r="AG174" s="583">
        <f t="shared" si="85"/>
        <v>25.134665289506724</v>
      </c>
      <c r="AH174" s="584">
        <f t="shared" si="86"/>
        <v>-78.352766997149956</v>
      </c>
      <c r="AJ174" s="147">
        <f t="shared" si="87"/>
        <v>0</v>
      </c>
      <c r="AK174" s="147">
        <f t="shared" si="99"/>
        <v>0</v>
      </c>
      <c r="AM174" s="147" t="str">
        <f t="shared" si="91"/>
        <v>0.04171807665703+0.285824693464541i</v>
      </c>
      <c r="AN174" s="147" t="str">
        <f t="shared" si="92"/>
        <v>0.289866913724634i</v>
      </c>
      <c r="AO174" s="147" t="str">
        <f t="shared" si="93"/>
        <v>0.986054909792385-0.14392148493588i</v>
      </c>
      <c r="AP174" s="147" t="str">
        <f t="shared" si="94"/>
        <v>0.159713653890495-0.0476374489107568i</v>
      </c>
      <c r="AQ174" s="147" t="str">
        <f t="shared" si="95"/>
        <v>0.840286346109505+0.0476374489107568i</v>
      </c>
      <c r="AR174" s="147" t="str">
        <f t="shared" si="96"/>
        <v>0.988152836705807-0.0560202846238534i</v>
      </c>
    </row>
    <row r="175" spans="7:44">
      <c r="G175" s="585">
        <v>9829.2999999999993</v>
      </c>
      <c r="H175" s="573">
        <f t="shared" si="88"/>
        <v>9.8292999999999999</v>
      </c>
      <c r="I175" s="574">
        <f t="shared" si="66"/>
        <v>67.899229549330428</v>
      </c>
      <c r="J175" s="575">
        <f t="shared" si="67"/>
        <v>1.5560680867093775</v>
      </c>
      <c r="K175" s="575">
        <f t="shared" si="68"/>
        <v>1.0014757742318796</v>
      </c>
      <c r="L175" s="576">
        <f t="shared" si="69"/>
        <v>5.4294780409879249E-2</v>
      </c>
      <c r="M175" s="575">
        <f t="shared" si="70"/>
        <v>1.002280198519985</v>
      </c>
      <c r="N175" s="576">
        <f t="shared" si="71"/>
        <v>-6.7466646269343344E-2</v>
      </c>
      <c r="O175" s="574">
        <f t="shared" si="72"/>
        <v>185277.93981056864</v>
      </c>
      <c r="P175" s="577">
        <f t="shared" si="73"/>
        <v>1.5707909294982674</v>
      </c>
      <c r="Q175" s="586">
        <f t="shared" si="100"/>
        <v>24.847374939236154</v>
      </c>
      <c r="R175" s="587">
        <f t="shared" si="101"/>
        <v>1.5305397543349679</v>
      </c>
      <c r="S175" s="574">
        <f t="shared" si="76"/>
        <v>1.0670933461082357</v>
      </c>
      <c r="T175" s="577">
        <f t="shared" si="77"/>
        <v>0.35649687644175521</v>
      </c>
      <c r="U175" s="578">
        <f t="shared" si="89"/>
        <v>0.98612549787861203</v>
      </c>
      <c r="V175" s="579">
        <f t="shared" si="90"/>
        <v>-0.20272286560583697</v>
      </c>
      <c r="W175" s="580">
        <f t="shared" si="78"/>
        <v>-7.3533985642769748</v>
      </c>
      <c r="X175" s="581">
        <f t="shared" si="79"/>
        <v>-124.25797996451001</v>
      </c>
      <c r="Y175" s="584">
        <f t="shared" si="80"/>
        <v>55.742020035489986</v>
      </c>
      <c r="AA175" s="147">
        <f t="shared" si="81"/>
        <v>9829.2999999999993</v>
      </c>
      <c r="AB175" s="147">
        <f t="shared" si="82"/>
        <v>96615138.48999998</v>
      </c>
      <c r="AD175" s="583">
        <f t="shared" si="83"/>
        <v>27.090537873897471</v>
      </c>
      <c r="AE175" s="584">
        <f t="shared" si="84"/>
        <v>-22.731988912983294</v>
      </c>
      <c r="AG175" s="583">
        <f t="shared" si="85"/>
        <v>25.085968902977051</v>
      </c>
      <c r="AH175" s="584">
        <f t="shared" si="86"/>
        <v>-78.295661804957689</v>
      </c>
      <c r="AJ175" s="147">
        <f t="shared" si="87"/>
        <v>0</v>
      </c>
      <c r="AK175" s="147">
        <f t="shared" si="99"/>
        <v>0</v>
      </c>
      <c r="AM175" s="147" t="str">
        <f t="shared" si="91"/>
        <v>0.042201843631101+0.287441631738235i</v>
      </c>
      <c r="AN175" s="147" t="str">
        <f t="shared" si="92"/>
        <v>0.291554669791816i</v>
      </c>
      <c r="AO175" s="147" t="str">
        <f t="shared" si="93"/>
        <v>0.985892738207493-0.144747616840557i</v>
      </c>
      <c r="AP175" s="147" t="str">
        <f t="shared" si="94"/>
        <v>0.159633026061483-0.0479069386230392i</v>
      </c>
      <c r="AQ175" s="147" t="str">
        <f t="shared" si="95"/>
        <v>0.840366973938517+0.0479069386230392i</v>
      </c>
      <c r="AR175" s="147" t="str">
        <f t="shared" si="96"/>
        <v>0.988022729819772-0.0563243746405323i</v>
      </c>
    </row>
    <row r="176" spans="7:44">
      <c r="G176" s="585">
        <v>9886.2000000000007</v>
      </c>
      <c r="H176" s="573">
        <f t="shared" si="88"/>
        <v>9.8862000000000005</v>
      </c>
      <c r="I176" s="574">
        <f t="shared" si="66"/>
        <v>68.292200622127694</v>
      </c>
      <c r="J176" s="575">
        <f t="shared" si="67"/>
        <v>1.5561528429067311</v>
      </c>
      <c r="K176" s="575">
        <f t="shared" si="68"/>
        <v>1.00149289688212</v>
      </c>
      <c r="L176" s="576">
        <f t="shared" si="69"/>
        <v>5.4608460166255854E-2</v>
      </c>
      <c r="M176" s="575">
        <f t="shared" si="70"/>
        <v>1.0023066437602881</v>
      </c>
      <c r="N176" s="576">
        <f t="shared" si="71"/>
        <v>-6.7856003893802877E-2</v>
      </c>
      <c r="O176" s="574">
        <f t="shared" si="72"/>
        <v>186350.47954126314</v>
      </c>
      <c r="P176" s="577">
        <f t="shared" si="73"/>
        <v>1.5707909605623951</v>
      </c>
      <c r="Q176" s="586">
        <f t="shared" si="100"/>
        <v>24.990979492264604</v>
      </c>
      <c r="R176" s="587">
        <f t="shared" si="101"/>
        <v>1.5307712028505234</v>
      </c>
      <c r="S176" s="574">
        <f t="shared" si="76"/>
        <v>1.0678476190899746</v>
      </c>
      <c r="T176" s="577">
        <f t="shared" si="77"/>
        <v>0.35838877571310634</v>
      </c>
      <c r="U176" s="578">
        <f t="shared" si="89"/>
        <v>0.98597205777589592</v>
      </c>
      <c r="V176" s="579">
        <f t="shared" si="90"/>
        <v>-0.20388070556542265</v>
      </c>
      <c r="W176" s="580">
        <f t="shared" si="78"/>
        <v>-7.4107159033908063</v>
      </c>
      <c r="X176" s="581">
        <f t="shared" si="79"/>
        <v>-124.42865010282036</v>
      </c>
      <c r="Y176" s="584">
        <f t="shared" si="80"/>
        <v>55.571349897179644</v>
      </c>
      <c r="AA176" s="147">
        <f t="shared" si="81"/>
        <v>9886.2000000000007</v>
      </c>
      <c r="AB176" s="147">
        <f t="shared" si="82"/>
        <v>97736950.440000013</v>
      </c>
      <c r="AD176" s="583">
        <f t="shared" si="83"/>
        <v>27.084319697569946</v>
      </c>
      <c r="AE176" s="584">
        <f t="shared" si="84"/>
        <v>-22.827127513331828</v>
      </c>
      <c r="AG176" s="583">
        <f t="shared" si="85"/>
        <v>25.037572981310049</v>
      </c>
      <c r="AH176" s="584">
        <f t="shared" si="86"/>
        <v>-78.238514656696168</v>
      </c>
      <c r="AJ176" s="147">
        <f t="shared" si="87"/>
        <v>0</v>
      </c>
      <c r="AK176" s="147">
        <f t="shared" si="99"/>
        <v>0</v>
      </c>
      <c r="AM176" s="147" t="str">
        <f t="shared" si="91"/>
        <v>0.042688338912249+0.289057751228731i</v>
      </c>
      <c r="AN176" s="147" t="str">
        <f t="shared" si="92"/>
        <v>0.293242425858999i</v>
      </c>
      <c r="AO176" s="147" t="str">
        <f t="shared" si="93"/>
        <v>0.985729641207237-0.145573543075159i</v>
      </c>
      <c r="AP176" s="147" t="str">
        <f t="shared" si="94"/>
        <v>0.159551943514625-0.0481762918714552i</v>
      </c>
      <c r="AQ176" s="147" t="str">
        <f t="shared" si="95"/>
        <v>0.840448056485375+0.0481762918714552i</v>
      </c>
      <c r="AR176" s="147" t="str">
        <f t="shared" si="96"/>
        <v>0.987891948880539-0.056628093193238i</v>
      </c>
    </row>
    <row r="177" spans="7:44">
      <c r="G177" s="585">
        <v>9943.1</v>
      </c>
      <c r="H177" s="573">
        <f t="shared" si="88"/>
        <v>9.9431000000000012</v>
      </c>
      <c r="I177" s="574">
        <f t="shared" si="66"/>
        <v>68.685172179896057</v>
      </c>
      <c r="J177" s="575">
        <f t="shared" si="67"/>
        <v>1.5562366292658103</v>
      </c>
      <c r="K177" s="575">
        <f t="shared" si="68"/>
        <v>1.0015101180708683</v>
      </c>
      <c r="L177" s="576">
        <f t="shared" si="69"/>
        <v>5.4922129165908967E-2</v>
      </c>
      <c r="M177" s="575">
        <f t="shared" si="70"/>
        <v>1.002333240941605</v>
      </c>
      <c r="N177" s="576">
        <f t="shared" si="71"/>
        <v>-6.824534091386511E-2</v>
      </c>
      <c r="O177" s="574">
        <f t="shared" si="72"/>
        <v>187423.0192719578</v>
      </c>
      <c r="P177" s="577">
        <f t="shared" si="73"/>
        <v>1.5707909912709899</v>
      </c>
      <c r="Q177" s="586">
        <f t="shared" si="100"/>
        <v>25.134585368722743</v>
      </c>
      <c r="R177" s="587">
        <f t="shared" si="101"/>
        <v>1.5310000066266589</v>
      </c>
      <c r="S177" s="574">
        <f t="shared" si="76"/>
        <v>1.0686057087967304</v>
      </c>
      <c r="T177" s="577">
        <f t="shared" si="77"/>
        <v>0.3602779974381452</v>
      </c>
      <c r="U177" s="578">
        <f t="shared" si="89"/>
        <v>0.98581780025837273</v>
      </c>
      <c r="V177" s="579">
        <f t="shared" si="90"/>
        <v>-0.20503827986570078</v>
      </c>
      <c r="W177" s="580">
        <f t="shared" si="78"/>
        <v>-7.4677762549657523</v>
      </c>
      <c r="X177" s="581">
        <f t="shared" si="79"/>
        <v>-124.59924698803638</v>
      </c>
      <c r="Y177" s="584">
        <f t="shared" si="80"/>
        <v>55.400753011963616</v>
      </c>
      <c r="AA177" s="147">
        <f t="shared" si="81"/>
        <v>9943.1</v>
      </c>
      <c r="AB177" s="147">
        <f t="shared" si="82"/>
        <v>98865237.610000014</v>
      </c>
      <c r="AD177" s="583">
        <f t="shared" si="83"/>
        <v>27.078076212235622</v>
      </c>
      <c r="AE177" s="584">
        <f t="shared" si="84"/>
        <v>-22.922264213613335</v>
      </c>
      <c r="AG177" s="583">
        <f t="shared" si="85"/>
        <v>24.989474181135797</v>
      </c>
      <c r="AH177" s="584">
        <f t="shared" si="86"/>
        <v>-78.181326597721636</v>
      </c>
      <c r="AJ177" s="147">
        <f t="shared" si="87"/>
        <v>0</v>
      </c>
      <c r="AK177" s="147">
        <f t="shared" si="99"/>
        <v>0</v>
      </c>
      <c r="AM177" s="147" t="str">
        <f t="shared" si="91"/>
        <v>0.043177561114681+0.290673047332479i</v>
      </c>
      <c r="AN177" s="147" t="str">
        <f t="shared" si="92"/>
        <v>0.294930181926181i</v>
      </c>
      <c r="AO177" s="147" t="str">
        <f t="shared" si="93"/>
        <v>0.985565619069914-0.146399262471849i</v>
      </c>
      <c r="AP177" s="147" t="str">
        <f t="shared" si="94"/>
        <v>0.159470406480887-0.0484455078887465i</v>
      </c>
      <c r="AQ177" s="147" t="str">
        <f t="shared" si="95"/>
        <v>0.840529593519113+0.0484455078887465i</v>
      </c>
      <c r="AR177" s="147" t="str">
        <f t="shared" si="96"/>
        <v>0.987760495226381-0.0569314385033531i</v>
      </c>
    </row>
    <row r="178" spans="7:44" s="284" customFormat="1">
      <c r="G178" s="649">
        <v>10000</v>
      </c>
      <c r="H178" s="650">
        <f t="shared" si="88"/>
        <v>10</v>
      </c>
      <c r="I178" s="651">
        <f t="shared" si="66"/>
        <v>69.078144214358886</v>
      </c>
      <c r="J178" s="652">
        <f t="shared" si="67"/>
        <v>1.5563194623370888</v>
      </c>
      <c r="K178" s="652">
        <f t="shared" si="68"/>
        <v>1.0015274377930414</v>
      </c>
      <c r="L178" s="653">
        <f t="shared" si="69"/>
        <v>5.5235787347672406E-2</v>
      </c>
      <c r="M178" s="652">
        <f t="shared" si="70"/>
        <v>1.0023599900518412</v>
      </c>
      <c r="N178" s="653">
        <f t="shared" si="71"/>
        <v>-6.8634657213140951E-2</v>
      </c>
      <c r="O178" s="651">
        <f t="shared" si="72"/>
        <v>188495.55900265259</v>
      </c>
      <c r="P178" s="654">
        <f t="shared" si="73"/>
        <v>1.5707910216301209</v>
      </c>
      <c r="Q178" s="655">
        <f t="shared" si="100"/>
        <v>25.278192546055287</v>
      </c>
      <c r="R178" s="656">
        <f t="shared" si="101"/>
        <v>1.5312262107140602</v>
      </c>
      <c r="S178" s="651">
        <f t="shared" si="76"/>
        <v>1.069367607111313</v>
      </c>
      <c r="T178" s="654">
        <f t="shared" si="77"/>
        <v>0.36216453383983804</v>
      </c>
      <c r="U178" s="657">
        <f t="shared" si="89"/>
        <v>0.98566272645266317</v>
      </c>
      <c r="V178" s="658">
        <f t="shared" si="90"/>
        <v>-0.20619558714503164</v>
      </c>
      <c r="W178" s="659">
        <f t="shared" si="78"/>
        <v>-7.5245827978699955</v>
      </c>
      <c r="X178" s="660">
        <f t="shared" si="79"/>
        <v>-124.76976846079255</v>
      </c>
      <c r="Y178" s="661">
        <f t="shared" si="80"/>
        <v>55.230231539207452</v>
      </c>
      <c r="AA178" s="284">
        <f t="shared" si="81"/>
        <v>10000</v>
      </c>
      <c r="AB178" s="284">
        <f t="shared" si="82"/>
        <v>100000000</v>
      </c>
      <c r="AD178" s="662">
        <f t="shared" si="83"/>
        <v>27.071807512395605</v>
      </c>
      <c r="AE178" s="661">
        <f t="shared" si="84"/>
        <v>-23.017395987370215</v>
      </c>
      <c r="AG178" s="662">
        <f>20*LOG10((K178*M178/(I178*U178))*Acs*Am)</f>
        <v>24.941669216122719</v>
      </c>
      <c r="AH178" s="661">
        <f t="shared" si="86"/>
        <v>-78.124098651158548</v>
      </c>
      <c r="AJ178" s="284">
        <f t="shared" si="87"/>
        <v>0</v>
      </c>
      <c r="AK178" s="147">
        <f t="shared" si="99"/>
        <v>0</v>
      </c>
      <c r="AM178" s="284" t="str">
        <f t="shared" si="91"/>
        <v>0.043669508844838+0.292287515448278i</v>
      </c>
      <c r="AN178" s="284" t="str">
        <f t="shared" si="92"/>
        <v>0.296617937993363i</v>
      </c>
      <c r="AO178" s="284" t="str">
        <f t="shared" si="93"/>
        <v>0.985400672075396-0.147224773863188i</v>
      </c>
      <c r="AP178" s="284" t="str">
        <f t="shared" si="94"/>
        <v>0.159388415192527-0.0487145859080463i</v>
      </c>
      <c r="AQ178" s="284" t="str">
        <f t="shared" si="95"/>
        <v>0.840611584807473+0.0487145859080463i</v>
      </c>
      <c r="AR178" s="284" t="str">
        <f t="shared" si="96"/>
        <v>0.98762837020126-0.057234408798223i</v>
      </c>
    </row>
    <row r="179" spans="7:44">
      <c r="G179" s="585">
        <v>10058.25</v>
      </c>
      <c r="H179" s="573">
        <f t="shared" si="88"/>
        <v>10.058249999999999</v>
      </c>
      <c r="I179" s="574">
        <f t="shared" si="66"/>
        <v>69.480440323740339</v>
      </c>
      <c r="J179" s="575">
        <f t="shared" si="67"/>
        <v>1.5564032900962357</v>
      </c>
      <c r="K179" s="575">
        <f t="shared" si="68"/>
        <v>1.001545270502584</v>
      </c>
      <c r="L179" s="576">
        <f t="shared" si="69"/>
        <v>5.5556876061861757E-2</v>
      </c>
      <c r="M179" s="575">
        <f t="shared" si="70"/>
        <v>1.0023875311729897</v>
      </c>
      <c r="N179" s="576">
        <f t="shared" si="71"/>
        <v>-6.9033188781094129E-2</v>
      </c>
      <c r="O179" s="574">
        <f t="shared" si="72"/>
        <v>189593.54563381223</v>
      </c>
      <c r="P179" s="577">
        <f t="shared" si="73"/>
        <v>1.5707910523537405</v>
      </c>
      <c r="Q179" s="586">
        <f t="shared" si="100"/>
        <v>25.425208248075926</v>
      </c>
      <c r="R179" s="587">
        <f t="shared" si="101"/>
        <v>1.5314551347100327</v>
      </c>
      <c r="S179" s="574">
        <f t="shared" si="76"/>
        <v>1.0701515188294863</v>
      </c>
      <c r="T179" s="577">
        <f t="shared" si="77"/>
        <v>0.36409304022987116</v>
      </c>
      <c r="U179" s="578">
        <f t="shared" si="89"/>
        <v>0.98550312900438408</v>
      </c>
      <c r="V179" s="579">
        <f t="shared" si="90"/>
        <v>-0.20738007448787429</v>
      </c>
      <c r="W179" s="580">
        <f t="shared" si="78"/>
        <v>-7.5824774698760855</v>
      </c>
      <c r="X179" s="581">
        <f t="shared" si="79"/>
        <v>-124.94425537055092</v>
      </c>
      <c r="Y179" s="584">
        <f t="shared" si="80"/>
        <v>55.05574462944908</v>
      </c>
      <c r="AA179" s="147">
        <f t="shared" si="81"/>
        <v>10058.25</v>
      </c>
      <c r="AB179" s="147">
        <f t="shared" si="82"/>
        <v>101168393.0625</v>
      </c>
      <c r="AD179" s="583">
        <f t="shared" si="83"/>
        <v>27.065364063171277</v>
      </c>
      <c r="AE179" s="584">
        <f t="shared" si="84"/>
        <v>-23.114776645929641</v>
      </c>
      <c r="AG179" s="583">
        <f t="shared" si="85"/>
        <v>24.89303104090153</v>
      </c>
      <c r="AH179" s="584">
        <f t="shared" si="86"/>
        <v>-78.065472650939284</v>
      </c>
      <c r="AJ179" s="147">
        <f t="shared" si="87"/>
        <v>0</v>
      </c>
      <c r="AK179" s="147">
        <f t="shared" si="99"/>
        <v>0</v>
      </c>
      <c r="AM179" s="147" t="str">
        <f t="shared" si="91"/>
        <v>0.044175950275431+0.293939425678361i</v>
      </c>
      <c r="AN179" s="147" t="str">
        <f t="shared" si="92"/>
        <v>0.298345737482174i</v>
      </c>
      <c r="AO179" s="147" t="str">
        <f t="shared" si="93"/>
        <v>0.985230853837567-0.148069654516417i</v>
      </c>
      <c r="AP179" s="147" t="str">
        <f t="shared" si="94"/>
        <v>0.159304008287428-0.0489899042797268i</v>
      </c>
      <c r="AQ179" s="147" t="str">
        <f t="shared" si="95"/>
        <v>0.840695991712572+0.0489899042797268i</v>
      </c>
      <c r="AR179" s="147" t="str">
        <f t="shared" si="96"/>
        <v>0.987492416355565-0.0575441770046586i</v>
      </c>
    </row>
    <row r="180" spans="7:44">
      <c r="G180" s="585">
        <v>10116.5</v>
      </c>
      <c r="H180" s="573">
        <f t="shared" si="88"/>
        <v>10.1165</v>
      </c>
      <c r="I180" s="574">
        <f t="shared" si="66"/>
        <v>69.882736915745951</v>
      </c>
      <c r="J180" s="575">
        <f t="shared" si="67"/>
        <v>1.5564861527071026</v>
      </c>
      <c r="K180" s="575">
        <f t="shared" si="68"/>
        <v>1.0015632064657201</v>
      </c>
      <c r="L180" s="576">
        <f t="shared" si="69"/>
        <v>5.5877953309058877E-2</v>
      </c>
      <c r="M180" s="575">
        <f t="shared" si="70"/>
        <v>1.0024152314919912</v>
      </c>
      <c r="N180" s="576">
        <f t="shared" si="71"/>
        <v>-6.9431698386632684E-2</v>
      </c>
      <c r="O180" s="574">
        <f t="shared" si="72"/>
        <v>190691.53226497208</v>
      </c>
      <c r="P180" s="577">
        <f t="shared" si="73"/>
        <v>1.5707910827235521</v>
      </c>
      <c r="Q180" s="586">
        <f t="shared" si="100"/>
        <v>25.572225267214488</v>
      </c>
      <c r="R180" s="587">
        <f t="shared" si="101"/>
        <v>1.5316814265085359</v>
      </c>
      <c r="S180" s="574">
        <f t="shared" si="76"/>
        <v>1.0709394047523706</v>
      </c>
      <c r="T180" s="577">
        <f t="shared" si="77"/>
        <v>0.3660187161838116</v>
      </c>
      <c r="U180" s="578">
        <f t="shared" si="89"/>
        <v>0.98534267847974522</v>
      </c>
      <c r="V180" s="579">
        <f t="shared" si="90"/>
        <v>-0.20856427910975078</v>
      </c>
      <c r="W180" s="580">
        <f t="shared" si="78"/>
        <v>-7.6401127077997106</v>
      </c>
      <c r="X180" s="581">
        <f t="shared" si="79"/>
        <v>-125.11865880281644</v>
      </c>
      <c r="Y180" s="584">
        <f t="shared" si="80"/>
        <v>54.881341197183559</v>
      </c>
      <c r="AA180" s="147">
        <f t="shared" si="81"/>
        <v>10116.5</v>
      </c>
      <c r="AB180" s="147">
        <f t="shared" si="82"/>
        <v>102343572.25</v>
      </c>
      <c r="AD180" s="583">
        <f t="shared" si="83"/>
        <v>27.058894392352258</v>
      </c>
      <c r="AE180" s="584">
        <f t="shared" si="84"/>
        <v>-23.212145925980881</v>
      </c>
      <c r="AG180" s="583">
        <f t="shared" si="85"/>
        <v>24.844694016846148</v>
      </c>
      <c r="AH180" s="584">
        <f t="shared" si="86"/>
        <v>-78.006806949171647</v>
      </c>
      <c r="AJ180" s="147">
        <f t="shared" si="87"/>
        <v>0</v>
      </c>
      <c r="AK180" s="147">
        <f t="shared" si="99"/>
        <v>0</v>
      </c>
      <c r="AM180" s="147" t="str">
        <f t="shared" si="91"/>
        <v>0.044685245118317+0.295590458413919i</v>
      </c>
      <c r="AN180" s="147" t="str">
        <f t="shared" si="92"/>
        <v>0.300073536970986i</v>
      </c>
      <c r="AO180" s="147" t="str">
        <f t="shared" si="93"/>
        <v>0.985060066934525-0.148914314702258i</v>
      </c>
      <c r="AP180" s="147" t="str">
        <f t="shared" si="94"/>
        <v>0.159219125813614-0.0492650764023198i</v>
      </c>
      <c r="AQ180" s="147" t="str">
        <f t="shared" si="95"/>
        <v>0.840780874186386+0.0492650764023198i</v>
      </c>
      <c r="AR180" s="147" t="str">
        <f t="shared" si="96"/>
        <v>0.98735576177185-0.0578535484492691i</v>
      </c>
    </row>
    <row r="181" spans="7:44">
      <c r="G181" s="585">
        <v>10174.75</v>
      </c>
      <c r="H181" s="573">
        <f t="shared" si="88"/>
        <v>10.17475</v>
      </c>
      <c r="I181" s="574">
        <f t="shared" si="66"/>
        <v>70.285033982088365</v>
      </c>
      <c r="J181" s="575">
        <f t="shared" si="67"/>
        <v>1.5565680667414721</v>
      </c>
      <c r="K181" s="575">
        <f t="shared" si="68"/>
        <v>1.0015812456769024</v>
      </c>
      <c r="L181" s="576">
        <f t="shared" si="69"/>
        <v>5.619901902368149E-2</v>
      </c>
      <c r="M181" s="575">
        <f t="shared" si="70"/>
        <v>1.0024430909956483</v>
      </c>
      <c r="N181" s="576">
        <f t="shared" si="71"/>
        <v>-6.9830185905008016E-2</v>
      </c>
      <c r="O181" s="574">
        <f t="shared" si="72"/>
        <v>191789.51889613201</v>
      </c>
      <c r="P181" s="577">
        <f t="shared" si="73"/>
        <v>1.5707911127456318</v>
      </c>
      <c r="Q181" s="586">
        <f t="shared" si="100"/>
        <v>25.719243580884147</v>
      </c>
      <c r="R181" s="587">
        <f t="shared" si="101"/>
        <v>1.5319051312253003</v>
      </c>
      <c r="S181" s="574">
        <f t="shared" si="76"/>
        <v>1.0717312561150258</v>
      </c>
      <c r="T181" s="577">
        <f t="shared" si="77"/>
        <v>0.36794155367816733</v>
      </c>
      <c r="U181" s="578">
        <f t="shared" si="89"/>
        <v>0.98518137610378087</v>
      </c>
      <c r="V181" s="579">
        <f t="shared" si="90"/>
        <v>-0.20974819955871588</v>
      </c>
      <c r="W181" s="580">
        <f t="shared" si="78"/>
        <v>-7.6974917414557211</v>
      </c>
      <c r="X181" s="581">
        <f t="shared" si="79"/>
        <v>-125.29297657619689</v>
      </c>
      <c r="Y181" s="584">
        <f t="shared" si="80"/>
        <v>54.707023423803108</v>
      </c>
      <c r="AA181" s="147">
        <f t="shared" si="81"/>
        <v>10174.75</v>
      </c>
      <c r="AB181" s="147">
        <f t="shared" si="82"/>
        <v>103525537.5625</v>
      </c>
      <c r="AD181" s="583">
        <f t="shared" si="83"/>
        <v>27.052398604441521</v>
      </c>
      <c r="AE181" s="584">
        <f t="shared" si="84"/>
        <v>-23.309500783218915</v>
      </c>
      <c r="AG181" s="583">
        <f t="shared" si="85"/>
        <v>24.796654795533573</v>
      </c>
      <c r="AH181" s="584">
        <f t="shared" si="86"/>
        <v>-77.948102575149221</v>
      </c>
      <c r="AJ181" s="147">
        <f t="shared" si="87"/>
        <v>0</v>
      </c>
      <c r="AK181" s="147">
        <f t="shared" si="99"/>
        <v>0</v>
      </c>
      <c r="AM181" s="147" t="str">
        <f t="shared" si="91"/>
        <v>0.045197391853104+0.297240608726139i</v>
      </c>
      <c r="AN181" s="147" t="str">
        <f t="shared" si="92"/>
        <v>0.301801336459797i</v>
      </c>
      <c r="AO181" s="147" t="str">
        <f t="shared" si="93"/>
        <v>0.984888311671656-0.149758753169487i</v>
      </c>
      <c r="AP181" s="147" t="str">
        <f t="shared" si="94"/>
        <v>0.159133768024483-0.0495401014543565i</v>
      </c>
      <c r="AQ181" s="147" t="str">
        <f t="shared" si="95"/>
        <v>0.840866231975517+0.0495401014543565i</v>
      </c>
      <c r="AR181" s="147" t="str">
        <f t="shared" si="96"/>
        <v>0.987218407910351-0.0581625212497665i</v>
      </c>
    </row>
    <row r="182" spans="7:44">
      <c r="G182" s="585">
        <v>10233</v>
      </c>
      <c r="H182" s="573">
        <f t="shared" si="88"/>
        <v>10.233000000000001</v>
      </c>
      <c r="I182" s="574">
        <f t="shared" si="66"/>
        <v>70.687331514668941</v>
      </c>
      <c r="J182" s="575">
        <f t="shared" si="67"/>
        <v>1.5566490483939228</v>
      </c>
      <c r="K182" s="575">
        <f t="shared" si="68"/>
        <v>1.0015993881305523</v>
      </c>
      <c r="L182" s="576">
        <f t="shared" si="69"/>
        <v>5.652007314016156E-2</v>
      </c>
      <c r="M182" s="575">
        <f t="shared" si="70"/>
        <v>1.0024711096706895</v>
      </c>
      <c r="N182" s="576">
        <f t="shared" si="71"/>
        <v>-7.0228651211513365E-2</v>
      </c>
      <c r="O182" s="574">
        <f t="shared" si="72"/>
        <v>192887.5055272922</v>
      </c>
      <c r="P182" s="577">
        <f t="shared" si="73"/>
        <v>1.570791142425918</v>
      </c>
      <c r="Q182" s="586">
        <f t="shared" si="100"/>
        <v>25.866263167011379</v>
      </c>
      <c r="R182" s="587">
        <f t="shared" si="101"/>
        <v>1.5321262929513846</v>
      </c>
      <c r="S182" s="574">
        <f t="shared" si="76"/>
        <v>1.0725270641343485</v>
      </c>
      <c r="T182" s="577">
        <f t="shared" si="77"/>
        <v>0.36986154479703842</v>
      </c>
      <c r="U182" s="578">
        <f t="shared" si="89"/>
        <v>0.98501922310697265</v>
      </c>
      <c r="V182" s="579">
        <f t="shared" si="90"/>
        <v>-0.2109318343858525</v>
      </c>
      <c r="W182" s="580">
        <f t="shared" si="78"/>
        <v>-7.7546177424823179</v>
      </c>
      <c r="X182" s="581">
        <f t="shared" si="79"/>
        <v>-125.46720655272915</v>
      </c>
      <c r="Y182" s="584">
        <f t="shared" si="80"/>
        <v>54.532793447270848</v>
      </c>
      <c r="AA182" s="147">
        <f t="shared" si="81"/>
        <v>10233</v>
      </c>
      <c r="AB182" s="147">
        <f t="shared" si="82"/>
        <v>104714289</v>
      </c>
      <c r="AD182" s="583">
        <f t="shared" si="83"/>
        <v>27.045876804914979</v>
      </c>
      <c r="AE182" s="584">
        <f t="shared" si="84"/>
        <v>-23.406838238204724</v>
      </c>
      <c r="AG182" s="583">
        <f t="shared" si="85"/>
        <v>24.748910085678183</v>
      </c>
      <c r="AH182" s="584">
        <f t="shared" si="86"/>
        <v>-77.889360536381432</v>
      </c>
      <c r="AJ182" s="147">
        <f t="shared" si="87"/>
        <v>0</v>
      </c>
      <c r="AK182" s="147">
        <f t="shared" si="99"/>
        <v>0</v>
      </c>
      <c r="AM182" s="147" t="str">
        <f t="shared" si="91"/>
        <v>0.045712388950885+0.298889871688843i</v>
      </c>
      <c r="AN182" s="147" t="str">
        <f t="shared" si="92"/>
        <v>0.303529135948608i</v>
      </c>
      <c r="AO182" s="147" t="str">
        <f t="shared" si="93"/>
        <v>0.98471558835607-0.150602968667314i</v>
      </c>
      <c r="AP182" s="147" t="str">
        <f t="shared" si="94"/>
        <v>0.159047935174852-0.0498149786148072i</v>
      </c>
      <c r="AQ182" s="147" t="str">
        <f t="shared" si="95"/>
        <v>0.840952064825148+0.0498149786148072i</v>
      </c>
      <c r="AR182" s="147" t="str">
        <f t="shared" si="96"/>
        <v>0.987080356237411-0.0584710935305054i</v>
      </c>
    </row>
    <row r="183" spans="7:44">
      <c r="G183" s="585">
        <v>10292.5</v>
      </c>
      <c r="H183" s="573">
        <f t="shared" si="88"/>
        <v>10.2925</v>
      </c>
      <c r="I183" s="574">
        <f t="shared" si="66"/>
        <v>71.098262514634655</v>
      </c>
      <c r="J183" s="575">
        <f t="shared" si="67"/>
        <v>1.5567308216972509</v>
      </c>
      <c r="K183" s="575">
        <f t="shared" si="68"/>
        <v>1.0016180264909031</v>
      </c>
      <c r="L183" s="576">
        <f t="shared" si="69"/>
        <v>5.6848004787649904E-2</v>
      </c>
      <c r="M183" s="575">
        <f t="shared" si="70"/>
        <v>1.00249989392255</v>
      </c>
      <c r="N183" s="576">
        <f t="shared" si="71"/>
        <v>-7.0635644214083915E-2</v>
      </c>
      <c r="O183" s="574">
        <f t="shared" si="72"/>
        <v>194009.05410332722</v>
      </c>
      <c r="P183" s="577">
        <f t="shared" si="73"/>
        <v>1.5707911723962804</v>
      </c>
      <c r="Q183" s="586">
        <f t="shared" si="100"/>
        <v>26.016438971158305</v>
      </c>
      <c r="R183" s="587">
        <f t="shared" si="101"/>
        <v>1.5323496200103679</v>
      </c>
      <c r="S183" s="574">
        <f t="shared" si="76"/>
        <v>1.0733440253555713</v>
      </c>
      <c r="T183" s="577">
        <f t="shared" si="77"/>
        <v>0.37181979067092286</v>
      </c>
      <c r="U183" s="578">
        <f t="shared" si="89"/>
        <v>0.98485271352006576</v>
      </c>
      <c r="V183" s="579">
        <f t="shared" si="90"/>
        <v>-0.21214057271715639</v>
      </c>
      <c r="W183" s="580">
        <f t="shared" si="78"/>
        <v>-7.8127116261076566</v>
      </c>
      <c r="X183" s="581">
        <f t="shared" si="79"/>
        <v>-125.6450825480451</v>
      </c>
      <c r="Y183" s="584">
        <f t="shared" si="80"/>
        <v>54.354917451954904</v>
      </c>
      <c r="AA183" s="147">
        <f t="shared" si="81"/>
        <v>10292.5</v>
      </c>
      <c r="AB183" s="147">
        <f t="shared" si="82"/>
        <v>105935556.25</v>
      </c>
      <c r="AD183" s="583">
        <f t="shared" si="83"/>
        <v>27.039188308372761</v>
      </c>
      <c r="AE183" s="584">
        <f t="shared" si="84"/>
        <v>-23.506243481385265</v>
      </c>
      <c r="AG183" s="583">
        <f t="shared" si="85"/>
        <v>24.700441506561319</v>
      </c>
      <c r="AH183" s="584">
        <f t="shared" si="86"/>
        <v>-77.829320078519757</v>
      </c>
      <c r="AJ183" s="147">
        <f t="shared" si="87"/>
        <v>0</v>
      </c>
      <c r="AK183" s="147">
        <f t="shared" si="99"/>
        <v>0</v>
      </c>
      <c r="AM183" s="147" t="str">
        <f t="shared" si="91"/>
        <v>0.046241378659044+0.30057360532455i</v>
      </c>
      <c r="AN183" s="147" t="str">
        <f t="shared" si="92"/>
        <v>0.305294012679669i</v>
      </c>
      <c r="AO183" s="147" t="str">
        <f t="shared" si="93"/>
        <v>0.984538159416602-0.151465068879562i</v>
      </c>
      <c r="AP183" s="147" t="str">
        <f t="shared" si="94"/>
        <v>0.158959770223493-0.050095600887425i</v>
      </c>
      <c r="AQ183" s="147" t="str">
        <f t="shared" si="95"/>
        <v>0.841040229776507+0.050095600887425i</v>
      </c>
      <c r="AR183" s="147" t="str">
        <f t="shared" si="96"/>
        <v>0.986938623179432-0.0587858720864278i</v>
      </c>
    </row>
    <row r="184" spans="7:44">
      <c r="G184" s="585">
        <v>10352</v>
      </c>
      <c r="H184" s="573">
        <f t="shared" si="88"/>
        <v>10.352</v>
      </c>
      <c r="I184" s="574">
        <f t="shared" si="66"/>
        <v>71.509193984561321</v>
      </c>
      <c r="J184" s="575">
        <f t="shared" si="67"/>
        <v>1.55681165517165</v>
      </c>
      <c r="K184" s="575">
        <f t="shared" si="68"/>
        <v>1.0016367725604052</v>
      </c>
      <c r="L184" s="576">
        <f t="shared" si="69"/>
        <v>5.7175924195633436E-2</v>
      </c>
      <c r="M184" s="575">
        <f t="shared" si="70"/>
        <v>1.0025288442222535</v>
      </c>
      <c r="N184" s="576">
        <f t="shared" si="71"/>
        <v>-7.1042613778366459E-2</v>
      </c>
      <c r="O184" s="574">
        <f t="shared" si="72"/>
        <v>195130.6026793624</v>
      </c>
      <c r="P184" s="577">
        <f t="shared" si="73"/>
        <v>1.5707912020221224</v>
      </c>
      <c r="Q184" s="586">
        <f t="shared" si="100"/>
        <v>26.166616057980388</v>
      </c>
      <c r="R184" s="587">
        <f t="shared" si="101"/>
        <v>1.5325703836148816</v>
      </c>
      <c r="S184" s="574">
        <f t="shared" si="76"/>
        <v>1.0741650962879474</v>
      </c>
      <c r="T184" s="577">
        <f t="shared" si="77"/>
        <v>0.3737750503429581</v>
      </c>
      <c r="U184" s="578">
        <f t="shared" si="89"/>
        <v>0.98468531902582368</v>
      </c>
      <c r="V184" s="579">
        <f t="shared" si="90"/>
        <v>-0.21334900999041678</v>
      </c>
      <c r="W184" s="580">
        <f t="shared" si="78"/>
        <v>-7.8705480103473153</v>
      </c>
      <c r="X184" s="581">
        <f t="shared" si="79"/>
        <v>-125.82286256275133</v>
      </c>
      <c r="Y184" s="584">
        <f t="shared" si="80"/>
        <v>54.177137437248675</v>
      </c>
      <c r="AA184" s="147">
        <f t="shared" si="81"/>
        <v>10352</v>
      </c>
      <c r="AB184" s="147">
        <f t="shared" si="82"/>
        <v>107163904</v>
      </c>
      <c r="AD184" s="583">
        <f t="shared" si="83"/>
        <v>27.032472897269258</v>
      </c>
      <c r="AE184" s="584">
        <f t="shared" si="84"/>
        <v>-23.605624483185551</v>
      </c>
      <c r="AG184" s="583">
        <f t="shared" si="85"/>
        <v>24.652273449454157</v>
      </c>
      <c r="AH184" s="584">
        <f t="shared" si="86"/>
        <v>-77.769242380139232</v>
      </c>
      <c r="AJ184" s="147">
        <f t="shared" si="87"/>
        <v>0</v>
      </c>
      <c r="AK184" s="147">
        <f t="shared" si="99"/>
        <v>0</v>
      </c>
      <c r="AM184" s="147" t="str">
        <f t="shared" si="91"/>
        <v>0.046773339124129+0.302256402736877i</v>
      </c>
      <c r="AN184" s="147" t="str">
        <f t="shared" si="92"/>
        <v>0.30705888941073i</v>
      </c>
      <c r="AO184" s="147" t="str">
        <f t="shared" si="93"/>
        <v>0.984359721084547-0.152326933813545i</v>
      </c>
      <c r="AP184" s="147" t="str">
        <f t="shared" si="94"/>
        <v>0.158871110145979-0.0503760671228128i</v>
      </c>
      <c r="AQ184" s="147" t="str">
        <f t="shared" si="95"/>
        <v>0.841128889854021+0.0503760671228128i</v>
      </c>
      <c r="AR184" s="147" t="str">
        <f t="shared" si="96"/>
        <v>0.98679616515176-0.0591002288137395i</v>
      </c>
    </row>
    <row r="185" spans="7:44">
      <c r="G185" s="585">
        <v>10411.5</v>
      </c>
      <c r="H185" s="573">
        <f t="shared" si="88"/>
        <v>10.4115</v>
      </c>
      <c r="I185" s="574">
        <f t="shared" si="66"/>
        <v>71.920125916393275</v>
      </c>
      <c r="J185" s="575">
        <f t="shared" si="67"/>
        <v>1.5568915649258313</v>
      </c>
      <c r="K185" s="575">
        <f t="shared" si="68"/>
        <v>1.0016556263330112</v>
      </c>
      <c r="L185" s="576">
        <f t="shared" si="69"/>
        <v>5.7503831294278218E-2</v>
      </c>
      <c r="M185" s="575">
        <f t="shared" si="70"/>
        <v>1.0025579605554156</v>
      </c>
      <c r="N185" s="576">
        <f t="shared" si="71"/>
        <v>-7.1449559771589247E-2</v>
      </c>
      <c r="O185" s="574">
        <f t="shared" si="72"/>
        <v>196252.15125539777</v>
      </c>
      <c r="P185" s="577">
        <f t="shared" si="73"/>
        <v>1.5707912313093511</v>
      </c>
      <c r="Q185" s="586">
        <f t="shared" si="100"/>
        <v>26.316794405518831</v>
      </c>
      <c r="R185" s="587">
        <f t="shared" si="101"/>
        <v>1.5327886276287352</v>
      </c>
      <c r="S185" s="574">
        <f t="shared" si="76"/>
        <v>1.0749902675145613</v>
      </c>
      <c r="T185" s="577">
        <f t="shared" si="77"/>
        <v>0.37572731572277168</v>
      </c>
      <c r="U185" s="578">
        <f t="shared" si="89"/>
        <v>0.98451704095310655</v>
      </c>
      <c r="V185" s="579">
        <f t="shared" si="90"/>
        <v>-0.21455714467131626</v>
      </c>
      <c r="W185" s="580">
        <f t="shared" si="78"/>
        <v>-7.9281300959629739</v>
      </c>
      <c r="X185" s="581">
        <f t="shared" si="79"/>
        <v>-126.00054445187611</v>
      </c>
      <c r="Y185" s="584">
        <f t="shared" si="80"/>
        <v>53.99945554812389</v>
      </c>
      <c r="AA185" s="147">
        <f t="shared" si="81"/>
        <v>10411.5</v>
      </c>
      <c r="AB185" s="147">
        <f t="shared" si="82"/>
        <v>108399332.25</v>
      </c>
      <c r="AD185" s="583">
        <f t="shared" si="83"/>
        <v>27.02573068692584</v>
      </c>
      <c r="AE185" s="584">
        <f t="shared" si="84"/>
        <v>-23.704978267188693</v>
      </c>
      <c r="AG185" s="583">
        <f t="shared" si="85"/>
        <v>24.604402582957029</v>
      </c>
      <c r="AH185" s="584">
        <f t="shared" si="86"/>
        <v>-77.709128448504813</v>
      </c>
      <c r="AJ185" s="147">
        <f t="shared" si="87"/>
        <v>0</v>
      </c>
      <c r="AK185" s="147">
        <f t="shared" si="99"/>
        <v>0</v>
      </c>
      <c r="AM185" s="147" t="str">
        <f t="shared" si="91"/>
        <v>0.047308268689196+0.303938258684264i</v>
      </c>
      <c r="AN185" s="147" t="str">
        <f t="shared" si="92"/>
        <v>0.30882376614179i</v>
      </c>
      <c r="AO185" s="147" t="str">
        <f t="shared" si="93"/>
        <v>0.984180273692786-0.153188562137654i</v>
      </c>
      <c r="AP185" s="147" t="str">
        <f t="shared" si="94"/>
        <v>0.158781955218467-0.0506563764473773i</v>
      </c>
      <c r="AQ185" s="147" t="str">
        <f t="shared" si="95"/>
        <v>0.841218044781533+0.0506563764473773i</v>
      </c>
      <c r="AR185" s="147" t="str">
        <f t="shared" si="96"/>
        <v>0.98665298373669-0.0594141617350515i</v>
      </c>
    </row>
    <row r="186" spans="7:44">
      <c r="G186" s="585">
        <v>10471</v>
      </c>
      <c r="H186" s="573">
        <f t="shared" si="88"/>
        <v>10.471</v>
      </c>
      <c r="I186" s="574">
        <f t="shared" si="66"/>
        <v>72.331058302257873</v>
      </c>
      <c r="J186" s="575">
        <f t="shared" si="67"/>
        <v>1.5569705667024814</v>
      </c>
      <c r="K186" s="575">
        <f t="shared" si="68"/>
        <v>1.0016745878026392</v>
      </c>
      <c r="L186" s="576">
        <f t="shared" si="69"/>
        <v>5.7831726013766183E-2</v>
      </c>
      <c r="M186" s="575">
        <f t="shared" si="70"/>
        <v>1.0025872429075711</v>
      </c>
      <c r="N186" s="576">
        <f t="shared" si="71"/>
        <v>-7.1856482061027183E-2</v>
      </c>
      <c r="O186" s="574">
        <f t="shared" si="72"/>
        <v>197373.69983143327</v>
      </c>
      <c r="P186" s="577">
        <f t="shared" si="73"/>
        <v>1.5707912602637384</v>
      </c>
      <c r="Q186" s="586">
        <f t="shared" si="100"/>
        <v>26.466973992313036</v>
      </c>
      <c r="R186" s="587">
        <f t="shared" si="101"/>
        <v>1.5330043949211389</v>
      </c>
      <c r="S186" s="574">
        <f t="shared" si="76"/>
        <v>1.075819529600434</v>
      </c>
      <c r="T186" s="577">
        <f t="shared" si="77"/>
        <v>0.37767657883604866</v>
      </c>
      <c r="U186" s="578">
        <f t="shared" si="89"/>
        <v>0.98434788063659395</v>
      </c>
      <c r="V186" s="579">
        <f t="shared" si="90"/>
        <v>-0.21576497522889704</v>
      </c>
      <c r="W186" s="580">
        <f t="shared" si="78"/>
        <v>-7.9854610260063295</v>
      </c>
      <c r="X186" s="581">
        <f t="shared" si="79"/>
        <v>-126.1781261132985</v>
      </c>
      <c r="Y186" s="584">
        <f t="shared" si="80"/>
        <v>53.821873886701496</v>
      </c>
      <c r="AA186" s="147">
        <f t="shared" si="81"/>
        <v>10471</v>
      </c>
      <c r="AB186" s="147">
        <f t="shared" si="82"/>
        <v>109641841</v>
      </c>
      <c r="AD186" s="583">
        <f t="shared" si="83"/>
        <v>27.018961793568202</v>
      </c>
      <c r="AE186" s="584">
        <f t="shared" si="84"/>
        <v>-23.80430192060598</v>
      </c>
      <c r="AG186" s="583">
        <f t="shared" si="85"/>
        <v>24.556825632404689</v>
      </c>
      <c r="AH186" s="584">
        <f t="shared" si="86"/>
        <v>-77.648979269719177</v>
      </c>
      <c r="AJ186" s="147">
        <f t="shared" si="87"/>
        <v>0</v>
      </c>
      <c r="AK186" s="147">
        <f t="shared" si="99"/>
        <v>0</v>
      </c>
      <c r="AM186" s="147" t="str">
        <f t="shared" si="91"/>
        <v>0.047846165688052+0.305619167928087i</v>
      </c>
      <c r="AN186" s="147" t="str">
        <f t="shared" si="92"/>
        <v>0.310588642872851i</v>
      </c>
      <c r="AO186" s="147" t="str">
        <f t="shared" si="93"/>
        <v>0.983999817576078-0.154049952520767i</v>
      </c>
      <c r="AP186" s="147" t="str">
        <f t="shared" si="94"/>
        <v>0.158692305718658-0.0509365279880145i</v>
      </c>
      <c r="AQ186" s="147" t="str">
        <f t="shared" si="95"/>
        <v>0.841307694281342+0.0509365279880145i</v>
      </c>
      <c r="AR186" s="147" t="str">
        <f t="shared" si="96"/>
        <v>0.986509080523009-0.0597276688803072i</v>
      </c>
    </row>
    <row r="187" spans="7:44">
      <c r="G187" s="585">
        <v>10532</v>
      </c>
      <c r="H187" s="573">
        <f t="shared" si="88"/>
        <v>10.532</v>
      </c>
      <c r="I187" s="574">
        <f t="shared" si="66"/>
        <v>72.752350791394377</v>
      </c>
      <c r="J187" s="575">
        <f t="shared" si="67"/>
        <v>1.5570506336249024</v>
      </c>
      <c r="K187" s="575">
        <f t="shared" si="68"/>
        <v>1.0016941390899294</v>
      </c>
      <c r="L187" s="576">
        <f t="shared" si="69"/>
        <v>5.8167874062403875E-2</v>
      </c>
      <c r="M187" s="575">
        <f t="shared" si="70"/>
        <v>1.0026174358048354</v>
      </c>
      <c r="N187" s="576">
        <f t="shared" si="71"/>
        <v>-7.2273638149003255E-2</v>
      </c>
      <c r="O187" s="574">
        <f t="shared" si="72"/>
        <v>198523.52274131859</v>
      </c>
      <c r="P187" s="577">
        <f t="shared" si="73"/>
        <v>1.5707912896084404</v>
      </c>
      <c r="Q187" s="586">
        <f t="shared" si="100"/>
        <v>26.620940883666453</v>
      </c>
      <c r="R187" s="587">
        <f t="shared" si="101"/>
        <v>1.5332230744189081</v>
      </c>
      <c r="S187" s="574">
        <f t="shared" si="76"/>
        <v>1.0766739344131186</v>
      </c>
      <c r="T187" s="577">
        <f t="shared" si="77"/>
        <v>0.37967185805853637</v>
      </c>
      <c r="U187" s="578">
        <f t="shared" si="89"/>
        <v>0.9841735412912852</v>
      </c>
      <c r="V187" s="579">
        <f t="shared" si="90"/>
        <v>-0.21700293797676981</v>
      </c>
      <c r="W187" s="580">
        <f t="shared" si="78"/>
        <v>-8.0439797716803305</v>
      </c>
      <c r="X187" s="581">
        <f t="shared" si="79"/>
        <v>-126.36007841708603</v>
      </c>
      <c r="Y187" s="584">
        <f t="shared" si="80"/>
        <v>53.639921582913971</v>
      </c>
      <c r="AA187" s="147">
        <f t="shared" si="81"/>
        <v>10532</v>
      </c>
      <c r="AB187" s="147">
        <f t="shared" si="82"/>
        <v>110923024</v>
      </c>
      <c r="AD187" s="583">
        <f t="shared" si="83"/>
        <v>27.011994677911446</v>
      </c>
      <c r="AE187" s="584">
        <f t="shared" si="84"/>
        <v>-23.90609526816035</v>
      </c>
      <c r="AG187" s="583">
        <f t="shared" si="85"/>
        <v>24.508351017044269</v>
      </c>
      <c r="AH187" s="584">
        <f t="shared" si="86"/>
        <v>-77.587278144495187</v>
      </c>
      <c r="AJ187" s="147">
        <f t="shared" si="87"/>
        <v>0</v>
      </c>
      <c r="AK187" s="147">
        <f t="shared" si="99"/>
        <v>0</v>
      </c>
      <c r="AM187" s="147" t="str">
        <f t="shared" si="91"/>
        <v>0.048400701952095+0.307341464750095i</v>
      </c>
      <c r="AN187" s="147" t="str">
        <f t="shared" si="92"/>
        <v>0.31239801229461i</v>
      </c>
      <c r="AO187" s="147" t="str">
        <f t="shared" si="93"/>
        <v>0.983813765307359-0.154932810220477i</v>
      </c>
      <c r="AP187" s="147" t="str">
        <f t="shared" si="94"/>
        <v>0.158599883007984-0.0512235774583492i</v>
      </c>
      <c r="AQ187" s="147" t="str">
        <f t="shared" si="95"/>
        <v>0.841400116992016+0.0512235774583492i</v>
      </c>
      <c r="AR187" s="147" t="str">
        <f t="shared" si="96"/>
        <v>0.986360801844359-0.0600486355002889i</v>
      </c>
    </row>
    <row r="188" spans="7:44">
      <c r="G188" s="585">
        <v>10593</v>
      </c>
      <c r="H188" s="573">
        <f t="shared" si="88"/>
        <v>10.593</v>
      </c>
      <c r="I188" s="574">
        <f t="shared" si="66"/>
        <v>73.17364374155477</v>
      </c>
      <c r="J188" s="575">
        <f t="shared" si="67"/>
        <v>1.5571297785866323</v>
      </c>
      <c r="K188" s="575">
        <f t="shared" si="68"/>
        <v>1.0017138035597346</v>
      </c>
      <c r="L188" s="576">
        <f t="shared" si="69"/>
        <v>5.8504008951294074E-2</v>
      </c>
      <c r="M188" s="575">
        <f t="shared" si="70"/>
        <v>1.00264780316626</v>
      </c>
      <c r="N188" s="576">
        <f t="shared" si="71"/>
        <v>-7.269076904061228E-2</v>
      </c>
      <c r="O188" s="574">
        <f t="shared" si="72"/>
        <v>199673.34565120412</v>
      </c>
      <c r="P188" s="577">
        <f t="shared" si="73"/>
        <v>1.5707913186151781</v>
      </c>
      <c r="Q188" s="586">
        <f t="shared" si="100"/>
        <v>26.774909033411532</v>
      </c>
      <c r="R188" s="587">
        <f t="shared" si="101"/>
        <v>1.5334392389097693</v>
      </c>
      <c r="S188" s="574">
        <f t="shared" si="76"/>
        <v>1.0775326188070498</v>
      </c>
      <c r="T188" s="577">
        <f t="shared" si="77"/>
        <v>0.38166396513034784</v>
      </c>
      <c r="U188" s="578">
        <f t="shared" si="89"/>
        <v>0.98399827751823943</v>
      </c>
      <c r="V188" s="579">
        <f t="shared" si="90"/>
        <v>-0.21824057782616674</v>
      </c>
      <c r="W188" s="580">
        <f t="shared" si="78"/>
        <v>-8.1022410487977652</v>
      </c>
      <c r="X188" s="581">
        <f t="shared" si="79"/>
        <v>-126.54192103512122</v>
      </c>
      <c r="Y188" s="584">
        <f t="shared" si="80"/>
        <v>53.45807896487878</v>
      </c>
      <c r="AA188" s="147">
        <f t="shared" si="81"/>
        <v>10593</v>
      </c>
      <c r="AB188" s="147">
        <f t="shared" si="82"/>
        <v>112211649</v>
      </c>
      <c r="AD188" s="583">
        <f t="shared" si="83"/>
        <v>27.00499976707998</v>
      </c>
      <c r="AE188" s="584">
        <f t="shared" si="84"/>
        <v>-24.007850944786288</v>
      </c>
      <c r="AG188" s="583">
        <f t="shared" si="85"/>
        <v>24.460178530631389</v>
      </c>
      <c r="AH188" s="584">
        <f t="shared" si="86"/>
        <v>-77.525542005887061</v>
      </c>
      <c r="AJ188" s="147">
        <f t="shared" si="87"/>
        <v>0</v>
      </c>
      <c r="AK188" s="147">
        <f t="shared" si="99"/>
        <v>0</v>
      </c>
      <c r="AM188" s="147" t="str">
        <f t="shared" si="91"/>
        <v>0.048958353577917+0.309062755392451i</v>
      </c>
      <c r="AN188" s="147" t="str">
        <f t="shared" si="92"/>
        <v>0.31420738171637i</v>
      </c>
      <c r="AO188" s="147" t="str">
        <f t="shared" si="93"/>
        <v>0.983626653531129-0.155815414999101i</v>
      </c>
      <c r="AP188" s="147" t="str">
        <f t="shared" si="94"/>
        <v>0.158506941070347-0.0515104592320752i</v>
      </c>
      <c r="AQ188" s="147" t="str">
        <f t="shared" si="95"/>
        <v>0.841493058929653+0.0515104592320752i</v>
      </c>
      <c r="AR188" s="147" t="str">
        <f t="shared" si="96"/>
        <v>0.986211767917814-0.0603691504361775i</v>
      </c>
    </row>
    <row r="189" spans="7:44">
      <c r="G189" s="585">
        <v>10654</v>
      </c>
      <c r="H189" s="573">
        <f t="shared" si="88"/>
        <v>10.654</v>
      </c>
      <c r="I189" s="574">
        <f t="shared" si="66"/>
        <v>73.594937144821685</v>
      </c>
      <c r="J189" s="575">
        <f t="shared" si="67"/>
        <v>1.5572080174199325</v>
      </c>
      <c r="K189" s="575">
        <f t="shared" si="68"/>
        <v>1.0017335812053891</v>
      </c>
      <c r="L189" s="576">
        <f t="shared" si="69"/>
        <v>5.8840130605256488E-2</v>
      </c>
      <c r="M189" s="575">
        <f t="shared" si="70"/>
        <v>1.0026783449759931</v>
      </c>
      <c r="N189" s="576">
        <f t="shared" si="71"/>
        <v>-7.310787459299016E-2</v>
      </c>
      <c r="O189" s="574">
        <f t="shared" si="72"/>
        <v>200823.16856108975</v>
      </c>
      <c r="P189" s="577">
        <f t="shared" si="73"/>
        <v>1.570791347289757</v>
      </c>
      <c r="Q189" s="586">
        <f t="shared" si="100"/>
        <v>26.928878419963382</v>
      </c>
      <c r="R189" s="587">
        <f t="shared" si="101"/>
        <v>1.5336529315129888</v>
      </c>
      <c r="S189" s="574">
        <f t="shared" si="76"/>
        <v>1.0783955725592362</v>
      </c>
      <c r="T189" s="577">
        <f t="shared" si="77"/>
        <v>0.38365289183667994</v>
      </c>
      <c r="U189" s="578">
        <f t="shared" si="89"/>
        <v>0.98382209077449323</v>
      </c>
      <c r="V189" s="579">
        <f t="shared" si="90"/>
        <v>-0.21947789313848601</v>
      </c>
      <c r="W189" s="580">
        <f t="shared" si="78"/>
        <v>-8.1602480638319292</v>
      </c>
      <c r="X189" s="581">
        <f t="shared" si="79"/>
        <v>-126.72365183586994</v>
      </c>
      <c r="Y189" s="584">
        <f t="shared" si="80"/>
        <v>53.276348164130056</v>
      </c>
      <c r="AA189" s="147">
        <f t="shared" si="81"/>
        <v>10654</v>
      </c>
      <c r="AB189" s="147">
        <f t="shared" si="82"/>
        <v>113507716</v>
      </c>
      <c r="AD189" s="583">
        <f t="shared" si="83"/>
        <v>26.997977189040157</v>
      </c>
      <c r="AE189" s="584">
        <f t="shared" si="84"/>
        <v>-24.109566009590921</v>
      </c>
      <c r="AG189" s="583">
        <f t="shared" si="85"/>
        <v>24.412304821914116</v>
      </c>
      <c r="AH189" s="584">
        <f t="shared" si="86"/>
        <v>-77.463771851023523</v>
      </c>
      <c r="AJ189" s="147">
        <f t="shared" si="87"/>
        <v>0</v>
      </c>
      <c r="AK189" s="147">
        <f t="shared" si="99"/>
        <v>0</v>
      </c>
      <c r="AM189" s="147" t="str">
        <f t="shared" si="91"/>
        <v>0.049519118739869+0.310783034219961i</v>
      </c>
      <c r="AN189" s="147" t="str">
        <f t="shared" si="92"/>
        <v>0.316016751138129i</v>
      </c>
      <c r="AO189" s="147" t="str">
        <f t="shared" si="93"/>
        <v>0.983438482614232-0.156697765423911i</v>
      </c>
      <c r="AP189" s="147" t="str">
        <f t="shared" si="94"/>
        <v>0.158413480210022-0.0517971723699935i</v>
      </c>
      <c r="AQ189" s="147" t="str">
        <f t="shared" si="95"/>
        <v>0.841586519789978+0.0517971723699935i</v>
      </c>
      <c r="AR189" s="147" t="str">
        <f t="shared" si="96"/>
        <v>0.986061980476357-0.0606892115892934i</v>
      </c>
    </row>
    <row r="190" spans="7:44">
      <c r="G190" s="585">
        <v>10715</v>
      </c>
      <c r="H190" s="573">
        <f t="shared" si="88"/>
        <v>10.715</v>
      </c>
      <c r="I190" s="574">
        <f t="shared" si="66"/>
        <v>74.016230993458024</v>
      </c>
      <c r="J190" s="575">
        <f t="shared" si="67"/>
        <v>1.5572853655966459</v>
      </c>
      <c r="K190" s="575">
        <f t="shared" si="68"/>
        <v>1.0017534720201899</v>
      </c>
      <c r="L190" s="576">
        <f t="shared" si="69"/>
        <v>5.9176238949128747E-2</v>
      </c>
      <c r="M190" s="575">
        <f t="shared" si="70"/>
        <v>1.0027090612180942</v>
      </c>
      <c r="N190" s="576">
        <f t="shared" si="71"/>
        <v>-7.3524954663325426E-2</v>
      </c>
      <c r="O190" s="574">
        <f t="shared" si="72"/>
        <v>201972.9914709756</v>
      </c>
      <c r="P190" s="577">
        <f t="shared" si="73"/>
        <v>1.5707913756378498</v>
      </c>
      <c r="Q190" s="586">
        <f t="shared" si="100"/>
        <v>27.082849022227812</v>
      </c>
      <c r="R190" s="587">
        <f t="shared" si="101"/>
        <v>1.5338641943681866</v>
      </c>
      <c r="S190" s="574">
        <f t="shared" si="76"/>
        <v>1.0792627854286354</v>
      </c>
      <c r="T190" s="577">
        <f t="shared" si="77"/>
        <v>0.38563863008958521</v>
      </c>
      <c r="U190" s="578">
        <f t="shared" si="89"/>
        <v>0.98364498252339938</v>
      </c>
      <c r="V190" s="579">
        <f t="shared" si="90"/>
        <v>-0.22071488227890168</v>
      </c>
      <c r="W190" s="580">
        <f t="shared" si="78"/>
        <v>-8.2180039651674548</v>
      </c>
      <c r="X190" s="581">
        <f t="shared" si="79"/>
        <v>-126.90526873075622</v>
      </c>
      <c r="Y190" s="584">
        <f t="shared" si="80"/>
        <v>53.094731269243781</v>
      </c>
      <c r="AA190" s="147">
        <f t="shared" si="81"/>
        <v>10715</v>
      </c>
      <c r="AB190" s="147">
        <f t="shared" si="82"/>
        <v>114811225</v>
      </c>
      <c r="AD190" s="583">
        <f t="shared" si="83"/>
        <v>26.990927072603785</v>
      </c>
      <c r="AE190" s="584">
        <f t="shared" si="84"/>
        <v>-24.211237585071611</v>
      </c>
      <c r="AG190" s="583">
        <f t="shared" si="85"/>
        <v>24.364726596805969</v>
      </c>
      <c r="AH190" s="584">
        <f t="shared" si="86"/>
        <v>-77.401968656168492</v>
      </c>
      <c r="AJ190" s="147">
        <f t="shared" si="87"/>
        <v>0</v>
      </c>
      <c r="AK190" s="147">
        <f t="shared" si="99"/>
        <v>0</v>
      </c>
      <c r="AM190" s="147" t="str">
        <f t="shared" si="91"/>
        <v>0.05008299560211+0.312502295600751i</v>
      </c>
      <c r="AN190" s="147" t="str">
        <f t="shared" si="92"/>
        <v>0.317826120559889i</v>
      </c>
      <c r="AO190" s="147" t="str">
        <f t="shared" si="93"/>
        <v>0.983249252925595-0.157579860062737i</v>
      </c>
      <c r="AP190" s="147" t="str">
        <f t="shared" si="94"/>
        <v>0.158319500732982-0.0520837159334585i</v>
      </c>
      <c r="AQ190" s="147" t="str">
        <f t="shared" si="95"/>
        <v>0.841680499267018+0.0520837159334585i</v>
      </c>
      <c r="AR190" s="147" t="str">
        <f t="shared" si="96"/>
        <v>0.985911441259962-0.0610088168691669i</v>
      </c>
    </row>
    <row r="191" spans="7:44">
      <c r="G191" s="585">
        <v>10777.5</v>
      </c>
      <c r="H191" s="573">
        <f t="shared" si="88"/>
        <v>10.7775</v>
      </c>
      <c r="I191" s="574">
        <f t="shared" si="66"/>
        <v>74.44788498092214</v>
      </c>
      <c r="J191" s="575">
        <f t="shared" si="67"/>
        <v>1.5573637078100664</v>
      </c>
      <c r="K191" s="575">
        <f t="shared" si="68"/>
        <v>1.0017739693239713</v>
      </c>
      <c r="L191" s="576">
        <f t="shared" si="69"/>
        <v>5.9520598368638697E-2</v>
      </c>
      <c r="M191" s="575">
        <f t="shared" si="70"/>
        <v>1.0027407136799473</v>
      </c>
      <c r="N191" s="576">
        <f t="shared" si="71"/>
        <v>-7.3952264222025069E-2</v>
      </c>
      <c r="O191" s="574">
        <f t="shared" si="72"/>
        <v>203151.08871471125</v>
      </c>
      <c r="P191" s="577">
        <f t="shared" si="73"/>
        <v>1.5707914043501963</v>
      </c>
      <c r="Q191" s="586">
        <f t="shared" si="100"/>
        <v>27.240607026208611</v>
      </c>
      <c r="R191" s="587">
        <f t="shared" si="101"/>
        <v>1.5340781751706176</v>
      </c>
      <c r="S191" s="574">
        <f t="shared" si="76"/>
        <v>1.0801557299807159</v>
      </c>
      <c r="T191" s="577">
        <f t="shared" si="77"/>
        <v>0.38766988262295571</v>
      </c>
      <c r="U191" s="578">
        <f t="shared" si="89"/>
        <v>0.98346256491218509</v>
      </c>
      <c r="V191" s="579">
        <f t="shared" si="90"/>
        <v>-0.22198194917806971</v>
      </c>
      <c r="W191" s="580">
        <f t="shared" si="78"/>
        <v>-8.2769228741004586</v>
      </c>
      <c r="X191" s="581">
        <f t="shared" si="79"/>
        <v>-127.09123133323166</v>
      </c>
      <c r="Y191" s="584">
        <f t="shared" si="80"/>
        <v>52.908768666768339</v>
      </c>
      <c r="AA191" s="147">
        <f t="shared" si="81"/>
        <v>10777.5</v>
      </c>
      <c r="AB191" s="147">
        <f t="shared" si="82"/>
        <v>116154506.25</v>
      </c>
      <c r="AD191" s="583">
        <f t="shared" si="83"/>
        <v>26.98367516571426</v>
      </c>
      <c r="AE191" s="584">
        <f t="shared" si="84"/>
        <v>-24.315361230698119</v>
      </c>
      <c r="AG191" s="583">
        <f t="shared" si="85"/>
        <v>24.316281501456217</v>
      </c>
      <c r="AH191" s="584">
        <f t="shared" si="86"/>
        <v>-77.338612441485338</v>
      </c>
      <c r="AJ191" s="147">
        <f t="shared" si="87"/>
        <v>0</v>
      </c>
      <c r="AK191" s="147">
        <f t="shared" si="99"/>
        <v>0</v>
      </c>
      <c r="AM191" s="147" t="str">
        <f t="shared" si="91"/>
        <v>0.050663963775296+0.314262772731942i</v>
      </c>
      <c r="AN191" s="147" t="str">
        <f t="shared" si="92"/>
        <v>0.319679982672347i</v>
      </c>
      <c r="AO191" s="147" t="str">
        <f t="shared" si="93"/>
        <v>0.983054272290932-0.158483378758261i</v>
      </c>
      <c r="AP191" s="147" t="str">
        <f t="shared" si="94"/>
        <v>0.158222672704117-0.052377128788657i</v>
      </c>
      <c r="AQ191" s="147" t="str">
        <f t="shared" si="95"/>
        <v>0.841777327295883+0.052377128788657i</v>
      </c>
      <c r="AR191" s="147" t="str">
        <f t="shared" si="96"/>
        <v>0.985756422354704-0.0613358062918816i</v>
      </c>
    </row>
    <row r="192" spans="7:44">
      <c r="G192" s="585">
        <v>10840</v>
      </c>
      <c r="H192" s="573">
        <f t="shared" si="88"/>
        <v>10.84</v>
      </c>
      <c r="I192" s="574">
        <f t="shared" si="66"/>
        <v>74.879539420042349</v>
      </c>
      <c r="J192" s="575">
        <f t="shared" si="67"/>
        <v>1.5574411467928626</v>
      </c>
      <c r="K192" s="575">
        <f t="shared" si="68"/>
        <v>1.0017945854166566</v>
      </c>
      <c r="L192" s="576">
        <f t="shared" si="69"/>
        <v>5.9864943655724596E-2</v>
      </c>
      <c r="M192" s="575">
        <f t="shared" si="70"/>
        <v>1.0027725492241175</v>
      </c>
      <c r="N192" s="576">
        <f t="shared" si="71"/>
        <v>-7.4379546726699844E-2</v>
      </c>
      <c r="O192" s="574">
        <f t="shared" si="72"/>
        <v>204329.18595844708</v>
      </c>
      <c r="P192" s="577">
        <f t="shared" si="73"/>
        <v>1.5707914327314503</v>
      </c>
      <c r="Q192" s="586">
        <f t="shared" si="100"/>
        <v>27.398366263112809</v>
      </c>
      <c r="R192" s="587">
        <f t="shared" si="101"/>
        <v>1.5342896917884055</v>
      </c>
      <c r="S192" s="574">
        <f t="shared" si="76"/>
        <v>1.0810531238679844</v>
      </c>
      <c r="T192" s="577">
        <f t="shared" si="77"/>
        <v>0.38969777118243881</v>
      </c>
      <c r="U192" s="578">
        <f t="shared" si="89"/>
        <v>0.98327918304668571</v>
      </c>
      <c r="V192" s="579">
        <f t="shared" si="90"/>
        <v>-0.22324867020442801</v>
      </c>
      <c r="W192" s="580">
        <f t="shared" si="78"/>
        <v>-8.3355846779312355</v>
      </c>
      <c r="X192" s="581">
        <f t="shared" si="79"/>
        <v>-127.27707005390238</v>
      </c>
      <c r="Y192" s="584">
        <f t="shared" si="80"/>
        <v>52.722929946097622</v>
      </c>
      <c r="AA192" s="147">
        <f t="shared" si="81"/>
        <v>10840</v>
      </c>
      <c r="AB192" s="147">
        <f t="shared" si="82"/>
        <v>117505600</v>
      </c>
      <c r="AD192" s="583">
        <f t="shared" si="83"/>
        <v>26.976394625771029</v>
      </c>
      <c r="AE192" s="584">
        <f t="shared" si="84"/>
        <v>-24.419433303228232</v>
      </c>
      <c r="AG192" s="583">
        <f t="shared" si="85"/>
        <v>24.26813977758783</v>
      </c>
      <c r="AH192" s="584">
        <f t="shared" si="86"/>
        <v>-77.275223552198511</v>
      </c>
      <c r="AJ192" s="147">
        <f t="shared" si="87"/>
        <v>0</v>
      </c>
      <c r="AK192" s="147">
        <f t="shared" si="99"/>
        <v>0</v>
      </c>
      <c r="AM192" s="147" t="str">
        <f t="shared" si="91"/>
        <v>0.051248194630131+0.31602216980366i</v>
      </c>
      <c r="AN192" s="147" t="str">
        <f t="shared" si="92"/>
        <v>0.321533844784806i</v>
      </c>
      <c r="AO192" s="147" t="str">
        <f t="shared" si="93"/>
        <v>0.982858180964325-0.159386625891374i</v>
      </c>
      <c r="AP192" s="147" t="str">
        <f t="shared" si="94"/>
        <v>0.158125300894978-0.0526703616339433i</v>
      </c>
      <c r="AQ192" s="147" t="str">
        <f t="shared" si="95"/>
        <v>0.841874699105022+0.0526703616339433i</v>
      </c>
      <c r="AR192" s="147" t="str">
        <f t="shared" si="96"/>
        <v>0.985600617967804-0.0616623127291848i</v>
      </c>
    </row>
    <row r="193" spans="7:44">
      <c r="G193" s="585">
        <v>10902.5</v>
      </c>
      <c r="H193" s="573">
        <f t="shared" si="88"/>
        <v>10.9025</v>
      </c>
      <c r="I193" s="574">
        <f t="shared" si="66"/>
        <v>75.311194303052446</v>
      </c>
      <c r="J193" s="575">
        <f t="shared" si="67"/>
        <v>1.5575176980750123</v>
      </c>
      <c r="K193" s="575">
        <f t="shared" si="68"/>
        <v>1.0018153202909119</v>
      </c>
      <c r="L193" s="576">
        <f t="shared" si="69"/>
        <v>6.0209274729600866E-2</v>
      </c>
      <c r="M193" s="575">
        <f t="shared" si="70"/>
        <v>1.0028045678331683</v>
      </c>
      <c r="N193" s="576">
        <f t="shared" si="71"/>
        <v>-7.4806802023915597E-2</v>
      </c>
      <c r="O193" s="574">
        <f t="shared" si="72"/>
        <v>205507.28320218305</v>
      </c>
      <c r="P193" s="577">
        <f t="shared" si="73"/>
        <v>1.5707914607873059</v>
      </c>
      <c r="Q193" s="586">
        <f t="shared" si="100"/>
        <v>27.55612671176489</v>
      </c>
      <c r="R193" s="587">
        <f t="shared" si="101"/>
        <v>1.5344987865252659</v>
      </c>
      <c r="S193" s="574">
        <f t="shared" si="76"/>
        <v>1.0819549560193527</v>
      </c>
      <c r="T193" s="577">
        <f t="shared" si="77"/>
        <v>0.39172228748056442</v>
      </c>
      <c r="U193" s="578">
        <f t="shared" si="89"/>
        <v>0.98309483852122725</v>
      </c>
      <c r="V193" s="579">
        <f t="shared" si="90"/>
        <v>-0.22451504361196645</v>
      </c>
      <c r="W193" s="580">
        <f t="shared" si="78"/>
        <v>-8.3939925819509558</v>
      </c>
      <c r="X193" s="581">
        <f t="shared" si="79"/>
        <v>-127.46278278003406</v>
      </c>
      <c r="Y193" s="584">
        <f t="shared" si="80"/>
        <v>52.537217219965939</v>
      </c>
      <c r="AA193" s="147">
        <f t="shared" si="81"/>
        <v>10902.5</v>
      </c>
      <c r="AB193" s="147">
        <f t="shared" si="82"/>
        <v>118864506.25</v>
      </c>
      <c r="AD193" s="583">
        <f t="shared" si="83"/>
        <v>26.96908559385416</v>
      </c>
      <c r="AE193" s="584">
        <f t="shared" si="84"/>
        <v>-24.523450904326751</v>
      </c>
      <c r="AG193" s="583">
        <f t="shared" si="85"/>
        <v>24.220298060412052</v>
      </c>
      <c r="AH193" s="584">
        <f t="shared" si="86"/>
        <v>-77.211802973986721</v>
      </c>
      <c r="AJ193" s="147">
        <f t="shared" si="87"/>
        <v>0</v>
      </c>
      <c r="AK193" s="147">
        <f t="shared" si="99"/>
        <v>0</v>
      </c>
      <c r="AM193" s="147" t="str">
        <f t="shared" si="91"/>
        <v>0.051835686158725+0.317780480769199i</v>
      </c>
      <c r="AN193" s="147" t="str">
        <f t="shared" si="92"/>
        <v>0.323387706897264i</v>
      </c>
      <c r="AO193" s="147" t="str">
        <f t="shared" si="93"/>
        <v>0.982660979349329-0.160289599923452i</v>
      </c>
      <c r="AP193" s="147" t="str">
        <f t="shared" si="94"/>
        <v>0.158027385640212-0.0529634134615332i</v>
      </c>
      <c r="AQ193" s="147" t="str">
        <f t="shared" si="95"/>
        <v>0.841972614359788+0.0529634134615332i</v>
      </c>
      <c r="AR193" s="147" t="str">
        <f t="shared" si="96"/>
        <v>0.985444029993305-0.0619883339595559i</v>
      </c>
    </row>
    <row r="194" spans="7:44">
      <c r="G194" s="585">
        <v>10965</v>
      </c>
      <c r="H194" s="573">
        <f t="shared" si="88"/>
        <v>10.965</v>
      </c>
      <c r="I194" s="574">
        <f t="shared" si="66"/>
        <v>75.742849622363323</v>
      </c>
      <c r="J194" s="575">
        <f t="shared" si="67"/>
        <v>1.5575933768325165</v>
      </c>
      <c r="K194" s="575">
        <f t="shared" si="68"/>
        <v>1.0018361739393622</v>
      </c>
      <c r="L194" s="576">
        <f t="shared" si="69"/>
        <v>6.0553591509502118E-2</v>
      </c>
      <c r="M194" s="575">
        <f t="shared" si="70"/>
        <v>1.0028367694895648</v>
      </c>
      <c r="N194" s="576">
        <f t="shared" si="71"/>
        <v>-7.523402996029746E-2</v>
      </c>
      <c r="O194" s="574">
        <f t="shared" si="72"/>
        <v>206685.38044591915</v>
      </c>
      <c r="P194" s="577">
        <f t="shared" si="73"/>
        <v>1.5707914885233274</v>
      </c>
      <c r="Q194" s="586">
        <f t="shared" si="100"/>
        <v>27.713888351471343</v>
      </c>
      <c r="R194" s="587">
        <f t="shared" si="101"/>
        <v>1.5347055007225157</v>
      </c>
      <c r="S194" s="574">
        <f t="shared" si="76"/>
        <v>1.0828612153459507</v>
      </c>
      <c r="T194" s="577">
        <f t="shared" si="77"/>
        <v>0.39374342336797596</v>
      </c>
      <c r="U194" s="578">
        <f t="shared" si="89"/>
        <v>0.98290953293694583</v>
      </c>
      <c r="V194" s="579">
        <f t="shared" si="90"/>
        <v>-0.22578106765890657</v>
      </c>
      <c r="W194" s="580">
        <f t="shared" si="78"/>
        <v>-8.4521497331353039</v>
      </c>
      <c r="X194" s="581">
        <f t="shared" si="79"/>
        <v>-127.64836744190278</v>
      </c>
      <c r="Y194" s="584">
        <f t="shared" si="80"/>
        <v>52.351632558097222</v>
      </c>
      <c r="AA194" s="147">
        <f t="shared" si="81"/>
        <v>10965</v>
      </c>
      <c r="AB194" s="147">
        <f t="shared" si="82"/>
        <v>120231225</v>
      </c>
      <c r="AD194" s="583">
        <f t="shared" si="83"/>
        <v>26.961748211822957</v>
      </c>
      <c r="AE194" s="584">
        <f t="shared" si="84"/>
        <v>-24.627411198705783</v>
      </c>
      <c r="AG194" s="583">
        <f t="shared" si="85"/>
        <v>24.172753042592152</v>
      </c>
      <c r="AH194" s="584">
        <f t="shared" si="86"/>
        <v>-77.148351672007166</v>
      </c>
      <c r="AJ194" s="147">
        <f t="shared" si="87"/>
        <v>0</v>
      </c>
      <c r="AK194" s="147">
        <f t="shared" si="99"/>
        <v>0</v>
      </c>
      <c r="AM194" s="147" t="str">
        <f t="shared" si="91"/>
        <v>0.052426436341986+0.319537699585592i</v>
      </c>
      <c r="AN194" s="147" t="str">
        <f t="shared" si="92"/>
        <v>0.325241569009723i</v>
      </c>
      <c r="AO194" s="147" t="str">
        <f t="shared" si="93"/>
        <v>0.982462667851782-0.161192299316508i</v>
      </c>
      <c r="AP194" s="147" t="str">
        <f t="shared" si="94"/>
        <v>0.157928927276336-0.0532562832642653i</v>
      </c>
      <c r="AQ194" s="147" t="str">
        <f t="shared" si="95"/>
        <v>0.842071072723664+0.0532562832642653i</v>
      </c>
      <c r="AR194" s="147" t="str">
        <f t="shared" si="96"/>
        <v>0.98528666033275-0.0623138677706394i</v>
      </c>
    </row>
    <row r="195" spans="7:44">
      <c r="G195" s="585">
        <v>11028.75</v>
      </c>
      <c r="H195" s="573">
        <f t="shared" si="88"/>
        <v>11.02875</v>
      </c>
      <c r="I195" s="574">
        <f t="shared" si="66"/>
        <v>76.183138489846328</v>
      </c>
      <c r="J195" s="575">
        <f t="shared" si="67"/>
        <v>1.5576696856703849</v>
      </c>
      <c r="K195" s="575">
        <f t="shared" si="68"/>
        <v>1.0018575670142651</v>
      </c>
      <c r="L195" s="576">
        <f t="shared" si="69"/>
        <v>6.0904779815610224E-2</v>
      </c>
      <c r="M195" s="575">
        <f t="shared" si="70"/>
        <v>1.0028698037361778</v>
      </c>
      <c r="N195" s="576">
        <f t="shared" si="71"/>
        <v>-7.5669774109277818E-2</v>
      </c>
      <c r="O195" s="574">
        <f t="shared" si="72"/>
        <v>207887.03963453017</v>
      </c>
      <c r="P195" s="577">
        <f t="shared" si="73"/>
        <v>1.5707915164902151</v>
      </c>
      <c r="Q195" s="586">
        <f t="shared" si="100"/>
        <v>27.874806430023668</v>
      </c>
      <c r="R195" s="587">
        <f t="shared" si="101"/>
        <v>1.5349139386709574</v>
      </c>
      <c r="S195" s="574">
        <f t="shared" si="76"/>
        <v>1.0837901492171074</v>
      </c>
      <c r="T195" s="577">
        <f t="shared" si="77"/>
        <v>0.39580149116605823</v>
      </c>
      <c r="U195" s="578">
        <f t="shared" si="89"/>
        <v>0.98271953282570257</v>
      </c>
      <c r="V195" s="579">
        <f t="shared" si="90"/>
        <v>-0.22707205047357829</v>
      </c>
      <c r="W195" s="580">
        <f t="shared" si="78"/>
        <v>-8.5112149060248168</v>
      </c>
      <c r="X195" s="581">
        <f t="shared" si="79"/>
        <v>-127.83752976253312</v>
      </c>
      <c r="Y195" s="584">
        <f t="shared" si="80"/>
        <v>52.162470237466877</v>
      </c>
      <c r="AA195" s="147">
        <f t="shared" si="81"/>
        <v>11028.75</v>
      </c>
      <c r="AB195" s="147">
        <f t="shared" si="82"/>
        <v>121633326.5625</v>
      </c>
      <c r="AD195" s="583">
        <f t="shared" si="83"/>
        <v>26.954235023756006</v>
      </c>
      <c r="AE195" s="584">
        <f t="shared" si="84"/>
        <v>-24.733388785257336</v>
      </c>
      <c r="AG195" s="583">
        <f t="shared" si="85"/>
        <v>24.124559412672589</v>
      </c>
      <c r="AH195" s="584">
        <f t="shared" si="86"/>
        <v>-77.083600672507728</v>
      </c>
      <c r="AJ195" s="147">
        <f t="shared" si="87"/>
        <v>0</v>
      </c>
      <c r="AK195" s="147">
        <f t="shared" si="99"/>
        <v>0</v>
      </c>
      <c r="AM195" s="147" t="str">
        <f t="shared" si="91"/>
        <v>0.053032356489342+0.321328931383202i</v>
      </c>
      <c r="AN195" s="147" t="str">
        <f t="shared" si="92"/>
        <v>0.32713250836443i</v>
      </c>
      <c r="AO195" s="147" t="str">
        <f t="shared" si="93"/>
        <v>0.982259247146533-0.162112768169965i</v>
      </c>
      <c r="AP195" s="147" t="str">
        <f t="shared" si="94"/>
        <v>0.15782794058511-0.0535548218972003i</v>
      </c>
      <c r="AQ195" s="147" t="str">
        <f t="shared" si="95"/>
        <v>0.84217205941489+0.0535548218972003i</v>
      </c>
      <c r="AR195" s="147" t="str">
        <f t="shared" si="96"/>
        <v>0.98512533996579-0.0626454078338115i</v>
      </c>
    </row>
    <row r="196" spans="7:44">
      <c r="G196" s="585">
        <v>11092.5</v>
      </c>
      <c r="H196" s="573">
        <f t="shared" si="88"/>
        <v>11.092499999999999</v>
      </c>
      <c r="I196" s="574">
        <f t="shared" si="66"/>
        <v>76.623427795848514</v>
      </c>
      <c r="J196" s="575">
        <f t="shared" si="67"/>
        <v>1.5577451175454349</v>
      </c>
      <c r="K196" s="575">
        <f t="shared" si="68"/>
        <v>1.0018790836462084</v>
      </c>
      <c r="L196" s="576">
        <f t="shared" si="69"/>
        <v>6.1255953080593978E-2</v>
      </c>
      <c r="M196" s="575">
        <f t="shared" si="70"/>
        <v>1.0029030283880873</v>
      </c>
      <c r="N196" s="576">
        <f t="shared" si="71"/>
        <v>-7.6105489469902421E-2</v>
      </c>
      <c r="O196" s="574">
        <f t="shared" si="72"/>
        <v>209088.69882314137</v>
      </c>
      <c r="P196" s="577">
        <f t="shared" si="73"/>
        <v>1.5707915441356441</v>
      </c>
      <c r="Q196" s="586">
        <f t="shared" si="100"/>
        <v>28.035725705732986</v>
      </c>
      <c r="R196" s="587">
        <f t="shared" si="101"/>
        <v>1.5351199838467091</v>
      </c>
      <c r="S196" s="574">
        <f t="shared" si="76"/>
        <v>1.0847236657626664</v>
      </c>
      <c r="T196" s="577">
        <f t="shared" si="77"/>
        <v>0.39785602529492403</v>
      </c>
      <c r="U196" s="578">
        <f t="shared" si="89"/>
        <v>0.98252853621523528</v>
      </c>
      <c r="V196" s="579">
        <f t="shared" si="90"/>
        <v>-0.22836266616643761</v>
      </c>
      <c r="W196" s="580">
        <f t="shared" si="78"/>
        <v>-8.5700256297886632</v>
      </c>
      <c r="X196" s="581">
        <f t="shared" si="79"/>
        <v>-128.02655462773225</v>
      </c>
      <c r="Y196" s="584">
        <f t="shared" si="80"/>
        <v>51.973445372267747</v>
      </c>
      <c r="AA196" s="147">
        <f t="shared" si="81"/>
        <v>11092.5</v>
      </c>
      <c r="AB196" s="147">
        <f t="shared" si="82"/>
        <v>123043556.25</v>
      </c>
      <c r="AD196" s="583">
        <f t="shared" si="83"/>
        <v>26.94669264068775</v>
      </c>
      <c r="AE196" s="584">
        <f t="shared" si="84"/>
        <v>-24.839300984834761</v>
      </c>
      <c r="AG196" s="583">
        <f t="shared" si="85"/>
        <v>24.076667695032622</v>
      </c>
      <c r="AH196" s="584">
        <f t="shared" si="86"/>
        <v>-77.018819673612043</v>
      </c>
      <c r="AJ196" s="147">
        <f t="shared" si="87"/>
        <v>0</v>
      </c>
      <c r="AK196" s="147">
        <f t="shared" si="99"/>
        <v>0</v>
      </c>
      <c r="AM196" s="147" t="str">
        <f t="shared" si="91"/>
        <v>0.053641662662099+0.323119014220833i</v>
      </c>
      <c r="AN196" s="147" t="str">
        <f t="shared" si="92"/>
        <v>0.329023447719138i</v>
      </c>
      <c r="AO196" s="147" t="str">
        <f t="shared" si="93"/>
        <v>0.982054672579612-0.163032948058732i</v>
      </c>
      <c r="AP196" s="147" t="str">
        <f t="shared" si="94"/>
        <v>0.157726389556317-0.0538531690368055i</v>
      </c>
      <c r="AQ196" s="147" t="str">
        <f t="shared" si="95"/>
        <v>0.842273610443683+0.0538531690368055i</v>
      </c>
      <c r="AR196" s="147" t="str">
        <f t="shared" si="96"/>
        <v>0.984963210352539-0.0629764361656877i</v>
      </c>
    </row>
    <row r="197" spans="7:44">
      <c r="G197" s="585">
        <v>11156.25</v>
      </c>
      <c r="H197" s="573">
        <f t="shared" si="88"/>
        <v>11.15625</v>
      </c>
      <c r="I197" s="574">
        <f t="shared" si="66"/>
        <v>77.063717532853701</v>
      </c>
      <c r="J197" s="575">
        <f t="shared" si="67"/>
        <v>1.5578196874879102</v>
      </c>
      <c r="K197" s="575">
        <f t="shared" si="68"/>
        <v>1.0019007238272315</v>
      </c>
      <c r="L197" s="576">
        <f t="shared" si="69"/>
        <v>6.1607111218809997E-2</v>
      </c>
      <c r="M197" s="575">
        <f t="shared" si="70"/>
        <v>1.0029364434263701</v>
      </c>
      <c r="N197" s="576">
        <f t="shared" si="71"/>
        <v>-7.6541175879601311E-2</v>
      </c>
      <c r="O197" s="574">
        <f t="shared" si="72"/>
        <v>210290.35801175269</v>
      </c>
      <c r="P197" s="577">
        <f t="shared" si="73"/>
        <v>1.5707915714651257</v>
      </c>
      <c r="Q197" s="586">
        <f t="shared" si="100"/>
        <v>28.196646158102649</v>
      </c>
      <c r="R197" s="587">
        <f t="shared" si="101"/>
        <v>1.5353236771993439</v>
      </c>
      <c r="S197" s="574">
        <f t="shared" si="76"/>
        <v>1.0856617531612598</v>
      </c>
      <c r="T197" s="577">
        <f t="shared" si="77"/>
        <v>0.39990701754754315</v>
      </c>
      <c r="U197" s="578">
        <f t="shared" si="89"/>
        <v>0.98233654482628641</v>
      </c>
      <c r="V197" s="579">
        <f t="shared" si="90"/>
        <v>-0.22965291290278153</v>
      </c>
      <c r="W197" s="580">
        <f t="shared" si="78"/>
        <v>-8.6285850650475879</v>
      </c>
      <c r="X197" s="581">
        <f t="shared" si="79"/>
        <v>-128.21543997299122</v>
      </c>
      <c r="Y197" s="584">
        <f t="shared" si="80"/>
        <v>51.78456002700878</v>
      </c>
      <c r="AA197" s="147">
        <f t="shared" si="81"/>
        <v>11156.25</v>
      </c>
      <c r="AB197" s="147">
        <f t="shared" si="82"/>
        <v>124461914.0625</v>
      </c>
      <c r="AD197" s="583">
        <f t="shared" si="83"/>
        <v>26.939121215439869</v>
      </c>
      <c r="AE197" s="584">
        <f t="shared" si="84"/>
        <v>-24.94514498128791</v>
      </c>
      <c r="AG197" s="583">
        <f t="shared" si="85"/>
        <v>24.029074556328048</v>
      </c>
      <c r="AH197" s="584">
        <f t="shared" si="86"/>
        <v>-76.95400963720283</v>
      </c>
      <c r="AJ197" s="147">
        <f t="shared" si="87"/>
        <v>0</v>
      </c>
      <c r="AK197" s="147">
        <f t="shared" si="99"/>
        <v>0</v>
      </c>
      <c r="AM197" s="147" t="str">
        <f t="shared" si="91"/>
        <v>0.054254352681592+0.324907941697775i</v>
      </c>
      <c r="AN197" s="147" t="str">
        <f t="shared" si="92"/>
        <v>0.330914387073846i</v>
      </c>
      <c r="AO197" s="147" t="str">
        <f t="shared" si="93"/>
        <v>0.98184894458901-0.163952837352716i</v>
      </c>
      <c r="AP197" s="147" t="str">
        <f t="shared" si="94"/>
        <v>0.157624274553068-0.0541513236162958i</v>
      </c>
      <c r="AQ197" s="147" t="str">
        <f t="shared" si="95"/>
        <v>0.842375725446932+0.0541513236162958i</v>
      </c>
      <c r="AR197" s="147" t="str">
        <f t="shared" si="96"/>
        <v>0.98480027353469-0.0633069504481503i</v>
      </c>
    </row>
    <row r="198" spans="7:44">
      <c r="G198" s="585">
        <v>11220</v>
      </c>
      <c r="H198" s="573">
        <f t="shared" si="88"/>
        <v>11.22</v>
      </c>
      <c r="I198" s="574">
        <f t="shared" si="66"/>
        <v>77.504007693516485</v>
      </c>
      <c r="J198" s="575">
        <f t="shared" si="67"/>
        <v>1.557893410186554</v>
      </c>
      <c r="K198" s="575">
        <f t="shared" si="68"/>
        <v>1.0019224875493291</v>
      </c>
      <c r="L198" s="576">
        <f t="shared" si="69"/>
        <v>6.1958254144637209E-2</v>
      </c>
      <c r="M198" s="575">
        <f t="shared" si="70"/>
        <v>1.0029700488319975</v>
      </c>
      <c r="N198" s="576">
        <f t="shared" si="71"/>
        <v>-7.6976833175870063E-2</v>
      </c>
      <c r="O198" s="574">
        <f t="shared" si="72"/>
        <v>211492.01720036418</v>
      </c>
      <c r="P198" s="577">
        <f t="shared" si="73"/>
        <v>1.5707915984840448</v>
      </c>
      <c r="Q198" s="586">
        <f t="shared" si="100"/>
        <v>28.357567767101102</v>
      </c>
      <c r="R198" s="587">
        <f t="shared" si="101"/>
        <v>1.5355250587497138</v>
      </c>
      <c r="S198" s="574">
        <f t="shared" si="76"/>
        <v>1.0866043995745598</v>
      </c>
      <c r="T198" s="577">
        <f t="shared" si="77"/>
        <v>0.40195445986434974</v>
      </c>
      <c r="U198" s="578">
        <f t="shared" si="89"/>
        <v>0.98214356038678763</v>
      </c>
      <c r="V198" s="579">
        <f t="shared" si="90"/>
        <v>-0.23094278885255173</v>
      </c>
      <c r="W198" s="580">
        <f t="shared" si="78"/>
        <v>-8.6868963149210465</v>
      </c>
      <c r="X198" s="581">
        <f t="shared" si="79"/>
        <v>-128.4041837761568</v>
      </c>
      <c r="Y198" s="584">
        <f t="shared" si="80"/>
        <v>51.595816223843201</v>
      </c>
      <c r="AA198" s="147">
        <f t="shared" si="81"/>
        <v>11220</v>
      </c>
      <c r="AB198" s="147">
        <f t="shared" si="82"/>
        <v>125888400</v>
      </c>
      <c r="AD198" s="583">
        <f t="shared" si="83"/>
        <v>26.931520901528835</v>
      </c>
      <c r="AE198" s="584">
        <f t="shared" si="84"/>
        <v>-25.050918020120307</v>
      </c>
      <c r="AG198" s="583">
        <f t="shared" si="85"/>
        <v>23.981776719931851</v>
      </c>
      <c r="AH198" s="584">
        <f t="shared" si="86"/>
        <v>-76.889171505332598</v>
      </c>
      <c r="AJ198" s="147">
        <f t="shared" si="87"/>
        <v>0</v>
      </c>
      <c r="AK198" s="147">
        <f t="shared" si="99"/>
        <v>0</v>
      </c>
      <c r="AM198" s="147" t="str">
        <f t="shared" si="91"/>
        <v>0.054870424357054+0.326695707417446i</v>
      </c>
      <c r="AN198" s="147" t="str">
        <f t="shared" si="92"/>
        <v>0.332805326428553i</v>
      </c>
      <c r="AO198" s="147" t="str">
        <f t="shared" si="93"/>
        <v>0.981642063615173-0.164872434422511i</v>
      </c>
      <c r="AP198" s="147" t="str">
        <f t="shared" si="94"/>
        <v>0.157521595940491-0.0544492845695743i</v>
      </c>
      <c r="AQ198" s="147" t="str">
        <f t="shared" si="95"/>
        <v>0.842478404059509+0.0544492845695743i</v>
      </c>
      <c r="AR198" s="147" t="str">
        <f t="shared" si="96"/>
        <v>0.98463653156182-0.0636369483731255i</v>
      </c>
    </row>
    <row r="199" spans="7:44">
      <c r="G199" s="585">
        <v>11285.5</v>
      </c>
      <c r="H199" s="573">
        <f t="shared" si="88"/>
        <v>11.285500000000001</v>
      </c>
      <c r="I199" s="574">
        <f t="shared" si="66"/>
        <v>77.956384684463373</v>
      </c>
      <c r="J199" s="575">
        <f t="shared" si="67"/>
        <v>1.5579682892839388</v>
      </c>
      <c r="K199" s="575">
        <f t="shared" si="68"/>
        <v>1.0019449773730804</v>
      </c>
      <c r="L199" s="576">
        <f t="shared" si="69"/>
        <v>6.2319020353551968E-2</v>
      </c>
      <c r="M199" s="575">
        <f t="shared" si="70"/>
        <v>1.0030047749965689</v>
      </c>
      <c r="N199" s="576">
        <f t="shared" si="71"/>
        <v>-7.7424419198112701E-2</v>
      </c>
      <c r="O199" s="574">
        <f t="shared" si="72"/>
        <v>212726.66311180044</v>
      </c>
      <c r="P199" s="577">
        <f t="shared" si="73"/>
        <v>1.5707916259267245</v>
      </c>
      <c r="Q199" s="586">
        <f t="shared" si="100"/>
        <v>28.522908016146744</v>
      </c>
      <c r="R199" s="587">
        <f t="shared" si="101"/>
        <v>1.5357296016661648</v>
      </c>
      <c r="S199" s="574">
        <f t="shared" si="76"/>
        <v>1.0875776585522308</v>
      </c>
      <c r="T199" s="577">
        <f t="shared" si="77"/>
        <v>0.40405440071707899</v>
      </c>
      <c r="U199" s="578">
        <f t="shared" si="89"/>
        <v>0.98194424584396223</v>
      </c>
      <c r="V199" s="579">
        <f t="shared" si="90"/>
        <v>-0.23226768504916073</v>
      </c>
      <c r="W199" s="580">
        <f t="shared" si="78"/>
        <v>-8.7465529696668192</v>
      </c>
      <c r="X199" s="581">
        <f t="shared" si="79"/>
        <v>-128.59795927646883</v>
      </c>
      <c r="Y199" s="584">
        <f t="shared" si="80"/>
        <v>51.402040723531172</v>
      </c>
      <c r="AA199" s="147">
        <f t="shared" si="81"/>
        <v>11285.5</v>
      </c>
      <c r="AB199" s="147">
        <f t="shared" si="82"/>
        <v>127362510.25</v>
      </c>
      <c r="AD199" s="583">
        <f t="shared" si="83"/>
        <v>26.923682024525743</v>
      </c>
      <c r="AE199" s="584">
        <f t="shared" si="84"/>
        <v>-25.159517894840683</v>
      </c>
      <c r="AG199" s="583">
        <f t="shared" si="85"/>
        <v>23.933484699281479</v>
      </c>
      <c r="AH199" s="584">
        <f t="shared" si="86"/>
        <v>-76.822525210033504</v>
      </c>
      <c r="AJ199" s="147">
        <f t="shared" si="87"/>
        <v>0</v>
      </c>
      <c r="AK199" s="147">
        <f t="shared" si="99"/>
        <v>0</v>
      </c>
      <c r="AM199" s="147" t="str">
        <f t="shared" si="91"/>
        <v>0.055506927663288+0.328531332307832i</v>
      </c>
      <c r="AN199" s="147" t="str">
        <f t="shared" si="92"/>
        <v>0.33474817392241i</v>
      </c>
      <c r="AO199" s="147" t="str">
        <f t="shared" si="93"/>
        <v>0.981428303127894-0.165816969254487i</v>
      </c>
      <c r="AP199" s="147" t="str">
        <f t="shared" si="94"/>
        <v>0.157415512056119-0.0547552220513053i</v>
      </c>
      <c r="AQ199" s="147" t="str">
        <f t="shared" si="95"/>
        <v>0.842584487943881+0.0547552220513053i</v>
      </c>
      <c r="AR199" s="147" t="str">
        <f t="shared" si="96"/>
        <v>0.984467458261992-0.0639754648355332i</v>
      </c>
    </row>
    <row r="200" spans="7:44">
      <c r="G200" s="585">
        <v>11351</v>
      </c>
      <c r="H200" s="573">
        <f t="shared" si="88"/>
        <v>11.351000000000001</v>
      </c>
      <c r="I200" s="574">
        <f t="shared" si="66"/>
        <v>78.408762107458728</v>
      </c>
      <c r="J200" s="575">
        <f t="shared" si="67"/>
        <v>1.5580423043555163</v>
      </c>
      <c r="K200" s="575">
        <f t="shared" si="68"/>
        <v>1.0019675975963687</v>
      </c>
      <c r="L200" s="576">
        <f t="shared" si="69"/>
        <v>6.2679770320243522E-2</v>
      </c>
      <c r="M200" s="575">
        <f t="shared" si="70"/>
        <v>1.0030397020824076</v>
      </c>
      <c r="N200" s="576">
        <f t="shared" si="71"/>
        <v>-7.7871974139009981E-2</v>
      </c>
      <c r="O200" s="574">
        <f t="shared" si="72"/>
        <v>213961.30902323688</v>
      </c>
      <c r="P200" s="577">
        <f t="shared" si="73"/>
        <v>1.5707916530526926</v>
      </c>
      <c r="Q200" s="586">
        <f t="shared" si="100"/>
        <v>28.688249444773</v>
      </c>
      <c r="R200" s="587">
        <f t="shared" si="101"/>
        <v>1.5359317868718105</v>
      </c>
      <c r="S200" s="574">
        <f t="shared" si="76"/>
        <v>1.0885557048889329</v>
      </c>
      <c r="T200" s="577">
        <f t="shared" si="77"/>
        <v>0.40615057728679149</v>
      </c>
      <c r="U200" s="578">
        <f t="shared" si="89"/>
        <v>0.98174388670326851</v>
      </c>
      <c r="V200" s="579">
        <f t="shared" si="90"/>
        <v>-0.23359218592117015</v>
      </c>
      <c r="W200" s="580">
        <f t="shared" si="78"/>
        <v>-8.8059540868612203</v>
      </c>
      <c r="X200" s="581">
        <f t="shared" si="79"/>
        <v>-128.79158116230082</v>
      </c>
      <c r="Y200" s="584">
        <f t="shared" si="80"/>
        <v>51.208418837699185</v>
      </c>
      <c r="AA200" s="147">
        <f t="shared" si="81"/>
        <v>11351</v>
      </c>
      <c r="AB200" s="147">
        <f t="shared" si="82"/>
        <v>128845201</v>
      </c>
      <c r="AD200" s="583">
        <f t="shared" si="83"/>
        <v>26.915812981719842</v>
      </c>
      <c r="AE200" s="584">
        <f t="shared" si="84"/>
        <v>-25.268037160763424</v>
      </c>
      <c r="AG200" s="583">
        <f t="shared" si="85"/>
        <v>23.885497581673519</v>
      </c>
      <c r="AH200" s="584">
        <f t="shared" si="86"/>
        <v>-76.75585120991424</v>
      </c>
      <c r="AJ200" s="147">
        <f t="shared" si="87"/>
        <v>0</v>
      </c>
      <c r="AK200" s="147">
        <f t="shared" si="99"/>
        <v>0</v>
      </c>
      <c r="AM200" s="147" t="str">
        <f t="shared" si="91"/>
        <v>0.056146996105206+0.330365717105717i</v>
      </c>
      <c r="AN200" s="147" t="str">
        <f t="shared" si="92"/>
        <v>0.336691021416267i</v>
      </c>
      <c r="AO200" s="147" t="str">
        <f t="shared" si="93"/>
        <v>0.98121332643816-0.166761192113255i</v>
      </c>
      <c r="AP200" s="147" t="str">
        <f t="shared" si="94"/>
        <v>0.157308833982466-0.0550609528509528i</v>
      </c>
      <c r="AQ200" s="147" t="str">
        <f t="shared" si="95"/>
        <v>0.842691166017534+0.0550609528509528i</v>
      </c>
      <c r="AR200" s="147" t="str">
        <f t="shared" si="96"/>
        <v>0.984297539407835-0.0643134312950849i</v>
      </c>
    </row>
    <row r="201" spans="7:44">
      <c r="G201" s="585">
        <v>11416.5</v>
      </c>
      <c r="H201" s="573">
        <f t="shared" si="88"/>
        <v>11.416499999999999</v>
      </c>
      <c r="I201" s="574">
        <f t="shared" si="66"/>
        <v>78.861139955067358</v>
      </c>
      <c r="J201" s="575">
        <f t="shared" si="67"/>
        <v>1.5581154702696216</v>
      </c>
      <c r="K201" s="575">
        <f t="shared" si="68"/>
        <v>1.001990348210362</v>
      </c>
      <c r="L201" s="576">
        <f t="shared" si="69"/>
        <v>6.3040503951918694E-2</v>
      </c>
      <c r="M201" s="575">
        <f t="shared" si="70"/>
        <v>1.0030748300685248</v>
      </c>
      <c r="N201" s="576">
        <f t="shared" si="71"/>
        <v>-7.8319497822522732E-2</v>
      </c>
      <c r="O201" s="574">
        <f t="shared" si="72"/>
        <v>215195.9549346735</v>
      </c>
      <c r="P201" s="577">
        <f t="shared" si="73"/>
        <v>1.5707916798674006</v>
      </c>
      <c r="Q201" s="586">
        <f t="shared" si="100"/>
        <v>28.853592032701606</v>
      </c>
      <c r="R201" s="587">
        <f t="shared" si="101"/>
        <v>1.5361316548818467</v>
      </c>
      <c r="S201" s="574">
        <f t="shared" si="76"/>
        <v>1.0895385256922565</v>
      </c>
      <c r="T201" s="577">
        <f t="shared" si="77"/>
        <v>0.40824298131458614</v>
      </c>
      <c r="U201" s="578">
        <f t="shared" si="89"/>
        <v>0.9815424848623171</v>
      </c>
      <c r="V201" s="579">
        <f t="shared" si="90"/>
        <v>-0.2349162894990727</v>
      </c>
      <c r="W201" s="580">
        <f t="shared" si="78"/>
        <v>-8.8651028512240551</v>
      </c>
      <c r="X201" s="581">
        <f t="shared" si="79"/>
        <v>-128.98504737369399</v>
      </c>
      <c r="Y201" s="584">
        <f t="shared" si="80"/>
        <v>51.014952626306012</v>
      </c>
      <c r="AA201" s="147">
        <f t="shared" si="81"/>
        <v>11416.5</v>
      </c>
      <c r="AB201" s="147">
        <f t="shared" si="82"/>
        <v>130336472.25</v>
      </c>
      <c r="AD201" s="583">
        <f t="shared" si="83"/>
        <v>26.907913941685244</v>
      </c>
      <c r="AE201" s="584">
        <f t="shared" si="84"/>
        <v>-25.376473023650991</v>
      </c>
      <c r="AG201" s="583">
        <f t="shared" si="85"/>
        <v>23.837811991839114</v>
      </c>
      <c r="AH201" s="584">
        <f t="shared" si="86"/>
        <v>-76.689150464942514</v>
      </c>
      <c r="AJ201" s="147">
        <f t="shared" si="87"/>
        <v>0</v>
      </c>
      <c r="AK201" s="147">
        <f t="shared" si="99"/>
        <v>0</v>
      </c>
      <c r="AM201" s="147" t="str">
        <f t="shared" si="91"/>
        <v>0.056790627266771+0.33219885488693i</v>
      </c>
      <c r="AN201" s="147" t="str">
        <f t="shared" si="92"/>
        <v>0.338633868910123i</v>
      </c>
      <c r="AO201" s="147" t="str">
        <f t="shared" si="93"/>
        <v>0.980997134031797-0.167705101233816i</v>
      </c>
      <c r="AP201" s="147" t="str">
        <f t="shared" si="94"/>
        <v>0.157201562122205-0.0553664758144883i</v>
      </c>
      <c r="AQ201" s="147" t="str">
        <f t="shared" si="95"/>
        <v>0.842798437877795+0.0553664758144883i</v>
      </c>
      <c r="AR201" s="147" t="str">
        <f t="shared" si="96"/>
        <v>0.984126777248002-0.0646508452816953i</v>
      </c>
    </row>
    <row r="202" spans="7:44">
      <c r="G202" s="585">
        <v>11482</v>
      </c>
      <c r="H202" s="573">
        <f t="shared" si="88"/>
        <v>11.481999999999999</v>
      </c>
      <c r="I202" s="574">
        <f t="shared" si="66"/>
        <v>79.313518220023695</v>
      </c>
      <c r="J202" s="575">
        <f t="shared" si="67"/>
        <v>1.5581878015554114</v>
      </c>
      <c r="K202" s="575">
        <f t="shared" si="68"/>
        <v>1.0020132292061792</v>
      </c>
      <c r="L202" s="576">
        <f t="shared" si="69"/>
        <v>6.340122115580972E-2</v>
      </c>
      <c r="M202" s="575">
        <f t="shared" si="70"/>
        <v>1.0031101589338149</v>
      </c>
      <c r="N202" s="576">
        <f t="shared" si="71"/>
        <v>-7.8766990072686435E-2</v>
      </c>
      <c r="O202" s="574">
        <f t="shared" si="72"/>
        <v>216430.60084611023</v>
      </c>
      <c r="P202" s="577">
        <f t="shared" si="73"/>
        <v>1.5707917063761754</v>
      </c>
      <c r="Q202" s="586">
        <f t="shared" si="100"/>
        <v>29.018935760116335</v>
      </c>
      <c r="R202" s="587">
        <f t="shared" si="101"/>
        <v>1.5363292452888306</v>
      </c>
      <c r="S202" s="574">
        <f t="shared" si="76"/>
        <v>1.0905261080534459</v>
      </c>
      <c r="T202" s="577">
        <f t="shared" si="77"/>
        <v>0.41033160470339575</v>
      </c>
      <c r="U202" s="578">
        <f t="shared" si="89"/>
        <v>0.98134004222654547</v>
      </c>
      <c r="V202" s="579">
        <f t="shared" si="90"/>
        <v>-0.23623999381861316</v>
      </c>
      <c r="W202" s="580">
        <f t="shared" si="78"/>
        <v>-8.9240023891099991</v>
      </c>
      <c r="X202" s="581">
        <f t="shared" si="79"/>
        <v>-129.17835589368832</v>
      </c>
      <c r="Y202" s="584">
        <f t="shared" si="80"/>
        <v>50.82164410631168</v>
      </c>
      <c r="AA202" s="147">
        <f t="shared" si="81"/>
        <v>11482</v>
      </c>
      <c r="AB202" s="147">
        <f t="shared" si="82"/>
        <v>131836324</v>
      </c>
      <c r="AD202" s="583">
        <f t="shared" si="83"/>
        <v>26.899985073620492</v>
      </c>
      <c r="AE202" s="584">
        <f t="shared" si="84"/>
        <v>-25.484822751394358</v>
      </c>
      <c r="AG202" s="583">
        <f t="shared" si="85"/>
        <v>23.790424612152343</v>
      </c>
      <c r="AH202" s="584">
        <f t="shared" si="86"/>
        <v>-76.622423915354346</v>
      </c>
      <c r="AJ202" s="147">
        <f t="shared" si="87"/>
        <v>0</v>
      </c>
      <c r="AK202" s="147">
        <f t="shared" si="99"/>
        <v>0</v>
      </c>
      <c r="AM202" s="147" t="str">
        <f t="shared" si="91"/>
        <v>0.057437818718496+0.33403073873201i</v>
      </c>
      <c r="AN202" s="147" t="str">
        <f t="shared" si="92"/>
        <v>0.34057671640398i</v>
      </c>
      <c r="AO202" s="147" t="str">
        <f t="shared" si="93"/>
        <v>0.980779726397369-0.168648694851956i</v>
      </c>
      <c r="AP202" s="147" t="str">
        <f t="shared" si="94"/>
        <v>0.157093696880251-0.0556717897886683i</v>
      </c>
      <c r="AQ202" s="147" t="str">
        <f t="shared" si="95"/>
        <v>0.842906303119749+0.0556717897886683i</v>
      </c>
      <c r="AR202" s="147" t="str">
        <f t="shared" si="96"/>
        <v>0.983955174039666-0.0649877043366072i</v>
      </c>
    </row>
    <row r="203" spans="7:44">
      <c r="G203" s="585">
        <v>11548.75</v>
      </c>
      <c r="H203" s="573">
        <f t="shared" si="88"/>
        <v>11.54875</v>
      </c>
      <c r="I203" s="574">
        <f t="shared" si="66"/>
        <v>79.774530079995074</v>
      </c>
      <c r="J203" s="575">
        <f t="shared" si="67"/>
        <v>1.5582606692369128</v>
      </c>
      <c r="K203" s="575">
        <f t="shared" si="68"/>
        <v>1.0020366809908448</v>
      </c>
      <c r="L203" s="576">
        <f t="shared" si="69"/>
        <v>6.3768805278748147E-2</v>
      </c>
      <c r="M203" s="575">
        <f t="shared" si="70"/>
        <v>1.0031463686582276</v>
      </c>
      <c r="N203" s="576">
        <f t="shared" si="71"/>
        <v>-7.9222989730298482E-2</v>
      </c>
      <c r="O203" s="574">
        <f t="shared" si="72"/>
        <v>217688.80870242187</v>
      </c>
      <c r="P203" s="577">
        <f t="shared" si="73"/>
        <v>1.5707917330814853</v>
      </c>
      <c r="Q203" s="586">
        <f t="shared" si="100"/>
        <v>29.187436054439061</v>
      </c>
      <c r="R203" s="587">
        <f t="shared" si="101"/>
        <v>1.5365283033484494</v>
      </c>
      <c r="S203" s="574">
        <f t="shared" si="76"/>
        <v>1.0915374227538848</v>
      </c>
      <c r="T203" s="577">
        <f t="shared" si="77"/>
        <v>0.41245618954969221</v>
      </c>
      <c r="U203" s="578">
        <f t="shared" si="89"/>
        <v>0.98113266738448601</v>
      </c>
      <c r="V203" s="579">
        <f t="shared" si="90"/>
        <v>-0.23758854688254011</v>
      </c>
      <c r="W203" s="580">
        <f t="shared" si="78"/>
        <v>-8.9837727353414802</v>
      </c>
      <c r="X203" s="581">
        <f t="shared" si="79"/>
        <v>-129.37518922883638</v>
      </c>
      <c r="Y203" s="584">
        <f t="shared" si="80"/>
        <v>50.624810771163624</v>
      </c>
      <c r="AA203" s="147">
        <f t="shared" si="81"/>
        <v>11548.75</v>
      </c>
      <c r="AB203" s="147">
        <f t="shared" si="82"/>
        <v>133373626.5625</v>
      </c>
      <c r="AD203" s="583">
        <f t="shared" si="83"/>
        <v>26.891874379755066</v>
      </c>
      <c r="AE203" s="584">
        <f t="shared" si="84"/>
        <v>-25.595148839838</v>
      </c>
      <c r="AG203" s="583">
        <f t="shared" si="85"/>
        <v>23.742436317843342</v>
      </c>
      <c r="AH203" s="584">
        <f t="shared" si="86"/>
        <v>-76.554398363857302</v>
      </c>
      <c r="AJ203" s="147">
        <f t="shared" si="87"/>
        <v>0</v>
      </c>
      <c r="AK203" s="147">
        <f t="shared" si="99"/>
        <v>0</v>
      </c>
      <c r="AM203" s="147" t="str">
        <f t="shared" si="91"/>
        <v>0.058101021477957+0.3358962849737i</v>
      </c>
      <c r="AN203" s="147" t="str">
        <f t="shared" si="92"/>
        <v>0.342556641140085i</v>
      </c>
      <c r="AO203" s="147" t="str">
        <f t="shared" si="93"/>
        <v>0.980556920034543-0.169609969564704i</v>
      </c>
      <c r="AP203" s="147" t="str">
        <f t="shared" si="94"/>
        <v>0.156983163087007-0.0559827141622833i</v>
      </c>
      <c r="AQ203" s="147" t="str">
        <f t="shared" si="95"/>
        <v>0.843016836912993+0.0559827141622833i</v>
      </c>
      <c r="AR203" s="147" t="str">
        <f t="shared" si="96"/>
        <v>0.983779433029231-0.0653304185473733i</v>
      </c>
    </row>
    <row r="204" spans="7:44">
      <c r="G204" s="585">
        <v>11615.5</v>
      </c>
      <c r="H204" s="573">
        <f t="shared" si="88"/>
        <v>11.615500000000001</v>
      </c>
      <c r="I204" s="574">
        <f t="shared" si="66"/>
        <v>80.235542358677691</v>
      </c>
      <c r="J204" s="575">
        <f t="shared" si="67"/>
        <v>1.5583326995618088</v>
      </c>
      <c r="K204" s="575">
        <f t="shared" si="68"/>
        <v>1.002060268162442</v>
      </c>
      <c r="L204" s="576">
        <f t="shared" si="69"/>
        <v>6.4136372146462714E-2</v>
      </c>
      <c r="M204" s="575">
        <f t="shared" si="70"/>
        <v>1.003182786957487</v>
      </c>
      <c r="N204" s="576">
        <f t="shared" si="71"/>
        <v>-7.9678956374628532E-2</v>
      </c>
      <c r="O204" s="574">
        <f t="shared" si="72"/>
        <v>218947.01655873368</v>
      </c>
      <c r="P204" s="577">
        <f t="shared" si="73"/>
        <v>1.5707917594798644</v>
      </c>
      <c r="Q204" s="586">
        <f t="shared" si="100"/>
        <v>29.355937492011265</v>
      </c>
      <c r="R204" s="587">
        <f t="shared" si="101"/>
        <v>1.5367250762515565</v>
      </c>
      <c r="S204" s="574">
        <f t="shared" si="76"/>
        <v>1.0925536553679396</v>
      </c>
      <c r="T204" s="577">
        <f t="shared" si="77"/>
        <v>0.41457683161227105</v>
      </c>
      <c r="U204" s="578">
        <f t="shared" si="89"/>
        <v>0.98092421566361809</v>
      </c>
      <c r="V204" s="579">
        <f t="shared" si="90"/>
        <v>-0.23893668120175526</v>
      </c>
      <c r="W204" s="580">
        <f t="shared" si="78"/>
        <v>-9.0432906282142529</v>
      </c>
      <c r="X204" s="581">
        <f t="shared" si="79"/>
        <v>-129.57185469918116</v>
      </c>
      <c r="Y204" s="584">
        <f t="shared" si="80"/>
        <v>50.428145300818841</v>
      </c>
      <c r="AA204" s="147">
        <f t="shared" si="81"/>
        <v>11615.5</v>
      </c>
      <c r="AB204" s="147">
        <f t="shared" si="82"/>
        <v>134919840.25</v>
      </c>
      <c r="AD204" s="583">
        <f t="shared" si="83"/>
        <v>26.883733065141598</v>
      </c>
      <c r="AE204" s="584">
        <f t="shared" si="84"/>
        <v>-25.705379935652765</v>
      </c>
      <c r="AG204" s="583">
        <f t="shared" si="85"/>
        <v>23.694750944797875</v>
      </c>
      <c r="AH204" s="584">
        <f t="shared" si="86"/>
        <v>-76.486347924795226</v>
      </c>
      <c r="AJ204" s="147">
        <f t="shared" si="87"/>
        <v>0</v>
      </c>
      <c r="AK204" s="147">
        <f t="shared" si="99"/>
        <v>0</v>
      </c>
      <c r="AM204" s="147" t="str">
        <f t="shared" si="91"/>
        <v>0.058767916576246+0.337760514468135i</v>
      </c>
      <c r="AN204" s="147" t="str">
        <f t="shared" si="92"/>
        <v>0.344536565876191i</v>
      </c>
      <c r="AO204" s="147" t="str">
        <f t="shared" si="93"/>
        <v>0.980332852651434-0.170570912921226i</v>
      </c>
      <c r="AP204" s="147" t="str">
        <f t="shared" si="94"/>
        <v>0.156872013903959-0.0562934190780225i</v>
      </c>
      <c r="AQ204" s="147" t="str">
        <f t="shared" si="95"/>
        <v>0.843127986096041+0.0562934190780225i</v>
      </c>
      <c r="AR204" s="147" t="str">
        <f t="shared" si="96"/>
        <v>0.983602823322634-0.0656725513240405i</v>
      </c>
    </row>
    <row r="205" spans="7:44">
      <c r="G205" s="585">
        <v>11682.25</v>
      </c>
      <c r="H205" s="573">
        <f t="shared" si="88"/>
        <v>11.68225</v>
      </c>
      <c r="I205" s="574">
        <f t="shared" ref="I205:I268" si="102">SQRT(1+(G205/pole1)^2)</f>
        <v>80.69655504889532</v>
      </c>
      <c r="J205" s="575">
        <f t="shared" ref="J205:J268" si="103">ATAN(G205/pole1)</f>
        <v>1.5584039068805906</v>
      </c>
      <c r="K205" s="575">
        <f t="shared" ref="K205:K268" si="104">SQRT(1+(G205/Zero1)^2)</f>
        <v>1.0020839907114107</v>
      </c>
      <c r="L205" s="576">
        <f t="shared" ref="L205:L268" si="105">ATAN(G205/Zero1)</f>
        <v>6.4503921660854835E-2</v>
      </c>
      <c r="M205" s="575">
        <f t="shared" ref="M205:M268" si="106">SQRT(1+(G205/z_RHP)^2)</f>
        <v>1.0032194138088784</v>
      </c>
      <c r="N205" s="576">
        <f t="shared" ref="N205:N268" si="107">-ATAN(G205/z_RHP)</f>
        <v>-8.013488981968625E-2</v>
      </c>
      <c r="O205" s="574">
        <f t="shared" ref="O205:O268" si="108">SQRT(1+(G205/Pole2)^2)</f>
        <v>220205.22441504561</v>
      </c>
      <c r="P205" s="577">
        <f t="shared" ref="P205:P268" si="109">ATAN(G205/Pole2)</f>
        <v>1.5707917855765734</v>
      </c>
      <c r="Q205" s="586">
        <f t="shared" si="100"/>
        <v>29.524440053258743</v>
      </c>
      <c r="R205" s="587">
        <f t="shared" si="101"/>
        <v>1.5369196031084753</v>
      </c>
      <c r="S205" s="574">
        <f t="shared" ref="S205:S268" si="110">SQRT(1+(G205/pole4)^2)</f>
        <v>1.0935747921853152</v>
      </c>
      <c r="T205" s="577">
        <f t="shared" ref="T205:T268" si="111">ATAN(G205/pole4)</f>
        <v>0.41669352283600219</v>
      </c>
      <c r="U205" s="578">
        <f t="shared" si="89"/>
        <v>0.98071468910532644</v>
      </c>
      <c r="V205" s="579">
        <f t="shared" si="90"/>
        <v>-0.24028439471435409</v>
      </c>
      <c r="W205" s="580">
        <f t="shared" ref="W205:W268" si="112">20*LOG10(((K205*Q205*M205*U205)/(I205*O205*S205))*Adc)</f>
        <v>-9.1025591979689402</v>
      </c>
      <c r="X205" s="581">
        <f t="shared" ref="X205:X268" si="113">((L205+R205+N205+V205)-(J205+P205+T205))*radconv</f>
        <v>-129.76835030169096</v>
      </c>
      <c r="Y205" s="584">
        <f t="shared" ref="Y205:Y268" si="114">IF(X205&gt;0,X205,X205+180)</f>
        <v>50.231649698309042</v>
      </c>
      <c r="AA205" s="147">
        <f t="shared" ref="AA205:AA268" si="115">IF(W205&lt;0,G205,1000000000)</f>
        <v>11682.25</v>
      </c>
      <c r="AB205" s="147">
        <f t="shared" ref="AB205:AB268" si="116">G205^2</f>
        <v>136474965.0625</v>
      </c>
      <c r="AD205" s="583">
        <f t="shared" ref="AD205:AD268" si="117">20*LOG10((Q205/(O205*S205))*Aea)</f>
        <v>26.875561310630349</v>
      </c>
      <c r="AE205" s="584">
        <f t="shared" ref="AE205:AE268" si="118">(R205-(P205+T205))*radconv</f>
        <v>-25.815513336758681</v>
      </c>
      <c r="AG205" s="583">
        <f t="shared" ref="AG205:AG268" si="119">20*LOG10((K205*M205/(I205*U205))*Acs*Am)</f>
        <v>23.647365158254079</v>
      </c>
      <c r="AH205" s="584">
        <f t="shared" ref="AH205:AH268" si="120">(L205+N205-(J205+V205))*radconv</f>
        <v>-76.418273533493334</v>
      </c>
      <c r="AJ205" s="147">
        <f t="shared" ref="AJ205:AJ268" si="121">SUM((W206&lt;0)*(W205&gt;0))*G205</f>
        <v>0</v>
      </c>
      <c r="AK205" s="147">
        <f t="shared" si="99"/>
        <v>0</v>
      </c>
      <c r="AM205" s="147" t="str">
        <f t="shared" si="91"/>
        <v>0.059438501399065+0.339623419907348i</v>
      </c>
      <c r="AN205" s="147" t="str">
        <f t="shared" si="92"/>
        <v>0.346516490612297i</v>
      </c>
      <c r="AO205" s="147" t="str">
        <f t="shared" si="93"/>
        <v>0.980107524773875-0.171531523056916i</v>
      </c>
      <c r="AP205" s="147" t="str">
        <f t="shared" si="94"/>
        <v>0.156760249766822-0.0566039033178913i</v>
      </c>
      <c r="AQ205" s="147" t="str">
        <f t="shared" si="95"/>
        <v>0.843239750233178+0.0566039033178913i</v>
      </c>
      <c r="AR205" s="147" t="str">
        <f t="shared" si="96"/>
        <v>0.983425347335628-0.0660141001008984i</v>
      </c>
    </row>
    <row r="206" spans="7:44">
      <c r="G206" s="585">
        <v>11749</v>
      </c>
      <c r="H206" s="573">
        <f t="shared" ref="H206:H269" si="122">G206/1000</f>
        <v>11.749000000000001</v>
      </c>
      <c r="I206" s="574">
        <f t="shared" si="102"/>
        <v>81.157568143634833</v>
      </c>
      <c r="J206" s="575">
        <f t="shared" si="103"/>
        <v>1.5584743052177139</v>
      </c>
      <c r="K206" s="575">
        <f t="shared" si="104"/>
        <v>1.002107848628137</v>
      </c>
      <c r="L206" s="576">
        <f t="shared" si="105"/>
        <v>6.4871453723854028E-2</v>
      </c>
      <c r="M206" s="575">
        <f t="shared" si="106"/>
        <v>1.0032562491895602</v>
      </c>
      <c r="N206" s="576">
        <f t="shared" si="107"/>
        <v>-8.0590789879563585E-2</v>
      </c>
      <c r="O206" s="574">
        <f t="shared" si="108"/>
        <v>221463.43227135771</v>
      </c>
      <c r="P206" s="577">
        <f t="shared" si="109"/>
        <v>1.5707918113767541</v>
      </c>
      <c r="Q206" s="586">
        <f t="shared" si="100"/>
        <v>29.692943719051481</v>
      </c>
      <c r="R206" s="587">
        <f t="shared" si="101"/>
        <v>1.5371119221424332</v>
      </c>
      <c r="S206" s="574">
        <f t="shared" si="110"/>
        <v>1.0946008194808374</v>
      </c>
      <c r="T206" s="577">
        <f t="shared" si="111"/>
        <v>0.41880625533735022</v>
      </c>
      <c r="U206" s="578">
        <f t="shared" ref="U206:U269" si="123">IMABS(IMPRODUCT(AO206, AR206))</f>
        <v>0.98050408975922176</v>
      </c>
      <c r="V206" s="579">
        <f t="shared" ref="V206:V269" si="124">IMARGUMENT(IMPRODUCT(AO206, AR206))</f>
        <v>-0.24163168536418952</v>
      </c>
      <c r="W206" s="580">
        <f t="shared" si="112"/>
        <v>-9.1615815175171758</v>
      </c>
      <c r="X206" s="581">
        <f t="shared" si="113"/>
        <v>-129.96467407563836</v>
      </c>
      <c r="Y206" s="584">
        <f t="shared" si="114"/>
        <v>50.035325924361644</v>
      </c>
      <c r="AA206" s="147">
        <f t="shared" si="115"/>
        <v>11749</v>
      </c>
      <c r="AB206" s="147">
        <f t="shared" si="116"/>
        <v>138039001</v>
      </c>
      <c r="AD206" s="583">
        <f t="shared" si="117"/>
        <v>26.867359297598604</v>
      </c>
      <c r="AE206" s="584">
        <f t="shared" si="118"/>
        <v>-25.925546401727409</v>
      </c>
      <c r="AG206" s="583">
        <f t="shared" si="119"/>
        <v>23.600275680148695</v>
      </c>
      <c r="AH206" s="584">
        <f t="shared" si="120"/>
        <v>-76.350176106269558</v>
      </c>
      <c r="AJ206" s="147">
        <f t="shared" si="121"/>
        <v>0</v>
      </c>
      <c r="AK206" s="147">
        <f t="shared" si="99"/>
        <v>0</v>
      </c>
      <c r="AM206" s="147" t="str">
        <f t="shared" ref="AM206:AM269" si="125">IMSUB(1,IMEXP(COMPLEX(0,-2*Pi*G206*Tsw)))</f>
        <v>0.060112773317654+0.341484993988561i</v>
      </c>
      <c r="AN206" s="147" t="str">
        <f t="shared" ref="AN206:AN269" si="126">COMPLEX(0, 2*Pi*G206*Tsw)</f>
        <v>0.348496415348402i</v>
      </c>
      <c r="AO206" s="147" t="str">
        <f t="shared" ref="AO206:AO269" si="127">IMDIV(AM206, AN206)</f>
        <v>0.979880936930638-0.172491798108045i</v>
      </c>
      <c r="AP206" s="147" t="str">
        <f t="shared" ref="AP206:AP269" si="128">IMDIV(IMEXP(COMPLEX(0,-2*Pi*G206*Tsw)),6)</f>
        <v>0.156647871113724-0.0569141656647602i</v>
      </c>
      <c r="AQ206" s="147" t="str">
        <f t="shared" ref="AQ206:AQ269" si="129">IMSUB(1, AP206)</f>
        <v>0.843352128886276+0.0569141656647602i</v>
      </c>
      <c r="AR206" s="147" t="str">
        <f t="shared" ref="AR206:AR269" si="130">IMDIV(0.833, AQ206)</f>
        <v>0.983247007492859-0.0663550623245945i</v>
      </c>
    </row>
    <row r="207" spans="7:44">
      <c r="G207" s="585">
        <v>11817.5</v>
      </c>
      <c r="H207" s="573">
        <f t="shared" si="122"/>
        <v>11.817500000000001</v>
      </c>
      <c r="I207" s="574">
        <f t="shared" si="102"/>
        <v>81.63066813738547</v>
      </c>
      <c r="J207" s="575">
        <f t="shared" si="103"/>
        <v>1.5585457225043724</v>
      </c>
      <c r="K207" s="575">
        <f t="shared" si="104"/>
        <v>1.0021324727609073</v>
      </c>
      <c r="L207" s="576">
        <f t="shared" si="105"/>
        <v>6.5248603212413367E-2</v>
      </c>
      <c r="M207" s="575">
        <f t="shared" si="106"/>
        <v>1.0032942670692906</v>
      </c>
      <c r="N207" s="576">
        <f t="shared" si="107"/>
        <v>-8.1058607471028624E-2</v>
      </c>
      <c r="O207" s="574">
        <f t="shared" si="108"/>
        <v>222754.62685049465</v>
      </c>
      <c r="P207" s="577">
        <f t="shared" si="109"/>
        <v>1.5707918375503223</v>
      </c>
      <c r="Q207" s="586">
        <f t="shared" si="100"/>
        <v>29.865866212702336</v>
      </c>
      <c r="R207" s="587">
        <f t="shared" si="101"/>
        <v>1.5373070270191094</v>
      </c>
      <c r="S207" s="574">
        <f t="shared" si="110"/>
        <v>1.0956588164400827</v>
      </c>
      <c r="T207" s="577">
        <f t="shared" si="111"/>
        <v>0.42097025397881405</v>
      </c>
      <c r="U207" s="578">
        <f t="shared" si="123"/>
        <v>0.98028685589532705</v>
      </c>
      <c r="V207" s="579">
        <f t="shared" si="124"/>
        <v>-0.24301385645297241</v>
      </c>
      <c r="W207" s="580">
        <f t="shared" si="112"/>
        <v>-9.221898383483266</v>
      </c>
      <c r="X207" s="581">
        <f t="shared" si="113"/>
        <v>-130.16596425723037</v>
      </c>
      <c r="Y207" s="584">
        <f t="shared" si="114"/>
        <v>49.834035742769629</v>
      </c>
      <c r="AA207" s="147">
        <f t="shared" si="115"/>
        <v>11817.5</v>
      </c>
      <c r="AB207" s="147">
        <f t="shared" si="116"/>
        <v>139653306.25</v>
      </c>
      <c r="AD207" s="583">
        <f t="shared" si="117"/>
        <v>26.858910982396353</v>
      </c>
      <c r="AE207" s="584">
        <f t="shared" si="118"/>
        <v>-26.038357204523265</v>
      </c>
      <c r="AG207" s="583">
        <f t="shared" si="119"/>
        <v>23.55225632989109</v>
      </c>
      <c r="AH207" s="584">
        <f t="shared" si="120"/>
        <v>-76.280270344980181</v>
      </c>
      <c r="AJ207" s="147">
        <f t="shared" si="121"/>
        <v>0</v>
      </c>
      <c r="AK207" s="147">
        <f t="shared" si="99"/>
        <v>0</v>
      </c>
      <c r="AM207" s="147" t="str">
        <f t="shared" si="125"/>
        <v>0.0608085533660641+0.343393981557125i</v>
      </c>
      <c r="AN207" s="147" t="str">
        <f t="shared" si="126"/>
        <v>0.350528248223657i</v>
      </c>
      <c r="AO207" s="147" t="str">
        <f t="shared" si="127"/>
        <v>0.979647099191903-0.173476898578698i</v>
      </c>
      <c r="AP207" s="147" t="str">
        <f t="shared" si="128"/>
        <v>0.156531907772323-0.0572323302595208i</v>
      </c>
      <c r="AQ207" s="147" t="str">
        <f t="shared" si="129"/>
        <v>0.843468092227677+0.0572323302595208i</v>
      </c>
      <c r="AR207" s="147" t="str">
        <f t="shared" si="130"/>
        <v>0.983063096501355-0.0667043511466058i</v>
      </c>
    </row>
    <row r="208" spans="7:44">
      <c r="G208" s="585">
        <v>11886</v>
      </c>
      <c r="H208" s="573">
        <f t="shared" si="122"/>
        <v>11.885999999999999</v>
      </c>
      <c r="I208" s="574">
        <f t="shared" si="102"/>
        <v>82.103768542689323</v>
      </c>
      <c r="J208" s="575">
        <f t="shared" si="103"/>
        <v>1.558616316746408</v>
      </c>
      <c r="K208" s="575">
        <f t="shared" si="104"/>
        <v>1.002157239431724</v>
      </c>
      <c r="L208" s="576">
        <f t="shared" si="105"/>
        <v>6.5625734113353457E-2</v>
      </c>
      <c r="M208" s="575">
        <f t="shared" si="106"/>
        <v>1.0033325045066128</v>
      </c>
      <c r="N208" s="576">
        <f t="shared" si="107"/>
        <v>-8.1526389507399821E-2</v>
      </c>
      <c r="O208" s="574">
        <f t="shared" si="108"/>
        <v>224045.8214296317</v>
      </c>
      <c r="P208" s="577">
        <f t="shared" si="109"/>
        <v>1.5707918634222096</v>
      </c>
      <c r="Q208" s="586">
        <f t="shared" si="100"/>
        <v>30.038789830135507</v>
      </c>
      <c r="R208" s="587">
        <f t="shared" si="101"/>
        <v>1.5374998855914548</v>
      </c>
      <c r="S208" s="574">
        <f t="shared" si="110"/>
        <v>1.0967219343358128</v>
      </c>
      <c r="T208" s="577">
        <f t="shared" si="111"/>
        <v>0.42313006733259001</v>
      </c>
      <c r="U208" s="578">
        <f t="shared" si="123"/>
        <v>0.9800684966551273</v>
      </c>
      <c r="V208" s="579">
        <f t="shared" si="124"/>
        <v>-0.2443955778469363</v>
      </c>
      <c r="W208" s="580">
        <f t="shared" si="112"/>
        <v>-9.2819622954588041</v>
      </c>
      <c r="X208" s="581">
        <f t="shared" si="113"/>
        <v>-130.36706943121106</v>
      </c>
      <c r="Y208" s="584">
        <f t="shared" si="114"/>
        <v>49.632930568788936</v>
      </c>
      <c r="AA208" s="147">
        <f t="shared" si="115"/>
        <v>11886</v>
      </c>
      <c r="AB208" s="147">
        <f t="shared" si="116"/>
        <v>141276996</v>
      </c>
      <c r="AD208" s="583">
        <f t="shared" si="117"/>
        <v>26.850431189875216</v>
      </c>
      <c r="AE208" s="584">
        <f t="shared" si="118"/>
        <v>-26.15105689447104</v>
      </c>
      <c r="AG208" s="583">
        <f t="shared" si="119"/>
        <v>23.504542211387694</v>
      </c>
      <c r="AH208" s="584">
        <f t="shared" si="120"/>
        <v>-76.210342220158054</v>
      </c>
      <c r="AJ208" s="147">
        <f t="shared" si="121"/>
        <v>0</v>
      </c>
      <c r="AK208" s="147">
        <f t="shared" si="99"/>
        <v>0</v>
      </c>
      <c r="AM208" s="147" t="str">
        <f t="shared" si="125"/>
        <v>0.061508210719297+0.345301551477406i</v>
      </c>
      <c r="AN208" s="147" t="str">
        <f t="shared" si="126"/>
        <v>0.352560081098911i</v>
      </c>
      <c r="AO208" s="147" t="str">
        <f t="shared" si="127"/>
        <v>0.979411935693682-0.174461642190401i</v>
      </c>
      <c r="AP208" s="147" t="str">
        <f t="shared" si="128"/>
        <v>0.15641529821345-0.0575502585795677i</v>
      </c>
      <c r="AQ208" s="147" t="str">
        <f t="shared" si="129"/>
        <v>0.84358470178655+0.0575502585795677i</v>
      </c>
      <c r="AR208" s="147" t="str">
        <f t="shared" si="130"/>
        <v>0.982878280966781-0.0670530168483208i</v>
      </c>
    </row>
    <row r="209" spans="7:44">
      <c r="G209" s="585">
        <v>11954.5</v>
      </c>
      <c r="H209" s="573">
        <f t="shared" si="122"/>
        <v>11.954499999999999</v>
      </c>
      <c r="I209" s="574">
        <f t="shared" si="102"/>
        <v>82.576869352472741</v>
      </c>
      <c r="J209" s="575">
        <f t="shared" si="103"/>
        <v>1.5586861020893144</v>
      </c>
      <c r="K209" s="575">
        <f t="shared" si="104"/>
        <v>1.00218214863002</v>
      </c>
      <c r="L209" s="576">
        <f t="shared" si="105"/>
        <v>6.6002846320779421E-2</v>
      </c>
      <c r="M209" s="575">
        <f t="shared" si="106"/>
        <v>1.0033709614764259</v>
      </c>
      <c r="N209" s="576">
        <f t="shared" si="107"/>
        <v>-8.1994135788033676E-2</v>
      </c>
      <c r="O209" s="574">
        <f t="shared" si="108"/>
        <v>225337.01600876893</v>
      </c>
      <c r="P209" s="577">
        <f t="shared" si="109"/>
        <v>1.570791888997602</v>
      </c>
      <c r="Q209" s="586">
        <f t="shared" si="100"/>
        <v>30.211714552054328</v>
      </c>
      <c r="R209" s="587">
        <f t="shared" si="101"/>
        <v>1.5376905364169451</v>
      </c>
      <c r="S209" s="574">
        <f t="shared" si="110"/>
        <v>1.0977901582904324</v>
      </c>
      <c r="T209" s="577">
        <f t="shared" si="111"/>
        <v>0.42528568743714429</v>
      </c>
      <c r="U209" s="578">
        <f t="shared" si="123"/>
        <v>0.97984901428036841</v>
      </c>
      <c r="V209" s="579">
        <f t="shared" si="124"/>
        <v>-0.24577684734296459</v>
      </c>
      <c r="W209" s="580">
        <f t="shared" si="112"/>
        <v>-9.341776394725624</v>
      </c>
      <c r="X209" s="581">
        <f t="shared" si="113"/>
        <v>-130.5679876113538</v>
      </c>
      <c r="Y209" s="584">
        <f t="shared" si="114"/>
        <v>49.4320123886462</v>
      </c>
      <c r="AA209" s="147">
        <f t="shared" si="115"/>
        <v>11954.5</v>
      </c>
      <c r="AB209" s="147">
        <f t="shared" si="116"/>
        <v>142910070.25</v>
      </c>
      <c r="AD209" s="583">
        <f t="shared" si="117"/>
        <v>26.841920117563248</v>
      </c>
      <c r="AE209" s="584">
        <f t="shared" si="118"/>
        <v>-26.263642806524963</v>
      </c>
      <c r="AG209" s="583">
        <f t="shared" si="119"/>
        <v>23.457129959798625</v>
      </c>
      <c r="AH209" s="584">
        <f t="shared" si="120"/>
        <v>-76.140392663080831</v>
      </c>
      <c r="AJ209" s="147">
        <f t="shared" si="121"/>
        <v>0</v>
      </c>
      <c r="AK209" s="147">
        <f t="shared" si="99"/>
        <v>0</v>
      </c>
      <c r="AM209" s="147" t="str">
        <f t="shared" si="125"/>
        <v>0.062211742488925+0.347207695874303i</v>
      </c>
      <c r="AN209" s="147" t="str">
        <f t="shared" si="126"/>
        <v>0.354591913974166i</v>
      </c>
      <c r="AO209" s="147" t="str">
        <f t="shared" si="127"/>
        <v>0.9791754470171-0.175446026931842i</v>
      </c>
      <c r="AP209" s="147" t="str">
        <f t="shared" si="128"/>
        <v>0.156298042918512-0.0578679493123838i</v>
      </c>
      <c r="AQ209" s="147" t="str">
        <f t="shared" si="129"/>
        <v>0.843701957081488+0.0578679493123838i</v>
      </c>
      <c r="AR209" s="147" t="str">
        <f t="shared" si="130"/>
        <v>0.982692563538246-0.0674010567110672i</v>
      </c>
    </row>
    <row r="210" spans="7:44">
      <c r="G210" s="585">
        <v>12023</v>
      </c>
      <c r="H210" s="573">
        <f t="shared" si="122"/>
        <v>12.023</v>
      </c>
      <c r="I210" s="574">
        <f t="shared" si="102"/>
        <v>83.049970559823265</v>
      </c>
      <c r="J210" s="575">
        <f t="shared" si="103"/>
        <v>1.5587550923562936</v>
      </c>
      <c r="K210" s="575">
        <f t="shared" si="104"/>
        <v>1.0022072003451676</v>
      </c>
      <c r="L210" s="576">
        <f t="shared" si="105"/>
        <v>6.6379939728828122E-2</v>
      </c>
      <c r="M210" s="575">
        <f t="shared" si="106"/>
        <v>1.003409637953488</v>
      </c>
      <c r="N210" s="576">
        <f t="shared" si="107"/>
        <v>-8.2461846112379916E-2</v>
      </c>
      <c r="O210" s="574">
        <f t="shared" si="108"/>
        <v>226628.21058790627</v>
      </c>
      <c r="P210" s="577">
        <f t="shared" si="109"/>
        <v>1.5707919142815674</v>
      </c>
      <c r="Q210" s="586">
        <f t="shared" si="100"/>
        <v>30.384640359601285</v>
      </c>
      <c r="R210" s="587">
        <f t="shared" si="101"/>
        <v>1.5378790171759495</v>
      </c>
      <c r="S210" s="574">
        <f t="shared" si="110"/>
        <v>1.0988634734128804</v>
      </c>
      <c r="T210" s="577">
        <f t="shared" si="111"/>
        <v>0.427437106517704</v>
      </c>
      <c r="U210" s="578">
        <f t="shared" si="123"/>
        <v>0.97962841102167042</v>
      </c>
      <c r="V210" s="579">
        <f t="shared" si="124"/>
        <v>-0.24715766274442671</v>
      </c>
      <c r="W210" s="580">
        <f t="shared" si="112"/>
        <v>-9.4013437646656648</v>
      </c>
      <c r="X210" s="581">
        <f t="shared" si="113"/>
        <v>-130.76871685428947</v>
      </c>
      <c r="Y210" s="584">
        <f t="shared" si="114"/>
        <v>49.231283145710535</v>
      </c>
      <c r="AA210" s="147">
        <f t="shared" si="115"/>
        <v>12023</v>
      </c>
      <c r="AB210" s="147">
        <f t="shared" si="116"/>
        <v>144552529</v>
      </c>
      <c r="AD210" s="583">
        <f t="shared" si="117"/>
        <v>26.833377963425598</v>
      </c>
      <c r="AE210" s="584">
        <f t="shared" si="118"/>
        <v>-26.3761123365876</v>
      </c>
      <c r="AG210" s="583">
        <f t="shared" si="119"/>
        <v>23.410016267634532</v>
      </c>
      <c r="AH210" s="584">
        <f t="shared" si="120"/>
        <v>-76.07042258619218</v>
      </c>
      <c r="AJ210" s="147">
        <f t="shared" si="121"/>
        <v>0</v>
      </c>
      <c r="AK210" s="147">
        <f t="shared" si="99"/>
        <v>0</v>
      </c>
      <c r="AM210" s="147" t="str">
        <f t="shared" si="125"/>
        <v>0.062919145770529+0.349112406878595i</v>
      </c>
      <c r="AN210" s="147" t="str">
        <f t="shared" si="126"/>
        <v>0.35662374684942i</v>
      </c>
      <c r="AO210" s="147" t="str">
        <f t="shared" si="127"/>
        <v>0.978937633746536-0.176430050792708i</v>
      </c>
      <c r="AP210" s="147" t="str">
        <f t="shared" si="128"/>
        <v>0.156180142371578-0.0581854011464325i</v>
      </c>
      <c r="AQ210" s="147" t="str">
        <f t="shared" si="129"/>
        <v>0.843819857628422+0.0581854011464325i</v>
      </c>
      <c r="AR210" s="147" t="str">
        <f t="shared" si="130"/>
        <v>0.982505946874379-0.0677484680300272i</v>
      </c>
    </row>
    <row r="211" spans="7:44">
      <c r="G211" s="585">
        <v>12093</v>
      </c>
      <c r="H211" s="573">
        <f t="shared" si="122"/>
        <v>12.093</v>
      </c>
      <c r="I211" s="574">
        <f t="shared" si="102"/>
        <v>83.533432051318499</v>
      </c>
      <c r="J211" s="575">
        <f t="shared" si="103"/>
        <v>1.5588247860340301</v>
      </c>
      <c r="K211" s="575">
        <f t="shared" si="104"/>
        <v>1.0022329478591292</v>
      </c>
      <c r="L211" s="576">
        <f t="shared" si="105"/>
        <v>6.676527112524816E-2</v>
      </c>
      <c r="M211" s="575">
        <f t="shared" si="106"/>
        <v>1.0034493881042605</v>
      </c>
      <c r="N211" s="576">
        <f t="shared" si="107"/>
        <v>-8.2939760914091887E-2</v>
      </c>
      <c r="O211" s="574">
        <f t="shared" si="108"/>
        <v>227947.67950089352</v>
      </c>
      <c r="P211" s="577">
        <f t="shared" si="109"/>
        <v>1.5707919398232801</v>
      </c>
      <c r="Q211" s="586">
        <f t="shared" si="100"/>
        <v>30.561353966034428</v>
      </c>
      <c r="R211" s="587">
        <f t="shared" si="101"/>
        <v>1.5380694217040451</v>
      </c>
      <c r="S211" s="574">
        <f t="shared" si="110"/>
        <v>1.0999655358934575</v>
      </c>
      <c r="T211" s="577">
        <f t="shared" si="111"/>
        <v>0.42963128904772807</v>
      </c>
      <c r="U211" s="578">
        <f t="shared" si="123"/>
        <v>0.9794018214159298</v>
      </c>
      <c r="V211" s="579">
        <f t="shared" si="124"/>
        <v>-0.24856824358145918</v>
      </c>
      <c r="W211" s="580">
        <f t="shared" si="112"/>
        <v>-9.4619637863138664</v>
      </c>
      <c r="X211" s="581">
        <f t="shared" si="113"/>
        <v>-130.97364446114082</v>
      </c>
      <c r="Y211" s="584">
        <f t="shared" si="114"/>
        <v>49.026355538859178</v>
      </c>
      <c r="AA211" s="147">
        <f t="shared" si="115"/>
        <v>12093</v>
      </c>
      <c r="AB211" s="147">
        <f t="shared" si="116"/>
        <v>146240649</v>
      </c>
      <c r="AD211" s="583">
        <f t="shared" si="117"/>
        <v>26.824616851032953</v>
      </c>
      <c r="AE211" s="584">
        <f t="shared" si="118"/>
        <v>-26.490921822742774</v>
      </c>
      <c r="AG211" s="583">
        <f t="shared" si="119"/>
        <v>23.362175943257924</v>
      </c>
      <c r="AH211" s="584">
        <f t="shared" si="120"/>
        <v>-75.998900049455685</v>
      </c>
      <c r="AJ211" s="147">
        <f t="shared" si="121"/>
        <v>0</v>
      </c>
      <c r="AK211" s="147">
        <f t="shared" si="99"/>
        <v>0</v>
      </c>
      <c r="AM211" s="147" t="str">
        <f t="shared" si="125"/>
        <v>0.063646036202449+0.351057337881741i</v>
      </c>
      <c r="AN211" s="147" t="str">
        <f t="shared" si="126"/>
        <v>0.358700072415374i</v>
      </c>
      <c r="AO211" s="147" t="str">
        <f t="shared" si="127"/>
        <v>0.978693245077512-0.177435247709532i</v>
      </c>
      <c r="AP211" s="147" t="str">
        <f t="shared" si="128"/>
        <v>0.156058993966258-0.0585095563136235i</v>
      </c>
      <c r="AQ211" s="147" t="str">
        <f t="shared" si="129"/>
        <v>0.843941006033742+0.0585095563136235i</v>
      </c>
      <c r="AR211" s="147" t="str">
        <f t="shared" si="130"/>
        <v>0.982314317502886-0.0681028347558642i</v>
      </c>
    </row>
    <row r="212" spans="7:44">
      <c r="G212" s="585">
        <v>12163</v>
      </c>
      <c r="H212" s="573">
        <f t="shared" si="122"/>
        <v>12.163</v>
      </c>
      <c r="I212" s="574">
        <f t="shared" si="102"/>
        <v>84.016893943883517</v>
      </c>
      <c r="J212" s="575">
        <f t="shared" si="103"/>
        <v>1.5588936776296656</v>
      </c>
      <c r="K212" s="575">
        <f t="shared" si="104"/>
        <v>1.002258844177266</v>
      </c>
      <c r="L212" s="576">
        <f t="shared" si="105"/>
        <v>6.7150582666526917E-2</v>
      </c>
      <c r="M212" s="575">
        <f t="shared" si="106"/>
        <v>1.003489367427252</v>
      </c>
      <c r="N212" s="576">
        <f t="shared" si="107"/>
        <v>-8.3417637744401515E-2</v>
      </c>
      <c r="O212" s="574">
        <f t="shared" si="108"/>
        <v>229267.14841388087</v>
      </c>
      <c r="P212" s="577">
        <f t="shared" si="109"/>
        <v>1.5707919650709998</v>
      </c>
      <c r="Q212" s="586">
        <f t="shared" si="100"/>
        <v>30.738068667695899</v>
      </c>
      <c r="R212" s="587">
        <f t="shared" si="101"/>
        <v>1.5382576369484955</v>
      </c>
      <c r="S212" s="574">
        <f t="shared" si="110"/>
        <v>1.1010728834729777</v>
      </c>
      <c r="T212" s="577">
        <f t="shared" si="111"/>
        <v>0.43182106872959841</v>
      </c>
      <c r="U212" s="578">
        <f t="shared" si="123"/>
        <v>0.97917406607906576</v>
      </c>
      <c r="V212" s="579">
        <f t="shared" si="124"/>
        <v>-0.24997834560158208</v>
      </c>
      <c r="W212" s="580">
        <f t="shared" si="112"/>
        <v>-9.5223324857292084</v>
      </c>
      <c r="X212" s="581">
        <f t="shared" si="113"/>
        <v>-131.17837079515081</v>
      </c>
      <c r="Y212" s="584">
        <f t="shared" si="114"/>
        <v>48.821629204849188</v>
      </c>
      <c r="AA212" s="147">
        <f t="shared" si="115"/>
        <v>12163</v>
      </c>
      <c r="AB212" s="147">
        <f t="shared" si="116"/>
        <v>147938569</v>
      </c>
      <c r="AD212" s="583">
        <f t="shared" si="117"/>
        <v>26.815823699898228</v>
      </c>
      <c r="AE212" s="584">
        <f t="shared" si="118"/>
        <v>-26.605604464149245</v>
      </c>
      <c r="AG212" s="583">
        <f t="shared" si="119"/>
        <v>23.314640591207699</v>
      </c>
      <c r="AH212" s="584">
        <f t="shared" si="120"/>
        <v>-75.927357953002726</v>
      </c>
      <c r="AJ212" s="147">
        <f t="shared" si="121"/>
        <v>0</v>
      </c>
      <c r="AK212" s="147">
        <f t="shared" si="99"/>
        <v>0</v>
      </c>
      <c r="AM212" s="147" t="str">
        <f t="shared" si="125"/>
        <v>0.064376963374575+0.353000755432363i</v>
      </c>
      <c r="AN212" s="147" t="str">
        <f t="shared" si="126"/>
        <v>0.360776397981328i</v>
      </c>
      <c r="AO212" s="147" t="str">
        <f t="shared" si="127"/>
        <v>0.978447474412205-0.178440063526292i</v>
      </c>
      <c r="AP212" s="147" t="str">
        <f t="shared" si="128"/>
        <v>0.155937172770904-0.0588334592387272i</v>
      </c>
      <c r="AQ212" s="147" t="str">
        <f t="shared" si="129"/>
        <v>0.844062827229096+0.0588334592387272i</v>
      </c>
      <c r="AR212" s="147" t="str">
        <f t="shared" si="130"/>
        <v>0.982121754725833-0.0684565394424678i</v>
      </c>
    </row>
    <row r="213" spans="7:44">
      <c r="G213" s="585">
        <v>12233</v>
      </c>
      <c r="H213" s="573">
        <f t="shared" si="122"/>
        <v>12.233000000000001</v>
      </c>
      <c r="I213" s="574">
        <f t="shared" si="102"/>
        <v>84.500356230634281</v>
      </c>
      <c r="J213" s="575">
        <f t="shared" si="103"/>
        <v>1.5589617809096932</v>
      </c>
      <c r="K213" s="575">
        <f t="shared" si="104"/>
        <v>1.0022848892880436</v>
      </c>
      <c r="L213" s="576">
        <f t="shared" si="105"/>
        <v>6.7535874239797358E-2</v>
      </c>
      <c r="M213" s="575">
        <f t="shared" si="106"/>
        <v>1.0035295758950726</v>
      </c>
      <c r="N213" s="576">
        <f t="shared" si="107"/>
        <v>-8.3895476389598142E-2</v>
      </c>
      <c r="O213" s="574">
        <f t="shared" si="108"/>
        <v>230586.61732686841</v>
      </c>
      <c r="P213" s="577">
        <f t="shared" si="109"/>
        <v>1.5707919900297729</v>
      </c>
      <c r="Q213" s="586">
        <f t="shared" si="100"/>
        <v>30.914784445804099</v>
      </c>
      <c r="R213" s="587">
        <f t="shared" si="101"/>
        <v>1.5384437004391454</v>
      </c>
      <c r="S213" s="574">
        <f t="shared" si="110"/>
        <v>1.1021855002218863</v>
      </c>
      <c r="T213" s="577">
        <f t="shared" si="111"/>
        <v>0.43400643786485338</v>
      </c>
      <c r="U213" s="578">
        <f t="shared" si="123"/>
        <v>0.9789451474411468</v>
      </c>
      <c r="V213" s="579">
        <f t="shared" si="124"/>
        <v>-0.2513879664817717</v>
      </c>
      <c r="W213" s="580">
        <f t="shared" si="112"/>
        <v>-9.5824529745053688</v>
      </c>
      <c r="X213" s="581">
        <f t="shared" si="113"/>
        <v>-131.38289391510204</v>
      </c>
      <c r="Y213" s="584">
        <f t="shared" si="114"/>
        <v>48.617106084897955</v>
      </c>
      <c r="AA213" s="147">
        <f t="shared" si="115"/>
        <v>12233</v>
      </c>
      <c r="AB213" s="147">
        <f t="shared" si="116"/>
        <v>149646289</v>
      </c>
      <c r="AD213" s="583">
        <f t="shared" si="117"/>
        <v>26.806998722470983</v>
      </c>
      <c r="AE213" s="584">
        <f t="shared" si="118"/>
        <v>-26.720157669705074</v>
      </c>
      <c r="AG213" s="583">
        <f t="shared" si="119"/>
        <v>23.267406859183332</v>
      </c>
      <c r="AH213" s="584">
        <f t="shared" si="120"/>
        <v>-75.855797212916812</v>
      </c>
      <c r="AJ213" s="147">
        <f t="shared" si="121"/>
        <v>0</v>
      </c>
      <c r="AK213" s="147">
        <f t="shared" si="99"/>
        <v>0</v>
      </c>
      <c r="AM213" s="147" t="str">
        <f t="shared" si="125"/>
        <v>0.065111924135787+0.35494265115214i</v>
      </c>
      <c r="AN213" s="147" t="str">
        <f t="shared" si="126"/>
        <v>0.362852723547281i</v>
      </c>
      <c r="AO213" s="147" t="str">
        <f t="shared" si="127"/>
        <v>0.978200322384764-0.179444496100917i</v>
      </c>
      <c r="AP213" s="147" t="str">
        <f t="shared" si="128"/>
        <v>0.155814679310702-0.0591571085253567i</v>
      </c>
      <c r="AQ213" s="147" t="str">
        <f t="shared" si="129"/>
        <v>0.844185320689298+0.0591571085253567i</v>
      </c>
      <c r="AR213" s="147" t="str">
        <f t="shared" si="130"/>
        <v>0.981928261410625-0.0688095792484911i</v>
      </c>
    </row>
    <row r="214" spans="7:44">
      <c r="G214" s="585">
        <v>12303</v>
      </c>
      <c r="H214" s="573">
        <f t="shared" si="122"/>
        <v>12.303000000000001</v>
      </c>
      <c r="I214" s="574">
        <f t="shared" si="102"/>
        <v>84.983818904843346</v>
      </c>
      <c r="J214" s="575">
        <f t="shared" si="103"/>
        <v>1.5590291093273725</v>
      </c>
      <c r="K214" s="575">
        <f t="shared" si="104"/>
        <v>1.0023110831798634</v>
      </c>
      <c r="L214" s="576">
        <f t="shared" si="105"/>
        <v>6.7921145732227795E-2</v>
      </c>
      <c r="M214" s="575">
        <f t="shared" si="106"/>
        <v>1.0035700134801799</v>
      </c>
      <c r="N214" s="576">
        <f t="shared" si="107"/>
        <v>-8.4373276636075134E-2</v>
      </c>
      <c r="O214" s="574">
        <f t="shared" si="108"/>
        <v>231906.08623985606</v>
      </c>
      <c r="P214" s="577">
        <f t="shared" si="109"/>
        <v>1.5707920147045318</v>
      </c>
      <c r="Q214" s="586">
        <f t="shared" si="100"/>
        <v>31.09150128200432</v>
      </c>
      <c r="R214" s="587">
        <f t="shared" si="101"/>
        <v>1.5386276488532</v>
      </c>
      <c r="S214" s="574">
        <f t="shared" si="110"/>
        <v>1.1033033701992381</v>
      </c>
      <c r="T214" s="577">
        <f t="shared" si="111"/>
        <v>0.43618738895452258</v>
      </c>
      <c r="U214" s="578">
        <f t="shared" si="123"/>
        <v>0.97871506794166108</v>
      </c>
      <c r="V214" s="579">
        <f t="shared" si="124"/>
        <v>-0.25279710390616611</v>
      </c>
      <c r="W214" s="580">
        <f t="shared" si="112"/>
        <v>-9.6423283067505619</v>
      </c>
      <c r="X214" s="581">
        <f t="shared" si="113"/>
        <v>-131.58721192252065</v>
      </c>
      <c r="Y214" s="584">
        <f t="shared" si="114"/>
        <v>48.412788077479348</v>
      </c>
      <c r="AA214" s="147">
        <f t="shared" si="115"/>
        <v>12303</v>
      </c>
      <c r="AB214" s="147">
        <f t="shared" si="116"/>
        <v>151363809</v>
      </c>
      <c r="AD214" s="583">
        <f t="shared" si="117"/>
        <v>26.798142131531083</v>
      </c>
      <c r="AE214" s="584">
        <f t="shared" si="118"/>
        <v>-26.834578908584405</v>
      </c>
      <c r="AG214" s="583">
        <f t="shared" si="119"/>
        <v>23.220471451919384</v>
      </c>
      <c r="AH214" s="584">
        <f t="shared" si="120"/>
        <v>-75.784218726928088</v>
      </c>
      <c r="AJ214" s="147">
        <f t="shared" si="121"/>
        <v>0</v>
      </c>
      <c r="AK214" s="147">
        <f t="shared" si="99"/>
        <v>0</v>
      </c>
      <c r="AM214" s="147" t="str">
        <f t="shared" si="125"/>
        <v>0.065850915317578+0.356883016669318i</v>
      </c>
      <c r="AN214" s="147" t="str">
        <f t="shared" si="126"/>
        <v>0.364929049113235i</v>
      </c>
      <c r="AO214" s="147" t="str">
        <f t="shared" si="127"/>
        <v>0.977951789632893-0.180448543292439i</v>
      </c>
      <c r="AP214" s="147" t="str">
        <f t="shared" si="128"/>
        <v>0.155691514113737-0.0594805027782197i</v>
      </c>
      <c r="AQ214" s="147" t="str">
        <f t="shared" si="129"/>
        <v>0.844308485886263+0.0594805027782197i</v>
      </c>
      <c r="AR214" s="147" t="str">
        <f t="shared" si="130"/>
        <v>0.981733840434675-0.0691619513478552i</v>
      </c>
    </row>
    <row r="215" spans="7:44">
      <c r="G215" s="585">
        <v>12374.5</v>
      </c>
      <c r="H215" s="573">
        <f t="shared" si="122"/>
        <v>12.374499999999999</v>
      </c>
      <c r="I215" s="574">
        <f t="shared" si="102"/>
        <v>85.47764188666531</v>
      </c>
      <c r="J215" s="575">
        <f t="shared" si="103"/>
        <v>1.5590970942201685</v>
      </c>
      <c r="K215" s="575">
        <f t="shared" si="104"/>
        <v>1.0023379919546851</v>
      </c>
      <c r="L215" s="576">
        <f t="shared" si="105"/>
        <v>6.8314652194168088E-2</v>
      </c>
      <c r="M215" s="575">
        <f t="shared" si="106"/>
        <v>1.0036115540905461</v>
      </c>
      <c r="N215" s="576">
        <f t="shared" si="107"/>
        <v>-8.4861275595494459E-2</v>
      </c>
      <c r="O215" s="574">
        <f t="shared" si="108"/>
        <v>233253.8294866936</v>
      </c>
      <c r="P215" s="577">
        <f t="shared" si="109"/>
        <v>1.5707920396198385</v>
      </c>
      <c r="Q215" s="586">
        <f t="shared" ref="Q215:Q278" si="131">SQRT(1+(G215/Zero2)^2)</f>
        <v>31.272005981246082</v>
      </c>
      <c r="R215" s="587">
        <f t="shared" ref="R215:R278" si="132">ATAN(G215/Zero2)</f>
        <v>1.5388133927411629</v>
      </c>
      <c r="S215" s="574">
        <f t="shared" si="110"/>
        <v>1.1044506012359701</v>
      </c>
      <c r="T215" s="577">
        <f t="shared" si="111"/>
        <v>0.43841050605222093</v>
      </c>
      <c r="U215" s="578">
        <f t="shared" si="123"/>
        <v>0.97847886227189318</v>
      </c>
      <c r="V215" s="579">
        <f t="shared" si="124"/>
        <v>-0.25423593562566105</v>
      </c>
      <c r="W215" s="580">
        <f t="shared" si="112"/>
        <v>-9.7032367057851374</v>
      </c>
      <c r="X215" s="581">
        <f t="shared" si="113"/>
        <v>-131.79569449019732</v>
      </c>
      <c r="Y215" s="584">
        <f t="shared" si="114"/>
        <v>48.20430550980268</v>
      </c>
      <c r="AA215" s="147">
        <f t="shared" si="115"/>
        <v>12374.5</v>
      </c>
      <c r="AB215" s="147">
        <f t="shared" si="116"/>
        <v>153128250.25</v>
      </c>
      <c r="AD215" s="583">
        <f t="shared" si="117"/>
        <v>26.789063341126433</v>
      </c>
      <c r="AE215" s="584">
        <f t="shared" si="118"/>
        <v>-26.95131322247056</v>
      </c>
      <c r="AG215" s="583">
        <f t="shared" si="119"/>
        <v>23.172834900211985</v>
      </c>
      <c r="AH215" s="584">
        <f t="shared" si="120"/>
        <v>-75.711089010616973</v>
      </c>
      <c r="AJ215" s="147">
        <f t="shared" si="121"/>
        <v>0</v>
      </c>
      <c r="AK215" s="147">
        <f t="shared" ref="AK215:AK278" si="133">IF(AJ215&gt;0,Y215,0)</f>
        <v>0</v>
      </c>
      <c r="AM215" s="147" t="str">
        <f t="shared" si="125"/>
        <v>0.0666098996072449+0.35886337301096i</v>
      </c>
      <c r="AN215" s="147" t="str">
        <f t="shared" si="126"/>
        <v>0.367049867369887i</v>
      </c>
      <c r="AO215" s="147" t="str">
        <f t="shared" si="127"/>
        <v>0.977696506424079-0.181473705697107i</v>
      </c>
      <c r="AP215" s="147" t="str">
        <f t="shared" si="128"/>
        <v>0.155565016732126-0.0598105621684933i</v>
      </c>
      <c r="AQ215" s="147" t="str">
        <f t="shared" si="129"/>
        <v>0.844434983267874+0.0598105621684933i</v>
      </c>
      <c r="AR215" s="147" t="str">
        <f t="shared" si="130"/>
        <v>0.981534298605708-0.0695211820335518i</v>
      </c>
    </row>
    <row r="216" spans="7:44">
      <c r="G216" s="585">
        <v>12446</v>
      </c>
      <c r="H216" s="573">
        <f t="shared" si="122"/>
        <v>12.446</v>
      </c>
      <c r="I216" s="574">
        <f t="shared" si="102"/>
        <v>85.971465259021656</v>
      </c>
      <c r="J216" s="575">
        <f t="shared" si="103"/>
        <v>1.5591642980976426</v>
      </c>
      <c r="K216" s="575">
        <f t="shared" si="104"/>
        <v>1.002365055930527</v>
      </c>
      <c r="L216" s="576">
        <f t="shared" si="105"/>
        <v>6.8708137467593147E-2</v>
      </c>
      <c r="M216" s="575">
        <f t="shared" si="106"/>
        <v>1.0036533336841453</v>
      </c>
      <c r="N216" s="576">
        <f t="shared" si="107"/>
        <v>-8.5349234042742222E-2</v>
      </c>
      <c r="O216" s="574">
        <f t="shared" si="108"/>
        <v>234601.5727335313</v>
      </c>
      <c r="P216" s="577">
        <f t="shared" si="109"/>
        <v>1.5707920642488773</v>
      </c>
      <c r="Q216" s="586">
        <f t="shared" si="131"/>
        <v>31.452511747013162</v>
      </c>
      <c r="R216" s="587">
        <f t="shared" si="132"/>
        <v>1.5389970046694061</v>
      </c>
      <c r="S216" s="574">
        <f t="shared" si="110"/>
        <v>1.1056032793995774</v>
      </c>
      <c r="T216" s="577">
        <f t="shared" si="111"/>
        <v>0.44062899854726234</v>
      </c>
      <c r="U216" s="578">
        <f t="shared" si="123"/>
        <v>0.97824145063086387</v>
      </c>
      <c r="V216" s="579">
        <f t="shared" si="124"/>
        <v>-0.25567425808664451</v>
      </c>
      <c r="W216" s="580">
        <f t="shared" si="112"/>
        <v>-9.7638955923734851</v>
      </c>
      <c r="X216" s="581">
        <f t="shared" si="113"/>
        <v>-132.00395918914265</v>
      </c>
      <c r="Y216" s="584">
        <f t="shared" si="114"/>
        <v>47.996040810857352</v>
      </c>
      <c r="AA216" s="147">
        <f t="shared" si="115"/>
        <v>12446</v>
      </c>
      <c r="AB216" s="147">
        <f t="shared" si="116"/>
        <v>154902916</v>
      </c>
      <c r="AD216" s="583">
        <f t="shared" si="117"/>
        <v>26.779952017485805</v>
      </c>
      <c r="AE216" s="584">
        <f t="shared" si="118"/>
        <v>-27.067904702034504</v>
      </c>
      <c r="AG216" s="583">
        <f t="shared" si="119"/>
        <v>23.125502822347734</v>
      </c>
      <c r="AH216" s="584">
        <f t="shared" si="120"/>
        <v>-75.637942616623604</v>
      </c>
      <c r="AJ216" s="147">
        <f t="shared" si="121"/>
        <v>0</v>
      </c>
      <c r="AK216" s="147">
        <f t="shared" si="133"/>
        <v>0</v>
      </c>
      <c r="AM216" s="147" t="str">
        <f t="shared" si="125"/>
        <v>0.067373082162743+0.360842115232381i</v>
      </c>
      <c r="AN216" s="147" t="str">
        <f t="shared" si="126"/>
        <v>0.36917068562654i</v>
      </c>
      <c r="AO216" s="147" t="str">
        <f t="shared" si="127"/>
        <v>0.977439784039125-0.182498461513542i</v>
      </c>
      <c r="AP216" s="147" t="str">
        <f t="shared" si="128"/>
        <v>0.155437819639543-0.0601403525387302i</v>
      </c>
      <c r="AQ216" s="147" t="str">
        <f t="shared" si="129"/>
        <v>0.844562180360457+0.0601403525387302i</v>
      </c>
      <c r="AR216" s="147" t="str">
        <f t="shared" si="130"/>
        <v>0.981333795033092-0.0698797101786769i</v>
      </c>
    </row>
    <row r="217" spans="7:44">
      <c r="G217" s="585">
        <v>12517.5</v>
      </c>
      <c r="H217" s="573">
        <f t="shared" si="122"/>
        <v>12.5175</v>
      </c>
      <c r="I217" s="574">
        <f t="shared" si="102"/>
        <v>86.465289015221103</v>
      </c>
      <c r="J217" s="575">
        <f t="shared" si="103"/>
        <v>1.5592307343408733</v>
      </c>
      <c r="K217" s="575">
        <f t="shared" si="104"/>
        <v>1.0023922750948182</v>
      </c>
      <c r="L217" s="576">
        <f t="shared" si="105"/>
        <v>6.9101601432377008E-2</v>
      </c>
      <c r="M217" s="575">
        <f t="shared" si="106"/>
        <v>1.003695352231134</v>
      </c>
      <c r="N217" s="576">
        <f t="shared" si="107"/>
        <v>-8.5837151750522853E-2</v>
      </c>
      <c r="O217" s="574">
        <f t="shared" si="108"/>
        <v>235949.31598036914</v>
      </c>
      <c r="P217" s="577">
        <f t="shared" si="109"/>
        <v>1.5707920885965536</v>
      </c>
      <c r="Q217" s="586">
        <f t="shared" si="131"/>
        <v>31.633018561047994</v>
      </c>
      <c r="R217" s="587">
        <f t="shared" si="132"/>
        <v>1.5391785211221101</v>
      </c>
      <c r="S217" s="574">
        <f t="shared" si="110"/>
        <v>1.1067613876707172</v>
      </c>
      <c r="T217" s="577">
        <f t="shared" si="111"/>
        <v>0.44284285908567406</v>
      </c>
      <c r="U217" s="578">
        <f t="shared" si="123"/>
        <v>0.9780028356482221</v>
      </c>
      <c r="V217" s="579">
        <f t="shared" si="124"/>
        <v>-0.25711206884445753</v>
      </c>
      <c r="W217" s="580">
        <f t="shared" si="112"/>
        <v>-9.8243080439506816</v>
      </c>
      <c r="X217" s="581">
        <f t="shared" si="113"/>
        <v>-132.2120041283668</v>
      </c>
      <c r="Y217" s="584">
        <f t="shared" si="114"/>
        <v>47.7879958716332</v>
      </c>
      <c r="AA217" s="147">
        <f t="shared" si="115"/>
        <v>12517.5</v>
      </c>
      <c r="AB217" s="147">
        <f t="shared" si="116"/>
        <v>156687806.25</v>
      </c>
      <c r="AD217" s="583">
        <f t="shared" si="117"/>
        <v>26.770808388210355</v>
      </c>
      <c r="AE217" s="584">
        <f t="shared" si="118"/>
        <v>-27.184350835816073</v>
      </c>
      <c r="AG217" s="583">
        <f t="shared" si="119"/>
        <v>23.078471882666335</v>
      </c>
      <c r="AH217" s="584">
        <f t="shared" si="120"/>
        <v>-75.56478044555557</v>
      </c>
      <c r="AJ217" s="147">
        <f t="shared" si="121"/>
        <v>0</v>
      </c>
      <c r="AK217" s="147">
        <f t="shared" si="133"/>
        <v>0</v>
      </c>
      <c r="AM217" s="147" t="str">
        <f t="shared" si="125"/>
        <v>0.068140459551376+0.362819234433456i</v>
      </c>
      <c r="AN217" s="147" t="str">
        <f t="shared" si="126"/>
        <v>0.371291503883192i</v>
      </c>
      <c r="AO217" s="147" t="str">
        <f t="shared" si="127"/>
        <v>0.977181623169052-0.183522808463759i</v>
      </c>
      <c r="AP217" s="147" t="str">
        <f t="shared" si="128"/>
        <v>0.155309923408104-0.060469872405576i</v>
      </c>
      <c r="AQ217" s="147" t="str">
        <f t="shared" si="129"/>
        <v>0.844690076591896+0.060469872405576i</v>
      </c>
      <c r="AR217" s="147" t="str">
        <f t="shared" si="130"/>
        <v>0.981132332814924-0.070237532821127i</v>
      </c>
    </row>
    <row r="218" spans="7:44">
      <c r="G218" s="585">
        <v>12589</v>
      </c>
      <c r="H218" s="573">
        <f t="shared" si="122"/>
        <v>12.589</v>
      </c>
      <c r="I218" s="574">
        <f t="shared" si="102"/>
        <v>86.959113148724327</v>
      </c>
      <c r="J218" s="575">
        <f t="shared" si="103"/>
        <v>1.5592964160270122</v>
      </c>
      <c r="K218" s="575">
        <f t="shared" si="104"/>
        <v>1.0024196494349167</v>
      </c>
      <c r="L218" s="576">
        <f t="shared" si="105"/>
        <v>6.9495043968433076E-2</v>
      </c>
      <c r="M218" s="575">
        <f t="shared" si="106"/>
        <v>1.0037376097015029</v>
      </c>
      <c r="N218" s="576">
        <f t="shared" si="107"/>
        <v>-8.6325028491656325E-2</v>
      </c>
      <c r="O218" s="574">
        <f t="shared" si="108"/>
        <v>237297.05922720709</v>
      </c>
      <c r="P218" s="577">
        <f t="shared" si="109"/>
        <v>1.5707921126676618</v>
      </c>
      <c r="Q218" s="586">
        <f t="shared" si="131"/>
        <v>31.813526405507279</v>
      </c>
      <c r="R218" s="587">
        <f t="shared" si="132"/>
        <v>1.5393579777559794</v>
      </c>
      <c r="S218" s="574">
        <f t="shared" si="110"/>
        <v>1.1079249090211978</v>
      </c>
      <c r="T218" s="577">
        <f t="shared" si="111"/>
        <v>0.44505208052577427</v>
      </c>
      <c r="U218" s="578">
        <f t="shared" si="123"/>
        <v>0.97776301996356063</v>
      </c>
      <c r="V218" s="579">
        <f t="shared" si="124"/>
        <v>-0.25854936546234186</v>
      </c>
      <c r="W218" s="580">
        <f t="shared" si="112"/>
        <v>-9.8844770809842419</v>
      </c>
      <c r="X218" s="581">
        <f t="shared" si="113"/>
        <v>-132.41982745949133</v>
      </c>
      <c r="Y218" s="584">
        <f t="shared" si="114"/>
        <v>47.58017254050867</v>
      </c>
      <c r="AA218" s="147">
        <f t="shared" si="115"/>
        <v>12589</v>
      </c>
      <c r="AB218" s="147">
        <f t="shared" si="116"/>
        <v>158482921</v>
      </c>
      <c r="AD218" s="583">
        <f t="shared" si="117"/>
        <v>26.76163268111582</v>
      </c>
      <c r="AE218" s="584">
        <f t="shared" si="118"/>
        <v>-27.300649171923087</v>
      </c>
      <c r="AG218" s="583">
        <f t="shared" si="119"/>
        <v>23.031738802132743</v>
      </c>
      <c r="AH218" s="584">
        <f t="shared" si="120"/>
        <v>-75.491603380158409</v>
      </c>
      <c r="AJ218" s="147">
        <f t="shared" si="121"/>
        <v>0</v>
      </c>
      <c r="AK218" s="147">
        <f t="shared" si="133"/>
        <v>0</v>
      </c>
      <c r="AM218" s="147" t="str">
        <f t="shared" si="125"/>
        <v>0.0689120283215821+0.364794721721366i</v>
      </c>
      <c r="AN218" s="147" t="str">
        <f t="shared" si="126"/>
        <v>0.373412322139845i</v>
      </c>
      <c r="AO218" s="147" t="str">
        <f t="shared" si="127"/>
        <v>0.976922024508737-0.184546744271i</v>
      </c>
      <c r="AP218" s="147" t="str">
        <f t="shared" si="128"/>
        <v>0.15518132861307-0.0607991202868943i</v>
      </c>
      <c r="AQ218" s="147" t="str">
        <f t="shared" si="129"/>
        <v>0.84481867138693+0.0607991202868943i</v>
      </c>
      <c r="AR218" s="147" t="str">
        <f t="shared" si="130"/>
        <v>0.98092991505977-0.0705946470155804i</v>
      </c>
    </row>
    <row r="219" spans="7:44">
      <c r="G219" s="585">
        <v>12662.25</v>
      </c>
      <c r="H219" s="573">
        <f t="shared" si="122"/>
        <v>12.66225</v>
      </c>
      <c r="I219" s="574">
        <f t="shared" si="102"/>
        <v>87.465024271481226</v>
      </c>
      <c r="J219" s="575">
        <f t="shared" si="103"/>
        <v>1.5593629361826848</v>
      </c>
      <c r="K219" s="575">
        <f t="shared" si="104"/>
        <v>1.0024478546823559</v>
      </c>
      <c r="L219" s="576">
        <f t="shared" si="105"/>
        <v>6.9898093869539199E-2</v>
      </c>
      <c r="M219" s="575">
        <f t="shared" si="106"/>
        <v>1.0037811491806805</v>
      </c>
      <c r="N219" s="576">
        <f t="shared" si="107"/>
        <v>-8.6824803551582078E-2</v>
      </c>
      <c r="O219" s="574">
        <f t="shared" si="108"/>
        <v>238677.78919686988</v>
      </c>
      <c r="P219" s="577">
        <f t="shared" si="109"/>
        <v>1.5707921370460165</v>
      </c>
      <c r="Q219" s="586">
        <f t="shared" si="131"/>
        <v>31.998453324463714</v>
      </c>
      <c r="R219" s="587">
        <f t="shared" si="132"/>
        <v>1.5395397270589408</v>
      </c>
      <c r="S219" s="574">
        <f t="shared" si="110"/>
        <v>1.109122503788704</v>
      </c>
      <c r="T219" s="577">
        <f t="shared" si="111"/>
        <v>0.4473105557704512</v>
      </c>
      <c r="U219" s="578">
        <f t="shared" si="123"/>
        <v>0.97751609229084313</v>
      </c>
      <c r="V219" s="579">
        <f t="shared" si="124"/>
        <v>-0.26002130495985448</v>
      </c>
      <c r="W219" s="580">
        <f t="shared" si="112"/>
        <v>-9.9458694620446444</v>
      </c>
      <c r="X219" s="581">
        <f t="shared" si="113"/>
        <v>-132.63250567662857</v>
      </c>
      <c r="Y219" s="584">
        <f t="shared" si="114"/>
        <v>47.367494323371432</v>
      </c>
      <c r="AA219" s="147">
        <f t="shared" si="115"/>
        <v>12662.25</v>
      </c>
      <c r="AB219" s="147">
        <f t="shared" si="116"/>
        <v>160332575.0625</v>
      </c>
      <c r="AD219" s="583">
        <f t="shared" si="117"/>
        <v>26.752199367033334</v>
      </c>
      <c r="AE219" s="584">
        <f t="shared" si="118"/>
        <v>-27.419638200501524</v>
      </c>
      <c r="AG219" s="583">
        <f t="shared" si="119"/>
        <v>22.984167418758194</v>
      </c>
      <c r="AH219" s="584">
        <f t="shared" si="120"/>
        <v>-75.416620726712338</v>
      </c>
      <c r="AJ219" s="147">
        <f t="shared" si="121"/>
        <v>0</v>
      </c>
      <c r="AK219" s="147">
        <f t="shared" si="133"/>
        <v>0</v>
      </c>
      <c r="AM219" s="147" t="str">
        <f t="shared" si="125"/>
        <v>0.069706824530153+0.366816858492392i</v>
      </c>
      <c r="AN219" s="147" t="str">
        <f t="shared" si="126"/>
        <v>0.375585048535646i</v>
      </c>
      <c r="AO219" s="147" t="str">
        <f t="shared" si="127"/>
        <v>0.976654581758672-0.18559531270462i</v>
      </c>
      <c r="AP219" s="147" t="str">
        <f t="shared" si="128"/>
        <v>0.155048862578308-0.0611361430820653i</v>
      </c>
      <c r="AQ219" s="147" t="str">
        <f t="shared" si="129"/>
        <v>0.844951137421692+0.0611361430820653i</v>
      </c>
      <c r="AR219" s="147" t="str">
        <f t="shared" si="130"/>
        <v>0.980721555380618-0.070959764036026i</v>
      </c>
    </row>
    <row r="220" spans="7:44">
      <c r="G220" s="585">
        <v>12735.5</v>
      </c>
      <c r="H220" s="573">
        <f t="shared" si="122"/>
        <v>12.7355</v>
      </c>
      <c r="I220" s="574">
        <f t="shared" si="102"/>
        <v>87.970935776813349</v>
      </c>
      <c r="J220" s="575">
        <f t="shared" si="103"/>
        <v>1.5594286912379498</v>
      </c>
      <c r="K220" s="575">
        <f t="shared" si="104"/>
        <v>1.0024762227674908</v>
      </c>
      <c r="L220" s="576">
        <f t="shared" si="105"/>
        <v>7.0301121025091035E-2</v>
      </c>
      <c r="M220" s="575">
        <f t="shared" si="106"/>
        <v>1.00382493935762</v>
      </c>
      <c r="N220" s="576">
        <f t="shared" si="107"/>
        <v>-8.7324535132624143E-2</v>
      </c>
      <c r="O220" s="574">
        <f t="shared" si="108"/>
        <v>240058.51916653285</v>
      </c>
      <c r="P220" s="577">
        <f t="shared" si="109"/>
        <v>1.5707921611439399</v>
      </c>
      <c r="Q220" s="586">
        <f t="shared" si="131"/>
        <v>32.183381288271818</v>
      </c>
      <c r="R220" s="587">
        <f t="shared" si="132"/>
        <v>1.5397193876793223</v>
      </c>
      <c r="S220" s="574">
        <f t="shared" si="110"/>
        <v>1.1103257436481935</v>
      </c>
      <c r="T220" s="577">
        <f t="shared" si="111"/>
        <v>0.44956414755206164</v>
      </c>
      <c r="U220" s="578">
        <f t="shared" si="123"/>
        <v>0.97726791006140523</v>
      </c>
      <c r="V220" s="579">
        <f t="shared" si="124"/>
        <v>-0.26149269968969641</v>
      </c>
      <c r="W220" s="580">
        <f t="shared" si="112"/>
        <v>-10.007012607563837</v>
      </c>
      <c r="X220" s="581">
        <f t="shared" si="113"/>
        <v>-132.84494751072663</v>
      </c>
      <c r="Y220" s="584">
        <f t="shared" si="114"/>
        <v>47.155052489273373</v>
      </c>
      <c r="AA220" s="147">
        <f t="shared" si="115"/>
        <v>12735.5</v>
      </c>
      <c r="AB220" s="147">
        <f t="shared" si="116"/>
        <v>162192960.25</v>
      </c>
      <c r="AD220" s="583">
        <f t="shared" si="117"/>
        <v>26.742732870277123</v>
      </c>
      <c r="AE220" s="584">
        <f t="shared" si="118"/>
        <v>-27.538467083885713</v>
      </c>
      <c r="AG220" s="583">
        <f t="shared" si="119"/>
        <v>22.93690186291191</v>
      </c>
      <c r="AH220" s="584">
        <f t="shared" si="120"/>
        <v>-75.341624261198078</v>
      </c>
      <c r="AJ220" s="147">
        <f t="shared" si="121"/>
        <v>0</v>
      </c>
      <c r="AK220" s="147">
        <f t="shared" si="133"/>
        <v>0</v>
      </c>
      <c r="AM220" s="147" t="str">
        <f t="shared" si="125"/>
        <v>0.070506012409193+0.368837263617088i</v>
      </c>
      <c r="AN220" s="147" t="str">
        <f t="shared" si="126"/>
        <v>0.377757774931448i</v>
      </c>
      <c r="AO220" s="147" t="str">
        <f t="shared" si="127"/>
        <v>0.976385631464557-0.186643444789423i</v>
      </c>
      <c r="AP220" s="147" t="str">
        <f t="shared" si="128"/>
        <v>0.154915664598468-0.0614728772695147i</v>
      </c>
      <c r="AQ220" s="147" t="str">
        <f t="shared" si="129"/>
        <v>0.845084335401532+0.0614728772695147i</v>
      </c>
      <c r="AR220" s="147" t="str">
        <f t="shared" si="130"/>
        <v>0.980512199455792-0.0713241313007759i</v>
      </c>
    </row>
    <row r="221" spans="7:44">
      <c r="G221" s="585">
        <v>12808.75</v>
      </c>
      <c r="H221" s="573">
        <f t="shared" si="122"/>
        <v>12.80875</v>
      </c>
      <c r="I221" s="574">
        <f t="shared" si="102"/>
        <v>88.476847658157979</v>
      </c>
      <c r="J221" s="575">
        <f t="shared" si="103"/>
        <v>1.5594936943167985</v>
      </c>
      <c r="K221" s="575">
        <f t="shared" si="104"/>
        <v>1.0025047536764982</v>
      </c>
      <c r="L221" s="576">
        <f t="shared" si="105"/>
        <v>7.070412530609696E-2</v>
      </c>
      <c r="M221" s="575">
        <f t="shared" si="106"/>
        <v>1.0038689801995138</v>
      </c>
      <c r="N221" s="576">
        <f t="shared" si="107"/>
        <v>-8.7824222990891224E-2</v>
      </c>
      <c r="O221" s="574">
        <f t="shared" si="108"/>
        <v>241439.24913619593</v>
      </c>
      <c r="P221" s="577">
        <f t="shared" si="109"/>
        <v>1.5707921849662438</v>
      </c>
      <c r="Q221" s="586">
        <f t="shared" si="131"/>
        <v>32.368310279023127</v>
      </c>
      <c r="R221" s="587">
        <f t="shared" si="132"/>
        <v>1.5398969954050659</v>
      </c>
      <c r="S221" s="574">
        <f t="shared" si="110"/>
        <v>1.111534610267175</v>
      </c>
      <c r="T221" s="577">
        <f t="shared" si="111"/>
        <v>0.45181284887640827</v>
      </c>
      <c r="U221" s="578">
        <f t="shared" si="123"/>
        <v>0.97701847614536386</v>
      </c>
      <c r="V221" s="579">
        <f t="shared" si="124"/>
        <v>-0.26296354705774755</v>
      </c>
      <c r="W221" s="580">
        <f t="shared" si="112"/>
        <v>-10.067909587784014</v>
      </c>
      <c r="X221" s="581">
        <f t="shared" si="113"/>
        <v>-133.05715110755904</v>
      </c>
      <c r="Y221" s="584">
        <f t="shared" si="114"/>
        <v>46.942848892440963</v>
      </c>
      <c r="AA221" s="147">
        <f t="shared" si="115"/>
        <v>12808.75</v>
      </c>
      <c r="AB221" s="147">
        <f t="shared" si="116"/>
        <v>164064076.5625</v>
      </c>
      <c r="AD221" s="583">
        <f t="shared" si="117"/>
        <v>26.733233436283591</v>
      </c>
      <c r="AE221" s="584">
        <f t="shared" si="118"/>
        <v>-27.657133371115297</v>
      </c>
      <c r="AG221" s="583">
        <f t="shared" si="119"/>
        <v>22.889938785438218</v>
      </c>
      <c r="AH221" s="584">
        <f t="shared" si="120"/>
        <v>-75.266614877613776</v>
      </c>
      <c r="AJ221" s="147">
        <f t="shared" si="121"/>
        <v>0</v>
      </c>
      <c r="AK221" s="147">
        <f t="shared" si="133"/>
        <v>0</v>
      </c>
      <c r="AM221" s="147" t="str">
        <f t="shared" si="125"/>
        <v>0.071309588185946+0.370855927557646i</v>
      </c>
      <c r="AN221" s="147" t="str">
        <f t="shared" si="126"/>
        <v>0.379930501327249i</v>
      </c>
      <c r="AO221" s="147" t="str">
        <f t="shared" si="127"/>
        <v>0.9761151743861-0.187691138081394i</v>
      </c>
      <c r="AP221" s="147" t="str">
        <f t="shared" si="128"/>
        <v>0.154781735302342-0.0618093212596077i</v>
      </c>
      <c r="AQ221" s="147" t="str">
        <f t="shared" si="129"/>
        <v>0.845218264697658+0.0618093212596077i</v>
      </c>
      <c r="AR221" s="147" t="str">
        <f t="shared" si="130"/>
        <v>0.980301850661219-0.0716877456979488i</v>
      </c>
    </row>
    <row r="222" spans="7:44">
      <c r="G222" s="585">
        <v>12882</v>
      </c>
      <c r="H222" s="573">
        <f t="shared" si="122"/>
        <v>12.882</v>
      </c>
      <c r="I222" s="574">
        <f t="shared" si="102"/>
        <v>88.982759909101631</v>
      </c>
      <c r="J222" s="575">
        <f t="shared" si="103"/>
        <v>1.5595579582447827</v>
      </c>
      <c r="K222" s="575">
        <f t="shared" si="104"/>
        <v>1.0025334473954763</v>
      </c>
      <c r="L222" s="576">
        <f t="shared" si="105"/>
        <v>7.1107106583609733E-2</v>
      </c>
      <c r="M222" s="575">
        <f t="shared" si="106"/>
        <v>1.0039132716733725</v>
      </c>
      <c r="N222" s="576">
        <f t="shared" si="107"/>
        <v>-8.8323866882621949E-2</v>
      </c>
      <c r="O222" s="574">
        <f t="shared" si="108"/>
        <v>242819.97910585915</v>
      </c>
      <c r="P222" s="577">
        <f t="shared" si="109"/>
        <v>1.5707922085176294</v>
      </c>
      <c r="Q222" s="586">
        <f t="shared" si="131"/>
        <v>32.553240279216006</v>
      </c>
      <c r="R222" s="587">
        <f t="shared" si="132"/>
        <v>1.540072585211415</v>
      </c>
      <c r="S222" s="574">
        <f t="shared" si="110"/>
        <v>1.1127490853072779</v>
      </c>
      <c r="T222" s="577">
        <f t="shared" si="111"/>
        <v>0.45405665297744979</v>
      </c>
      <c r="U222" s="578">
        <f t="shared" si="123"/>
        <v>0.97676779342344533</v>
      </c>
      <c r="V222" s="579">
        <f t="shared" si="124"/>
        <v>-0.26443384447870205</v>
      </c>
      <c r="W222" s="580">
        <f t="shared" si="112"/>
        <v>-10.128563415825964</v>
      </c>
      <c r="X222" s="581">
        <f t="shared" si="113"/>
        <v>-133.26911465594017</v>
      </c>
      <c r="Y222" s="584">
        <f t="shared" si="114"/>
        <v>46.730885344059828</v>
      </c>
      <c r="AA222" s="147">
        <f t="shared" si="115"/>
        <v>12882</v>
      </c>
      <c r="AB222" s="147">
        <f t="shared" si="116"/>
        <v>165945924</v>
      </c>
      <c r="AD222" s="583">
        <f t="shared" si="117"/>
        <v>26.723701310579926</v>
      </c>
      <c r="AE222" s="584">
        <f t="shared" si="118"/>
        <v>-27.775634670860196</v>
      </c>
      <c r="AG222" s="583">
        <f t="shared" si="119"/>
        <v>22.843274894074685</v>
      </c>
      <c r="AH222" s="584">
        <f t="shared" si="120"/>
        <v>-75.191593452358219</v>
      </c>
      <c r="AJ222" s="147">
        <f t="shared" si="121"/>
        <v>0</v>
      </c>
      <c r="AK222" s="147">
        <f t="shared" si="133"/>
        <v>0</v>
      </c>
      <c r="AM222" s="147" t="str">
        <f t="shared" si="125"/>
        <v>0.07211754806694+0.372872840784485i</v>
      </c>
      <c r="AN222" s="147" t="str">
        <f t="shared" si="126"/>
        <v>0.38210322772305i</v>
      </c>
      <c r="AO222" s="147" t="str">
        <f t="shared" si="127"/>
        <v>0.975843211287251-0.18873839013789i</v>
      </c>
      <c r="AP222" s="147" t="str">
        <f t="shared" si="128"/>
        <v>0.154647075322177-0.0621454734640808i</v>
      </c>
      <c r="AQ222" s="147" t="str">
        <f t="shared" si="129"/>
        <v>0.845352924677823+0.0621454734640808i</v>
      </c>
      <c r="AR222" s="147" t="str">
        <f t="shared" si="130"/>
        <v>0.980090512383881-0.0720506041343181i</v>
      </c>
    </row>
    <row r="223" spans="7:44">
      <c r="G223" s="585">
        <v>12957.25</v>
      </c>
      <c r="H223" s="573">
        <f t="shared" si="122"/>
        <v>12.95725</v>
      </c>
      <c r="I223" s="574">
        <f t="shared" si="102"/>
        <v>89.502485842113401</v>
      </c>
      <c r="J223" s="575">
        <f t="shared" si="103"/>
        <v>1.5596232202908835</v>
      </c>
      <c r="K223" s="575">
        <f t="shared" si="104"/>
        <v>1.0025630940846599</v>
      </c>
      <c r="L223" s="576">
        <f t="shared" si="105"/>
        <v>7.1521066673256029E-2</v>
      </c>
      <c r="M223" s="575">
        <f t="shared" si="106"/>
        <v>1.0039590334260695</v>
      </c>
      <c r="N223" s="576">
        <f t="shared" si="107"/>
        <v>-8.8837106888783546E-2</v>
      </c>
      <c r="O223" s="574">
        <f t="shared" si="108"/>
        <v>244238.4081873222</v>
      </c>
      <c r="P223" s="577">
        <f t="shared" si="109"/>
        <v>1.5707922324347694</v>
      </c>
      <c r="Q223" s="586">
        <f t="shared" si="131"/>
        <v>32.743220595878164</v>
      </c>
      <c r="R223" s="587">
        <f t="shared" si="132"/>
        <v>1.5402509038787171</v>
      </c>
      <c r="S223" s="574">
        <f t="shared" si="110"/>
        <v>1.114002541008245</v>
      </c>
      <c r="T223" s="577">
        <f t="shared" si="111"/>
        <v>0.45635661486670404</v>
      </c>
      <c r="U223" s="578">
        <f t="shared" si="123"/>
        <v>0.9765089687432903</v>
      </c>
      <c r="V223" s="579">
        <f t="shared" si="124"/>
        <v>-0.26594371115632987</v>
      </c>
      <c r="W223" s="580">
        <f t="shared" si="112"/>
        <v>-10.190623227002398</v>
      </c>
      <c r="X223" s="581">
        <f t="shared" si="113"/>
        <v>-133.4866137770565</v>
      </c>
      <c r="Y223" s="584">
        <f t="shared" si="114"/>
        <v>46.513386222943495</v>
      </c>
      <c r="AA223" s="147">
        <f t="shared" si="115"/>
        <v>12957.25</v>
      </c>
      <c r="AB223" s="147">
        <f t="shared" si="116"/>
        <v>167890327.5625</v>
      </c>
      <c r="AD223" s="583">
        <f t="shared" si="117"/>
        <v>26.713875137313835</v>
      </c>
      <c r="AE223" s="584">
        <f t="shared" si="118"/>
        <v>-27.897197243600669</v>
      </c>
      <c r="AG223" s="583">
        <f t="shared" si="119"/>
        <v>22.795645053565995</v>
      </c>
      <c r="AH223" s="584">
        <f t="shared" si="120"/>
        <v>-75.114512024025316</v>
      </c>
      <c r="AJ223" s="147">
        <f t="shared" si="121"/>
        <v>0</v>
      </c>
      <c r="AK223" s="147">
        <f t="shared" si="133"/>
        <v>0</v>
      </c>
      <c r="AM223" s="147" t="str">
        <f t="shared" si="125"/>
        <v>0.072952129570047+0.37494299024157i</v>
      </c>
      <c r="AN223" s="147" t="str">
        <f t="shared" si="126"/>
        <v>0.38433527770645i</v>
      </c>
      <c r="AO223" s="147" t="str">
        <f t="shared" si="127"/>
        <v>0.975562255120245-0.189813774070896i</v>
      </c>
      <c r="AP223" s="147" t="str">
        <f t="shared" si="128"/>
        <v>0.154507978404992-0.062490498373595i</v>
      </c>
      <c r="AQ223" s="147" t="str">
        <f t="shared" si="129"/>
        <v>0.845492021595008+0.062490498373595i</v>
      </c>
      <c r="AR223" s="147" t="str">
        <f t="shared" si="130"/>
        <v>0.979872376972287-0.0724225795342253i</v>
      </c>
    </row>
    <row r="224" spans="7:44">
      <c r="G224" s="585">
        <v>13032.5</v>
      </c>
      <c r="H224" s="573">
        <f t="shared" si="122"/>
        <v>13.032500000000001</v>
      </c>
      <c r="I224" s="574">
        <f t="shared" si="102"/>
        <v>90.022212151926709</v>
      </c>
      <c r="J224" s="575">
        <f t="shared" si="103"/>
        <v>1.5596877287809601</v>
      </c>
      <c r="K224" s="575">
        <f t="shared" si="104"/>
        <v>1.002592912565841</v>
      </c>
      <c r="L224" s="576">
        <f t="shared" si="105"/>
        <v>7.1935002210356244E-2</v>
      </c>
      <c r="M224" s="575">
        <f t="shared" si="106"/>
        <v>1.0040050596127923</v>
      </c>
      <c r="N224" s="576">
        <f t="shared" si="107"/>
        <v>-8.9350299973621108E-2</v>
      </c>
      <c r="O224" s="574">
        <f t="shared" si="108"/>
        <v>245656.8372687854</v>
      </c>
      <c r="P224" s="577">
        <f t="shared" si="109"/>
        <v>1.5707922560757133</v>
      </c>
      <c r="Q224" s="586">
        <f t="shared" si="131"/>
        <v>32.933201941682285</v>
      </c>
      <c r="R224" s="587">
        <f t="shared" si="132"/>
        <v>1.5404271652222856</v>
      </c>
      <c r="S224" s="574">
        <f t="shared" si="110"/>
        <v>1.1152618763230526</v>
      </c>
      <c r="T224" s="577">
        <f t="shared" si="111"/>
        <v>0.45865139471409816</v>
      </c>
      <c r="U224" s="578">
        <f t="shared" si="123"/>
        <v>0.97624883232946447</v>
      </c>
      <c r="V224" s="579">
        <f t="shared" si="124"/>
        <v>-0.26745299194306377</v>
      </c>
      <c r="W224" s="580">
        <f t="shared" si="112"/>
        <v>-10.2524326939097</v>
      </c>
      <c r="X224" s="581">
        <f t="shared" si="113"/>
        <v>-133.70385582289495</v>
      </c>
      <c r="Y224" s="584">
        <f t="shared" si="114"/>
        <v>46.296144177105049</v>
      </c>
      <c r="AA224" s="147">
        <f t="shared" si="115"/>
        <v>13032.5</v>
      </c>
      <c r="AB224" s="147">
        <f t="shared" si="116"/>
        <v>169846056.25</v>
      </c>
      <c r="AD224" s="583">
        <f t="shared" si="117"/>
        <v>26.704014988209703</v>
      </c>
      <c r="AE224" s="584">
        <f t="shared" si="118"/>
        <v>-28.01858076735526</v>
      </c>
      <c r="AG224" s="583">
        <f t="shared" si="119"/>
        <v>22.748324095088197</v>
      </c>
      <c r="AH224" s="584">
        <f t="shared" si="120"/>
        <v>-75.037419707551521</v>
      </c>
      <c r="AJ224" s="147">
        <f t="shared" si="121"/>
        <v>0</v>
      </c>
      <c r="AK224" s="147">
        <f t="shared" si="133"/>
        <v>0</v>
      </c>
      <c r="AM224" s="147" t="str">
        <f t="shared" si="125"/>
        <v>0.073791329667419+0.377011271715783i</v>
      </c>
      <c r="AN224" s="147" t="str">
        <f t="shared" si="126"/>
        <v>0.386567327689851i</v>
      </c>
      <c r="AO224" s="147" t="str">
        <f t="shared" si="127"/>
        <v>0.975279711218287-0.190888687123147i</v>
      </c>
      <c r="AP224" s="147" t="str">
        <f t="shared" si="128"/>
        <v>0.154368111722097-0.0628352119526305i</v>
      </c>
      <c r="AQ224" s="147" t="str">
        <f t="shared" si="129"/>
        <v>0.845631888277903+0.0628352119526305i</v>
      </c>
      <c r="AR224" s="147" t="str">
        <f t="shared" si="130"/>
        <v>0.97965320458892-0.0727937505712756i</v>
      </c>
    </row>
    <row r="225" spans="7:44">
      <c r="G225" s="585">
        <v>13107.75</v>
      </c>
      <c r="H225" s="573">
        <f t="shared" si="122"/>
        <v>13.107749999999999</v>
      </c>
      <c r="I225" s="574">
        <f t="shared" si="102"/>
        <v>90.541938832052836</v>
      </c>
      <c r="J225" s="575">
        <f t="shared" si="103"/>
        <v>1.5597514966911037</v>
      </c>
      <c r="K225" s="575">
        <f t="shared" si="104"/>
        <v>1.0026229028236924</v>
      </c>
      <c r="L225" s="576">
        <f t="shared" si="105"/>
        <v>7.2348913055257771E-2</v>
      </c>
      <c r="M225" s="575">
        <f t="shared" si="106"/>
        <v>1.0040513501971753</v>
      </c>
      <c r="N225" s="576">
        <f t="shared" si="107"/>
        <v>-8.9863445873289621E-2</v>
      </c>
      <c r="O225" s="574">
        <f t="shared" si="108"/>
        <v>247075.26635024871</v>
      </c>
      <c r="P225" s="577">
        <f t="shared" si="109"/>
        <v>1.5707922794452174</v>
      </c>
      <c r="Q225" s="586">
        <f t="shared" si="131"/>
        <v>33.123184298920123</v>
      </c>
      <c r="R225" s="587">
        <f t="shared" si="132"/>
        <v>1.5406014046312211</v>
      </c>
      <c r="S225" s="574">
        <f t="shared" si="110"/>
        <v>1.1165270713567814</v>
      </c>
      <c r="T225" s="577">
        <f t="shared" si="111"/>
        <v>0.46094098592643695</v>
      </c>
      <c r="U225" s="578">
        <f t="shared" si="123"/>
        <v>0.97598738733951274</v>
      </c>
      <c r="V225" s="579">
        <f t="shared" si="124"/>
        <v>-0.26896168406526494</v>
      </c>
      <c r="W225" s="580">
        <f t="shared" si="112"/>
        <v>-10.313994903627632</v>
      </c>
      <c r="X225" s="581">
        <f t="shared" si="113"/>
        <v>-133.9208389657615</v>
      </c>
      <c r="Y225" s="584">
        <f t="shared" si="114"/>
        <v>46.079161034238496</v>
      </c>
      <c r="AA225" s="147">
        <f t="shared" si="115"/>
        <v>13107.75</v>
      </c>
      <c r="AB225" s="147">
        <f t="shared" si="116"/>
        <v>171813110.0625</v>
      </c>
      <c r="AD225" s="583">
        <f t="shared" si="117"/>
        <v>26.694121129535095</v>
      </c>
      <c r="AE225" s="584">
        <f t="shared" si="118"/>
        <v>-28.139782836988111</v>
      </c>
      <c r="AG225" s="583">
        <f t="shared" si="119"/>
        <v>22.701308628403531</v>
      </c>
      <c r="AH225" s="584">
        <f t="shared" si="120"/>
        <v>-74.960317398214158</v>
      </c>
      <c r="AJ225" s="147">
        <f t="shared" si="121"/>
        <v>0</v>
      </c>
      <c r="AK225" s="147">
        <f t="shared" si="133"/>
        <v>0</v>
      </c>
      <c r="AM225" s="147" t="str">
        <f t="shared" si="125"/>
        <v>0.07463514417812+0.379077674902851i</v>
      </c>
      <c r="AN225" s="147" t="str">
        <f t="shared" si="126"/>
        <v>0.388799377673251i</v>
      </c>
      <c r="AO225" s="147" t="str">
        <f t="shared" si="127"/>
        <v>0.974995580423562-0.191963126650999i</v>
      </c>
      <c r="AP225" s="147" t="str">
        <f t="shared" si="128"/>
        <v>0.154227475970313-0.0631796124838085i</v>
      </c>
      <c r="AQ225" s="147" t="str">
        <f t="shared" si="129"/>
        <v>0.845772524029687+0.0631796124838085i</v>
      </c>
      <c r="AR225" s="147" t="str">
        <f t="shared" si="130"/>
        <v>0.979432998941463-0.0731641139536522i</v>
      </c>
    </row>
    <row r="226" spans="7:44">
      <c r="G226" s="585">
        <v>13183</v>
      </c>
      <c r="H226" s="573">
        <f t="shared" si="122"/>
        <v>13.183</v>
      </c>
      <c r="I226" s="574">
        <f t="shared" si="102"/>
        <v>91.061665876151181</v>
      </c>
      <c r="J226" s="575">
        <f t="shared" si="103"/>
        <v>1.5598145367011906</v>
      </c>
      <c r="K226" s="575">
        <f t="shared" si="104"/>
        <v>1.0026530648427998</v>
      </c>
      <c r="L226" s="576">
        <f t="shared" si="105"/>
        <v>7.2762799068358489E-2</v>
      </c>
      <c r="M226" s="575">
        <f t="shared" si="106"/>
        <v>1.0040979051426511</v>
      </c>
      <c r="N226" s="576">
        <f t="shared" si="107"/>
        <v>-9.0376544324091951E-2</v>
      </c>
      <c r="O226" s="574">
        <f t="shared" si="108"/>
        <v>248493.69543171214</v>
      </c>
      <c r="P226" s="577">
        <f t="shared" si="109"/>
        <v>1.5707923025479302</v>
      </c>
      <c r="Q226" s="586">
        <f t="shared" si="131"/>
        <v>33.313167650287298</v>
      </c>
      <c r="R226" s="587">
        <f t="shared" si="132"/>
        <v>1.5407736566878327</v>
      </c>
      <c r="S226" s="574">
        <f t="shared" si="110"/>
        <v>1.1177981062122235</v>
      </c>
      <c r="T226" s="577">
        <f t="shared" si="111"/>
        <v>0.46322538215790487</v>
      </c>
      <c r="U226" s="578">
        <f t="shared" si="123"/>
        <v>0.97572463694239175</v>
      </c>
      <c r="V226" s="579">
        <f t="shared" si="124"/>
        <v>-0.27046978475925232</v>
      </c>
      <c r="W226" s="580">
        <f t="shared" si="112"/>
        <v>-10.375312885351759</v>
      </c>
      <c r="X226" s="581">
        <f t="shared" si="113"/>
        <v>-134.13756142195973</v>
      </c>
      <c r="Y226" s="584">
        <f t="shared" si="114"/>
        <v>45.862438578040269</v>
      </c>
      <c r="AA226" s="147">
        <f t="shared" si="115"/>
        <v>13183</v>
      </c>
      <c r="AB226" s="147">
        <f t="shared" si="116"/>
        <v>173791489</v>
      </c>
      <c r="AD226" s="583">
        <f t="shared" si="117"/>
        <v>26.684193827510207</v>
      </c>
      <c r="AE226" s="584">
        <f t="shared" si="118"/>
        <v>-28.260801107756734</v>
      </c>
      <c r="AG226" s="583">
        <f t="shared" si="119"/>
        <v>22.654595321056654</v>
      </c>
      <c r="AH226" s="584">
        <f t="shared" si="120"/>
        <v>-74.883205973753761</v>
      </c>
      <c r="AJ226" s="147">
        <f t="shared" si="121"/>
        <v>0</v>
      </c>
      <c r="AK226" s="147">
        <f t="shared" si="133"/>
        <v>0</v>
      </c>
      <c r="AM226" s="147" t="str">
        <f t="shared" si="125"/>
        <v>0.07548356889823+0.381142189507862i</v>
      </c>
      <c r="AN226" s="147" t="str">
        <f t="shared" si="126"/>
        <v>0.391031427656651i</v>
      </c>
      <c r="AO226" s="147" t="str">
        <f t="shared" si="127"/>
        <v>0.974709863582954-0.193037090012389i</v>
      </c>
      <c r="AP226" s="147" t="str">
        <f t="shared" si="128"/>
        <v>0.154086071850295-0.0635236982513103i</v>
      </c>
      <c r="AQ226" s="147" t="str">
        <f t="shared" si="129"/>
        <v>0.845913928149705+0.0635236982513103i</v>
      </c>
      <c r="AR226" s="147" t="str">
        <f t="shared" si="130"/>
        <v>0.979211763749366-0.0735336664104906i</v>
      </c>
    </row>
    <row r="227" spans="7:44">
      <c r="G227" s="585">
        <v>13259.75</v>
      </c>
      <c r="H227" s="573">
        <f t="shared" si="122"/>
        <v>13.25975</v>
      </c>
      <c r="I227" s="574">
        <f t="shared" si="102"/>
        <v>91.59175329627567</v>
      </c>
      <c r="J227" s="575">
        <f t="shared" si="103"/>
        <v>1.5598780963620671</v>
      </c>
      <c r="K227" s="575">
        <f t="shared" si="104"/>
        <v>1.0026840050131942</v>
      </c>
      <c r="L227" s="576">
        <f t="shared" si="105"/>
        <v>7.318490957706951E-2</v>
      </c>
      <c r="M227" s="575">
        <f t="shared" si="106"/>
        <v>1.0041456603736545</v>
      </c>
      <c r="N227" s="576">
        <f t="shared" si="107"/>
        <v>-9.089982150067609E-2</v>
      </c>
      <c r="O227" s="574">
        <f t="shared" si="108"/>
        <v>249940.3988470255</v>
      </c>
      <c r="P227" s="577">
        <f t="shared" si="109"/>
        <v>1.5707923258410508</v>
      </c>
      <c r="Q227" s="586">
        <f t="shared" si="131"/>
        <v>33.506939051720195</v>
      </c>
      <c r="R227" s="587">
        <f t="shared" si="132"/>
        <v>1.5409473302136487</v>
      </c>
      <c r="S227" s="574">
        <f t="shared" si="110"/>
        <v>1.1191004722716056</v>
      </c>
      <c r="T227" s="577">
        <f t="shared" si="111"/>
        <v>0.46554995685797357</v>
      </c>
      <c r="U227" s="578">
        <f t="shared" si="123"/>
        <v>0.97545530759500743</v>
      </c>
      <c r="V227" s="579">
        <f t="shared" si="124"/>
        <v>-0.27200733517609887</v>
      </c>
      <c r="W227" s="580">
        <f t="shared" si="112"/>
        <v>-10.437604655609869</v>
      </c>
      <c r="X227" s="581">
        <f t="shared" si="113"/>
        <v>-134.35833358932979</v>
      </c>
      <c r="Y227" s="584">
        <f t="shared" si="114"/>
        <v>45.641666410670211</v>
      </c>
      <c r="AA227" s="147">
        <f t="shared" si="115"/>
        <v>13259.75</v>
      </c>
      <c r="AB227" s="147">
        <f t="shared" si="116"/>
        <v>175820970.0625</v>
      </c>
      <c r="AD227" s="583">
        <f t="shared" si="117"/>
        <v>26.674034465073689</v>
      </c>
      <c r="AE227" s="584">
        <f t="shared" si="118"/>
        <v>-28.384040001929478</v>
      </c>
      <c r="AG227" s="583">
        <f t="shared" si="119"/>
        <v>22.607258708741419</v>
      </c>
      <c r="AH227" s="584">
        <f t="shared" si="120"/>
        <v>-74.80454894740204</v>
      </c>
      <c r="AJ227" s="147">
        <f t="shared" si="121"/>
        <v>0</v>
      </c>
      <c r="AK227" s="147">
        <f t="shared" si="133"/>
        <v>0</v>
      </c>
      <c r="AM227" s="147" t="str">
        <f t="shared" si="125"/>
        <v>0.076353650327969+0.383245901135985i</v>
      </c>
      <c r="AN227" s="147" t="str">
        <f t="shared" si="126"/>
        <v>0.39330797033075i</v>
      </c>
      <c r="AO227" s="147" t="str">
        <f t="shared" si="127"/>
        <v>0.974416818488821-0.194131968044685i</v>
      </c>
      <c r="AP227" s="147" t="str">
        <f t="shared" si="128"/>
        <v>0.153941058278672-0.0638743168559975i</v>
      </c>
      <c r="AQ227" s="147" t="str">
        <f t="shared" si="129"/>
        <v>0.846058941721328+0.0638743168559975i</v>
      </c>
      <c r="AR227" s="147" t="str">
        <f t="shared" si="130"/>
        <v>0.978985061889496-0.0739097466580698i</v>
      </c>
    </row>
    <row r="228" spans="7:44">
      <c r="G228" s="585">
        <v>13336.5</v>
      </c>
      <c r="H228" s="573">
        <f t="shared" si="122"/>
        <v>13.336499999999999</v>
      </c>
      <c r="I228" s="574">
        <f t="shared" si="102"/>
        <v>92.121841082157019</v>
      </c>
      <c r="J228" s="575">
        <f t="shared" si="103"/>
        <v>1.5599409245527964</v>
      </c>
      <c r="K228" s="575">
        <f t="shared" si="104"/>
        <v>1.0027151238280549</v>
      </c>
      <c r="L228" s="576">
        <f t="shared" si="105"/>
        <v>7.3606993960961251E-2</v>
      </c>
      <c r="M228" s="575">
        <f t="shared" si="106"/>
        <v>1.0041936905326267</v>
      </c>
      <c r="N228" s="576">
        <f t="shared" si="107"/>
        <v>-9.1423048764266879E-2</v>
      </c>
      <c r="O228" s="574">
        <f t="shared" si="108"/>
        <v>251387.10226233897</v>
      </c>
      <c r="P228" s="577">
        <f t="shared" si="109"/>
        <v>1.5707923488660729</v>
      </c>
      <c r="Q228" s="586">
        <f t="shared" si="131"/>
        <v>33.700711452183867</v>
      </c>
      <c r="R228" s="587">
        <f t="shared" si="132"/>
        <v>1.5411190065680029</v>
      </c>
      <c r="S228" s="574">
        <f t="shared" si="110"/>
        <v>1.1204088714778437</v>
      </c>
      <c r="T228" s="577">
        <f t="shared" si="111"/>
        <v>0.46786911484818561</v>
      </c>
      <c r="U228" s="578">
        <f t="shared" si="123"/>
        <v>0.97518462697355124</v>
      </c>
      <c r="V228" s="579">
        <f t="shared" si="124"/>
        <v>-0.27354426457570452</v>
      </c>
      <c r="W228" s="580">
        <f t="shared" si="112"/>
        <v>-10.499648551171481</v>
      </c>
      <c r="X228" s="581">
        <f t="shared" si="113"/>
        <v>-134.57883096143959</v>
      </c>
      <c r="Y228" s="584">
        <f t="shared" si="114"/>
        <v>45.421169038560407</v>
      </c>
      <c r="AA228" s="147">
        <f t="shared" si="115"/>
        <v>13336.5</v>
      </c>
      <c r="AB228" s="147">
        <f t="shared" si="116"/>
        <v>177862232.25</v>
      </c>
      <c r="AD228" s="583">
        <f t="shared" si="117"/>
        <v>26.66384087180921</v>
      </c>
      <c r="AE228" s="584">
        <f t="shared" si="118"/>
        <v>-28.507082955623151</v>
      </c>
      <c r="AG228" s="583">
        <f t="shared" si="119"/>
        <v>22.560229597641204</v>
      </c>
      <c r="AH228" s="584">
        <f t="shared" si="120"/>
        <v>-74.725884229602954</v>
      </c>
      <c r="AJ228" s="147">
        <f t="shared" si="121"/>
        <v>0</v>
      </c>
      <c r="AK228" s="147">
        <f t="shared" si="133"/>
        <v>0</v>
      </c>
      <c r="AM228" s="147" t="str">
        <f t="shared" si="125"/>
        <v>0.077228518688206+0.385347626536919i</v>
      </c>
      <c r="AN228" s="147" t="str">
        <f t="shared" si="126"/>
        <v>0.395584513004849i</v>
      </c>
      <c r="AO228" s="147" t="str">
        <f t="shared" si="127"/>
        <v>0.974122125281976-0.195226345191272i</v>
      </c>
      <c r="AP228" s="147" t="str">
        <f t="shared" si="128"/>
        <v>0.153795246885299-0.0642246044228198i</v>
      </c>
      <c r="AQ228" s="147" t="str">
        <f t="shared" si="129"/>
        <v>0.846204753114701+0.0642246044228198i</v>
      </c>
      <c r="AR228" s="147" t="str">
        <f t="shared" si="130"/>
        <v>0.978757296883235-0.0742849765224063i</v>
      </c>
    </row>
    <row r="229" spans="7:44">
      <c r="G229" s="585">
        <v>13413.25</v>
      </c>
      <c r="H229" s="573">
        <f t="shared" si="122"/>
        <v>13.41325</v>
      </c>
      <c r="I229" s="574">
        <f t="shared" si="102"/>
        <v>92.651929227517456</v>
      </c>
      <c r="J229" s="575">
        <f t="shared" si="103"/>
        <v>1.5600030338277269</v>
      </c>
      <c r="K229" s="575">
        <f t="shared" si="104"/>
        <v>1.00274642127075</v>
      </c>
      <c r="L229" s="576">
        <f t="shared" si="105"/>
        <v>7.4029052072079923E-2</v>
      </c>
      <c r="M229" s="575">
        <f t="shared" si="106"/>
        <v>1.0042419955801207</v>
      </c>
      <c r="N229" s="576">
        <f t="shared" si="107"/>
        <v>-9.1946225835562098E-2</v>
      </c>
      <c r="O229" s="574">
        <f t="shared" si="108"/>
        <v>252833.80567765259</v>
      </c>
      <c r="P229" s="577">
        <f t="shared" si="109"/>
        <v>1.5707923716275989</v>
      </c>
      <c r="Q229" s="586">
        <f t="shared" si="131"/>
        <v>33.894484834544137</v>
      </c>
      <c r="R229" s="587">
        <f t="shared" si="132"/>
        <v>1.5412887199939307</v>
      </c>
      <c r="S229" s="574">
        <f t="shared" si="110"/>
        <v>1.121723282719409</v>
      </c>
      <c r="T229" s="577">
        <f t="shared" si="111"/>
        <v>0.47018285017955874</v>
      </c>
      <c r="U229" s="578">
        <f t="shared" si="123"/>
        <v>0.97491259847629963</v>
      </c>
      <c r="V229" s="579">
        <f t="shared" si="124"/>
        <v>-0.27508057005798819</v>
      </c>
      <c r="W229" s="580">
        <f t="shared" si="112"/>
        <v>-10.561447608532115</v>
      </c>
      <c r="X229" s="581">
        <f t="shared" si="113"/>
        <v>-134.79905178134291</v>
      </c>
      <c r="Y229" s="584">
        <f t="shared" si="114"/>
        <v>45.200948218657089</v>
      </c>
      <c r="AA229" s="147">
        <f t="shared" si="115"/>
        <v>13413.25</v>
      </c>
      <c r="AB229" s="147">
        <f t="shared" si="116"/>
        <v>179915275.5625</v>
      </c>
      <c r="AD229" s="583">
        <f t="shared" si="117"/>
        <v>26.653613329801587</v>
      </c>
      <c r="AE229" s="584">
        <f t="shared" si="118"/>
        <v>-28.629927666268514</v>
      </c>
      <c r="AG229" s="583">
        <f t="shared" si="119"/>
        <v>22.513504629403947</v>
      </c>
      <c r="AH229" s="584">
        <f t="shared" si="120"/>
        <v>-74.647212698304386</v>
      </c>
      <c r="AJ229" s="147">
        <f t="shared" si="121"/>
        <v>0</v>
      </c>
      <c r="AK229" s="147">
        <f t="shared" si="133"/>
        <v>0</v>
      </c>
      <c r="AM229" s="147" t="str">
        <f t="shared" si="125"/>
        <v>0.078108169444808+0.38744735481817i</v>
      </c>
      <c r="AN229" s="147" t="str">
        <f t="shared" si="126"/>
        <v>0.397861055678948i</v>
      </c>
      <c r="AO229" s="147" t="str">
        <f t="shared" si="127"/>
        <v>0.973825784876062-0.196320218654014i</v>
      </c>
      <c r="AP229" s="147" t="str">
        <f t="shared" si="128"/>
        <v>0.153648638425865-0.0645745591363617i</v>
      </c>
      <c r="AQ229" s="147" t="str">
        <f t="shared" si="129"/>
        <v>0.846351361574135+0.0645745591363617i</v>
      </c>
      <c r="AR229" s="147" t="str">
        <f t="shared" si="130"/>
        <v>0.978528472713821-0.0746593526007313i</v>
      </c>
    </row>
    <row r="230" spans="7:44">
      <c r="G230" s="585">
        <v>13490</v>
      </c>
      <c r="H230" s="573">
        <f t="shared" si="122"/>
        <v>13.49</v>
      </c>
      <c r="I230" s="574">
        <f t="shared" si="102"/>
        <v>93.182017726222028</v>
      </c>
      <c r="J230" s="575">
        <f t="shared" si="103"/>
        <v>1.560064436455556</v>
      </c>
      <c r="K230" s="575">
        <f t="shared" si="104"/>
        <v>1.0027778973245545</v>
      </c>
      <c r="L230" s="576">
        <f t="shared" si="105"/>
        <v>7.445108376252757E-2</v>
      </c>
      <c r="M230" s="575">
        <f t="shared" si="106"/>
        <v>1.0042905754764713</v>
      </c>
      <c r="N230" s="576">
        <f t="shared" si="107"/>
        <v>-9.2469352435423022E-2</v>
      </c>
      <c r="O230" s="574">
        <f t="shared" si="108"/>
        <v>254280.50909296636</v>
      </c>
      <c r="P230" s="577">
        <f t="shared" si="109"/>
        <v>1.5707923941301258</v>
      </c>
      <c r="Q230" s="586">
        <f t="shared" si="131"/>
        <v>34.088259182056355</v>
      </c>
      <c r="R230" s="587">
        <f t="shared" si="132"/>
        <v>1.5414565039563088</v>
      </c>
      <c r="S230" s="574">
        <f t="shared" si="110"/>
        <v>1.1230436848868284</v>
      </c>
      <c r="T230" s="577">
        <f t="shared" si="111"/>
        <v>0.47249115716313173</v>
      </c>
      <c r="U230" s="578">
        <f t="shared" si="123"/>
        <v>0.97463922551342608</v>
      </c>
      <c r="V230" s="579">
        <f t="shared" si="124"/>
        <v>-0.276616248733773</v>
      </c>
      <c r="W230" s="580">
        <f t="shared" si="112"/>
        <v>-10.623004807210561</v>
      </c>
      <c r="X230" s="581">
        <f t="shared" si="113"/>
        <v>-135.01899433583506</v>
      </c>
      <c r="Y230" s="584">
        <f t="shared" si="114"/>
        <v>44.98100566416494</v>
      </c>
      <c r="AA230" s="147">
        <f t="shared" si="115"/>
        <v>13490</v>
      </c>
      <c r="AB230" s="147">
        <f t="shared" si="116"/>
        <v>181980100</v>
      </c>
      <c r="AD230" s="583">
        <f t="shared" si="117"/>
        <v>26.643352120937685</v>
      </c>
      <c r="AE230" s="584">
        <f t="shared" si="118"/>
        <v>-28.752571890773535</v>
      </c>
      <c r="AG230" s="583">
        <f t="shared" si="119"/>
        <v>22.467080502695364</v>
      </c>
      <c r="AH230" s="584">
        <f t="shared" si="120"/>
        <v>-74.568535214469023</v>
      </c>
      <c r="AJ230" s="147">
        <f t="shared" si="121"/>
        <v>0</v>
      </c>
      <c r="AK230" s="147">
        <f t="shared" si="133"/>
        <v>0</v>
      </c>
      <c r="AM230" s="147" t="str">
        <f t="shared" si="125"/>
        <v>0.0789925980388591+0.389545075097593i</v>
      </c>
      <c r="AN230" s="147" t="str">
        <f t="shared" si="126"/>
        <v>0.400137598353047i</v>
      </c>
      <c r="AO230" s="147" t="str">
        <f t="shared" si="127"/>
        <v>0.973527798189792-0.197413585636516i</v>
      </c>
      <c r="AP230" s="147" t="str">
        <f t="shared" si="128"/>
        <v>0.15350123366019-0.0649241791829322i</v>
      </c>
      <c r="AQ230" s="147" t="str">
        <f t="shared" si="129"/>
        <v>0.84649876633981+0.0649241791829322i</v>
      </c>
      <c r="AR230" s="147" t="str">
        <f t="shared" si="130"/>
        <v>0.97829859337661-0.0750328715131247i</v>
      </c>
    </row>
    <row r="231" spans="7:44">
      <c r="G231" s="585">
        <v>13568.5</v>
      </c>
      <c r="H231" s="573">
        <f t="shared" si="122"/>
        <v>13.5685</v>
      </c>
      <c r="I231" s="574">
        <f t="shared" si="102"/>
        <v>93.724193292638049</v>
      </c>
      <c r="J231" s="575">
        <f t="shared" si="103"/>
        <v>1.5601265206408244</v>
      </c>
      <c r="K231" s="575">
        <f t="shared" si="104"/>
        <v>1.0028102758222537</v>
      </c>
      <c r="L231" s="576">
        <f t="shared" si="105"/>
        <v>7.4882710840119451E-2</v>
      </c>
      <c r="M231" s="575">
        <f t="shared" si="106"/>
        <v>1.0043405473368534</v>
      </c>
      <c r="N231" s="576">
        <f t="shared" si="107"/>
        <v>-9.3004354501802153E-2</v>
      </c>
      <c r="O231" s="574">
        <f t="shared" si="108"/>
        <v>255760.19923110498</v>
      </c>
      <c r="P231" s="577">
        <f t="shared" si="109"/>
        <v>1.5707924168823966</v>
      </c>
      <c r="Q231" s="586">
        <f t="shared" si="131"/>
        <v>34.286452818522839</v>
      </c>
      <c r="R231" s="587">
        <f t="shared" si="132"/>
        <v>1.5416261517437742</v>
      </c>
      <c r="S231" s="574">
        <f t="shared" si="110"/>
        <v>1.1244003693290388</v>
      </c>
      <c r="T231" s="577">
        <f t="shared" si="111"/>
        <v>0.47484647547524933</v>
      </c>
      <c r="U231" s="578">
        <f t="shared" si="123"/>
        <v>0.97435823205920136</v>
      </c>
      <c r="V231" s="579">
        <f t="shared" si="124"/>
        <v>-0.27818629147681279</v>
      </c>
      <c r="W231" s="580">
        <f t="shared" si="112"/>
        <v>-10.685718443929353</v>
      </c>
      <c r="X231" s="581">
        <f t="shared" si="113"/>
        <v>-135.24366227135604</v>
      </c>
      <c r="Y231" s="584">
        <f t="shared" si="114"/>
        <v>44.756337728643956</v>
      </c>
      <c r="AA231" s="147">
        <f t="shared" si="115"/>
        <v>13568.5</v>
      </c>
      <c r="AB231" s="147">
        <f t="shared" si="116"/>
        <v>184104192.25</v>
      </c>
      <c r="AD231" s="583">
        <f t="shared" si="117"/>
        <v>26.632822409635466</v>
      </c>
      <c r="AE231" s="584">
        <f t="shared" si="118"/>
        <v>-28.877802890994442</v>
      </c>
      <c r="AG231" s="583">
        <f t="shared" si="119"/>
        <v>22.41990567185681</v>
      </c>
      <c r="AH231" s="584">
        <f t="shared" si="120"/>
        <v>-74.488058503900859</v>
      </c>
      <c r="AJ231" s="147">
        <f t="shared" si="121"/>
        <v>0</v>
      </c>
      <c r="AK231" s="147">
        <f t="shared" si="133"/>
        <v>0</v>
      </c>
      <c r="AM231" s="147" t="str">
        <f t="shared" si="125"/>
        <v>0.079902130470203+0.391688537599363i</v>
      </c>
      <c r="AN231" s="147" t="str">
        <f t="shared" si="126"/>
        <v>0.402466049166295i</v>
      </c>
      <c r="AO231" s="147" t="str">
        <f t="shared" si="127"/>
        <v>0.973221314967418-0.198531355963365i</v>
      </c>
      <c r="AP231" s="147" t="str">
        <f t="shared" si="128"/>
        <v>0.153349644921633-0.0652814229332272i</v>
      </c>
      <c r="AQ231" s="147" t="str">
        <f t="shared" si="129"/>
        <v>0.846650355078367+0.0652814229332272i</v>
      </c>
      <c r="AR231" s="147" t="str">
        <f t="shared" si="130"/>
        <v>0.978062385137097-0.0754140169389119i</v>
      </c>
    </row>
    <row r="232" spans="7:44">
      <c r="G232" s="585">
        <v>13647</v>
      </c>
      <c r="H232" s="573">
        <f t="shared" si="122"/>
        <v>13.647</v>
      </c>
      <c r="I232" s="574">
        <f t="shared" si="102"/>
        <v>94.266369216153365</v>
      </c>
      <c r="J232" s="575">
        <f t="shared" si="103"/>
        <v>1.5601878906681228</v>
      </c>
      <c r="K232" s="575">
        <f t="shared" si="104"/>
        <v>1.0028428411333625</v>
      </c>
      <c r="L232" s="576">
        <f t="shared" si="105"/>
        <v>7.5314309965666404E-2</v>
      </c>
      <c r="M232" s="575">
        <f t="shared" si="106"/>
        <v>1.0043908066381761</v>
      </c>
      <c r="N232" s="576">
        <f t="shared" si="107"/>
        <v>-9.3539303178720321E-2</v>
      </c>
      <c r="O232" s="574">
        <f t="shared" si="108"/>
        <v>257239.88936924376</v>
      </c>
      <c r="P232" s="577">
        <f t="shared" si="109"/>
        <v>1.5707924393729169</v>
      </c>
      <c r="Q232" s="586">
        <f t="shared" si="131"/>
        <v>34.484647430423571</v>
      </c>
      <c r="R232" s="587">
        <f t="shared" si="132"/>
        <v>1.5417938494927452</v>
      </c>
      <c r="S232" s="574">
        <f t="shared" si="110"/>
        <v>1.1257632763552643</v>
      </c>
      <c r="T232" s="577">
        <f t="shared" si="111"/>
        <v>0.47719610385634526</v>
      </c>
      <c r="U232" s="578">
        <f t="shared" si="123"/>
        <v>0.97407583938310827</v>
      </c>
      <c r="V232" s="579">
        <f t="shared" si="124"/>
        <v>-0.2797556724247377</v>
      </c>
      <c r="W232" s="580">
        <f t="shared" si="112"/>
        <v>-10.748185195014182</v>
      </c>
      <c r="X232" s="581">
        <f t="shared" si="113"/>
        <v>-135.46803561806067</v>
      </c>
      <c r="Y232" s="584">
        <f t="shared" si="114"/>
        <v>44.531964381939332</v>
      </c>
      <c r="AA232" s="147">
        <f t="shared" si="115"/>
        <v>13647</v>
      </c>
      <c r="AB232" s="147">
        <f t="shared" si="116"/>
        <v>186240609</v>
      </c>
      <c r="AD232" s="583">
        <f t="shared" si="117"/>
        <v>26.622258074396253</v>
      </c>
      <c r="AE232" s="584">
        <f t="shared" si="118"/>
        <v>-29.002819596160258</v>
      </c>
      <c r="AG232" s="583">
        <f t="shared" si="119"/>
        <v>22.373038749225497</v>
      </c>
      <c r="AH232" s="584">
        <f t="shared" si="120"/>
        <v>-74.407577335705497</v>
      </c>
      <c r="AJ232" s="147">
        <f t="shared" si="121"/>
        <v>0</v>
      </c>
      <c r="AK232" s="147">
        <f t="shared" si="133"/>
        <v>0</v>
      </c>
      <c r="AM232" s="147" t="str">
        <f t="shared" si="125"/>
        <v>0.080816651378444+0.393829876490933i</v>
      </c>
      <c r="AN232" s="147" t="str">
        <f t="shared" si="126"/>
        <v>0.404794499979543i</v>
      </c>
      <c r="AO232" s="147" t="str">
        <f t="shared" si="127"/>
        <v>0.972913111494439-0.199648590537985i</v>
      </c>
      <c r="AP232" s="147" t="str">
        <f t="shared" si="128"/>
        <v>0.153197224770259-0.0656383127484888i</v>
      </c>
      <c r="AQ232" s="147" t="str">
        <f t="shared" si="129"/>
        <v>0.846802775229741+0.0656383127484888i</v>
      </c>
      <c r="AR232" s="147" t="str">
        <f t="shared" si="130"/>
        <v>0.977825081555497-0.0757942585852334i</v>
      </c>
    </row>
    <row r="233" spans="7:44">
      <c r="G233" s="585">
        <v>13725.5</v>
      </c>
      <c r="H233" s="573">
        <f t="shared" si="122"/>
        <v>13.7255</v>
      </c>
      <c r="I233" s="574">
        <f t="shared" si="102"/>
        <v>94.808545490641635</v>
      </c>
      <c r="J233" s="575">
        <f t="shared" si="103"/>
        <v>1.5602485587890293</v>
      </c>
      <c r="K233" s="575">
        <f t="shared" si="104"/>
        <v>1.0028755932396822</v>
      </c>
      <c r="L233" s="576">
        <f t="shared" si="105"/>
        <v>7.5745880981104602E-2</v>
      </c>
      <c r="M233" s="575">
        <f t="shared" si="106"/>
        <v>1.0044413533372913</v>
      </c>
      <c r="N233" s="576">
        <f t="shared" si="107"/>
        <v>-9.4074198168042369E-2</v>
      </c>
      <c r="O233" s="574">
        <f t="shared" si="108"/>
        <v>258719.57950738264</v>
      </c>
      <c r="P233" s="577">
        <f t="shared" si="109"/>
        <v>1.5707924616061779</v>
      </c>
      <c r="Q233" s="586">
        <f t="shared" si="131"/>
        <v>34.682843001036218</v>
      </c>
      <c r="R233" s="587">
        <f t="shared" si="132"/>
        <v>1.5419596306242715</v>
      </c>
      <c r="S233" s="574">
        <f t="shared" si="110"/>
        <v>1.1271323833928153</v>
      </c>
      <c r="T233" s="577">
        <f t="shared" si="111"/>
        <v>0.47954003705057019</v>
      </c>
      <c r="U233" s="578">
        <f t="shared" si="123"/>
        <v>0.97379205117184298</v>
      </c>
      <c r="V233" s="579">
        <f t="shared" si="124"/>
        <v>-0.28132438852181174</v>
      </c>
      <c r="W233" s="580">
        <f t="shared" si="112"/>
        <v>-10.810408072053683</v>
      </c>
      <c r="X233" s="581">
        <f t="shared" si="113"/>
        <v>-135.69211267904063</v>
      </c>
      <c r="Y233" s="584">
        <f t="shared" si="114"/>
        <v>44.307887320959367</v>
      </c>
      <c r="AA233" s="147">
        <f t="shared" si="115"/>
        <v>13725.5</v>
      </c>
      <c r="AB233" s="147">
        <f t="shared" si="116"/>
        <v>188389350.25</v>
      </c>
      <c r="AD233" s="583">
        <f t="shared" si="117"/>
        <v>26.611659415967633</v>
      </c>
      <c r="AE233" s="584">
        <f t="shared" si="118"/>
        <v>-29.127619790505221</v>
      </c>
      <c r="AG233" s="583">
        <f t="shared" si="119"/>
        <v>22.326476379240031</v>
      </c>
      <c r="AH233" s="584">
        <f t="shared" si="120"/>
        <v>-74.327092578901954</v>
      </c>
      <c r="AJ233" s="147">
        <f t="shared" si="121"/>
        <v>0</v>
      </c>
      <c r="AK233" s="147">
        <f t="shared" si="133"/>
        <v>0</v>
      </c>
      <c r="AM233" s="147" t="str">
        <f t="shared" si="125"/>
        <v>0.081736155805344+0.395969080162647i</v>
      </c>
      <c r="AN233" s="147" t="str">
        <f t="shared" si="126"/>
        <v>0.407122950792791i</v>
      </c>
      <c r="AO233" s="147" t="str">
        <f t="shared" si="127"/>
        <v>0.972603188770311-0.200765286374003i</v>
      </c>
      <c r="AP233" s="147" t="str">
        <f t="shared" si="128"/>
        <v>0.153043974032443-0.0659948466937745i</v>
      </c>
      <c r="AQ233" s="147" t="str">
        <f t="shared" si="129"/>
        <v>0.846956025967557+0.0659948466937745i</v>
      </c>
      <c r="AR233" s="147" t="str">
        <f t="shared" si="130"/>
        <v>0.977586686945066-0.0761735929101068i</v>
      </c>
    </row>
    <row r="234" spans="7:44">
      <c r="G234" s="585">
        <v>13804</v>
      </c>
      <c r="H234" s="573">
        <f t="shared" si="122"/>
        <v>13.804</v>
      </c>
      <c r="I234" s="574">
        <f t="shared" si="102"/>
        <v>95.350722110115825</v>
      </c>
      <c r="J234" s="575">
        <f t="shared" si="103"/>
        <v>1.5603085369764871</v>
      </c>
      <c r="K234" s="575">
        <f t="shared" si="104"/>
        <v>1.0029085321229128</v>
      </c>
      <c r="L234" s="576">
        <f t="shared" si="105"/>
        <v>7.6177423728432683E-2</v>
      </c>
      <c r="M234" s="575">
        <f t="shared" si="106"/>
        <v>1.004492187390813</v>
      </c>
      <c r="N234" s="576">
        <f t="shared" si="107"/>
        <v>-9.4609039171815859E-2</v>
      </c>
      <c r="O234" s="574">
        <f t="shared" si="108"/>
        <v>260199.26964552162</v>
      </c>
      <c r="P234" s="577">
        <f t="shared" si="109"/>
        <v>1.5707924835865688</v>
      </c>
      <c r="Q234" s="586">
        <f t="shared" si="131"/>
        <v>34.881039514018461</v>
      </c>
      <c r="R234" s="587">
        <f t="shared" si="132"/>
        <v>1.5421235278002261</v>
      </c>
      <c r="S234" s="574">
        <f t="shared" si="110"/>
        <v>1.1285076678761055</v>
      </c>
      <c r="T234" s="577">
        <f t="shared" si="111"/>
        <v>0.48187827007783623</v>
      </c>
      <c r="U234" s="578">
        <f t="shared" si="123"/>
        <v>0.97350687112461787</v>
      </c>
      <c r="V234" s="579">
        <f t="shared" si="124"/>
        <v>-0.28289243672437037</v>
      </c>
      <c r="W234" s="580">
        <f t="shared" si="112"/>
        <v>-10.872390029924453</v>
      </c>
      <c r="X234" s="581">
        <f t="shared" si="113"/>
        <v>-135.91589180141335</v>
      </c>
      <c r="Y234" s="584">
        <f t="shared" si="114"/>
        <v>44.084108198586648</v>
      </c>
      <c r="AA234" s="147">
        <f t="shared" si="115"/>
        <v>13804</v>
      </c>
      <c r="AB234" s="147">
        <f t="shared" si="116"/>
        <v>190550416</v>
      </c>
      <c r="AD234" s="583">
        <f t="shared" si="117"/>
        <v>26.601026734734255</v>
      </c>
      <c r="AE234" s="584">
        <f t="shared" si="118"/>
        <v>-29.25220131755535</v>
      </c>
      <c r="AG234" s="583">
        <f t="shared" si="119"/>
        <v>22.280215263247165</v>
      </c>
      <c r="AH234" s="584">
        <f t="shared" si="120"/>
        <v>-74.246605085859855</v>
      </c>
      <c r="AJ234" s="147">
        <f t="shared" si="121"/>
        <v>0</v>
      </c>
      <c r="AK234" s="147">
        <f t="shared" si="133"/>
        <v>0</v>
      </c>
      <c r="AM234" s="147" t="str">
        <f t="shared" si="125"/>
        <v>0.082660638765642+0.398106137016424i</v>
      </c>
      <c r="AN234" s="147" t="str">
        <f t="shared" si="126"/>
        <v>0.409451401606038i</v>
      </c>
      <c r="AO234" s="147" t="str">
        <f t="shared" si="127"/>
        <v>0.972291547800024-0.201881440486985i</v>
      </c>
      <c r="AP234" s="147" t="str">
        <f t="shared" si="128"/>
        <v>0.15288989353906-0.0663510228360707i</v>
      </c>
      <c r="AQ234" s="147" t="str">
        <f t="shared" si="129"/>
        <v>0.84711010646094+0.0663510228360707i</v>
      </c>
      <c r="AR234" s="147" t="str">
        <f t="shared" si="130"/>
        <v>0.977347205631631-0.0765520163967308i</v>
      </c>
    </row>
    <row r="235" spans="7:44">
      <c r="G235" s="585">
        <v>13884.25</v>
      </c>
      <c r="H235" s="573">
        <f t="shared" si="122"/>
        <v>13.88425</v>
      </c>
      <c r="I235" s="574">
        <f t="shared" si="102"/>
        <v>95.904985820029438</v>
      </c>
      <c r="J235" s="575">
        <f t="shared" si="103"/>
        <v>1.5603691512661426</v>
      </c>
      <c r="K235" s="575">
        <f t="shared" si="104"/>
        <v>1.00294239836234</v>
      </c>
      <c r="L235" s="576">
        <f t="shared" si="105"/>
        <v>7.6618557470600659E-2</v>
      </c>
      <c r="M235" s="575">
        <f t="shared" si="106"/>
        <v>1.0045444516769315</v>
      </c>
      <c r="N235" s="576">
        <f t="shared" si="107"/>
        <v>-9.5155747268381038E-2</v>
      </c>
      <c r="O235" s="574">
        <f t="shared" si="108"/>
        <v>261711.94650648552</v>
      </c>
      <c r="P235" s="577">
        <f t="shared" si="109"/>
        <v>1.5707925058000458</v>
      </c>
      <c r="Q235" s="586">
        <f t="shared" si="131"/>
        <v>35.083655378086569</v>
      </c>
      <c r="R235" s="587">
        <f t="shared" si="132"/>
        <v>1.5422891645532733</v>
      </c>
      <c r="S235" s="574">
        <f t="shared" si="110"/>
        <v>1.1299199736286092</v>
      </c>
      <c r="T235" s="577">
        <f t="shared" si="111"/>
        <v>0.48426273222531047</v>
      </c>
      <c r="U235" s="578">
        <f t="shared" si="123"/>
        <v>0.97321389870154784</v>
      </c>
      <c r="V235" s="579">
        <f t="shared" si="124"/>
        <v>-0.28449474786408746</v>
      </c>
      <c r="W235" s="580">
        <f t="shared" si="112"/>
        <v>-10.935507735064803</v>
      </c>
      <c r="X235" s="581">
        <f t="shared" si="113"/>
        <v>-136.14434997866982</v>
      </c>
      <c r="Y235" s="584">
        <f t="shared" si="114"/>
        <v>43.855650021330177</v>
      </c>
      <c r="AA235" s="147">
        <f t="shared" si="115"/>
        <v>13884.25</v>
      </c>
      <c r="AB235" s="147">
        <f t="shared" si="116"/>
        <v>192772398.0625</v>
      </c>
      <c r="AD235" s="583">
        <f t="shared" si="117"/>
        <v>26.590122162636675</v>
      </c>
      <c r="AE235" s="584">
        <f t="shared" si="118"/>
        <v>-29.379331921016213</v>
      </c>
      <c r="AG235" s="583">
        <f t="shared" si="119"/>
        <v>22.233230874238842</v>
      </c>
      <c r="AH235" s="584">
        <f t="shared" si="120"/>
        <v>-74.164321327900481</v>
      </c>
      <c r="AJ235" s="147">
        <f t="shared" si="121"/>
        <v>0</v>
      </c>
      <c r="AK235" s="147">
        <f t="shared" si="133"/>
        <v>0</v>
      </c>
      <c r="AM235" s="147" t="str">
        <f t="shared" si="125"/>
        <v>0.0836108722490519+0.400288604059443i</v>
      </c>
      <c r="AN235" s="147" t="str">
        <f t="shared" si="126"/>
        <v>0.411831760558435i</v>
      </c>
      <c r="AO235" s="147" t="str">
        <f t="shared" si="127"/>
        <v>0.971971184341539-0.203021913938054i</v>
      </c>
      <c r="AP235" s="147" t="str">
        <f t="shared" si="128"/>
        <v>0.152731521291825-0.0667147673432405i</v>
      </c>
      <c r="AQ235" s="147" t="str">
        <f t="shared" si="129"/>
        <v>0.847268478708175+0.0667147673432405i</v>
      </c>
      <c r="AR235" s="147" t="str">
        <f t="shared" si="130"/>
        <v>0.977101266768741-0.0769379309173079i</v>
      </c>
    </row>
    <row r="236" spans="7:44">
      <c r="G236" s="585">
        <v>13964.5</v>
      </c>
      <c r="H236" s="573">
        <f t="shared" si="122"/>
        <v>13.964499999999999</v>
      </c>
      <c r="I236" s="574">
        <f t="shared" si="102"/>
        <v>96.459249878257381</v>
      </c>
      <c r="J236" s="575">
        <f t="shared" si="103"/>
        <v>1.5604290689650264</v>
      </c>
      <c r="K236" s="575">
        <f t="shared" si="104"/>
        <v>1.0029764597601309</v>
      </c>
      <c r="L236" s="576">
        <f t="shared" si="105"/>
        <v>7.7059661336519328E-2</v>
      </c>
      <c r="M236" s="575">
        <f t="shared" si="106"/>
        <v>1.0045970161797899</v>
      </c>
      <c r="N236" s="576">
        <f t="shared" si="107"/>
        <v>-9.5702398316445697E-2</v>
      </c>
      <c r="O236" s="574">
        <f t="shared" si="108"/>
        <v>263224.6233674495</v>
      </c>
      <c r="P236" s="577">
        <f t="shared" si="109"/>
        <v>1.5707925277582138</v>
      </c>
      <c r="Q236" s="586">
        <f t="shared" si="131"/>
        <v>35.286272193639569</v>
      </c>
      <c r="R236" s="587">
        <f t="shared" si="132"/>
        <v>1.5424528991097515</v>
      </c>
      <c r="S236" s="574">
        <f t="shared" si="110"/>
        <v>1.131338687660691</v>
      </c>
      <c r="T236" s="577">
        <f t="shared" si="111"/>
        <v>0.48664122757227263</v>
      </c>
      <c r="U236" s="578">
        <f t="shared" si="123"/>
        <v>0.97291947955208813</v>
      </c>
      <c r="V236" s="579">
        <f t="shared" si="124"/>
        <v>-0.28609635460470689</v>
      </c>
      <c r="W236" s="580">
        <f t="shared" si="112"/>
        <v>-10.998379729021522</v>
      </c>
      <c r="X236" s="581">
        <f t="shared" si="113"/>
        <v>-136.37249342898448</v>
      </c>
      <c r="Y236" s="584">
        <f t="shared" si="114"/>
        <v>43.627506571015516</v>
      </c>
      <c r="AA236" s="147">
        <f t="shared" si="115"/>
        <v>13964.5</v>
      </c>
      <c r="AB236" s="147">
        <f t="shared" si="116"/>
        <v>195007260.25</v>
      </c>
      <c r="AD236" s="583">
        <f t="shared" si="117"/>
        <v>26.579182667430338</v>
      </c>
      <c r="AE236" s="584">
        <f t="shared" si="118"/>
        <v>-29.506229625197349</v>
      </c>
      <c r="AG236" s="583">
        <f t="shared" si="119"/>
        <v>22.186554525529615</v>
      </c>
      <c r="AH236" s="584">
        <f t="shared" si="120"/>
        <v>-74.082036460469908</v>
      </c>
      <c r="AJ236" s="147">
        <f t="shared" si="121"/>
        <v>0</v>
      </c>
      <c r="AK236" s="147">
        <f t="shared" si="133"/>
        <v>0</v>
      </c>
      <c r="AM236" s="147" t="str">
        <f t="shared" si="125"/>
        <v>0.084566298090459+0.402468803024774i</v>
      </c>
      <c r="AN236" s="147" t="str">
        <f t="shared" si="126"/>
        <v>0.414212119510832i</v>
      </c>
      <c r="AO236" s="147" t="str">
        <f t="shared" si="127"/>
        <v>0.971649027314975-0.204161814942374i</v>
      </c>
      <c r="AP236" s="147" t="str">
        <f t="shared" si="128"/>
        <v>0.15257228365159-0.0670781338374623i</v>
      </c>
      <c r="AQ236" s="147" t="str">
        <f t="shared" si="129"/>
        <v>0.84742771634841+0.0670781338374623i</v>
      </c>
      <c r="AR236" s="147" t="str">
        <f t="shared" si="130"/>
        <v>0.976854201393004-0.0773228861844155i</v>
      </c>
    </row>
    <row r="237" spans="7:44">
      <c r="G237" s="585">
        <v>14044.75</v>
      </c>
      <c r="H237" s="573">
        <f t="shared" si="122"/>
        <v>14.044750000000001</v>
      </c>
      <c r="I237" s="574">
        <f t="shared" si="102"/>
        <v>97.013514278829618</v>
      </c>
      <c r="J237" s="575">
        <f t="shared" si="103"/>
        <v>1.5604883020121378</v>
      </c>
      <c r="K237" s="575">
        <f t="shared" si="104"/>
        <v>1.0030107162964037</v>
      </c>
      <c r="L237" s="576">
        <f t="shared" si="105"/>
        <v>7.750073515758775E-2</v>
      </c>
      <c r="M237" s="575">
        <f t="shared" si="106"/>
        <v>1.0046498808522646</v>
      </c>
      <c r="N237" s="576">
        <f t="shared" si="107"/>
        <v>-9.6248991998281574E-2</v>
      </c>
      <c r="O237" s="574">
        <f t="shared" si="108"/>
        <v>264737.30022841366</v>
      </c>
      <c r="P237" s="577">
        <f t="shared" si="109"/>
        <v>1.5707925494654491</v>
      </c>
      <c r="Q237" s="586">
        <f t="shared" si="131"/>
        <v>35.488889944380517</v>
      </c>
      <c r="R237" s="587">
        <f t="shared" si="132"/>
        <v>1.5426147640416046</v>
      </c>
      <c r="S237" s="574">
        <f t="shared" si="110"/>
        <v>1.132763785894473</v>
      </c>
      <c r="T237" s="577">
        <f t="shared" si="111"/>
        <v>0.48901375167700989</v>
      </c>
      <c r="U237" s="578">
        <f t="shared" si="123"/>
        <v>0.97262361766816707</v>
      </c>
      <c r="V237" s="579">
        <f t="shared" si="124"/>
        <v>-0.28769725373379013</v>
      </c>
      <c r="W237" s="580">
        <f t="shared" si="112"/>
        <v>-11.061008993449599</v>
      </c>
      <c r="X237" s="581">
        <f t="shared" si="113"/>
        <v>-136.60032052333256</v>
      </c>
      <c r="Y237" s="584">
        <f t="shared" si="114"/>
        <v>43.399679476667444</v>
      </c>
      <c r="AA237" s="147">
        <f t="shared" si="115"/>
        <v>14044.75</v>
      </c>
      <c r="AB237" s="147">
        <f t="shared" si="116"/>
        <v>197255002.5625</v>
      </c>
      <c r="AD237" s="583">
        <f t="shared" si="117"/>
        <v>26.568208568643445</v>
      </c>
      <c r="AE237" s="584">
        <f t="shared" si="118"/>
        <v>-29.632892309623205</v>
      </c>
      <c r="AG237" s="583">
        <f t="shared" si="119"/>
        <v>22.140182869043951</v>
      </c>
      <c r="AH237" s="584">
        <f t="shared" si="120"/>
        <v>-73.999751343137206</v>
      </c>
      <c r="AJ237" s="147">
        <f t="shared" si="121"/>
        <v>0</v>
      </c>
      <c r="AK237" s="147">
        <f t="shared" si="133"/>
        <v>0</v>
      </c>
      <c r="AM237" s="147" t="str">
        <f t="shared" si="125"/>
        <v>0.085526910876318+0.404646721559178i</v>
      </c>
      <c r="AN237" s="147" t="str">
        <f t="shared" si="126"/>
        <v>0.416592478463229i</v>
      </c>
      <c r="AO237" s="147" t="str">
        <f t="shared" si="127"/>
        <v>0.971325077811972-0.205301140317797i</v>
      </c>
      <c r="AP237" s="147" t="str">
        <f t="shared" si="128"/>
        <v>0.152412181520614-0.067441120259863i</v>
      </c>
      <c r="AQ237" s="147" t="str">
        <f t="shared" si="129"/>
        <v>0.847587818479386+0.067441120259863i</v>
      </c>
      <c r="AR237" s="147" t="str">
        <f t="shared" si="130"/>
        <v>0.976606014165678-0.0777068785226469i</v>
      </c>
    </row>
    <row r="238" spans="7:44">
      <c r="G238" s="585">
        <v>14125</v>
      </c>
      <c r="H238" s="573">
        <f t="shared" si="122"/>
        <v>14.125</v>
      </c>
      <c r="I238" s="574">
        <f t="shared" si="102"/>
        <v>97.567779015911754</v>
      </c>
      <c r="J238" s="575">
        <f t="shared" si="103"/>
        <v>1.5605468620752032</v>
      </c>
      <c r="K238" s="575">
        <f t="shared" si="104"/>
        <v>1.0030451679511645</v>
      </c>
      <c r="L238" s="576">
        <f t="shared" si="105"/>
        <v>7.794177876527468E-2</v>
      </c>
      <c r="M238" s="575">
        <f t="shared" si="106"/>
        <v>1.0047030456469734</v>
      </c>
      <c r="N238" s="576">
        <f t="shared" si="107"/>
        <v>-9.6795527996364136E-2</v>
      </c>
      <c r="O238" s="574">
        <f t="shared" si="108"/>
        <v>266249.97708937799</v>
      </c>
      <c r="P238" s="577">
        <f t="shared" si="109"/>
        <v>1.5707925709260289</v>
      </c>
      <c r="Q238" s="586">
        <f t="shared" si="131"/>
        <v>35.691508614382464</v>
      </c>
      <c r="R238" s="587">
        <f t="shared" si="132"/>
        <v>1.5427747911815364</v>
      </c>
      <c r="S238" s="574">
        <f t="shared" si="110"/>
        <v>1.1341952442650123</v>
      </c>
      <c r="T238" s="577">
        <f t="shared" si="111"/>
        <v>0.49138030038897185</v>
      </c>
      <c r="U238" s="578">
        <f t="shared" si="123"/>
        <v>0.9723263170548333</v>
      </c>
      <c r="V238" s="579">
        <f t="shared" si="124"/>
        <v>-0.28929744205223751</v>
      </c>
      <c r="W238" s="580">
        <f t="shared" si="112"/>
        <v>-11.123398453679961</v>
      </c>
      <c r="X238" s="581">
        <f t="shared" si="113"/>
        <v>-136.8278296769503</v>
      </c>
      <c r="Y238" s="584">
        <f t="shared" si="114"/>
        <v>43.172170323049698</v>
      </c>
      <c r="AA238" s="147">
        <f t="shared" si="115"/>
        <v>14125</v>
      </c>
      <c r="AB238" s="147">
        <f t="shared" si="116"/>
        <v>199515625</v>
      </c>
      <c r="AD238" s="583">
        <f t="shared" si="117"/>
        <v>26.557200185262225</v>
      </c>
      <c r="AE238" s="584">
        <f t="shared" si="118"/>
        <v>-29.759317912850225</v>
      </c>
      <c r="AG238" s="583">
        <f t="shared" si="119"/>
        <v>22.094112613395417</v>
      </c>
      <c r="AH238" s="584">
        <f t="shared" si="120"/>
        <v>-73.917466819172091</v>
      </c>
      <c r="AJ238" s="147">
        <f t="shared" si="121"/>
        <v>0</v>
      </c>
      <c r="AK238" s="147">
        <f t="shared" si="133"/>
        <v>0</v>
      </c>
      <c r="AM238" s="147" t="str">
        <f t="shared" si="125"/>
        <v>0.086492705163695+0.406822347322338i</v>
      </c>
      <c r="AN238" s="147" t="str">
        <f t="shared" si="126"/>
        <v>0.418972837415625i</v>
      </c>
      <c r="AO238" s="147" t="str">
        <f t="shared" si="127"/>
        <v>0.970999336930204-0.206439886884346i</v>
      </c>
      <c r="AP238" s="147" t="str">
        <f t="shared" si="128"/>
        <v>0.152251215806051-0.067803724553723i</v>
      </c>
      <c r="AQ238" s="147" t="str">
        <f t="shared" si="129"/>
        <v>0.847748784193949+0.067803724553723i</v>
      </c>
      <c r="AR238" s="147" t="str">
        <f t="shared" si="130"/>
        <v>0.976356709760989-0.0780899042842719i</v>
      </c>
    </row>
    <row r="239" spans="7:44">
      <c r="G239" s="585">
        <v>14207.25</v>
      </c>
      <c r="H239" s="573">
        <f t="shared" si="122"/>
        <v>14.20725</v>
      </c>
      <c r="I239" s="574">
        <f t="shared" si="102"/>
        <v>98.135857547613753</v>
      </c>
      <c r="J239" s="575">
        <f t="shared" si="103"/>
        <v>1.5606061951583716</v>
      </c>
      <c r="K239" s="575">
        <f t="shared" si="104"/>
        <v>1.0030806806663397</v>
      </c>
      <c r="L239" s="576">
        <f t="shared" si="105"/>
        <v>7.8393782585463645E-2</v>
      </c>
      <c r="M239" s="575">
        <f t="shared" si="106"/>
        <v>1.0047578468061023</v>
      </c>
      <c r="N239" s="576">
        <f t="shared" si="107"/>
        <v>-9.7355624639205843E-2</v>
      </c>
      <c r="O239" s="574">
        <f t="shared" si="108"/>
        <v>267800.35306214209</v>
      </c>
      <c r="P239" s="577">
        <f t="shared" si="109"/>
        <v>1.5707925926698718</v>
      </c>
      <c r="Q239" s="586">
        <f t="shared" si="131"/>
        <v>35.89917790848947</v>
      </c>
      <c r="R239" s="587">
        <f t="shared" si="132"/>
        <v>1.5429369320224049</v>
      </c>
      <c r="S239" s="574">
        <f t="shared" si="110"/>
        <v>1.1356689523200456</v>
      </c>
      <c r="T239" s="577">
        <f t="shared" si="111"/>
        <v>0.49379962384150378</v>
      </c>
      <c r="U239" s="578">
        <f t="shared" si="123"/>
        <v>0.97202011832411894</v>
      </c>
      <c r="V239" s="579">
        <f t="shared" si="124"/>
        <v>-0.29093676951646746</v>
      </c>
      <c r="W239" s="580">
        <f t="shared" si="112"/>
        <v>-11.187096951023808</v>
      </c>
      <c r="X239" s="581">
        <f t="shared" si="113"/>
        <v>-137.06067730301041</v>
      </c>
      <c r="Y239" s="584">
        <f t="shared" si="114"/>
        <v>42.939322696989592</v>
      </c>
      <c r="AA239" s="147">
        <f t="shared" si="115"/>
        <v>14207.25</v>
      </c>
      <c r="AB239" s="147">
        <f t="shared" si="116"/>
        <v>201845952.5625</v>
      </c>
      <c r="AD239" s="583">
        <f t="shared" si="117"/>
        <v>26.545882205891505</v>
      </c>
      <c r="AE239" s="584">
        <f t="shared" si="118"/>
        <v>-29.888646196067061</v>
      </c>
      <c r="AG239" s="583">
        <f t="shared" si="119"/>
        <v>22.047203565641578</v>
      </c>
      <c r="AH239" s="584">
        <f t="shared" si="120"/>
        <v>-73.833133071920173</v>
      </c>
      <c r="AJ239" s="147">
        <f t="shared" si="121"/>
        <v>0</v>
      </c>
      <c r="AK239" s="147">
        <f t="shared" si="133"/>
        <v>0</v>
      </c>
      <c r="AM239" s="147" t="str">
        <f t="shared" si="125"/>
        <v>0.08748794017636+0.409049802195794i</v>
      </c>
      <c r="AN239" s="147" t="str">
        <f t="shared" si="126"/>
        <v>0.421412519955621i</v>
      </c>
      <c r="AO239" s="147" t="str">
        <f t="shared" si="127"/>
        <v>0.970663620147952-0.207606409476333i</v>
      </c>
      <c r="AP239" s="147" t="str">
        <f t="shared" si="128"/>
        <v>0.15208534330394-0.0681749670326323i</v>
      </c>
      <c r="AQ239" s="147" t="str">
        <f t="shared" si="129"/>
        <v>0.84791465669606+0.0681749670326323i</v>
      </c>
      <c r="AR239" s="147" t="str">
        <f t="shared" si="130"/>
        <v>0.976100037778625-0.0784814690612932i</v>
      </c>
    </row>
    <row r="240" spans="7:44">
      <c r="G240" s="585">
        <v>14289.5</v>
      </c>
      <c r="H240" s="573">
        <f t="shared" si="122"/>
        <v>14.2895</v>
      </c>
      <c r="I240" s="574">
        <f t="shared" si="102"/>
        <v>98.703936420817911</v>
      </c>
      <c r="J240" s="575">
        <f t="shared" si="103"/>
        <v>1.5606648452726095</v>
      </c>
      <c r="K240" s="575">
        <f t="shared" si="104"/>
        <v>1.0031163983038394</v>
      </c>
      <c r="L240" s="576">
        <f t="shared" si="105"/>
        <v>7.8845754309283977E-2</v>
      </c>
      <c r="M240" s="575">
        <f t="shared" si="106"/>
        <v>1.0048129631316172</v>
      </c>
      <c r="N240" s="576">
        <f t="shared" si="107"/>
        <v>-9.7915660012514977E-2</v>
      </c>
      <c r="O240" s="574">
        <f t="shared" si="108"/>
        <v>269350.72903490631</v>
      </c>
      <c r="P240" s="577">
        <f t="shared" si="109"/>
        <v>1.570792614163401</v>
      </c>
      <c r="Q240" s="586">
        <f t="shared" si="131"/>
        <v>36.106848135517069</v>
      </c>
      <c r="R240" s="587">
        <f t="shared" si="132"/>
        <v>1.5430972077461762</v>
      </c>
      <c r="S240" s="574">
        <f t="shared" si="110"/>
        <v>1.1371492903367133</v>
      </c>
      <c r="T240" s="577">
        <f t="shared" si="111"/>
        <v>0.49621266244921253</v>
      </c>
      <c r="U240" s="578">
        <f t="shared" si="123"/>
        <v>0.97171241681883225</v>
      </c>
      <c r="V240" s="579">
        <f t="shared" si="124"/>
        <v>-0.29257534353705006</v>
      </c>
      <c r="W240" s="580">
        <f t="shared" si="112"/>
        <v>-11.250549589094712</v>
      </c>
      <c r="X240" s="581">
        <f t="shared" si="113"/>
        <v>-137.29318771110539</v>
      </c>
      <c r="Y240" s="584">
        <f t="shared" si="114"/>
        <v>42.706812288894611</v>
      </c>
      <c r="AA240" s="147">
        <f t="shared" si="115"/>
        <v>14289.5</v>
      </c>
      <c r="AB240" s="147">
        <f t="shared" si="116"/>
        <v>204189810.25</v>
      </c>
      <c r="AD240" s="583">
        <f t="shared" si="117"/>
        <v>26.534528888368285</v>
      </c>
      <c r="AE240" s="584">
        <f t="shared" si="118"/>
        <v>-30.017721233196397</v>
      </c>
      <c r="AG240" s="583">
        <f t="shared" si="119"/>
        <v>22.00060430498462</v>
      </c>
      <c r="AH240" s="584">
        <f t="shared" si="120"/>
        <v>-73.748801691072927</v>
      </c>
      <c r="AJ240" s="147">
        <f t="shared" si="121"/>
        <v>0</v>
      </c>
      <c r="AK240" s="147">
        <f t="shared" si="133"/>
        <v>0</v>
      </c>
      <c r="AM240" s="147" t="str">
        <f t="shared" si="125"/>
        <v>0.088488606504554+0.411274822385216i</v>
      </c>
      <c r="AN240" s="147" t="str">
        <f t="shared" si="126"/>
        <v>0.423852202495616i</v>
      </c>
      <c r="AO240" s="147" t="str">
        <f t="shared" si="127"/>
        <v>0.970326023938663-0.208772317292534i</v>
      </c>
      <c r="AP240" s="147" t="str">
        <f t="shared" si="128"/>
        <v>0.151918565582574-0.0685458037308693i</v>
      </c>
      <c r="AQ240" s="147" t="str">
        <f t="shared" si="129"/>
        <v>0.848081434417426+0.0685458037308693i</v>
      </c>
      <c r="AR240" s="147" t="str">
        <f t="shared" si="130"/>
        <v>0.975842202223697-0.0788720108132937i</v>
      </c>
    </row>
    <row r="241" spans="7:44">
      <c r="G241" s="585">
        <v>14371.75</v>
      </c>
      <c r="H241" s="573">
        <f t="shared" si="122"/>
        <v>14.37175</v>
      </c>
      <c r="I241" s="574">
        <f t="shared" si="102"/>
        <v>99.272015629661595</v>
      </c>
      <c r="J241" s="575">
        <f t="shared" si="103"/>
        <v>1.5607228241422781</v>
      </c>
      <c r="K241" s="575">
        <f t="shared" si="104"/>
        <v>1.0031523208417747</v>
      </c>
      <c r="L241" s="576">
        <f t="shared" si="105"/>
        <v>7.9297693755517831E-2</v>
      </c>
      <c r="M241" s="575">
        <f t="shared" si="106"/>
        <v>1.0048683945716583</v>
      </c>
      <c r="N241" s="576">
        <f t="shared" si="107"/>
        <v>-9.847563377510378E-2</v>
      </c>
      <c r="O241" s="574">
        <f t="shared" si="108"/>
        <v>270901.1050076707</v>
      </c>
      <c r="P241" s="577">
        <f t="shared" si="109"/>
        <v>1.5707926354109136</v>
      </c>
      <c r="Q241" s="586">
        <f t="shared" si="131"/>
        <v>36.314519279460086</v>
      </c>
      <c r="R241" s="587">
        <f t="shared" si="132"/>
        <v>1.5432556503425725</v>
      </c>
      <c r="S241" s="574">
        <f t="shared" si="110"/>
        <v>1.1386362324562276</v>
      </c>
      <c r="T241" s="577">
        <f t="shared" si="111"/>
        <v>0.49861941267862503</v>
      </c>
      <c r="U241" s="578">
        <f t="shared" si="123"/>
        <v>0.97140321689294773</v>
      </c>
      <c r="V241" s="579">
        <f t="shared" si="124"/>
        <v>-0.29421316071355313</v>
      </c>
      <c r="W241" s="580">
        <f t="shared" si="112"/>
        <v>-11.313759341809819</v>
      </c>
      <c r="X241" s="581">
        <f t="shared" si="113"/>
        <v>-137.52535933391269</v>
      </c>
      <c r="Y241" s="584">
        <f t="shared" si="114"/>
        <v>42.474640666087311</v>
      </c>
      <c r="AA241" s="147">
        <f t="shared" si="115"/>
        <v>14371.75</v>
      </c>
      <c r="AB241" s="147">
        <f t="shared" si="116"/>
        <v>206547198.0625</v>
      </c>
      <c r="AD241" s="583">
        <f t="shared" si="117"/>
        <v>26.523140574133453</v>
      </c>
      <c r="AE241" s="584">
        <f t="shared" si="118"/>
        <v>-30.14654098915527</v>
      </c>
      <c r="AG241" s="583">
        <f t="shared" si="119"/>
        <v>21.954311464820172</v>
      </c>
      <c r="AH241" s="584">
        <f t="shared" si="120"/>
        <v>-73.664473534051567</v>
      </c>
      <c r="AJ241" s="147">
        <f t="shared" si="121"/>
        <v>0</v>
      </c>
      <c r="AK241" s="147">
        <f t="shared" si="133"/>
        <v>0</v>
      </c>
      <c r="AM241" s="147" t="str">
        <f t="shared" si="125"/>
        <v>0.089494698192264+0.413497394647177i</v>
      </c>
      <c r="AN241" s="147" t="str">
        <f t="shared" si="126"/>
        <v>0.426291885035612i</v>
      </c>
      <c r="AO241" s="147" t="str">
        <f t="shared" si="127"/>
        <v>0.969986549503831-0.209937606916415i</v>
      </c>
      <c r="AP241" s="147" t="str">
        <f t="shared" si="128"/>
        <v>0.151750883634623-0.0689162324411962i</v>
      </c>
      <c r="AQ241" s="147" t="str">
        <f t="shared" si="129"/>
        <v>0.848249116365377+0.0689162324411962i</v>
      </c>
      <c r="AR241" s="147" t="str">
        <f t="shared" si="130"/>
        <v>0.97558320816983-0.0792615257037292i</v>
      </c>
    </row>
    <row r="242" spans="7:44">
      <c r="G242" s="585">
        <v>14454</v>
      </c>
      <c r="H242" s="573">
        <f t="shared" si="122"/>
        <v>14.454000000000001</v>
      </c>
      <c r="I242" s="574">
        <f t="shared" si="102"/>
        <v>99.84009516841553</v>
      </c>
      <c r="J242" s="575">
        <f t="shared" si="103"/>
        <v>1.5607801432249153</v>
      </c>
      <c r="K242" s="575">
        <f t="shared" si="104"/>
        <v>1.0031884482581341</v>
      </c>
      <c r="L242" s="576">
        <f t="shared" si="105"/>
        <v>7.9749600743025978E-2</v>
      </c>
      <c r="M242" s="575">
        <f t="shared" si="106"/>
        <v>1.0049241410740806</v>
      </c>
      <c r="N242" s="576">
        <f t="shared" si="107"/>
        <v>-9.9035545586014115E-2</v>
      </c>
      <c r="O242" s="574">
        <f t="shared" si="108"/>
        <v>272451.48098043521</v>
      </c>
      <c r="P242" s="577">
        <f t="shared" si="109"/>
        <v>1.5707926564166097</v>
      </c>
      <c r="Q242" s="586">
        <f t="shared" si="131"/>
        <v>36.522191324677344</v>
      </c>
      <c r="R242" s="587">
        <f t="shared" si="132"/>
        <v>1.5434122910740904</v>
      </c>
      <c r="S242" s="574">
        <f t="shared" si="110"/>
        <v>1.1401297528396388</v>
      </c>
      <c r="T242" s="577">
        <f t="shared" si="111"/>
        <v>0.50101987130605907</v>
      </c>
      <c r="U242" s="578">
        <f t="shared" si="123"/>
        <v>0.97109252291428205</v>
      </c>
      <c r="V242" s="579">
        <f t="shared" si="124"/>
        <v>-0.29585021766042147</v>
      </c>
      <c r="W242" s="580">
        <f t="shared" si="112"/>
        <v>-11.37672912658951</v>
      </c>
      <c r="X242" s="581">
        <f t="shared" si="113"/>
        <v>-137.75719064909401</v>
      </c>
      <c r="Y242" s="584">
        <f t="shared" si="114"/>
        <v>42.242809350905986</v>
      </c>
      <c r="AA242" s="147">
        <f t="shared" si="115"/>
        <v>14454</v>
      </c>
      <c r="AB242" s="147">
        <f t="shared" si="116"/>
        <v>208918116</v>
      </c>
      <c r="AD242" s="583">
        <f t="shared" si="117"/>
        <v>26.511717603883504</v>
      </c>
      <c r="AE242" s="584">
        <f t="shared" si="118"/>
        <v>-30.27510348827181</v>
      </c>
      <c r="AG242" s="583">
        <f t="shared" si="119"/>
        <v>21.908321735595926</v>
      </c>
      <c r="AH242" s="584">
        <f t="shared" si="120"/>
        <v>-73.580149442145768</v>
      </c>
      <c r="AJ242" s="147">
        <f t="shared" si="121"/>
        <v>0</v>
      </c>
      <c r="AK242" s="147">
        <f t="shared" si="133"/>
        <v>0</v>
      </c>
      <c r="AM242" s="147" t="str">
        <f t="shared" si="125"/>
        <v>0.090506209251183+0.41571750575282i</v>
      </c>
      <c r="AN242" s="147" t="str">
        <f t="shared" si="126"/>
        <v>0.428731567575607i</v>
      </c>
      <c r="AO242" s="147" t="str">
        <f t="shared" si="127"/>
        <v>0.969645198051595-0.211102274933889i</v>
      </c>
      <c r="AP242" s="147" t="str">
        <f t="shared" si="128"/>
        <v>0.151582298458136-0.0692862509588033i</v>
      </c>
      <c r="AQ242" s="147" t="str">
        <f t="shared" si="129"/>
        <v>0.848417701541864+0.0692862509588033i</v>
      </c>
      <c r="AR242" s="147" t="str">
        <f t="shared" si="130"/>
        <v>0.975323060704094-0.0796500099267642i</v>
      </c>
    </row>
    <row r="243" spans="7:44">
      <c r="G243" s="585">
        <v>14622.5</v>
      </c>
      <c r="H243" s="573">
        <f t="shared" si="122"/>
        <v>14.6225</v>
      </c>
      <c r="I243" s="574">
        <f t="shared" si="102"/>
        <v>101.00388222114576</v>
      </c>
      <c r="J243" s="575">
        <f t="shared" si="103"/>
        <v>1.5608955555003567</v>
      </c>
      <c r="K243" s="575">
        <f t="shared" si="104"/>
        <v>1.0032630997406391</v>
      </c>
      <c r="L243" s="576">
        <f t="shared" si="105"/>
        <v>8.0675289833690503E-2</v>
      </c>
      <c r="M243" s="575">
        <f t="shared" si="106"/>
        <v>1.0050393287989379</v>
      </c>
      <c r="N243" s="576">
        <f t="shared" si="107"/>
        <v>-0.10018240406546884</v>
      </c>
      <c r="O243" s="574">
        <f t="shared" si="108"/>
        <v>275627.63114956405</v>
      </c>
      <c r="P243" s="577">
        <f t="shared" si="109"/>
        <v>1.570792698711617</v>
      </c>
      <c r="Q243" s="586">
        <f t="shared" si="131"/>
        <v>36.947637717882174</v>
      </c>
      <c r="R243" s="587">
        <f t="shared" si="132"/>
        <v>1.5437276915392726</v>
      </c>
      <c r="S243" s="574">
        <f t="shared" si="110"/>
        <v>1.1432098603973246</v>
      </c>
      <c r="T243" s="577">
        <f t="shared" si="111"/>
        <v>0.50591786905111769</v>
      </c>
      <c r="U243" s="578">
        <f t="shared" si="123"/>
        <v>0.97045137812640458</v>
      </c>
      <c r="V243" s="579">
        <f t="shared" si="124"/>
        <v>-0.29920155706043822</v>
      </c>
      <c r="W243" s="580">
        <f t="shared" si="112"/>
        <v>-11.504993696407944</v>
      </c>
      <c r="X243" s="581">
        <f t="shared" si="113"/>
        <v>-138.23105886846477</v>
      </c>
      <c r="Y243" s="584">
        <f t="shared" si="114"/>
        <v>41.768941131535229</v>
      </c>
      <c r="AA243" s="147">
        <f t="shared" si="115"/>
        <v>14622.5</v>
      </c>
      <c r="AB243" s="147">
        <f t="shared" si="116"/>
        <v>213817506.25</v>
      </c>
      <c r="AD243" s="583">
        <f t="shared" si="117"/>
        <v>26.488209348089576</v>
      </c>
      <c r="AE243" s="584">
        <f t="shared" si="118"/>
        <v>-30.537669395242315</v>
      </c>
      <c r="AG243" s="583">
        <f t="shared" si="119"/>
        <v>21.8150385859309</v>
      </c>
      <c r="AH243" s="584">
        <f t="shared" si="120"/>
        <v>-73.407416547433485</v>
      </c>
      <c r="AJ243" s="147">
        <f t="shared" si="121"/>
        <v>0</v>
      </c>
      <c r="AK243" s="147">
        <f t="shared" si="133"/>
        <v>0</v>
      </c>
      <c r="AM243" s="147" t="str">
        <f t="shared" si="125"/>
        <v>0.092595321400512+0.420257955612693i</v>
      </c>
      <c r="AN243" s="147" t="str">
        <f t="shared" si="126"/>
        <v>0.433729579830795i</v>
      </c>
      <c r="AO243" s="147" t="str">
        <f t="shared" si="127"/>
        <v>0.96894003811463-0.213486295854285i</v>
      </c>
      <c r="AP243" s="147" t="str">
        <f t="shared" si="128"/>
        <v>0.151234113099915-0.0700429926021155i</v>
      </c>
      <c r="AQ243" s="147" t="str">
        <f t="shared" si="129"/>
        <v>0.848765886900085+0.0700429926021155i</v>
      </c>
      <c r="AR243" s="147" t="str">
        <f t="shared" si="130"/>
        <v>0.974786533900744-0.0804426368171051i</v>
      </c>
    </row>
    <row r="244" spans="7:44">
      <c r="G244" s="585">
        <v>14706.75</v>
      </c>
      <c r="H244" s="573">
        <f t="shared" si="122"/>
        <v>14.70675</v>
      </c>
      <c r="I244" s="574">
        <f t="shared" si="102"/>
        <v>101.5857762433553</v>
      </c>
      <c r="J244" s="575">
        <f t="shared" si="103"/>
        <v>1.5609522699980471</v>
      </c>
      <c r="K244" s="575">
        <f t="shared" si="104"/>
        <v>1.0033007478320022</v>
      </c>
      <c r="L244" s="576">
        <f t="shared" si="105"/>
        <v>8.1138082523202287E-2</v>
      </c>
      <c r="M244" s="575">
        <f t="shared" si="106"/>
        <v>1.0050974182931691</v>
      </c>
      <c r="N244" s="576">
        <f t="shared" si="107"/>
        <v>-0.10075573435262189</v>
      </c>
      <c r="O244" s="574">
        <f t="shared" si="108"/>
        <v>277215.70623412868</v>
      </c>
      <c r="P244" s="577">
        <f t="shared" si="109"/>
        <v>1.5707927194956797</v>
      </c>
      <c r="Q244" s="586">
        <f t="shared" si="131"/>
        <v>37.160362269110863</v>
      </c>
      <c r="R244" s="587">
        <f t="shared" si="132"/>
        <v>1.5438826835157364</v>
      </c>
      <c r="S244" s="574">
        <f t="shared" si="110"/>
        <v>1.1447601573664243</v>
      </c>
      <c r="T244" s="577">
        <f t="shared" si="111"/>
        <v>0.50835695471072595</v>
      </c>
      <c r="U244" s="578">
        <f t="shared" si="123"/>
        <v>0.9701284730592411</v>
      </c>
      <c r="V244" s="579">
        <f t="shared" si="124"/>
        <v>-0.30087601598035124</v>
      </c>
      <c r="W244" s="580">
        <f t="shared" si="112"/>
        <v>-11.568760301773233</v>
      </c>
      <c r="X244" s="581">
        <f t="shared" si="113"/>
        <v>-138.46745125588694</v>
      </c>
      <c r="Y244" s="584">
        <f t="shared" si="114"/>
        <v>41.532548744113058</v>
      </c>
      <c r="AA244" s="147">
        <f t="shared" si="115"/>
        <v>14706.75</v>
      </c>
      <c r="AB244" s="147">
        <f t="shared" si="116"/>
        <v>216288495.5625</v>
      </c>
      <c r="AD244" s="583">
        <f t="shared" si="117"/>
        <v>26.476402122469089</v>
      </c>
      <c r="AE244" s="584">
        <f t="shared" si="118"/>
        <v>-30.668539514287577</v>
      </c>
      <c r="AG244" s="583">
        <f t="shared" si="119"/>
        <v>21.768860401535779</v>
      </c>
      <c r="AH244" s="584">
        <f t="shared" si="120"/>
        <v>-73.321059957432979</v>
      </c>
      <c r="AJ244" s="147">
        <f t="shared" si="121"/>
        <v>0</v>
      </c>
      <c r="AK244" s="147">
        <f t="shared" si="133"/>
        <v>0</v>
      </c>
      <c r="AM244" s="147" t="str">
        <f t="shared" si="125"/>
        <v>0.0936483808976249+0.422524250843076i</v>
      </c>
      <c r="AN244" s="147" t="str">
        <f t="shared" si="126"/>
        <v>0.436228585958389i</v>
      </c>
      <c r="AO244" s="147" t="str">
        <f t="shared" si="127"/>
        <v>0.968584509231084-0.21467731348206i</v>
      </c>
      <c r="AP244" s="147" t="str">
        <f t="shared" si="128"/>
        <v>0.151058603183729-0.070420708473846i</v>
      </c>
      <c r="AQ244" s="147" t="str">
        <f t="shared" si="129"/>
        <v>0.848941396816271+0.070420708473846i</v>
      </c>
      <c r="AR244" s="147" t="str">
        <f t="shared" si="130"/>
        <v>0.974516476999121-0.0808373121950215i</v>
      </c>
    </row>
    <row r="245" spans="7:44">
      <c r="G245" s="585">
        <v>14791</v>
      </c>
      <c r="H245" s="573">
        <f t="shared" si="122"/>
        <v>14.791</v>
      </c>
      <c r="I245" s="574">
        <f t="shared" si="102"/>
        <v>102.16767058859691</v>
      </c>
      <c r="J245" s="575">
        <f t="shared" si="103"/>
        <v>1.5610083384628743</v>
      </c>
      <c r="K245" s="575">
        <f t="shared" si="104"/>
        <v>1.0033386107912301</v>
      </c>
      <c r="L245" s="576">
        <f t="shared" si="105"/>
        <v>8.1600840383032155E-2</v>
      </c>
      <c r="M245" s="575">
        <f t="shared" si="106"/>
        <v>1.0051558381323291</v>
      </c>
      <c r="N245" s="576">
        <f t="shared" si="107"/>
        <v>-0.10132899818407291</v>
      </c>
      <c r="O245" s="574">
        <f t="shared" si="108"/>
        <v>278803.78131869342</v>
      </c>
      <c r="P245" s="577">
        <f t="shared" si="109"/>
        <v>1.5707927400429693</v>
      </c>
      <c r="Q245" s="586">
        <f t="shared" si="131"/>
        <v>37.373087702862634</v>
      </c>
      <c r="R245" s="587">
        <f t="shared" si="132"/>
        <v>1.5440359110852802</v>
      </c>
      <c r="S245" s="574">
        <f t="shared" si="110"/>
        <v>1.1463172462282503</v>
      </c>
      <c r="T245" s="577">
        <f t="shared" si="111"/>
        <v>0.5107894285923007</v>
      </c>
      <c r="U245" s="578">
        <f t="shared" si="123"/>
        <v>0.96980401920893389</v>
      </c>
      <c r="V245" s="579">
        <f t="shared" si="124"/>
        <v>-0.30254966294372326</v>
      </c>
      <c r="W245" s="580">
        <f t="shared" si="112"/>
        <v>-11.632287010531375</v>
      </c>
      <c r="X245" s="581">
        <f t="shared" si="113"/>
        <v>-138.7034805471591</v>
      </c>
      <c r="Y245" s="584">
        <f t="shared" si="114"/>
        <v>41.296519452840897</v>
      </c>
      <c r="AA245" s="147">
        <f t="shared" si="115"/>
        <v>14791</v>
      </c>
      <c r="AB245" s="147">
        <f t="shared" si="116"/>
        <v>218773681</v>
      </c>
      <c r="AD245" s="583">
        <f t="shared" si="117"/>
        <v>26.464559982077326</v>
      </c>
      <c r="AE245" s="584">
        <f t="shared" si="118"/>
        <v>-30.799131885859932</v>
      </c>
      <c r="AG245" s="583">
        <f t="shared" si="119"/>
        <v>21.722986695916269</v>
      </c>
      <c r="AH245" s="584">
        <f t="shared" si="120"/>
        <v>-73.234711062121463</v>
      </c>
      <c r="AJ245" s="147">
        <f t="shared" si="121"/>
        <v>0</v>
      </c>
      <c r="AK245" s="147">
        <f t="shared" si="133"/>
        <v>0</v>
      </c>
      <c r="AM245" s="147" t="str">
        <f t="shared" si="125"/>
        <v>0.094707100586317+0.424787907397524i</v>
      </c>
      <c r="AN245" s="147" t="str">
        <f t="shared" si="126"/>
        <v>0.438727592085983i</v>
      </c>
      <c r="AO245" s="147" t="str">
        <f t="shared" si="127"/>
        <v>0.968227016171513-0.215867664342743i</v>
      </c>
      <c r="AP245" s="147" t="str">
        <f t="shared" si="128"/>
        <v>0.15088214990228-0.070797984566254i</v>
      </c>
      <c r="AQ245" s="147" t="str">
        <f t="shared" si="129"/>
        <v>0.84911785009772+0.070797984566254i</v>
      </c>
      <c r="AR245" s="147" t="str">
        <f t="shared" si="130"/>
        <v>0.974245231790991-0.0812308902423229i</v>
      </c>
    </row>
    <row r="246" spans="7:44">
      <c r="G246" s="585">
        <v>14877.25</v>
      </c>
      <c r="H246" s="573">
        <f t="shared" si="122"/>
        <v>14.87725</v>
      </c>
      <c r="I246" s="574">
        <f t="shared" si="102"/>
        <v>102.76337877834889</v>
      </c>
      <c r="J246" s="575">
        <f t="shared" si="103"/>
        <v>1.5610650801686887</v>
      </c>
      <c r="K246" s="575">
        <f t="shared" si="104"/>
        <v>1.0033775951285073</v>
      </c>
      <c r="L246" s="576">
        <f t="shared" si="105"/>
        <v>8.2074547310125298E-2</v>
      </c>
      <c r="M246" s="575">
        <f t="shared" si="106"/>
        <v>1.0052159869334925</v>
      </c>
      <c r="N246" s="576">
        <f t="shared" si="107"/>
        <v>-0.10191580143040722</v>
      </c>
      <c r="O246" s="574">
        <f t="shared" si="108"/>
        <v>280429.55551505799</v>
      </c>
      <c r="P246" s="577">
        <f t="shared" si="109"/>
        <v>1.570792760836957</v>
      </c>
      <c r="Q246" s="586">
        <f t="shared" si="131"/>
        <v>37.590863897097101</v>
      </c>
      <c r="R246" s="587">
        <f t="shared" si="132"/>
        <v>1.5441909796402293</v>
      </c>
      <c r="S246" s="574">
        <f t="shared" si="110"/>
        <v>1.147918305420411</v>
      </c>
      <c r="T246" s="577">
        <f t="shared" si="111"/>
        <v>0.5132727956869606</v>
      </c>
      <c r="U246" s="578">
        <f t="shared" si="123"/>
        <v>0.96947026379846768</v>
      </c>
      <c r="V246" s="579">
        <f t="shared" si="124"/>
        <v>-0.30426219558776679</v>
      </c>
      <c r="W246" s="580">
        <f t="shared" si="112"/>
        <v>-11.697076238451364</v>
      </c>
      <c r="X246" s="581">
        <f t="shared" si="113"/>
        <v>-138.944735313433</v>
      </c>
      <c r="Y246" s="584">
        <f t="shared" si="114"/>
        <v>41.055264686567</v>
      </c>
      <c r="AA246" s="147">
        <f t="shared" si="115"/>
        <v>14877.25</v>
      </c>
      <c r="AB246" s="147">
        <f t="shared" si="116"/>
        <v>221332567.5625</v>
      </c>
      <c r="AD246" s="583">
        <f t="shared" si="117"/>
        <v>26.452400932235346</v>
      </c>
      <c r="AE246" s="584">
        <f t="shared" si="118"/>
        <v>-30.932534757191977</v>
      </c>
      <c r="AG246" s="583">
        <f t="shared" si="119"/>
        <v>21.676335997307341</v>
      </c>
      <c r="AH246" s="584">
        <f t="shared" si="120"/>
        <v>-73.146321171274906</v>
      </c>
      <c r="AJ246" s="147">
        <f t="shared" si="121"/>
        <v>0</v>
      </c>
      <c r="AK246" s="147">
        <f t="shared" si="133"/>
        <v>0</v>
      </c>
      <c r="AM246" s="147" t="str">
        <f t="shared" si="125"/>
        <v>0.095796809519449+0.427102552468131i</v>
      </c>
      <c r="AN246" s="147" t="str">
        <f t="shared" si="126"/>
        <v>0.441285921801176i</v>
      </c>
      <c r="AO246" s="147" t="str">
        <f t="shared" si="127"/>
        <v>0.967859003352853-0.217085578276415i</v>
      </c>
      <c r="AP246" s="147" t="str">
        <f t="shared" si="128"/>
        <v>0.150700531746758-0.0711837587446885i</v>
      </c>
      <c r="AQ246" s="147" t="str">
        <f t="shared" si="129"/>
        <v>0.849299468253242+0.0711837587446885i</v>
      </c>
      <c r="AR246" s="147" t="str">
        <f t="shared" si="130"/>
        <v>0.973966322353898-0.0816326705802418i</v>
      </c>
    </row>
    <row r="247" spans="7:44">
      <c r="G247" s="585">
        <v>14963.5</v>
      </c>
      <c r="H247" s="573">
        <f t="shared" si="122"/>
        <v>14.9635</v>
      </c>
      <c r="I247" s="574">
        <f t="shared" si="102"/>
        <v>103.35908729514621</v>
      </c>
      <c r="J247" s="575">
        <f t="shared" si="103"/>
        <v>1.5611211678147769</v>
      </c>
      <c r="K247" s="575">
        <f t="shared" si="104"/>
        <v>1.0034168046044389</v>
      </c>
      <c r="L247" s="576">
        <f t="shared" si="105"/>
        <v>8.2548217322395451E-2</v>
      </c>
      <c r="M247" s="575">
        <f t="shared" si="106"/>
        <v>1.0052764818272784</v>
      </c>
      <c r="N247" s="576">
        <f t="shared" si="107"/>
        <v>-0.10250253425420479</v>
      </c>
      <c r="O247" s="574">
        <f t="shared" si="108"/>
        <v>282055.32971142273</v>
      </c>
      <c r="P247" s="577">
        <f t="shared" si="109"/>
        <v>1.5707927813912306</v>
      </c>
      <c r="Q247" s="586">
        <f t="shared" si="131"/>
        <v>37.808640984838028</v>
      </c>
      <c r="R247" s="587">
        <f t="shared" si="132"/>
        <v>1.5443442618146896</v>
      </c>
      <c r="S247" s="574">
        <f t="shared" si="110"/>
        <v>1.1495264242078491</v>
      </c>
      <c r="T247" s="577">
        <f t="shared" si="111"/>
        <v>0.51574922985416238</v>
      </c>
      <c r="U247" s="578">
        <f t="shared" si="123"/>
        <v>0.96913489532586083</v>
      </c>
      <c r="V247" s="579">
        <f t="shared" si="124"/>
        <v>-0.30597386974249774</v>
      </c>
      <c r="W247" s="580">
        <f t="shared" si="112"/>
        <v>-11.76162002666616</v>
      </c>
      <c r="X247" s="581">
        <f t="shared" si="113"/>
        <v>-139.18560660802464</v>
      </c>
      <c r="Y247" s="584">
        <f t="shared" si="114"/>
        <v>40.814393391975358</v>
      </c>
      <c r="AA247" s="147">
        <f t="shared" si="115"/>
        <v>14963.5</v>
      </c>
      <c r="AB247" s="147">
        <f t="shared" si="116"/>
        <v>223906332.25</v>
      </c>
      <c r="AD247" s="583">
        <f t="shared" si="117"/>
        <v>26.440206055961191</v>
      </c>
      <c r="AE247" s="584">
        <f t="shared" si="118"/>
        <v>-31.065642739368691</v>
      </c>
      <c r="AG247" s="583">
        <f t="shared" si="119"/>
        <v>21.629997537895413</v>
      </c>
      <c r="AH247" s="584">
        <f t="shared" si="120"/>
        <v>-73.057941073530301</v>
      </c>
      <c r="AJ247" s="147">
        <f t="shared" si="121"/>
        <v>0</v>
      </c>
      <c r="AK247" s="147">
        <f t="shared" si="133"/>
        <v>0</v>
      </c>
      <c r="AM247" s="147" t="str">
        <f t="shared" si="125"/>
        <v>0.096892436505287+0.429414402132304i</v>
      </c>
      <c r="AN247" s="147" t="str">
        <f t="shared" si="126"/>
        <v>0.443844251516369i</v>
      </c>
      <c r="AO247" s="147" t="str">
        <f t="shared" si="127"/>
        <v>0.967488934835212-0.218302785660194i</v>
      </c>
      <c r="AP247" s="147" t="str">
        <f t="shared" si="128"/>
        <v>0.150517927249119-0.0715690670220507i</v>
      </c>
      <c r="AQ247" s="147" t="str">
        <f t="shared" si="129"/>
        <v>0.849482072750881+0.0715690670220507i</v>
      </c>
      <c r="AR247" s="147" t="str">
        <f t="shared" si="130"/>
        <v>0.973686179281142-0.0820332925893924i</v>
      </c>
    </row>
    <row r="248" spans="7:44">
      <c r="G248" s="585">
        <v>15049.75</v>
      </c>
      <c r="H248" s="573">
        <f t="shared" si="122"/>
        <v>15.04975</v>
      </c>
      <c r="I248" s="574">
        <f t="shared" si="102"/>
        <v>103.95479613336654</v>
      </c>
      <c r="J248" s="575">
        <f t="shared" si="103"/>
        <v>1.5611766126449731</v>
      </c>
      <c r="K248" s="575">
        <f t="shared" si="104"/>
        <v>1.0034562391926334</v>
      </c>
      <c r="L248" s="576">
        <f t="shared" si="105"/>
        <v>8.3021850211634052E-2</v>
      </c>
      <c r="M248" s="575">
        <f t="shared" si="106"/>
        <v>1.0053373227512097</v>
      </c>
      <c r="N248" s="576">
        <f t="shared" si="107"/>
        <v>-0.10308919626424312</v>
      </c>
      <c r="O248" s="574">
        <f t="shared" si="108"/>
        <v>283681.10390778753</v>
      </c>
      <c r="P248" s="577">
        <f t="shared" si="109"/>
        <v>1.5707928017099113</v>
      </c>
      <c r="Q248" s="586">
        <f t="shared" si="131"/>
        <v>38.026418950734111</v>
      </c>
      <c r="R248" s="587">
        <f t="shared" si="132"/>
        <v>1.5444957882932921</v>
      </c>
      <c r="S248" s="574">
        <f t="shared" si="110"/>
        <v>1.1511415730042802</v>
      </c>
      <c r="T248" s="577">
        <f t="shared" si="111"/>
        <v>0.51821872983845318</v>
      </c>
      <c r="U248" s="578">
        <f t="shared" si="123"/>
        <v>0.96879791893667766</v>
      </c>
      <c r="V248" s="579">
        <f t="shared" si="124"/>
        <v>-0.30768468162831264</v>
      </c>
      <c r="W248" s="580">
        <f t="shared" si="112"/>
        <v>-11.825921314652437</v>
      </c>
      <c r="X248" s="581">
        <f t="shared" si="113"/>
        <v>-139.42609301832115</v>
      </c>
      <c r="Y248" s="584">
        <f t="shared" si="114"/>
        <v>40.573906981678846</v>
      </c>
      <c r="AA248" s="147">
        <f t="shared" si="115"/>
        <v>15049.75</v>
      </c>
      <c r="AB248" s="147">
        <f t="shared" si="116"/>
        <v>226494975.0625</v>
      </c>
      <c r="AD248" s="583">
        <f t="shared" si="117"/>
        <v>26.427975738866671</v>
      </c>
      <c r="AE248" s="584">
        <f t="shared" si="118"/>
        <v>-31.198454002594204</v>
      </c>
      <c r="AG248" s="583">
        <f t="shared" si="119"/>
        <v>21.583967931771383</v>
      </c>
      <c r="AH248" s="584">
        <f t="shared" si="120"/>
        <v>-72.969571619181281</v>
      </c>
      <c r="AJ248" s="147">
        <f t="shared" si="121"/>
        <v>0</v>
      </c>
      <c r="AK248" s="147">
        <f t="shared" si="133"/>
        <v>0</v>
      </c>
      <c r="AM248" s="147" t="str">
        <f t="shared" si="125"/>
        <v>0.097993974372902+0.431723441258876i</v>
      </c>
      <c r="AN248" s="147" t="str">
        <f t="shared" si="126"/>
        <v>0.446402581231562i</v>
      </c>
      <c r="AO248" s="147" t="str">
        <f t="shared" si="127"/>
        <v>0.96711681206639-0.21951928257796i</v>
      </c>
      <c r="AP248" s="147" t="str">
        <f t="shared" si="128"/>
        <v>0.150334337604516-0.0719539068764793i</v>
      </c>
      <c r="AQ248" s="147" t="str">
        <f t="shared" si="129"/>
        <v>0.849665662395484+0.0719539068764793i</v>
      </c>
      <c r="AR248" s="147" t="str">
        <f t="shared" si="130"/>
        <v>0.973404808542499-0.0824327521363142i</v>
      </c>
    </row>
    <row r="249" spans="7:44">
      <c r="G249" s="585">
        <v>15136</v>
      </c>
      <c r="H249" s="573">
        <f t="shared" si="122"/>
        <v>15.135999999999999</v>
      </c>
      <c r="I249" s="574">
        <f t="shared" si="102"/>
        <v>104.55050528751563</v>
      </c>
      <c r="J249" s="575">
        <f t="shared" si="103"/>
        <v>1.561231425646866</v>
      </c>
      <c r="K249" s="575">
        <f t="shared" si="104"/>
        <v>1.0034958988665519</v>
      </c>
      <c r="L249" s="576">
        <f t="shared" si="105"/>
        <v>8.3495445769731877E-2</v>
      </c>
      <c r="M249" s="575">
        <f t="shared" si="106"/>
        <v>1.0053985096424676</v>
      </c>
      <c r="N249" s="576">
        <f t="shared" si="107"/>
        <v>-0.10367578706958913</v>
      </c>
      <c r="O249" s="574">
        <f t="shared" si="108"/>
        <v>285306.87810415257</v>
      </c>
      <c r="P249" s="577">
        <f t="shared" si="109"/>
        <v>1.5707928217970268</v>
      </c>
      <c r="Q249" s="586">
        <f t="shared" si="131"/>
        <v>38.244197779783647</v>
      </c>
      <c r="R249" s="587">
        <f t="shared" si="132"/>
        <v>1.5446455890620696</v>
      </c>
      <c r="S249" s="574">
        <f t="shared" si="110"/>
        <v>1.1527637222602565</v>
      </c>
      <c r="T249" s="577">
        <f t="shared" si="111"/>
        <v>0.52068129472969915</v>
      </c>
      <c r="U249" s="578">
        <f t="shared" si="123"/>
        <v>0.96845933979163701</v>
      </c>
      <c r="V249" s="579">
        <f t="shared" si="124"/>
        <v>-0.30939462748395485</v>
      </c>
      <c r="W249" s="580">
        <f t="shared" si="112"/>
        <v>-11.889982985515799</v>
      </c>
      <c r="X249" s="581">
        <f t="shared" si="113"/>
        <v>-139.66619317789662</v>
      </c>
      <c r="Y249" s="584">
        <f t="shared" si="114"/>
        <v>40.333806822103384</v>
      </c>
      <c r="AA249" s="147">
        <f t="shared" si="115"/>
        <v>15136</v>
      </c>
      <c r="AB249" s="147">
        <f t="shared" si="116"/>
        <v>229098496</v>
      </c>
      <c r="AD249" s="583">
        <f t="shared" si="117"/>
        <v>26.415710365357135</v>
      </c>
      <c r="AE249" s="584">
        <f t="shared" si="118"/>
        <v>-31.330966776879272</v>
      </c>
      <c r="AG249" s="583">
        <f t="shared" si="119"/>
        <v>21.538243850390462</v>
      </c>
      <c r="AH249" s="584">
        <f t="shared" si="120"/>
        <v>-72.881213642799395</v>
      </c>
      <c r="AJ249" s="147">
        <f t="shared" si="121"/>
        <v>0</v>
      </c>
      <c r="AK249" s="147">
        <f t="shared" si="133"/>
        <v>0</v>
      </c>
      <c r="AM249" s="147" t="str">
        <f t="shared" si="125"/>
        <v>0.099101415912674+0.434029654735078i</v>
      </c>
      <c r="AN249" s="147" t="str">
        <f t="shared" si="126"/>
        <v>0.448960910946754i</v>
      </c>
      <c r="AO249" s="147" t="str">
        <f t="shared" si="127"/>
        <v>0.966742636502164-0.220735065116676i</v>
      </c>
      <c r="AP249" s="147" t="str">
        <f t="shared" si="128"/>
        <v>0.150149764014554-0.0723382757891797i</v>
      </c>
      <c r="AQ249" s="147" t="str">
        <f t="shared" si="129"/>
        <v>0.849850235985446+0.0723382757891797i</v>
      </c>
      <c r="AR249" s="147" t="str">
        <f t="shared" si="130"/>
        <v>0.973122216121859-0.0828310451249981i</v>
      </c>
    </row>
    <row r="250" spans="7:44">
      <c r="G250" s="585">
        <v>15224</v>
      </c>
      <c r="H250" s="573">
        <f t="shared" si="122"/>
        <v>15.224</v>
      </c>
      <c r="I250" s="574">
        <f t="shared" si="102"/>
        <v>105.15830161410574</v>
      </c>
      <c r="J250" s="575">
        <f t="shared" si="103"/>
        <v>1.5612867107499209</v>
      </c>
      <c r="K250" s="575">
        <f t="shared" si="104"/>
        <v>1.0035365951843065</v>
      </c>
      <c r="L250" s="576">
        <f t="shared" si="105"/>
        <v>8.3978611822243879E-2</v>
      </c>
      <c r="M250" s="575">
        <f t="shared" si="106"/>
        <v>1.0054612945093231</v>
      </c>
      <c r="N250" s="576">
        <f t="shared" si="107"/>
        <v>-0.1042742059255809</v>
      </c>
      <c r="O250" s="574">
        <f t="shared" si="108"/>
        <v>286965.6390233424</v>
      </c>
      <c r="P250" s="577">
        <f t="shared" si="109"/>
        <v>1.57079284205713</v>
      </c>
      <c r="Q250" s="586">
        <f t="shared" si="131"/>
        <v>38.466396184101718</v>
      </c>
      <c r="R250" s="587">
        <f t="shared" si="132"/>
        <v>1.5447966810860712</v>
      </c>
      <c r="S250" s="574">
        <f t="shared" si="110"/>
        <v>1.1544259690267116</v>
      </c>
      <c r="T250" s="577">
        <f t="shared" si="111"/>
        <v>0.52318667652890094</v>
      </c>
      <c r="U250" s="578">
        <f t="shared" si="123"/>
        <v>0.96811224442990451</v>
      </c>
      <c r="V250" s="579">
        <f t="shared" si="124"/>
        <v>-0.31113837144379058</v>
      </c>
      <c r="W250" s="580">
        <f t="shared" si="112"/>
        <v>-11.955100433414747</v>
      </c>
      <c r="X250" s="581">
        <f t="shared" si="113"/>
        <v>-139.9107654786057</v>
      </c>
      <c r="Y250" s="584">
        <f t="shared" si="114"/>
        <v>40.089234521394303</v>
      </c>
      <c r="AA250" s="147">
        <f t="shared" si="115"/>
        <v>15224</v>
      </c>
      <c r="AB250" s="147">
        <f t="shared" si="116"/>
        <v>231770176</v>
      </c>
      <c r="AD250" s="583">
        <f t="shared" si="117"/>
        <v>26.403160396200867</v>
      </c>
      <c r="AE250" s="584">
        <f t="shared" si="118"/>
        <v>-31.465858805721602</v>
      </c>
      <c r="AG250" s="583">
        <f t="shared" si="119"/>
        <v>21.49190352495879</v>
      </c>
      <c r="AH250" s="584">
        <f t="shared" si="120"/>
        <v>-72.791075575537803</v>
      </c>
      <c r="AJ250" s="147">
        <f t="shared" si="121"/>
        <v>0</v>
      </c>
      <c r="AK250" s="147">
        <f t="shared" si="133"/>
        <v>0</v>
      </c>
      <c r="AM250" s="147" t="str">
        <f t="shared" si="125"/>
        <v>0.100237404324058+0.436379733056533i</v>
      </c>
      <c r="AN250" s="147" t="str">
        <f t="shared" si="126"/>
        <v>0.451571148801096i</v>
      </c>
      <c r="AO250" s="147" t="str">
        <f t="shared" si="127"/>
        <v>0.966358754794465-0.221974775381874i</v>
      </c>
      <c r="AP250" s="147" t="str">
        <f t="shared" si="128"/>
        <v>0.149960432612657-0.0727299555094222i</v>
      </c>
      <c r="AQ250" s="147" t="str">
        <f t="shared" si="129"/>
        <v>0.850039567387343+0.0727299555094222i</v>
      </c>
      <c r="AR250" s="147" t="str">
        <f t="shared" si="130"/>
        <v>0.972832637050236-0.0832362129074124i</v>
      </c>
    </row>
    <row r="251" spans="7:44">
      <c r="G251" s="585">
        <v>15312</v>
      </c>
      <c r="H251" s="573">
        <f t="shared" si="122"/>
        <v>15.311999999999999</v>
      </c>
      <c r="I251" s="574">
        <f t="shared" si="102"/>
        <v>105.76609825841211</v>
      </c>
      <c r="J251" s="575">
        <f t="shared" si="103"/>
        <v>1.5613413604491568</v>
      </c>
      <c r="K251" s="575">
        <f t="shared" si="104"/>
        <v>1.0035775257580792</v>
      </c>
      <c r="L251" s="576">
        <f t="shared" si="105"/>
        <v>8.4461738576002157E-2</v>
      </c>
      <c r="M251" s="575">
        <f t="shared" si="106"/>
        <v>1.005524439391984</v>
      </c>
      <c r="N251" s="576">
        <f t="shared" si="107"/>
        <v>-0.10487254983685461</v>
      </c>
      <c r="O251" s="574">
        <f t="shared" si="108"/>
        <v>288624.39994253241</v>
      </c>
      <c r="P251" s="577">
        <f t="shared" si="109"/>
        <v>1.5707928620843585</v>
      </c>
      <c r="Q251" s="586">
        <f t="shared" si="131"/>
        <v>38.688595456474665</v>
      </c>
      <c r="R251" s="587">
        <f t="shared" si="132"/>
        <v>1.5449460375871329</v>
      </c>
      <c r="S251" s="574">
        <f t="shared" si="110"/>
        <v>1.1560954411893594</v>
      </c>
      <c r="T251" s="577">
        <f t="shared" si="111"/>
        <v>0.52568483812373445</v>
      </c>
      <c r="U251" s="578">
        <f t="shared" si="123"/>
        <v>0.96776349151392005</v>
      </c>
      <c r="V251" s="579">
        <f t="shared" si="124"/>
        <v>-0.31288120602191816</v>
      </c>
      <c r="W251" s="580">
        <f t="shared" si="112"/>
        <v>-12.019974331869559</v>
      </c>
      <c r="X251" s="581">
        <f t="shared" si="113"/>
        <v>-140.15493296481952</v>
      </c>
      <c r="Y251" s="584">
        <f t="shared" si="114"/>
        <v>39.845067035180477</v>
      </c>
      <c r="AA251" s="147">
        <f t="shared" si="115"/>
        <v>15312</v>
      </c>
      <c r="AB251" s="147">
        <f t="shared" si="116"/>
        <v>234457344</v>
      </c>
      <c r="AD251" s="583">
        <f t="shared" si="117"/>
        <v>26.390574738083323</v>
      </c>
      <c r="AE251" s="584">
        <f t="shared" si="118"/>
        <v>-31.600436572122998</v>
      </c>
      <c r="AG251" s="583">
        <f t="shared" si="119"/>
        <v>21.445874424742396</v>
      </c>
      <c r="AH251" s="584">
        <f t="shared" si="120"/>
        <v>-72.700951163689666</v>
      </c>
      <c r="AJ251" s="147">
        <f t="shared" si="121"/>
        <v>0</v>
      </c>
      <c r="AK251" s="147">
        <f t="shared" si="133"/>
        <v>0</v>
      </c>
      <c r="AM251" s="147" t="str">
        <f t="shared" si="125"/>
        <v>0.101379523121935+0.438726838175463i</v>
      </c>
      <c r="AN251" s="147" t="str">
        <f t="shared" si="126"/>
        <v>0.454181386655438i</v>
      </c>
      <c r="AO251" s="147" t="str">
        <f t="shared" si="127"/>
        <v>0.965972739231387-0.223213733765021i</v>
      </c>
      <c r="AP251" s="147" t="str">
        <f t="shared" si="128"/>
        <v>0.149770079479677-0.0731211396959105i</v>
      </c>
      <c r="AQ251" s="147" t="str">
        <f t="shared" si="129"/>
        <v>0.850229920520323+0.0731211396959105i</v>
      </c>
      <c r="AR251" s="147" t="str">
        <f t="shared" si="130"/>
        <v>0.972541798846593-0.08364015781761i</v>
      </c>
    </row>
    <row r="252" spans="7:44">
      <c r="G252" s="585">
        <v>15400</v>
      </c>
      <c r="H252" s="573">
        <f t="shared" si="122"/>
        <v>15.4</v>
      </c>
      <c r="I252" s="574">
        <f t="shared" si="102"/>
        <v>106.37389521498871</v>
      </c>
      <c r="J252" s="575">
        <f t="shared" si="103"/>
        <v>1.5613953856359162</v>
      </c>
      <c r="K252" s="575">
        <f t="shared" si="104"/>
        <v>1.0036186905592093</v>
      </c>
      <c r="L252" s="576">
        <f t="shared" si="105"/>
        <v>8.4944825810294083E-2</v>
      </c>
      <c r="M252" s="575">
        <f t="shared" si="106"/>
        <v>1.0055879442226294</v>
      </c>
      <c r="N252" s="576">
        <f t="shared" si="107"/>
        <v>-0.10547081838913627</v>
      </c>
      <c r="O252" s="574">
        <f t="shared" si="108"/>
        <v>290283.16086172243</v>
      </c>
      <c r="P252" s="577">
        <f t="shared" si="109"/>
        <v>1.5707928818827046</v>
      </c>
      <c r="Q252" s="586">
        <f t="shared" si="131"/>
        <v>38.91079558203144</v>
      </c>
      <c r="R252" s="587">
        <f t="shared" si="132"/>
        <v>1.5450936882906479</v>
      </c>
      <c r="S252" s="574">
        <f t="shared" si="110"/>
        <v>1.1577721074917955</v>
      </c>
      <c r="T252" s="577">
        <f t="shared" si="111"/>
        <v>0.528175779634525</v>
      </c>
      <c r="U252" s="578">
        <f t="shared" si="123"/>
        <v>0.96741308657235947</v>
      </c>
      <c r="V252" s="579">
        <f t="shared" si="124"/>
        <v>-0.3146231272828231</v>
      </c>
      <c r="W252" s="580">
        <f t="shared" si="112"/>
        <v>-12.084607570163355</v>
      </c>
      <c r="X252" s="581">
        <f t="shared" si="113"/>
        <v>-140.39869432797065</v>
      </c>
      <c r="Y252" s="584">
        <f t="shared" si="114"/>
        <v>39.601305672029355</v>
      </c>
      <c r="AA252" s="147">
        <f t="shared" si="115"/>
        <v>15400</v>
      </c>
      <c r="AB252" s="147">
        <f t="shared" si="116"/>
        <v>237160000</v>
      </c>
      <c r="AD252" s="583">
        <f t="shared" si="117"/>
        <v>26.377953795187409</v>
      </c>
      <c r="AE252" s="584">
        <f t="shared" si="118"/>
        <v>-31.734698380066781</v>
      </c>
      <c r="AG252" s="583">
        <f t="shared" si="119"/>
        <v>21.400153190777882</v>
      </c>
      <c r="AH252" s="584">
        <f t="shared" si="120"/>
        <v>-72.610841245681016</v>
      </c>
      <c r="AJ252" s="147">
        <f t="shared" si="121"/>
        <v>0</v>
      </c>
      <c r="AK252" s="147">
        <f t="shared" si="133"/>
        <v>0</v>
      </c>
      <c r="AM252" s="147" t="str">
        <f t="shared" si="125"/>
        <v>0.102527764524664+0.441070954100247i</v>
      </c>
      <c r="AN252" s="147" t="str">
        <f t="shared" si="126"/>
        <v>0.456791624509779i</v>
      </c>
      <c r="AO252" s="147" t="str">
        <f t="shared" si="127"/>
        <v>0.965584591384741-0.224451936120096i</v>
      </c>
      <c r="AP252" s="147" t="str">
        <f t="shared" si="128"/>
        <v>0.149578705912556-0.0735118256833745i</v>
      </c>
      <c r="AQ252" s="147" t="str">
        <f t="shared" si="129"/>
        <v>0.850421294087444+0.0735118256833745i</v>
      </c>
      <c r="AR252" s="147" t="str">
        <f t="shared" si="130"/>
        <v>0.972249707910116-0.0840428756258908i</v>
      </c>
    </row>
    <row r="253" spans="7:44">
      <c r="G253" s="585">
        <v>15488</v>
      </c>
      <c r="H253" s="573">
        <f t="shared" si="122"/>
        <v>15.488</v>
      </c>
      <c r="I253" s="574">
        <f t="shared" si="102"/>
        <v>106.98169247851317</v>
      </c>
      <c r="J253" s="575">
        <f t="shared" si="103"/>
        <v>1.5614487969540471</v>
      </c>
      <c r="K253" s="575">
        <f t="shared" si="104"/>
        <v>1.0036600895588765</v>
      </c>
      <c r="L253" s="576">
        <f t="shared" si="105"/>
        <v>8.5427873304516955E-2</v>
      </c>
      <c r="M253" s="575">
        <f t="shared" si="106"/>
        <v>1.0056518089330697</v>
      </c>
      <c r="N253" s="576">
        <f t="shared" si="107"/>
        <v>-0.10606901116847213</v>
      </c>
      <c r="O253" s="574">
        <f t="shared" si="108"/>
        <v>291941.92178091273</v>
      </c>
      <c r="P253" s="577">
        <f t="shared" si="109"/>
        <v>1.5707929014560693</v>
      </c>
      <c r="Q253" s="586">
        <f t="shared" si="131"/>
        <v>39.132996546238729</v>
      </c>
      <c r="R253" s="587">
        <f t="shared" si="132"/>
        <v>1.5452396622471771</v>
      </c>
      <c r="S253" s="574">
        <f t="shared" si="110"/>
        <v>1.1594559367241106</v>
      </c>
      <c r="T253" s="577">
        <f t="shared" si="111"/>
        <v>0.53065950153929442</v>
      </c>
      <c r="U253" s="578">
        <f t="shared" si="123"/>
        <v>0.96706103514942199</v>
      </c>
      <c r="V253" s="579">
        <f t="shared" si="124"/>
        <v>-0.31636413131105917</v>
      </c>
      <c r="W253" s="580">
        <f t="shared" si="112"/>
        <v>-12.149002982115819</v>
      </c>
      <c r="X253" s="581">
        <f t="shared" si="113"/>
        <v>-140.64204830562758</v>
      </c>
      <c r="Y253" s="584">
        <f t="shared" si="114"/>
        <v>39.357951694372417</v>
      </c>
      <c r="AA253" s="147">
        <f t="shared" si="115"/>
        <v>15488</v>
      </c>
      <c r="AB253" s="147">
        <f t="shared" si="116"/>
        <v>239878144</v>
      </c>
      <c r="AD253" s="583">
        <f t="shared" si="117"/>
        <v>26.365297970246914</v>
      </c>
      <c r="AE253" s="584">
        <f t="shared" si="118"/>
        <v>-31.868642592690556</v>
      </c>
      <c r="AG253" s="583">
        <f t="shared" si="119"/>
        <v>21.354736520792265</v>
      </c>
      <c r="AH253" s="584">
        <f t="shared" si="120"/>
        <v>-72.520746644619805</v>
      </c>
      <c r="AJ253" s="147">
        <f t="shared" si="121"/>
        <v>0</v>
      </c>
      <c r="AK253" s="147">
        <f t="shared" si="133"/>
        <v>0</v>
      </c>
      <c r="AM253" s="147" t="str">
        <f t="shared" si="125"/>
        <v>0.103682120708888+0.443412064859634i</v>
      </c>
      <c r="AN253" s="147" t="str">
        <f t="shared" si="126"/>
        <v>0.459401862364121i</v>
      </c>
      <c r="AO253" s="147" t="str">
        <f t="shared" si="127"/>
        <v>0.96519431283495-0.2256893783045i</v>
      </c>
      <c r="AP253" s="147" t="str">
        <f t="shared" si="128"/>
        <v>0.149386313215185-0.073902010809939i</v>
      </c>
      <c r="AQ253" s="147" t="str">
        <f t="shared" si="129"/>
        <v>0.850613686784815+0.073902010809939i</v>
      </c>
      <c r="AR253" s="147" t="str">
        <f t="shared" si="130"/>
        <v>0.971956370654075-0.0844443621432554i</v>
      </c>
    </row>
    <row r="254" spans="7:44">
      <c r="G254" s="585">
        <v>15578.25</v>
      </c>
      <c r="H254" s="573">
        <f t="shared" si="122"/>
        <v>15.578250000000001</v>
      </c>
      <c r="I254" s="574">
        <f t="shared" si="102"/>
        <v>107.60503032635184</v>
      </c>
      <c r="J254" s="575">
        <f t="shared" si="103"/>
        <v>1.5615029471861903</v>
      </c>
      <c r="K254" s="575">
        <f t="shared" si="104"/>
        <v>1.0037027902824709</v>
      </c>
      <c r="L254" s="576">
        <f t="shared" si="105"/>
        <v>8.5923229936746379E-2</v>
      </c>
      <c r="M254" s="575">
        <f t="shared" si="106"/>
        <v>1.0057176802758536</v>
      </c>
      <c r="N254" s="576">
        <f t="shared" si="107"/>
        <v>-0.10668241951248382</v>
      </c>
      <c r="O254" s="574">
        <f t="shared" si="108"/>
        <v>293643.09420087776</v>
      </c>
      <c r="P254" s="577">
        <f t="shared" si="109"/>
        <v>1.5707929213002001</v>
      </c>
      <c r="Q254" s="586">
        <f t="shared" si="131"/>
        <v>39.360879641309623</v>
      </c>
      <c r="R254" s="587">
        <f t="shared" si="132"/>
        <v>1.5453876566303721</v>
      </c>
      <c r="S254" s="574">
        <f t="shared" si="110"/>
        <v>1.1611902257515665</v>
      </c>
      <c r="T254" s="577">
        <f t="shared" si="111"/>
        <v>0.53319922971656353</v>
      </c>
      <c r="U254" s="578">
        <f t="shared" si="123"/>
        <v>0.96669827806967279</v>
      </c>
      <c r="V254" s="579">
        <f t="shared" si="124"/>
        <v>-0.31814869285606251</v>
      </c>
      <c r="W254" s="580">
        <f t="shared" si="112"/>
        <v>-12.214800753853979</v>
      </c>
      <c r="X254" s="581">
        <f t="shared" si="113"/>
        <v>-140.89119998443741</v>
      </c>
      <c r="Y254" s="584">
        <f t="shared" si="114"/>
        <v>39.108800015562593</v>
      </c>
      <c r="AA254" s="147">
        <f t="shared" si="115"/>
        <v>15578.25</v>
      </c>
      <c r="AB254" s="147">
        <f t="shared" si="116"/>
        <v>242681873.0625</v>
      </c>
      <c r="AD254" s="583">
        <f t="shared" si="117"/>
        <v>26.352282747935035</v>
      </c>
      <c r="AE254" s="584">
        <f t="shared" si="118"/>
        <v>-32.005679981951324</v>
      </c>
      <c r="AG254" s="583">
        <f t="shared" si="119"/>
        <v>21.30847157254944</v>
      </c>
      <c r="AH254" s="584">
        <f t="shared" si="120"/>
        <v>-72.428365244315074</v>
      </c>
      <c r="AJ254" s="147">
        <f t="shared" si="121"/>
        <v>0</v>
      </c>
      <c r="AK254" s="147">
        <f t="shared" si="133"/>
        <v>0</v>
      </c>
      <c r="AM254" s="147" t="str">
        <f t="shared" si="125"/>
        <v>0.104872334738757+0.445809895453159i</v>
      </c>
      <c r="AN254" s="147" t="str">
        <f t="shared" si="126"/>
        <v>0.462078839254511i</v>
      </c>
      <c r="AO254" s="147" t="str">
        <f t="shared" si="127"/>
        <v>0.964791844119936-0.226957665726376i</v>
      </c>
      <c r="AP254" s="147" t="str">
        <f t="shared" si="128"/>
        <v>0.149187944210207-0.0743016492421932i</v>
      </c>
      <c r="AQ254" s="147" t="str">
        <f t="shared" si="129"/>
        <v>0.850812055789793+0.0743016492421932i</v>
      </c>
      <c r="AR254" s="147" t="str">
        <f t="shared" si="130"/>
        <v>0.971654245504242-0.084854830679528i</v>
      </c>
    </row>
    <row r="255" spans="7:44">
      <c r="G255" s="585">
        <v>15668.5</v>
      </c>
      <c r="H255" s="573">
        <f t="shared" si="122"/>
        <v>15.6685</v>
      </c>
      <c r="I255" s="574">
        <f t="shared" si="102"/>
        <v>108.2283684860806</v>
      </c>
      <c r="J255" s="575">
        <f t="shared" si="103"/>
        <v>1.5615564736650955</v>
      </c>
      <c r="K255" s="575">
        <f t="shared" si="104"/>
        <v>1.0037457372718521</v>
      </c>
      <c r="L255" s="576">
        <f t="shared" si="105"/>
        <v>8.6418544301133896E-2</v>
      </c>
      <c r="M255" s="575">
        <f t="shared" si="106"/>
        <v>1.0057839299901736</v>
      </c>
      <c r="N255" s="576">
        <f t="shared" si="107"/>
        <v>-0.10729574727838463</v>
      </c>
      <c r="O255" s="574">
        <f t="shared" si="108"/>
        <v>295344.26662084291</v>
      </c>
      <c r="P255" s="577">
        <f t="shared" si="109"/>
        <v>1.5707929409157277</v>
      </c>
      <c r="Q255" s="586">
        <f t="shared" si="131"/>
        <v>39.588763588550904</v>
      </c>
      <c r="R255" s="587">
        <f t="shared" si="132"/>
        <v>1.5455339472229792</v>
      </c>
      <c r="S255" s="574">
        <f t="shared" si="110"/>
        <v>1.1629319823428148</v>
      </c>
      <c r="T255" s="577">
        <f t="shared" si="111"/>
        <v>0.53573136653850517</v>
      </c>
      <c r="U255" s="578">
        <f t="shared" si="123"/>
        <v>0.96633380109798139</v>
      </c>
      <c r="V255" s="579">
        <f t="shared" si="124"/>
        <v>-0.31993228138806434</v>
      </c>
      <c r="W255" s="580">
        <f t="shared" si="112"/>
        <v>-12.280354246258838</v>
      </c>
      <c r="X255" s="581">
        <f t="shared" si="113"/>
        <v>-141.13992063455441</v>
      </c>
      <c r="Y255" s="584">
        <f t="shared" si="114"/>
        <v>38.860079365445586</v>
      </c>
      <c r="AA255" s="147">
        <f t="shared" si="115"/>
        <v>15668.5</v>
      </c>
      <c r="AB255" s="147">
        <f t="shared" si="116"/>
        <v>245501892.25</v>
      </c>
      <c r="AD255" s="583">
        <f t="shared" si="117"/>
        <v>26.339231690228829</v>
      </c>
      <c r="AE255" s="584">
        <f t="shared" si="118"/>
        <v>-32.142380025502568</v>
      </c>
      <c r="AG255" s="583">
        <f t="shared" si="119"/>
        <v>21.26252010371082</v>
      </c>
      <c r="AH255" s="584">
        <f t="shared" si="120"/>
        <v>-72.336001660104074</v>
      </c>
      <c r="AJ255" s="147">
        <f t="shared" si="121"/>
        <v>0</v>
      </c>
      <c r="AK255" s="147">
        <f t="shared" si="133"/>
        <v>0</v>
      </c>
      <c r="AM255" s="147" t="str">
        <f t="shared" si="125"/>
        <v>0.106068963433389+0.448204531283369i</v>
      </c>
      <c r="AN255" s="147" t="str">
        <f t="shared" si="126"/>
        <v>0.464755816144901i</v>
      </c>
      <c r="AO255" s="147" t="str">
        <f t="shared" si="127"/>
        <v>0.964387137747252-0.22822514479371i</v>
      </c>
      <c r="AP255" s="147" t="str">
        <f t="shared" si="128"/>
        <v>0.148988506094435-0.0747007552138948i</v>
      </c>
      <c r="AQ255" s="147" t="str">
        <f t="shared" si="129"/>
        <v>0.851011493905565+0.0747007552138948i</v>
      </c>
      <c r="AR255" s="147" t="str">
        <f t="shared" si="130"/>
        <v>0.971350823195286-0.0852639953631204i</v>
      </c>
    </row>
    <row r="256" spans="7:44">
      <c r="G256" s="585">
        <v>15758.75</v>
      </c>
      <c r="H256" s="573">
        <f t="shared" si="122"/>
        <v>15.758749999999999</v>
      </c>
      <c r="I256" s="574">
        <f t="shared" si="102"/>
        <v>108.85170695234136</v>
      </c>
      <c r="J256" s="575">
        <f t="shared" si="103"/>
        <v>1.5616093871062078</v>
      </c>
      <c r="K256" s="575">
        <f t="shared" si="104"/>
        <v>1.0037889304954113</v>
      </c>
      <c r="L256" s="576">
        <f t="shared" si="105"/>
        <v>8.6913816160083271E-2</v>
      </c>
      <c r="M256" s="575">
        <f t="shared" si="106"/>
        <v>1.0058505580012664</v>
      </c>
      <c r="N256" s="576">
        <f t="shared" si="107"/>
        <v>-0.10790899402070991</v>
      </c>
      <c r="O256" s="574">
        <f t="shared" si="108"/>
        <v>297045.4390408083</v>
      </c>
      <c r="P256" s="577">
        <f t="shared" si="109"/>
        <v>1.5707929603065802</v>
      </c>
      <c r="Q256" s="586">
        <f t="shared" si="131"/>
        <v>39.816648373330779</v>
      </c>
      <c r="R256" s="587">
        <f t="shared" si="132"/>
        <v>1.5456785632728738</v>
      </c>
      <c r="S256" s="574">
        <f t="shared" si="110"/>
        <v>1.1646811729950945</v>
      </c>
      <c r="T256" s="577">
        <f t="shared" si="111"/>
        <v>0.53825591366545467</v>
      </c>
      <c r="U256" s="578">
        <f t="shared" si="123"/>
        <v>0.96596761026414268</v>
      </c>
      <c r="V256" s="579">
        <f t="shared" si="124"/>
        <v>-0.32171489274962678</v>
      </c>
      <c r="W256" s="580">
        <f t="shared" si="112"/>
        <v>-12.345666342929128</v>
      </c>
      <c r="X256" s="581">
        <f t="shared" si="113"/>
        <v>-141.38820903939026</v>
      </c>
      <c r="Y256" s="584">
        <f t="shared" si="114"/>
        <v>38.611790960609738</v>
      </c>
      <c r="AA256" s="147">
        <f t="shared" si="115"/>
        <v>15758.75</v>
      </c>
      <c r="AB256" s="147">
        <f t="shared" si="116"/>
        <v>248338201.5625</v>
      </c>
      <c r="AD256" s="583">
        <f t="shared" si="117"/>
        <v>26.326145226587599</v>
      </c>
      <c r="AE256" s="584">
        <f t="shared" si="118"/>
        <v>-32.27874114291965</v>
      </c>
      <c r="AG256" s="583">
        <f t="shared" si="119"/>
        <v>21.216878729614802</v>
      </c>
      <c r="AH256" s="584">
        <f t="shared" si="120"/>
        <v>-72.243656732230178</v>
      </c>
      <c r="AJ256" s="147">
        <f t="shared" si="121"/>
        <v>0</v>
      </c>
      <c r="AK256" s="147">
        <f t="shared" si="133"/>
        <v>0</v>
      </c>
      <c r="AM256" s="147" t="str">
        <f t="shared" si="125"/>
        <v>0.107271998217502+0.450595955189822i</v>
      </c>
      <c r="AN256" s="147" t="str">
        <f t="shared" si="126"/>
        <v>0.467432793035291i</v>
      </c>
      <c r="AO256" s="147" t="str">
        <f t="shared" si="127"/>
        <v>0.963980195449835-0.229491811049301i</v>
      </c>
      <c r="AP256" s="147" t="str">
        <f t="shared" si="128"/>
        <v>0.148788000297083-0.0750993258649703i</v>
      </c>
      <c r="AQ256" s="147" t="str">
        <f t="shared" si="129"/>
        <v>0.851211999702917+0.0750993258649703i</v>
      </c>
      <c r="AR256" s="147" t="str">
        <f t="shared" si="130"/>
        <v>0.971046110689257-0.0856718518089691i</v>
      </c>
    </row>
    <row r="257" spans="7:44">
      <c r="G257" s="585">
        <v>15849</v>
      </c>
      <c r="H257" s="573">
        <f t="shared" si="122"/>
        <v>15.849</v>
      </c>
      <c r="I257" s="574">
        <f t="shared" si="102"/>
        <v>109.47504571989801</v>
      </c>
      <c r="J257" s="575">
        <f t="shared" si="103"/>
        <v>1.5616616979809359</v>
      </c>
      <c r="K257" s="575">
        <f t="shared" si="104"/>
        <v>1.0038323699213632</v>
      </c>
      <c r="L257" s="576">
        <f t="shared" si="105"/>
        <v>8.7409045276122407E-2</v>
      </c>
      <c r="M257" s="575">
        <f t="shared" si="106"/>
        <v>1.0059175642339613</v>
      </c>
      <c r="N257" s="576">
        <f t="shared" si="107"/>
        <v>-0.10852215929435638</v>
      </c>
      <c r="O257" s="574">
        <f t="shared" si="108"/>
        <v>298746.61146077368</v>
      </c>
      <c r="P257" s="577">
        <f t="shared" si="109"/>
        <v>1.5707929794765954</v>
      </c>
      <c r="Q257" s="586">
        <f t="shared" si="131"/>
        <v>40.044533981350511</v>
      </c>
      <c r="R257" s="587">
        <f t="shared" si="132"/>
        <v>1.5458215333624397</v>
      </c>
      <c r="S257" s="574">
        <f t="shared" si="110"/>
        <v>1.1664377642640413</v>
      </c>
      <c r="T257" s="577">
        <f t="shared" si="111"/>
        <v>0.54077287313478017</v>
      </c>
      <c r="U257" s="578">
        <f t="shared" si="123"/>
        <v>0.96559971161411295</v>
      </c>
      <c r="V257" s="579">
        <f t="shared" si="124"/>
        <v>-0.32349652280570051</v>
      </c>
      <c r="W257" s="580">
        <f t="shared" si="112"/>
        <v>-12.410739871776769</v>
      </c>
      <c r="X257" s="581">
        <f t="shared" si="113"/>
        <v>-141.63606402939763</v>
      </c>
      <c r="Y257" s="584">
        <f t="shared" si="114"/>
        <v>38.36393597060237</v>
      </c>
      <c r="AA257" s="147">
        <f t="shared" si="115"/>
        <v>15849</v>
      </c>
      <c r="AB257" s="147">
        <f t="shared" si="116"/>
        <v>251190801</v>
      </c>
      <c r="AD257" s="583">
        <f t="shared" si="117"/>
        <v>26.313023784727342</v>
      </c>
      <c r="AE257" s="584">
        <f t="shared" si="118"/>
        <v>-32.414761813505145</v>
      </c>
      <c r="AG257" s="583">
        <f t="shared" si="119"/>
        <v>21.171544122794113</v>
      </c>
      <c r="AH257" s="584">
        <f t="shared" si="120"/>
        <v>-72.151331285685444</v>
      </c>
      <c r="AJ257" s="147">
        <f t="shared" si="121"/>
        <v>0</v>
      </c>
      <c r="AK257" s="147">
        <f t="shared" si="133"/>
        <v>0</v>
      </c>
      <c r="AM257" s="147" t="str">
        <f t="shared" si="125"/>
        <v>0.108481430469907+0.452984150035094i</v>
      </c>
      <c r="AN257" s="147" t="str">
        <f t="shared" si="126"/>
        <v>0.470109769925681i</v>
      </c>
      <c r="AO257" s="147" t="str">
        <f t="shared" si="127"/>
        <v>0.963571018970113-0.230757660039817i</v>
      </c>
      <c r="AP257" s="147" t="str">
        <f t="shared" si="128"/>
        <v>0.148586428255016-0.0754973583391823i</v>
      </c>
      <c r="AQ257" s="147" t="str">
        <f t="shared" si="129"/>
        <v>0.851413571744984+0.0754973583391823i</v>
      </c>
      <c r="AR257" s="147" t="str">
        <f t="shared" si="130"/>
        <v>0.970740114962434-0.0860783956771237i</v>
      </c>
    </row>
    <row r="258" spans="7:44">
      <c r="G258" s="585">
        <v>15941.25</v>
      </c>
      <c r="H258" s="573">
        <f t="shared" si="122"/>
        <v>15.94125</v>
      </c>
      <c r="I258" s="574">
        <f t="shared" si="102"/>
        <v>110.11219839500976</v>
      </c>
      <c r="J258" s="575">
        <f t="shared" si="103"/>
        <v>1.56171455600896</v>
      </c>
      <c r="K258" s="575">
        <f t="shared" si="104"/>
        <v>1.0038770264074572</v>
      </c>
      <c r="L258" s="576">
        <f t="shared" si="105"/>
        <v>8.7915204577282136E-2</v>
      </c>
      <c r="M258" s="575">
        <f t="shared" si="106"/>
        <v>1.0059864461775689</v>
      </c>
      <c r="N258" s="576">
        <f t="shared" si="107"/>
        <v>-0.1091488280583021</v>
      </c>
      <c r="O258" s="574">
        <f t="shared" si="108"/>
        <v>300485.48299253901</v>
      </c>
      <c r="P258" s="577">
        <f t="shared" si="109"/>
        <v>1.5707929988471034</v>
      </c>
      <c r="Q258" s="586">
        <f t="shared" si="131"/>
        <v>40.277470522206173</v>
      </c>
      <c r="R258" s="587">
        <f t="shared" si="132"/>
        <v>1.5459659997671888</v>
      </c>
      <c r="S258" s="574">
        <f t="shared" si="110"/>
        <v>1.168240896444358</v>
      </c>
      <c r="T258" s="577">
        <f t="shared" si="111"/>
        <v>0.54333777086810997</v>
      </c>
      <c r="U258" s="578">
        <f t="shared" si="123"/>
        <v>0.9652219013915706</v>
      </c>
      <c r="V258" s="579">
        <f t="shared" si="124"/>
        <v>-0.32531661652067423</v>
      </c>
      <c r="W258" s="580">
        <f t="shared" si="112"/>
        <v>-12.477011803955078</v>
      </c>
      <c r="X258" s="581">
        <f t="shared" si="113"/>
        <v>-141.8889625529784</v>
      </c>
      <c r="Y258" s="584">
        <f t="shared" si="114"/>
        <v>38.111037447021602</v>
      </c>
      <c r="AA258" s="147">
        <f t="shared" si="115"/>
        <v>15941.25</v>
      </c>
      <c r="AB258" s="147">
        <f t="shared" si="116"/>
        <v>254123451.5625</v>
      </c>
      <c r="AD258" s="583">
        <f t="shared" si="117"/>
        <v>26.299575856918146</v>
      </c>
      <c r="AE258" s="584">
        <f t="shared" si="118"/>
        <v>-32.5534434232409</v>
      </c>
      <c r="AG258" s="583">
        <f t="shared" si="119"/>
        <v>21.125518505012167</v>
      </c>
      <c r="AH258" s="584">
        <f t="shared" si="120"/>
        <v>-72.056980822919556</v>
      </c>
      <c r="AJ258" s="147">
        <f t="shared" si="121"/>
        <v>0</v>
      </c>
      <c r="AK258" s="147">
        <f t="shared" si="133"/>
        <v>0</v>
      </c>
      <c r="AM258" s="147" t="str">
        <f t="shared" si="125"/>
        <v>0.109724267218786+0.455421913856671i</v>
      </c>
      <c r="AN258" s="147" t="str">
        <f t="shared" si="126"/>
        <v>0.47284607040367i</v>
      </c>
      <c r="AO258" s="147" t="str">
        <f t="shared" si="127"/>
        <v>0.963150467694225-0.232050711820686i</v>
      </c>
      <c r="AP258" s="147" t="str">
        <f t="shared" si="128"/>
        <v>0.148379288796869-0.0759036523094452i</v>
      </c>
      <c r="AQ258" s="147" t="str">
        <f t="shared" si="129"/>
        <v>0.851620711203131+0.0759036523094452i</v>
      </c>
      <c r="AR258" s="147" t="str">
        <f t="shared" si="130"/>
        <v>0.970426019253135-0.0864925878251211i</v>
      </c>
    </row>
    <row r="259" spans="7:44">
      <c r="G259" s="585">
        <v>16033.5</v>
      </c>
      <c r="H259" s="573">
        <f t="shared" si="122"/>
        <v>16.0335</v>
      </c>
      <c r="I259" s="574">
        <f t="shared" si="102"/>
        <v>110.74935137423194</v>
      </c>
      <c r="J259" s="575">
        <f t="shared" si="103"/>
        <v>1.5617668058412413</v>
      </c>
      <c r="K259" s="575">
        <f t="shared" si="104"/>
        <v>1.0039219400611539</v>
      </c>
      <c r="L259" s="576">
        <f t="shared" si="105"/>
        <v>8.8421318718792066E-2</v>
      </c>
      <c r="M259" s="575">
        <f t="shared" si="106"/>
        <v>1.0060557231316876</v>
      </c>
      <c r="N259" s="576">
        <f t="shared" si="107"/>
        <v>-0.10977541076351865</v>
      </c>
      <c r="O259" s="574">
        <f t="shared" si="108"/>
        <v>302224.35452430445</v>
      </c>
      <c r="P259" s="577">
        <f t="shared" si="109"/>
        <v>1.570793017994712</v>
      </c>
      <c r="Q259" s="586">
        <f t="shared" si="131"/>
        <v>40.510407894007344</v>
      </c>
      <c r="R259" s="587">
        <f t="shared" si="132"/>
        <v>1.5461088047932161</v>
      </c>
      <c r="S259" s="574">
        <f t="shared" si="110"/>
        <v>1.1700516904142491</v>
      </c>
      <c r="T259" s="577">
        <f t="shared" si="111"/>
        <v>0.54589474641193325</v>
      </c>
      <c r="U259" s="578">
        <f t="shared" si="123"/>
        <v>0.96484231964576916</v>
      </c>
      <c r="V259" s="579">
        <f t="shared" si="124"/>
        <v>-0.32713567629083129</v>
      </c>
      <c r="W259" s="580">
        <f t="shared" si="112"/>
        <v>-12.54304027994722</v>
      </c>
      <c r="X259" s="581">
        <f t="shared" si="113"/>
        <v>-142.14140591468504</v>
      </c>
      <c r="Y259" s="584">
        <f t="shared" si="114"/>
        <v>37.858594085314962</v>
      </c>
      <c r="AA259" s="147">
        <f t="shared" si="115"/>
        <v>16033.5</v>
      </c>
      <c r="AB259" s="147">
        <f t="shared" si="116"/>
        <v>257073122.25</v>
      </c>
      <c r="AD259" s="583">
        <f t="shared" si="117"/>
        <v>26.286092281389667</v>
      </c>
      <c r="AE259" s="584">
        <f t="shared" si="118"/>
        <v>-32.691766302170727</v>
      </c>
      <c r="AG259" s="583">
        <f t="shared" si="119"/>
        <v>21.079806548570215</v>
      </c>
      <c r="AH259" s="584">
        <f t="shared" si="120"/>
        <v>-71.962652410434103</v>
      </c>
      <c r="AJ259" s="147">
        <f t="shared" si="121"/>
        <v>0</v>
      </c>
      <c r="AK259" s="147">
        <f t="shared" si="133"/>
        <v>0</v>
      </c>
      <c r="AM259" s="147" t="str">
        <f t="shared" si="125"/>
        <v>0.110973769760884+0.457856267781524i</v>
      </c>
      <c r="AN259" s="147" t="str">
        <f t="shared" si="126"/>
        <v>0.475582370881659i</v>
      </c>
      <c r="AO259" s="147" t="str">
        <f t="shared" si="127"/>
        <v>0.962727585828563-0.233342900316417i</v>
      </c>
      <c r="AP259" s="147" t="str">
        <f t="shared" si="128"/>
        <v>0.148171038373186-0.0763093779635873i</v>
      </c>
      <c r="AQ259" s="147" t="str">
        <f t="shared" si="129"/>
        <v>0.851828961626814+0.0763093779635873i</v>
      </c>
      <c r="AR259" s="147" t="str">
        <f t="shared" si="130"/>
        <v>0.970110597602166-0.0869053995505463i</v>
      </c>
    </row>
    <row r="260" spans="7:44">
      <c r="G260" s="585">
        <v>16125.75</v>
      </c>
      <c r="H260" s="573">
        <f t="shared" si="122"/>
        <v>16.12575</v>
      </c>
      <c r="I260" s="574">
        <f t="shared" si="102"/>
        <v>111.38650465234579</v>
      </c>
      <c r="J260" s="575">
        <f t="shared" si="103"/>
        <v>1.5618184579144987</v>
      </c>
      <c r="K260" s="575">
        <f t="shared" si="104"/>
        <v>1.0039671108479389</v>
      </c>
      <c r="L260" s="576">
        <f t="shared" si="105"/>
        <v>8.8927387447446687E-2</v>
      </c>
      <c r="M260" s="575">
        <f t="shared" si="106"/>
        <v>1.0061253950147211</v>
      </c>
      <c r="N260" s="576">
        <f t="shared" si="107"/>
        <v>-0.11040190693583377</v>
      </c>
      <c r="O260" s="574">
        <f t="shared" si="108"/>
        <v>303963.22605606995</v>
      </c>
      <c r="P260" s="577">
        <f t="shared" si="109"/>
        <v>1.5707930369232468</v>
      </c>
      <c r="Q260" s="586">
        <f t="shared" si="131"/>
        <v>40.743346082502029</v>
      </c>
      <c r="R260" s="587">
        <f t="shared" si="132"/>
        <v>1.54624997692999</v>
      </c>
      <c r="S260" s="574">
        <f t="shared" si="110"/>
        <v>1.1718701106563261</v>
      </c>
      <c r="T260" s="577">
        <f t="shared" si="111"/>
        <v>0.54844380313264696</v>
      </c>
      <c r="U260" s="578">
        <f t="shared" si="123"/>
        <v>0.96446097288425947</v>
      </c>
      <c r="V260" s="579">
        <f t="shared" si="124"/>
        <v>-0.32895369777292088</v>
      </c>
      <c r="W260" s="580">
        <f t="shared" si="112"/>
        <v>-12.608828148039057</v>
      </c>
      <c r="X260" s="581">
        <f t="shared" si="113"/>
        <v>-142.39339301176039</v>
      </c>
      <c r="Y260" s="584">
        <f t="shared" si="114"/>
        <v>37.606606988239605</v>
      </c>
      <c r="AA260" s="147">
        <f t="shared" si="115"/>
        <v>16125.75</v>
      </c>
      <c r="AB260" s="147">
        <f t="shared" si="116"/>
        <v>260039813.0625</v>
      </c>
      <c r="AD260" s="583">
        <f t="shared" si="117"/>
        <v>26.272573509073457</v>
      </c>
      <c r="AE260" s="584">
        <f t="shared" si="118"/>
        <v>-32.82972901106789</v>
      </c>
      <c r="AG260" s="583">
        <f t="shared" si="119"/>
        <v>21.034404876781828</v>
      </c>
      <c r="AH260" s="584">
        <f t="shared" si="120"/>
        <v>-71.868346882398527</v>
      </c>
      <c r="AJ260" s="147">
        <f t="shared" si="121"/>
        <v>0</v>
      </c>
      <c r="AK260" s="147">
        <f t="shared" si="133"/>
        <v>0</v>
      </c>
      <c r="AM260" s="147" t="str">
        <f t="shared" si="125"/>
        <v>0.112229928740755+0.460287193582828i</v>
      </c>
      <c r="AN260" s="147" t="str">
        <f t="shared" si="126"/>
        <v>0.478318671359648i</v>
      </c>
      <c r="AO260" s="147" t="str">
        <f t="shared" si="127"/>
        <v>0.962302375264665-0.234634220783678i</v>
      </c>
      <c r="AP260" s="147" t="str">
        <f t="shared" si="128"/>
        <v>0.147961678543207-0.0767145322638047i</v>
      </c>
      <c r="AQ260" s="147" t="str">
        <f t="shared" si="129"/>
        <v>0.852038321456793+0.0767145322638047i</v>
      </c>
      <c r="AR260" s="147" t="str">
        <f t="shared" si="130"/>
        <v>0.96979385750383-0.0873168263647047i</v>
      </c>
    </row>
    <row r="261" spans="7:44">
      <c r="G261" s="585">
        <v>16218</v>
      </c>
      <c r="H261" s="573">
        <f t="shared" si="122"/>
        <v>16.218</v>
      </c>
      <c r="I261" s="574">
        <f t="shared" si="102"/>
        <v>112.02365822425136</v>
      </c>
      <c r="J261" s="575">
        <f t="shared" si="103"/>
        <v>1.5618695224280221</v>
      </c>
      <c r="K261" s="575">
        <f t="shared" si="104"/>
        <v>1.0040125387331069</v>
      </c>
      <c r="L261" s="576">
        <f t="shared" si="105"/>
        <v>8.9433410510178946E-2</v>
      </c>
      <c r="M261" s="575">
        <f t="shared" si="106"/>
        <v>1.0061954617446323</v>
      </c>
      <c r="N261" s="576">
        <f t="shared" si="107"/>
        <v>-0.11102831610147779</v>
      </c>
      <c r="O261" s="574">
        <f t="shared" si="108"/>
        <v>305702.09758783563</v>
      </c>
      <c r="P261" s="577">
        <f t="shared" si="109"/>
        <v>1.5707930556364456</v>
      </c>
      <c r="Q261" s="586">
        <f t="shared" si="131"/>
        <v>40.976285073762213</v>
      </c>
      <c r="R261" s="587">
        <f t="shared" si="132"/>
        <v>1.546389544019424</v>
      </c>
      <c r="S261" s="574">
        <f t="shared" si="110"/>
        <v>1.1736961217241886</v>
      </c>
      <c r="T261" s="577">
        <f t="shared" si="111"/>
        <v>0.55098494478745963</v>
      </c>
      <c r="U261" s="578">
        <f t="shared" si="123"/>
        <v>0.96407786763111003</v>
      </c>
      <c r="V261" s="579">
        <f t="shared" si="124"/>
        <v>-0.33077067664833715</v>
      </c>
      <c r="W261" s="580">
        <f t="shared" si="112"/>
        <v>-12.674378201372495</v>
      </c>
      <c r="X261" s="581">
        <f t="shared" si="113"/>
        <v>-142.64492278875969</v>
      </c>
      <c r="Y261" s="584">
        <f t="shared" si="114"/>
        <v>37.355077211240314</v>
      </c>
      <c r="AA261" s="147">
        <f t="shared" si="115"/>
        <v>16218</v>
      </c>
      <c r="AB261" s="147">
        <f t="shared" si="116"/>
        <v>263023524</v>
      </c>
      <c r="AD261" s="583">
        <f t="shared" si="117"/>
        <v>26.259019988862132</v>
      </c>
      <c r="AE261" s="584">
        <f t="shared" si="118"/>
        <v>-32.967330170194607</v>
      </c>
      <c r="AG261" s="583">
        <f t="shared" si="119"/>
        <v>20.989310169897241</v>
      </c>
      <c r="AH261" s="584">
        <f t="shared" si="120"/>
        <v>-71.774065057981687</v>
      </c>
      <c r="AJ261" s="147">
        <f t="shared" si="121"/>
        <v>0</v>
      </c>
      <c r="AK261" s="147">
        <f t="shared" si="133"/>
        <v>0</v>
      </c>
      <c r="AM261" s="147" t="str">
        <f t="shared" si="125"/>
        <v>0.113492734753115+0.462714673059424i</v>
      </c>
      <c r="AN261" s="147" t="str">
        <f t="shared" si="126"/>
        <v>0.481054971837636i</v>
      </c>
      <c r="AO261" s="147" t="str">
        <f t="shared" si="127"/>
        <v>0.961874837904384-0.235924668483461i</v>
      </c>
      <c r="AP261" s="147" t="str">
        <f t="shared" si="128"/>
        <v>0.147751210874481-0.0771191121765707i</v>
      </c>
      <c r="AQ261" s="147" t="str">
        <f t="shared" si="129"/>
        <v>0.852248789125519+0.0771191121765707i</v>
      </c>
      <c r="AR261" s="147" t="str">
        <f t="shared" si="130"/>
        <v>0.969475806466469-0.0877268638281956i</v>
      </c>
    </row>
    <row r="262" spans="7:44">
      <c r="G262" s="585">
        <v>16312.5</v>
      </c>
      <c r="H262" s="573">
        <f t="shared" si="122"/>
        <v>16.3125</v>
      </c>
      <c r="I262" s="574">
        <f t="shared" si="102"/>
        <v>112.67635242659682</v>
      </c>
      <c r="J262" s="575">
        <f t="shared" si="103"/>
        <v>1.5619212336057382</v>
      </c>
      <c r="K262" s="575">
        <f t="shared" si="104"/>
        <v>1.0040593411598882</v>
      </c>
      <c r="L262" s="576">
        <f t="shared" si="105"/>
        <v>8.9951727984233912E-2</v>
      </c>
      <c r="M262" s="575">
        <f t="shared" si="106"/>
        <v>1.0062676467428935</v>
      </c>
      <c r="N262" s="576">
        <f t="shared" si="107"/>
        <v>-0.11166991282892137</v>
      </c>
      <c r="O262" s="574">
        <f t="shared" si="108"/>
        <v>307483.38062037609</v>
      </c>
      <c r="P262" s="577">
        <f t="shared" si="109"/>
        <v>1.570793074586605</v>
      </c>
      <c r="Q262" s="586">
        <f t="shared" si="131"/>
        <v>41.214906321979377</v>
      </c>
      <c r="R262" s="587">
        <f t="shared" si="132"/>
        <v>1.5465308793800252</v>
      </c>
      <c r="S262" s="574">
        <f t="shared" si="110"/>
        <v>1.1755745034680471</v>
      </c>
      <c r="T262" s="577">
        <f t="shared" si="111"/>
        <v>0.5535798628442169</v>
      </c>
      <c r="U262" s="578">
        <f t="shared" si="123"/>
        <v>0.96368360183440482</v>
      </c>
      <c r="V262" s="579">
        <f t="shared" si="124"/>
        <v>-0.33263088653242967</v>
      </c>
      <c r="W262" s="580">
        <f t="shared" si="112"/>
        <v>-12.741283313575023</v>
      </c>
      <c r="X262" s="581">
        <f t="shared" si="113"/>
        <v>-142.90211219651835</v>
      </c>
      <c r="Y262" s="584">
        <f t="shared" si="114"/>
        <v>37.097887803481655</v>
      </c>
      <c r="AA262" s="147">
        <f t="shared" si="115"/>
        <v>16312.5</v>
      </c>
      <c r="AB262" s="147">
        <f t="shared" si="116"/>
        <v>266097656.25</v>
      </c>
      <c r="AD262" s="583">
        <f t="shared" si="117"/>
        <v>26.245100332547963</v>
      </c>
      <c r="AE262" s="584">
        <f t="shared" si="118"/>
        <v>-33.107911189295471</v>
      </c>
      <c r="AG262" s="583">
        <f t="shared" si="119"/>
        <v>20.943430467081008</v>
      </c>
      <c r="AH262" s="584">
        <f t="shared" si="120"/>
        <v>-71.677509095661804</v>
      </c>
      <c r="AJ262" s="147">
        <f t="shared" si="121"/>
        <v>0</v>
      </c>
      <c r="AK262" s="147">
        <f t="shared" si="133"/>
        <v>0</v>
      </c>
      <c r="AM262" s="147" t="str">
        <f t="shared" si="125"/>
        <v>0.114793223222027+0.465197766918922i</v>
      </c>
      <c r="AN262" s="147" t="str">
        <f t="shared" si="126"/>
        <v>0.483858011351674i</v>
      </c>
      <c r="AO262" s="147" t="str">
        <f t="shared" si="127"/>
        <v>0.961434462187318-0.237245680610616i</v>
      </c>
      <c r="AP262" s="147" t="str">
        <f t="shared" si="128"/>
        <v>0.147534462796329-0.0775329611531537i</v>
      </c>
      <c r="AQ262" s="147" t="str">
        <f t="shared" si="129"/>
        <v>0.852465537203671+0.0775329611531537i</v>
      </c>
      <c r="AR262" s="147" t="str">
        <f t="shared" si="130"/>
        <v>0.969148646659518-0.0881454570228934i</v>
      </c>
    </row>
    <row r="263" spans="7:44">
      <c r="G263" s="585">
        <v>16407</v>
      </c>
      <c r="H263" s="573">
        <f t="shared" si="122"/>
        <v>16.407</v>
      </c>
      <c r="I263" s="574">
        <f t="shared" si="102"/>
        <v>113.32904692677347</v>
      </c>
      <c r="J263" s="575">
        <f t="shared" si="103"/>
        <v>1.5619723491445687</v>
      </c>
      <c r="K263" s="575">
        <f t="shared" si="104"/>
        <v>1.004106413305039</v>
      </c>
      <c r="L263" s="576">
        <f t="shared" si="105"/>
        <v>9.0469997000441449E-2</v>
      </c>
      <c r="M263" s="575">
        <f t="shared" si="106"/>
        <v>1.0063402459080451</v>
      </c>
      <c r="N263" s="576">
        <f t="shared" si="107"/>
        <v>-0.11231141724856096</v>
      </c>
      <c r="O263" s="574">
        <f t="shared" si="108"/>
        <v>309264.66365291673</v>
      </c>
      <c r="P263" s="577">
        <f t="shared" si="109"/>
        <v>1.5707930933184684</v>
      </c>
      <c r="Q263" s="586">
        <f t="shared" si="131"/>
        <v>41.45352838401412</v>
      </c>
      <c r="R263" s="587">
        <f t="shared" si="132"/>
        <v>1.5466705875846662</v>
      </c>
      <c r="S263" s="574">
        <f t="shared" si="110"/>
        <v>1.177460775773002</v>
      </c>
      <c r="T263" s="577">
        <f t="shared" si="111"/>
        <v>0.55616648424193327</v>
      </c>
      <c r="U263" s="578">
        <f t="shared" si="123"/>
        <v>0.96328750463114976</v>
      </c>
      <c r="V263" s="579">
        <f t="shared" si="124"/>
        <v>-0.33448999323600531</v>
      </c>
      <c r="W263" s="580">
        <f t="shared" si="112"/>
        <v>-12.807944630734605</v>
      </c>
      <c r="X263" s="581">
        <f t="shared" si="113"/>
        <v>-143.15881960979161</v>
      </c>
      <c r="Y263" s="584">
        <f t="shared" si="114"/>
        <v>36.841180390208393</v>
      </c>
      <c r="AA263" s="147">
        <f t="shared" si="115"/>
        <v>16407</v>
      </c>
      <c r="AB263" s="147">
        <f t="shared" si="116"/>
        <v>269189649</v>
      </c>
      <c r="AD263" s="583">
        <f t="shared" si="117"/>
        <v>26.231145159558984</v>
      </c>
      <c r="AE263" s="584">
        <f t="shared" si="118"/>
        <v>-33.248110061510474</v>
      </c>
      <c r="AG263" s="583">
        <f t="shared" si="119"/>
        <v>20.897866010983112</v>
      </c>
      <c r="AH263" s="584">
        <f t="shared" si="120"/>
        <v>-71.580979700917908</v>
      </c>
      <c r="AJ263" s="147">
        <f t="shared" si="121"/>
        <v>0</v>
      </c>
      <c r="AK263" s="147">
        <f t="shared" si="133"/>
        <v>0</v>
      </c>
      <c r="AM263" s="147" t="str">
        <f t="shared" si="125"/>
        <v>0.116100666783044+0.467677205707761i</v>
      </c>
      <c r="AN263" s="147" t="str">
        <f t="shared" si="126"/>
        <v>0.486661050865711i</v>
      </c>
      <c r="AO263" s="147" t="str">
        <f t="shared" si="127"/>
        <v>0.960991648860783-0.238565766823778i</v>
      </c>
      <c r="AP263" s="147" t="str">
        <f t="shared" si="128"/>
        <v>0.147316555536159-0.0779462009512935i</v>
      </c>
      <c r="AQ263" s="147" t="str">
        <f t="shared" si="129"/>
        <v>0.852683444463841+0.0779462009512935i</v>
      </c>
      <c r="AR263" s="147" t="str">
        <f t="shared" si="130"/>
        <v>0.96882012717926-0.0885625829949776i</v>
      </c>
    </row>
    <row r="264" spans="7:44">
      <c r="G264" s="585">
        <v>16501.5</v>
      </c>
      <c r="H264" s="573">
        <f t="shared" si="122"/>
        <v>16.5015</v>
      </c>
      <c r="I264" s="574">
        <f t="shared" si="102"/>
        <v>113.98174171966485</v>
      </c>
      <c r="J264" s="575">
        <f t="shared" si="103"/>
        <v>1.5620228792766826</v>
      </c>
      <c r="K264" s="575">
        <f t="shared" si="104"/>
        <v>1.0041537551306285</v>
      </c>
      <c r="L264" s="576">
        <f t="shared" si="105"/>
        <v>9.0988217287219023E-2</v>
      </c>
      <c r="M264" s="575">
        <f t="shared" si="106"/>
        <v>1.0064132591504569</v>
      </c>
      <c r="N264" s="576">
        <f t="shared" si="107"/>
        <v>-0.11295282885243629</v>
      </c>
      <c r="O264" s="574">
        <f t="shared" si="108"/>
        <v>311045.94668545749</v>
      </c>
      <c r="P264" s="577">
        <f t="shared" si="109"/>
        <v>1.5707931118357863</v>
      </c>
      <c r="Q264" s="586">
        <f t="shared" si="131"/>
        <v>41.692151245892951</v>
      </c>
      <c r="R264" s="587">
        <f t="shared" si="132"/>
        <v>1.5468086965666736</v>
      </c>
      <c r="S264" s="574">
        <f t="shared" si="110"/>
        <v>1.1793549007783208</v>
      </c>
      <c r="T264" s="577">
        <f t="shared" si="111"/>
        <v>0.55874481426080236</v>
      </c>
      <c r="U264" s="578">
        <f t="shared" si="123"/>
        <v>0.96288958308656358</v>
      </c>
      <c r="V264" s="579">
        <f t="shared" si="124"/>
        <v>-0.33634799219742056</v>
      </c>
      <c r="W264" s="580">
        <f t="shared" si="112"/>
        <v>-12.874364983975031</v>
      </c>
      <c r="X264" s="581">
        <f t="shared" si="113"/>
        <v>-143.41504404221925</v>
      </c>
      <c r="Y264" s="584">
        <f t="shared" si="114"/>
        <v>36.58495595778075</v>
      </c>
      <c r="AA264" s="147">
        <f t="shared" si="115"/>
        <v>16501.5</v>
      </c>
      <c r="AB264" s="147">
        <f t="shared" si="116"/>
        <v>272299502.25</v>
      </c>
      <c r="AD264" s="583">
        <f t="shared" si="117"/>
        <v>26.217154945584994</v>
      </c>
      <c r="AE264" s="584">
        <f t="shared" si="118"/>
        <v>-33.387925489125621</v>
      </c>
      <c r="AG264" s="583">
        <f t="shared" si="119"/>
        <v>20.852613410463434</v>
      </c>
      <c r="AH264" s="584">
        <f t="shared" si="120"/>
        <v>-71.484477707829569</v>
      </c>
      <c r="AJ264" s="147">
        <f t="shared" si="121"/>
        <v>0</v>
      </c>
      <c r="AK264" s="147">
        <f t="shared" si="133"/>
        <v>0</v>
      </c>
      <c r="AM264" s="147" t="str">
        <f t="shared" si="125"/>
        <v>0.117415055163548+0.470152969944929i</v>
      </c>
      <c r="AN264" s="147" t="str">
        <f t="shared" si="126"/>
        <v>0.489464090379748i</v>
      </c>
      <c r="AO264" s="147" t="str">
        <f t="shared" si="127"/>
        <v>0.960546400002835-0.239884922042907i</v>
      </c>
      <c r="AP264" s="147" t="str">
        <f t="shared" si="128"/>
        <v>0.147097490806075-0.0783588283241548i</v>
      </c>
      <c r="AQ264" s="147" t="str">
        <f t="shared" si="129"/>
        <v>0.852902509193925+0.0783588283241548i</v>
      </c>
      <c r="AR264" s="147" t="str">
        <f t="shared" si="130"/>
        <v>0.968490256140264-0.0889782371331452i</v>
      </c>
    </row>
    <row r="265" spans="7:44">
      <c r="G265" s="585">
        <v>16596</v>
      </c>
      <c r="H265" s="573">
        <f t="shared" si="122"/>
        <v>16.596</v>
      </c>
      <c r="I265" s="574">
        <f t="shared" si="102"/>
        <v>114.6344368002711</v>
      </c>
      <c r="J265" s="575">
        <f t="shared" si="103"/>
        <v>1.5620728340012258</v>
      </c>
      <c r="K265" s="575">
        <f t="shared" si="104"/>
        <v>1.0042013665985157</v>
      </c>
      <c r="L265" s="576">
        <f t="shared" si="105"/>
        <v>9.1506388573139752E-2</v>
      </c>
      <c r="M265" s="575">
        <f t="shared" si="106"/>
        <v>1.0064866863800142</v>
      </c>
      <c r="N265" s="576">
        <f t="shared" si="107"/>
        <v>-0.11359414713303953</v>
      </c>
      <c r="O265" s="574">
        <f t="shared" si="108"/>
        <v>312827.22971799836</v>
      </c>
      <c r="P265" s="577">
        <f t="shared" si="109"/>
        <v>1.5707931301422238</v>
      </c>
      <c r="Q265" s="586">
        <f t="shared" si="131"/>
        <v>41.930774893960432</v>
      </c>
      <c r="R265" s="587">
        <f t="shared" si="132"/>
        <v>1.5469452336237586</v>
      </c>
      <c r="S265" s="574">
        <f t="shared" si="110"/>
        <v>1.1812568407089949</v>
      </c>
      <c r="T265" s="577">
        <f t="shared" si="111"/>
        <v>0.56131485858817332</v>
      </c>
      <c r="U265" s="578">
        <f t="shared" si="123"/>
        <v>0.96248984428278528</v>
      </c>
      <c r="V265" s="579">
        <f t="shared" si="124"/>
        <v>-0.338204878882365</v>
      </c>
      <c r="W265" s="580">
        <f t="shared" si="112"/>
        <v>-12.940547149361885</v>
      </c>
      <c r="X265" s="581">
        <f t="shared" si="113"/>
        <v>-143.67078455541431</v>
      </c>
      <c r="Y265" s="584">
        <f t="shared" si="114"/>
        <v>36.329215444585685</v>
      </c>
      <c r="AA265" s="147">
        <f t="shared" si="115"/>
        <v>16596</v>
      </c>
      <c r="AB265" s="147">
        <f t="shared" si="116"/>
        <v>275427216</v>
      </c>
      <c r="AD265" s="583">
        <f t="shared" si="117"/>
        <v>26.203130163939171</v>
      </c>
      <c r="AE265" s="584">
        <f t="shared" si="118"/>
        <v>-33.527356234168337</v>
      </c>
      <c r="AG265" s="583">
        <f t="shared" si="119"/>
        <v>20.80766933155822</v>
      </c>
      <c r="AH265" s="584">
        <f t="shared" si="120"/>
        <v>-71.388003935576066</v>
      </c>
      <c r="AJ265" s="147">
        <f t="shared" si="121"/>
        <v>0</v>
      </c>
      <c r="AK265" s="147">
        <f t="shared" si="133"/>
        <v>0</v>
      </c>
      <c r="AM265" s="147" t="str">
        <f t="shared" si="125"/>
        <v>0.118736378036358+0.472625040178283i</v>
      </c>
      <c r="AN265" s="147" t="str">
        <f t="shared" si="126"/>
        <v>0.492267129893785i</v>
      </c>
      <c r="AO265" s="147" t="str">
        <f t="shared" si="127"/>
        <v>0.960098717702845-0.241203141192826i</v>
      </c>
      <c r="AP265" s="147" t="str">
        <f t="shared" si="128"/>
        <v>0.146877270327274-0.0787708400297138i</v>
      </c>
      <c r="AQ265" s="147" t="str">
        <f t="shared" si="129"/>
        <v>0.853122729672726+0.0787708400297138i</v>
      </c>
      <c r="AR265" s="147" t="str">
        <f t="shared" si="130"/>
        <v>0.968159041670877-0.0893924148803695i</v>
      </c>
    </row>
    <row r="266" spans="7:44">
      <c r="G266" s="585">
        <v>16692.5</v>
      </c>
      <c r="H266" s="573">
        <f t="shared" si="122"/>
        <v>16.692499999999999</v>
      </c>
      <c r="I266" s="574">
        <f t="shared" si="102"/>
        <v>115.3009458252122</v>
      </c>
      <c r="J266" s="575">
        <f t="shared" si="103"/>
        <v>1.5621232623203531</v>
      </c>
      <c r="K266" s="575">
        <f t="shared" si="104"/>
        <v>1.004250263939418</v>
      </c>
      <c r="L266" s="576">
        <f t="shared" si="105"/>
        <v>9.2035475597791822E-2</v>
      </c>
      <c r="M266" s="575">
        <f t="shared" si="106"/>
        <v>1.0065620947531642</v>
      </c>
      <c r="N266" s="576">
        <f t="shared" si="107"/>
        <v>-0.11424894145353771</v>
      </c>
      <c r="O266" s="574">
        <f t="shared" si="108"/>
        <v>314646.21186233911</v>
      </c>
      <c r="P266" s="577">
        <f t="shared" si="109"/>
        <v>1.5707931486221989</v>
      </c>
      <c r="Q266" s="586">
        <f t="shared" si="131"/>
        <v>42.174449575420354</v>
      </c>
      <c r="R266" s="587">
        <f t="shared" si="132"/>
        <v>1.5470830658986123</v>
      </c>
      <c r="S266" s="574">
        <f t="shared" si="110"/>
        <v>1.1832070589388304</v>
      </c>
      <c r="T266" s="577">
        <f t="shared" si="111"/>
        <v>0.5639307511329521</v>
      </c>
      <c r="U266" s="578">
        <f t="shared" si="123"/>
        <v>0.96207977741901463</v>
      </c>
      <c r="V266" s="579">
        <f t="shared" si="124"/>
        <v>-0.34009991223678282</v>
      </c>
      <c r="W266" s="580">
        <f t="shared" si="112"/>
        <v>-13.007887021683864</v>
      </c>
      <c r="X266" s="581">
        <f t="shared" si="113"/>
        <v>-143.93143724998708</v>
      </c>
      <c r="Y266" s="584">
        <f t="shared" si="114"/>
        <v>36.068562750012916</v>
      </c>
      <c r="AA266" s="147">
        <f t="shared" si="115"/>
        <v>16692.5</v>
      </c>
      <c r="AB266" s="147">
        <f t="shared" si="116"/>
        <v>278639556.25</v>
      </c>
      <c r="AD266" s="583">
        <f t="shared" si="117"/>
        <v>26.188773378094208</v>
      </c>
      <c r="AE266" s="584">
        <f t="shared" si="118"/>
        <v>-33.66933968800091</v>
      </c>
      <c r="AG266" s="583">
        <f t="shared" si="119"/>
        <v>20.762089033812103</v>
      </c>
      <c r="AH266" s="584">
        <f t="shared" si="120"/>
        <v>-71.289518349578785</v>
      </c>
      <c r="AJ266" s="147">
        <f t="shared" si="121"/>
        <v>0</v>
      </c>
      <c r="AK266" s="147">
        <f t="shared" si="133"/>
        <v>0</v>
      </c>
      <c r="AM266" s="147" t="str">
        <f t="shared" si="125"/>
        <v>0.120092810812916+0.475145597071977i</v>
      </c>
      <c r="AN266" s="147" t="str">
        <f t="shared" si="126"/>
        <v>0.495129492995421i</v>
      </c>
      <c r="AO266" s="147" t="str">
        <f t="shared" si="127"/>
        <v>0.95963905158922-0.242548287896125i</v>
      </c>
      <c r="AP266" s="147" t="str">
        <f t="shared" si="128"/>
        <v>0.146651198197847-0.0791909328453295i</v>
      </c>
      <c r="AQ266" s="147" t="str">
        <f t="shared" si="129"/>
        <v>0.853348801802153+0.0791909328453295i</v>
      </c>
      <c r="AR266" s="147" t="str">
        <f t="shared" si="130"/>
        <v>0.967819439452941-0.089813830023859i</v>
      </c>
    </row>
    <row r="267" spans="7:44">
      <c r="G267" s="585">
        <v>16789</v>
      </c>
      <c r="H267" s="573">
        <f t="shared" si="122"/>
        <v>16.789000000000001</v>
      </c>
      <c r="I267" s="574">
        <f t="shared" si="102"/>
        <v>115.96745513999495</v>
      </c>
      <c r="J267" s="575">
        <f t="shared" si="103"/>
        <v>1.5621731109779347</v>
      </c>
      <c r="K267" s="575">
        <f t="shared" si="104"/>
        <v>1.0042994423757687</v>
      </c>
      <c r="L267" s="576">
        <f t="shared" si="105"/>
        <v>9.2564510953963508E-2</v>
      </c>
      <c r="M267" s="575">
        <f t="shared" si="106"/>
        <v>1.0066379346306846</v>
      </c>
      <c r="N267" s="576">
        <f t="shared" si="107"/>
        <v>-0.11490363739058912</v>
      </c>
      <c r="O267" s="574">
        <f t="shared" si="108"/>
        <v>316465.19400668005</v>
      </c>
      <c r="P267" s="577">
        <f t="shared" si="109"/>
        <v>1.570793166889735</v>
      </c>
      <c r="Q267" s="586">
        <f t="shared" si="131"/>
        <v>42.418125048893984</v>
      </c>
      <c r="R267" s="587">
        <f t="shared" si="132"/>
        <v>1.5472193145914277</v>
      </c>
      <c r="S267" s="574">
        <f t="shared" si="110"/>
        <v>1.1851653470504913</v>
      </c>
      <c r="T267" s="577">
        <f t="shared" si="111"/>
        <v>0.56653801681749449</v>
      </c>
      <c r="U267" s="578">
        <f t="shared" si="123"/>
        <v>0.96166783054010607</v>
      </c>
      <c r="V267" s="579">
        <f t="shared" si="124"/>
        <v>-0.341993776266722</v>
      </c>
      <c r="W267" s="580">
        <f t="shared" si="112"/>
        <v>-13.074984198499099</v>
      </c>
      <c r="X267" s="581">
        <f t="shared" si="113"/>
        <v>-144.19158349618471</v>
      </c>
      <c r="Y267" s="584">
        <f t="shared" si="114"/>
        <v>35.808416503815295</v>
      </c>
      <c r="AA267" s="147">
        <f t="shared" si="115"/>
        <v>16789</v>
      </c>
      <c r="AB267" s="147">
        <f t="shared" si="116"/>
        <v>281870521</v>
      </c>
      <c r="AD267" s="583">
        <f t="shared" si="117"/>
        <v>26.174381535774675</v>
      </c>
      <c r="AE267" s="584">
        <f t="shared" si="118"/>
        <v>-33.810919579546479</v>
      </c>
      <c r="AG267" s="583">
        <f t="shared" si="119"/>
        <v>20.716823604981428</v>
      </c>
      <c r="AH267" s="584">
        <f t="shared" si="120"/>
        <v>-71.191063872208531</v>
      </c>
      <c r="AJ267" s="147">
        <f t="shared" si="121"/>
        <v>0</v>
      </c>
      <c r="AK267" s="147">
        <f t="shared" si="133"/>
        <v>0</v>
      </c>
      <c r="AM267" s="147" t="str">
        <f t="shared" si="125"/>
        <v>0.121456452771964+0.477662261042235i</v>
      </c>
      <c r="AN267" s="147" t="str">
        <f t="shared" si="126"/>
        <v>0.497991856097057i</v>
      </c>
      <c r="AO267" s="147" t="str">
        <f t="shared" si="127"/>
        <v>0.959176852380374-0.243892447808007i</v>
      </c>
      <c r="AP267" s="147" t="str">
        <f t="shared" si="128"/>
        <v>0.146423924538006-0.0796103768403725i</v>
      </c>
      <c r="AQ267" s="147" t="str">
        <f t="shared" si="129"/>
        <v>0.853576075461994+0.0796103768403725i</v>
      </c>
      <c r="AR267" s="147" t="str">
        <f t="shared" si="130"/>
        <v>0.96747845351169-0.0902336961908393i</v>
      </c>
    </row>
    <row r="268" spans="7:44">
      <c r="G268" s="585">
        <v>16885.5</v>
      </c>
      <c r="H268" s="573">
        <f t="shared" si="122"/>
        <v>16.8855</v>
      </c>
      <c r="I268" s="574">
        <f t="shared" si="102"/>
        <v>116.63396473965047</v>
      </c>
      <c r="J268" s="575">
        <f t="shared" si="103"/>
        <v>1.5622223899112202</v>
      </c>
      <c r="K268" s="575">
        <f t="shared" si="104"/>
        <v>1.0043489018662763</v>
      </c>
      <c r="L268" s="576">
        <f t="shared" si="105"/>
        <v>9.3093494353135464E-2</v>
      </c>
      <c r="M268" s="575">
        <f t="shared" si="106"/>
        <v>1.0067142059150544</v>
      </c>
      <c r="N268" s="576">
        <f t="shared" si="107"/>
        <v>-0.1155582344052519</v>
      </c>
      <c r="O268" s="574">
        <f t="shared" si="108"/>
        <v>318284.17615102092</v>
      </c>
      <c r="P268" s="577">
        <f t="shared" si="109"/>
        <v>1.5707931849484746</v>
      </c>
      <c r="Q268" s="586">
        <f t="shared" si="131"/>
        <v>42.661801300809849</v>
      </c>
      <c r="R268" s="587">
        <f t="shared" si="132"/>
        <v>1.5473540068324783</v>
      </c>
      <c r="S268" s="574">
        <f t="shared" si="110"/>
        <v>1.187131665107835</v>
      </c>
      <c r="T268" s="577">
        <f t="shared" si="111"/>
        <v>0.5691366629745136</v>
      </c>
      <c r="U268" s="578">
        <f t="shared" si="123"/>
        <v>0.96125401124000509</v>
      </c>
      <c r="V268" s="579">
        <f t="shared" si="124"/>
        <v>-0.34388646623235863</v>
      </c>
      <c r="W268" s="580">
        <f t="shared" si="112"/>
        <v>-13.141841466656675</v>
      </c>
      <c r="X268" s="581">
        <f t="shared" si="113"/>
        <v>-144.45122244334155</v>
      </c>
      <c r="Y268" s="584">
        <f t="shared" si="114"/>
        <v>35.54877755665845</v>
      </c>
      <c r="AA268" s="147">
        <f t="shared" si="115"/>
        <v>16885.5</v>
      </c>
      <c r="AB268" s="147">
        <f t="shared" si="116"/>
        <v>285120110.25</v>
      </c>
      <c r="AD268" s="583">
        <f t="shared" si="117"/>
        <v>26.159955133123351</v>
      </c>
      <c r="AE268" s="584">
        <f t="shared" si="118"/>
        <v>-33.952094774697088</v>
      </c>
      <c r="AG268" s="583">
        <f t="shared" si="119"/>
        <v>20.671869671190596</v>
      </c>
      <c r="AH268" s="584">
        <f t="shared" si="120"/>
        <v>-71.092641330051507</v>
      </c>
      <c r="AJ268" s="147">
        <f t="shared" si="121"/>
        <v>0</v>
      </c>
      <c r="AK268" s="147">
        <f t="shared" si="133"/>
        <v>0</v>
      </c>
      <c r="AM268" s="147" t="str">
        <f t="shared" si="125"/>
        <v>0.122827292741024+0.480175011469734i</v>
      </c>
      <c r="AN268" s="147" t="str">
        <f t="shared" si="126"/>
        <v>0.500854219198693i</v>
      </c>
      <c r="AO268" s="147" t="str">
        <f t="shared" si="127"/>
        <v>0.958712122337627-0.245235615540053i</v>
      </c>
      <c r="AP268" s="147" t="str">
        <f t="shared" si="128"/>
        <v>0.146195451209829-0.080029168578289i</v>
      </c>
      <c r="AQ268" s="147" t="str">
        <f t="shared" si="129"/>
        <v>0.853804548790171+0.080029168578289i</v>
      </c>
      <c r="AR268" s="147" t="str">
        <f t="shared" si="130"/>
        <v>0.967136092544298-0.0906520087039226i</v>
      </c>
    </row>
    <row r="269" spans="7:44">
      <c r="G269" s="585">
        <v>16982</v>
      </c>
      <c r="H269" s="573">
        <f t="shared" si="122"/>
        <v>16.981999999999999</v>
      </c>
      <c r="I269" s="574">
        <f t="shared" ref="I269:I332" si="134">SQRT(1+(G269/pole1)^2)</f>
        <v>117.3004746193227</v>
      </c>
      <c r="J269" s="575">
        <f t="shared" ref="J269:J332" si="135">ATAN(G269/pole1)</f>
        <v>1.5622711088316137</v>
      </c>
      <c r="K269" s="575">
        <f t="shared" ref="K269:K332" si="136">SQRT(1+(G269/Zero1)^2)</f>
        <v>1.0043986423694209</v>
      </c>
      <c r="L269" s="576">
        <f t="shared" ref="L269:L332" si="137">ATAN(G269/Zero1)</f>
        <v>9.3622425506961274E-2</v>
      </c>
      <c r="M269" s="575">
        <f t="shared" ref="M269:M332" si="138">SQRT(1+(G269/z_RHP)^2)</f>
        <v>1.0067909085082281</v>
      </c>
      <c r="N269" s="576">
        <f t="shared" ref="N269:N332" si="139">-ATAN(G269/z_RHP)</f>
        <v>-0.11621273195908621</v>
      </c>
      <c r="O269" s="574">
        <f t="shared" ref="O269:O332" si="140">SQRT(1+(G269/Pole2)^2)</f>
        <v>320103.15829536202</v>
      </c>
      <c r="P269" s="577">
        <f t="shared" ref="P269:P332" si="141">ATAN(G269/Pole2)</f>
        <v>1.5707932028019771</v>
      </c>
      <c r="Q269" s="586">
        <f t="shared" si="131"/>
        <v>42.905478317904766</v>
      </c>
      <c r="R269" s="587">
        <f t="shared" si="132"/>
        <v>1.5474871691359322</v>
      </c>
      <c r="S269" s="574">
        <f t="shared" ref="S269:S332" si="142">SQRT(1+(G269/pole4)^2)</f>
        <v>1.1891059732756555</v>
      </c>
      <c r="T269" s="577">
        <f t="shared" ref="T269:T332" si="143">ATAN(G269/pole4)</f>
        <v>0.57172669735397652</v>
      </c>
      <c r="U269" s="578">
        <f t="shared" si="123"/>
        <v>0.96083832712967321</v>
      </c>
      <c r="V269" s="579">
        <f t="shared" si="124"/>
        <v>-0.34577797742377403</v>
      </c>
      <c r="W269" s="580">
        <f t="shared" ref="W269:W332" si="144">20*LOG10(((K269*Q269*M269*U269)/(I269*O269*S269))*Adc)</f>
        <v>-13.208461558746681</v>
      </c>
      <c r="X269" s="581">
        <f t="shared" ref="X269:X332" si="145">((L269+R269+N269+V269)-(J269+P269+T269))*radconv</f>
        <v>-144.71035328878685</v>
      </c>
      <c r="Y269" s="584">
        <f t="shared" ref="Y269:Y332" si="146">IF(X269&gt;0,X269,X269+180)</f>
        <v>35.289646711213152</v>
      </c>
      <c r="AA269" s="147">
        <f t="shared" ref="AA269:AA332" si="147">IF(W269&lt;0,G269,1000000000)</f>
        <v>16982</v>
      </c>
      <c r="AB269" s="147">
        <f t="shared" ref="AB269:AB332" si="148">G269^2</f>
        <v>288388324</v>
      </c>
      <c r="AD269" s="583">
        <f t="shared" ref="AD269:AD332" si="149">20*LOG10((Q269/(O269*S269))*Aea)</f>
        <v>26.145494663574965</v>
      </c>
      <c r="AE269" s="584">
        <f t="shared" ref="AE269:AE332" si="150">(R269-(P269+T269))*radconv</f>
        <v>-34.092864198547126</v>
      </c>
      <c r="AG269" s="583">
        <f t="shared" ref="AG269:AG332" si="151">20*LOG10((K269*M269/(I269*U269))*Acs*Am)</f>
        <v>20.627223915263713</v>
      </c>
      <c r="AH269" s="584">
        <f t="shared" ref="AH269:AH332" si="152">(L269+N269-(J269+V269))*radconv</f>
        <v>-70.99425153505932</v>
      </c>
      <c r="AJ269" s="147">
        <f t="shared" ref="AJ269:AJ332" si="153">SUM((W270&lt;0)*(W269&gt;0))*G269</f>
        <v>0</v>
      </c>
      <c r="AK269" s="147">
        <f t="shared" si="133"/>
        <v>0</v>
      </c>
      <c r="AM269" s="147" t="str">
        <f t="shared" si="125"/>
        <v>0.124205319488644+0.482683827767217i</v>
      </c>
      <c r="AN269" s="147" t="str">
        <f t="shared" si="126"/>
        <v>0.503716582300329i</v>
      </c>
      <c r="AO269" s="147" t="str">
        <f t="shared" si="127"/>
        <v>0.95824486373456-0.246577785709245i</v>
      </c>
      <c r="AP269" s="147" t="str">
        <f t="shared" si="128"/>
        <v>0.145965780085226-0.0804473046278695i</v>
      </c>
      <c r="AQ269" s="147" t="str">
        <f t="shared" si="129"/>
        <v>0.854034219914774+0.0804473046278695i</v>
      </c>
      <c r="AR269" s="147" t="str">
        <f t="shared" si="130"/>
        <v>0.966792365261081-0.0910687629446723i</v>
      </c>
    </row>
    <row r="270" spans="7:44">
      <c r="G270" s="585">
        <v>17081</v>
      </c>
      <c r="H270" s="573">
        <f t="shared" ref="H270:H333" si="154">G270/1000</f>
        <v>17.081</v>
      </c>
      <c r="I270" s="574">
        <f t="shared" si="134"/>
        <v>117.98425188034128</v>
      </c>
      <c r="J270" s="575">
        <f t="shared" si="135"/>
        <v>1.5623205178849302</v>
      </c>
      <c r="K270" s="575">
        <f t="shared" si="136"/>
        <v>1.0044499634699955</v>
      </c>
      <c r="L270" s="576">
        <f t="shared" si="137"/>
        <v>9.4165004945229197E-2</v>
      </c>
      <c r="M270" s="575">
        <f t="shared" si="138"/>
        <v>1.0068700463261386</v>
      </c>
      <c r="N270" s="576">
        <f t="shared" si="139"/>
        <v>-0.11688408148498981</v>
      </c>
      <c r="O270" s="574">
        <f t="shared" si="140"/>
        <v>321969.26432945294</v>
      </c>
      <c r="P270" s="577">
        <f t="shared" si="141"/>
        <v>1.5707932209083701</v>
      </c>
      <c r="Q270" s="586">
        <f t="shared" si="131"/>
        <v>43.155468992674891</v>
      </c>
      <c r="R270" s="587">
        <f t="shared" si="132"/>
        <v>1.5476222184952668</v>
      </c>
      <c r="S270" s="574">
        <f t="shared" si="142"/>
        <v>1.191139690966172</v>
      </c>
      <c r="T270" s="577">
        <f t="shared" si="143"/>
        <v>0.57437489030434175</v>
      </c>
      <c r="U270" s="578">
        <f t="shared" ref="U270:U333" si="155">IMABS(IMPRODUCT(AO270, AR270))</f>
        <v>0.96040994409334124</v>
      </c>
      <c r="V270" s="579">
        <f t="shared" ref="V270:V333" si="156">IMARGUMENT(IMPRODUCT(AO270, AR270))</f>
        <v>-0.3477172616135234</v>
      </c>
      <c r="W270" s="580">
        <f t="shared" si="144"/>
        <v>-13.276563895987161</v>
      </c>
      <c r="X270" s="581">
        <f t="shared" si="145"/>
        <v>-144.97566855970922</v>
      </c>
      <c r="Y270" s="584">
        <f t="shared" si="146"/>
        <v>35.02433144029078</v>
      </c>
      <c r="AA270" s="147">
        <f t="shared" si="147"/>
        <v>17081</v>
      </c>
      <c r="AB270" s="147">
        <f t="shared" si="148"/>
        <v>291760561</v>
      </c>
      <c r="AD270" s="583">
        <f t="shared" si="149"/>
        <v>26.13062468260766</v>
      </c>
      <c r="AE270" s="584">
        <f t="shared" si="150"/>
        <v>-34.236857757207986</v>
      </c>
      <c r="AG270" s="583">
        <f t="shared" si="151"/>
        <v>20.581738372130296</v>
      </c>
      <c r="AH270" s="584">
        <f t="shared" si="152"/>
        <v>-70.893347648368774</v>
      </c>
      <c r="AJ270" s="147">
        <f t="shared" si="153"/>
        <v>0</v>
      </c>
      <c r="AK270" s="147">
        <f t="shared" si="133"/>
        <v>0</v>
      </c>
      <c r="AM270" s="147" t="str">
        <f t="shared" ref="AM270:AM333" si="157">IMSUB(1,IMEXP(COMPLEX(0,-2*Pi*G270*Tsw)))</f>
        <v>0.125626503045742+0.485253529429702i</v>
      </c>
      <c r="AN270" s="147" t="str">
        <f t="shared" ref="AN270:AN333" si="158">COMPLEX(0, 2*Pi*G270*Tsw)</f>
        <v>0.506653099886464i</v>
      </c>
      <c r="AO270" s="147" t="str">
        <f t="shared" ref="AO270:AO333" si="159">IMDIV(AM270, AN270)</f>
        <v>0.957762874713374-0.247953684826746i</v>
      </c>
      <c r="AP270" s="147" t="str">
        <f t="shared" ref="AP270:AP333" si="160">IMDIV(IMEXP(COMPLEX(0,-2*Pi*G270*Tsw)),6)</f>
        <v>0.145728916159043-0.0808755882382837i</v>
      </c>
      <c r="AQ270" s="147" t="str">
        <f t="shared" ref="AQ270:AQ333" si="161">IMSUB(1, AP270)</f>
        <v>0.854271083840957+0.0808755882382837i</v>
      </c>
      <c r="AR270" s="147" t="str">
        <f t="shared" ref="AR270:AR333" si="162">IMDIV(0.833, AQ270)</f>
        <v>0.966438322399719-0.0914946897987817i</v>
      </c>
    </row>
    <row r="271" spans="7:44">
      <c r="G271" s="585">
        <v>17180</v>
      </c>
      <c r="H271" s="573">
        <f t="shared" si="154"/>
        <v>17.18</v>
      </c>
      <c r="I271" s="574">
        <f t="shared" si="134"/>
        <v>118.66802942607012</v>
      </c>
      <c r="J271" s="575">
        <f t="shared" si="135"/>
        <v>1.5623693575381414</v>
      </c>
      <c r="K271" s="575">
        <f t="shared" si="136"/>
        <v>1.0045015802427866</v>
      </c>
      <c r="L271" s="576">
        <f t="shared" si="137"/>
        <v>9.4707528781813557E-2</v>
      </c>
      <c r="M271" s="575">
        <f t="shared" si="138"/>
        <v>1.0069496378791851</v>
      </c>
      <c r="N271" s="576">
        <f t="shared" si="139"/>
        <v>-0.11755532518345187</v>
      </c>
      <c r="O271" s="574">
        <f t="shared" si="140"/>
        <v>323835.37036354397</v>
      </c>
      <c r="P271" s="577">
        <f t="shared" si="141"/>
        <v>1.5707932388060866</v>
      </c>
      <c r="Q271" s="586">
        <f t="shared" si="131"/>
        <v>43.40546044546236</v>
      </c>
      <c r="R271" s="587">
        <f t="shared" si="132"/>
        <v>1.5477557122377341</v>
      </c>
      <c r="S271" s="574">
        <f t="shared" si="142"/>
        <v>1.1931817335211701</v>
      </c>
      <c r="T271" s="577">
        <f t="shared" si="143"/>
        <v>0.577014037336262</v>
      </c>
      <c r="U271" s="578">
        <f t="shared" si="155"/>
        <v>0.95997961465467541</v>
      </c>
      <c r="V271" s="579">
        <f t="shared" si="156"/>
        <v>-0.3496552952156774</v>
      </c>
      <c r="W271" s="580">
        <f t="shared" si="144"/>
        <v>-13.344422265981111</v>
      </c>
      <c r="X271" s="581">
        <f t="shared" si="145"/>
        <v>-145.24044750066906</v>
      </c>
      <c r="Y271" s="584">
        <f t="shared" si="146"/>
        <v>34.759552499330937</v>
      </c>
      <c r="AA271" s="147">
        <f t="shared" si="147"/>
        <v>17180</v>
      </c>
      <c r="AB271" s="147">
        <f t="shared" si="148"/>
        <v>295152400</v>
      </c>
      <c r="AD271" s="583">
        <f t="shared" si="149"/>
        <v>26.115719890005508</v>
      </c>
      <c r="AE271" s="584">
        <f t="shared" si="150"/>
        <v>-34.38042214124436</v>
      </c>
      <c r="AG271" s="583">
        <f t="shared" si="151"/>
        <v>20.536570286089034</v>
      </c>
      <c r="AH271" s="584">
        <f t="shared" si="152"/>
        <v>-70.792479913122534</v>
      </c>
      <c r="AJ271" s="147">
        <f t="shared" si="153"/>
        <v>0</v>
      </c>
      <c r="AK271" s="147">
        <f t="shared" si="133"/>
        <v>0</v>
      </c>
      <c r="AM271" s="147" t="str">
        <f t="shared" si="157"/>
        <v>0.127055226438593+0.48781904668824i</v>
      </c>
      <c r="AN271" s="147" t="str">
        <f t="shared" si="158"/>
        <v>0.509589617472598i</v>
      </c>
      <c r="AO271" s="147" t="str">
        <f t="shared" si="159"/>
        <v>0.957278229308648-0.249328522564385i</v>
      </c>
      <c r="AP271" s="147" t="str">
        <f t="shared" si="160"/>
        <v>0.145490795593568-0.08130317444804i</v>
      </c>
      <c r="AQ271" s="147" t="str">
        <f t="shared" si="161"/>
        <v>0.854509204406432+0.08130317444804i</v>
      </c>
      <c r="AR271" s="147" t="str">
        <f t="shared" si="162"/>
        <v>0.966082860124834-0.0919189669379289i</v>
      </c>
    </row>
    <row r="272" spans="7:44">
      <c r="G272" s="585">
        <v>17279</v>
      </c>
      <c r="H272" s="573">
        <f t="shared" si="154"/>
        <v>17.279</v>
      </c>
      <c r="I272" s="574">
        <f t="shared" si="134"/>
        <v>119.35180725161584</v>
      </c>
      <c r="J272" s="575">
        <f t="shared" si="135"/>
        <v>1.5624176375774546</v>
      </c>
      <c r="K272" s="575">
        <f t="shared" si="136"/>
        <v>1.0045534926422164</v>
      </c>
      <c r="L272" s="576">
        <f t="shared" si="137"/>
        <v>9.5249996705945653E-2</v>
      </c>
      <c r="M272" s="575">
        <f t="shared" si="138"/>
        <v>1.0070296830597829</v>
      </c>
      <c r="N272" s="576">
        <f t="shared" si="139"/>
        <v>-0.11822646247475492</v>
      </c>
      <c r="O272" s="574">
        <f t="shared" si="140"/>
        <v>325701.47639763518</v>
      </c>
      <c r="P272" s="577">
        <f t="shared" si="141"/>
        <v>1.570793256498713</v>
      </c>
      <c r="Q272" s="586">
        <f t="shared" si="131"/>
        <v>43.655452662901311</v>
      </c>
      <c r="R272" s="587">
        <f t="shared" si="132"/>
        <v>1.5478876770831764</v>
      </c>
      <c r="S272" s="574">
        <f t="shared" si="142"/>
        <v>1.1952320582717959</v>
      </c>
      <c r="T272" s="577">
        <f t="shared" si="143"/>
        <v>0.57964414814471399</v>
      </c>
      <c r="U272" s="578">
        <f t="shared" si="155"/>
        <v>0.95954734708509382</v>
      </c>
      <c r="V272" s="579">
        <f t="shared" si="156"/>
        <v>-0.35159207324312242</v>
      </c>
      <c r="W272" s="580">
        <f t="shared" si="144"/>
        <v>-13.412039449782773</v>
      </c>
      <c r="X272" s="581">
        <f t="shared" si="145"/>
        <v>-145.5046893959771</v>
      </c>
      <c r="Y272" s="584">
        <f t="shared" si="146"/>
        <v>34.495310604022904</v>
      </c>
      <c r="AA272" s="147">
        <f t="shared" si="147"/>
        <v>17279</v>
      </c>
      <c r="AB272" s="147">
        <f t="shared" si="148"/>
        <v>298563841</v>
      </c>
      <c r="AD272" s="583">
        <f t="shared" si="149"/>
        <v>26.100780809489926</v>
      </c>
      <c r="AE272" s="584">
        <f t="shared" si="150"/>
        <v>-34.523556375408845</v>
      </c>
      <c r="AG272" s="583">
        <f t="shared" si="151"/>
        <v>20.491716253090708</v>
      </c>
      <c r="AH272" s="584">
        <f t="shared" si="152"/>
        <v>-70.69164916035993</v>
      </c>
      <c r="AJ272" s="147">
        <f t="shared" si="153"/>
        <v>0</v>
      </c>
      <c r="AK272" s="147">
        <f t="shared" si="133"/>
        <v>0</v>
      </c>
      <c r="AM272" s="147" t="str">
        <f t="shared" si="157"/>
        <v>0.12849147734713+0.490380357420046i</v>
      </c>
      <c r="AN272" s="147" t="str">
        <f t="shared" si="158"/>
        <v>0.512526135058732i</v>
      </c>
      <c r="AO272" s="147" t="str">
        <f t="shared" si="159"/>
        <v>0.956790930015406-0.250702293127756i</v>
      </c>
      <c r="AP272" s="147" t="str">
        <f t="shared" si="160"/>
        <v>0.145251420442145-0.0817300595700077i</v>
      </c>
      <c r="AQ272" s="147" t="str">
        <f t="shared" si="161"/>
        <v>0.854748579557855+0.0817300595700077i</v>
      </c>
      <c r="AR272" s="147" t="str">
        <f t="shared" si="162"/>
        <v>0.965725987881445-0.0923415895685763i</v>
      </c>
    </row>
    <row r="273" spans="7:44">
      <c r="G273" s="585">
        <v>17378</v>
      </c>
      <c r="H273" s="573">
        <f t="shared" si="154"/>
        <v>17.378</v>
      </c>
      <c r="I273" s="574">
        <f t="shared" si="134"/>
        <v>120.03558535219658</v>
      </c>
      <c r="J273" s="575">
        <f t="shared" si="135"/>
        <v>1.5624653675660995</v>
      </c>
      <c r="K273" s="575">
        <f t="shared" si="136"/>
        <v>1.0046057006224558</v>
      </c>
      <c r="L273" s="576">
        <f t="shared" si="137"/>
        <v>9.5792408407052401E-2</v>
      </c>
      <c r="M273" s="575">
        <f t="shared" si="138"/>
        <v>1.0071101817597694</v>
      </c>
      <c r="N273" s="576">
        <f t="shared" si="139"/>
        <v>-0.11889749277974876</v>
      </c>
      <c r="O273" s="574">
        <f t="shared" si="140"/>
        <v>327567.58243172639</v>
      </c>
      <c r="P273" s="577">
        <f t="shared" si="141"/>
        <v>1.5707932739897545</v>
      </c>
      <c r="Q273" s="586">
        <f t="shared" si="131"/>
        <v>43.905445631930249</v>
      </c>
      <c r="R273" s="587">
        <f t="shared" si="132"/>
        <v>1.5480181391430923</v>
      </c>
      <c r="S273" s="574">
        <f t="shared" si="142"/>
        <v>1.1972906226690061</v>
      </c>
      <c r="T273" s="577">
        <f t="shared" si="143"/>
        <v>0.58226523285846155</v>
      </c>
      <c r="U273" s="578">
        <f t="shared" si="155"/>
        <v>0.95911314967327987</v>
      </c>
      <c r="V273" s="579">
        <f t="shared" si="156"/>
        <v>-0.35352759074205981</v>
      </c>
      <c r="W273" s="580">
        <f t="shared" si="144"/>
        <v>-13.479418174004977</v>
      </c>
      <c r="X273" s="581">
        <f t="shared" si="145"/>
        <v>-145.76839357880351</v>
      </c>
      <c r="Y273" s="584">
        <f t="shared" si="146"/>
        <v>34.231606421196489</v>
      </c>
      <c r="AA273" s="147">
        <f t="shared" si="147"/>
        <v>17378</v>
      </c>
      <c r="AB273" s="147">
        <f t="shared" si="148"/>
        <v>301994884</v>
      </c>
      <c r="AD273" s="583">
        <f t="shared" si="149"/>
        <v>26.085807961665743</v>
      </c>
      <c r="AE273" s="584">
        <f t="shared" si="150"/>
        <v>-34.666259544158997</v>
      </c>
      <c r="AG273" s="583">
        <f t="shared" si="151"/>
        <v>20.447172926363987</v>
      </c>
      <c r="AH273" s="584">
        <f t="shared" si="152"/>
        <v>-70.590856206457076</v>
      </c>
      <c r="AJ273" s="147">
        <f t="shared" si="153"/>
        <v>0</v>
      </c>
      <c r="AK273" s="147">
        <f t="shared" si="133"/>
        <v>0</v>
      </c>
      <c r="AM273" s="147" t="str">
        <f t="shared" si="157"/>
        <v>0.129935243386377+0.492937439538605i</v>
      </c>
      <c r="AN273" s="147" t="str">
        <f t="shared" si="158"/>
        <v>0.515462652644866i</v>
      </c>
      <c r="AO273" s="147" t="str">
        <f t="shared" si="159"/>
        <v>0.956300979342183-0.252074990728567i</v>
      </c>
      <c r="AP273" s="147" t="str">
        <f t="shared" si="160"/>
        <v>0.145010792768937-0.0821562399231008i</v>
      </c>
      <c r="AQ273" s="147" t="str">
        <f t="shared" si="161"/>
        <v>0.854989207231063+0.0821562399231008i</v>
      </c>
      <c r="AR273" s="147" t="str">
        <f t="shared" si="162"/>
        <v>0.965367715127059-0.0927625529623327i</v>
      </c>
    </row>
    <row r="274" spans="7:44">
      <c r="G274" s="585">
        <v>17479.25</v>
      </c>
      <c r="H274" s="573">
        <f t="shared" si="154"/>
        <v>17.47925</v>
      </c>
      <c r="I274" s="574">
        <f t="shared" si="134"/>
        <v>120.73490414376626</v>
      </c>
      <c r="J274" s="575">
        <f t="shared" si="135"/>
        <v>1.5625136231223604</v>
      </c>
      <c r="K274" s="575">
        <f t="shared" si="136"/>
        <v>1.0046594008334413</v>
      </c>
      <c r="L274" s="576">
        <f t="shared" si="137"/>
        <v>9.6347089169112429E-2</v>
      </c>
      <c r="M274" s="575">
        <f t="shared" si="138"/>
        <v>1.0071929789597371</v>
      </c>
      <c r="N274" s="576">
        <f t="shared" si="139"/>
        <v>-0.11958366250930763</v>
      </c>
      <c r="O274" s="574">
        <f t="shared" si="140"/>
        <v>329476.09996659262</v>
      </c>
      <c r="P274" s="577">
        <f t="shared" si="141"/>
        <v>1.5707932916733807</v>
      </c>
      <c r="Q274" s="586">
        <f t="shared" si="131"/>
        <v>44.161121023450136</v>
      </c>
      <c r="R274" s="587">
        <f t="shared" si="132"/>
        <v>1.5481500384383833</v>
      </c>
      <c r="S274" s="574">
        <f t="shared" si="142"/>
        <v>1.1994044510759319</v>
      </c>
      <c r="T274" s="577">
        <f t="shared" si="143"/>
        <v>0.58493656254895943</v>
      </c>
      <c r="U274" s="578">
        <f t="shared" si="155"/>
        <v>0.95866709666377925</v>
      </c>
      <c r="V274" s="579">
        <f t="shared" si="156"/>
        <v>-0.3555057883206319</v>
      </c>
      <c r="W274" s="580">
        <f t="shared" si="144"/>
        <v>-13.548084368377557</v>
      </c>
      <c r="X274" s="581">
        <f t="shared" si="145"/>
        <v>-146.03753421121795</v>
      </c>
      <c r="Y274" s="584">
        <f t="shared" si="146"/>
        <v>33.962465788782055</v>
      </c>
      <c r="AA274" s="147">
        <f t="shared" si="147"/>
        <v>17479.25</v>
      </c>
      <c r="AB274" s="147">
        <f t="shared" si="148"/>
        <v>305524180.5625</v>
      </c>
      <c r="AD274" s="583">
        <f t="shared" si="149"/>
        <v>26.070460433930464</v>
      </c>
      <c r="AE274" s="584">
        <f t="shared" si="150"/>
        <v>-34.81175920153499</v>
      </c>
      <c r="AG274" s="583">
        <f t="shared" si="151"/>
        <v>20.401935200784479</v>
      </c>
      <c r="AH274" s="584">
        <f t="shared" si="152"/>
        <v>-70.48781243664618</v>
      </c>
      <c r="AJ274" s="147">
        <f t="shared" si="153"/>
        <v>0</v>
      </c>
      <c r="AK274" s="147">
        <f t="shared" si="133"/>
        <v>0</v>
      </c>
      <c r="AM274" s="147" t="str">
        <f t="shared" si="157"/>
        <v>0.131419582584029+0.495548240317225i</v>
      </c>
      <c r="AN274" s="147" t="str">
        <f t="shared" si="158"/>
        <v>0.518465909267049i</v>
      </c>
      <c r="AO274" s="147" t="str">
        <f t="shared" si="159"/>
        <v>0.955797153602206-0.253477770158149i</v>
      </c>
      <c r="AP274" s="147" t="str">
        <f t="shared" si="160"/>
        <v>0.144763402902662-0.0825913733862042i</v>
      </c>
      <c r="AQ274" s="147" t="str">
        <f t="shared" si="161"/>
        <v>0.855236597097338+0.0825913733862042i</v>
      </c>
      <c r="AR274" s="147" t="str">
        <f t="shared" si="162"/>
        <v>0.964999861061699-0.0931913626160118i</v>
      </c>
    </row>
    <row r="275" spans="7:44">
      <c r="G275" s="585">
        <v>17580.5</v>
      </c>
      <c r="H275" s="573">
        <f t="shared" si="154"/>
        <v>17.580500000000001</v>
      </c>
      <c r="I275" s="574">
        <f t="shared" si="134"/>
        <v>121.43422321324097</v>
      </c>
      <c r="J275" s="575">
        <f t="shared" si="135"/>
        <v>1.5625613228876241</v>
      </c>
      <c r="K275" s="575">
        <f t="shared" si="136"/>
        <v>1.0047134101156381</v>
      </c>
      <c r="L275" s="576">
        <f t="shared" si="137"/>
        <v>9.6901710467061308E-2</v>
      </c>
      <c r="M275" s="575">
        <f t="shared" si="138"/>
        <v>1.0072762502971748</v>
      </c>
      <c r="N275" s="576">
        <f t="shared" si="139"/>
        <v>-0.12026971911079339</v>
      </c>
      <c r="O275" s="574">
        <f t="shared" si="140"/>
        <v>331384.61750145885</v>
      </c>
      <c r="P275" s="577">
        <f t="shared" si="141"/>
        <v>1.5707933091533188</v>
      </c>
      <c r="Q275" s="586">
        <f t="shared" si="131"/>
        <v>44.416797174414789</v>
      </c>
      <c r="R275" s="587">
        <f t="shared" si="132"/>
        <v>1.5482804192336299</v>
      </c>
      <c r="S275" s="574">
        <f t="shared" si="142"/>
        <v>1.2015268082849619</v>
      </c>
      <c r="T275" s="577">
        <f t="shared" si="143"/>
        <v>0.58759847399334941</v>
      </c>
      <c r="U275" s="578">
        <f t="shared" si="155"/>
        <v>0.95821904268519487</v>
      </c>
      <c r="V275" s="579">
        <f t="shared" si="156"/>
        <v>-0.3574826570488821</v>
      </c>
      <c r="W275" s="580">
        <f t="shared" si="144"/>
        <v>-13.616506741048113</v>
      </c>
      <c r="X275" s="581">
        <f t="shared" si="145"/>
        <v>-146.30611115314065</v>
      </c>
      <c r="Y275" s="584">
        <f t="shared" si="146"/>
        <v>33.693888846859352</v>
      </c>
      <c r="AA275" s="147">
        <f t="shared" si="147"/>
        <v>17580.5</v>
      </c>
      <c r="AB275" s="147">
        <f t="shared" si="148"/>
        <v>309073980.25</v>
      </c>
      <c r="AD275" s="583">
        <f t="shared" si="149"/>
        <v>26.055078677929401</v>
      </c>
      <c r="AE275" s="584">
        <f t="shared" si="150"/>
        <v>-34.956806225131352</v>
      </c>
      <c r="AG275" s="583">
        <f t="shared" si="151"/>
        <v>20.357015561988145</v>
      </c>
      <c r="AH275" s="584">
        <f t="shared" si="152"/>
        <v>-70.384809885153416</v>
      </c>
      <c r="AJ275" s="147">
        <f t="shared" si="153"/>
        <v>0</v>
      </c>
      <c r="AK275" s="147">
        <f t="shared" si="133"/>
        <v>0</v>
      </c>
      <c r="AM275" s="147" t="str">
        <f t="shared" si="157"/>
        <v>0.132911755980592+0.498154571476906i</v>
      </c>
      <c r="AN275" s="147" t="str">
        <f t="shared" si="158"/>
        <v>0.521469165889232i</v>
      </c>
      <c r="AO275" s="147" t="str">
        <f t="shared" si="159"/>
        <v>0.955290559946015-0.254879415073267i</v>
      </c>
      <c r="AP275" s="147" t="str">
        <f t="shared" si="160"/>
        <v>0.144514707336568-0.0830257619128177i</v>
      </c>
      <c r="AQ275" s="147" t="str">
        <f t="shared" si="161"/>
        <v>0.855485292663432+0.0830257619128177i</v>
      </c>
      <c r="AR275" s="147" t="str">
        <f t="shared" si="162"/>
        <v>0.96463056214948-0.0936184269603326i</v>
      </c>
    </row>
    <row r="276" spans="7:44">
      <c r="G276" s="585">
        <v>17681.75</v>
      </c>
      <c r="H276" s="573">
        <f t="shared" si="154"/>
        <v>17.681750000000001</v>
      </c>
      <c r="I276" s="574">
        <f t="shared" si="134"/>
        <v>122.13354255584699</v>
      </c>
      <c r="J276" s="575">
        <f t="shared" si="135"/>
        <v>1.5626084764088124</v>
      </c>
      <c r="K276" s="575">
        <f t="shared" si="136"/>
        <v>1.004767728419206</v>
      </c>
      <c r="L276" s="576">
        <f t="shared" si="137"/>
        <v>9.7456271969307479E-2</v>
      </c>
      <c r="M276" s="575">
        <f t="shared" si="138"/>
        <v>1.0073599956545014</v>
      </c>
      <c r="N276" s="576">
        <f t="shared" si="139"/>
        <v>-0.12095566196652345</v>
      </c>
      <c r="O276" s="574">
        <f t="shared" si="140"/>
        <v>333293.1350363252</v>
      </c>
      <c r="P276" s="577">
        <f t="shared" si="141"/>
        <v>1.5707933264330682</v>
      </c>
      <c r="Q276" s="586">
        <f t="shared" si="131"/>
        <v>44.672474071784507</v>
      </c>
      <c r="R276" s="587">
        <f t="shared" si="132"/>
        <v>1.548409307597153</v>
      </c>
      <c r="S276" s="574">
        <f t="shared" si="142"/>
        <v>1.2036576491806996</v>
      </c>
      <c r="T276" s="577">
        <f t="shared" si="143"/>
        <v>0.59025097938833859</v>
      </c>
      <c r="U276" s="578">
        <f t="shared" si="155"/>
        <v>0.95776899665774029</v>
      </c>
      <c r="V276" s="579">
        <f t="shared" si="156"/>
        <v>-0.35945819173592919</v>
      </c>
      <c r="W276" s="580">
        <f t="shared" si="144"/>
        <v>-13.684688040655502</v>
      </c>
      <c r="X276" s="581">
        <f t="shared" si="145"/>
        <v>-146.57412384317809</v>
      </c>
      <c r="Y276" s="584">
        <f t="shared" si="146"/>
        <v>33.425876156821914</v>
      </c>
      <c r="AA276" s="147">
        <f t="shared" si="147"/>
        <v>17681.75</v>
      </c>
      <c r="AB276" s="147">
        <f t="shared" si="148"/>
        <v>312644283.0625</v>
      </c>
      <c r="AD276" s="583">
        <f t="shared" si="149"/>
        <v>26.039663240295525</v>
      </c>
      <c r="AE276" s="584">
        <f t="shared" si="150"/>
        <v>-35.101399820363625</v>
      </c>
      <c r="AG276" s="583">
        <f t="shared" si="151"/>
        <v>20.312410607323326</v>
      </c>
      <c r="AH276" s="584">
        <f t="shared" si="152"/>
        <v>-70.281849380000878</v>
      </c>
      <c r="AJ276" s="147">
        <f t="shared" si="153"/>
        <v>0</v>
      </c>
      <c r="AK276" s="147">
        <f t="shared" si="133"/>
        <v>0</v>
      </c>
      <c r="AM276" s="147" t="str">
        <f t="shared" si="157"/>
        <v>0.134411750117341+0.500756409509729i</v>
      </c>
      <c r="AN276" s="147" t="str">
        <f t="shared" si="158"/>
        <v>0.524472422511415i</v>
      </c>
      <c r="AO276" s="147" t="str">
        <f t="shared" si="159"/>
        <v>0.954781201100865-0.256279919301983i</v>
      </c>
      <c r="AP276" s="147" t="str">
        <f t="shared" si="160"/>
        <v>0.144264708313776-0.0834594015849548i</v>
      </c>
      <c r="AQ276" s="147" t="str">
        <f t="shared" si="161"/>
        <v>0.855735291686224+0.0834594015849548i</v>
      </c>
      <c r="AR276" s="147" t="str">
        <f t="shared" si="162"/>
        <v>0.964259828544643-0.0940437411482331i</v>
      </c>
    </row>
    <row r="277" spans="7:44">
      <c r="G277" s="585">
        <v>17783</v>
      </c>
      <c r="H277" s="573">
        <f t="shared" si="154"/>
        <v>17.783000000000001</v>
      </c>
      <c r="I277" s="574">
        <f t="shared" si="134"/>
        <v>122.83286216691928</v>
      </c>
      <c r="J277" s="575">
        <f t="shared" si="135"/>
        <v>1.5626550930154455</v>
      </c>
      <c r="K277" s="575">
        <f t="shared" si="136"/>
        <v>1.0048223556940301</v>
      </c>
      <c r="L277" s="576">
        <f t="shared" si="137"/>
        <v>9.8010773344477997E-2</v>
      </c>
      <c r="M277" s="575">
        <f t="shared" si="138"/>
        <v>1.0074442149135059</v>
      </c>
      <c r="N277" s="576">
        <f t="shared" si="139"/>
        <v>-0.12164149045944815</v>
      </c>
      <c r="O277" s="574">
        <f t="shared" si="140"/>
        <v>335201.65257119166</v>
      </c>
      <c r="P277" s="577">
        <f t="shared" si="141"/>
        <v>1.5707933435160484</v>
      </c>
      <c r="Q277" s="586">
        <f t="shared" si="131"/>
        <v>44.928151702816379</v>
      </c>
      <c r="R277" s="587">
        <f t="shared" si="132"/>
        <v>1.5485367290040755</v>
      </c>
      <c r="S277" s="574">
        <f t="shared" si="142"/>
        <v>1.205796928786949</v>
      </c>
      <c r="T277" s="577">
        <f t="shared" si="143"/>
        <v>0.59289409137402216</v>
      </c>
      <c r="U277" s="578">
        <f t="shared" si="155"/>
        <v>0.95731696751877537</v>
      </c>
      <c r="V277" s="579">
        <f t="shared" si="156"/>
        <v>-0.36143238722752741</v>
      </c>
      <c r="W277" s="580">
        <f t="shared" si="144"/>
        <v>-13.752630961922979</v>
      </c>
      <c r="X277" s="581">
        <f t="shared" si="145"/>
        <v>-146.84157176899075</v>
      </c>
      <c r="Y277" s="584">
        <f t="shared" si="146"/>
        <v>33.158428231009253</v>
      </c>
      <c r="AA277" s="147">
        <f t="shared" si="147"/>
        <v>17783</v>
      </c>
      <c r="AB277" s="147">
        <f t="shared" si="148"/>
        <v>316235089</v>
      </c>
      <c r="AD277" s="583">
        <f t="shared" si="149"/>
        <v>26.0242146641456</v>
      </c>
      <c r="AE277" s="584">
        <f t="shared" si="150"/>
        <v>-35.245539252034824</v>
      </c>
      <c r="AG277" s="583">
        <f t="shared" si="151"/>
        <v>20.268116991281332</v>
      </c>
      <c r="AH277" s="584">
        <f t="shared" si="152"/>
        <v>-70.178931734679182</v>
      </c>
      <c r="AJ277" s="147">
        <f t="shared" si="153"/>
        <v>0</v>
      </c>
      <c r="AK277" s="147">
        <f t="shared" si="133"/>
        <v>0</v>
      </c>
      <c r="AM277" s="147" t="str">
        <f t="shared" si="157"/>
        <v>0.135919551465015+0.503353730948305i</v>
      </c>
      <c r="AN277" s="147" t="str">
        <f t="shared" si="158"/>
        <v>0.527475679133598i</v>
      </c>
      <c r="AO277" s="147" t="str">
        <f t="shared" si="159"/>
        <v>0.954269079808733-0.257679276679199i</v>
      </c>
      <c r="AP277" s="147" t="str">
        <f t="shared" si="160"/>
        <v>0.144013408089164-0.0838922884913842i</v>
      </c>
      <c r="AQ277" s="147" t="str">
        <f t="shared" si="161"/>
        <v>0.855986591910836+0.0838922884913842i</v>
      </c>
      <c r="AR277" s="147" t="str">
        <f t="shared" si="162"/>
        <v>0.963887670412805-0.0944673004036755i</v>
      </c>
    </row>
    <row r="278" spans="7:44">
      <c r="G278" s="585">
        <v>17886.5</v>
      </c>
      <c r="H278" s="573">
        <f t="shared" si="154"/>
        <v>17.886500000000002</v>
      </c>
      <c r="I278" s="574">
        <f t="shared" si="134"/>
        <v>123.54772248652782</v>
      </c>
      <c r="J278" s="575">
        <f t="shared" si="135"/>
        <v>1.562702200095472</v>
      </c>
      <c r="K278" s="575">
        <f t="shared" si="136"/>
        <v>1.0048785162024132</v>
      </c>
      <c r="L278" s="576">
        <f t="shared" si="137"/>
        <v>9.8577534481464862E-2</v>
      </c>
      <c r="M278" s="575">
        <f t="shared" si="138"/>
        <v>1.0075307954032684</v>
      </c>
      <c r="N278" s="576">
        <f t="shared" si="139"/>
        <v>-0.12234244074058381</v>
      </c>
      <c r="O278" s="574">
        <f t="shared" si="140"/>
        <v>337152.58160683303</v>
      </c>
      <c r="P278" s="577">
        <f t="shared" si="141"/>
        <v>1.5707933607787528</v>
      </c>
      <c r="Q278" s="586">
        <f t="shared" si="131"/>
        <v>45.189511804314527</v>
      </c>
      <c r="R278" s="587">
        <f t="shared" si="132"/>
        <v>1.5486654917026255</v>
      </c>
      <c r="S278" s="574">
        <f t="shared" si="142"/>
        <v>1.2079924233414145</v>
      </c>
      <c r="T278" s="577">
        <f t="shared" si="143"/>
        <v>0.59558624395668913</v>
      </c>
      <c r="U278" s="578">
        <f t="shared" si="155"/>
        <v>0.9568528529063417</v>
      </c>
      <c r="V278" s="579">
        <f t="shared" si="156"/>
        <v>-0.36344906423568968</v>
      </c>
      <c r="W278" s="580">
        <f t="shared" si="144"/>
        <v>-13.821840093529875</v>
      </c>
      <c r="X278" s="581">
        <f t="shared" si="145"/>
        <v>-147.11437876968466</v>
      </c>
      <c r="Y278" s="584">
        <f t="shared" si="146"/>
        <v>32.885621230315337</v>
      </c>
      <c r="AA278" s="147">
        <f t="shared" si="147"/>
        <v>17886.5</v>
      </c>
      <c r="AB278" s="147">
        <f t="shared" si="148"/>
        <v>319926882.25</v>
      </c>
      <c r="AD278" s="583">
        <f t="shared" si="149"/>
        <v>26.008389096794716</v>
      </c>
      <c r="AE278" s="584">
        <f t="shared" si="150"/>
        <v>-35.392411662889181</v>
      </c>
      <c r="AG278" s="583">
        <f t="shared" si="151"/>
        <v>20.223157441110157</v>
      </c>
      <c r="AH278" s="584">
        <f t="shared" si="152"/>
        <v>-70.073772161837141</v>
      </c>
      <c r="AJ278" s="147">
        <f t="shared" si="153"/>
        <v>0</v>
      </c>
      <c r="AK278" s="147">
        <f t="shared" si="133"/>
        <v>0</v>
      </c>
      <c r="AM278" s="147" t="str">
        <f t="shared" si="157"/>
        <v>0.137468914727409+0.506004077986025i</v>
      </c>
      <c r="AN278" s="147" t="str">
        <f t="shared" si="158"/>
        <v>0.530545674791829i</v>
      </c>
      <c r="AO278" s="147" t="str">
        <f t="shared" si="159"/>
        <v>0.953742725703242-0.259108539111826i</v>
      </c>
      <c r="AP278" s="147" t="str">
        <f t="shared" si="160"/>
        <v>0.143755180878765-0.0843340129976708i</v>
      </c>
      <c r="AQ278" s="147" t="str">
        <f t="shared" si="161"/>
        <v>0.856244819121235+0.0843340129976708i</v>
      </c>
      <c r="AR278" s="147" t="str">
        <f t="shared" si="162"/>
        <v>0.963505780333414-0.0948984533247892i</v>
      </c>
    </row>
    <row r="279" spans="7:44">
      <c r="G279" s="585">
        <v>17990</v>
      </c>
      <c r="H279" s="573">
        <f t="shared" si="154"/>
        <v>17.989999999999998</v>
      </c>
      <c r="I279" s="574">
        <f t="shared" si="134"/>
        <v>124.26258307714386</v>
      </c>
      <c r="J279" s="575">
        <f t="shared" si="135"/>
        <v>1.5627487651782561</v>
      </c>
      <c r="K279" s="575">
        <f t="shared" si="136"/>
        <v>1.004934999459913</v>
      </c>
      <c r="L279" s="576">
        <f t="shared" si="137"/>
        <v>9.9144232089849696E-2</v>
      </c>
      <c r="M279" s="575">
        <f t="shared" si="138"/>
        <v>1.0076178708392292</v>
      </c>
      <c r="N279" s="576">
        <f t="shared" si="139"/>
        <v>-0.12304327021779823</v>
      </c>
      <c r="O279" s="574">
        <f t="shared" si="140"/>
        <v>339103.51064247452</v>
      </c>
      <c r="P279" s="577">
        <f t="shared" si="141"/>
        <v>1.5707933778428256</v>
      </c>
      <c r="Q279" s="586">
        <f t="shared" ref="Q279:Q342" si="163">SQRT(1+(G279/Zero2)^2)</f>
        <v>45.450872646430419</v>
      </c>
      <c r="R279" s="587">
        <f t="shared" ref="R279:R342" si="164">ATAN(G279/Zero2)</f>
        <v>1.5487927735284059</v>
      </c>
      <c r="S279" s="574">
        <f t="shared" si="142"/>
        <v>1.2101966412416034</v>
      </c>
      <c r="T279" s="577">
        <f t="shared" si="143"/>
        <v>0.59826860910043589</v>
      </c>
      <c r="U279" s="578">
        <f t="shared" si="155"/>
        <v>0.9563866850032241</v>
      </c>
      <c r="V279" s="579">
        <f t="shared" si="156"/>
        <v>-0.36546433109312776</v>
      </c>
      <c r="W279" s="580">
        <f t="shared" si="144"/>
        <v>-13.890805661981112</v>
      </c>
      <c r="X279" s="581">
        <f t="shared" si="145"/>
        <v>-147.38659469634095</v>
      </c>
      <c r="Y279" s="584">
        <f t="shared" si="146"/>
        <v>32.61340530365905</v>
      </c>
      <c r="AA279" s="147">
        <f t="shared" si="147"/>
        <v>17990</v>
      </c>
      <c r="AB279" s="147">
        <f t="shared" si="148"/>
        <v>323640100</v>
      </c>
      <c r="AD279" s="583">
        <f t="shared" si="149"/>
        <v>25.9925300380587</v>
      </c>
      <c r="AE279" s="584">
        <f t="shared" si="150"/>
        <v>-35.538808131179572</v>
      </c>
      <c r="AG279" s="583">
        <f t="shared" si="151"/>
        <v>20.178516328349549</v>
      </c>
      <c r="AH279" s="584">
        <f t="shared" si="152"/>
        <v>-69.968659048891581</v>
      </c>
      <c r="AJ279" s="147">
        <f t="shared" si="153"/>
        <v>0</v>
      </c>
      <c r="AK279" s="147">
        <f t="shared" ref="AK279:AK342" si="165">IF(AJ279&gt;0,Y279,0)</f>
        <v>0</v>
      </c>
      <c r="AM279" s="147" t="str">
        <f t="shared" si="157"/>
        <v>0.139026407229651+0.508649656003144i</v>
      </c>
      <c r="AN279" s="147" t="str">
        <f t="shared" si="158"/>
        <v>0.53361567045006i</v>
      </c>
      <c r="AO279" s="147" t="str">
        <f t="shared" si="159"/>
        <v>0.95321349085221-0.260536590149974i</v>
      </c>
      <c r="AP279" s="147" t="str">
        <f t="shared" si="160"/>
        <v>0.143495598795058-0.0847749426671907i</v>
      </c>
      <c r="AQ279" s="147" t="str">
        <f t="shared" si="161"/>
        <v>0.856504401204942+0.0847749426671907i</v>
      </c>
      <c r="AR279" s="147" t="str">
        <f t="shared" si="162"/>
        <v>0.9631224232261-0.0953277625843066i</v>
      </c>
    </row>
    <row r="280" spans="7:44">
      <c r="G280" s="585">
        <v>18093.5</v>
      </c>
      <c r="H280" s="573">
        <f t="shared" si="154"/>
        <v>18.093499999999999</v>
      </c>
      <c r="I280" s="574">
        <f t="shared" si="134"/>
        <v>124.97744393411696</v>
      </c>
      <c r="J280" s="575">
        <f t="shared" si="135"/>
        <v>1.562794797564135</v>
      </c>
      <c r="K280" s="575">
        <f t="shared" si="136"/>
        <v>1.004991805412111</v>
      </c>
      <c r="L280" s="576">
        <f t="shared" si="137"/>
        <v>9.9710865816389216E-2</v>
      </c>
      <c r="M280" s="575">
        <f t="shared" si="138"/>
        <v>1.0077054410930837</v>
      </c>
      <c r="N280" s="576">
        <f t="shared" si="139"/>
        <v>-0.1237439782340554</v>
      </c>
      <c r="O280" s="574">
        <f t="shared" si="140"/>
        <v>341054.43967811606</v>
      </c>
      <c r="P280" s="577">
        <f t="shared" si="141"/>
        <v>1.5707933947116757</v>
      </c>
      <c r="Q280" s="586">
        <f t="shared" si="163"/>
        <v>45.712234216460573</v>
      </c>
      <c r="R280" s="587">
        <f t="shared" si="164"/>
        <v>1.5489185998781092</v>
      </c>
      <c r="S280" s="574">
        <f t="shared" si="142"/>
        <v>1.2124095349091508</v>
      </c>
      <c r="T280" s="577">
        <f t="shared" si="143"/>
        <v>0.60094120169289067</v>
      </c>
      <c r="U280" s="578">
        <f t="shared" si="155"/>
        <v>0.95591847340862557</v>
      </c>
      <c r="V280" s="579">
        <f t="shared" si="156"/>
        <v>-0.36747818241321933</v>
      </c>
      <c r="W280" s="580">
        <f t="shared" si="144"/>
        <v>-13.959530379486118</v>
      </c>
      <c r="X280" s="581">
        <f t="shared" si="145"/>
        <v>-147.65821915386323</v>
      </c>
      <c r="Y280" s="584">
        <f t="shared" si="146"/>
        <v>32.341780846136771</v>
      </c>
      <c r="AA280" s="147">
        <f t="shared" si="147"/>
        <v>18093.5</v>
      </c>
      <c r="AB280" s="147">
        <f t="shared" si="148"/>
        <v>327374742.25</v>
      </c>
      <c r="AD280" s="583">
        <f t="shared" si="149"/>
        <v>25.976638056533506</v>
      </c>
      <c r="AE280" s="584">
        <f t="shared" si="150"/>
        <v>-35.684728054976283</v>
      </c>
      <c r="AG280" s="583">
        <f t="shared" si="151"/>
        <v>20.134190256280192</v>
      </c>
      <c r="AH280" s="584">
        <f t="shared" si="152"/>
        <v>-69.863593219937258</v>
      </c>
      <c r="AJ280" s="147">
        <f t="shared" si="153"/>
        <v>0</v>
      </c>
      <c r="AK280" s="147">
        <f t="shared" si="165"/>
        <v>0</v>
      </c>
      <c r="AM280" s="147" t="str">
        <f t="shared" si="157"/>
        <v>0.140592014292582+0.511290440065447i</v>
      </c>
      <c r="AN280" s="147" t="str">
        <f t="shared" si="158"/>
        <v>0.536685666108292i</v>
      </c>
      <c r="AO280" s="147" t="str">
        <f t="shared" si="159"/>
        <v>0.952681378232075-0.26196342323071i</v>
      </c>
      <c r="AP280" s="147" t="str">
        <f t="shared" si="160"/>
        <v>0.14323466428457-0.0852150733442412i</v>
      </c>
      <c r="AQ280" s="147" t="str">
        <f t="shared" si="161"/>
        <v>0.85676533571543+0.0852150733442412i</v>
      </c>
      <c r="AR280" s="147" t="str">
        <f t="shared" si="162"/>
        <v>0.962737609982494-0.0957552233102563i</v>
      </c>
    </row>
    <row r="281" spans="7:44">
      <c r="G281" s="585">
        <v>18197</v>
      </c>
      <c r="H281" s="573">
        <f t="shared" si="154"/>
        <v>18.196999999999999</v>
      </c>
      <c r="I281" s="574">
        <f t="shared" si="134"/>
        <v>125.69230505290254</v>
      </c>
      <c r="J281" s="575">
        <f t="shared" si="135"/>
        <v>1.5628403063418763</v>
      </c>
      <c r="K281" s="575">
        <f t="shared" si="136"/>
        <v>1.0050489340042907</v>
      </c>
      <c r="L281" s="576">
        <f t="shared" si="137"/>
        <v>0.10027743530808385</v>
      </c>
      <c r="M281" s="575">
        <f t="shared" si="138"/>
        <v>1.0077935060358432</v>
      </c>
      <c r="N281" s="576">
        <f t="shared" si="139"/>
        <v>-0.12444456413302404</v>
      </c>
      <c r="O281" s="574">
        <f t="shared" si="140"/>
        <v>343005.36871375772</v>
      </c>
      <c r="P281" s="577">
        <f t="shared" si="141"/>
        <v>1.5707934113886342</v>
      </c>
      <c r="Q281" s="586">
        <f t="shared" si="163"/>
        <v>45.973596501990315</v>
      </c>
      <c r="R281" s="587">
        <f t="shared" si="164"/>
        <v>1.5490429955710876</v>
      </c>
      <c r="S281" s="574">
        <f t="shared" si="142"/>
        <v>1.2146310569258298</v>
      </c>
      <c r="T281" s="577">
        <f t="shared" si="143"/>
        <v>0.60360403707182386</v>
      </c>
      <c r="U281" s="578">
        <f t="shared" si="155"/>
        <v>0.95544822773853022</v>
      </c>
      <c r="V281" s="579">
        <f t="shared" si="156"/>
        <v>-0.36949061284950546</v>
      </c>
      <c r="W281" s="580">
        <f t="shared" si="144"/>
        <v>-14.028016904991196</v>
      </c>
      <c r="X281" s="581">
        <f t="shared" si="145"/>
        <v>-147.92925179622651</v>
      </c>
      <c r="Y281" s="584">
        <f t="shared" si="146"/>
        <v>32.070748203773491</v>
      </c>
      <c r="AA281" s="147">
        <f t="shared" si="147"/>
        <v>18197</v>
      </c>
      <c r="AB281" s="147">
        <f t="shared" si="148"/>
        <v>331130809</v>
      </c>
      <c r="AD281" s="583">
        <f t="shared" si="149"/>
        <v>25.960713716882019</v>
      </c>
      <c r="AE281" s="584">
        <f t="shared" si="150"/>
        <v>-35.830170891215531</v>
      </c>
      <c r="AG281" s="583">
        <f t="shared" si="151"/>
        <v>20.090175885083383</v>
      </c>
      <c r="AH281" s="584">
        <f t="shared" si="152"/>
        <v>-69.758575484672065</v>
      </c>
      <c r="AJ281" s="147">
        <f t="shared" si="153"/>
        <v>0</v>
      </c>
      <c r="AK281" s="147">
        <f t="shared" si="165"/>
        <v>0</v>
      </c>
      <c r="AM281" s="147" t="str">
        <f t="shared" si="157"/>
        <v>0.142165721160565+0.513926405283895i</v>
      </c>
      <c r="AN281" s="147" t="str">
        <f t="shared" si="158"/>
        <v>0.539755661766523i</v>
      </c>
      <c r="AO281" s="147" t="str">
        <f t="shared" si="159"/>
        <v>0.952146390835265-0.263389031798726i</v>
      </c>
      <c r="AP281" s="147" t="str">
        <f t="shared" si="160"/>
        <v>0.142972379806572-0.0856544008806492i</v>
      </c>
      <c r="AQ281" s="147" t="str">
        <f t="shared" si="161"/>
        <v>0.857027620193428+0.0856544008806492i</v>
      </c>
      <c r="AR281" s="147" t="str">
        <f t="shared" si="162"/>
        <v>0.962351351504133-0.0961808307078429i</v>
      </c>
    </row>
    <row r="282" spans="7:44">
      <c r="G282" s="585">
        <v>18303</v>
      </c>
      <c r="H282" s="573">
        <f t="shared" si="154"/>
        <v>18.303000000000001</v>
      </c>
      <c r="I282" s="574">
        <f t="shared" si="134"/>
        <v>126.42443361520465</v>
      </c>
      <c r="J282" s="575">
        <f t="shared" si="135"/>
        <v>1.5628863809137563</v>
      </c>
      <c r="K282" s="575">
        <f t="shared" si="136"/>
        <v>1.0051077768806282</v>
      </c>
      <c r="L282" s="576">
        <f t="shared" si="137"/>
        <v>0.10085762310368716</v>
      </c>
      <c r="M282" s="575">
        <f t="shared" si="138"/>
        <v>1.0078842107723665</v>
      </c>
      <c r="N282" s="576">
        <f t="shared" si="139"/>
        <v>-0.12516194513421403</v>
      </c>
      <c r="O282" s="574">
        <f t="shared" si="140"/>
        <v>345003.42163914931</v>
      </c>
      <c r="P282" s="577">
        <f t="shared" si="141"/>
        <v>1.570793428272919</v>
      </c>
      <c r="Q282" s="586">
        <f t="shared" si="163"/>
        <v>46.241272615159886</v>
      </c>
      <c r="R282" s="587">
        <f t="shared" si="164"/>
        <v>1.5491689384247986</v>
      </c>
      <c r="S282" s="574">
        <f t="shared" si="142"/>
        <v>1.2169151330066716</v>
      </c>
      <c r="T282" s="577">
        <f t="shared" si="143"/>
        <v>0.60632109505397835</v>
      </c>
      <c r="U282" s="578">
        <f t="shared" si="155"/>
        <v>0.95496452517468466</v>
      </c>
      <c r="V282" s="579">
        <f t="shared" si="156"/>
        <v>-0.37155017439291499</v>
      </c>
      <c r="W282" s="580">
        <f t="shared" si="144"/>
        <v>-14.097913526419067</v>
      </c>
      <c r="X282" s="581">
        <f t="shared" si="145"/>
        <v>-148.20621737928798</v>
      </c>
      <c r="Y282" s="584">
        <f t="shared" si="146"/>
        <v>31.793782620712022</v>
      </c>
      <c r="AA282" s="147">
        <f t="shared" si="147"/>
        <v>18303</v>
      </c>
      <c r="AB282" s="147">
        <f t="shared" si="148"/>
        <v>334999809</v>
      </c>
      <c r="AD282" s="583">
        <f t="shared" si="149"/>
        <v>25.944371777226898</v>
      </c>
      <c r="AE282" s="584">
        <f t="shared" si="150"/>
        <v>-35.978631819875744</v>
      </c>
      <c r="AG282" s="583">
        <f t="shared" si="151"/>
        <v>20.04541801891099</v>
      </c>
      <c r="AH282" s="584">
        <f t="shared" si="152"/>
        <v>-69.65107177063399</v>
      </c>
      <c r="AJ282" s="147">
        <f t="shared" si="153"/>
        <v>0</v>
      </c>
      <c r="AK282" s="147">
        <f t="shared" si="165"/>
        <v>0</v>
      </c>
      <c r="AM282" s="147" t="str">
        <f t="shared" si="157"/>
        <v>0.143785820412922+0.516621020356342i</v>
      </c>
      <c r="AN282" s="147" t="str">
        <f t="shared" si="158"/>
        <v>0.542899811909253i</v>
      </c>
      <c r="AO282" s="147" t="str">
        <f t="shared" si="159"/>
        <v>0.951595504407168-0.264847799278582i</v>
      </c>
      <c r="AP282" s="147" t="str">
        <f t="shared" si="160"/>
        <v>0.142702363264513-0.0861035033927237i</v>
      </c>
      <c r="AQ282" s="147" t="str">
        <f t="shared" si="161"/>
        <v>0.857297636735487+0.0861035033927237i</v>
      </c>
      <c r="AR282" s="147" t="str">
        <f t="shared" si="162"/>
        <v>0.961954276491339-0.0966147925298352i</v>
      </c>
    </row>
    <row r="283" spans="7:44">
      <c r="G283" s="585">
        <v>18409</v>
      </c>
      <c r="H283" s="573">
        <f t="shared" si="154"/>
        <v>18.408999999999999</v>
      </c>
      <c r="I283" s="574">
        <f t="shared" si="134"/>
        <v>127.1565624427984</v>
      </c>
      <c r="J283" s="575">
        <f t="shared" si="135"/>
        <v>1.5629319249189779</v>
      </c>
      <c r="K283" s="575">
        <f t="shared" si="136"/>
        <v>1.0051669580545335</v>
      </c>
      <c r="L283" s="576">
        <f t="shared" si="137"/>
        <v>0.10143774277516376</v>
      </c>
      <c r="M283" s="575">
        <f t="shared" si="138"/>
        <v>1.0079754341083782</v>
      </c>
      <c r="N283" s="576">
        <f t="shared" si="139"/>
        <v>-0.12587919665629094</v>
      </c>
      <c r="O283" s="574">
        <f t="shared" si="140"/>
        <v>347001.47456454096</v>
      </c>
      <c r="P283" s="577">
        <f t="shared" si="141"/>
        <v>1.5707934449627625</v>
      </c>
      <c r="Q283" s="586">
        <f t="shared" si="163"/>
        <v>46.508949453347469</v>
      </c>
      <c r="R283" s="587">
        <f t="shared" si="164"/>
        <v>1.5492934315816325</v>
      </c>
      <c r="S283" s="574">
        <f t="shared" si="142"/>
        <v>1.2192081591476316</v>
      </c>
      <c r="T283" s="577">
        <f t="shared" si="143"/>
        <v>0.60902795274140487</v>
      </c>
      <c r="U283" s="578">
        <f t="shared" si="155"/>
        <v>0.95447870955182135</v>
      </c>
      <c r="V283" s="579">
        <f t="shared" si="156"/>
        <v>-0.37360823435985163</v>
      </c>
      <c r="W283" s="580">
        <f t="shared" si="144"/>
        <v>-14.167565789704344</v>
      </c>
      <c r="X283" s="581">
        <f t="shared" si="145"/>
        <v>-148.48256163027642</v>
      </c>
      <c r="Y283" s="584">
        <f t="shared" si="146"/>
        <v>31.517438369723578</v>
      </c>
      <c r="AA283" s="147">
        <f t="shared" si="147"/>
        <v>18409</v>
      </c>
      <c r="AB283" s="147">
        <f t="shared" si="148"/>
        <v>338891281</v>
      </c>
      <c r="AD283" s="583">
        <f t="shared" si="149"/>
        <v>25.927997083491551</v>
      </c>
      <c r="AE283" s="584">
        <f t="shared" si="150"/>
        <v>-36.12659136506965</v>
      </c>
      <c r="AG283" s="583">
        <f t="shared" si="151"/>
        <v>20.000980180019607</v>
      </c>
      <c r="AH283" s="584">
        <f t="shared" si="152"/>
        <v>-69.543620175978447</v>
      </c>
      <c r="AJ283" s="147">
        <f t="shared" si="153"/>
        <v>0</v>
      </c>
      <c r="AK283" s="147">
        <f t="shared" si="165"/>
        <v>0</v>
      </c>
      <c r="AM283" s="147" t="str">
        <f t="shared" si="157"/>
        <v>0.1454143839178+0.519310528282844i</v>
      </c>
      <c r="AN283" s="147" t="str">
        <f t="shared" si="158"/>
        <v>0.546043962051982i</v>
      </c>
      <c r="AO283" s="147" t="str">
        <f t="shared" si="159"/>
        <v>0.95104160905163-0.266305268483047i</v>
      </c>
      <c r="AP283" s="147" t="str">
        <f t="shared" si="160"/>
        <v>0.1424309360137-0.0865517547138073i</v>
      </c>
      <c r="AQ283" s="147" t="str">
        <f t="shared" si="161"/>
        <v>0.8575690639863+0.0865517547138073i</v>
      </c>
      <c r="AR283" s="147" t="str">
        <f t="shared" si="162"/>
        <v>0.961555708756912-0.0970468004770738i</v>
      </c>
    </row>
    <row r="284" spans="7:44">
      <c r="G284" s="585">
        <v>18515</v>
      </c>
      <c r="H284" s="573">
        <f t="shared" si="154"/>
        <v>18.515000000000001</v>
      </c>
      <c r="I284" s="574">
        <f t="shared" si="134"/>
        <v>127.88869153112761</v>
      </c>
      <c r="J284" s="575">
        <f t="shared" si="135"/>
        <v>1.562976947469414</v>
      </c>
      <c r="K284" s="575">
        <f t="shared" si="136"/>
        <v>1.0052264774662565</v>
      </c>
      <c r="L284" s="576">
        <f t="shared" si="137"/>
        <v>0.1020177939441148</v>
      </c>
      <c r="M284" s="575">
        <f t="shared" si="138"/>
        <v>1.0080671759030893</v>
      </c>
      <c r="N284" s="576">
        <f t="shared" si="139"/>
        <v>-0.12659631799652668</v>
      </c>
      <c r="O284" s="574">
        <f t="shared" si="140"/>
        <v>348999.52748993272</v>
      </c>
      <c r="P284" s="577">
        <f t="shared" si="141"/>
        <v>1.5707934614615044</v>
      </c>
      <c r="Q284" s="586">
        <f t="shared" si="163"/>
        <v>46.776627004106409</v>
      </c>
      <c r="R284" s="587">
        <f t="shared" si="164"/>
        <v>1.54941649992521</v>
      </c>
      <c r="S284" s="574">
        <f t="shared" si="142"/>
        <v>1.221510084945389</v>
      </c>
      <c r="T284" s="577">
        <f t="shared" si="143"/>
        <v>0.61172462802318561</v>
      </c>
      <c r="U284" s="578">
        <f t="shared" si="155"/>
        <v>0.95399079125126429</v>
      </c>
      <c r="V284" s="579">
        <f t="shared" si="156"/>
        <v>-0.37566478713820239</v>
      </c>
      <c r="W284" s="580">
        <f t="shared" si="144"/>
        <v>-14.236976385944804</v>
      </c>
      <c r="X284" s="581">
        <f t="shared" si="145"/>
        <v>-148.75828433056446</v>
      </c>
      <c r="Y284" s="584">
        <f t="shared" si="146"/>
        <v>31.241715669435536</v>
      </c>
      <c r="AA284" s="147">
        <f t="shared" si="147"/>
        <v>18515</v>
      </c>
      <c r="AB284" s="147">
        <f t="shared" si="148"/>
        <v>342805225</v>
      </c>
      <c r="AD284" s="583">
        <f t="shared" si="149"/>
        <v>25.911590229299591</v>
      </c>
      <c r="AE284" s="584">
        <f t="shared" si="150"/>
        <v>-36.274049126231041</v>
      </c>
      <c r="AG284" s="583">
        <f t="shared" si="151"/>
        <v>19.956858957920382</v>
      </c>
      <c r="AH284" s="584">
        <f t="shared" si="152"/>
        <v>-69.436221525744969</v>
      </c>
      <c r="AJ284" s="147">
        <f t="shared" si="153"/>
        <v>0</v>
      </c>
      <c r="AK284" s="147">
        <f t="shared" si="165"/>
        <v>0</v>
      </c>
      <c r="AM284" s="147" t="str">
        <f t="shared" si="157"/>
        <v>0.147051395575754+0.52199490247581i</v>
      </c>
      <c r="AN284" s="147" t="str">
        <f t="shared" si="158"/>
        <v>0.549188112194712i</v>
      </c>
      <c r="AO284" s="147" t="str">
        <f t="shared" si="159"/>
        <v>0.95048470803523-0.26776143239535i</v>
      </c>
      <c r="AP284" s="147" t="str">
        <f t="shared" si="160"/>
        <v>0.142158100737374-0.086999150412635i</v>
      </c>
      <c r="AQ284" s="147" t="str">
        <f t="shared" si="161"/>
        <v>0.857841899262626+0.086999150412635i</v>
      </c>
      <c r="AR284" s="147" t="str">
        <f t="shared" si="162"/>
        <v>0.961155660039798-0.097476849649842i</v>
      </c>
    </row>
    <row r="285" spans="7:44">
      <c r="G285" s="585">
        <v>18621</v>
      </c>
      <c r="H285" s="573">
        <f t="shared" si="154"/>
        <v>18.620999999999999</v>
      </c>
      <c r="I285" s="574">
        <f t="shared" si="134"/>
        <v>128.62082087573984</v>
      </c>
      <c r="J285" s="575">
        <f t="shared" si="135"/>
        <v>1.5630214574694812</v>
      </c>
      <c r="K285" s="575">
        <f t="shared" si="136"/>
        <v>1.0052863350557197</v>
      </c>
      <c r="L285" s="576">
        <f t="shared" si="137"/>
        <v>0.1025977762324152</v>
      </c>
      <c r="M285" s="575">
        <f t="shared" si="138"/>
        <v>1.0081594360149617</v>
      </c>
      <c r="N285" s="576">
        <f t="shared" si="139"/>
        <v>-0.12731330845298375</v>
      </c>
      <c r="O285" s="574">
        <f t="shared" si="140"/>
        <v>350997.58041532454</v>
      </c>
      <c r="P285" s="577">
        <f t="shared" si="141"/>
        <v>1.5707934777724082</v>
      </c>
      <c r="Q285" s="586">
        <f t="shared" si="163"/>
        <v>47.044305255273336</v>
      </c>
      <c r="R285" s="587">
        <f t="shared" si="164"/>
        <v>1.5495381677729838</v>
      </c>
      <c r="S285" s="574">
        <f t="shared" si="142"/>
        <v>1.2238208601809544</v>
      </c>
      <c r="T285" s="577">
        <f t="shared" si="143"/>
        <v>0.6144111392464463</v>
      </c>
      <c r="U285" s="578">
        <f t="shared" si="155"/>
        <v>0.95350078067065958</v>
      </c>
      <c r="V285" s="579">
        <f t="shared" si="156"/>
        <v>-0.37771982716017766</v>
      </c>
      <c r="W285" s="580">
        <f t="shared" si="144"/>
        <v>-14.306147953251347</v>
      </c>
      <c r="X285" s="581">
        <f t="shared" si="145"/>
        <v>-149.03338531088608</v>
      </c>
      <c r="Y285" s="584">
        <f t="shared" si="146"/>
        <v>30.966614689113925</v>
      </c>
      <c r="AA285" s="147">
        <f t="shared" si="147"/>
        <v>18621</v>
      </c>
      <c r="AB285" s="147">
        <f t="shared" si="148"/>
        <v>346741641</v>
      </c>
      <c r="AD285" s="583">
        <f t="shared" si="149"/>
        <v>25.895151803868309</v>
      </c>
      <c r="AE285" s="584">
        <f t="shared" si="150"/>
        <v>-36.421004761472396</v>
      </c>
      <c r="AG285" s="583">
        <f t="shared" si="151"/>
        <v>19.913050999214242</v>
      </c>
      <c r="AH285" s="584">
        <f t="shared" si="152"/>
        <v>-69.328876630576843</v>
      </c>
      <c r="AJ285" s="147">
        <f t="shared" si="153"/>
        <v>0</v>
      </c>
      <c r="AK285" s="147">
        <f t="shared" si="165"/>
        <v>0</v>
      </c>
      <c r="AM285" s="147" t="str">
        <f t="shared" si="157"/>
        <v>0.148696839203823+0.524674116398397i</v>
      </c>
      <c r="AN285" s="147" t="str">
        <f t="shared" si="158"/>
        <v>0.552332262337441i</v>
      </c>
      <c r="AO285" s="147" t="str">
        <f t="shared" si="159"/>
        <v>0.949924804642053-0.269216284007285i</v>
      </c>
      <c r="AP285" s="147" t="str">
        <f t="shared" si="160"/>
        <v>0.141883860132696-0.0874456860663995i</v>
      </c>
      <c r="AQ285" s="147" t="str">
        <f t="shared" si="161"/>
        <v>0.858116139867304+0.0874456860663995i</v>
      </c>
      <c r="AR285" s="147" t="str">
        <f t="shared" si="162"/>
        <v>0.960754142087071-0.0979049352328119i</v>
      </c>
    </row>
    <row r="286" spans="7:44">
      <c r="G286" s="585">
        <v>18729.5</v>
      </c>
      <c r="H286" s="573">
        <f t="shared" si="154"/>
        <v>18.729500000000002</v>
      </c>
      <c r="I286" s="574">
        <f t="shared" si="134"/>
        <v>129.3702176827552</v>
      </c>
      <c r="J286" s="575">
        <f t="shared" si="135"/>
        <v>1.5630664954908815</v>
      </c>
      <c r="K286" s="575">
        <f t="shared" si="136"/>
        <v>1.0053479545533619</v>
      </c>
      <c r="L286" s="576">
        <f t="shared" si="137"/>
        <v>0.10319136561724929</v>
      </c>
      <c r="M286" s="575">
        <f t="shared" si="138"/>
        <v>1.0082544087223559</v>
      </c>
      <c r="N286" s="576">
        <f t="shared" si="139"/>
        <v>-0.12804707277936647</v>
      </c>
      <c r="O286" s="574">
        <f t="shared" si="140"/>
        <v>353042.75723046629</v>
      </c>
      <c r="P286" s="577">
        <f t="shared" si="141"/>
        <v>1.5707934942767965</v>
      </c>
      <c r="Q286" s="586">
        <f t="shared" si="163"/>
        <v>47.31829738571556</v>
      </c>
      <c r="R286" s="587">
        <f t="shared" si="164"/>
        <v>1.549661279519243</v>
      </c>
      <c r="S286" s="574">
        <f t="shared" si="142"/>
        <v>1.2261952475783287</v>
      </c>
      <c r="T286" s="577">
        <f t="shared" si="143"/>
        <v>0.61715050474240762</v>
      </c>
      <c r="U286" s="578">
        <f t="shared" si="155"/>
        <v>0.95299705722502259</v>
      </c>
      <c r="V286" s="579">
        <f t="shared" si="156"/>
        <v>-0.37982176264769857</v>
      </c>
      <c r="W286" s="580">
        <f t="shared" si="144"/>
        <v>-14.376706073232091</v>
      </c>
      <c r="X286" s="581">
        <f t="shared" si="145"/>
        <v>-149.31433050816386</v>
      </c>
      <c r="Y286" s="584">
        <f t="shared" si="146"/>
        <v>30.685669491836137</v>
      </c>
      <c r="AA286" s="147">
        <f t="shared" si="147"/>
        <v>18729.5</v>
      </c>
      <c r="AB286" s="147">
        <f t="shared" si="148"/>
        <v>350794170.25</v>
      </c>
      <c r="AD286" s="583">
        <f t="shared" si="149"/>
        <v>25.878293593176931</v>
      </c>
      <c r="AE286" s="584">
        <f t="shared" si="150"/>
        <v>-36.570906005268682</v>
      </c>
      <c r="AG286" s="583">
        <f t="shared" si="151"/>
        <v>19.868530825189723</v>
      </c>
      <c r="AH286" s="584">
        <f t="shared" si="152"/>
        <v>-69.219056519295719</v>
      </c>
      <c r="AJ286" s="147">
        <f t="shared" si="153"/>
        <v>0</v>
      </c>
      <c r="AK286" s="147">
        <f t="shared" si="165"/>
        <v>0</v>
      </c>
      <c r="AM286" s="147" t="str">
        <f t="shared" si="157"/>
        <v>0.150389806101457+0.527411147420758i</v>
      </c>
      <c r="AN286" s="147" t="str">
        <f t="shared" si="158"/>
        <v>0.555550566964669i</v>
      </c>
      <c r="AO286" s="147" t="str">
        <f t="shared" si="159"/>
        <v>0.949348589998468-0.27070408176007i</v>
      </c>
      <c r="AP286" s="147" t="str">
        <f t="shared" si="160"/>
        <v>0.14160169898309-0.0879018579034597i</v>
      </c>
      <c r="AQ286" s="147" t="str">
        <f t="shared" si="161"/>
        <v>0.85839830101691+0.0879018579034597i</v>
      </c>
      <c r="AR286" s="147" t="str">
        <f t="shared" si="162"/>
        <v>0.960341645018751-0.0983410786335539i</v>
      </c>
    </row>
    <row r="287" spans="7:44">
      <c r="G287" s="585">
        <v>18838</v>
      </c>
      <c r="H287" s="573">
        <f t="shared" si="154"/>
        <v>18.838000000000001</v>
      </c>
      <c r="I287" s="574">
        <f t="shared" si="134"/>
        <v>130.11961474916549</v>
      </c>
      <c r="J287" s="575">
        <f t="shared" si="135"/>
        <v>1.5631110147379932</v>
      </c>
      <c r="K287" s="575">
        <f t="shared" si="136"/>
        <v>1.0054099282402116</v>
      </c>
      <c r="L287" s="576">
        <f t="shared" si="137"/>
        <v>0.10378488203322868</v>
      </c>
      <c r="M287" s="575">
        <f t="shared" si="138"/>
        <v>1.0083499241816647</v>
      </c>
      <c r="N287" s="576">
        <f t="shared" si="139"/>
        <v>-0.12878069848973603</v>
      </c>
      <c r="O287" s="574">
        <f t="shared" si="140"/>
        <v>355087.93404560816</v>
      </c>
      <c r="P287" s="577">
        <f t="shared" si="141"/>
        <v>1.5707935105910662</v>
      </c>
      <c r="Q287" s="586">
        <f t="shared" si="163"/>
        <v>47.592290225079957</v>
      </c>
      <c r="R287" s="587">
        <f t="shared" si="164"/>
        <v>1.5497829737378612</v>
      </c>
      <c r="S287" s="574">
        <f t="shared" si="142"/>
        <v>1.2285788008896108</v>
      </c>
      <c r="T287" s="577">
        <f t="shared" si="143"/>
        <v>0.61987926141863925</v>
      </c>
      <c r="U287" s="578">
        <f t="shared" si="155"/>
        <v>0.95249116373778575</v>
      </c>
      <c r="V287" s="579">
        <f t="shared" si="156"/>
        <v>-0.38192210151870992</v>
      </c>
      <c r="W287" s="580">
        <f t="shared" si="144"/>
        <v>-14.447019185180366</v>
      </c>
      <c r="X287" s="581">
        <f t="shared" si="145"/>
        <v>-149.59462410803314</v>
      </c>
      <c r="Y287" s="584">
        <f t="shared" si="146"/>
        <v>30.405375891966855</v>
      </c>
      <c r="AA287" s="147">
        <f t="shared" si="147"/>
        <v>18838</v>
      </c>
      <c r="AB287" s="147">
        <f t="shared" si="148"/>
        <v>354870244</v>
      </c>
      <c r="AD287" s="583">
        <f t="shared" si="149"/>
        <v>25.861403539502071</v>
      </c>
      <c r="AE287" s="584">
        <f t="shared" si="150"/>
        <v>-36.72028061592642</v>
      </c>
      <c r="AG287" s="583">
        <f t="shared" si="151"/>
        <v>19.824331933308219</v>
      </c>
      <c r="AH287" s="584">
        <f t="shared" si="152"/>
        <v>-69.10929440251978</v>
      </c>
      <c r="AJ287" s="147">
        <f t="shared" si="153"/>
        <v>0</v>
      </c>
      <c r="AK287" s="147">
        <f t="shared" si="165"/>
        <v>0</v>
      </c>
      <c r="AM287" s="147" t="str">
        <f t="shared" si="157"/>
        <v>0.152091572816058+0.530142715794957i</v>
      </c>
      <c r="AN287" s="147" t="str">
        <f t="shared" si="158"/>
        <v>0.558768871591897i</v>
      </c>
      <c r="AO287" s="147" t="str">
        <f t="shared" si="159"/>
        <v>0.948769236705356-0.272190489750724i</v>
      </c>
      <c r="AP287" s="147" t="str">
        <f t="shared" si="160"/>
        <v>0.141318071197324-0.0883571192991595i</v>
      </c>
      <c r="AQ287" s="147" t="str">
        <f t="shared" si="161"/>
        <v>0.858681928802676+0.0883571192991595i</v>
      </c>
      <c r="AR287" s="147" t="str">
        <f t="shared" si="162"/>
        <v>0.95992763352279-0.0987751547910165i</v>
      </c>
    </row>
    <row r="288" spans="7:44">
      <c r="G288" s="585">
        <v>18946.5</v>
      </c>
      <c r="H288" s="573">
        <f t="shared" si="154"/>
        <v>18.9465</v>
      </c>
      <c r="I288" s="574">
        <f t="shared" si="134"/>
        <v>130.86901207051454</v>
      </c>
      <c r="J288" s="575">
        <f t="shared" si="135"/>
        <v>1.5631550241226346</v>
      </c>
      <c r="K288" s="575">
        <f t="shared" si="136"/>
        <v>1.0054722560507761</v>
      </c>
      <c r="L288" s="576">
        <f t="shared" si="137"/>
        <v>0.10437832507573856</v>
      </c>
      <c r="M288" s="575">
        <f t="shared" si="138"/>
        <v>1.0084459822386664</v>
      </c>
      <c r="N288" s="576">
        <f t="shared" si="139"/>
        <v>-0.12951418483390781</v>
      </c>
      <c r="O288" s="574">
        <f t="shared" si="140"/>
        <v>357133.11086075002</v>
      </c>
      <c r="P288" s="577">
        <f t="shared" si="141"/>
        <v>1.5707935267184836</v>
      </c>
      <c r="Q288" s="586">
        <f t="shared" si="163"/>
        <v>47.866283761192605</v>
      </c>
      <c r="R288" s="587">
        <f t="shared" si="164"/>
        <v>1.5499032747676029</v>
      </c>
      <c r="S288" s="574">
        <f t="shared" si="142"/>
        <v>1.2309714668704053</v>
      </c>
      <c r="T288" s="577">
        <f t="shared" si="143"/>
        <v>0.62259743038200188</v>
      </c>
      <c r="U288" s="578">
        <f t="shared" si="155"/>
        <v>0.95198311140932967</v>
      </c>
      <c r="V288" s="579">
        <f t="shared" si="156"/>
        <v>-0.38402083794657987</v>
      </c>
      <c r="W288" s="580">
        <f t="shared" si="144"/>
        <v>-14.517089954317541</v>
      </c>
      <c r="X288" s="581">
        <f t="shared" si="145"/>
        <v>-149.87426608247503</v>
      </c>
      <c r="Y288" s="584">
        <f t="shared" si="146"/>
        <v>30.125733917524968</v>
      </c>
      <c r="AA288" s="147">
        <f t="shared" si="147"/>
        <v>18946.5</v>
      </c>
      <c r="AB288" s="147">
        <f t="shared" si="148"/>
        <v>358969862.25</v>
      </c>
      <c r="AD288" s="583">
        <f t="shared" si="149"/>
        <v>25.844482260298495</v>
      </c>
      <c r="AE288" s="584">
        <f t="shared" si="150"/>
        <v>-36.869128408458316</v>
      </c>
      <c r="AG288" s="583">
        <f t="shared" si="151"/>
        <v>19.78045090473973</v>
      </c>
      <c r="AH288" s="584">
        <f t="shared" si="152"/>
        <v>-68.999591104900333</v>
      </c>
      <c r="AJ288" s="147">
        <f t="shared" si="153"/>
        <v>0</v>
      </c>
      <c r="AK288" s="147">
        <f t="shared" si="165"/>
        <v>0</v>
      </c>
      <c r="AM288" s="147" t="str">
        <f t="shared" si="157"/>
        <v>0.153802121721617+0.532868793228843i</v>
      </c>
      <c r="AN288" s="147" t="str">
        <f t="shared" si="158"/>
        <v>0.561987176219125i</v>
      </c>
      <c r="AO288" s="147" t="str">
        <f t="shared" si="159"/>
        <v>0.948186748341517-0.273675500491577i</v>
      </c>
      <c r="AP288" s="147" t="str">
        <f t="shared" si="160"/>
        <v>0.141032979713064-0.0888114655381405i</v>
      </c>
      <c r="AQ288" s="147" t="str">
        <f t="shared" si="161"/>
        <v>0.858967020286936+0.0888114655381405i</v>
      </c>
      <c r="AR288" s="147" t="str">
        <f t="shared" si="162"/>
        <v>0.959512120219081-0.0992071588147807i</v>
      </c>
    </row>
    <row r="289" spans="7:44">
      <c r="G289" s="585">
        <v>19055</v>
      </c>
      <c r="H289" s="573">
        <f t="shared" si="154"/>
        <v>19.055</v>
      </c>
      <c r="I289" s="574">
        <f t="shared" si="134"/>
        <v>131.61840964244769</v>
      </c>
      <c r="J289" s="575">
        <f t="shared" si="135"/>
        <v>1.563198532353667</v>
      </c>
      <c r="K289" s="575">
        <f t="shared" si="136"/>
        <v>1.0055349379192047</v>
      </c>
      <c r="L289" s="576">
        <f t="shared" si="137"/>
        <v>0.10497169434047091</v>
      </c>
      <c r="M289" s="575">
        <f t="shared" si="138"/>
        <v>1.0085425827383232</v>
      </c>
      <c r="N289" s="576">
        <f t="shared" si="139"/>
        <v>-0.13024753106258211</v>
      </c>
      <c r="O289" s="574">
        <f t="shared" si="140"/>
        <v>359178.28767589212</v>
      </c>
      <c r="P289" s="577">
        <f t="shared" si="141"/>
        <v>1.5707935426622408</v>
      </c>
      <c r="Q289" s="586">
        <f t="shared" si="163"/>
        <v>48.140277982156775</v>
      </c>
      <c r="R289" s="587">
        <f t="shared" si="164"/>
        <v>1.5500222063932918</v>
      </c>
      <c r="S289" s="574">
        <f t="shared" si="142"/>
        <v>1.233373192486706</v>
      </c>
      <c r="T289" s="577">
        <f t="shared" si="143"/>
        <v>0.62530503320169817</v>
      </c>
      <c r="U289" s="578">
        <f t="shared" si="155"/>
        <v>0.95147291145556268</v>
      </c>
      <c r="V289" s="579">
        <f t="shared" si="156"/>
        <v>-0.38611796615344829</v>
      </c>
      <c r="W289" s="580">
        <f t="shared" si="144"/>
        <v>-14.58692099330522</v>
      </c>
      <c r="X289" s="581">
        <f t="shared" si="145"/>
        <v>-150.15325645289411</v>
      </c>
      <c r="Y289" s="584">
        <f t="shared" si="146"/>
        <v>29.846743547105888</v>
      </c>
      <c r="AA289" s="147">
        <f t="shared" si="147"/>
        <v>19055</v>
      </c>
      <c r="AB289" s="147">
        <f t="shared" si="148"/>
        <v>363093025</v>
      </c>
      <c r="AD289" s="583">
        <f t="shared" si="149"/>
        <v>25.827530368122069</v>
      </c>
      <c r="AE289" s="584">
        <f t="shared" si="150"/>
        <v>-37.017449256101507</v>
      </c>
      <c r="AG289" s="583">
        <f t="shared" si="151"/>
        <v>19.736884377804454</v>
      </c>
      <c r="AH289" s="584">
        <f t="shared" si="152"/>
        <v>-68.889947436698833</v>
      </c>
      <c r="AJ289" s="147">
        <f t="shared" si="153"/>
        <v>0</v>
      </c>
      <c r="AK289" s="147">
        <f t="shared" si="165"/>
        <v>0</v>
      </c>
      <c r="AM289" s="147" t="str">
        <f t="shared" si="157"/>
        <v>0.155521435101167+0.535589351487133i</v>
      </c>
      <c r="AN289" s="147" t="str">
        <f t="shared" si="158"/>
        <v>0.565205480846353i</v>
      </c>
      <c r="AO289" s="147" t="str">
        <f t="shared" si="159"/>
        <v>0.947601128504854-0.275159106504568i</v>
      </c>
      <c r="AP289" s="147" t="str">
        <f t="shared" si="160"/>
        <v>0.140746427483139-0.0892648919145222i</v>
      </c>
      <c r="AQ289" s="147" t="str">
        <f t="shared" si="161"/>
        <v>0.859253572516861+0.0892648919145222i</v>
      </c>
      <c r="AR289" s="147" t="str">
        <f t="shared" si="162"/>
        <v>0.959095117733385-0.0996370859063685i</v>
      </c>
    </row>
    <row r="290" spans="7:44">
      <c r="G290" s="585">
        <v>19165.75</v>
      </c>
      <c r="H290" s="573">
        <f t="shared" si="154"/>
        <v>19.165749999999999</v>
      </c>
      <c r="I290" s="574">
        <f t="shared" si="134"/>
        <v>132.38334797103818</v>
      </c>
      <c r="J290" s="575">
        <f t="shared" si="135"/>
        <v>1.56324243481676</v>
      </c>
      <c r="K290" s="575">
        <f t="shared" si="136"/>
        <v>1.005599284720605</v>
      </c>
      <c r="L290" s="576">
        <f t="shared" si="137"/>
        <v>0.1055772919896861</v>
      </c>
      <c r="M290" s="575">
        <f t="shared" si="138"/>
        <v>1.0086417457448034</v>
      </c>
      <c r="N290" s="576">
        <f t="shared" si="139"/>
        <v>-0.13099593965070466</v>
      </c>
      <c r="O290" s="574">
        <f t="shared" si="140"/>
        <v>361265.87599180901</v>
      </c>
      <c r="P290" s="577">
        <f t="shared" si="141"/>
        <v>1.5707935587504549</v>
      </c>
      <c r="Q290" s="586">
        <f t="shared" si="163"/>
        <v>48.419954805157552</v>
      </c>
      <c r="R290" s="587">
        <f t="shared" si="164"/>
        <v>1.5501422161853937</v>
      </c>
      <c r="S290" s="574">
        <f t="shared" si="142"/>
        <v>1.2358340120137645</v>
      </c>
      <c r="T290" s="577">
        <f t="shared" si="143"/>
        <v>0.62805791025166968</v>
      </c>
      <c r="U290" s="578">
        <f t="shared" si="155"/>
        <v>0.95094992809006029</v>
      </c>
      <c r="V290" s="579">
        <f t="shared" si="156"/>
        <v>-0.38825691865289763</v>
      </c>
      <c r="W290" s="580">
        <f t="shared" si="144"/>
        <v>-14.657955562290839</v>
      </c>
      <c r="X290" s="581">
        <f t="shared" si="145"/>
        <v>-150.43736039761021</v>
      </c>
      <c r="Y290" s="584">
        <f t="shared" si="146"/>
        <v>29.562639602389794</v>
      </c>
      <c r="AA290" s="147">
        <f t="shared" si="147"/>
        <v>19165.75</v>
      </c>
      <c r="AB290" s="147">
        <f t="shared" si="148"/>
        <v>367325973.0625</v>
      </c>
      <c r="AD290" s="583">
        <f t="shared" si="149"/>
        <v>25.810195998191826</v>
      </c>
      <c r="AE290" s="584">
        <f t="shared" si="150"/>
        <v>-37.168302359954765</v>
      </c>
      <c r="AG290" s="583">
        <f t="shared" si="151"/>
        <v>19.692735317045571</v>
      </c>
      <c r="AH290" s="584">
        <f t="shared" si="152"/>
        <v>-68.77809237568674</v>
      </c>
      <c r="AJ290" s="147">
        <f t="shared" si="153"/>
        <v>0</v>
      </c>
      <c r="AK290" s="147">
        <f t="shared" si="165"/>
        <v>0</v>
      </c>
      <c r="AM290" s="147" t="str">
        <f t="shared" si="157"/>
        <v>0.157285422938028+0.538360605549163i</v>
      </c>
      <c r="AN290" s="147" t="str">
        <f t="shared" si="158"/>
        <v>0.56849052450963i</v>
      </c>
      <c r="AO290" s="147" t="str">
        <f t="shared" si="159"/>
        <v>0.947000138680488-0.276672022059998i</v>
      </c>
      <c r="AP290" s="147" t="str">
        <f t="shared" si="160"/>
        <v>0.140452429510329-0.0897267675915272i</v>
      </c>
      <c r="AQ290" s="147" t="str">
        <f t="shared" si="161"/>
        <v>0.859547570489671+0.0897267675915272i</v>
      </c>
      <c r="AR290" s="147" t="str">
        <f t="shared" si="162"/>
        <v>0.958667945022568-0.100073781665724i</v>
      </c>
    </row>
    <row r="291" spans="7:44">
      <c r="G291" s="585">
        <v>19276.5</v>
      </c>
      <c r="H291" s="573">
        <f t="shared" si="154"/>
        <v>19.276499999999999</v>
      </c>
      <c r="I291" s="574">
        <f t="shared" si="134"/>
        <v>133.14828655185599</v>
      </c>
      <c r="J291" s="575">
        <f t="shared" si="135"/>
        <v>1.5632858328395303</v>
      </c>
      <c r="K291" s="575">
        <f t="shared" si="136"/>
        <v>1.0056640002767736</v>
      </c>
      <c r="L291" s="576">
        <f t="shared" si="137"/>
        <v>0.10618281191923558</v>
      </c>
      <c r="M291" s="575">
        <f t="shared" si="138"/>
        <v>1.0087414735958142</v>
      </c>
      <c r="N291" s="576">
        <f t="shared" si="139"/>
        <v>-0.13174420067708073</v>
      </c>
      <c r="O291" s="574">
        <f t="shared" si="140"/>
        <v>363353.46430772613</v>
      </c>
      <c r="P291" s="577">
        <f t="shared" si="141"/>
        <v>1.5707935746538046</v>
      </c>
      <c r="Q291" s="586">
        <f t="shared" si="163"/>
        <v>48.699632317509717</v>
      </c>
      <c r="R291" s="587">
        <f t="shared" si="164"/>
        <v>1.5502608475687765</v>
      </c>
      <c r="S291" s="574">
        <f t="shared" si="142"/>
        <v>1.2383041598366065</v>
      </c>
      <c r="T291" s="577">
        <f t="shared" si="143"/>
        <v>0.63079982522836553</v>
      </c>
      <c r="U291" s="578">
        <f t="shared" si="155"/>
        <v>0.9504247307646978</v>
      </c>
      <c r="V291" s="579">
        <f t="shared" si="156"/>
        <v>-0.3903941835298842</v>
      </c>
      <c r="W291" s="580">
        <f t="shared" si="144"/>
        <v>-14.728745694301288</v>
      </c>
      <c r="X291" s="581">
        <f t="shared" si="145"/>
        <v>-150.72078563059966</v>
      </c>
      <c r="Y291" s="584">
        <f t="shared" si="146"/>
        <v>29.279214369400336</v>
      </c>
      <c r="AA291" s="147">
        <f t="shared" si="147"/>
        <v>19276.5</v>
      </c>
      <c r="AB291" s="147">
        <f t="shared" si="148"/>
        <v>371583452.25</v>
      </c>
      <c r="AD291" s="583">
        <f t="shared" si="149"/>
        <v>25.792831006502126</v>
      </c>
      <c r="AE291" s="584">
        <f t="shared" si="150"/>
        <v>-37.318606349684075</v>
      </c>
      <c r="AG291" s="583">
        <f t="shared" si="151"/>
        <v>19.648907035715403</v>
      </c>
      <c r="AH291" s="584">
        <f t="shared" si="152"/>
        <v>-68.66630110436131</v>
      </c>
      <c r="AJ291" s="147">
        <f t="shared" si="153"/>
        <v>0</v>
      </c>
      <c r="AK291" s="147">
        <f t="shared" si="165"/>
        <v>0</v>
      </c>
      <c r="AM291" s="147" t="str">
        <f t="shared" si="157"/>
        <v>0.159058504931071+0.541126049891552i</v>
      </c>
      <c r="AN291" s="147" t="str">
        <f t="shared" si="158"/>
        <v>0.571775568172906i</v>
      </c>
      <c r="AO291" s="147" t="str">
        <f t="shared" si="159"/>
        <v>0.946395893795718-0.278183458309242i</v>
      </c>
      <c r="AP291" s="147" t="str">
        <f t="shared" si="160"/>
        <v>0.140156915844822-0.0901876749819253i</v>
      </c>
      <c r="AQ291" s="147" t="str">
        <f t="shared" si="161"/>
        <v>0.859843084155178+0.0901876749819253i</v>
      </c>
      <c r="AR291" s="147" t="str">
        <f t="shared" si="162"/>
        <v>0.958239247323924-0.100508303648783i</v>
      </c>
    </row>
    <row r="292" spans="7:44">
      <c r="G292" s="585">
        <v>19387.25</v>
      </c>
      <c r="H292" s="573">
        <f t="shared" si="154"/>
        <v>19.387250000000002</v>
      </c>
      <c r="I292" s="574">
        <f t="shared" si="134"/>
        <v>133.91322538057884</v>
      </c>
      <c r="J292" s="575">
        <f t="shared" si="135"/>
        <v>1.563328735066202</v>
      </c>
      <c r="K292" s="575">
        <f t="shared" si="136"/>
        <v>1.0057290845165254</v>
      </c>
      <c r="L292" s="576">
        <f t="shared" si="137"/>
        <v>0.10678825370013242</v>
      </c>
      <c r="M292" s="575">
        <f t="shared" si="138"/>
        <v>1.0088417661238447</v>
      </c>
      <c r="N292" s="576">
        <f t="shared" si="139"/>
        <v>-0.13249231334770162</v>
      </c>
      <c r="O292" s="574">
        <f t="shared" si="140"/>
        <v>365441.05262364325</v>
      </c>
      <c r="P292" s="577">
        <f t="shared" si="141"/>
        <v>1.5707935903754582</v>
      </c>
      <c r="Q292" s="586">
        <f t="shared" si="163"/>
        <v>48.97931050740447</v>
      </c>
      <c r="R292" s="587">
        <f t="shared" si="164"/>
        <v>1.5503781241527472</v>
      </c>
      <c r="S292" s="574">
        <f t="shared" si="142"/>
        <v>1.2407835802430118</v>
      </c>
      <c r="T292" s="577">
        <f t="shared" si="143"/>
        <v>0.6335308024966011</v>
      </c>
      <c r="U292" s="578">
        <f t="shared" si="155"/>
        <v>0.94989733145388155</v>
      </c>
      <c r="V292" s="579">
        <f t="shared" si="156"/>
        <v>-0.39252975479692426</v>
      </c>
      <c r="W292" s="580">
        <f t="shared" si="144"/>
        <v>-14.79929400689066</v>
      </c>
      <c r="X292" s="581">
        <f t="shared" si="145"/>
        <v>-151.00353232663733</v>
      </c>
      <c r="Y292" s="584">
        <f t="shared" si="146"/>
        <v>28.996467673362673</v>
      </c>
      <c r="AA292" s="147">
        <f t="shared" si="147"/>
        <v>19387.25</v>
      </c>
      <c r="AB292" s="147">
        <f t="shared" si="148"/>
        <v>375865462.5625</v>
      </c>
      <c r="AD292" s="583">
        <f t="shared" si="149"/>
        <v>25.775436028651701</v>
      </c>
      <c r="AE292" s="584">
        <f t="shared" si="150"/>
        <v>-37.468361268758414</v>
      </c>
      <c r="AG292" s="583">
        <f t="shared" si="151"/>
        <v>19.605396134577859</v>
      </c>
      <c r="AH292" s="584">
        <f t="shared" si="152"/>
        <v>-68.554574440143426</v>
      </c>
      <c r="AJ292" s="147">
        <f t="shared" si="153"/>
        <v>0</v>
      </c>
      <c r="AK292" s="147">
        <f t="shared" si="165"/>
        <v>0</v>
      </c>
      <c r="AM292" s="147" t="str">
        <f t="shared" si="157"/>
        <v>0.160840661946079+0.543885654671003i</v>
      </c>
      <c r="AN292" s="147" t="str">
        <f t="shared" si="158"/>
        <v>0.575060611836183i</v>
      </c>
      <c r="AO292" s="147" t="str">
        <f t="shared" si="159"/>
        <v>0.945788397738392-0.279693407330596i</v>
      </c>
      <c r="AP292" s="147" t="str">
        <f t="shared" si="160"/>
        <v>0.139859889675653-0.0906476091118338i</v>
      </c>
      <c r="AQ292" s="147" t="str">
        <f t="shared" si="161"/>
        <v>0.860140110324347+0.0906476091118338i</v>
      </c>
      <c r="AR292" s="147" t="str">
        <f t="shared" si="162"/>
        <v>0.957809038079027-0.100940647047409i</v>
      </c>
    </row>
    <row r="293" spans="7:44">
      <c r="G293" s="585">
        <v>19498</v>
      </c>
      <c r="H293" s="573">
        <f t="shared" si="154"/>
        <v>19.498000000000001</v>
      </c>
      <c r="I293" s="574">
        <f t="shared" si="134"/>
        <v>134.6781644529826</v>
      </c>
      <c r="J293" s="575">
        <f t="shared" si="135"/>
        <v>1.5633711499446179</v>
      </c>
      <c r="K293" s="575">
        <f t="shared" si="136"/>
        <v>1.0057945373682888</v>
      </c>
      <c r="L293" s="576">
        <f t="shared" si="137"/>
        <v>0.10739361690372955</v>
      </c>
      <c r="M293" s="575">
        <f t="shared" si="138"/>
        <v>1.0089426231605019</v>
      </c>
      <c r="N293" s="576">
        <f t="shared" si="139"/>
        <v>-0.13324027686953782</v>
      </c>
      <c r="O293" s="574">
        <f t="shared" si="140"/>
        <v>367528.64093956049</v>
      </c>
      <c r="P293" s="577">
        <f t="shared" si="141"/>
        <v>1.5707936059185115</v>
      </c>
      <c r="Q293" s="586">
        <f t="shared" si="163"/>
        <v>49.258989363301112</v>
      </c>
      <c r="R293" s="587">
        <f t="shared" si="164"/>
        <v>1.5504940690105764</v>
      </c>
      <c r="S293" s="574">
        <f t="shared" si="142"/>
        <v>1.2432722177568787</v>
      </c>
      <c r="T293" s="577">
        <f t="shared" si="143"/>
        <v>0.6362508668798047</v>
      </c>
      <c r="U293" s="578">
        <f t="shared" si="155"/>
        <v>0.94936774214627184</v>
      </c>
      <c r="V293" s="579">
        <f t="shared" si="156"/>
        <v>-0.39466362651954495</v>
      </c>
      <c r="W293" s="580">
        <f t="shared" si="144"/>
        <v>-14.869603066080895</v>
      </c>
      <c r="X293" s="581">
        <f t="shared" si="145"/>
        <v>-151.28560070930516</v>
      </c>
      <c r="Y293" s="584">
        <f t="shared" si="146"/>
        <v>28.714399290694843</v>
      </c>
      <c r="AA293" s="147">
        <f t="shared" si="147"/>
        <v>19498</v>
      </c>
      <c r="AB293" s="147">
        <f t="shared" si="148"/>
        <v>380172004</v>
      </c>
      <c r="AD293" s="583">
        <f t="shared" si="149"/>
        <v>25.758011694880153</v>
      </c>
      <c r="AE293" s="584">
        <f t="shared" si="150"/>
        <v>-37.617567217631844</v>
      </c>
      <c r="AG293" s="583">
        <f t="shared" si="151"/>
        <v>19.562199270980159</v>
      </c>
      <c r="AH293" s="584">
        <f t="shared" si="152"/>
        <v>-68.442913186201466</v>
      </c>
      <c r="AJ293" s="147">
        <f t="shared" si="153"/>
        <v>0</v>
      </c>
      <c r="AK293" s="147">
        <f t="shared" si="165"/>
        <v>0</v>
      </c>
      <c r="AM293" s="147" t="str">
        <f t="shared" si="157"/>
        <v>0.1626318747509+0.546639390107234i</v>
      </c>
      <c r="AN293" s="147" t="str">
        <f t="shared" si="158"/>
        <v>0.578345655499459i</v>
      </c>
      <c r="AO293" s="147" t="str">
        <f t="shared" si="159"/>
        <v>0.945177654416988-0.281201861212999i</v>
      </c>
      <c r="AP293" s="147" t="str">
        <f t="shared" si="160"/>
        <v>0.139561354208183-0.0911065650178723i</v>
      </c>
      <c r="AQ293" s="147" t="str">
        <f t="shared" si="161"/>
        <v>0.860438645791817+0.0911065650178723i</v>
      </c>
      <c r="AR293" s="147" t="str">
        <f t="shared" si="162"/>
        <v>0.957377330732501-0.10137080715238i</v>
      </c>
    </row>
    <row r="294" spans="7:44">
      <c r="G294" s="585">
        <v>19611.75</v>
      </c>
      <c r="H294" s="573">
        <f t="shared" si="154"/>
        <v>19.611750000000001</v>
      </c>
      <c r="I294" s="574">
        <f t="shared" si="134"/>
        <v>135.46382447194273</v>
      </c>
      <c r="J294" s="575">
        <f t="shared" si="135"/>
        <v>1.5634142151015982</v>
      </c>
      <c r="K294" s="575">
        <f t="shared" si="136"/>
        <v>1.0058621468583886</v>
      </c>
      <c r="L294" s="576">
        <f t="shared" si="137"/>
        <v>0.10801529595887559</v>
      </c>
      <c r="M294" s="575">
        <f t="shared" si="138"/>
        <v>1.0090467996912797</v>
      </c>
      <c r="N294" s="576">
        <f t="shared" si="139"/>
        <v>-0.1340083451585852</v>
      </c>
      <c r="O294" s="574">
        <f t="shared" si="140"/>
        <v>369672.77792317758</v>
      </c>
      <c r="P294" s="577">
        <f t="shared" si="141"/>
        <v>1.5707936216998513</v>
      </c>
      <c r="Q294" s="586">
        <f t="shared" si="163"/>
        <v>49.546244851608066</v>
      </c>
      <c r="R294" s="587">
        <f t="shared" si="164"/>
        <v>1.5506117919467481</v>
      </c>
      <c r="S294" s="574">
        <f t="shared" si="142"/>
        <v>1.2458378045522167</v>
      </c>
      <c r="T294" s="577">
        <f t="shared" si="143"/>
        <v>0.63903327871170457</v>
      </c>
      <c r="U294" s="578">
        <f t="shared" si="155"/>
        <v>0.94882154012726716</v>
      </c>
      <c r="V294" s="579">
        <f t="shared" si="156"/>
        <v>-0.3968535252350498</v>
      </c>
      <c r="W294" s="580">
        <f t="shared" si="144"/>
        <v>-14.941570239298974</v>
      </c>
      <c r="X294" s="581">
        <f t="shared" si="145"/>
        <v>-151.57460393224744</v>
      </c>
      <c r="Y294" s="584">
        <f t="shared" si="146"/>
        <v>28.425396067752558</v>
      </c>
      <c r="AA294" s="147">
        <f t="shared" si="147"/>
        <v>19611.75</v>
      </c>
      <c r="AB294" s="147">
        <f t="shared" si="148"/>
        <v>384620738.0625</v>
      </c>
      <c r="AD294" s="583">
        <f t="shared" si="149"/>
        <v>25.740085466972143</v>
      </c>
      <c r="AE294" s="584">
        <f t="shared" si="150"/>
        <v>-37.770243549451052</v>
      </c>
      <c r="AG294" s="583">
        <f t="shared" si="151"/>
        <v>19.518155749283018</v>
      </c>
      <c r="AH294" s="584">
        <f t="shared" si="152"/>
        <v>-68.328296169118687</v>
      </c>
      <c r="AJ294" s="147">
        <f t="shared" si="153"/>
        <v>0</v>
      </c>
      <c r="AK294" s="147">
        <f t="shared" si="165"/>
        <v>0</v>
      </c>
      <c r="AM294" s="147" t="str">
        <f t="shared" si="157"/>
        <v>0.164481014755657+0.5494615776342i</v>
      </c>
      <c r="AN294" s="147" t="str">
        <f t="shared" si="158"/>
        <v>0.581719684544134i</v>
      </c>
      <c r="AO294" s="147" t="str">
        <f t="shared" si="159"/>
        <v>0.944546990987226-0.282749611412158i</v>
      </c>
      <c r="AP294" s="147" t="str">
        <f t="shared" si="160"/>
        <v>0.139253164207391-0.0915769296057i</v>
      </c>
      <c r="AQ294" s="147" t="str">
        <f t="shared" si="161"/>
        <v>0.860746835792609+0.0915769296057i</v>
      </c>
      <c r="AR294" s="147" t="str">
        <f t="shared" si="162"/>
        <v>0.956932383884122-0.101810341801228i</v>
      </c>
    </row>
    <row r="295" spans="7:44">
      <c r="G295" s="585">
        <v>19725.5</v>
      </c>
      <c r="H295" s="573">
        <f t="shared" si="154"/>
        <v>19.7255</v>
      </c>
      <c r="I295" s="574">
        <f t="shared" si="134"/>
        <v>136.24948473923772</v>
      </c>
      <c r="J295" s="575">
        <f t="shared" si="135"/>
        <v>1.5634567836023527</v>
      </c>
      <c r="K295" s="575">
        <f t="shared" si="136"/>
        <v>1.0059301450466227</v>
      </c>
      <c r="L295" s="576">
        <f t="shared" si="137"/>
        <v>0.1086368912065479</v>
      </c>
      <c r="M295" s="575">
        <f t="shared" si="138"/>
        <v>1.0091515713648174</v>
      </c>
      <c r="N295" s="576">
        <f t="shared" si="139"/>
        <v>-0.13477625441649602</v>
      </c>
      <c r="O295" s="574">
        <f t="shared" si="140"/>
        <v>371816.91490679479</v>
      </c>
      <c r="P295" s="577">
        <f t="shared" si="141"/>
        <v>1.57079363729918</v>
      </c>
      <c r="Q295" s="586">
        <f t="shared" si="163"/>
        <v>49.833501018644967</v>
      </c>
      <c r="R295" s="587">
        <f t="shared" si="164"/>
        <v>1.5507281576995422</v>
      </c>
      <c r="S295" s="574">
        <f t="shared" si="142"/>
        <v>1.2484129967079964</v>
      </c>
      <c r="T295" s="577">
        <f t="shared" si="143"/>
        <v>0.6418042329563306</v>
      </c>
      <c r="U295" s="578">
        <f t="shared" si="155"/>
        <v>0.94827305353891511</v>
      </c>
      <c r="V295" s="579">
        <f t="shared" si="156"/>
        <v>-0.39904161856607878</v>
      </c>
      <c r="W295" s="580">
        <f t="shared" si="144"/>
        <v>-15.013290347490795</v>
      </c>
      <c r="X295" s="581">
        <f t="shared" si="145"/>
        <v>-151.86289222703098</v>
      </c>
      <c r="Y295" s="584">
        <f t="shared" si="146"/>
        <v>28.137107772969017</v>
      </c>
      <c r="AA295" s="147">
        <f t="shared" si="147"/>
        <v>19725.5</v>
      </c>
      <c r="AB295" s="147">
        <f t="shared" si="148"/>
        <v>389095350.25</v>
      </c>
      <c r="AD295" s="583">
        <f t="shared" si="149"/>
        <v>25.722129601518851</v>
      </c>
      <c r="AE295" s="584">
        <f t="shared" si="150"/>
        <v>-37.922341160326525</v>
      </c>
      <c r="AG295" s="583">
        <f t="shared" si="151"/>
        <v>19.474436538822861</v>
      </c>
      <c r="AH295" s="584">
        <f t="shared" si="152"/>
        <v>-68.213749826642839</v>
      </c>
      <c r="AJ295" s="147">
        <f t="shared" si="153"/>
        <v>0</v>
      </c>
      <c r="AK295" s="147">
        <f t="shared" si="165"/>
        <v>0</v>
      </c>
      <c r="AM295" s="147" t="str">
        <f t="shared" si="157"/>
        <v>0.166339666359671+0.552277510056941i</v>
      </c>
      <c r="AN295" s="147" t="str">
        <f t="shared" si="158"/>
        <v>0.585093713588808i</v>
      </c>
      <c r="AO295" s="147" t="str">
        <f t="shared" si="159"/>
        <v>0.943912910411255-0.284295767492336i</v>
      </c>
      <c r="AP295" s="147" t="str">
        <f t="shared" si="160"/>
        <v>0.138943388940055-0.0920462516761568i</v>
      </c>
      <c r="AQ295" s="147" t="str">
        <f t="shared" si="161"/>
        <v>0.861056611059945+0.0920462516761568i</v>
      </c>
      <c r="AR295" s="147" t="str">
        <f t="shared" si="162"/>
        <v>0.956485885429767-0.102247563521501i</v>
      </c>
    </row>
    <row r="296" spans="7:44">
      <c r="G296" s="585">
        <v>19839.25</v>
      </c>
      <c r="H296" s="573">
        <f t="shared" si="154"/>
        <v>19.83925</v>
      </c>
      <c r="I296" s="574">
        <f t="shared" si="134"/>
        <v>137.03514525059629</v>
      </c>
      <c r="J296" s="575">
        <f t="shared" si="135"/>
        <v>1.5634988639891301</v>
      </c>
      <c r="K296" s="575">
        <f t="shared" si="136"/>
        <v>1.0059985318541715</v>
      </c>
      <c r="L296" s="576">
        <f t="shared" si="137"/>
        <v>0.109258402183445</v>
      </c>
      <c r="M296" s="575">
        <f t="shared" si="138"/>
        <v>1.0092569379957679</v>
      </c>
      <c r="N296" s="576">
        <f t="shared" si="139"/>
        <v>-0.13554400378729078</v>
      </c>
      <c r="O296" s="574">
        <f t="shared" si="140"/>
        <v>373961.05189041205</v>
      </c>
      <c r="P296" s="577">
        <f t="shared" si="141"/>
        <v>1.5707936527196287</v>
      </c>
      <c r="Q296" s="586">
        <f t="shared" si="163"/>
        <v>50.120757852741846</v>
      </c>
      <c r="R296" s="587">
        <f t="shared" si="164"/>
        <v>1.5508431896010333</v>
      </c>
      <c r="S296" s="574">
        <f t="shared" si="142"/>
        <v>1.2509977349060095</v>
      </c>
      <c r="T296" s="577">
        <f t="shared" si="143"/>
        <v>0.64456375794981979</v>
      </c>
      <c r="U296" s="578">
        <f t="shared" si="155"/>
        <v>0.94772229541333963</v>
      </c>
      <c r="V296" s="579">
        <f t="shared" si="156"/>
        <v>-0.40122790025743105</v>
      </c>
      <c r="W296" s="580">
        <f t="shared" si="144"/>
        <v>-15.084766009592293</v>
      </c>
      <c r="X296" s="581">
        <f t="shared" si="145"/>
        <v>-152.15046598908611</v>
      </c>
      <c r="Y296" s="584">
        <f t="shared" si="146"/>
        <v>27.849534010913885</v>
      </c>
      <c r="AA296" s="147">
        <f t="shared" si="147"/>
        <v>19839.25</v>
      </c>
      <c r="AB296" s="147">
        <f t="shared" si="148"/>
        <v>393595840.5625</v>
      </c>
      <c r="AD296" s="583">
        <f t="shared" si="149"/>
        <v>25.704144763685079</v>
      </c>
      <c r="AE296" s="584">
        <f t="shared" si="150"/>
        <v>-38.073860337149299</v>
      </c>
      <c r="AG296" s="583">
        <f t="shared" si="151"/>
        <v>19.431038195917431</v>
      </c>
      <c r="AH296" s="584">
        <f t="shared" si="152"/>
        <v>-68.099274984106557</v>
      </c>
      <c r="AJ296" s="147">
        <f t="shared" si="153"/>
        <v>0</v>
      </c>
      <c r="AK296" s="147">
        <f t="shared" si="165"/>
        <v>0</v>
      </c>
      <c r="AM296" s="147" t="str">
        <f t="shared" si="157"/>
        <v>0.168207808403939+0.555087155318713i</v>
      </c>
      <c r="AN296" s="147" t="str">
        <f t="shared" si="158"/>
        <v>0.588467742633483i</v>
      </c>
      <c r="AO296" s="147" t="str">
        <f t="shared" si="159"/>
        <v>0.943275416991615-0.285840320917479i</v>
      </c>
      <c r="AP296" s="147" t="str">
        <f t="shared" si="160"/>
        <v>0.138632031932677-0.0925145258864522i</v>
      </c>
      <c r="AQ296" s="147" t="str">
        <f t="shared" si="161"/>
        <v>0.861367968067323+0.0925145258864522i</v>
      </c>
      <c r="AR296" s="147" t="str">
        <f t="shared" si="162"/>
        <v>0.956037849941015-0.10268246753504i</v>
      </c>
    </row>
    <row r="297" spans="7:44">
      <c r="G297" s="585">
        <v>19953</v>
      </c>
      <c r="H297" s="573">
        <f t="shared" si="154"/>
        <v>19.952999999999999</v>
      </c>
      <c r="I297" s="574">
        <f t="shared" si="134"/>
        <v>137.82080600184446</v>
      </c>
      <c r="J297" s="575">
        <f t="shared" si="135"/>
        <v>1.5635404646094015</v>
      </c>
      <c r="K297" s="575">
        <f t="shared" si="136"/>
        <v>1.0060673072017869</v>
      </c>
      <c r="L297" s="576">
        <f t="shared" si="137"/>
        <v>0.10987982842665138</v>
      </c>
      <c r="M297" s="575">
        <f t="shared" si="138"/>
        <v>1.0093628993978101</v>
      </c>
      <c r="N297" s="576">
        <f t="shared" si="139"/>
        <v>-0.13631159241610036</v>
      </c>
      <c r="O297" s="574">
        <f t="shared" si="140"/>
        <v>376105.18887402944</v>
      </c>
      <c r="P297" s="577">
        <f t="shared" si="141"/>
        <v>1.5707936679642567</v>
      </c>
      <c r="Q297" s="586">
        <f t="shared" si="163"/>
        <v>50.408015342494721</v>
      </c>
      <c r="R297" s="587">
        <f t="shared" si="164"/>
        <v>1.5509569104515943</v>
      </c>
      <c r="S297" s="574">
        <f t="shared" si="142"/>
        <v>1.2535919600982872</v>
      </c>
      <c r="T297" s="577">
        <f t="shared" si="143"/>
        <v>0.64731188249130955</v>
      </c>
      <c r="U297" s="578">
        <f t="shared" si="155"/>
        <v>0.94716927879558943</v>
      </c>
      <c r="V297" s="579">
        <f t="shared" si="156"/>
        <v>-0.40341236411292775</v>
      </c>
      <c r="W297" s="580">
        <f t="shared" si="144"/>
        <v>-15.15599979278177</v>
      </c>
      <c r="X297" s="581">
        <f t="shared" si="145"/>
        <v>-152.43732566309478</v>
      </c>
      <c r="Y297" s="584">
        <f t="shared" si="146"/>
        <v>27.562674336905218</v>
      </c>
      <c r="AA297" s="147">
        <f t="shared" si="147"/>
        <v>19953</v>
      </c>
      <c r="AB297" s="147">
        <f t="shared" si="148"/>
        <v>398122209</v>
      </c>
      <c r="AD297" s="583">
        <f t="shared" si="149"/>
        <v>25.686131612653838</v>
      </c>
      <c r="AE297" s="584">
        <f t="shared" si="150"/>
        <v>-38.224801423798496</v>
      </c>
      <c r="AG297" s="583">
        <f t="shared" si="151"/>
        <v>19.387957334311871</v>
      </c>
      <c r="AH297" s="584">
        <f t="shared" si="152"/>
        <v>-67.984872452342302</v>
      </c>
      <c r="AJ297" s="147">
        <f t="shared" si="153"/>
        <v>0</v>
      </c>
      <c r="AK297" s="147">
        <f t="shared" si="165"/>
        <v>0</v>
      </c>
      <c r="AM297" s="147" t="str">
        <f t="shared" si="157"/>
        <v>0.170085419621416+0.557890481434339i</v>
      </c>
      <c r="AN297" s="147" t="str">
        <f t="shared" si="158"/>
        <v>0.591841771678157i</v>
      </c>
      <c r="AO297" s="147" t="str">
        <f t="shared" si="159"/>
        <v>0.942634515053661-0.287383263163635i</v>
      </c>
      <c r="AP297" s="147" t="str">
        <f t="shared" si="160"/>
        <v>0.138319096729764-0.0929817469057232i</v>
      </c>
      <c r="AQ297" s="147" t="str">
        <f t="shared" si="161"/>
        <v>0.861680903270236+0.0929817469057232i</v>
      </c>
      <c r="AR297" s="147" t="str">
        <f t="shared" si="162"/>
        <v>0.955588291989137-0.103115049172606i</v>
      </c>
    </row>
    <row r="298" spans="7:44">
      <c r="G298" s="585">
        <v>20069</v>
      </c>
      <c r="H298" s="573">
        <f t="shared" si="154"/>
        <v>20.068999999999999</v>
      </c>
      <c r="I298" s="574">
        <f t="shared" si="134"/>
        <v>138.6220075382509</v>
      </c>
      <c r="J298" s="575">
        <f t="shared" si="135"/>
        <v>1.5635824024602094</v>
      </c>
      <c r="K298" s="575">
        <f t="shared" si="136"/>
        <v>1.0061378430024814</v>
      </c>
      <c r="L298" s="576">
        <f t="shared" si="137"/>
        <v>0.11051345887370202</v>
      </c>
      <c r="M298" s="575">
        <f t="shared" si="138"/>
        <v>1.009471569080008</v>
      </c>
      <c r="N298" s="576">
        <f t="shared" si="139"/>
        <v>-0.13709419768894676</v>
      </c>
      <c r="O298" s="574">
        <f t="shared" si="140"/>
        <v>378291.73735842173</v>
      </c>
      <c r="P298" s="577">
        <f t="shared" si="141"/>
        <v>1.5707936833324541</v>
      </c>
      <c r="Q298" s="586">
        <f t="shared" si="163"/>
        <v>50.700955512213383</v>
      </c>
      <c r="R298" s="587">
        <f t="shared" si="164"/>
        <v>1.5510715536168305</v>
      </c>
      <c r="S298" s="574">
        <f t="shared" si="142"/>
        <v>1.2562472090383223</v>
      </c>
      <c r="T298" s="577">
        <f t="shared" si="143"/>
        <v>0.65010265492773456</v>
      </c>
      <c r="U298" s="578">
        <f t="shared" si="155"/>
        <v>0.94660301097932809</v>
      </c>
      <c r="V298" s="579">
        <f t="shared" si="156"/>
        <v>-0.40563815865450298</v>
      </c>
      <c r="W298" s="580">
        <f t="shared" si="144"/>
        <v>-15.228396101736193</v>
      </c>
      <c r="X298" s="581">
        <f t="shared" si="145"/>
        <v>-152.72912458055205</v>
      </c>
      <c r="Y298" s="584">
        <f t="shared" si="146"/>
        <v>27.270875419447947</v>
      </c>
      <c r="AA298" s="147">
        <f t="shared" si="147"/>
        <v>20069</v>
      </c>
      <c r="AB298" s="147">
        <f t="shared" si="148"/>
        <v>402764761</v>
      </c>
      <c r="AD298" s="583">
        <f t="shared" si="149"/>
        <v>25.667733675852187</v>
      </c>
      <c r="AE298" s="584">
        <f t="shared" si="150"/>
        <v>-38.378133217177101</v>
      </c>
      <c r="AG298" s="583">
        <f t="shared" si="151"/>
        <v>19.344347835057448</v>
      </c>
      <c r="AH298" s="584">
        <f t="shared" si="152"/>
        <v>-67.8682823095385</v>
      </c>
      <c r="AJ298" s="147">
        <f t="shared" si="153"/>
        <v>0</v>
      </c>
      <c r="AK298" s="147">
        <f t="shared" si="165"/>
        <v>0</v>
      </c>
      <c r="AM298" s="147" t="str">
        <f t="shared" si="157"/>
        <v>0.172009900221664+0.560742717000463i</v>
      </c>
      <c r="AN298" s="147" t="str">
        <f t="shared" si="158"/>
        <v>0.59528253975888i</v>
      </c>
      <c r="AO298" s="147" t="str">
        <f t="shared" si="159"/>
        <v>0.941977430125185-0.288955057024412i</v>
      </c>
      <c r="AP298" s="147" t="str">
        <f t="shared" si="160"/>
        <v>0.137998349963056-0.0934571195000772i</v>
      </c>
      <c r="AQ298" s="147" t="str">
        <f t="shared" si="161"/>
        <v>0.862001650036944+0.0934571195000772i</v>
      </c>
      <c r="AR298" s="147" t="str">
        <f t="shared" si="162"/>
        <v>0.955128288853331-0.103553790906832i</v>
      </c>
    </row>
    <row r="299" spans="7:44">
      <c r="G299" s="585">
        <v>20185</v>
      </c>
      <c r="H299" s="573">
        <f t="shared" si="154"/>
        <v>20.184999999999999</v>
      </c>
      <c r="I299" s="574">
        <f t="shared" si="134"/>
        <v>139.4232093156613</v>
      </c>
      <c r="J299" s="575">
        <f t="shared" si="135"/>
        <v>1.563623858315577</v>
      </c>
      <c r="K299" s="575">
        <f t="shared" si="136"/>
        <v>1.0062087826982578</v>
      </c>
      <c r="L299" s="576">
        <f t="shared" si="137"/>
        <v>0.11114700023069937</v>
      </c>
      <c r="M299" s="575">
        <f t="shared" si="138"/>
        <v>1.0095808569009599</v>
      </c>
      <c r="N299" s="576">
        <f t="shared" si="139"/>
        <v>-0.13787663400581021</v>
      </c>
      <c r="O299" s="574">
        <f t="shared" si="140"/>
        <v>380478.28584281413</v>
      </c>
      <c r="P299" s="577">
        <f t="shared" si="141"/>
        <v>1.5707936985240143</v>
      </c>
      <c r="Q299" s="586">
        <f t="shared" si="163"/>
        <v>50.993896340641484</v>
      </c>
      <c r="R299" s="587">
        <f t="shared" si="164"/>
        <v>1.5511848796194805</v>
      </c>
      <c r="S299" s="574">
        <f t="shared" si="142"/>
        <v>1.2589122008305504</v>
      </c>
      <c r="T299" s="577">
        <f t="shared" si="143"/>
        <v>0.6528816333570131</v>
      </c>
      <c r="U299" s="578">
        <f t="shared" si="155"/>
        <v>0.94603442187901754</v>
      </c>
      <c r="V299" s="579">
        <f t="shared" si="156"/>
        <v>-0.40786204990705871</v>
      </c>
      <c r="W299" s="580">
        <f t="shared" si="144"/>
        <v>-15.30054610182296</v>
      </c>
      <c r="X299" s="581">
        <f t="shared" si="145"/>
        <v>-153.02018196619883</v>
      </c>
      <c r="Y299" s="584">
        <f t="shared" si="146"/>
        <v>26.979818033801166</v>
      </c>
      <c r="AA299" s="147">
        <f t="shared" si="147"/>
        <v>20185</v>
      </c>
      <c r="AB299" s="147">
        <f t="shared" si="148"/>
        <v>407434225</v>
      </c>
      <c r="AD299" s="583">
        <f t="shared" si="149"/>
        <v>25.649307660298064</v>
      </c>
      <c r="AE299" s="584">
        <f t="shared" si="150"/>
        <v>-38.530864721458549</v>
      </c>
      <c r="AG299" s="583">
        <f t="shared" si="151"/>
        <v>19.301061565086599</v>
      </c>
      <c r="AH299" s="584">
        <f t="shared" si="152"/>
        <v>-67.751769024877632</v>
      </c>
      <c r="AJ299" s="147">
        <f t="shared" si="153"/>
        <v>0</v>
      </c>
      <c r="AK299" s="147">
        <f t="shared" si="165"/>
        <v>0</v>
      </c>
      <c r="AM299" s="147" t="str">
        <f t="shared" si="157"/>
        <v>0.173944183291802+0.563588314004604i</v>
      </c>
      <c r="AN299" s="147" t="str">
        <f t="shared" si="158"/>
        <v>0.598723307839603i</v>
      </c>
      <c r="AO299" s="147" t="str">
        <f t="shared" si="159"/>
        <v>0.941316809659911-0.290525157471239i</v>
      </c>
      <c r="AP299" s="147" t="str">
        <f t="shared" si="160"/>
        <v>0.137675969451366-0.093931385667434i</v>
      </c>
      <c r="AQ299" s="147" t="str">
        <f t="shared" si="161"/>
        <v>0.862324030548634+0.093931385667434i</v>
      </c>
      <c r="AR299" s="147" t="str">
        <f t="shared" si="162"/>
        <v>0.954666733031083-0.103990108019093i</v>
      </c>
    </row>
    <row r="300" spans="7:44">
      <c r="G300" s="585">
        <v>20301</v>
      </c>
      <c r="H300" s="573">
        <f t="shared" si="154"/>
        <v>20.300999999999998</v>
      </c>
      <c r="I300" s="574">
        <f t="shared" si="134"/>
        <v>140.22441132994462</v>
      </c>
      <c r="J300" s="575">
        <f t="shared" si="135"/>
        <v>1.5636648404373115</v>
      </c>
      <c r="K300" s="575">
        <f t="shared" si="136"/>
        <v>1.006280126203696</v>
      </c>
      <c r="L300" s="576">
        <f t="shared" si="137"/>
        <v>0.11178045200796431</v>
      </c>
      <c r="M300" s="575">
        <f t="shared" si="138"/>
        <v>1.0096907626599458</v>
      </c>
      <c r="N300" s="576">
        <f t="shared" si="139"/>
        <v>-0.13865890046368443</v>
      </c>
      <c r="O300" s="574">
        <f t="shared" si="140"/>
        <v>382664.8343272066</v>
      </c>
      <c r="P300" s="577">
        <f t="shared" si="141"/>
        <v>1.5707937135419654</v>
      </c>
      <c r="Q300" s="586">
        <f t="shared" si="163"/>
        <v>51.286837816491754</v>
      </c>
      <c r="R300" s="587">
        <f t="shared" si="164"/>
        <v>1.5512969110268178</v>
      </c>
      <c r="S300" s="574">
        <f t="shared" si="142"/>
        <v>1.2615868737322071</v>
      </c>
      <c r="T300" s="577">
        <f t="shared" si="143"/>
        <v>0.65564884973385651</v>
      </c>
      <c r="U300" s="578">
        <f t="shared" si="155"/>
        <v>0.94546352536602951</v>
      </c>
      <c r="V300" s="579">
        <f t="shared" si="156"/>
        <v>-0.41008403148901207</v>
      </c>
      <c r="W300" s="580">
        <f t="shared" si="144"/>
        <v>-15.372452357635735</v>
      </c>
      <c r="X300" s="581">
        <f t="shared" si="145"/>
        <v>-153.31049844211617</v>
      </c>
      <c r="Y300" s="584">
        <f t="shared" si="146"/>
        <v>26.68950155788383</v>
      </c>
      <c r="AA300" s="147">
        <f t="shared" si="147"/>
        <v>20301</v>
      </c>
      <c r="AB300" s="147">
        <f t="shared" si="148"/>
        <v>412130601</v>
      </c>
      <c r="AD300" s="583">
        <f t="shared" si="149"/>
        <v>25.63085424585498</v>
      </c>
      <c r="AE300" s="584">
        <f t="shared" si="150"/>
        <v>-38.682996474676862</v>
      </c>
      <c r="AG300" s="583">
        <f t="shared" si="151"/>
        <v>19.258095109418495</v>
      </c>
      <c r="AH300" s="584">
        <f t="shared" si="152"/>
        <v>-67.635333413682218</v>
      </c>
      <c r="AJ300" s="147">
        <f t="shared" si="153"/>
        <v>0</v>
      </c>
      <c r="AK300" s="147">
        <f t="shared" si="165"/>
        <v>0</v>
      </c>
      <c r="AM300" s="147" t="str">
        <f t="shared" si="157"/>
        <v>0.175888245932097+0.566427238758099i</v>
      </c>
      <c r="AN300" s="147" t="str">
        <f t="shared" si="158"/>
        <v>0.602164075920327i</v>
      </c>
      <c r="AO300" s="147" t="str">
        <f t="shared" si="159"/>
        <v>0.940652658318069-0.292093555503582i</v>
      </c>
      <c r="AP300" s="147" t="str">
        <f t="shared" si="160"/>
        <v>0.137351959011317-0.0944045397930165i</v>
      </c>
      <c r="AQ300" s="147" t="str">
        <f t="shared" si="161"/>
        <v>0.862648040988683+0.0944045397930165i</v>
      </c>
      <c r="AR300" s="147" t="str">
        <f t="shared" si="162"/>
        <v>0.954203639968616-0.104423995905464i</v>
      </c>
    </row>
    <row r="301" spans="7:44">
      <c r="G301" s="585">
        <v>20417</v>
      </c>
      <c r="H301" s="573">
        <f t="shared" si="154"/>
        <v>20.417000000000002</v>
      </c>
      <c r="I301" s="574">
        <f t="shared" si="134"/>
        <v>141.02561357706364</v>
      </c>
      <c r="J301" s="575">
        <f t="shared" si="135"/>
        <v>1.5637053568994761</v>
      </c>
      <c r="K301" s="575">
        <f t="shared" si="136"/>
        <v>1.0063518734329135</v>
      </c>
      <c r="L301" s="576">
        <f t="shared" si="137"/>
        <v>0.11241381371624375</v>
      </c>
      <c r="M301" s="575">
        <f t="shared" si="138"/>
        <v>1.0098012861551986</v>
      </c>
      <c r="N301" s="576">
        <f t="shared" si="139"/>
        <v>-0.13944099616078678</v>
      </c>
      <c r="O301" s="574">
        <f t="shared" si="140"/>
        <v>384851.38281159924</v>
      </c>
      <c r="P301" s="577">
        <f t="shared" si="141"/>
        <v>1.5707937283892661</v>
      </c>
      <c r="Q301" s="586">
        <f t="shared" si="163"/>
        <v>51.579779928733302</v>
      </c>
      <c r="R301" s="587">
        <f t="shared" si="164"/>
        <v>1.551407669893573</v>
      </c>
      <c r="S301" s="574">
        <f t="shared" si="142"/>
        <v>1.2642711662996691</v>
      </c>
      <c r="T301" s="577">
        <f t="shared" si="143"/>
        <v>0.65840433646359864</v>
      </c>
      <c r="U301" s="578">
        <f t="shared" si="155"/>
        <v>0.94489033532253985</v>
      </c>
      <c r="V301" s="579">
        <f t="shared" si="156"/>
        <v>-0.41230409708257021</v>
      </c>
      <c r="W301" s="580">
        <f t="shared" si="144"/>
        <v>-15.444117383280645</v>
      </c>
      <c r="X301" s="581">
        <f t="shared" si="145"/>
        <v>-153.60007467851014</v>
      </c>
      <c r="Y301" s="584">
        <f t="shared" si="146"/>
        <v>26.39992532148986</v>
      </c>
      <c r="AA301" s="147">
        <f t="shared" si="147"/>
        <v>20417</v>
      </c>
      <c r="AB301" s="147">
        <f t="shared" si="148"/>
        <v>416853889</v>
      </c>
      <c r="AD301" s="583">
        <f t="shared" si="149"/>
        <v>25.612374105926278</v>
      </c>
      <c r="AE301" s="584">
        <f t="shared" si="150"/>
        <v>-38.834529070047473</v>
      </c>
      <c r="AG301" s="583">
        <f t="shared" si="151"/>
        <v>19.215445109715972</v>
      </c>
      <c r="AH301" s="584">
        <f t="shared" si="152"/>
        <v>-67.518976276908703</v>
      </c>
      <c r="AJ301" s="147">
        <f t="shared" si="153"/>
        <v>0</v>
      </c>
      <c r="AK301" s="147">
        <f t="shared" si="165"/>
        <v>0</v>
      </c>
      <c r="AM301" s="147" t="str">
        <f t="shared" si="157"/>
        <v>0.177842065127038+0.569259457651277i</v>
      </c>
      <c r="AN301" s="147" t="str">
        <f t="shared" si="158"/>
        <v>0.60560484400105i</v>
      </c>
      <c r="AO301" s="147" t="str">
        <f t="shared" si="159"/>
        <v>0.939984980784417-0.293660242134275i</v>
      </c>
      <c r="AP301" s="147" t="str">
        <f t="shared" si="160"/>
        <v>0.137026322478827-0.0948765762752128i</v>
      </c>
      <c r="AQ301" s="147" t="str">
        <f t="shared" si="161"/>
        <v>0.862973677521173+0.0948765762752128i</v>
      </c>
      <c r="AR301" s="147" t="str">
        <f t="shared" si="162"/>
        <v>0.953739025107833-0.104855450078395i</v>
      </c>
    </row>
    <row r="302" spans="7:44">
      <c r="G302" s="585">
        <v>20536</v>
      </c>
      <c r="H302" s="573">
        <f t="shared" si="154"/>
        <v>20.536000000000001</v>
      </c>
      <c r="I302" s="574">
        <f t="shared" si="134"/>
        <v>141.84753680976382</v>
      </c>
      <c r="J302" s="575">
        <f t="shared" si="135"/>
        <v>1.5637464455913901</v>
      </c>
      <c r="K302" s="575">
        <f t="shared" si="136"/>
        <v>1.0064258956239154</v>
      </c>
      <c r="L302" s="576">
        <f t="shared" si="137"/>
        <v>0.11306346136321326</v>
      </c>
      <c r="M302" s="575">
        <f t="shared" si="138"/>
        <v>1.0099153097108948</v>
      </c>
      <c r="N302" s="576">
        <f t="shared" si="139"/>
        <v>-0.14024314008467798</v>
      </c>
      <c r="O302" s="574">
        <f t="shared" si="140"/>
        <v>387094.47996369173</v>
      </c>
      <c r="P302" s="577">
        <f t="shared" si="141"/>
        <v>1.5707937434462524</v>
      </c>
      <c r="Q302" s="586">
        <f t="shared" si="163"/>
        <v>51.880298780077716</v>
      </c>
      <c r="R302" s="587">
        <f t="shared" si="164"/>
        <v>1.5515199934717505</v>
      </c>
      <c r="S302" s="574">
        <f t="shared" si="142"/>
        <v>1.267034812205166</v>
      </c>
      <c r="T302" s="577">
        <f t="shared" si="143"/>
        <v>0.66121893160788836</v>
      </c>
      <c r="U302" s="578">
        <f t="shared" si="155"/>
        <v>0.94429995268820921</v>
      </c>
      <c r="V302" s="579">
        <f t="shared" si="156"/>
        <v>-0.41457958065502298</v>
      </c>
      <c r="W302" s="580">
        <f t="shared" si="144"/>
        <v>-15.517387728956532</v>
      </c>
      <c r="X302" s="581">
        <f t="shared" si="145"/>
        <v>-153.89637150413128</v>
      </c>
      <c r="Y302" s="584">
        <f t="shared" si="146"/>
        <v>26.103628495868719</v>
      </c>
      <c r="AA302" s="147">
        <f t="shared" si="147"/>
        <v>20536</v>
      </c>
      <c r="AB302" s="147">
        <f t="shared" si="148"/>
        <v>421727296</v>
      </c>
      <c r="AD302" s="583">
        <f t="shared" si="149"/>
        <v>25.593388959133083</v>
      </c>
      <c r="AE302" s="584">
        <f t="shared" si="150"/>
        <v>-38.9893586887626</v>
      </c>
      <c r="AG302" s="583">
        <f t="shared" si="151"/>
        <v>19.172017469450861</v>
      </c>
      <c r="AH302" s="584">
        <f t="shared" si="152"/>
        <v>-67.399692273410963</v>
      </c>
      <c r="AJ302" s="147">
        <f t="shared" si="153"/>
        <v>0</v>
      </c>
      <c r="AK302" s="147">
        <f t="shared" si="165"/>
        <v>0</v>
      </c>
      <c r="AM302" s="147" t="str">
        <f t="shared" si="157"/>
        <v>0.179856528189177+0.572157920198689i</v>
      </c>
      <c r="AN302" s="147" t="str">
        <f t="shared" si="158"/>
        <v>0.609134597463171i</v>
      </c>
      <c r="AO302" s="147" t="str">
        <f t="shared" si="159"/>
        <v>0.939296376501225-0.295265658752951i</v>
      </c>
      <c r="AP302" s="147" t="str">
        <f t="shared" si="160"/>
        <v>0.136690578635137-0.0953596533664482i</v>
      </c>
      <c r="AQ302" s="147" t="str">
        <f t="shared" si="161"/>
        <v>0.863309421364863+0.0953596533664482i</v>
      </c>
      <c r="AR302" s="147" t="str">
        <f t="shared" si="162"/>
        <v>0.9532608291818-0.105295529029297i</v>
      </c>
    </row>
    <row r="303" spans="7:44">
      <c r="G303" s="585">
        <v>20655</v>
      </c>
      <c r="H303" s="573">
        <f t="shared" si="154"/>
        <v>20.655000000000001</v>
      </c>
      <c r="I303" s="574">
        <f t="shared" si="134"/>
        <v>142.66946027918323</v>
      </c>
      <c r="J303" s="575">
        <f t="shared" si="135"/>
        <v>1.5637870608567515</v>
      </c>
      <c r="K303" s="575">
        <f t="shared" si="136"/>
        <v>1.0065003425064001</v>
      </c>
      <c r="L303" s="576">
        <f t="shared" si="137"/>
        <v>0.11371301318051068</v>
      </c>
      <c r="M303" s="575">
        <f t="shared" si="138"/>
        <v>1.0100299829343611</v>
      </c>
      <c r="N303" s="576">
        <f t="shared" si="139"/>
        <v>-0.14104510238250437</v>
      </c>
      <c r="O303" s="574">
        <f t="shared" si="140"/>
        <v>389337.57711578428</v>
      </c>
      <c r="P303" s="577">
        <f t="shared" si="141"/>
        <v>1.5707937583297424</v>
      </c>
      <c r="Q303" s="586">
        <f t="shared" si="163"/>
        <v>52.180818278435019</v>
      </c>
      <c r="R303" s="587">
        <f t="shared" si="164"/>
        <v>1.5516310232645762</v>
      </c>
      <c r="S303" s="574">
        <f t="shared" si="142"/>
        <v>1.2698084517542747</v>
      </c>
      <c r="T303" s="577">
        <f t="shared" si="143"/>
        <v>0.66402125304458248</v>
      </c>
      <c r="U303" s="578">
        <f t="shared" si="155"/>
        <v>0.94370718598678549</v>
      </c>
      <c r="V303" s="579">
        <f t="shared" si="156"/>
        <v>-0.41685303459115447</v>
      </c>
      <c r="W303" s="580">
        <f t="shared" si="144"/>
        <v>-15.590409408231897</v>
      </c>
      <c r="X303" s="581">
        <f t="shared" si="145"/>
        <v>-154.19189088589721</v>
      </c>
      <c r="Y303" s="584">
        <f t="shared" si="146"/>
        <v>25.808109114102791</v>
      </c>
      <c r="AA303" s="147">
        <f t="shared" si="147"/>
        <v>20655</v>
      </c>
      <c r="AB303" s="147">
        <f t="shared" si="148"/>
        <v>426629025</v>
      </c>
      <c r="AD303" s="583">
        <f t="shared" si="149"/>
        <v>25.574377101486924</v>
      </c>
      <c r="AE303" s="584">
        <f t="shared" si="150"/>
        <v>-39.143559194332447</v>
      </c>
      <c r="AG303" s="583">
        <f t="shared" si="151"/>
        <v>19.128915882676047</v>
      </c>
      <c r="AH303" s="584">
        <f t="shared" si="152"/>
        <v>-67.280492518393913</v>
      </c>
      <c r="AJ303" s="147">
        <f t="shared" si="153"/>
        <v>0</v>
      </c>
      <c r="AK303" s="147">
        <f t="shared" si="165"/>
        <v>0</v>
      </c>
      <c r="AM303" s="147" t="str">
        <f t="shared" si="157"/>
        <v>0.181881209539038+0.575049254146714i</v>
      </c>
      <c r="AN303" s="147" t="str">
        <f t="shared" si="158"/>
        <v>0.612664350925292i</v>
      </c>
      <c r="AO303" s="147" t="str">
        <f t="shared" si="159"/>
        <v>0.938604071345478-0.296869255187359i</v>
      </c>
      <c r="AP303" s="147" t="str">
        <f t="shared" si="160"/>
        <v>0.136353131743494-0.0958415423577857i</v>
      </c>
      <c r="AQ303" s="147" t="str">
        <f t="shared" si="161"/>
        <v>0.863646868256506+0.0958415423577857i</v>
      </c>
      <c r="AR303" s="147" t="str">
        <f t="shared" si="162"/>
        <v>0.952781064629873-0.105733037564028i</v>
      </c>
    </row>
    <row r="304" spans="7:44">
      <c r="G304" s="585">
        <v>20774</v>
      </c>
      <c r="H304" s="573">
        <f t="shared" si="154"/>
        <v>20.774000000000001</v>
      </c>
      <c r="I304" s="574">
        <f t="shared" si="134"/>
        <v>143.49138398125393</v>
      </c>
      <c r="J304" s="575">
        <f t="shared" si="135"/>
        <v>1.5638272108308371</v>
      </c>
      <c r="K304" s="575">
        <f t="shared" si="136"/>
        <v>1.0065752139861359</v>
      </c>
      <c r="L304" s="576">
        <f t="shared" si="137"/>
        <v>0.11436246864134526</v>
      </c>
      <c r="M304" s="575">
        <f t="shared" si="138"/>
        <v>1.0101453056043435</v>
      </c>
      <c r="N304" s="576">
        <f t="shared" si="139"/>
        <v>-0.14184688208474405</v>
      </c>
      <c r="O304" s="574">
        <f t="shared" si="140"/>
        <v>391580.67426787695</v>
      </c>
      <c r="P304" s="577">
        <f t="shared" si="141"/>
        <v>1.5707937730427179</v>
      </c>
      <c r="Q304" s="586">
        <f t="shared" si="163"/>
        <v>52.481338412690398</v>
      </c>
      <c r="R304" s="587">
        <f t="shared" si="164"/>
        <v>1.5517407814948203</v>
      </c>
      <c r="S304" s="574">
        <f t="shared" si="142"/>
        <v>1.2725920196029636</v>
      </c>
      <c r="T304" s="577">
        <f t="shared" si="143"/>
        <v>0.66681133715644836</v>
      </c>
      <c r="U304" s="578">
        <f t="shared" si="155"/>
        <v>0.94311205023582056</v>
      </c>
      <c r="V304" s="579">
        <f t="shared" si="156"/>
        <v>-0.41912445227934958</v>
      </c>
      <c r="W304" s="580">
        <f t="shared" si="144"/>
        <v>-15.663184978078055</v>
      </c>
      <c r="X304" s="581">
        <f t="shared" si="145"/>
        <v>-154.48663369721967</v>
      </c>
      <c r="Y304" s="584">
        <f t="shared" si="146"/>
        <v>25.513366302780327</v>
      </c>
      <c r="AA304" s="147">
        <f t="shared" si="147"/>
        <v>20774</v>
      </c>
      <c r="AB304" s="147">
        <f t="shared" si="148"/>
        <v>431559076</v>
      </c>
      <c r="AD304" s="583">
        <f t="shared" si="149"/>
        <v>25.555339238857243</v>
      </c>
      <c r="AE304" s="584">
        <f t="shared" si="150"/>
        <v>-39.297131398235955</v>
      </c>
      <c r="AG304" s="583">
        <f t="shared" si="151"/>
        <v>19.086136901181121</v>
      </c>
      <c r="AH304" s="584">
        <f t="shared" si="152"/>
        <v>-67.161377831425568</v>
      </c>
      <c r="AJ304" s="147">
        <f t="shared" si="153"/>
        <v>0</v>
      </c>
      <c r="AK304" s="147">
        <f t="shared" si="165"/>
        <v>0</v>
      </c>
      <c r="AM304" s="147" t="str">
        <f t="shared" si="157"/>
        <v>0.183916083950818+0.577933423471797i</v>
      </c>
      <c r="AN304" s="147" t="str">
        <f t="shared" si="158"/>
        <v>0.616194104387413i</v>
      </c>
      <c r="AO304" s="147" t="str">
        <f t="shared" si="159"/>
        <v>0.937908070455084-0.29847102177918i</v>
      </c>
      <c r="AP304" s="147" t="str">
        <f t="shared" si="160"/>
        <v>0.136013986008197-0.0963222372452995i</v>
      </c>
      <c r="AQ304" s="147" t="str">
        <f t="shared" si="161"/>
        <v>0.863986013991803+0.0963222372452995i</v>
      </c>
      <c r="AR304" s="147" t="str">
        <f t="shared" si="162"/>
        <v>0.952299748102623-0.106167971217009i</v>
      </c>
    </row>
    <row r="305" spans="7:44">
      <c r="G305" s="585">
        <v>20893</v>
      </c>
      <c r="H305" s="573">
        <f t="shared" si="154"/>
        <v>20.893000000000001</v>
      </c>
      <c r="I305" s="574">
        <f t="shared" si="134"/>
        <v>144.31330791200085</v>
      </c>
      <c r="J305" s="575">
        <f t="shared" si="135"/>
        <v>1.5638669034635946</v>
      </c>
      <c r="K305" s="575">
        <f t="shared" si="136"/>
        <v>1.0066505099683822</v>
      </c>
      <c r="L305" s="576">
        <f t="shared" si="137"/>
        <v>0.11501182721940777</v>
      </c>
      <c r="M305" s="575">
        <f t="shared" si="138"/>
        <v>1.0102612774984367</v>
      </c>
      <c r="N305" s="576">
        <f t="shared" si="139"/>
        <v>-0.14264847822325566</v>
      </c>
      <c r="O305" s="574">
        <f t="shared" si="140"/>
        <v>393823.77141996968</v>
      </c>
      <c r="P305" s="577">
        <f t="shared" si="141"/>
        <v>1.5707937875880926</v>
      </c>
      <c r="Q305" s="586">
        <f t="shared" si="163"/>
        <v>52.781859171982163</v>
      </c>
      <c r="R305" s="587">
        <f t="shared" si="164"/>
        <v>1.5518492898792635</v>
      </c>
      <c r="S305" s="574">
        <f t="shared" si="142"/>
        <v>1.2753854507447799</v>
      </c>
      <c r="T305" s="577">
        <f t="shared" si="143"/>
        <v>0.6695892207712969</v>
      </c>
      <c r="U305" s="578">
        <f t="shared" si="155"/>
        <v>0.94251456046131488</v>
      </c>
      <c r="V305" s="579">
        <f t="shared" si="156"/>
        <v>-0.42139382717853402</v>
      </c>
      <c r="W305" s="580">
        <f t="shared" si="144"/>
        <v>-15.735716945062126</v>
      </c>
      <c r="X305" s="581">
        <f t="shared" si="145"/>
        <v>-154.78060085947118</v>
      </c>
      <c r="Y305" s="584">
        <f t="shared" si="146"/>
        <v>25.219399140528822</v>
      </c>
      <c r="AA305" s="147">
        <f t="shared" si="147"/>
        <v>20893</v>
      </c>
      <c r="AB305" s="147">
        <f t="shared" si="148"/>
        <v>436517449</v>
      </c>
      <c r="AD305" s="583">
        <f t="shared" si="149"/>
        <v>25.536276069998621</v>
      </c>
      <c r="AE305" s="584">
        <f t="shared" si="150"/>
        <v>-39.450076166438286</v>
      </c>
      <c r="AG305" s="583">
        <f t="shared" si="151"/>
        <v>19.043677133975109</v>
      </c>
      <c r="AH305" s="584">
        <f t="shared" si="152"/>
        <v>-67.042349017465241</v>
      </c>
      <c r="AJ305" s="147">
        <f t="shared" si="153"/>
        <v>0</v>
      </c>
      <c r="AK305" s="147">
        <f t="shared" si="165"/>
        <v>0</v>
      </c>
      <c r="AM305" s="147" t="str">
        <f t="shared" si="157"/>
        <v>0.18596112607172+0.580810392239652i</v>
      </c>
      <c r="AN305" s="147" t="str">
        <f t="shared" si="158"/>
        <v>0.619723857849534i</v>
      </c>
      <c r="AO305" s="147" t="str">
        <f t="shared" si="159"/>
        <v>0.937208378994939-0.300070948885222i</v>
      </c>
      <c r="AP305" s="147" t="str">
        <f t="shared" si="160"/>
        <v>0.135673145654713-0.096801732039942i</v>
      </c>
      <c r="AQ305" s="147" t="str">
        <f t="shared" si="161"/>
        <v>0.864326854345287+0.096801732039942i</v>
      </c>
      <c r="AR305" s="147" t="str">
        <f t="shared" si="162"/>
        <v>0.951816896241465-0.106600325649778i</v>
      </c>
    </row>
    <row r="306" spans="7:44">
      <c r="G306" s="585">
        <v>21014.75</v>
      </c>
      <c r="H306" s="573">
        <f t="shared" si="154"/>
        <v>21.014749999999999</v>
      </c>
      <c r="I306" s="574">
        <f t="shared" si="134"/>
        <v>145.15422611577708</v>
      </c>
      <c r="J306" s="575">
        <f t="shared" si="135"/>
        <v>1.5639070481485675</v>
      </c>
      <c r="K306" s="575">
        <f t="shared" si="136"/>
        <v>1.0067279852152518</v>
      </c>
      <c r="L306" s="576">
        <f t="shared" si="137"/>
        <v>0.11567609116774276</v>
      </c>
      <c r="M306" s="575">
        <f t="shared" si="138"/>
        <v>1.010380601084222</v>
      </c>
      <c r="N306" s="576">
        <f t="shared" si="139"/>
        <v>-0.14346840765828481</v>
      </c>
      <c r="O306" s="574">
        <f t="shared" si="140"/>
        <v>396118.7048507873</v>
      </c>
      <c r="P306" s="577">
        <f t="shared" si="141"/>
        <v>1.5707938022991135</v>
      </c>
      <c r="Q306" s="586">
        <f t="shared" si="163"/>
        <v>53.089325374536259</v>
      </c>
      <c r="R306" s="587">
        <f t="shared" si="164"/>
        <v>1.5519590344392227</v>
      </c>
      <c r="S306" s="574">
        <f t="shared" si="142"/>
        <v>1.278253576354379</v>
      </c>
      <c r="T306" s="577">
        <f t="shared" si="143"/>
        <v>0.672418711365104</v>
      </c>
      <c r="U306" s="578">
        <f t="shared" si="155"/>
        <v>0.94190084257692486</v>
      </c>
      <c r="V306" s="579">
        <f t="shared" si="156"/>
        <v>-0.42371352472210017</v>
      </c>
      <c r="W306" s="580">
        <f t="shared" si="144"/>
        <v>-15.809675521421125</v>
      </c>
      <c r="X306" s="581">
        <f t="shared" si="145"/>
        <v>-155.08055964719574</v>
      </c>
      <c r="Y306" s="584">
        <f t="shared" si="146"/>
        <v>24.919440352804259</v>
      </c>
      <c r="AA306" s="147">
        <f t="shared" si="147"/>
        <v>21014.75</v>
      </c>
      <c r="AB306" s="147">
        <f t="shared" si="148"/>
        <v>441619717.5625</v>
      </c>
      <c r="AD306" s="583">
        <f t="shared" si="149"/>
        <v>25.516746896812819</v>
      </c>
      <c r="AE306" s="584">
        <f t="shared" si="150"/>
        <v>-39.605906978582688</v>
      </c>
      <c r="AG306" s="583">
        <f t="shared" si="151"/>
        <v>19.000563040563428</v>
      </c>
      <c r="AH306" s="584">
        <f t="shared" si="152"/>
        <v>-66.920659234755234</v>
      </c>
      <c r="AJ306" s="147">
        <f t="shared" si="153"/>
        <v>0</v>
      </c>
      <c r="AK306" s="147">
        <f t="shared" si="165"/>
        <v>0</v>
      </c>
      <c r="AM306" s="147" t="str">
        <f t="shared" si="157"/>
        <v>0.188063923872168+0.583746356118939i</v>
      </c>
      <c r="AN306" s="147" t="str">
        <f t="shared" si="158"/>
        <v>0.623335181244603i</v>
      </c>
      <c r="AO306" s="147" t="str">
        <f t="shared" si="159"/>
        <v>0.936488704124453-0.301705935315032i</v>
      </c>
      <c r="AP306" s="147" t="str">
        <f t="shared" si="160"/>
        <v>0.135322679354639-0.0972910593531565i</v>
      </c>
      <c r="AQ306" s="147" t="str">
        <f t="shared" si="161"/>
        <v>0.864677320645361+0.0972910593531565i</v>
      </c>
      <c r="AR306" s="147" t="str">
        <f t="shared" si="162"/>
        <v>0.951321314419136-0.107039997760084i</v>
      </c>
    </row>
    <row r="307" spans="7:44">
      <c r="G307" s="585">
        <v>21136.5</v>
      </c>
      <c r="H307" s="573">
        <f t="shared" si="154"/>
        <v>21.136500000000002</v>
      </c>
      <c r="I307" s="574">
        <f t="shared" si="134"/>
        <v>145.99514455078841</v>
      </c>
      <c r="J307" s="575">
        <f t="shared" si="135"/>
        <v>1.5639467303743109</v>
      </c>
      <c r="K307" s="575">
        <f t="shared" si="136"/>
        <v>1.0068059046089344</v>
      </c>
      <c r="L307" s="576">
        <f t="shared" si="137"/>
        <v>0.11634025259078246</v>
      </c>
      <c r="M307" s="575">
        <f t="shared" si="138"/>
        <v>1.0105006037723148</v>
      </c>
      <c r="N307" s="576">
        <f t="shared" si="139"/>
        <v>-0.14428814290174222</v>
      </c>
      <c r="O307" s="574">
        <f t="shared" si="140"/>
        <v>398413.63828160497</v>
      </c>
      <c r="P307" s="577">
        <f t="shared" si="141"/>
        <v>1.5707938168406583</v>
      </c>
      <c r="Q307" s="586">
        <f t="shared" si="163"/>
        <v>53.396792209127682</v>
      </c>
      <c r="R307" s="587">
        <f t="shared" si="164"/>
        <v>1.5520675151488075</v>
      </c>
      <c r="S307" s="574">
        <f t="shared" si="142"/>
        <v>1.2811318898148507</v>
      </c>
      <c r="T307" s="577">
        <f t="shared" si="143"/>
        <v>0.67523551041752816</v>
      </c>
      <c r="U307" s="578">
        <f t="shared" si="155"/>
        <v>0.94128469245619995</v>
      </c>
      <c r="V307" s="579">
        <f t="shared" si="156"/>
        <v>-0.42603107034500065</v>
      </c>
      <c r="W307" s="580">
        <f t="shared" si="144"/>
        <v>-15.883384257990869</v>
      </c>
      <c r="X307" s="581">
        <f t="shared" si="145"/>
        <v>-155.37970862171994</v>
      </c>
      <c r="Y307" s="584">
        <f t="shared" si="146"/>
        <v>24.620291378280058</v>
      </c>
      <c r="AA307" s="147">
        <f t="shared" si="147"/>
        <v>21136.5</v>
      </c>
      <c r="AB307" s="147">
        <f t="shared" si="148"/>
        <v>446751632.25</v>
      </c>
      <c r="AD307" s="583">
        <f t="shared" si="149"/>
        <v>25.497192691277032</v>
      </c>
      <c r="AE307" s="584">
        <f t="shared" si="150"/>
        <v>-39.761083022551695</v>
      </c>
      <c r="AG307" s="583">
        <f t="shared" si="151"/>
        <v>18.95777608227365</v>
      </c>
      <c r="AH307" s="584">
        <f t="shared" si="152"/>
        <v>-66.799060998964521</v>
      </c>
      <c r="AJ307" s="147">
        <f t="shared" si="153"/>
        <v>0</v>
      </c>
      <c r="AK307" s="147">
        <f t="shared" si="165"/>
        <v>0</v>
      </c>
      <c r="AM307" s="147" t="str">
        <f t="shared" si="157"/>
        <v>0.190177310652645+0.586674706986944i</v>
      </c>
      <c r="AN307" s="147" t="str">
        <f t="shared" si="158"/>
        <v>0.626946504639672i</v>
      </c>
      <c r="AO307" s="147" t="str">
        <f t="shared" si="159"/>
        <v>0.935765177164719-0.303338975885904i</v>
      </c>
      <c r="AP307" s="147" t="str">
        <f t="shared" si="160"/>
        <v>0.134970448224559-0.0977791178311573i</v>
      </c>
      <c r="AQ307" s="147" t="str">
        <f t="shared" si="161"/>
        <v>0.865029551775441+0.0977791178311573i</v>
      </c>
      <c r="AR307" s="147" t="str">
        <f t="shared" si="162"/>
        <v>0.950824160689594-0.107476961282953i</v>
      </c>
    </row>
    <row r="308" spans="7:44">
      <c r="G308" s="585">
        <v>21258.25</v>
      </c>
      <c r="H308" s="573">
        <f t="shared" si="154"/>
        <v>21.25825</v>
      </c>
      <c r="I308" s="574">
        <f t="shared" si="134"/>
        <v>146.83606321306198</v>
      </c>
      <c r="J308" s="575">
        <f t="shared" si="135"/>
        <v>1.563985958086102</v>
      </c>
      <c r="K308" s="575">
        <f t="shared" si="136"/>
        <v>1.0068842680463173</v>
      </c>
      <c r="L308" s="576">
        <f t="shared" si="137"/>
        <v>0.11700431092646046</v>
      </c>
      <c r="M308" s="575">
        <f t="shared" si="138"/>
        <v>1.0106212853208019</v>
      </c>
      <c r="N308" s="576">
        <f t="shared" si="139"/>
        <v>-0.14510768292133261</v>
      </c>
      <c r="O308" s="574">
        <f t="shared" si="140"/>
        <v>400708.57171242282</v>
      </c>
      <c r="P308" s="577">
        <f t="shared" si="141"/>
        <v>1.5707938312156389</v>
      </c>
      <c r="Q308" s="586">
        <f t="shared" si="163"/>
        <v>53.704259664900839</v>
      </c>
      <c r="R308" s="587">
        <f t="shared" si="164"/>
        <v>1.5521747537128185</v>
      </c>
      <c r="S308" s="574">
        <f t="shared" si="142"/>
        <v>1.2840203226136635</v>
      </c>
      <c r="T308" s="577">
        <f t="shared" si="143"/>
        <v>0.6780396587293176</v>
      </c>
      <c r="U308" s="578">
        <f t="shared" si="155"/>
        <v>0.94066612621280676</v>
      </c>
      <c r="V308" s="579">
        <f t="shared" si="156"/>
        <v>-0.42834645727106502</v>
      </c>
      <c r="W308" s="580">
        <f t="shared" si="144"/>
        <v>-15.956845683669563</v>
      </c>
      <c r="X308" s="581">
        <f t="shared" si="145"/>
        <v>-155.67804891737057</v>
      </c>
      <c r="Y308" s="584">
        <f t="shared" si="146"/>
        <v>24.321951082629425</v>
      </c>
      <c r="AA308" s="147">
        <f t="shared" si="147"/>
        <v>21258.25</v>
      </c>
      <c r="AB308" s="147">
        <f t="shared" si="148"/>
        <v>451913193.0625</v>
      </c>
      <c r="AD308" s="583">
        <f t="shared" si="149"/>
        <v>25.477614178695976</v>
      </c>
      <c r="AE308" s="584">
        <f t="shared" si="150"/>
        <v>-39.915605392629374</v>
      </c>
      <c r="AG308" s="583">
        <f t="shared" si="151"/>
        <v>18.915312805149767</v>
      </c>
      <c r="AH308" s="584">
        <f t="shared" si="152"/>
        <v>-66.677555126627766</v>
      </c>
      <c r="AJ308" s="147">
        <f t="shared" si="153"/>
        <v>0</v>
      </c>
      <c r="AK308" s="147">
        <f t="shared" si="165"/>
        <v>0</v>
      </c>
      <c r="AM308" s="147" t="str">
        <f t="shared" si="157"/>
        <v>0.192301258851117+0.589595406653163i</v>
      </c>
      <c r="AN308" s="147" t="str">
        <f t="shared" si="158"/>
        <v>0.630557828034741i</v>
      </c>
      <c r="AO308" s="147" t="str">
        <f t="shared" si="159"/>
        <v>0.93503780373444-0.304970060320181i</v>
      </c>
      <c r="AP308" s="147" t="str">
        <f t="shared" si="160"/>
        <v>0.134616456858147-0.0982659011088605i</v>
      </c>
      <c r="AQ308" s="147" t="str">
        <f t="shared" si="161"/>
        <v>0.865383543141853+0.0982659011088605i</v>
      </c>
      <c r="AR308" s="147" t="str">
        <f t="shared" si="162"/>
        <v>0.950325452837993-0.107911211982112i</v>
      </c>
    </row>
    <row r="309" spans="7:44">
      <c r="G309" s="585">
        <v>21380</v>
      </c>
      <c r="H309" s="573">
        <f t="shared" si="154"/>
        <v>21.38</v>
      </c>
      <c r="I309" s="574">
        <f t="shared" si="134"/>
        <v>147.6769820987156</v>
      </c>
      <c r="J309" s="575">
        <f t="shared" si="135"/>
        <v>1.5640247390482529</v>
      </c>
      <c r="K309" s="575">
        <f t="shared" si="136"/>
        <v>1.0069630754237315</v>
      </c>
      <c r="L309" s="576">
        <f t="shared" si="137"/>
        <v>0.11766826561324847</v>
      </c>
      <c r="M309" s="575">
        <f t="shared" si="138"/>
        <v>1.0107426454865178</v>
      </c>
      <c r="N309" s="576">
        <f t="shared" si="139"/>
        <v>-0.1459270266863012</v>
      </c>
      <c r="O309" s="574">
        <f t="shared" si="140"/>
        <v>403003.50514324068</v>
      </c>
      <c r="P309" s="577">
        <f t="shared" si="141"/>
        <v>1.5707938454269004</v>
      </c>
      <c r="Q309" s="586">
        <f t="shared" si="163"/>
        <v>54.011727731247305</v>
      </c>
      <c r="R309" s="587">
        <f t="shared" si="164"/>
        <v>1.5522807713419444</v>
      </c>
      <c r="S309" s="574">
        <f t="shared" si="142"/>
        <v>1.2869188066135864</v>
      </c>
      <c r="T309" s="577">
        <f t="shared" si="143"/>
        <v>0.68083119753137322</v>
      </c>
      <c r="U309" s="578">
        <f t="shared" si="155"/>
        <v>0.9400451599657903</v>
      </c>
      <c r="V309" s="579">
        <f t="shared" si="156"/>
        <v>-0.43065967880119793</v>
      </c>
      <c r="W309" s="580">
        <f t="shared" si="144"/>
        <v>-16.030062277610252</v>
      </c>
      <c r="X309" s="581">
        <f t="shared" si="145"/>
        <v>-155.97558171553206</v>
      </c>
      <c r="Y309" s="584">
        <f t="shared" si="146"/>
        <v>24.024418284467941</v>
      </c>
      <c r="AA309" s="147">
        <f t="shared" si="147"/>
        <v>21380</v>
      </c>
      <c r="AB309" s="147">
        <f t="shared" si="148"/>
        <v>457104400</v>
      </c>
      <c r="AD309" s="583">
        <f t="shared" si="149"/>
        <v>25.458012076653389</v>
      </c>
      <c r="AE309" s="584">
        <f t="shared" si="150"/>
        <v>-40.069475236052398</v>
      </c>
      <c r="AG309" s="583">
        <f t="shared" si="151"/>
        <v>18.873169812415163</v>
      </c>
      <c r="AH309" s="584">
        <f t="shared" si="152"/>
        <v>-66.556142419552501</v>
      </c>
      <c r="AJ309" s="147">
        <f t="shared" si="153"/>
        <v>0</v>
      </c>
      <c r="AK309" s="147">
        <f t="shared" si="165"/>
        <v>0</v>
      </c>
      <c r="AM309" s="147" t="str">
        <f t="shared" si="157"/>
        <v>0.19443574076781+0.592508417026875i</v>
      </c>
      <c r="AN309" s="147" t="str">
        <f t="shared" si="158"/>
        <v>0.63416915142981i</v>
      </c>
      <c r="AO309" s="147" t="str">
        <f t="shared" si="159"/>
        <v>0.934306589481677-0.306599178357117i</v>
      </c>
      <c r="AP309" s="147" t="str">
        <f t="shared" si="160"/>
        <v>0.134260709872032-0.0987514028378125i</v>
      </c>
      <c r="AQ309" s="147" t="str">
        <f t="shared" si="161"/>
        <v>0.865739290127968+0.0987514028378125i</v>
      </c>
      <c r="AR309" s="147" t="str">
        <f t="shared" si="162"/>
        <v>0.949825208634703-0.108342745758403i</v>
      </c>
    </row>
    <row r="310" spans="7:44">
      <c r="G310" s="585">
        <v>21504.5</v>
      </c>
      <c r="H310" s="573">
        <f t="shared" si="154"/>
        <v>21.5045</v>
      </c>
      <c r="I310" s="574">
        <f t="shared" si="134"/>
        <v>148.53689527249384</v>
      </c>
      <c r="J310" s="575">
        <f t="shared" si="135"/>
        <v>1.5640639418721258</v>
      </c>
      <c r="K310" s="575">
        <f t="shared" si="136"/>
        <v>1.0070441218303492</v>
      </c>
      <c r="L310" s="576">
        <f t="shared" si="137"/>
        <v>0.11834710945159657</v>
      </c>
      <c r="M310" s="575">
        <f t="shared" si="138"/>
        <v>1.0108674483747762</v>
      </c>
      <c r="N310" s="576">
        <f t="shared" si="139"/>
        <v>-0.14676467316297437</v>
      </c>
      <c r="O310" s="574">
        <f t="shared" si="140"/>
        <v>405350.27485278354</v>
      </c>
      <c r="P310" s="577">
        <f t="shared" si="141"/>
        <v>1.5707938597927456</v>
      </c>
      <c r="Q310" s="586">
        <f t="shared" si="163"/>
        <v>54.326141282129655</v>
      </c>
      <c r="R310" s="587">
        <f t="shared" si="164"/>
        <v>1.5523879426039269</v>
      </c>
      <c r="S310" s="574">
        <f t="shared" si="142"/>
        <v>1.289893083160899</v>
      </c>
      <c r="T310" s="577">
        <f t="shared" si="143"/>
        <v>0.68367279301869677</v>
      </c>
      <c r="U310" s="578">
        <f t="shared" si="155"/>
        <v>0.9394077026564045</v>
      </c>
      <c r="V310" s="579">
        <f t="shared" si="156"/>
        <v>-0.43302290347515487</v>
      </c>
      <c r="W310" s="580">
        <f t="shared" si="144"/>
        <v>-16.104681977452465</v>
      </c>
      <c r="X310" s="581">
        <f t="shared" si="145"/>
        <v>-156.2790011836548</v>
      </c>
      <c r="Y310" s="584">
        <f t="shared" si="146"/>
        <v>23.720998816345201</v>
      </c>
      <c r="AA310" s="147">
        <f t="shared" si="147"/>
        <v>21504.5</v>
      </c>
      <c r="AB310" s="147">
        <f t="shared" si="148"/>
        <v>462443520.25</v>
      </c>
      <c r="AD310" s="583">
        <f t="shared" si="149"/>
        <v>25.437943561548554</v>
      </c>
      <c r="AE310" s="584">
        <f t="shared" si="150"/>
        <v>-40.226147026844082</v>
      </c>
      <c r="AG310" s="583">
        <f t="shared" si="151"/>
        <v>18.830402661554317</v>
      </c>
      <c r="AH310" s="584">
        <f t="shared" si="152"/>
        <v>-66.432084496856305</v>
      </c>
      <c r="AJ310" s="147">
        <f t="shared" si="153"/>
        <v>0</v>
      </c>
      <c r="AK310" s="147">
        <f t="shared" si="165"/>
        <v>0</v>
      </c>
      <c r="AM310" s="147" t="str">
        <f t="shared" si="157"/>
        <v>0.196629299093954+0.59547923299283i</v>
      </c>
      <c r="AN310" s="147" t="str">
        <f t="shared" si="158"/>
        <v>0.637862044757828i</v>
      </c>
      <c r="AO310" s="147" t="str">
        <f t="shared" si="159"/>
        <v>0.933554893078661-0.308263049526025i</v>
      </c>
      <c r="AP310" s="147" t="str">
        <f t="shared" si="160"/>
        <v>0.133895116817674-0.0992465388321383i</v>
      </c>
      <c r="AQ310" s="147" t="str">
        <f t="shared" si="161"/>
        <v>0.866104883182326+0.0992465388321383i</v>
      </c>
      <c r="AR310" s="147" t="str">
        <f t="shared" si="162"/>
        <v>0.949312094983056-0.108781212908507i</v>
      </c>
    </row>
    <row r="311" spans="7:44">
      <c r="G311" s="585">
        <v>21629</v>
      </c>
      <c r="H311" s="573">
        <f t="shared" si="154"/>
        <v>21.629000000000001</v>
      </c>
      <c r="I311" s="574">
        <f t="shared" si="134"/>
        <v>149.39680867192476</v>
      </c>
      <c r="J311" s="575">
        <f t="shared" si="135"/>
        <v>1.5641026934008277</v>
      </c>
      <c r="K311" s="575">
        <f t="shared" si="136"/>
        <v>1.0071256322372431</v>
      </c>
      <c r="L311" s="576">
        <f t="shared" si="137"/>
        <v>0.11902584371999167</v>
      </c>
      <c r="M311" s="575">
        <f t="shared" si="138"/>
        <v>1.0109929603644123</v>
      </c>
      <c r="N311" s="576">
        <f t="shared" si="139"/>
        <v>-0.14760211224411388</v>
      </c>
      <c r="O311" s="574">
        <f t="shared" si="140"/>
        <v>407697.04456232639</v>
      </c>
      <c r="P311" s="577">
        <f t="shared" si="141"/>
        <v>1.5707938739932064</v>
      </c>
      <c r="Q311" s="586">
        <f t="shared" si="163"/>
        <v>54.640555449803685</v>
      </c>
      <c r="R311" s="587">
        <f t="shared" si="164"/>
        <v>1.5524938804915436</v>
      </c>
      <c r="S311" s="574">
        <f t="shared" si="142"/>
        <v>1.2928777271920153</v>
      </c>
      <c r="T311" s="577">
        <f t="shared" si="143"/>
        <v>0.68650129145381644</v>
      </c>
      <c r="U311" s="578">
        <f t="shared" si="155"/>
        <v>0.93876776980460364</v>
      </c>
      <c r="V311" s="579">
        <f t="shared" si="156"/>
        <v>-0.43538384990553003</v>
      </c>
      <c r="W311" s="580">
        <f t="shared" si="144"/>
        <v>-16.179050750142181</v>
      </c>
      <c r="X311" s="581">
        <f t="shared" si="145"/>
        <v>-156.58157890758773</v>
      </c>
      <c r="Y311" s="584">
        <f t="shared" si="146"/>
        <v>23.418421092412274</v>
      </c>
      <c r="AA311" s="147">
        <f t="shared" si="147"/>
        <v>21629</v>
      </c>
      <c r="AB311" s="147">
        <f t="shared" si="148"/>
        <v>467813641</v>
      </c>
      <c r="AD311" s="583">
        <f t="shared" si="149"/>
        <v>25.417851872377298</v>
      </c>
      <c r="AE311" s="584">
        <f t="shared" si="150"/>
        <v>-40.382139069489561</v>
      </c>
      <c r="AG311" s="583">
        <f t="shared" si="151"/>
        <v>18.787963420501818</v>
      </c>
      <c r="AH311" s="584">
        <f t="shared" si="152"/>
        <v>-66.308125645600668</v>
      </c>
      <c r="AJ311" s="147">
        <f t="shared" si="153"/>
        <v>0</v>
      </c>
      <c r="AK311" s="147">
        <f t="shared" si="165"/>
        <v>0</v>
      </c>
      <c r="AM311" s="147" t="str">
        <f t="shared" si="157"/>
        <v>0.198833813344355+0.598441928143117i</v>
      </c>
      <c r="AN311" s="147" t="str">
        <f t="shared" si="158"/>
        <v>0.641554938085845i</v>
      </c>
      <c r="AO311" s="147" t="str">
        <f t="shared" si="159"/>
        <v>0.932799192425577-0.309924842816422i</v>
      </c>
      <c r="AP311" s="147" t="str">
        <f t="shared" si="160"/>
        <v>0.133527697775941-0.0997403213571862i</v>
      </c>
      <c r="AQ311" s="147" t="str">
        <f t="shared" si="161"/>
        <v>0.866472302224059+0.0997403213571862i</v>
      </c>
      <c r="AR311" s="147" t="str">
        <f t="shared" si="162"/>
        <v>0.948797412323688-0.109216830780542i</v>
      </c>
    </row>
    <row r="312" spans="7:44">
      <c r="G312" s="585">
        <v>21753.5</v>
      </c>
      <c r="H312" s="573">
        <f t="shared" si="154"/>
        <v>21.753499999999999</v>
      </c>
      <c r="I312" s="574">
        <f t="shared" si="134"/>
        <v>150.25672229313417</v>
      </c>
      <c r="J312" s="575">
        <f t="shared" si="135"/>
        <v>1.5641410013824781</v>
      </c>
      <c r="K312" s="575">
        <f t="shared" si="136"/>
        <v>1.007207606531763</v>
      </c>
      <c r="L312" s="576">
        <f t="shared" si="137"/>
        <v>0.11970446781975269</v>
      </c>
      <c r="M312" s="575">
        <f t="shared" si="138"/>
        <v>1.0111191811913602</v>
      </c>
      <c r="N312" s="576">
        <f t="shared" si="139"/>
        <v>-0.14843934283257337</v>
      </c>
      <c r="O312" s="574">
        <f t="shared" si="140"/>
        <v>410043.81427186943</v>
      </c>
      <c r="P312" s="577">
        <f t="shared" si="141"/>
        <v>1.5707938880311225</v>
      </c>
      <c r="Q312" s="586">
        <f t="shared" si="163"/>
        <v>54.954970223682864</v>
      </c>
      <c r="R312" s="587">
        <f t="shared" si="164"/>
        <v>1.5525986061719712</v>
      </c>
      <c r="S312" s="574">
        <f t="shared" si="142"/>
        <v>1.2958726670720084</v>
      </c>
      <c r="T312" s="577">
        <f t="shared" si="143"/>
        <v>0.68931673822965078</v>
      </c>
      <c r="U312" s="578">
        <f t="shared" si="155"/>
        <v>0.93812537865774537</v>
      </c>
      <c r="V312" s="579">
        <f t="shared" si="156"/>
        <v>-0.43774251117853114</v>
      </c>
      <c r="W312" s="580">
        <f t="shared" si="144"/>
        <v>-16.25317109350863</v>
      </c>
      <c r="X312" s="581">
        <f t="shared" si="145"/>
        <v>-156.88331629476968</v>
      </c>
      <c r="Y312" s="584">
        <f t="shared" si="146"/>
        <v>23.116683705230315</v>
      </c>
      <c r="AA312" s="147">
        <f t="shared" si="147"/>
        <v>21753.5</v>
      </c>
      <c r="AB312" s="147">
        <f t="shared" si="148"/>
        <v>473214762.25</v>
      </c>
      <c r="AD312" s="583">
        <f t="shared" si="149"/>
        <v>25.397737751565828</v>
      </c>
      <c r="AE312" s="584">
        <f t="shared" si="150"/>
        <v>-40.537452752184251</v>
      </c>
      <c r="AG312" s="583">
        <f t="shared" si="151"/>
        <v>18.745848634235642</v>
      </c>
      <c r="AH312" s="584">
        <f t="shared" si="152"/>
        <v>-66.184266677291262</v>
      </c>
      <c r="AJ312" s="147">
        <f t="shared" si="153"/>
        <v>0</v>
      </c>
      <c r="AK312" s="147">
        <f t="shared" si="165"/>
        <v>0</v>
      </c>
      <c r="AM312" s="147" t="str">
        <f t="shared" si="157"/>
        <v>0.20104925345507+0.601396462074145i</v>
      </c>
      <c r="AN312" s="147" t="str">
        <f t="shared" si="158"/>
        <v>0.645247831413862i</v>
      </c>
      <c r="AO312" s="147" t="str">
        <f t="shared" si="159"/>
        <v>0.932039493656832-0.311584547311895i</v>
      </c>
      <c r="AP312" s="147" t="str">
        <f t="shared" si="160"/>
        <v>0.133158457757488-0.100232743679024i</v>
      </c>
      <c r="AQ312" s="147" t="str">
        <f t="shared" si="161"/>
        <v>0.866841542242512+0.100232743679024i</v>
      </c>
      <c r="AR312" s="147" t="str">
        <f t="shared" si="162"/>
        <v>0.948281179602902-0.109649595432274i</v>
      </c>
    </row>
    <row r="313" spans="7:44">
      <c r="G313" s="585">
        <v>21878</v>
      </c>
      <c r="H313" s="573">
        <f t="shared" si="154"/>
        <v>21.878</v>
      </c>
      <c r="I313" s="574">
        <f t="shared" si="134"/>
        <v>151.11663613233605</v>
      </c>
      <c r="J313" s="575">
        <f t="shared" si="135"/>
        <v>1.5641788733888413</v>
      </c>
      <c r="K313" s="575">
        <f t="shared" si="136"/>
        <v>1.0072900446006536</v>
      </c>
      <c r="L313" s="576">
        <f t="shared" si="137"/>
        <v>0.12038298115279877</v>
      </c>
      <c r="M313" s="575">
        <f t="shared" si="138"/>
        <v>1.0112461105901951</v>
      </c>
      <c r="N313" s="576">
        <f t="shared" si="139"/>
        <v>-0.14927636383292195</v>
      </c>
      <c r="O313" s="574">
        <f t="shared" si="140"/>
        <v>412390.58398141246</v>
      </c>
      <c r="P313" s="577">
        <f t="shared" si="141"/>
        <v>1.5707939019092692</v>
      </c>
      <c r="Q313" s="586">
        <f t="shared" si="163"/>
        <v>55.269385593421468</v>
      </c>
      <c r="R313" s="587">
        <f t="shared" si="164"/>
        <v>1.5527021403308325</v>
      </c>
      <c r="S313" s="574">
        <f t="shared" si="142"/>
        <v>1.2988778315806759</v>
      </c>
      <c r="T313" s="577">
        <f t="shared" si="143"/>
        <v>0.69211917914883581</v>
      </c>
      <c r="U313" s="578">
        <f t="shared" si="155"/>
        <v>0.93748054646486123</v>
      </c>
      <c r="V313" s="579">
        <f t="shared" si="156"/>
        <v>-0.44009888046431644</v>
      </c>
      <c r="W313" s="580">
        <f t="shared" si="144"/>
        <v>-16.327045456414627</v>
      </c>
      <c r="X313" s="581">
        <f t="shared" si="145"/>
        <v>-157.18421479847157</v>
      </c>
      <c r="Y313" s="584">
        <f t="shared" si="146"/>
        <v>22.815785201528428</v>
      </c>
      <c r="AA313" s="147">
        <f t="shared" si="147"/>
        <v>21878</v>
      </c>
      <c r="AB313" s="147">
        <f t="shared" si="148"/>
        <v>478646884</v>
      </c>
      <c r="AD313" s="583">
        <f t="shared" si="149"/>
        <v>25.377601933210983</v>
      </c>
      <c r="AE313" s="584">
        <f t="shared" si="150"/>
        <v>-40.692089514186058</v>
      </c>
      <c r="AG313" s="583">
        <f t="shared" si="151"/>
        <v>18.7040549047613</v>
      </c>
      <c r="AH313" s="584">
        <f t="shared" si="152"/>
        <v>-66.060508388583301</v>
      </c>
      <c r="AJ313" s="147">
        <f t="shared" si="153"/>
        <v>0</v>
      </c>
      <c r="AK313" s="147">
        <f t="shared" si="165"/>
        <v>0</v>
      </c>
      <c r="AM313" s="147" t="str">
        <f t="shared" si="157"/>
        <v>0.203275589213155+0.604342794493617i</v>
      </c>
      <c r="AN313" s="147" t="str">
        <f t="shared" si="158"/>
        <v>0.64894072474188i</v>
      </c>
      <c r="AO313" s="147" t="str">
        <f t="shared" si="159"/>
        <v>0.931275802938701-0.313242152114909i</v>
      </c>
      <c r="AP313" s="147" t="str">
        <f t="shared" si="160"/>
        <v>0.132787401797807-0.10072379908227i</v>
      </c>
      <c r="AQ313" s="147" t="str">
        <f t="shared" si="161"/>
        <v>0.867212598202193+0.10072379908227i</v>
      </c>
      <c r="AR313" s="147" t="str">
        <f t="shared" si="162"/>
        <v>0.94776341574571-0.110079503068796i</v>
      </c>
    </row>
    <row r="314" spans="7:44">
      <c r="G314" s="585">
        <v>22005.25</v>
      </c>
      <c r="H314" s="573">
        <f t="shared" si="154"/>
        <v>22.00525</v>
      </c>
      <c r="I314" s="574">
        <f t="shared" si="134"/>
        <v>151.99554427374031</v>
      </c>
      <c r="J314" s="575">
        <f t="shared" si="135"/>
        <v>1.5642171391016011</v>
      </c>
      <c r="K314" s="575">
        <f t="shared" si="136"/>
        <v>1.0073747827257422</v>
      </c>
      <c r="L314" s="576">
        <f t="shared" si="137"/>
        <v>0.12107636664246149</v>
      </c>
      <c r="M314" s="575">
        <f t="shared" si="138"/>
        <v>1.0113765755942472</v>
      </c>
      <c r="N314" s="576">
        <f t="shared" si="139"/>
        <v>-0.15013165552699351</v>
      </c>
      <c r="O314" s="574">
        <f t="shared" si="140"/>
        <v>414789.18996968045</v>
      </c>
      <c r="P314" s="577">
        <f t="shared" si="141"/>
        <v>1.5707939159316817</v>
      </c>
      <c r="Q314" s="586">
        <f t="shared" si="163"/>
        <v>55.590746486187967</v>
      </c>
      <c r="R314" s="587">
        <f t="shared" si="164"/>
        <v>1.5528067511421026</v>
      </c>
      <c r="S314" s="574">
        <f t="shared" si="142"/>
        <v>1.3019598674116704</v>
      </c>
      <c r="T314" s="577">
        <f t="shared" si="143"/>
        <v>0.69497012952034987</v>
      </c>
      <c r="U314" s="578">
        <f t="shared" si="155"/>
        <v>0.93681896642770235</v>
      </c>
      <c r="V314" s="579">
        <f t="shared" si="156"/>
        <v>-0.44250492255997848</v>
      </c>
      <c r="W314" s="580">
        <f t="shared" si="144"/>
        <v>-16.402299891245249</v>
      </c>
      <c r="X314" s="581">
        <f t="shared" si="145"/>
        <v>-157.49089433160194</v>
      </c>
      <c r="Y314" s="584">
        <f t="shared" si="146"/>
        <v>22.509105668398064</v>
      </c>
      <c r="AA314" s="147">
        <f t="shared" si="147"/>
        <v>22005.25</v>
      </c>
      <c r="AB314" s="147">
        <f t="shared" si="148"/>
        <v>484231027.5625</v>
      </c>
      <c r="AD314" s="583">
        <f t="shared" si="149"/>
        <v>25.356999681552818</v>
      </c>
      <c r="AE314" s="584">
        <f t="shared" si="150"/>
        <v>-40.849443983702713</v>
      </c>
      <c r="AG314" s="583">
        <f t="shared" si="151"/>
        <v>18.661666314229457</v>
      </c>
      <c r="AH314" s="584">
        <f t="shared" si="152"/>
        <v>-65.934121337057448</v>
      </c>
      <c r="AJ314" s="147">
        <f t="shared" si="153"/>
        <v>0</v>
      </c>
      <c r="AK314" s="147">
        <f t="shared" si="165"/>
        <v>0</v>
      </c>
      <c r="AM314" s="147" t="str">
        <f t="shared" si="157"/>
        <v>0.205562328761232+0.607345689469122i</v>
      </c>
      <c r="AN314" s="147" t="str">
        <f t="shared" si="158"/>
        <v>0.652715188002845i</v>
      </c>
      <c r="AO314" s="147" t="str">
        <f t="shared" si="159"/>
        <v>0.930491124815798-0.31493418958153i</v>
      </c>
      <c r="AP314" s="147" t="str">
        <f t="shared" si="160"/>
        <v>0.132406278539795-0.101224281578187i</v>
      </c>
      <c r="AQ314" s="147" t="str">
        <f t="shared" si="161"/>
        <v>0.867593721460205+0.101224281578187i</v>
      </c>
      <c r="AR314" s="147" t="str">
        <f t="shared" si="162"/>
        <v>0.947232652774139-0.110515950487846i</v>
      </c>
    </row>
    <row r="315" spans="7:44">
      <c r="G315" s="585">
        <v>22132.5</v>
      </c>
      <c r="H315" s="573">
        <f t="shared" si="154"/>
        <v>22.1325</v>
      </c>
      <c r="I315" s="574">
        <f t="shared" si="134"/>
        <v>152.87445263514721</v>
      </c>
      <c r="J315" s="575">
        <f t="shared" si="135"/>
        <v>1.5642549648186634</v>
      </c>
      <c r="K315" s="575">
        <f t="shared" si="136"/>
        <v>1.0074600050983309</v>
      </c>
      <c r="L315" s="576">
        <f t="shared" si="137"/>
        <v>0.12176963515660043</v>
      </c>
      <c r="M315" s="575">
        <f t="shared" si="138"/>
        <v>1.0115077802532506</v>
      </c>
      <c r="N315" s="576">
        <f t="shared" si="139"/>
        <v>-0.15098672596330673</v>
      </c>
      <c r="O315" s="574">
        <f t="shared" si="140"/>
        <v>417187.79595794855</v>
      </c>
      <c r="P315" s="577">
        <f t="shared" si="141"/>
        <v>1.5707939297928517</v>
      </c>
      <c r="Q315" s="586">
        <f t="shared" si="163"/>
        <v>55.912107980314296</v>
      </c>
      <c r="R315" s="587">
        <f t="shared" si="164"/>
        <v>1.5529101594283208</v>
      </c>
      <c r="S315" s="574">
        <f t="shared" si="142"/>
        <v>1.3050524354333519</v>
      </c>
      <c r="T315" s="577">
        <f t="shared" si="143"/>
        <v>0.69780759113384516</v>
      </c>
      <c r="U315" s="578">
        <f t="shared" si="155"/>
        <v>0.9361548727539537</v>
      </c>
      <c r="V315" s="579">
        <f t="shared" si="156"/>
        <v>-0.44490855613819297</v>
      </c>
      <c r="W315" s="580">
        <f t="shared" si="144"/>
        <v>-16.477302380906256</v>
      </c>
      <c r="X315" s="581">
        <f t="shared" si="145"/>
        <v>-157.79670072348458</v>
      </c>
      <c r="Y315" s="584">
        <f t="shared" si="146"/>
        <v>22.203299276515423</v>
      </c>
      <c r="AA315" s="147">
        <f t="shared" si="147"/>
        <v>22132.5</v>
      </c>
      <c r="AB315" s="147">
        <f t="shared" si="148"/>
        <v>489847556.25</v>
      </c>
      <c r="AD315" s="583">
        <f t="shared" si="149"/>
        <v>25.336376287471868</v>
      </c>
      <c r="AE315" s="584">
        <f t="shared" si="150"/>
        <v>-41.006094494684938</v>
      </c>
      <c r="AG315" s="583">
        <f t="shared" si="151"/>
        <v>18.619606119171287</v>
      </c>
      <c r="AH315" s="584">
        <f t="shared" si="152"/>
        <v>-65.807841098587943</v>
      </c>
      <c r="AJ315" s="147">
        <f t="shared" si="153"/>
        <v>0</v>
      </c>
      <c r="AK315" s="147">
        <f t="shared" si="165"/>
        <v>0</v>
      </c>
      <c r="AM315" s="147" t="str">
        <f t="shared" si="157"/>
        <v>0.207860386310077+0.610339931860253i</v>
      </c>
      <c r="AN315" s="147" t="str">
        <f t="shared" si="158"/>
        <v>0.656489651263811i</v>
      </c>
      <c r="AO315" s="147" t="str">
        <f t="shared" si="159"/>
        <v>0.929702289571945-0.316624010614522i</v>
      </c>
      <c r="AP315" s="147" t="str">
        <f t="shared" si="160"/>
        <v>0.132023268948321-0.101723321976709i</v>
      </c>
      <c r="AQ315" s="147" t="str">
        <f t="shared" si="161"/>
        <v>0.867976731051679+0.101723321976709i</v>
      </c>
      <c r="AR315" s="147" t="str">
        <f t="shared" si="162"/>
        <v>0.946700330182352-0.110949405735696i</v>
      </c>
    </row>
    <row r="316" spans="7:44">
      <c r="G316" s="585">
        <v>22259.75</v>
      </c>
      <c r="H316" s="573">
        <f t="shared" si="154"/>
        <v>22.25975</v>
      </c>
      <c r="I316" s="574">
        <f t="shared" si="134"/>
        <v>153.75336121278383</v>
      </c>
      <c r="J316" s="575">
        <f t="shared" si="135"/>
        <v>1.564292358085432</v>
      </c>
      <c r="K316" s="575">
        <f t="shared" si="136"/>
        <v>1.0075457115955413</v>
      </c>
      <c r="L316" s="576">
        <f t="shared" si="137"/>
        <v>0.12246278605858418</v>
      </c>
      <c r="M316" s="575">
        <f t="shared" si="138"/>
        <v>1.0116397242794164</v>
      </c>
      <c r="N316" s="576">
        <f t="shared" si="139"/>
        <v>-0.15184157397783238</v>
      </c>
      <c r="O316" s="574">
        <f t="shared" si="140"/>
        <v>419586.40194621665</v>
      </c>
      <c r="P316" s="577">
        <f t="shared" si="141"/>
        <v>1.5707939434955442</v>
      </c>
      <c r="Q316" s="586">
        <f t="shared" si="163"/>
        <v>56.233470065490565</v>
      </c>
      <c r="R316" s="587">
        <f t="shared" si="164"/>
        <v>1.5530123858037659</v>
      </c>
      <c r="S316" s="574">
        <f t="shared" si="142"/>
        <v>1.3081554609492883</v>
      </c>
      <c r="T316" s="577">
        <f t="shared" si="143"/>
        <v>0.70063161412616337</v>
      </c>
      <c r="U316" s="578">
        <f t="shared" si="155"/>
        <v>0.93548828385970617</v>
      </c>
      <c r="V316" s="579">
        <f t="shared" si="156"/>
        <v>-0.44730977417766887</v>
      </c>
      <c r="W316" s="580">
        <f t="shared" si="144"/>
        <v>-16.552055389700495</v>
      </c>
      <c r="X316" s="581">
        <f t="shared" si="145"/>
        <v>-158.10163566560811</v>
      </c>
      <c r="Y316" s="584">
        <f t="shared" si="146"/>
        <v>21.898364334391886</v>
      </c>
      <c r="AA316" s="147">
        <f t="shared" si="147"/>
        <v>22259.75</v>
      </c>
      <c r="AB316" s="147">
        <f t="shared" si="148"/>
        <v>495496470.0625</v>
      </c>
      <c r="AD316" s="583">
        <f t="shared" si="149"/>
        <v>25.315732508038554</v>
      </c>
      <c r="AE316" s="584">
        <f t="shared" si="150"/>
        <v>-41.162042738809411</v>
      </c>
      <c r="AG316" s="583">
        <f t="shared" si="151"/>
        <v>18.57787086781731</v>
      </c>
      <c r="AH316" s="584">
        <f t="shared" si="152"/>
        <v>-65.681668477567271</v>
      </c>
      <c r="AJ316" s="147">
        <f t="shared" si="153"/>
        <v>0</v>
      </c>
      <c r="AK316" s="147">
        <f t="shared" si="165"/>
        <v>0</v>
      </c>
      <c r="AM316" s="147" t="str">
        <f t="shared" si="157"/>
        <v>0.210169729120283+0.613325479009369i</v>
      </c>
      <c r="AN316" s="147" t="str">
        <f t="shared" si="158"/>
        <v>0.660264114524776i</v>
      </c>
      <c r="AO316" s="147" t="str">
        <f t="shared" si="159"/>
        <v>0.928909303893956-0.318311603639935i</v>
      </c>
      <c r="AP316" s="147" t="str">
        <f t="shared" si="160"/>
        <v>0.131638378479953-0.102220913168228i</v>
      </c>
      <c r="AQ316" s="147" t="str">
        <f t="shared" si="161"/>
        <v>0.868361621520047+0.102220913168228i</v>
      </c>
      <c r="AR316" s="147" t="str">
        <f t="shared" si="162"/>
        <v>0.946166468100142-0.111379865232933i</v>
      </c>
    </row>
    <row r="317" spans="7:44">
      <c r="G317" s="585">
        <v>22387</v>
      </c>
      <c r="H317" s="573">
        <f t="shared" si="154"/>
        <v>22.387</v>
      </c>
      <c r="I317" s="574">
        <f t="shared" si="134"/>
        <v>154.63227000296317</v>
      </c>
      <c r="J317" s="575">
        <f t="shared" si="135"/>
        <v>1.5643293262757674</v>
      </c>
      <c r="K317" s="575">
        <f t="shared" si="136"/>
        <v>1.0076319020938378</v>
      </c>
      <c r="L317" s="576">
        <f t="shared" si="137"/>
        <v>0.12315581871244945</v>
      </c>
      <c r="M317" s="575">
        <f t="shared" si="138"/>
        <v>1.0117724073834848</v>
      </c>
      <c r="N317" s="576">
        <f t="shared" si="139"/>
        <v>-0.152696198408447</v>
      </c>
      <c r="O317" s="574">
        <f t="shared" si="140"/>
        <v>421985.00793448492</v>
      </c>
      <c r="P317" s="577">
        <f t="shared" si="141"/>
        <v>1.5707939570424618</v>
      </c>
      <c r="Q317" s="586">
        <f t="shared" si="163"/>
        <v>56.55483273164117</v>
      </c>
      <c r="R317" s="587">
        <f t="shared" si="164"/>
        <v>1.553113450414269</v>
      </c>
      <c r="S317" s="574">
        <f t="shared" si="142"/>
        <v>1.3112688697187087</v>
      </c>
      <c r="T317" s="577">
        <f t="shared" si="143"/>
        <v>0.70344224901776875</v>
      </c>
      <c r="U317" s="578">
        <f t="shared" si="155"/>
        <v>0.93481921815829672</v>
      </c>
      <c r="V317" s="579">
        <f t="shared" si="156"/>
        <v>-0.44970856974826751</v>
      </c>
      <c r="W317" s="580">
        <f t="shared" si="144"/>
        <v>-16.626561333849708</v>
      </c>
      <c r="X317" s="581">
        <f t="shared" si="145"/>
        <v>-158.40570089374219</v>
      </c>
      <c r="Y317" s="584">
        <f t="shared" si="146"/>
        <v>21.594299106257807</v>
      </c>
      <c r="AA317" s="147">
        <f t="shared" si="147"/>
        <v>22387</v>
      </c>
      <c r="AB317" s="147">
        <f t="shared" si="148"/>
        <v>501177769</v>
      </c>
      <c r="AD317" s="583">
        <f t="shared" si="149"/>
        <v>25.295069091388534</v>
      </c>
      <c r="AE317" s="584">
        <f t="shared" si="150"/>
        <v>-41.317290456569232</v>
      </c>
      <c r="AG317" s="583">
        <f t="shared" si="151"/>
        <v>18.536457165171111</v>
      </c>
      <c r="AH317" s="584">
        <f t="shared" si="152"/>
        <v>-65.55560426340746</v>
      </c>
      <c r="AJ317" s="147">
        <f t="shared" si="153"/>
        <v>0</v>
      </c>
      <c r="AK317" s="147">
        <f t="shared" si="165"/>
        <v>0</v>
      </c>
      <c r="AM317" s="147" t="str">
        <f t="shared" si="157"/>
        <v>0.21249032429167+0.616302288382707i</v>
      </c>
      <c r="AN317" s="147" t="str">
        <f t="shared" si="158"/>
        <v>0.664038577785742i</v>
      </c>
      <c r="AO317" s="147" t="str">
        <f t="shared" si="159"/>
        <v>0.928112174503154-0.31999695710485i</v>
      </c>
      <c r="AP317" s="147" t="str">
        <f t="shared" si="160"/>
        <v>0.131251612618055-0.102717048063784i</v>
      </c>
      <c r="AQ317" s="147" t="str">
        <f t="shared" si="161"/>
        <v>0.868748387381945+0.102717048063784i</v>
      </c>
      <c r="AR317" s="147" t="str">
        <f t="shared" si="162"/>
        <v>0.945631086628557-0.111807325557808i</v>
      </c>
    </row>
    <row r="318" spans="7:44">
      <c r="G318" s="585">
        <v>22517.5</v>
      </c>
      <c r="H318" s="573">
        <f t="shared" si="154"/>
        <v>22.517499999999998</v>
      </c>
      <c r="I318" s="574">
        <f t="shared" si="134"/>
        <v>155.53362658236716</v>
      </c>
      <c r="J318" s="575">
        <f t="shared" si="135"/>
        <v>1.5643668046921888</v>
      </c>
      <c r="K318" s="575">
        <f t="shared" si="136"/>
        <v>1.0077207964923023</v>
      </c>
      <c r="L318" s="576">
        <f t="shared" si="137"/>
        <v>0.12386642812864231</v>
      </c>
      <c r="M318" s="575">
        <f t="shared" si="138"/>
        <v>1.0119092465793182</v>
      </c>
      <c r="N318" s="576">
        <f t="shared" si="139"/>
        <v>-0.15357241674437583</v>
      </c>
      <c r="O318" s="574">
        <f t="shared" si="140"/>
        <v>424444.87497942802</v>
      </c>
      <c r="P318" s="577">
        <f t="shared" si="141"/>
        <v>1.5707939707763441</v>
      </c>
      <c r="Q318" s="586">
        <f t="shared" si="163"/>
        <v>56.884403681783013</v>
      </c>
      <c r="R318" s="587">
        <f t="shared" si="164"/>
        <v>1.5532159102137002</v>
      </c>
      <c r="S318" s="574">
        <f t="shared" si="142"/>
        <v>1.3144725029464144</v>
      </c>
      <c r="T318" s="577">
        <f t="shared" si="143"/>
        <v>0.70631081623383962</v>
      </c>
      <c r="U318" s="578">
        <f t="shared" si="155"/>
        <v>0.9341305111158531</v>
      </c>
      <c r="V318" s="579">
        <f t="shared" si="156"/>
        <v>-0.45216610798954476</v>
      </c>
      <c r="W318" s="580">
        <f t="shared" si="144"/>
        <v>-16.702716051514294</v>
      </c>
      <c r="X318" s="581">
        <f t="shared" si="145"/>
        <v>-158.71663057809582</v>
      </c>
      <c r="Y318" s="584">
        <f t="shared" si="146"/>
        <v>21.283369421904183</v>
      </c>
      <c r="AA318" s="147">
        <f t="shared" si="147"/>
        <v>22517.5</v>
      </c>
      <c r="AB318" s="147">
        <f t="shared" si="148"/>
        <v>507037806.25</v>
      </c>
      <c r="AD318" s="583">
        <f t="shared" si="149"/>
        <v>25.273858303746039</v>
      </c>
      <c r="AE318" s="584">
        <f t="shared" si="150"/>
        <v>-41.475777524297115</v>
      </c>
      <c r="AG318" s="583">
        <f t="shared" si="151"/>
        <v>18.494316219714509</v>
      </c>
      <c r="AH318" s="584">
        <f t="shared" si="152"/>
        <v>-65.426433741277037</v>
      </c>
      <c r="AJ318" s="147">
        <f t="shared" si="153"/>
        <v>0</v>
      </c>
      <c r="AK318" s="147">
        <f t="shared" si="165"/>
        <v>0</v>
      </c>
      <c r="AM318" s="147" t="str">
        <f t="shared" si="157"/>
        <v>0.214881840584546+0.619346006490789i</v>
      </c>
      <c r="AN318" s="147" t="str">
        <f t="shared" si="158"/>
        <v>0.667909441876555i</v>
      </c>
      <c r="AO318" s="147" t="str">
        <f t="shared" si="159"/>
        <v>0.927290389473575-0.321723016792239i</v>
      </c>
      <c r="AP318" s="147" t="str">
        <f t="shared" si="160"/>
        <v>0.130853026569242-0.103224334415131i</v>
      </c>
      <c r="AQ318" s="147" t="str">
        <f t="shared" si="161"/>
        <v>0.869146973430758+0.103224334415131i</v>
      </c>
      <c r="AR318" s="147" t="str">
        <f t="shared" si="162"/>
        <v>0.945080474297257-0.112242584868004i</v>
      </c>
    </row>
    <row r="319" spans="7:44">
      <c r="G319" s="585">
        <v>22648</v>
      </c>
      <c r="H319" s="573">
        <f t="shared" si="154"/>
        <v>22.648</v>
      </c>
      <c r="I319" s="574">
        <f t="shared" si="134"/>
        <v>156.43498337772107</v>
      </c>
      <c r="J319" s="575">
        <f t="shared" si="135"/>
        <v>1.5644038512177305</v>
      </c>
      <c r="K319" s="575">
        <f t="shared" si="136"/>
        <v>1.0078101996653279</v>
      </c>
      <c r="L319" s="576">
        <f t="shared" si="137"/>
        <v>0.12457691182676389</v>
      </c>
      <c r="M319" s="575">
        <f t="shared" si="138"/>
        <v>1.012046862466712</v>
      </c>
      <c r="N319" s="576">
        <f t="shared" si="139"/>
        <v>-0.15444839746024303</v>
      </c>
      <c r="O319" s="574">
        <f t="shared" si="140"/>
        <v>426904.74202437123</v>
      </c>
      <c r="P319" s="577">
        <f t="shared" si="141"/>
        <v>1.5707939843519543</v>
      </c>
      <c r="Q319" s="586">
        <f t="shared" si="163"/>
        <v>57.213975222218103</v>
      </c>
      <c r="R319" s="587">
        <f t="shared" si="164"/>
        <v>1.5533171896090896</v>
      </c>
      <c r="S319" s="574">
        <f t="shared" si="142"/>
        <v>1.3176868998984288</v>
      </c>
      <c r="T319" s="577">
        <f t="shared" si="143"/>
        <v>0.70916541154118418</v>
      </c>
      <c r="U319" s="578">
        <f t="shared" si="155"/>
        <v>0.93343923834661424</v>
      </c>
      <c r="V319" s="579">
        <f t="shared" si="156"/>
        <v>-0.45462108397081735</v>
      </c>
      <c r="W319" s="580">
        <f t="shared" si="144"/>
        <v>-16.778615920742112</v>
      </c>
      <c r="X319" s="581">
        <f t="shared" si="145"/>
        <v>-159.02664939042737</v>
      </c>
      <c r="Y319" s="584">
        <f t="shared" si="146"/>
        <v>20.973350609572634</v>
      </c>
      <c r="AA319" s="147">
        <f t="shared" si="147"/>
        <v>22648</v>
      </c>
      <c r="AB319" s="147">
        <f t="shared" si="148"/>
        <v>512931904</v>
      </c>
      <c r="AD319" s="583">
        <f t="shared" si="149"/>
        <v>25.252628428126485</v>
      </c>
      <c r="AE319" s="584">
        <f t="shared" si="150"/>
        <v>-41.633531683723795</v>
      </c>
      <c r="AG319" s="583">
        <f t="shared" si="151"/>
        <v>18.452506402834526</v>
      </c>
      <c r="AH319" s="584">
        <f t="shared" si="152"/>
        <v>-65.297378868794652</v>
      </c>
      <c r="AJ319" s="147">
        <f t="shared" si="153"/>
        <v>0</v>
      </c>
      <c r="AK319" s="147">
        <f t="shared" si="165"/>
        <v>0</v>
      </c>
      <c r="AM319" s="147" t="str">
        <f t="shared" si="157"/>
        <v>0.217285120750401+0.622380444584568i</v>
      </c>
      <c r="AN319" s="147" t="str">
        <f t="shared" si="158"/>
        <v>0.671780305967369i</v>
      </c>
      <c r="AO319" s="147" t="str">
        <f t="shared" si="159"/>
        <v>0.926464260794807-0.323446696517113i</v>
      </c>
      <c r="AP319" s="147" t="str">
        <f t="shared" si="160"/>
        <v>0.130452479874933-0.103730074097428i</v>
      </c>
      <c r="AQ319" s="147" t="str">
        <f t="shared" si="161"/>
        <v>0.869547520125067+0.103730074097428i</v>
      </c>
      <c r="AR319" s="147" t="str">
        <f t="shared" si="162"/>
        <v>0.944528306697418-0.112674683065912i</v>
      </c>
    </row>
    <row r="320" spans="7:44">
      <c r="G320" s="585">
        <v>22778.5</v>
      </c>
      <c r="H320" s="573">
        <f t="shared" si="154"/>
        <v>22.778500000000001</v>
      </c>
      <c r="I320" s="574">
        <f t="shared" si="134"/>
        <v>157.33634038531343</v>
      </c>
      <c r="J320" s="575">
        <f t="shared" si="135"/>
        <v>1.5644404732750101</v>
      </c>
      <c r="K320" s="575">
        <f t="shared" si="136"/>
        <v>1.0079001114775257</v>
      </c>
      <c r="L320" s="576">
        <f t="shared" si="137"/>
        <v>0.12528726912307858</v>
      </c>
      <c r="M320" s="575">
        <f t="shared" si="138"/>
        <v>1.0121852547288708</v>
      </c>
      <c r="N320" s="576">
        <f t="shared" si="139"/>
        <v>-0.15532413930888991</v>
      </c>
      <c r="O320" s="574">
        <f t="shared" si="140"/>
        <v>429364.60906931455</v>
      </c>
      <c r="P320" s="577">
        <f t="shared" si="141"/>
        <v>1.5707939977720129</v>
      </c>
      <c r="Q320" s="586">
        <f t="shared" si="163"/>
        <v>57.543547342804004</v>
      </c>
      <c r="R320" s="587">
        <f t="shared" si="164"/>
        <v>1.5534173088801075</v>
      </c>
      <c r="S320" s="574">
        <f t="shared" si="142"/>
        <v>1.3209119819952211</v>
      </c>
      <c r="T320" s="577">
        <f t="shared" si="143"/>
        <v>0.7120060905872706</v>
      </c>
      <c r="U320" s="578">
        <f t="shared" si="155"/>
        <v>0.93274541969464131</v>
      </c>
      <c r="V320" s="579">
        <f t="shared" si="156"/>
        <v>-0.45707349051506091</v>
      </c>
      <c r="W320" s="580">
        <f t="shared" si="144"/>
        <v>-16.854263398220869</v>
      </c>
      <c r="X320" s="581">
        <f t="shared" si="145"/>
        <v>-159.33575933910797</v>
      </c>
      <c r="Y320" s="584">
        <f t="shared" si="146"/>
        <v>20.664240660892034</v>
      </c>
      <c r="AA320" s="147">
        <f t="shared" si="147"/>
        <v>22778.5</v>
      </c>
      <c r="AB320" s="147">
        <f t="shared" si="148"/>
        <v>518860062.25</v>
      </c>
      <c r="AD320" s="583">
        <f t="shared" si="149"/>
        <v>25.231380242478441</v>
      </c>
      <c r="AE320" s="584">
        <f t="shared" si="150"/>
        <v>-41.790554961430672</v>
      </c>
      <c r="AG320" s="583">
        <f t="shared" si="151"/>
        <v>18.411024230414409</v>
      </c>
      <c r="AH320" s="584">
        <f t="shared" si="152"/>
        <v>-65.168440450176405</v>
      </c>
      <c r="AJ320" s="147">
        <f t="shared" si="153"/>
        <v>0</v>
      </c>
      <c r="AK320" s="147">
        <f t="shared" si="165"/>
        <v>0</v>
      </c>
      <c r="AM320" s="147" t="str">
        <f t="shared" si="157"/>
        <v>0.219700128779517+0.625405557197326i</v>
      </c>
      <c r="AN320" s="147" t="str">
        <f t="shared" si="158"/>
        <v>0.675651170058182i</v>
      </c>
      <c r="AO320" s="147" t="str">
        <f t="shared" si="159"/>
        <v>0.925633795829097-0.325167983888192i</v>
      </c>
      <c r="AP320" s="147" t="str">
        <f t="shared" si="160"/>
        <v>0.130049978536747-0.104234259532888i</v>
      </c>
      <c r="AQ320" s="147" t="str">
        <f t="shared" si="161"/>
        <v>0.869950021463253+0.104234259532888i</v>
      </c>
      <c r="AR320" s="147" t="str">
        <f t="shared" si="162"/>
        <v>0.943974605406815-0.113103616972076i</v>
      </c>
    </row>
    <row r="321" spans="7:44">
      <c r="G321" s="585">
        <v>22909</v>
      </c>
      <c r="H321" s="573">
        <f t="shared" si="154"/>
        <v>22.908999999999999</v>
      </c>
      <c r="I321" s="574">
        <f t="shared" si="134"/>
        <v>158.23769760151737</v>
      </c>
      <c r="J321" s="575">
        <f t="shared" si="135"/>
        <v>1.5644766781175261</v>
      </c>
      <c r="K321" s="575">
        <f t="shared" si="136"/>
        <v>1.0079905317927855</v>
      </c>
      <c r="L321" s="576">
        <f t="shared" si="137"/>
        <v>0.1259974993346043</v>
      </c>
      <c r="M321" s="575">
        <f t="shared" si="138"/>
        <v>1.012324423047386</v>
      </c>
      <c r="N321" s="576">
        <f t="shared" si="139"/>
        <v>-0.15619964104530337</v>
      </c>
      <c r="O321" s="574">
        <f t="shared" si="140"/>
        <v>431824.47611425788</v>
      </c>
      <c r="P321" s="577">
        <f t="shared" si="141"/>
        <v>1.570794011039178</v>
      </c>
      <c r="Q321" s="586">
        <f t="shared" si="163"/>
        <v>57.873120033629299</v>
      </c>
      <c r="R321" s="587">
        <f t="shared" si="164"/>
        <v>1.5535162878445687</v>
      </c>
      <c r="S321" s="574">
        <f t="shared" si="142"/>
        <v>1.324147671162867</v>
      </c>
      <c r="T321" s="577">
        <f t="shared" si="143"/>
        <v>0.71483290937671229</v>
      </c>
      <c r="U321" s="578">
        <f t="shared" si="155"/>
        <v>0.93204907499593659</v>
      </c>
      <c r="V321" s="579">
        <f t="shared" si="156"/>
        <v>-0.45952332054544132</v>
      </c>
      <c r="W321" s="580">
        <f t="shared" si="144"/>
        <v>-16.929660892815974</v>
      </c>
      <c r="X321" s="581">
        <f t="shared" si="145"/>
        <v>-159.64396247556087</v>
      </c>
      <c r="Y321" s="584">
        <f t="shared" si="146"/>
        <v>20.356037524439131</v>
      </c>
      <c r="AA321" s="147">
        <f t="shared" si="147"/>
        <v>22909</v>
      </c>
      <c r="AB321" s="147">
        <f t="shared" si="148"/>
        <v>524822281</v>
      </c>
      <c r="AD321" s="583">
        <f t="shared" si="149"/>
        <v>25.210114515071581</v>
      </c>
      <c r="AE321" s="584">
        <f t="shared" si="150"/>
        <v>-41.946849430920928</v>
      </c>
      <c r="AG321" s="583">
        <f t="shared" si="151"/>
        <v>18.369866275625014</v>
      </c>
      <c r="AH321" s="584">
        <f t="shared" si="152"/>
        <v>-65.039619274287858</v>
      </c>
      <c r="AJ321" s="147">
        <f t="shared" si="153"/>
        <v>0</v>
      </c>
      <c r="AK321" s="147">
        <f t="shared" si="165"/>
        <v>0</v>
      </c>
      <c r="AM321" s="147" t="str">
        <f t="shared" si="157"/>
        <v>0.222126828486454+0.628421299002076i</v>
      </c>
      <c r="AN321" s="147" t="str">
        <f t="shared" si="158"/>
        <v>0.679522034148996i</v>
      </c>
      <c r="AO321" s="147" t="str">
        <f t="shared" si="159"/>
        <v>0.924799001976564-0.326886866537942i</v>
      </c>
      <c r="AP321" s="147" t="str">
        <f t="shared" si="160"/>
        <v>0.129645528585591-0.104736883167013i</v>
      </c>
      <c r="AQ321" s="147" t="str">
        <f t="shared" si="161"/>
        <v>0.870354471414409+0.104736883167013i</v>
      </c>
      <c r="AR321" s="147" t="str">
        <f t="shared" si="162"/>
        <v>0.943419391965457-0.113529383577709i</v>
      </c>
    </row>
    <row r="322" spans="7:44">
      <c r="G322" s="585">
        <v>23042.25</v>
      </c>
      <c r="H322" s="573">
        <f t="shared" si="154"/>
        <v>23.042249999999999</v>
      </c>
      <c r="I322" s="574">
        <f t="shared" si="134"/>
        <v>159.15804914687334</v>
      </c>
      <c r="J322" s="575">
        <f t="shared" si="135"/>
        <v>1.5645132227674432</v>
      </c>
      <c r="K322" s="575">
        <f t="shared" si="136"/>
        <v>1.0080833820641433</v>
      </c>
      <c r="L322" s="576">
        <f t="shared" si="137"/>
        <v>0.12672256424421927</v>
      </c>
      <c r="M322" s="575">
        <f t="shared" si="138"/>
        <v>1.012467324458266</v>
      </c>
      <c r="N322" s="576">
        <f t="shared" si="139"/>
        <v>-0.15709334300530806</v>
      </c>
      <c r="O322" s="574">
        <f t="shared" si="140"/>
        <v>434336.17943792621</v>
      </c>
      <c r="P322" s="577">
        <f t="shared" si="141"/>
        <v>1.5707940244308585</v>
      </c>
      <c r="Q322" s="586">
        <f t="shared" si="163"/>
        <v>58.209638321170146</v>
      </c>
      <c r="R322" s="587">
        <f t="shared" si="164"/>
        <v>1.5536161960922898</v>
      </c>
      <c r="S322" s="574">
        <f t="shared" si="142"/>
        <v>1.3274624094614973</v>
      </c>
      <c r="T322" s="577">
        <f t="shared" si="143"/>
        <v>0.71770505424807796</v>
      </c>
      <c r="U322" s="578">
        <f t="shared" si="155"/>
        <v>0.93133547051436305</v>
      </c>
      <c r="V322" s="579">
        <f t="shared" si="156"/>
        <v>-0.46202210957017459</v>
      </c>
      <c r="W322" s="580">
        <f t="shared" si="144"/>
        <v>-17.006391737724407</v>
      </c>
      <c r="X322" s="581">
        <f t="shared" si="145"/>
        <v>-159.95772681202433</v>
      </c>
      <c r="Y322" s="584">
        <f t="shared" si="146"/>
        <v>20.042273187975667</v>
      </c>
      <c r="AA322" s="147">
        <f t="shared" si="147"/>
        <v>23042.25</v>
      </c>
      <c r="AB322" s="147">
        <f t="shared" si="148"/>
        <v>530945285.0625</v>
      </c>
      <c r="AD322" s="583">
        <f t="shared" si="149"/>
        <v>25.188383347416092</v>
      </c>
      <c r="AE322" s="584">
        <f t="shared" si="150"/>
        <v>-42.105687656735633</v>
      </c>
      <c r="AG322" s="583">
        <f t="shared" si="151"/>
        <v>18.328172043219986</v>
      </c>
      <c r="AH322" s="584">
        <f t="shared" si="152"/>
        <v>-64.908205254587756</v>
      </c>
      <c r="AJ322" s="147">
        <f t="shared" si="153"/>
        <v>0</v>
      </c>
      <c r="AK322" s="147">
        <f t="shared" si="165"/>
        <v>0</v>
      </c>
      <c r="AM322" s="147" t="str">
        <f t="shared" si="157"/>
        <v>0.224616691599282+0.631490874877506i</v>
      </c>
      <c r="AN322" s="147" t="str">
        <f t="shared" si="158"/>
        <v>0.683474468172757i</v>
      </c>
      <c r="AO322" s="147" t="str">
        <f t="shared" si="159"/>
        <v>0.923942157730885-0.328639476760246i</v>
      </c>
      <c r="AP322" s="147" t="str">
        <f t="shared" si="160"/>
        <v>0.12923055140012-0.105248479146251i</v>
      </c>
      <c r="AQ322" s="147" t="str">
        <f t="shared" si="161"/>
        <v>0.87076944859988+0.105248479146251i</v>
      </c>
      <c r="AR322" s="147" t="str">
        <f t="shared" si="162"/>
        <v>0.942850940680414-0.113960851207842i</v>
      </c>
    </row>
    <row r="323" spans="7:44">
      <c r="G323" s="585">
        <v>23175.5</v>
      </c>
      <c r="H323" s="573">
        <f t="shared" si="154"/>
        <v>23.1755</v>
      </c>
      <c r="I323" s="574">
        <f t="shared" si="134"/>
        <v>160.07840090234257</v>
      </c>
      <c r="J323" s="575">
        <f t="shared" si="135"/>
        <v>1.5645493471991587</v>
      </c>
      <c r="K323" s="575">
        <f t="shared" si="136"/>
        <v>1.008176762206433</v>
      </c>
      <c r="L323" s="576">
        <f t="shared" si="137"/>
        <v>0.12744749521981916</v>
      </c>
      <c r="M323" s="575">
        <f t="shared" si="138"/>
        <v>1.0126110343014154</v>
      </c>
      <c r="N323" s="576">
        <f t="shared" si="139"/>
        <v>-0.1579867920102303</v>
      </c>
      <c r="O323" s="574">
        <f t="shared" si="140"/>
        <v>436847.88276159455</v>
      </c>
      <c r="P323" s="577">
        <f t="shared" si="141"/>
        <v>1.5707940376685452</v>
      </c>
      <c r="Q323" s="586">
        <f t="shared" si="163"/>
        <v>58.546157183060295</v>
      </c>
      <c r="R323" s="587">
        <f t="shared" si="164"/>
        <v>1.553714955810958</v>
      </c>
      <c r="S323" s="574">
        <f t="shared" si="142"/>
        <v>1.330788043680627</v>
      </c>
      <c r="T323" s="577">
        <f t="shared" si="143"/>
        <v>0.72056286763817345</v>
      </c>
      <c r="U323" s="578">
        <f t="shared" si="155"/>
        <v>0.93061927416904167</v>
      </c>
      <c r="V323" s="579">
        <f t="shared" si="156"/>
        <v>-0.46451819775471814</v>
      </c>
      <c r="W323" s="580">
        <f t="shared" si="144"/>
        <v>-17.082866881841454</v>
      </c>
      <c r="X323" s="581">
        <f t="shared" si="145"/>
        <v>-160.27055016926164</v>
      </c>
      <c r="Y323" s="584">
        <f t="shared" si="146"/>
        <v>19.729449830738361</v>
      </c>
      <c r="AA323" s="147">
        <f t="shared" si="147"/>
        <v>23175.5</v>
      </c>
      <c r="AB323" s="147">
        <f t="shared" si="148"/>
        <v>537103800.25</v>
      </c>
      <c r="AD323" s="583">
        <f t="shared" si="149"/>
        <v>25.16663547916011</v>
      </c>
      <c r="AE323" s="584">
        <f t="shared" si="150"/>
        <v>-42.263770546202721</v>
      </c>
      <c r="AG323" s="583">
        <f t="shared" si="151"/>
        <v>18.28680879296525</v>
      </c>
      <c r="AH323" s="584">
        <f t="shared" si="152"/>
        <v>-64.776915085497578</v>
      </c>
      <c r="AJ323" s="147">
        <f t="shared" si="153"/>
        <v>0</v>
      </c>
      <c r="AK323" s="147">
        <f t="shared" si="165"/>
        <v>0</v>
      </c>
      <c r="AM323" s="147" t="str">
        <f t="shared" si="157"/>
        <v>0.227118667528687+0.634550585782858i</v>
      </c>
      <c r="AN323" s="147" t="str">
        <f t="shared" si="158"/>
        <v>0.687426902196519i</v>
      </c>
      <c r="AO323" s="147" t="str">
        <f t="shared" si="159"/>
        <v>0.923080815946093-0.330389553860898i</v>
      </c>
      <c r="AP323" s="147" t="str">
        <f t="shared" si="160"/>
        <v>0.128813555411885-0.10575843096381i</v>
      </c>
      <c r="AQ323" s="147" t="str">
        <f t="shared" si="161"/>
        <v>0.871186444588115+0.10575843096381i</v>
      </c>
      <c r="AR323" s="147" t="str">
        <f t="shared" si="162"/>
        <v>0.942280958104056-0.114389010842881i</v>
      </c>
    </row>
    <row r="324" spans="7:44">
      <c r="G324" s="585">
        <v>23308.75</v>
      </c>
      <c r="H324" s="573">
        <f t="shared" si="154"/>
        <v>23.30875</v>
      </c>
      <c r="I324" s="574">
        <f t="shared" si="134"/>
        <v>160.99875286432166</v>
      </c>
      <c r="J324" s="575">
        <f t="shared" si="135"/>
        <v>1.5645850586191297</v>
      </c>
      <c r="K324" s="575">
        <f t="shared" si="136"/>
        <v>1.0082706720724341</v>
      </c>
      <c r="L324" s="576">
        <f t="shared" si="137"/>
        <v>0.12817229153678422</v>
      </c>
      <c r="M324" s="575">
        <f t="shared" si="138"/>
        <v>1.0127555522326848</v>
      </c>
      <c r="N324" s="576">
        <f t="shared" si="139"/>
        <v>-0.15887998674166459</v>
      </c>
      <c r="O324" s="574">
        <f t="shared" si="140"/>
        <v>439359.58608526306</v>
      </c>
      <c r="P324" s="577">
        <f t="shared" si="141"/>
        <v>1.5707940507548792</v>
      </c>
      <c r="Q324" s="586">
        <f t="shared" si="163"/>
        <v>58.882676609452382</v>
      </c>
      <c r="R324" s="587">
        <f t="shared" si="164"/>
        <v>1.5538125866904489</v>
      </c>
      <c r="S324" s="574">
        <f t="shared" si="142"/>
        <v>1.334124492337954</v>
      </c>
      <c r="T324" s="577">
        <f t="shared" si="143"/>
        <v>0.72340641021531027</v>
      </c>
      <c r="U324" s="578">
        <f t="shared" si="155"/>
        <v>0.92990050704253602</v>
      </c>
      <c r="V324" s="579">
        <f t="shared" si="156"/>
        <v>-0.46701157788747449</v>
      </c>
      <c r="W324" s="580">
        <f t="shared" si="144"/>
        <v>-17.159088743219314</v>
      </c>
      <c r="X324" s="581">
        <f t="shared" si="145"/>
        <v>-160.58243486099971</v>
      </c>
      <c r="Y324" s="584">
        <f t="shared" si="146"/>
        <v>19.417565139000288</v>
      </c>
      <c r="AA324" s="147">
        <f t="shared" si="147"/>
        <v>23308.75</v>
      </c>
      <c r="AB324" s="147">
        <f t="shared" si="148"/>
        <v>543297826.5625</v>
      </c>
      <c r="AD324" s="583">
        <f t="shared" si="149"/>
        <v>25.144871697304573</v>
      </c>
      <c r="AE324" s="584">
        <f t="shared" si="150"/>
        <v>-42.421100447364914</v>
      </c>
      <c r="AG324" s="583">
        <f t="shared" si="151"/>
        <v>18.245773053393165</v>
      </c>
      <c r="AH324" s="584">
        <f t="shared" si="152"/>
        <v>-64.645749559089509</v>
      </c>
      <c r="AJ324" s="147">
        <f t="shared" si="153"/>
        <v>0</v>
      </c>
      <c r="AK324" s="147">
        <f t="shared" si="165"/>
        <v>0</v>
      </c>
      <c r="AM324" s="147" t="str">
        <f t="shared" si="157"/>
        <v>0.229632717189514+0.637600383920201i</v>
      </c>
      <c r="AN324" s="147" t="str">
        <f t="shared" si="158"/>
        <v>0.69137933622028i</v>
      </c>
      <c r="AO324" s="147" t="str">
        <f t="shared" si="159"/>
        <v>0.922214984621779-0.332137084751331i</v>
      </c>
      <c r="AP324" s="147" t="str">
        <f t="shared" si="160"/>
        <v>0.128394547135081-0.106266730653367i</v>
      </c>
      <c r="AQ324" s="147" t="str">
        <f t="shared" si="161"/>
        <v>0.871605452864919+0.106266730653367i</v>
      </c>
      <c r="AR324" s="147" t="str">
        <f t="shared" si="162"/>
        <v>0.941709467035654-0.114813859824157i</v>
      </c>
    </row>
    <row r="325" spans="7:44">
      <c r="G325" s="585">
        <v>23442</v>
      </c>
      <c r="H325" s="573">
        <f t="shared" si="154"/>
        <v>23.442</v>
      </c>
      <c r="I325" s="574">
        <f t="shared" si="134"/>
        <v>161.91910502928928</v>
      </c>
      <c r="J325" s="575">
        <f t="shared" si="135"/>
        <v>1.564620364069971</v>
      </c>
      <c r="K325" s="575">
        <f t="shared" si="136"/>
        <v>1.0083651115141454</v>
      </c>
      <c r="L325" s="576">
        <f t="shared" si="137"/>
        <v>0.1288969524713299</v>
      </c>
      <c r="M325" s="575">
        <f t="shared" si="138"/>
        <v>1.0129008779061865</v>
      </c>
      <c r="N325" s="576">
        <f t="shared" si="139"/>
        <v>-0.1597729258835785</v>
      </c>
      <c r="O325" s="574">
        <f t="shared" si="140"/>
        <v>441871.28940893163</v>
      </c>
      <c r="P325" s="577">
        <f t="shared" si="141"/>
        <v>1.5707940636924413</v>
      </c>
      <c r="Q325" s="586">
        <f t="shared" si="163"/>
        <v>59.219196590722881</v>
      </c>
      <c r="R325" s="587">
        <f t="shared" si="164"/>
        <v>1.5539091079731655</v>
      </c>
      <c r="S325" s="574">
        <f t="shared" si="142"/>
        <v>1.3374716745005868</v>
      </c>
      <c r="T325" s="577">
        <f t="shared" si="143"/>
        <v>0.72623574296654247</v>
      </c>
      <c r="U325" s="578">
        <f t="shared" si="155"/>
        <v>0.92917919020324724</v>
      </c>
      <c r="V325" s="579">
        <f t="shared" si="156"/>
        <v>-0.46950224286491909</v>
      </c>
      <c r="W325" s="580">
        <f t="shared" si="144"/>
        <v>-17.235059693194955</v>
      </c>
      <c r="X325" s="581">
        <f t="shared" si="145"/>
        <v>-160.89338324175546</v>
      </c>
      <c r="Y325" s="584">
        <f t="shared" si="146"/>
        <v>19.106616758244542</v>
      </c>
      <c r="AA325" s="147">
        <f t="shared" si="147"/>
        <v>23442</v>
      </c>
      <c r="AB325" s="147">
        <f t="shared" si="148"/>
        <v>549527364</v>
      </c>
      <c r="AD325" s="583">
        <f t="shared" si="149"/>
        <v>25.123092778583519</v>
      </c>
      <c r="AE325" s="584">
        <f t="shared" si="150"/>
        <v>-42.577679752162418</v>
      </c>
      <c r="AG325" s="583">
        <f t="shared" si="151"/>
        <v>18.205061409846138</v>
      </c>
      <c r="AH325" s="584">
        <f t="shared" si="152"/>
        <v>-64.514709451944398</v>
      </c>
      <c r="AJ325" s="147">
        <f t="shared" si="153"/>
        <v>0</v>
      </c>
      <c r="AK325" s="147">
        <f t="shared" si="165"/>
        <v>0</v>
      </c>
      <c r="AM325" s="147" t="str">
        <f t="shared" si="157"/>
        <v>0.232158801307997+0.640640221646462i</v>
      </c>
      <c r="AN325" s="147" t="str">
        <f t="shared" si="158"/>
        <v>0.695331770244042i</v>
      </c>
      <c r="AO325" s="147" t="str">
        <f t="shared" si="159"/>
        <v>0.921344671798349-0.333882056369315i</v>
      </c>
      <c r="AP325" s="147" t="str">
        <f t="shared" si="160"/>
        <v>0.127973533115334-0.10677337027441i</v>
      </c>
      <c r="AQ325" s="147" t="str">
        <f t="shared" si="161"/>
        <v>0.872026466884666+0.10677337027441i</v>
      </c>
      <c r="AR325" s="147" t="str">
        <f t="shared" si="162"/>
        <v>0.941136490227093-0.115235395674139i</v>
      </c>
    </row>
    <row r="326" spans="7:44">
      <c r="G326" s="585">
        <v>23578.5</v>
      </c>
      <c r="H326" s="573">
        <f t="shared" si="154"/>
        <v>23.578499999999998</v>
      </c>
      <c r="I326" s="574">
        <f t="shared" si="134"/>
        <v>162.86190501491456</v>
      </c>
      <c r="J326" s="575">
        <f t="shared" si="135"/>
        <v>1.5646561168812747</v>
      </c>
      <c r="K326" s="575">
        <f t="shared" si="136"/>
        <v>1.0084624033092975</v>
      </c>
      <c r="L326" s="576">
        <f t="shared" si="137"/>
        <v>0.12963914693141382</v>
      </c>
      <c r="M326" s="575">
        <f t="shared" si="138"/>
        <v>1.0130505852789604</v>
      </c>
      <c r="N326" s="576">
        <f t="shared" si="139"/>
        <v>-0.16068737763941549</v>
      </c>
      <c r="O326" s="574">
        <f t="shared" si="140"/>
        <v>444444.25378927501</v>
      </c>
      <c r="P326" s="577">
        <f t="shared" si="141"/>
        <v>1.5707940767939315</v>
      </c>
      <c r="Q326" s="586">
        <f t="shared" si="163"/>
        <v>59.563924941927617</v>
      </c>
      <c r="R326" s="587">
        <f t="shared" si="164"/>
        <v>1.5540068525687734</v>
      </c>
      <c r="S326" s="574">
        <f t="shared" si="142"/>
        <v>1.3409115406169443</v>
      </c>
      <c r="T326" s="577">
        <f t="shared" si="143"/>
        <v>0.7291194139775673</v>
      </c>
      <c r="U326" s="578">
        <f t="shared" si="155"/>
        <v>0.92843765852374482</v>
      </c>
      <c r="V326" s="579">
        <f t="shared" si="156"/>
        <v>-0.47205083315878732</v>
      </c>
      <c r="W326" s="580">
        <f t="shared" si="144"/>
        <v>-17.312625858409504</v>
      </c>
      <c r="X326" s="581">
        <f t="shared" si="145"/>
        <v>-161.21094738719293</v>
      </c>
      <c r="Y326" s="584">
        <f t="shared" si="146"/>
        <v>18.789052612807069</v>
      </c>
      <c r="AA326" s="147">
        <f t="shared" si="147"/>
        <v>23578.5</v>
      </c>
      <c r="AB326" s="147">
        <f t="shared" si="148"/>
        <v>555945662.25</v>
      </c>
      <c r="AD326" s="583">
        <f t="shared" si="149"/>
        <v>25.100767772771484</v>
      </c>
      <c r="AE326" s="584">
        <f t="shared" si="150"/>
        <v>-42.737302328642301</v>
      </c>
      <c r="AG326" s="583">
        <f t="shared" si="151"/>
        <v>18.163689337985151</v>
      </c>
      <c r="AH326" s="584">
        <f t="shared" si="152"/>
        <v>-64.380604085474914</v>
      </c>
      <c r="AJ326" s="147">
        <f t="shared" si="153"/>
        <v>0</v>
      </c>
      <c r="AK326" s="147">
        <f t="shared" si="165"/>
        <v>0</v>
      </c>
      <c r="AM326" s="147" t="str">
        <f t="shared" si="157"/>
        <v>0.234758934305413+0.643743824339009i</v>
      </c>
      <c r="AN326" s="147" t="str">
        <f t="shared" si="158"/>
        <v>0.699380605097651i</v>
      </c>
      <c r="AO326" s="147" t="str">
        <f t="shared" si="159"/>
        <v>0.920448493491075-0.335666920978792i</v>
      </c>
      <c r="AP326" s="147" t="str">
        <f t="shared" si="160"/>
        <v>0.127540177615764-0.107290637389835i</v>
      </c>
      <c r="AQ326" s="147" t="str">
        <f t="shared" si="161"/>
        <v>0.872459822384236+0.107290637389835i</v>
      </c>
      <c r="AR326" s="147" t="str">
        <f t="shared" si="162"/>
        <v>0.940548021567354-0.115663775156935i</v>
      </c>
    </row>
    <row r="327" spans="7:44">
      <c r="G327" s="585">
        <v>23715</v>
      </c>
      <c r="H327" s="573">
        <f t="shared" si="154"/>
        <v>23.715</v>
      </c>
      <c r="I327" s="574">
        <f t="shared" si="134"/>
        <v>163.80470520632386</v>
      </c>
      <c r="J327" s="575">
        <f t="shared" si="135"/>
        <v>1.5646914581323166</v>
      </c>
      <c r="K327" s="575">
        <f t="shared" si="136"/>
        <v>1.0085602505112481</v>
      </c>
      <c r="L327" s="576">
        <f t="shared" si="137"/>
        <v>0.13038119778965626</v>
      </c>
      <c r="M327" s="575">
        <f t="shared" si="138"/>
        <v>1.0132011395361815</v>
      </c>
      <c r="N327" s="576">
        <f t="shared" si="139"/>
        <v>-0.16160155839787535</v>
      </c>
      <c r="O327" s="574">
        <f t="shared" si="140"/>
        <v>447017.21816961857</v>
      </c>
      <c r="P327" s="577">
        <f t="shared" si="141"/>
        <v>1.5707940897446011</v>
      </c>
      <c r="Q327" s="586">
        <f t="shared" si="163"/>
        <v>59.908653855657271</v>
      </c>
      <c r="R327" s="587">
        <f t="shared" si="164"/>
        <v>1.5541034722731106</v>
      </c>
      <c r="S327" s="574">
        <f t="shared" si="142"/>
        <v>1.3443625000457711</v>
      </c>
      <c r="T327" s="577">
        <f t="shared" si="143"/>
        <v>0.73198830405820858</v>
      </c>
      <c r="U327" s="578">
        <f t="shared" si="155"/>
        <v>0.92769349594372541</v>
      </c>
      <c r="V327" s="579">
        <f t="shared" si="156"/>
        <v>-0.47459655949182777</v>
      </c>
      <c r="W327" s="580">
        <f t="shared" si="144"/>
        <v>-17.389933615920562</v>
      </c>
      <c r="X327" s="581">
        <f t="shared" si="145"/>
        <v>-161.52753411782118</v>
      </c>
      <c r="Y327" s="584">
        <f t="shared" si="146"/>
        <v>18.472465882178824</v>
      </c>
      <c r="AA327" s="147">
        <f t="shared" si="147"/>
        <v>23715</v>
      </c>
      <c r="AB327" s="147">
        <f t="shared" si="148"/>
        <v>562401225</v>
      </c>
      <c r="AD327" s="583">
        <f t="shared" si="149"/>
        <v>25.078428500025684</v>
      </c>
      <c r="AE327" s="584">
        <f t="shared" si="150"/>
        <v>-42.896142463073879</v>
      </c>
      <c r="AG327" s="583">
        <f t="shared" si="151"/>
        <v>18.122650287836819</v>
      </c>
      <c r="AH327" s="584">
        <f t="shared" si="152"/>
        <v>-64.246631931981184</v>
      </c>
      <c r="AJ327" s="147">
        <f t="shared" si="153"/>
        <v>0</v>
      </c>
      <c r="AK327" s="147">
        <f t="shared" si="165"/>
        <v>0</v>
      </c>
      <c r="AM327" s="147" t="str">
        <f t="shared" si="157"/>
        <v>0.237371611931206+0.646836874112472i</v>
      </c>
      <c r="AN327" s="147" t="str">
        <f t="shared" si="158"/>
        <v>0.703429439951261i</v>
      </c>
      <c r="AO327" s="147" t="str">
        <f t="shared" si="159"/>
        <v>0.91954762962052-0.337449072287411i</v>
      </c>
      <c r="AP327" s="147" t="str">
        <f t="shared" si="160"/>
        <v>0.127104731344799-0.107806145685412i</v>
      </c>
      <c r="AQ327" s="147" t="str">
        <f t="shared" si="161"/>
        <v>0.872895268655201+0.107806145685412i</v>
      </c>
      <c r="AR327" s="147" t="str">
        <f t="shared" si="162"/>
        <v>0.939958041982236-0.11608867323594i</v>
      </c>
    </row>
    <row r="328" spans="7:44">
      <c r="G328" s="585">
        <v>23851.5</v>
      </c>
      <c r="H328" s="573">
        <f t="shared" si="154"/>
        <v>23.851500000000001</v>
      </c>
      <c r="I328" s="574">
        <f t="shared" si="134"/>
        <v>164.74750559998427</v>
      </c>
      <c r="J328" s="575">
        <f t="shared" si="135"/>
        <v>1.5647263948887145</v>
      </c>
      <c r="K328" s="575">
        <f t="shared" si="136"/>
        <v>1.0086586529583619</v>
      </c>
      <c r="L328" s="576">
        <f t="shared" si="137"/>
        <v>0.13112310427076299</v>
      </c>
      <c r="M328" s="575">
        <f t="shared" si="138"/>
        <v>1.0133525403003838</v>
      </c>
      <c r="N328" s="576">
        <f t="shared" si="139"/>
        <v>-0.16251546675207673</v>
      </c>
      <c r="O328" s="574">
        <f t="shared" si="140"/>
        <v>449590.18254996213</v>
      </c>
      <c r="P328" s="577">
        <f t="shared" si="141"/>
        <v>1.5707941025470398</v>
      </c>
      <c r="Q328" s="586">
        <f t="shared" si="163"/>
        <v>60.253383322256688</v>
      </c>
      <c r="R328" s="587">
        <f t="shared" si="164"/>
        <v>1.5541989863919787</v>
      </c>
      <c r="S328" s="574">
        <f t="shared" si="142"/>
        <v>1.3478244675773734</v>
      </c>
      <c r="T328" s="577">
        <f t="shared" si="143"/>
        <v>0.73484247969935512</v>
      </c>
      <c r="U328" s="578">
        <f t="shared" si="155"/>
        <v>0.92694672505614295</v>
      </c>
      <c r="V328" s="579">
        <f t="shared" si="156"/>
        <v>-0.47713941457917908</v>
      </c>
      <c r="W328" s="580">
        <f t="shared" si="144"/>
        <v>-17.466985370298872</v>
      </c>
      <c r="X328" s="581">
        <f t="shared" si="145"/>
        <v>-161.84314608854598</v>
      </c>
      <c r="Y328" s="584">
        <f t="shared" si="146"/>
        <v>18.156853911454021</v>
      </c>
      <c r="AA328" s="147">
        <f t="shared" si="147"/>
        <v>23851.5</v>
      </c>
      <c r="AB328" s="147">
        <f t="shared" si="148"/>
        <v>568894052.25</v>
      </c>
      <c r="AD328" s="583">
        <f t="shared" si="149"/>
        <v>25.056075762251616</v>
      </c>
      <c r="AE328" s="584">
        <f t="shared" si="150"/>
        <v>-43.054202859111889</v>
      </c>
      <c r="AG328" s="583">
        <f t="shared" si="151"/>
        <v>18.081940765888312</v>
      </c>
      <c r="AH328" s="584">
        <f t="shared" si="152"/>
        <v>-64.112793777497785</v>
      </c>
      <c r="AJ328" s="147">
        <f t="shared" si="153"/>
        <v>0</v>
      </c>
      <c r="AK328" s="147">
        <f t="shared" si="165"/>
        <v>0</v>
      </c>
      <c r="AM328" s="147" t="str">
        <f t="shared" si="157"/>
        <v>0.239996791355644+0.649919320262357i</v>
      </c>
      <c r="AN328" s="147" t="str">
        <f t="shared" si="158"/>
        <v>0.70747827480487i</v>
      </c>
      <c r="AO328" s="147" t="str">
        <f t="shared" si="159"/>
        <v>0.918642088962536-0.339228496340524i</v>
      </c>
      <c r="AP328" s="147" t="str">
        <f t="shared" si="160"/>
        <v>0.126667201440726-0.108319886710393i</v>
      </c>
      <c r="AQ328" s="147" t="str">
        <f t="shared" si="161"/>
        <v>0.873332798559274+0.108319886710393i</v>
      </c>
      <c r="AR328" s="147" t="str">
        <f t="shared" si="162"/>
        <v>0.939366575764514-0.116510087831582i</v>
      </c>
    </row>
    <row r="329" spans="7:44">
      <c r="G329" s="585">
        <v>23988</v>
      </c>
      <c r="H329" s="573">
        <f t="shared" si="154"/>
        <v>23.988</v>
      </c>
      <c r="I329" s="574">
        <f t="shared" si="134"/>
        <v>165.69030619244322</v>
      </c>
      <c r="J329" s="575">
        <f t="shared" si="135"/>
        <v>1.5647609340552719</v>
      </c>
      <c r="K329" s="575">
        <f t="shared" si="136"/>
        <v>1.0087576104881493</v>
      </c>
      <c r="L329" s="576">
        <f t="shared" si="137"/>
        <v>0.13186486560037713</v>
      </c>
      <c r="M329" s="575">
        <f t="shared" si="138"/>
        <v>1.0135047871922052</v>
      </c>
      <c r="N329" s="576">
        <f t="shared" si="139"/>
        <v>-0.16342910129779656</v>
      </c>
      <c r="O329" s="574">
        <f t="shared" si="140"/>
        <v>452163.14693030587</v>
      </c>
      <c r="P329" s="577">
        <f t="shared" si="141"/>
        <v>1.5707941152037779</v>
      </c>
      <c r="Q329" s="586">
        <f t="shared" si="163"/>
        <v>60.59811333229041</v>
      </c>
      <c r="R329" s="587">
        <f t="shared" si="164"/>
        <v>1.5542934137919546</v>
      </c>
      <c r="S329" s="574">
        <f t="shared" si="142"/>
        <v>1.3512973586048522</v>
      </c>
      <c r="T329" s="577">
        <f t="shared" si="143"/>
        <v>0.73768200767055503</v>
      </c>
      <c r="U329" s="578">
        <f t="shared" si="155"/>
        <v>0.92619736843250944</v>
      </c>
      <c r="V329" s="579">
        <f t="shared" si="156"/>
        <v>-0.47967939125391357</v>
      </c>
      <c r="W329" s="580">
        <f t="shared" si="144"/>
        <v>-17.543783479906626</v>
      </c>
      <c r="X329" s="581">
        <f t="shared" si="145"/>
        <v>-162.15778599304303</v>
      </c>
      <c r="Y329" s="584">
        <f t="shared" si="146"/>
        <v>17.842214006956965</v>
      </c>
      <c r="AA329" s="147">
        <f t="shared" si="147"/>
        <v>23988</v>
      </c>
      <c r="AB329" s="147">
        <f t="shared" si="148"/>
        <v>575424144</v>
      </c>
      <c r="AD329" s="583">
        <f t="shared" si="149"/>
        <v>25.03371035036022</v>
      </c>
      <c r="AE329" s="584">
        <f t="shared" si="150"/>
        <v>-43.211486261539363</v>
      </c>
      <c r="AG329" s="583">
        <f t="shared" si="151"/>
        <v>18.041557335706127</v>
      </c>
      <c r="AH329" s="584">
        <f t="shared" si="152"/>
        <v>-63.979090392186897</v>
      </c>
      <c r="AJ329" s="147">
        <f t="shared" si="153"/>
        <v>0</v>
      </c>
      <c r="AK329" s="147">
        <f t="shared" si="165"/>
        <v>0</v>
      </c>
      <c r="AM329" s="147" t="str">
        <f t="shared" si="157"/>
        <v>0.242634429544053+0.652991112257999i</v>
      </c>
      <c r="AN329" s="147" t="str">
        <f t="shared" si="158"/>
        <v>0.71152710965848i</v>
      </c>
      <c r="AO329" s="147" t="str">
        <f t="shared" si="159"/>
        <v>0.917731880337522-0.341005179213077i</v>
      </c>
      <c r="AP329" s="147" t="str">
        <f t="shared" si="160"/>
        <v>0.126227595075991-0.108831852043i</v>
      </c>
      <c r="AQ329" s="147" t="str">
        <f t="shared" si="161"/>
        <v>0.873772404924009+0.108831852043i</v>
      </c>
      <c r="AR329" s="147" t="str">
        <f t="shared" si="162"/>
        <v>0.938773647148008-0.11692801705859i</v>
      </c>
    </row>
    <row r="330" spans="7:44">
      <c r="G330" s="585">
        <v>24127.75</v>
      </c>
      <c r="H330" s="573">
        <f t="shared" si="154"/>
        <v>24.127749999999999</v>
      </c>
      <c r="I330" s="574">
        <f t="shared" si="134"/>
        <v>166.65555462048772</v>
      </c>
      <c r="J330" s="575">
        <f t="shared" si="135"/>
        <v>1.5647958907267763</v>
      </c>
      <c r="K330" s="575">
        <f t="shared" si="136"/>
        <v>1.0088594990434192</v>
      </c>
      <c r="L330" s="576">
        <f t="shared" si="137"/>
        <v>0.13262413672980305</v>
      </c>
      <c r="M330" s="575">
        <f t="shared" si="138"/>
        <v>1.0136615351981924</v>
      </c>
      <c r="N330" s="576">
        <f t="shared" si="139"/>
        <v>-0.16436420391850673</v>
      </c>
      <c r="O330" s="574">
        <f t="shared" si="140"/>
        <v>454797.37236732448</v>
      </c>
      <c r="P330" s="577">
        <f t="shared" si="141"/>
        <v>1.5707941280135036</v>
      </c>
      <c r="Q330" s="586">
        <f t="shared" si="163"/>
        <v>60.95105175307409</v>
      </c>
      <c r="R330" s="587">
        <f t="shared" si="164"/>
        <v>1.5543889828776338</v>
      </c>
      <c r="S330" s="574">
        <f t="shared" si="142"/>
        <v>1.3548641665149799</v>
      </c>
      <c r="T330" s="577">
        <f t="shared" si="143"/>
        <v>0.74057403849420711</v>
      </c>
      <c r="U330" s="578">
        <f t="shared" si="155"/>
        <v>0.92542751471337836</v>
      </c>
      <c r="V330" s="579">
        <f t="shared" si="156"/>
        <v>-0.48227685417454669</v>
      </c>
      <c r="W330" s="580">
        <f t="shared" si="144"/>
        <v>-17.622149755927616</v>
      </c>
      <c r="X330" s="581">
        <f t="shared" si="145"/>
        <v>-162.47891311740196</v>
      </c>
      <c r="Y330" s="584">
        <f t="shared" si="146"/>
        <v>17.521086882598041</v>
      </c>
      <c r="AA330" s="147">
        <f t="shared" si="147"/>
        <v>24127.75</v>
      </c>
      <c r="AB330" s="147">
        <f t="shared" si="148"/>
        <v>582148320.0625</v>
      </c>
      <c r="AD330" s="583">
        <f t="shared" si="149"/>
        <v>25.010800112727658</v>
      </c>
      <c r="AE330" s="584">
        <f t="shared" si="150"/>
        <v>-43.371712450821335</v>
      </c>
      <c r="AG330" s="583">
        <f t="shared" si="151"/>
        <v>18.00054669581716</v>
      </c>
      <c r="AH330" s="584">
        <f t="shared" si="152"/>
        <v>-63.842344001335746</v>
      </c>
      <c r="AJ330" s="147">
        <f t="shared" si="153"/>
        <v>0</v>
      </c>
      <c r="AK330" s="147">
        <f t="shared" si="165"/>
        <v>0</v>
      </c>
      <c r="AM330" s="147" t="str">
        <f t="shared" si="157"/>
        <v>0.245347730740732+0.656124951896997i</v>
      </c>
      <c r="AN330" s="147" t="str">
        <f t="shared" si="158"/>
        <v>0.715672345341937i</v>
      </c>
      <c r="AO330" s="147" t="str">
        <f t="shared" si="159"/>
        <v>0.916795173332443-0.342821309692369i</v>
      </c>
      <c r="AP330" s="147" t="str">
        <f t="shared" si="160"/>
        <v>0.125775378209878-0.1093541586495i</v>
      </c>
      <c r="AQ330" s="147" t="str">
        <f t="shared" si="161"/>
        <v>0.874224621790122+0.1093541586495i</v>
      </c>
      <c r="AR330" s="147" t="str">
        <f t="shared" si="162"/>
        <v>0.938165111383423-0.117352284381529i</v>
      </c>
    </row>
    <row r="331" spans="7:44">
      <c r="G331" s="585">
        <v>24267.5</v>
      </c>
      <c r="H331" s="573">
        <f t="shared" si="154"/>
        <v>24.267499999999998</v>
      </c>
      <c r="I331" s="574">
        <f t="shared" si="134"/>
        <v>167.62080324983475</v>
      </c>
      <c r="J331" s="575">
        <f t="shared" si="135"/>
        <v>1.5648304448005708</v>
      </c>
      <c r="K331" s="575">
        <f t="shared" si="136"/>
        <v>1.0089619690811138</v>
      </c>
      <c r="L331" s="576">
        <f t="shared" si="137"/>
        <v>0.13338325407383936</v>
      </c>
      <c r="M331" s="575">
        <f t="shared" si="138"/>
        <v>1.0138191692924325</v>
      </c>
      <c r="N331" s="576">
        <f t="shared" si="139"/>
        <v>-0.16529901656678356</v>
      </c>
      <c r="O331" s="574">
        <f t="shared" si="140"/>
        <v>457431.5978043431</v>
      </c>
      <c r="P331" s="577">
        <f t="shared" si="141"/>
        <v>1.5707941406756936</v>
      </c>
      <c r="Q331" s="586">
        <f t="shared" si="163"/>
        <v>61.303990724141194</v>
      </c>
      <c r="R331" s="587">
        <f t="shared" si="164"/>
        <v>1.5544834515446235</v>
      </c>
      <c r="S331" s="574">
        <f t="shared" si="142"/>
        <v>1.3584422467329105</v>
      </c>
      <c r="T331" s="577">
        <f t="shared" si="143"/>
        <v>0.74345085829663105</v>
      </c>
      <c r="U331" s="578">
        <f t="shared" si="155"/>
        <v>0.92465499846855292</v>
      </c>
      <c r="V331" s="579">
        <f t="shared" si="156"/>
        <v>-0.48487128515760713</v>
      </c>
      <c r="W331" s="580">
        <f t="shared" si="144"/>
        <v>-17.700255024768271</v>
      </c>
      <c r="X331" s="581">
        <f t="shared" si="145"/>
        <v>-162.79902716801558</v>
      </c>
      <c r="Y331" s="584">
        <f t="shared" si="146"/>
        <v>17.200972831984416</v>
      </c>
      <c r="AA331" s="147">
        <f t="shared" si="147"/>
        <v>24267.5</v>
      </c>
      <c r="AB331" s="147">
        <f t="shared" si="148"/>
        <v>588911556.25</v>
      </c>
      <c r="AD331" s="583">
        <f t="shared" si="149"/>
        <v>24.987878233092722</v>
      </c>
      <c r="AE331" s="584">
        <f t="shared" si="150"/>
        <v>-43.531130153677374</v>
      </c>
      <c r="AG331" s="583">
        <f t="shared" si="151"/>
        <v>17.959870748713783</v>
      </c>
      <c r="AH331" s="584">
        <f t="shared" si="152"/>
        <v>-63.705740457618973</v>
      </c>
      <c r="AJ331" s="147">
        <f t="shared" si="153"/>
        <v>0</v>
      </c>
      <c r="AK331" s="147">
        <f t="shared" si="165"/>
        <v>0</v>
      </c>
      <c r="AM331" s="147" t="str">
        <f t="shared" si="157"/>
        <v>0.24807399909284+0.659247517370954i</v>
      </c>
      <c r="AN331" s="147" t="str">
        <f t="shared" si="158"/>
        <v>0.719817581025394i</v>
      </c>
      <c r="AO331" s="147" t="str">
        <f t="shared" si="159"/>
        <v>0.915853592283538-0.344634537460802i</v>
      </c>
      <c r="AP331" s="147" t="str">
        <f t="shared" si="160"/>
        <v>0.125321000151193-0.109874586228492i</v>
      </c>
      <c r="AQ331" s="147" t="str">
        <f t="shared" si="161"/>
        <v>0.874678999848807+0.109874586228492i</v>
      </c>
      <c r="AR331" s="147" t="str">
        <f t="shared" si="162"/>
        <v>0.937555093964423-0.117772895008983i</v>
      </c>
    </row>
    <row r="332" spans="7:44">
      <c r="G332" s="585">
        <v>24407.25</v>
      </c>
      <c r="H332" s="573">
        <f t="shared" si="154"/>
        <v>24.407250000000001</v>
      </c>
      <c r="I332" s="574">
        <f t="shared" si="134"/>
        <v>168.58605207702652</v>
      </c>
      <c r="J332" s="575">
        <f t="shared" si="135"/>
        <v>1.5648646031918589</v>
      </c>
      <c r="K332" s="575">
        <f t="shared" si="136"/>
        <v>1.0090650204240847</v>
      </c>
      <c r="L332" s="576">
        <f t="shared" si="137"/>
        <v>0.13414221680457381</v>
      </c>
      <c r="M332" s="575">
        <f t="shared" si="138"/>
        <v>1.0139776890616692</v>
      </c>
      <c r="N332" s="576">
        <f t="shared" si="139"/>
        <v>-0.16623353774442981</v>
      </c>
      <c r="O332" s="574">
        <f t="shared" si="140"/>
        <v>460065.82324136182</v>
      </c>
      <c r="P332" s="577">
        <f t="shared" si="141"/>
        <v>1.5707941531928826</v>
      </c>
      <c r="Q332" s="586">
        <f t="shared" si="163"/>
        <v>61.656930236041852</v>
      </c>
      <c r="R332" s="587">
        <f t="shared" si="164"/>
        <v>1.5545768386884289</v>
      </c>
      <c r="S332" s="574">
        <f t="shared" si="142"/>
        <v>1.362031510421007</v>
      </c>
      <c r="T332" s="577">
        <f t="shared" si="143"/>
        <v>0.74631253952615417</v>
      </c>
      <c r="U332" s="578">
        <f t="shared" si="155"/>
        <v>0.9238798438411614</v>
      </c>
      <c r="V332" s="579">
        <f t="shared" si="156"/>
        <v>-0.4874626768942153</v>
      </c>
      <c r="W332" s="580">
        <f t="shared" si="144"/>
        <v>-17.7781016746356</v>
      </c>
      <c r="X332" s="581">
        <f t="shared" si="145"/>
        <v>-163.11813115241938</v>
      </c>
      <c r="Y332" s="584">
        <f t="shared" si="146"/>
        <v>16.88186884758062</v>
      </c>
      <c r="AA332" s="147">
        <f t="shared" si="147"/>
        <v>24407.25</v>
      </c>
      <c r="AB332" s="147">
        <f t="shared" si="148"/>
        <v>595713852.5625</v>
      </c>
      <c r="AD332" s="583">
        <f t="shared" si="149"/>
        <v>24.964945524943943</v>
      </c>
      <c r="AE332" s="584">
        <f t="shared" si="150"/>
        <v>-43.689742438603361</v>
      </c>
      <c r="AG332" s="583">
        <f t="shared" si="151"/>
        <v>17.919525984240895</v>
      </c>
      <c r="AH332" s="584">
        <f t="shared" si="152"/>
        <v>-63.569280537611988</v>
      </c>
      <c r="AJ332" s="147">
        <f t="shared" si="153"/>
        <v>0</v>
      </c>
      <c r="AK332" s="147">
        <f t="shared" si="165"/>
        <v>0</v>
      </c>
      <c r="AM332" s="147" t="str">
        <f t="shared" si="157"/>
        <v>0.250813187755035+0.662358755024969i</v>
      </c>
      <c r="AN332" s="147" t="str">
        <f t="shared" si="158"/>
        <v>0.723962816708851i</v>
      </c>
      <c r="AO332" s="147" t="str">
        <f t="shared" si="159"/>
        <v>0.914907146800805-0.3464448476722i</v>
      </c>
      <c r="AP332" s="147" t="str">
        <f t="shared" si="160"/>
        <v>0.124864468707494-0.110393125837495i</v>
      </c>
      <c r="AQ332" s="147" t="str">
        <f t="shared" si="161"/>
        <v>0.875135531292506+0.110393125837495i</v>
      </c>
      <c r="AR332" s="147" t="str">
        <f t="shared" si="162"/>
        <v>0.936943620694485-0.118189847541904i</v>
      </c>
    </row>
    <row r="333" spans="7:44">
      <c r="G333" s="585">
        <v>24547</v>
      </c>
      <c r="H333" s="573">
        <f t="shared" si="154"/>
        <v>24.547000000000001</v>
      </c>
      <c r="I333" s="574">
        <f t="shared" ref="I333:I396" si="166">SQRT(1+(G333/pole1)^2)</f>
        <v>169.55130109868412</v>
      </c>
      <c r="J333" s="575">
        <f t="shared" ref="J333:J396" si="167">ATAN(G333/pole1)</f>
        <v>1.5648983726583765</v>
      </c>
      <c r="K333" s="575">
        <f t="shared" ref="K333:K396" si="168">SQRT(1+(G333/Zero1)^2)</f>
        <v>1.0091686528942525</v>
      </c>
      <c r="L333" s="576">
        <f t="shared" ref="L333:L396" si="169">ATAN(G333/Zero1)</f>
        <v>0.13490102409514387</v>
      </c>
      <c r="M333" s="575">
        <f t="shared" ref="M333:M396" si="170">SQRT(1+(G333/z_RHP)^2)</f>
        <v>1.0141370940905825</v>
      </c>
      <c r="N333" s="576">
        <f t="shared" ref="N333:N396" si="171">-ATAN(G333/z_RHP)</f>
        <v>-0.16716776595621871</v>
      </c>
      <c r="O333" s="574">
        <f t="shared" ref="O333:O396" si="172">SQRT(1+(G333/Pole2)^2)</f>
        <v>462700.04867838067</v>
      </c>
      <c r="P333" s="577">
        <f t="shared" ref="P333:P396" si="173">ATAN(G333/Pole2)</f>
        <v>1.5707941655675468</v>
      </c>
      <c r="Q333" s="586">
        <f t="shared" si="163"/>
        <v>62.009870279541332</v>
      </c>
      <c r="R333" s="587">
        <f t="shared" si="164"/>
        <v>1.5546691627744427</v>
      </c>
      <c r="S333" s="574">
        <f t="shared" ref="S333:S396" si="174">SQRT(1+(G333/pole4)^2)</f>
        <v>1.3656318693993807</v>
      </c>
      <c r="T333" s="577">
        <f t="shared" ref="T333:T396" si="175">ATAN(G333/pole4)</f>
        <v>0.74915915486243545</v>
      </c>
      <c r="U333" s="578">
        <f t="shared" si="155"/>
        <v>0.92310207494442453</v>
      </c>
      <c r="V333" s="579">
        <f t="shared" si="156"/>
        <v>-0.49005102220371122</v>
      </c>
      <c r="W333" s="580">
        <f t="shared" ref="W333:W396" si="176">20*LOG10(((K333*Q333*M333*U333)/(I333*O333*S333))*Adc)</f>
        <v>-17.85569204815852</v>
      </c>
      <c r="X333" s="581">
        <f t="shared" ref="X333:X396" si="177">((L333+R333+N333+V333)-(J333+P333+T333))*radconv</f>
        <v>-163.43622811447761</v>
      </c>
      <c r="Y333" s="584">
        <f t="shared" ref="Y333:Y396" si="178">IF(X333&gt;0,X333,X333+180)</f>
        <v>16.563771885522385</v>
      </c>
      <c r="AA333" s="147">
        <f t="shared" ref="AA333:AA396" si="179">IF(W333&lt;0,G333,1000000000)</f>
        <v>24547</v>
      </c>
      <c r="AB333" s="147">
        <f t="shared" ref="AB333:AB396" si="180">G333^2</f>
        <v>602555209</v>
      </c>
      <c r="AD333" s="583">
        <f t="shared" ref="AD333:AD396" si="181">20*LOG10((Q333/(O333*S333))*Aea)</f>
        <v>24.942002790063256</v>
      </c>
      <c r="AE333" s="584">
        <f t="shared" ref="AE333:AE396" si="182">(R333-(P333+T333))*radconv</f>
        <v>-43.847552411989845</v>
      </c>
      <c r="AG333" s="583">
        <f t="shared" ref="AG333:AG396" si="183">20*LOG10((K333*M333/(I333*U333))*Acs*Am)</f>
        <v>17.879508949464537</v>
      </c>
      <c r="AH333" s="584">
        <f t="shared" ref="AH333:AH396" si="184">(L333+N333-(J333+V333))*radconv</f>
        <v>-63.432965001631651</v>
      </c>
      <c r="AJ333" s="147">
        <f t="shared" ref="AJ333:AJ396" si="185">SUM((W334&lt;0)*(W333&gt;0))*G333</f>
        <v>0</v>
      </c>
      <c r="AK333" s="147">
        <f t="shared" si="165"/>
        <v>0</v>
      </c>
      <c r="AM333" s="147" t="str">
        <f t="shared" si="157"/>
        <v>0.253565249659962+0.665458611398789i</v>
      </c>
      <c r="AN333" s="147" t="str">
        <f t="shared" si="158"/>
        <v>0.728108052392309i</v>
      </c>
      <c r="AO333" s="147" t="str">
        <f t="shared" si="159"/>
        <v>0.913955846542727-0.348252225513555i</v>
      </c>
      <c r="AP333" s="147" t="str">
        <f t="shared" si="160"/>
        <v>0.12440579172334-0.110909768566465i</v>
      </c>
      <c r="AQ333" s="147" t="str">
        <f t="shared" si="161"/>
        <v>0.87559420827666+0.110909768566465i</v>
      </c>
      <c r="AR333" s="147" t="str">
        <f t="shared" si="162"/>
        <v>0.936330717305096-0.11860314078867i</v>
      </c>
    </row>
    <row r="334" spans="7:44">
      <c r="G334" s="585">
        <v>24690</v>
      </c>
      <c r="H334" s="573">
        <f t="shared" ref="H334:H397" si="186">G334/1000</f>
        <v>24.69</v>
      </c>
      <c r="I334" s="574">
        <f t="shared" si="166"/>
        <v>170.53899796986565</v>
      </c>
      <c r="J334" s="575">
        <f t="shared" si="167"/>
        <v>1.5649325317532385</v>
      </c>
      <c r="K334" s="575">
        <f t="shared" si="168"/>
        <v>1.0092752967913419</v>
      </c>
      <c r="L334" s="576">
        <f t="shared" si="169"/>
        <v>0.13567731630090196</v>
      </c>
      <c r="M334" s="575">
        <f t="shared" si="170"/>
        <v>1.0143011221579969</v>
      </c>
      <c r="N334" s="576">
        <f t="shared" si="171"/>
        <v>-0.16812341558401311</v>
      </c>
      <c r="O334" s="574">
        <f t="shared" si="172"/>
        <v>465395.53517207445</v>
      </c>
      <c r="P334" s="577">
        <f t="shared" si="173"/>
        <v>1.5707941780849835</v>
      </c>
      <c r="Q334" s="586">
        <f t="shared" si="163"/>
        <v>62.37101877190171</v>
      </c>
      <c r="R334" s="587">
        <f t="shared" si="164"/>
        <v>1.5547625523277888</v>
      </c>
      <c r="S334" s="574">
        <f t="shared" si="174"/>
        <v>1.3693273516931976</v>
      </c>
      <c r="T334" s="577">
        <f t="shared" si="175"/>
        <v>0.75205645107536268</v>
      </c>
      <c r="U334" s="578">
        <f t="shared" ref="U334:U397" si="187">IMABS(IMPRODUCT(AO334, AR334))</f>
        <v>0.92230353734858661</v>
      </c>
      <c r="V334" s="579">
        <f t="shared" ref="V334:V397" si="188">IMARGUMENT(IMPRODUCT(AO334, AR334))</f>
        <v>-0.4926964007119885</v>
      </c>
      <c r="W334" s="580">
        <f t="shared" si="176"/>
        <v>-17.934823960689982</v>
      </c>
      <c r="X334" s="581">
        <f t="shared" si="177"/>
        <v>-163.76068346880078</v>
      </c>
      <c r="Y334" s="584">
        <f t="shared" si="178"/>
        <v>16.239316531199222</v>
      </c>
      <c r="AA334" s="147">
        <f t="shared" si="179"/>
        <v>24690</v>
      </c>
      <c r="AB334" s="147">
        <f t="shared" si="180"/>
        <v>609596100</v>
      </c>
      <c r="AD334" s="583">
        <f t="shared" si="181"/>
        <v>24.918516948216904</v>
      </c>
      <c r="AE334" s="584">
        <f t="shared" si="182"/>
        <v>-44.008205147112328</v>
      </c>
      <c r="AG334" s="583">
        <f t="shared" si="183"/>
        <v>17.838896993374071</v>
      </c>
      <c r="AH334" s="584">
        <f t="shared" si="184"/>
        <v>-63.29362957300814</v>
      </c>
      <c r="AJ334" s="147">
        <f t="shared" si="185"/>
        <v>0</v>
      </c>
      <c r="AK334" s="147">
        <f t="shared" si="165"/>
        <v>0</v>
      </c>
      <c r="AM334" s="147" t="str">
        <f t="shared" ref="AM334:AM397" si="189">IMSUB(1,IMEXP(COMPLEX(0,-2*Pi*G334*Tsw)))</f>
        <v>0.256394589463268+0.668618720513043i</v>
      </c>
      <c r="AN334" s="147" t="str">
        <f t="shared" ref="AN334:AN397" si="190">COMPLEX(0, 2*Pi*G334*Tsw)</f>
        <v>0.732349688905613i</v>
      </c>
      <c r="AO334" s="147" t="str">
        <f t="shared" ref="AO334:AO397" si="191">IMDIV(AM334, AN334)</f>
        <v>0.912977407708323-0.350098584525121i</v>
      </c>
      <c r="AP334" s="147" t="str">
        <f t="shared" ref="AP334:AP397" si="192">IMDIV(IMEXP(COMPLEX(0,-2*Pi*G334*Tsw)),6)</f>
        <v>0.123934235089455-0.111436453418841i</v>
      </c>
      <c r="AQ334" s="147" t="str">
        <f t="shared" ref="AQ334:AQ397" si="193">IMSUB(1, AP334)</f>
        <v>0.876065764910545+0.111436453418841i</v>
      </c>
      <c r="AR334" s="147" t="str">
        <f t="shared" ref="AR334:AR397" si="194">IMDIV(0.833, AQ334)</f>
        <v>0.935702106719599-0.119022256554012i</v>
      </c>
    </row>
    <row r="335" spans="7:44">
      <c r="G335" s="585">
        <v>24833</v>
      </c>
      <c r="H335" s="573">
        <f t="shared" si="186"/>
        <v>24.832999999999998</v>
      </c>
      <c r="I335" s="574">
        <f t="shared" si="166"/>
        <v>171.52669503774783</v>
      </c>
      <c r="J335" s="575">
        <f t="shared" si="167"/>
        <v>1.5649662974535392</v>
      </c>
      <c r="K335" s="575">
        <f t="shared" si="168"/>
        <v>1.0093825487788544</v>
      </c>
      <c r="L335" s="576">
        <f t="shared" si="169"/>
        <v>0.1364534440043694</v>
      </c>
      <c r="M335" s="575">
        <f t="shared" si="170"/>
        <v>1.014466076252307</v>
      </c>
      <c r="N335" s="576">
        <f t="shared" si="171"/>
        <v>-0.16907875530319308</v>
      </c>
      <c r="O335" s="574">
        <f t="shared" si="172"/>
        <v>468091.02166576823</v>
      </c>
      <c r="P335" s="577">
        <f t="shared" si="173"/>
        <v>1.5707941904582576</v>
      </c>
      <c r="Q335" s="586">
        <f t="shared" si="163"/>
        <v>62.732167801974391</v>
      </c>
      <c r="R335" s="587">
        <f t="shared" si="164"/>
        <v>1.5548548665947937</v>
      </c>
      <c r="S335" s="574">
        <f t="shared" si="174"/>
        <v>1.3730342666355386</v>
      </c>
      <c r="T335" s="577">
        <f t="shared" si="175"/>
        <v>0.75493812714134489</v>
      </c>
      <c r="U335" s="578">
        <f t="shared" si="187"/>
        <v>0.92150231345581479</v>
      </c>
      <c r="V335" s="579">
        <f t="shared" si="188"/>
        <v>-0.49533857464893966</v>
      </c>
      <c r="W335" s="580">
        <f t="shared" si="176"/>
        <v>-18.013692360235321</v>
      </c>
      <c r="X335" s="581">
        <f t="shared" si="177"/>
        <v>-164.08409097630781</v>
      </c>
      <c r="Y335" s="584">
        <f t="shared" si="178"/>
        <v>15.915909023692194</v>
      </c>
      <c r="AA335" s="147">
        <f t="shared" si="179"/>
        <v>24833</v>
      </c>
      <c r="AB335" s="147">
        <f t="shared" si="180"/>
        <v>616677889</v>
      </c>
      <c r="AD335" s="583">
        <f t="shared" si="181"/>
        <v>24.895022269279412</v>
      </c>
      <c r="AE335" s="584">
        <f t="shared" si="182"/>
        <v>-44.168024514847772</v>
      </c>
      <c r="AG335" s="583">
        <f t="shared" si="183"/>
        <v>17.79862105053499</v>
      </c>
      <c r="AH335" s="584">
        <f t="shared" si="184"/>
        <v>-63.154446881780224</v>
      </c>
      <c r="AJ335" s="147">
        <f t="shared" si="185"/>
        <v>0</v>
      </c>
      <c r="AK335" s="147">
        <f t="shared" si="165"/>
        <v>0</v>
      </c>
      <c r="AM335" s="147" t="str">
        <f t="shared" si="189"/>
        <v>0.25923730780862+0.671766800204788i</v>
      </c>
      <c r="AN335" s="147" t="str">
        <f t="shared" si="190"/>
        <v>0.736591325418919i</v>
      </c>
      <c r="AO335" s="147" t="str">
        <f t="shared" si="191"/>
        <v>0.911993906285465-0.351941841917816i</v>
      </c>
      <c r="AP335" s="147" t="str">
        <f t="shared" si="192"/>
        <v>0.123460448698563-0.111961133367465i</v>
      </c>
      <c r="AQ335" s="147" t="str">
        <f t="shared" si="193"/>
        <v>0.876539551301437+0.111961133367465i</v>
      </c>
      <c r="AR335" s="147" t="str">
        <f t="shared" si="194"/>
        <v>0.935072052996652-0.119437538988751i</v>
      </c>
    </row>
    <row r="336" spans="7:44">
      <c r="G336" s="585">
        <v>24976</v>
      </c>
      <c r="H336" s="573">
        <f t="shared" si="186"/>
        <v>24.975999999999999</v>
      </c>
      <c r="I336" s="574">
        <f t="shared" si="166"/>
        <v>172.51439229895217</v>
      </c>
      <c r="J336" s="575">
        <f t="shared" si="167"/>
        <v>1.5649996765161103</v>
      </c>
      <c r="K336" s="575">
        <f t="shared" si="168"/>
        <v>1.009490408662973</v>
      </c>
      <c r="L336" s="576">
        <f t="shared" si="169"/>
        <v>0.13722940632308925</v>
      </c>
      <c r="M336" s="575">
        <f t="shared" si="170"/>
        <v>1.0146319559218653</v>
      </c>
      <c r="N336" s="576">
        <f t="shared" si="171"/>
        <v>-0.17003378352150877</v>
      </c>
      <c r="O336" s="574">
        <f t="shared" si="172"/>
        <v>470786.50815946207</v>
      </c>
      <c r="P336" s="577">
        <f t="shared" si="173"/>
        <v>1.5707942026898454</v>
      </c>
      <c r="Q336" s="586">
        <f t="shared" si="163"/>
        <v>63.093317360525695</v>
      </c>
      <c r="R336" s="587">
        <f t="shared" si="164"/>
        <v>1.5549461240388618</v>
      </c>
      <c r="S336" s="574">
        <f t="shared" si="174"/>
        <v>1.3767525218789696</v>
      </c>
      <c r="T336" s="577">
        <f t="shared" si="175"/>
        <v>0.75780426156595049</v>
      </c>
      <c r="U336" s="578">
        <f t="shared" si="187"/>
        <v>0.92069842899370047</v>
      </c>
      <c r="V336" s="579">
        <f t="shared" si="188"/>
        <v>-0.49797753673570466</v>
      </c>
      <c r="W336" s="580">
        <f t="shared" si="176"/>
        <v>-18.092299616285462</v>
      </c>
      <c r="X336" s="581">
        <f t="shared" si="177"/>
        <v>-164.40645400672497</v>
      </c>
      <c r="Y336" s="584">
        <f t="shared" si="178"/>
        <v>15.593545993275029</v>
      </c>
      <c r="AA336" s="147">
        <f t="shared" si="179"/>
        <v>24976</v>
      </c>
      <c r="AB336" s="147">
        <f t="shared" si="180"/>
        <v>623800576</v>
      </c>
      <c r="AD336" s="583">
        <f t="shared" si="181"/>
        <v>24.871519574860862</v>
      </c>
      <c r="AE336" s="584">
        <f t="shared" si="182"/>
        <v>-44.327013955500611</v>
      </c>
      <c r="AG336" s="583">
        <f t="shared" si="183"/>
        <v>17.758677599203669</v>
      </c>
      <c r="AH336" s="584">
        <f t="shared" si="184"/>
        <v>-63.015417691465657</v>
      </c>
      <c r="AJ336" s="147">
        <f t="shared" si="185"/>
        <v>0</v>
      </c>
      <c r="AK336" s="147">
        <f t="shared" si="165"/>
        <v>0</v>
      </c>
      <c r="AM336" s="147" t="str">
        <f t="shared" si="189"/>
        <v>0.262093353551382+0.674902793835493i</v>
      </c>
      <c r="AN336" s="147" t="str">
        <f t="shared" si="190"/>
        <v>0.740832961932224i</v>
      </c>
      <c r="AO336" s="147" t="str">
        <f t="shared" si="191"/>
        <v>0.911005352779156-0.353781981929902i</v>
      </c>
      <c r="AP336" s="147" t="str">
        <f t="shared" si="192"/>
        <v>0.12298444107477-0.112483798972582i</v>
      </c>
      <c r="AQ336" s="147" t="str">
        <f t="shared" si="193"/>
        <v>0.87701555892523+0.112483798972582i</v>
      </c>
      <c r="AR336" s="147" t="str">
        <f t="shared" si="194"/>
        <v>0.93444058345955-0.119848987480332i</v>
      </c>
    </row>
    <row r="337" spans="7:44">
      <c r="G337" s="585">
        <v>25119</v>
      </c>
      <c r="H337" s="573">
        <f t="shared" si="186"/>
        <v>25.119</v>
      </c>
      <c r="I337" s="574">
        <f t="shared" si="166"/>
        <v>173.50208975017705</v>
      </c>
      <c r="J337" s="575">
        <f t="shared" si="167"/>
        <v>1.5650326755439292</v>
      </c>
      <c r="K337" s="575">
        <f t="shared" si="168"/>
        <v>1.0095988762488648</v>
      </c>
      <c r="L337" s="576">
        <f t="shared" si="169"/>
        <v>0.13800520237577726</v>
      </c>
      <c r="M337" s="575">
        <f t="shared" si="170"/>
        <v>1.0147987607127862</v>
      </c>
      <c r="N337" s="576">
        <f t="shared" si="171"/>
        <v>-0.17098849865002144</v>
      </c>
      <c r="O337" s="574">
        <f t="shared" si="172"/>
        <v>473481.99465315603</v>
      </c>
      <c r="P337" s="577">
        <f t="shared" si="173"/>
        <v>1.570794214782167</v>
      </c>
      <c r="Q337" s="586">
        <f t="shared" si="163"/>
        <v>63.454467438532141</v>
      </c>
      <c r="R337" s="587">
        <f t="shared" si="164"/>
        <v>1.5550363427031317</v>
      </c>
      <c r="S337" s="574">
        <f t="shared" si="174"/>
        <v>1.3804820257899921</v>
      </c>
      <c r="T337" s="577">
        <f t="shared" si="175"/>
        <v>0.76065493303161913</v>
      </c>
      <c r="U337" s="578">
        <f t="shared" si="187"/>
        <v>0.91989190965024836</v>
      </c>
      <c r="V337" s="579">
        <f t="shared" si="188"/>
        <v>-0.50061327983234172</v>
      </c>
      <c r="W337" s="580">
        <f t="shared" si="176"/>
        <v>-18.170648053492073</v>
      </c>
      <c r="X337" s="581">
        <f t="shared" si="177"/>
        <v>-164.7277759632556</v>
      </c>
      <c r="Y337" s="584">
        <f t="shared" si="178"/>
        <v>15.272224036744404</v>
      </c>
      <c r="AA337" s="147">
        <f t="shared" si="179"/>
        <v>25119</v>
      </c>
      <c r="AB337" s="147">
        <f t="shared" si="180"/>
        <v>630964161</v>
      </c>
      <c r="AD337" s="583">
        <f t="shared" si="181"/>
        <v>24.848009674175753</v>
      </c>
      <c r="AE337" s="584">
        <f t="shared" si="182"/>
        <v>-44.485176943585536</v>
      </c>
      <c r="AG337" s="583">
        <f t="shared" si="183"/>
        <v>17.71906317488023</v>
      </c>
      <c r="AH337" s="584">
        <f t="shared" si="184"/>
        <v>-62.876542748930127</v>
      </c>
      <c r="AJ337" s="147">
        <f t="shared" si="185"/>
        <v>0</v>
      </c>
      <c r="AK337" s="147">
        <f t="shared" si="165"/>
        <v>0</v>
      </c>
      <c r="AM337" s="147" t="str">
        <f t="shared" si="189"/>
        <v>0.26496267530714+0.678026644984077i</v>
      </c>
      <c r="AN337" s="147" t="str">
        <f t="shared" si="190"/>
        <v>0.745074598445529i</v>
      </c>
      <c r="AO337" s="147" t="str">
        <f t="shared" si="191"/>
        <v>0.910011757747028-0.355618988836741i</v>
      </c>
      <c r="AP337" s="147" t="str">
        <f t="shared" si="192"/>
        <v>0.122506220782143-0.11300444083068i</v>
      </c>
      <c r="AQ337" s="147" t="str">
        <f t="shared" si="193"/>
        <v>0.877493779217857+0.11300444083068i</v>
      </c>
      <c r="AR337" s="147" t="str">
        <f t="shared" si="194"/>
        <v>0.933807725345051-0.120256601636589i</v>
      </c>
    </row>
    <row r="338" spans="7:44">
      <c r="G338" s="585">
        <v>25265.25</v>
      </c>
      <c r="H338" s="573">
        <f t="shared" si="186"/>
        <v>25.265250000000002</v>
      </c>
      <c r="I338" s="574">
        <f t="shared" si="166"/>
        <v>174.5122350639331</v>
      </c>
      <c r="J338" s="575">
        <f t="shared" si="167"/>
        <v>1.5650660381858723</v>
      </c>
      <c r="K338" s="575">
        <f t="shared" si="168"/>
        <v>1.0097104373788759</v>
      </c>
      <c r="L338" s="576">
        <f t="shared" si="169"/>
        <v>0.13879845726257631</v>
      </c>
      <c r="M338" s="575">
        <f t="shared" si="170"/>
        <v>1.0149703129448275</v>
      </c>
      <c r="N338" s="576">
        <f t="shared" si="171"/>
        <v>-0.17196458635297393</v>
      </c>
      <c r="O338" s="574">
        <f t="shared" si="172"/>
        <v>476238.74220352492</v>
      </c>
      <c r="P338" s="577">
        <f t="shared" si="173"/>
        <v>1.5707942270077282</v>
      </c>
      <c r="Q338" s="586">
        <f t="shared" si="163"/>
        <v>63.823826000964857</v>
      </c>
      <c r="R338" s="587">
        <f t="shared" si="164"/>
        <v>1.5551275557068889</v>
      </c>
      <c r="S338" s="574">
        <f t="shared" si="174"/>
        <v>1.3843078314505497</v>
      </c>
      <c r="T338" s="577">
        <f t="shared" si="175"/>
        <v>0.76355448055414177</v>
      </c>
      <c r="U338" s="578">
        <f t="shared" si="187"/>
        <v>0.91906436166279859</v>
      </c>
      <c r="V338" s="579">
        <f t="shared" si="188"/>
        <v>-0.50330558932537295</v>
      </c>
      <c r="W338" s="580">
        <f t="shared" si="176"/>
        <v>-18.250511804922976</v>
      </c>
      <c r="X338" s="581">
        <f t="shared" si="177"/>
        <v>-165.05532743788166</v>
      </c>
      <c r="Y338" s="584">
        <f t="shared" si="178"/>
        <v>14.944672562118342</v>
      </c>
      <c r="AA338" s="147">
        <f t="shared" si="179"/>
        <v>25265.25</v>
      </c>
      <c r="AB338" s="147">
        <f t="shared" si="180"/>
        <v>638332857.5625</v>
      </c>
      <c r="AD338" s="583">
        <f t="shared" si="181"/>
        <v>24.823958834248959</v>
      </c>
      <c r="AE338" s="584">
        <f t="shared" si="182"/>
        <v>-44.646083359628612</v>
      </c>
      <c r="AG338" s="583">
        <f t="shared" si="183"/>
        <v>17.678885199533184</v>
      </c>
      <c r="AH338" s="584">
        <f t="shared" si="184"/>
        <v>-62.734671864973144</v>
      </c>
      <c r="AJ338" s="147">
        <f t="shared" si="185"/>
        <v>0</v>
      </c>
      <c r="AK338" s="147">
        <f t="shared" si="165"/>
        <v>0</v>
      </c>
      <c r="AM338" s="147" t="str">
        <f t="shared" si="189"/>
        <v>0.26791088715164+0.681208874611086i</v>
      </c>
      <c r="AN338" s="147" t="str">
        <f t="shared" si="190"/>
        <v>0.749412635788682i</v>
      </c>
      <c r="AO338" s="147" t="str">
        <f t="shared" si="191"/>
        <v>0.90899037736958-0.357494488826827i</v>
      </c>
      <c r="AP338" s="147" t="str">
        <f t="shared" si="192"/>
        <v>0.122014852141393-0.113534812435181i</v>
      </c>
      <c r="AQ338" s="147" t="str">
        <f t="shared" si="193"/>
        <v>0.877985147858607+0.113534812435181i</v>
      </c>
      <c r="AR338" s="147" t="str">
        <f t="shared" si="194"/>
        <v>0.933159076110817-0.120669513529733i</v>
      </c>
    </row>
    <row r="339" spans="7:44">
      <c r="G339" s="585">
        <v>25411.5</v>
      </c>
      <c r="H339" s="573">
        <f t="shared" si="186"/>
        <v>25.4115</v>
      </c>
      <c r="I339" s="574">
        <f t="shared" si="166"/>
        <v>175.52238056969696</v>
      </c>
      <c r="J339" s="575">
        <f t="shared" si="167"/>
        <v>1.5650990168184429</v>
      </c>
      <c r="K339" s="575">
        <f t="shared" si="168"/>
        <v>1.0098226337319092</v>
      </c>
      <c r="L339" s="576">
        <f t="shared" si="169"/>
        <v>0.13959153637914784</v>
      </c>
      <c r="M339" s="575">
        <f t="shared" si="170"/>
        <v>1.015142831859623</v>
      </c>
      <c r="N339" s="576">
        <f t="shared" si="171"/>
        <v>-0.17294034322196747</v>
      </c>
      <c r="O339" s="574">
        <f t="shared" si="172"/>
        <v>478995.48975389387</v>
      </c>
      <c r="P339" s="577">
        <f t="shared" si="173"/>
        <v>1.5707942390925667</v>
      </c>
      <c r="Q339" s="586">
        <f t="shared" si="163"/>
        <v>64.193185088289169</v>
      </c>
      <c r="R339" s="587">
        <f t="shared" si="164"/>
        <v>1.5552177190562964</v>
      </c>
      <c r="S339" s="574">
        <f t="shared" si="174"/>
        <v>1.3881452112982828</v>
      </c>
      <c r="T339" s="577">
        <f t="shared" si="175"/>
        <v>0.7664380212265669</v>
      </c>
      <c r="U339" s="578">
        <f t="shared" si="187"/>
        <v>0.91823411188028414</v>
      </c>
      <c r="V339" s="579">
        <f t="shared" si="188"/>
        <v>-0.50599451718457278</v>
      </c>
      <c r="W339" s="580">
        <f t="shared" si="176"/>
        <v>-18.330109619174813</v>
      </c>
      <c r="X339" s="581">
        <f t="shared" si="177"/>
        <v>-165.3817972802938</v>
      </c>
      <c r="Y339" s="584">
        <f t="shared" si="178"/>
        <v>14.618202719706204</v>
      </c>
      <c r="AA339" s="147">
        <f t="shared" si="179"/>
        <v>25411.5</v>
      </c>
      <c r="AB339" s="147">
        <f t="shared" si="180"/>
        <v>645744332.25</v>
      </c>
      <c r="AD339" s="583">
        <f t="shared" si="181"/>
        <v>24.799902129644934</v>
      </c>
      <c r="AE339" s="584">
        <f t="shared" si="182"/>
        <v>-44.806132783418207</v>
      </c>
      <c r="AG339" s="583">
        <f t="shared" si="183"/>
        <v>17.639044224790297</v>
      </c>
      <c r="AH339" s="584">
        <f t="shared" si="184"/>
        <v>-62.592963847749047</v>
      </c>
      <c r="AJ339" s="147">
        <f t="shared" si="185"/>
        <v>0</v>
      </c>
      <c r="AK339" s="147">
        <f t="shared" si="165"/>
        <v>0</v>
      </c>
      <c r="AM339" s="147" t="str">
        <f t="shared" si="189"/>
        <v>0.270872875843281+0.684378284882675i</v>
      </c>
      <c r="AN339" s="147" t="str">
        <f t="shared" si="190"/>
        <v>0.753750673131835i</v>
      </c>
      <c r="AO339" s="147" t="str">
        <f t="shared" si="191"/>
        <v>0.907963746206796-0.359366678530188i</v>
      </c>
      <c r="AP339" s="147" t="str">
        <f t="shared" si="192"/>
        <v>0.121521187359453-0.114063047480446i</v>
      </c>
      <c r="AQ339" s="147" t="str">
        <f t="shared" si="193"/>
        <v>0.878478812640547+0.114063047480446i</v>
      </c>
      <c r="AR339" s="147" t="str">
        <f t="shared" si="194"/>
        <v>0.932509031805052-0.121078414687101i</v>
      </c>
    </row>
    <row r="340" spans="7:44">
      <c r="G340" s="585">
        <v>25557.75</v>
      </c>
      <c r="H340" s="573">
        <f t="shared" si="186"/>
        <v>25.557749999999999</v>
      </c>
      <c r="I340" s="574">
        <f t="shared" si="166"/>
        <v>176.53252626417256</v>
      </c>
      <c r="J340" s="575">
        <f t="shared" si="167"/>
        <v>1.5651316180336468</v>
      </c>
      <c r="K340" s="575">
        <f t="shared" si="168"/>
        <v>1.0099354650962593</v>
      </c>
      <c r="L340" s="576">
        <f t="shared" si="169"/>
        <v>0.1403844387865861</v>
      </c>
      <c r="M340" s="575">
        <f t="shared" si="170"/>
        <v>1.0153163169644066</v>
      </c>
      <c r="N340" s="576">
        <f t="shared" si="171"/>
        <v>-0.17391576756808091</v>
      </c>
      <c r="O340" s="574">
        <f t="shared" si="172"/>
        <v>481752.23730426293</v>
      </c>
      <c r="P340" s="577">
        <f t="shared" si="173"/>
        <v>1.5707942510390982</v>
      </c>
      <c r="Q340" s="586">
        <f t="shared" si="163"/>
        <v>64.56254469149647</v>
      </c>
      <c r="R340" s="587">
        <f t="shared" si="164"/>
        <v>1.5553068507649608</v>
      </c>
      <c r="S340" s="574">
        <f t="shared" si="174"/>
        <v>1.3919940696117685</v>
      </c>
      <c r="T340" s="577">
        <f t="shared" si="175"/>
        <v>0.76930563967506849</v>
      </c>
      <c r="U340" s="578">
        <f t="shared" si="187"/>
        <v>0.9174011876429462</v>
      </c>
      <c r="V340" s="579">
        <f t="shared" si="188"/>
        <v>-0.50868005621993784</v>
      </c>
      <c r="W340" s="580">
        <f t="shared" si="176"/>
        <v>-18.409443845169857</v>
      </c>
      <c r="X340" s="581">
        <f t="shared" si="177"/>
        <v>-165.70718923001405</v>
      </c>
      <c r="Y340" s="584">
        <f t="shared" si="178"/>
        <v>14.292810769985948</v>
      </c>
      <c r="AA340" s="147">
        <f t="shared" si="179"/>
        <v>25557.75</v>
      </c>
      <c r="AB340" s="147">
        <f t="shared" si="180"/>
        <v>653198585.0625</v>
      </c>
      <c r="AD340" s="583">
        <f t="shared" si="181"/>
        <v>24.77584038652968</v>
      </c>
      <c r="AE340" s="584">
        <f t="shared" si="182"/>
        <v>-44.96532903171169</v>
      </c>
      <c r="AG340" s="583">
        <f t="shared" si="183"/>
        <v>17.599536722025647</v>
      </c>
      <c r="AH340" s="584">
        <f t="shared" si="184"/>
        <v>-62.451419443936075</v>
      </c>
      <c r="AJ340" s="147">
        <f t="shared" si="185"/>
        <v>0</v>
      </c>
      <c r="AK340" s="147">
        <f t="shared" si="165"/>
        <v>0</v>
      </c>
      <c r="AM340" s="147" t="str">
        <f t="shared" si="189"/>
        <v>0.273848585641764+0.687534816155177i</v>
      </c>
      <c r="AN340" s="147" t="str">
        <f t="shared" si="190"/>
        <v>0.758088710474988i</v>
      </c>
      <c r="AO340" s="147" t="str">
        <f t="shared" si="191"/>
        <v>0.906931875722559-0.361235541247121i</v>
      </c>
      <c r="AP340" s="147" t="str">
        <f t="shared" si="192"/>
        <v>0.121025235726373-0.114589136025863i</v>
      </c>
      <c r="AQ340" s="147" t="str">
        <f t="shared" si="193"/>
        <v>0.878974764273627+0.114589136025863i</v>
      </c>
      <c r="AR340" s="147" t="str">
        <f t="shared" si="194"/>
        <v>0.931857621271276-0.121483305392543i</v>
      </c>
    </row>
    <row r="341" spans="7:44">
      <c r="G341" s="585">
        <v>25704</v>
      </c>
      <c r="H341" s="573">
        <f t="shared" si="186"/>
        <v>25.704000000000001</v>
      </c>
      <c r="I341" s="574">
        <f t="shared" si="166"/>
        <v>177.54267214413883</v>
      </c>
      <c r="J341" s="575">
        <f t="shared" si="167"/>
        <v>1.5651638482734695</v>
      </c>
      <c r="K341" s="575">
        <f t="shared" si="168"/>
        <v>1.0100489312591168</v>
      </c>
      <c r="L341" s="576">
        <f t="shared" si="169"/>
        <v>0.14117716354729243</v>
      </c>
      <c r="M341" s="575">
        <f t="shared" si="170"/>
        <v>1.0154907677639906</v>
      </c>
      <c r="N341" s="576">
        <f t="shared" si="171"/>
        <v>-0.17489085770607515</v>
      </c>
      <c r="O341" s="574">
        <f t="shared" si="172"/>
        <v>484508.984854632</v>
      </c>
      <c r="P341" s="577">
        <f t="shared" si="173"/>
        <v>1.5707942628496836</v>
      </c>
      <c r="Q341" s="586">
        <f t="shared" si="163"/>
        <v>64.931904801783062</v>
      </c>
      <c r="R341" s="587">
        <f t="shared" si="164"/>
        <v>1.5553949684366788</v>
      </c>
      <c r="S341" s="574">
        <f t="shared" si="174"/>
        <v>1.3958543114405813</v>
      </c>
      <c r="T341" s="577">
        <f t="shared" si="175"/>
        <v>0.7721574206413172</v>
      </c>
      <c r="U341" s="578">
        <f t="shared" si="187"/>
        <v>0.91656561624046107</v>
      </c>
      <c r="V341" s="579">
        <f t="shared" si="188"/>
        <v>-0.51136219939140171</v>
      </c>
      <c r="W341" s="580">
        <f t="shared" si="176"/>
        <v>-18.488516787823322</v>
      </c>
      <c r="X341" s="581">
        <f t="shared" si="177"/>
        <v>-166.03150705679033</v>
      </c>
      <c r="Y341" s="584">
        <f t="shared" si="178"/>
        <v>13.968492943209668</v>
      </c>
      <c r="AA341" s="147">
        <f t="shared" si="179"/>
        <v>25704</v>
      </c>
      <c r="AB341" s="147">
        <f t="shared" si="180"/>
        <v>660695616</v>
      </c>
      <c r="AD341" s="583">
        <f t="shared" si="181"/>
        <v>24.751774418014843</v>
      </c>
      <c r="AE341" s="584">
        <f t="shared" si="182"/>
        <v>-45.123675951361157</v>
      </c>
      <c r="AG341" s="583">
        <f t="shared" si="183"/>
        <v>17.560359219769545</v>
      </c>
      <c r="AH341" s="584">
        <f t="shared" si="184"/>
        <v>-62.310039383162263</v>
      </c>
      <c r="AJ341" s="147">
        <f t="shared" si="185"/>
        <v>0</v>
      </c>
      <c r="AK341" s="147">
        <f t="shared" si="165"/>
        <v>0</v>
      </c>
      <c r="AM341" s="147" t="str">
        <f t="shared" si="189"/>
        <v>0.276837960548579+0.690678409027285i</v>
      </c>
      <c r="AN341" s="147" t="str">
        <f t="shared" si="190"/>
        <v>0.762426747818141i</v>
      </c>
      <c r="AO341" s="147" t="str">
        <f t="shared" si="191"/>
        <v>0.905894777437727-0.363101060319322i</v>
      </c>
      <c r="AP341" s="147" t="str">
        <f t="shared" si="192"/>
        <v>0.120527006575237-0.115113068171214i</v>
      </c>
      <c r="AQ341" s="147" t="str">
        <f t="shared" si="193"/>
        <v>0.879472993424763+0.115113068171214i</v>
      </c>
      <c r="AR341" s="147" t="str">
        <f t="shared" si="194"/>
        <v>0.931204873250377-0.121884186162912i</v>
      </c>
    </row>
    <row r="342" spans="7:44">
      <c r="G342" s="585">
        <v>25853.75</v>
      </c>
      <c r="H342" s="573">
        <f t="shared" si="186"/>
        <v>25.853750000000002</v>
      </c>
      <c r="I342" s="574">
        <f t="shared" si="166"/>
        <v>178.57699264433529</v>
      </c>
      <c r="J342" s="575">
        <f t="shared" si="167"/>
        <v>1.5651964720117757</v>
      </c>
      <c r="K342" s="575">
        <f t="shared" si="168"/>
        <v>1.010165770396015</v>
      </c>
      <c r="L342" s="576">
        <f t="shared" si="169"/>
        <v>0.14198867444629326</v>
      </c>
      <c r="M342" s="575">
        <f t="shared" si="170"/>
        <v>1.0156703935720734</v>
      </c>
      <c r="N342" s="576">
        <f t="shared" si="171"/>
        <v>-0.17588893527725002</v>
      </c>
      <c r="O342" s="574">
        <f t="shared" si="172"/>
        <v>487331.70585065108</v>
      </c>
      <c r="P342" s="577">
        <f t="shared" si="173"/>
        <v>1.5707942748044597</v>
      </c>
      <c r="Q342" s="586">
        <f t="shared" si="163"/>
        <v>65.31010481576601</v>
      </c>
      <c r="R342" s="587">
        <f t="shared" si="164"/>
        <v>1.5554841621466491</v>
      </c>
      <c r="S342" s="574">
        <f t="shared" si="174"/>
        <v>1.3998186321754069</v>
      </c>
      <c r="T342" s="577">
        <f t="shared" si="175"/>
        <v>0.77506112742490818</v>
      </c>
      <c r="U342" s="578">
        <f t="shared" si="187"/>
        <v>0.9157073337554672</v>
      </c>
      <c r="V342" s="579">
        <f t="shared" si="188"/>
        <v>-0.51410500466941367</v>
      </c>
      <c r="W342" s="580">
        <f t="shared" si="176"/>
        <v>-18.569213699211048</v>
      </c>
      <c r="X342" s="581">
        <f t="shared" si="177"/>
        <v>-166.3624773145161</v>
      </c>
      <c r="Y342" s="584">
        <f t="shared" si="178"/>
        <v>13.637522685483901</v>
      </c>
      <c r="AA342" s="147">
        <f t="shared" si="179"/>
        <v>25853.75</v>
      </c>
      <c r="AB342" s="147">
        <f t="shared" si="180"/>
        <v>668416389.0625</v>
      </c>
      <c r="AD342" s="583">
        <f t="shared" si="181"/>
        <v>24.727128969176697</v>
      </c>
      <c r="AE342" s="584">
        <f t="shared" si="182"/>
        <v>-45.284936357006487</v>
      </c>
      <c r="AG342" s="583">
        <f t="shared" si="183"/>
        <v>17.520582510363528</v>
      </c>
      <c r="AH342" s="584">
        <f t="shared" si="184"/>
        <v>-62.165446901971009</v>
      </c>
      <c r="AJ342" s="147">
        <f t="shared" si="185"/>
        <v>0</v>
      </c>
      <c r="AK342" s="147">
        <f t="shared" si="165"/>
        <v>0</v>
      </c>
      <c r="AM342" s="147" t="str">
        <f t="shared" si="189"/>
        <v>0.279912976857483+0.693883764835112i</v>
      </c>
      <c r="AN342" s="147" t="str">
        <f t="shared" si="190"/>
        <v>0.766868601439591i</v>
      </c>
      <c r="AO342" s="147" t="str">
        <f t="shared" si="191"/>
        <v>0.904827454837153-0.365007742306858i</v>
      </c>
      <c r="AP342" s="147" t="str">
        <f t="shared" si="192"/>
        <v>0.120014503857086-0.115647294139185i</v>
      </c>
      <c r="AQ342" s="147" t="str">
        <f t="shared" si="193"/>
        <v>0.879985496142914+0.115647294139185i</v>
      </c>
      <c r="AR342" s="147" t="str">
        <f t="shared" si="194"/>
        <v>0.930535147935375-0.122290506413819i</v>
      </c>
    </row>
    <row r="343" spans="7:44">
      <c r="G343" s="585">
        <v>26003.5</v>
      </c>
      <c r="H343" s="573">
        <f t="shared" si="186"/>
        <v>26.003499999999999</v>
      </c>
      <c r="I343" s="574">
        <f t="shared" si="166"/>
        <v>179.61131333240374</v>
      </c>
      <c r="J343" s="575">
        <f t="shared" si="167"/>
        <v>1.5652287200120087</v>
      </c>
      <c r="K343" s="575">
        <f t="shared" si="168"/>
        <v>1.0102832746233936</v>
      </c>
      <c r="L343" s="576">
        <f t="shared" si="169"/>
        <v>0.14279999710874625</v>
      </c>
      <c r="M343" s="575">
        <f t="shared" si="170"/>
        <v>1.0158510307907997</v>
      </c>
      <c r="N343" s="576">
        <f t="shared" si="171"/>
        <v>-0.17688665888848865</v>
      </c>
      <c r="O343" s="574">
        <f t="shared" si="172"/>
        <v>490154.42684667016</v>
      </c>
      <c r="P343" s="577">
        <f t="shared" si="173"/>
        <v>1.5707942866215447</v>
      </c>
      <c r="Q343" s="586">
        <f t="shared" ref="Q343:Q406" si="195">SQRT(1+(G343/Zero2)^2)</f>
        <v>65.688305343341739</v>
      </c>
      <c r="R343" s="587">
        <f t="shared" ref="R343:R406" si="196">ATAN(G343/Zero2)</f>
        <v>1.5555723287914465</v>
      </c>
      <c r="S343" s="574">
        <f t="shared" si="174"/>
        <v>1.4037946887803865</v>
      </c>
      <c r="T343" s="577">
        <f t="shared" si="175"/>
        <v>0.77794840973276758</v>
      </c>
      <c r="U343" s="578">
        <f t="shared" si="187"/>
        <v>0.91484633362491596</v>
      </c>
      <c r="V343" s="579">
        <f t="shared" si="188"/>
        <v>-0.51684423514217903</v>
      </c>
      <c r="W343" s="580">
        <f t="shared" si="176"/>
        <v>-18.649641426353767</v>
      </c>
      <c r="X343" s="581">
        <f t="shared" si="177"/>
        <v>-166.6923295130014</v>
      </c>
      <c r="Y343" s="584">
        <f t="shared" si="178"/>
        <v>13.307670486998603</v>
      </c>
      <c r="AA343" s="147">
        <f t="shared" si="179"/>
        <v>26003.5</v>
      </c>
      <c r="AB343" s="147">
        <f t="shared" si="180"/>
        <v>676182012.25</v>
      </c>
      <c r="AD343" s="583">
        <f t="shared" si="181"/>
        <v>24.70248077429439</v>
      </c>
      <c r="AE343" s="584">
        <f t="shared" si="182"/>
        <v>-45.445314548121274</v>
      </c>
      <c r="AG343" s="583">
        <f t="shared" si="183"/>
        <v>17.481144597138012</v>
      </c>
      <c r="AH343" s="584">
        <f t="shared" si="184"/>
        <v>-62.021028218576632</v>
      </c>
      <c r="AJ343" s="147">
        <f t="shared" si="185"/>
        <v>0</v>
      </c>
      <c r="AK343" s="147">
        <f t="shared" ref="AK343:AK406" si="197">IF(AJ343&gt;0,Y343,0)</f>
        <v>0</v>
      </c>
      <c r="AM343" s="147" t="str">
        <f t="shared" si="189"/>
        <v>0.283002200505789+0.697075430294641i</v>
      </c>
      <c r="AN343" s="147" t="str">
        <f t="shared" si="190"/>
        <v>0.771310455061042i</v>
      </c>
      <c r="AO343" s="147" t="str">
        <f t="shared" si="191"/>
        <v>0.903754675851599-0.366910883482569i</v>
      </c>
      <c r="AP343" s="147" t="str">
        <f t="shared" si="192"/>
        <v>0.119499633249035-0.11617923838244i</v>
      </c>
      <c r="AQ343" s="147" t="str">
        <f t="shared" si="193"/>
        <v>0.880500366750965+0.11617923838244i</v>
      </c>
      <c r="AR343" s="147" t="str">
        <f t="shared" si="194"/>
        <v>0.929864080999874-0.122692624340845i</v>
      </c>
    </row>
    <row r="344" spans="7:44">
      <c r="G344" s="585">
        <v>26153.25</v>
      </c>
      <c r="H344" s="573">
        <f t="shared" si="186"/>
        <v>26.15325</v>
      </c>
      <c r="I344" s="574">
        <f t="shared" si="166"/>
        <v>180.64563420511706</v>
      </c>
      <c r="J344" s="575">
        <f t="shared" si="167"/>
        <v>1.5652605987281798</v>
      </c>
      <c r="K344" s="575">
        <f t="shared" si="168"/>
        <v>1.0104014437092133</v>
      </c>
      <c r="L344" s="576">
        <f t="shared" si="169"/>
        <v>0.14361113053241392</v>
      </c>
      <c r="M344" s="575">
        <f t="shared" si="170"/>
        <v>1.0160326788807228</v>
      </c>
      <c r="N344" s="576">
        <f t="shared" si="171"/>
        <v>-0.17788402674273851</v>
      </c>
      <c r="O344" s="574">
        <f t="shared" si="172"/>
        <v>492977.1478426893</v>
      </c>
      <c r="P344" s="577">
        <f t="shared" si="173"/>
        <v>1.5707942983033034</v>
      </c>
      <c r="Q344" s="586">
        <f t="shared" si="195"/>
        <v>66.066506375690011</v>
      </c>
      <c r="R344" s="587">
        <f t="shared" si="196"/>
        <v>1.5556594860081463</v>
      </c>
      <c r="S344" s="574">
        <f t="shared" si="174"/>
        <v>1.4077823818172484</v>
      </c>
      <c r="T344" s="577">
        <f t="shared" si="175"/>
        <v>0.78081935879402897</v>
      </c>
      <c r="U344" s="578">
        <f t="shared" si="187"/>
        <v>0.91398264496862014</v>
      </c>
      <c r="V344" s="579">
        <f t="shared" si="188"/>
        <v>-0.51957988373708774</v>
      </c>
      <c r="W344" s="580">
        <f t="shared" si="176"/>
        <v>-18.72980230780103</v>
      </c>
      <c r="X344" s="581">
        <f t="shared" si="177"/>
        <v>-167.02106778791324</v>
      </c>
      <c r="Y344" s="584">
        <f t="shared" si="178"/>
        <v>12.978932212086761</v>
      </c>
      <c r="AA344" s="147">
        <f t="shared" si="179"/>
        <v>26153.25</v>
      </c>
      <c r="AB344" s="147">
        <f t="shared" si="180"/>
        <v>683992485.5625</v>
      </c>
      <c r="AD344" s="583">
        <f t="shared" si="181"/>
        <v>24.677830664578309</v>
      </c>
      <c r="AE344" s="584">
        <f t="shared" si="182"/>
        <v>-45.604814741355312</v>
      </c>
      <c r="AG344" s="583">
        <f t="shared" si="183"/>
        <v>17.442041931349522</v>
      </c>
      <c r="AH344" s="584">
        <f t="shared" si="184"/>
        <v>-61.876784062457936</v>
      </c>
      <c r="AJ344" s="147">
        <f t="shared" si="185"/>
        <v>0</v>
      </c>
      <c r="AK344" s="147">
        <f t="shared" si="197"/>
        <v>0</v>
      </c>
      <c r="AM344" s="147" t="str">
        <f t="shared" si="189"/>
        <v>0.286105570543015+0.700253342434212i</v>
      </c>
      <c r="AN344" s="147" t="str">
        <f t="shared" si="190"/>
        <v>0.775752308682492i</v>
      </c>
      <c r="AO344" s="147" t="str">
        <f t="shared" si="191"/>
        <v>0.902676453033695-0.36881046609958i</v>
      </c>
      <c r="AP344" s="147" t="str">
        <f t="shared" si="192"/>
        <v>0.118982404909498-0.116708890405702i</v>
      </c>
      <c r="AQ344" s="147" t="str">
        <f t="shared" si="193"/>
        <v>0.881017595090502+0.116708890405702i</v>
      </c>
      <c r="AR344" s="147" t="str">
        <f t="shared" si="194"/>
        <v>0.92919170295098-0.123090541244473i</v>
      </c>
    </row>
    <row r="345" spans="7:44">
      <c r="G345" s="585">
        <v>26303</v>
      </c>
      <c r="H345" s="573">
        <f t="shared" si="186"/>
        <v>26.303000000000001</v>
      </c>
      <c r="I345" s="574">
        <f t="shared" si="166"/>
        <v>181.6799552593217</v>
      </c>
      <c r="J345" s="575">
        <f t="shared" si="167"/>
        <v>1.5652921144673302</v>
      </c>
      <c r="K345" s="575">
        <f t="shared" si="168"/>
        <v>1.0105202774202304</v>
      </c>
      <c r="L345" s="576">
        <f t="shared" si="169"/>
        <v>0.14442207371652241</v>
      </c>
      <c r="M345" s="575">
        <f t="shared" si="170"/>
        <v>1.0162153372997642</v>
      </c>
      <c r="N345" s="576">
        <f t="shared" si="171"/>
        <v>-0.17888103704705952</v>
      </c>
      <c r="O345" s="574">
        <f t="shared" si="172"/>
        <v>495799.8688387085</v>
      </c>
      <c r="P345" s="577">
        <f t="shared" si="173"/>
        <v>1.5707943098520476</v>
      </c>
      <c r="Q345" s="586">
        <f t="shared" si="195"/>
        <v>66.44470790419139</v>
      </c>
      <c r="R345" s="587">
        <f t="shared" si="196"/>
        <v>1.5557456510323278</v>
      </c>
      <c r="S345" s="574">
        <f t="shared" si="174"/>
        <v>1.4117816126818254</v>
      </c>
      <c r="T345" s="577">
        <f t="shared" si="175"/>
        <v>0.78367406588561395</v>
      </c>
      <c r="U345" s="578">
        <f t="shared" si="187"/>
        <v>0.91311629684306184</v>
      </c>
      <c r="V345" s="579">
        <f t="shared" si="188"/>
        <v>-0.52231194354388311</v>
      </c>
      <c r="W345" s="580">
        <f t="shared" si="176"/>
        <v>-18.809698638720928</v>
      </c>
      <c r="X345" s="581">
        <f t="shared" si="177"/>
        <v>-167.34869630169112</v>
      </c>
      <c r="Y345" s="584">
        <f t="shared" si="178"/>
        <v>12.65130369830888</v>
      </c>
      <c r="AA345" s="147">
        <f t="shared" si="179"/>
        <v>26303</v>
      </c>
      <c r="AB345" s="147">
        <f t="shared" si="180"/>
        <v>691847809</v>
      </c>
      <c r="AD345" s="583">
        <f t="shared" si="181"/>
        <v>24.653179457471673</v>
      </c>
      <c r="AE345" s="584">
        <f t="shared" si="182"/>
        <v>-45.763441179097512</v>
      </c>
      <c r="AG345" s="583">
        <f t="shared" si="183"/>
        <v>17.40327102159987</v>
      </c>
      <c r="AH345" s="584">
        <f t="shared" si="184"/>
        <v>-61.732715145522477</v>
      </c>
      <c r="AJ345" s="147">
        <f t="shared" si="185"/>
        <v>0</v>
      </c>
      <c r="AK345" s="147">
        <f t="shared" si="197"/>
        <v>0</v>
      </c>
      <c r="AM345" s="147" t="str">
        <f t="shared" si="189"/>
        <v>0.289223025739577+0.703417438553522i</v>
      </c>
      <c r="AN345" s="147" t="str">
        <f t="shared" si="190"/>
        <v>0.780194162303943i</v>
      </c>
      <c r="AO345" s="147" t="str">
        <f t="shared" si="191"/>
        <v>0.901592798998013-0.370706472457433i</v>
      </c>
      <c r="AP345" s="147" t="str">
        <f t="shared" si="192"/>
        <v>0.118462829043404-0.11723623975892i</v>
      </c>
      <c r="AQ345" s="147" t="str">
        <f t="shared" si="193"/>
        <v>0.881537170956596+0.11723623975892i</v>
      </c>
      <c r="AR345" s="147" t="str">
        <f t="shared" si="194"/>
        <v>0.928518044174661-0.123484258671951i</v>
      </c>
    </row>
    <row r="346" spans="7:44">
      <c r="G346" s="585">
        <v>26456</v>
      </c>
      <c r="H346" s="573">
        <f t="shared" si="186"/>
        <v>26.456</v>
      </c>
      <c r="I346" s="574">
        <f t="shared" si="166"/>
        <v>182.73672420010777</v>
      </c>
      <c r="J346" s="575">
        <f t="shared" si="167"/>
        <v>1.5653239457201353</v>
      </c>
      <c r="K346" s="575">
        <f t="shared" si="168"/>
        <v>1.010642376334244</v>
      </c>
      <c r="L346" s="576">
        <f t="shared" si="169"/>
        <v>0.14525041915223622</v>
      </c>
      <c r="M346" s="575">
        <f t="shared" si="170"/>
        <v>1.0164030028158184</v>
      </c>
      <c r="N346" s="576">
        <f t="shared" si="171"/>
        <v>-0.17989931416984833</v>
      </c>
      <c r="O346" s="574">
        <f t="shared" si="172"/>
        <v>498683.85089140269</v>
      </c>
      <c r="P346" s="577">
        <f t="shared" si="173"/>
        <v>1.5707943215164055</v>
      </c>
      <c r="Q346" s="586">
        <f t="shared" si="195"/>
        <v>66.831117982880599</v>
      </c>
      <c r="R346" s="587">
        <f t="shared" si="196"/>
        <v>1.5558326788773069</v>
      </c>
      <c r="S346" s="574">
        <f t="shared" si="174"/>
        <v>1.4158794526510314</v>
      </c>
      <c r="T346" s="577">
        <f t="shared" si="175"/>
        <v>0.78657404866507485</v>
      </c>
      <c r="U346" s="578">
        <f t="shared" si="187"/>
        <v>0.91222842998990572</v>
      </c>
      <c r="V346" s="579">
        <f t="shared" si="188"/>
        <v>-0.52509958331926732</v>
      </c>
      <c r="W346" s="580">
        <f t="shared" si="176"/>
        <v>-18.891058065119974</v>
      </c>
      <c r="X346" s="581">
        <f t="shared" si="177"/>
        <v>-167.68229349053701</v>
      </c>
      <c r="Y346" s="584">
        <f t="shared" si="178"/>
        <v>12.317706509462994</v>
      </c>
      <c r="AA346" s="147">
        <f t="shared" si="179"/>
        <v>26456</v>
      </c>
      <c r="AB346" s="147">
        <f t="shared" si="180"/>
        <v>699919936</v>
      </c>
      <c r="AD346" s="583">
        <f t="shared" si="181"/>
        <v>24.627992951946773</v>
      </c>
      <c r="AE346" s="584">
        <f t="shared" si="182"/>
        <v>-45.924612293306453</v>
      </c>
      <c r="AG346" s="583">
        <f t="shared" si="183"/>
        <v>17.363997733972305</v>
      </c>
      <c r="AH346" s="584">
        <f t="shared" si="184"/>
        <v>-61.585701231929733</v>
      </c>
      <c r="AJ346" s="147">
        <f t="shared" si="185"/>
        <v>0</v>
      </c>
      <c r="AK346" s="147">
        <f t="shared" si="197"/>
        <v>0</v>
      </c>
      <c r="AM346" s="147" t="str">
        <f t="shared" si="189"/>
        <v>0.2924226215844+0.706635870554635i</v>
      </c>
      <c r="AN346" s="147" t="str">
        <f t="shared" si="190"/>
        <v>0.784732416755241i</v>
      </c>
      <c r="AO346" s="147" t="str">
        <f t="shared" si="191"/>
        <v>0.900480030475198-0.372639915646058i</v>
      </c>
      <c r="AP346" s="147" t="str">
        <f t="shared" si="192"/>
        <v>0.117929563069267-0.117772645092439i</v>
      </c>
      <c r="AQ346" s="147" t="str">
        <f t="shared" si="193"/>
        <v>0.882070436930733+0.117772645092439i</v>
      </c>
      <c r="AR346" s="147" t="str">
        <f t="shared" si="194"/>
        <v>0.927828473849383-0.123882185574148i</v>
      </c>
    </row>
    <row r="347" spans="7:44">
      <c r="G347" s="585">
        <v>26609</v>
      </c>
      <c r="H347" s="573">
        <f t="shared" si="186"/>
        <v>26.609000000000002</v>
      </c>
      <c r="I347" s="574">
        <f t="shared" si="166"/>
        <v>183.79349332391874</v>
      </c>
      <c r="J347" s="575">
        <f t="shared" si="167"/>
        <v>1.5653554109286194</v>
      </c>
      <c r="K347" s="575">
        <f t="shared" si="168"/>
        <v>1.0107651685389354</v>
      </c>
      <c r="L347" s="576">
        <f t="shared" si="169"/>
        <v>0.14607856389396778</v>
      </c>
      <c r="M347" s="575">
        <f t="shared" si="170"/>
        <v>1.0165917218385119</v>
      </c>
      <c r="N347" s="576">
        <f t="shared" si="171"/>
        <v>-0.18091721428396262</v>
      </c>
      <c r="O347" s="574">
        <f t="shared" si="172"/>
        <v>501567.83294409688</v>
      </c>
      <c r="P347" s="577">
        <f t="shared" si="173"/>
        <v>1.570794333046625</v>
      </c>
      <c r="Q347" s="586">
        <f t="shared" si="195"/>
        <v>67.21752856191884</v>
      </c>
      <c r="R347" s="587">
        <f t="shared" si="196"/>
        <v>1.555918706136308</v>
      </c>
      <c r="S347" s="574">
        <f t="shared" si="174"/>
        <v>1.4199891312414274</v>
      </c>
      <c r="T347" s="577">
        <f t="shared" si="175"/>
        <v>0.78945726953551298</v>
      </c>
      <c r="U347" s="578">
        <f t="shared" si="187"/>
        <v>0.91133784808956542</v>
      </c>
      <c r="V347" s="579">
        <f t="shared" si="188"/>
        <v>-0.52788346277441467</v>
      </c>
      <c r="W347" s="580">
        <f t="shared" si="176"/>
        <v>-18.972146043592023</v>
      </c>
      <c r="X347" s="581">
        <f t="shared" si="177"/>
        <v>-168.01474108904429</v>
      </c>
      <c r="Y347" s="584">
        <f t="shared" si="178"/>
        <v>11.985258910955707</v>
      </c>
      <c r="AA347" s="147">
        <f t="shared" si="179"/>
        <v>26609</v>
      </c>
      <c r="AB347" s="147">
        <f t="shared" si="180"/>
        <v>708038881</v>
      </c>
      <c r="AD347" s="583">
        <f t="shared" si="181"/>
        <v>24.602806982708092</v>
      </c>
      <c r="AE347" s="584">
        <f t="shared" si="182"/>
        <v>-46.084880342538796</v>
      </c>
      <c r="AG347" s="583">
        <f t="shared" si="183"/>
        <v>17.325063568042452</v>
      </c>
      <c r="AH347" s="584">
        <f t="shared" si="184"/>
        <v>-61.43887169393394</v>
      </c>
      <c r="AJ347" s="147">
        <f t="shared" si="185"/>
        <v>0</v>
      </c>
      <c r="AK347" s="147">
        <f t="shared" si="197"/>
        <v>0</v>
      </c>
      <c r="AM347" s="147" t="str">
        <f t="shared" si="189"/>
        <v>0.295636790493455+0.709839748882548i</v>
      </c>
      <c r="AN347" s="147" t="str">
        <f t="shared" si="190"/>
        <v>0.78927067120654i</v>
      </c>
      <c r="AO347" s="147" t="str">
        <f t="shared" si="191"/>
        <v>0.89936161924962-0.374569588455025i</v>
      </c>
      <c r="AP347" s="147" t="str">
        <f t="shared" si="192"/>
        <v>0.117393868251091-0.118306624813758i</v>
      </c>
      <c r="AQ347" s="147" t="str">
        <f t="shared" si="193"/>
        <v>0.882606131748909+0.118306624813758i</v>
      </c>
      <c r="AR347" s="147" t="str">
        <f t="shared" si="194"/>
        <v>0.927137630334157-0.124275732783901i</v>
      </c>
    </row>
    <row r="348" spans="7:44">
      <c r="G348" s="585">
        <v>26762</v>
      </c>
      <c r="H348" s="573">
        <f t="shared" si="186"/>
        <v>26.762</v>
      </c>
      <c r="I348" s="574">
        <f t="shared" si="166"/>
        <v>184.85026262761562</v>
      </c>
      <c r="J348" s="575">
        <f t="shared" si="167"/>
        <v>1.5653865163706291</v>
      </c>
      <c r="K348" s="575">
        <f t="shared" si="168"/>
        <v>1.0108886537816637</v>
      </c>
      <c r="L348" s="576">
        <f t="shared" si="169"/>
        <v>0.14690650687913701</v>
      </c>
      <c r="M348" s="575">
        <f t="shared" si="170"/>
        <v>1.0167814937812378</v>
      </c>
      <c r="N348" s="576">
        <f t="shared" si="171"/>
        <v>-0.18193473549058087</v>
      </c>
      <c r="O348" s="574">
        <f t="shared" si="172"/>
        <v>504451.81499679119</v>
      </c>
      <c r="P348" s="577">
        <f t="shared" si="173"/>
        <v>1.5707943444450065</v>
      </c>
      <c r="Q348" s="586">
        <f t="shared" si="195"/>
        <v>67.60393963272638</v>
      </c>
      <c r="R348" s="587">
        <f t="shared" si="196"/>
        <v>1.5560037499655155</v>
      </c>
      <c r="S348" s="574">
        <f t="shared" si="174"/>
        <v>1.4241105459618277</v>
      </c>
      <c r="T348" s="577">
        <f t="shared" si="175"/>
        <v>0.79232382588136085</v>
      </c>
      <c r="U348" s="578">
        <f t="shared" si="187"/>
        <v>0.91044458191462807</v>
      </c>
      <c r="V348" s="579">
        <f t="shared" si="188"/>
        <v>-0.53066357506011763</v>
      </c>
      <c r="W348" s="580">
        <f t="shared" si="176"/>
        <v>-19.05296488913115</v>
      </c>
      <c r="X348" s="581">
        <f t="shared" si="177"/>
        <v>-168.34604361343523</v>
      </c>
      <c r="Y348" s="584">
        <f t="shared" si="178"/>
        <v>11.653956386564772</v>
      </c>
      <c r="AA348" s="147">
        <f t="shared" si="179"/>
        <v>26762</v>
      </c>
      <c r="AB348" s="147">
        <f t="shared" si="180"/>
        <v>716204644</v>
      </c>
      <c r="AD348" s="583">
        <f t="shared" si="181"/>
        <v>24.577622378028089</v>
      </c>
      <c r="AE348" s="584">
        <f t="shared" si="182"/>
        <v>-46.244249923666359</v>
      </c>
      <c r="AG348" s="583">
        <f t="shared" si="183"/>
        <v>17.286464977339847</v>
      </c>
      <c r="AH348" s="584">
        <f t="shared" si="184"/>
        <v>-61.292227235746786</v>
      </c>
      <c r="AJ348" s="147">
        <f t="shared" si="185"/>
        <v>0</v>
      </c>
      <c r="AK348" s="147">
        <f t="shared" si="197"/>
        <v>0</v>
      </c>
      <c r="AM348" s="147" t="str">
        <f t="shared" si="189"/>
        <v>0.298865466268623+0.713029007551085i</v>
      </c>
      <c r="AN348" s="147" t="str">
        <f t="shared" si="190"/>
        <v>0.793808925657838i</v>
      </c>
      <c r="AO348" s="147" t="str">
        <f t="shared" si="191"/>
        <v>0.898237578974298-0.376495472157799i</v>
      </c>
      <c r="AP348" s="147" t="str">
        <f t="shared" si="192"/>
        <v>0.116855755621896-0.118838167925181i</v>
      </c>
      <c r="AQ348" s="147" t="str">
        <f t="shared" si="193"/>
        <v>0.883144244378104+0.118838167925181i</v>
      </c>
      <c r="AR348" s="147" t="str">
        <f t="shared" si="194"/>
        <v>0.926445545631895-0.124664902733831i</v>
      </c>
    </row>
    <row r="349" spans="7:44">
      <c r="G349" s="585">
        <v>26915</v>
      </c>
      <c r="H349" s="573">
        <f t="shared" si="186"/>
        <v>26.914999999999999</v>
      </c>
      <c r="I349" s="574">
        <f t="shared" si="166"/>
        <v>185.90703210813081</v>
      </c>
      <c r="J349" s="575">
        <f t="shared" si="167"/>
        <v>1.5654172681812706</v>
      </c>
      <c r="K349" s="575">
        <f t="shared" si="168"/>
        <v>1.0110128318084857</v>
      </c>
      <c r="L349" s="576">
        <f t="shared" si="169"/>
        <v>0.14773424704678792</v>
      </c>
      <c r="M349" s="575">
        <f t="shared" si="170"/>
        <v>1.0169723180545573</v>
      </c>
      <c r="N349" s="576">
        <f t="shared" si="171"/>
        <v>-0.18295187589543319</v>
      </c>
      <c r="O349" s="574">
        <f t="shared" si="172"/>
        <v>507335.79704948555</v>
      </c>
      <c r="P349" s="577">
        <f t="shared" si="173"/>
        <v>1.5707943557137984</v>
      </c>
      <c r="Q349" s="586">
        <f t="shared" si="195"/>
        <v>67.990351186918588</v>
      </c>
      <c r="R349" s="587">
        <f t="shared" si="196"/>
        <v>1.5560878271311549</v>
      </c>
      <c r="S349" s="574">
        <f t="shared" si="174"/>
        <v>1.4282435952130568</v>
      </c>
      <c r="T349" s="577">
        <f t="shared" si="175"/>
        <v>0.79517381506008877</v>
      </c>
      <c r="U349" s="578">
        <f t="shared" si="187"/>
        <v>0.90954866216051011</v>
      </c>
      <c r="V349" s="579">
        <f t="shared" si="188"/>
        <v>-0.53343991350114583</v>
      </c>
      <c r="W349" s="580">
        <f t="shared" si="176"/>
        <v>-19.133516874344394</v>
      </c>
      <c r="X349" s="581">
        <f t="shared" si="177"/>
        <v>-168.67620560268466</v>
      </c>
      <c r="Y349" s="584">
        <f t="shared" si="178"/>
        <v>11.323794397315339</v>
      </c>
      <c r="AA349" s="147">
        <f t="shared" si="179"/>
        <v>26915</v>
      </c>
      <c r="AB349" s="147">
        <f t="shared" si="180"/>
        <v>724417225</v>
      </c>
      <c r="AD349" s="583">
        <f t="shared" si="181"/>
        <v>24.552439951833435</v>
      </c>
      <c r="AE349" s="584">
        <f t="shared" si="182"/>
        <v>-46.402725654356168</v>
      </c>
      <c r="AG349" s="583">
        <f t="shared" si="183"/>
        <v>17.248198472440265</v>
      </c>
      <c r="AH349" s="584">
        <f t="shared" si="184"/>
        <v>-61.14576854360115</v>
      </c>
      <c r="AJ349" s="147">
        <f t="shared" si="185"/>
        <v>0</v>
      </c>
      <c r="AK349" s="147">
        <f t="shared" si="197"/>
        <v>0</v>
      </c>
      <c r="AM349" s="147" t="str">
        <f t="shared" si="189"/>
        <v>0.30210858241301+0.716203580875174i</v>
      </c>
      <c r="AN349" s="147" t="str">
        <f t="shared" si="190"/>
        <v>0.798347180109137i</v>
      </c>
      <c r="AO349" s="147" t="str">
        <f t="shared" si="191"/>
        <v>0.897107923368961-0.378417548079409i</v>
      </c>
      <c r="AP349" s="147" t="str">
        <f t="shared" si="192"/>
        <v>0.116315236264498-0.119367263479196i</v>
      </c>
      <c r="AQ349" s="147" t="str">
        <f t="shared" si="193"/>
        <v>0.883684763735502+0.119367263479196i</v>
      </c>
      <c r="AR349" s="147" t="str">
        <f t="shared" si="194"/>
        <v>0.925752251604956-0.125049698114817i</v>
      </c>
    </row>
    <row r="350" spans="7:44">
      <c r="G350" s="585">
        <v>27071.75</v>
      </c>
      <c r="H350" s="573">
        <f t="shared" si="186"/>
        <v>27.071750000000002</v>
      </c>
      <c r="I350" s="574">
        <f t="shared" si="166"/>
        <v>186.98970298164136</v>
      </c>
      <c r="J350" s="575">
        <f t="shared" si="167"/>
        <v>1.5654484132426159</v>
      </c>
      <c r="K350" s="575">
        <f t="shared" si="168"/>
        <v>1.0111407716097069</v>
      </c>
      <c r="L350" s="576">
        <f t="shared" si="169"/>
        <v>0.14858206352112843</v>
      </c>
      <c r="M350" s="575">
        <f t="shared" si="170"/>
        <v>1.017168910109447</v>
      </c>
      <c r="N350" s="576">
        <f t="shared" si="171"/>
        <v>-0.18399354932023482</v>
      </c>
      <c r="O350" s="574">
        <f t="shared" si="172"/>
        <v>510290.46493680484</v>
      </c>
      <c r="P350" s="577">
        <f t="shared" si="173"/>
        <v>1.5707943671266906</v>
      </c>
      <c r="Q350" s="586">
        <f t="shared" si="195"/>
        <v>68.386234105271328</v>
      </c>
      <c r="R350" s="587">
        <f t="shared" si="196"/>
        <v>1.5561729796497672</v>
      </c>
      <c r="S350" s="574">
        <f t="shared" si="174"/>
        <v>1.4324899051643329</v>
      </c>
      <c r="T350" s="577">
        <f t="shared" si="175"/>
        <v>0.79807657742734395</v>
      </c>
      <c r="U350" s="578">
        <f t="shared" si="187"/>
        <v>0.90862806366453941</v>
      </c>
      <c r="V350" s="579">
        <f t="shared" si="188"/>
        <v>-0.53628037893347114</v>
      </c>
      <c r="W350" s="580">
        <f t="shared" si="176"/>
        <v>-19.215768754107643</v>
      </c>
      <c r="X350" s="581">
        <f t="shared" si="177"/>
        <v>-169.0132817564056</v>
      </c>
      <c r="Y350" s="584">
        <f t="shared" si="178"/>
        <v>10.986718243594396</v>
      </c>
      <c r="AA350" s="147">
        <f t="shared" si="179"/>
        <v>27071.75</v>
      </c>
      <c r="AB350" s="147">
        <f t="shared" si="180"/>
        <v>732879648.0625</v>
      </c>
      <c r="AD350" s="583">
        <f t="shared" si="181"/>
        <v>24.526643404617332</v>
      </c>
      <c r="AE350" s="584">
        <f t="shared" si="182"/>
        <v>-46.564163461092917</v>
      </c>
      <c r="AG350" s="583">
        <f t="shared" si="183"/>
        <v>17.209334867928632</v>
      </c>
      <c r="AH350" s="584">
        <f t="shared" si="184"/>
        <v>-60.995913527963332</v>
      </c>
      <c r="AJ350" s="147">
        <f t="shared" si="185"/>
        <v>0</v>
      </c>
      <c r="AK350" s="147">
        <f t="shared" si="197"/>
        <v>0</v>
      </c>
      <c r="AM350" s="147" t="str">
        <f t="shared" si="189"/>
        <v>0.30544609246285+0.719440664353132i</v>
      </c>
      <c r="AN350" s="147" t="str">
        <f t="shared" si="190"/>
        <v>0.802996666287183i</v>
      </c>
      <c r="AO350" s="147" t="str">
        <f t="shared" si="191"/>
        <v>0.895944771078081-0.380382765317248i</v>
      </c>
      <c r="AP350" s="147" t="str">
        <f t="shared" si="192"/>
        <v>0.115758984589525-0.119906777392189i</v>
      </c>
      <c r="AQ350" s="147" t="str">
        <f t="shared" si="193"/>
        <v>0.884241015410475+0.119906777392189i</v>
      </c>
      <c r="AR350" s="147" t="str">
        <f t="shared" si="194"/>
        <v>0.925040744092257-0.125439391124699i</v>
      </c>
    </row>
    <row r="351" spans="7:44">
      <c r="G351" s="585">
        <v>27228.5</v>
      </c>
      <c r="H351" s="573">
        <f t="shared" si="186"/>
        <v>27.2285</v>
      </c>
      <c r="I351" s="574">
        <f t="shared" si="166"/>
        <v>188.07237403444637</v>
      </c>
      <c r="J351" s="575">
        <f t="shared" si="167"/>
        <v>1.565479199720158</v>
      </c>
      <c r="K351" s="575">
        <f t="shared" si="168"/>
        <v>1.011269438027403</v>
      </c>
      <c r="L351" s="576">
        <f t="shared" si="169"/>
        <v>0.14942966486483836</v>
      </c>
      <c r="M351" s="575">
        <f t="shared" si="170"/>
        <v>1.017366605450309</v>
      </c>
      <c r="N351" s="576">
        <f t="shared" si="171"/>
        <v>-0.18503481903722041</v>
      </c>
      <c r="O351" s="574">
        <f t="shared" si="172"/>
        <v>513245.13282412424</v>
      </c>
      <c r="P351" s="577">
        <f t="shared" si="173"/>
        <v>1.5707943784081784</v>
      </c>
      <c r="Q351" s="586">
        <f t="shared" si="195"/>
        <v>68.782117513781316</v>
      </c>
      <c r="R351" s="587">
        <f t="shared" si="196"/>
        <v>1.5562571519587045</v>
      </c>
      <c r="S351" s="574">
        <f t="shared" si="174"/>
        <v>1.4367482139115104</v>
      </c>
      <c r="T351" s="577">
        <f t="shared" si="175"/>
        <v>0.80096215727396702</v>
      </c>
      <c r="U351" s="578">
        <f t="shared" si="187"/>
        <v>0.9077047448877289</v>
      </c>
      <c r="V351" s="579">
        <f t="shared" si="188"/>
        <v>-0.53911686963348726</v>
      </c>
      <c r="W351" s="580">
        <f t="shared" si="176"/>
        <v>-19.297745229541487</v>
      </c>
      <c r="X351" s="581">
        <f t="shared" si="177"/>
        <v>-169.34917049315868</v>
      </c>
      <c r="Y351" s="584">
        <f t="shared" si="178"/>
        <v>10.650829506841319</v>
      </c>
      <c r="AA351" s="147">
        <f t="shared" si="179"/>
        <v>27228.5</v>
      </c>
      <c r="AB351" s="147">
        <f t="shared" si="180"/>
        <v>741391212.25</v>
      </c>
      <c r="AD351" s="583">
        <f t="shared" si="181"/>
        <v>24.500850828106813</v>
      </c>
      <c r="AE351" s="584">
        <f t="shared" si="182"/>
        <v>-46.724672936263495</v>
      </c>
      <c r="AG351" s="583">
        <f t="shared" si="183"/>
        <v>17.170812590596181</v>
      </c>
      <c r="AH351" s="584">
        <f t="shared" si="184"/>
        <v>-60.846254897696383</v>
      </c>
      <c r="AJ351" s="147">
        <f t="shared" si="185"/>
        <v>0</v>
      </c>
      <c r="AK351" s="147">
        <f t="shared" si="197"/>
        <v>0</v>
      </c>
      <c r="AM351" s="147" t="str">
        <f t="shared" si="189"/>
        <v>0.308798617158733+0.722662195191031i</v>
      </c>
      <c r="AN351" s="147" t="str">
        <f t="shared" si="190"/>
        <v>0.807646152465229i</v>
      </c>
      <c r="AO351" s="147" t="str">
        <f t="shared" si="191"/>
        <v>0.894775754190376-0.382343946313825i</v>
      </c>
      <c r="AP351" s="147" t="str">
        <f t="shared" si="192"/>
        <v>0.115200230473544-0.120443699198505i</v>
      </c>
      <c r="AQ351" s="147" t="str">
        <f t="shared" si="193"/>
        <v>0.884799769526456+0.120443699198505i</v>
      </c>
      <c r="AR351" s="147" t="str">
        <f t="shared" si="194"/>
        <v>0.924328034493156-0.125824499035327i</v>
      </c>
    </row>
    <row r="352" spans="7:44">
      <c r="G352" s="585">
        <v>27385.25</v>
      </c>
      <c r="H352" s="573">
        <f t="shared" si="186"/>
        <v>27.385249999999999</v>
      </c>
      <c r="I352" s="574">
        <f t="shared" si="166"/>
        <v>189.1550452634672</v>
      </c>
      <c r="J352" s="575">
        <f t="shared" si="167"/>
        <v>1.5655096337711418</v>
      </c>
      <c r="K352" s="575">
        <f t="shared" si="168"/>
        <v>1.0113988307842612</v>
      </c>
      <c r="L352" s="576">
        <f t="shared" si="169"/>
        <v>0.15027704994237434</v>
      </c>
      <c r="M352" s="575">
        <f t="shared" si="170"/>
        <v>1.0175654034340953</v>
      </c>
      <c r="N352" s="576">
        <f t="shared" si="171"/>
        <v>-0.18607568302437316</v>
      </c>
      <c r="O352" s="574">
        <f t="shared" si="172"/>
        <v>516199.80071144371</v>
      </c>
      <c r="P352" s="577">
        <f t="shared" si="173"/>
        <v>1.5707943895605183</v>
      </c>
      <c r="Q352" s="586">
        <f t="shared" si="195"/>
        <v>69.178001404033495</v>
      </c>
      <c r="R352" s="587">
        <f t="shared" si="196"/>
        <v>1.5563403608850568</v>
      </c>
      <c r="S352" s="574">
        <f t="shared" si="174"/>
        <v>1.4410184150827856</v>
      </c>
      <c r="T352" s="577">
        <f t="shared" si="175"/>
        <v>0.80383065908481688</v>
      </c>
      <c r="U352" s="578">
        <f t="shared" si="187"/>
        <v>0.90677873857329494</v>
      </c>
      <c r="V352" s="579">
        <f t="shared" si="188"/>
        <v>-0.54194937898599171</v>
      </c>
      <c r="W352" s="580">
        <f t="shared" si="176"/>
        <v>-19.37944861340749</v>
      </c>
      <c r="X352" s="581">
        <f t="shared" si="177"/>
        <v>-169.68387675846321</v>
      </c>
      <c r="Y352" s="584">
        <f t="shared" si="178"/>
        <v>10.316123241536786</v>
      </c>
      <c r="AA352" s="147">
        <f t="shared" si="179"/>
        <v>27385.25</v>
      </c>
      <c r="AB352" s="147">
        <f t="shared" si="180"/>
        <v>749951917.5625</v>
      </c>
      <c r="AD352" s="583">
        <f t="shared" si="181"/>
        <v>24.47506305180362</v>
      </c>
      <c r="AE352" s="584">
        <f t="shared" si="182"/>
        <v>-46.884259102417403</v>
      </c>
      <c r="AG352" s="583">
        <f t="shared" si="183"/>
        <v>17.132628066116617</v>
      </c>
      <c r="AH352" s="584">
        <f t="shared" si="184"/>
        <v>-60.696793333816458</v>
      </c>
      <c r="AJ352" s="147">
        <f t="shared" si="185"/>
        <v>0</v>
      </c>
      <c r="AK352" s="147">
        <f t="shared" si="197"/>
        <v>0</v>
      </c>
      <c r="AM352" s="147" t="str">
        <f t="shared" si="189"/>
        <v>0.312166084026845+0.725868103746841i</v>
      </c>
      <c r="AN352" s="147" t="str">
        <f t="shared" si="190"/>
        <v>0.812295638643275i</v>
      </c>
      <c r="AO352" s="147" t="str">
        <f t="shared" si="191"/>
        <v>0.893600887675836-0.384301071157092i</v>
      </c>
      <c r="AP352" s="147" t="str">
        <f t="shared" si="192"/>
        <v>0.114638985995526-0.12097801729114i</v>
      </c>
      <c r="AQ352" s="147" t="str">
        <f t="shared" si="193"/>
        <v>0.885361014004474+0.12097801729114i</v>
      </c>
      <c r="AR352" s="147" t="str">
        <f t="shared" si="194"/>
        <v>0.923614156598442-0.126205025565699i</v>
      </c>
    </row>
    <row r="353" spans="7:44">
      <c r="G353" s="585">
        <v>27542</v>
      </c>
      <c r="H353" s="573">
        <f t="shared" si="186"/>
        <v>27.542000000000002</v>
      </c>
      <c r="I353" s="574">
        <f t="shared" si="166"/>
        <v>190.23771666569513</v>
      </c>
      <c r="J353" s="575">
        <f t="shared" si="167"/>
        <v>1.5655397214126483</v>
      </c>
      <c r="K353" s="575">
        <f t="shared" si="168"/>
        <v>1.0115289496015463</v>
      </c>
      <c r="L353" s="576">
        <f t="shared" si="169"/>
        <v>0.15112421762001477</v>
      </c>
      <c r="M353" s="575">
        <f t="shared" si="170"/>
        <v>1.017765303414675</v>
      </c>
      <c r="N353" s="576">
        <f t="shared" si="171"/>
        <v>-0.18711613926476811</v>
      </c>
      <c r="O353" s="574">
        <f t="shared" si="172"/>
        <v>519154.46859876317</v>
      </c>
      <c r="P353" s="577">
        <f t="shared" si="173"/>
        <v>1.5707944005859156</v>
      </c>
      <c r="Q353" s="586">
        <f t="shared" si="195"/>
        <v>69.573885767804384</v>
      </c>
      <c r="R353" s="587">
        <f t="shared" si="196"/>
        <v>1.5564226228729741</v>
      </c>
      <c r="S353" s="574">
        <f t="shared" si="174"/>
        <v>1.4453004032681531</v>
      </c>
      <c r="T353" s="577">
        <f t="shared" si="175"/>
        <v>0.80668218723587248</v>
      </c>
      <c r="U353" s="578">
        <f t="shared" si="187"/>
        <v>0.90585007737077516</v>
      </c>
      <c r="V353" s="579">
        <f t="shared" si="188"/>
        <v>-0.5447779005639295</v>
      </c>
      <c r="W353" s="580">
        <f t="shared" si="176"/>
        <v>-19.460881176599191</v>
      </c>
      <c r="X353" s="581">
        <f t="shared" si="177"/>
        <v>-170.01740551647461</v>
      </c>
      <c r="Y353" s="584">
        <f t="shared" si="178"/>
        <v>9.9825944835253893</v>
      </c>
      <c r="AA353" s="147">
        <f t="shared" si="179"/>
        <v>27542</v>
      </c>
      <c r="AB353" s="147">
        <f t="shared" si="180"/>
        <v>758561764</v>
      </c>
      <c r="AD353" s="583">
        <f t="shared" si="181"/>
        <v>24.449280890145172</v>
      </c>
      <c r="AE353" s="584">
        <f t="shared" si="182"/>
        <v>-47.042926997803661</v>
      </c>
      <c r="AG353" s="583">
        <f t="shared" si="183"/>
        <v>17.094777777548643</v>
      </c>
      <c r="AH353" s="584">
        <f t="shared" si="184"/>
        <v>-60.547529498716187</v>
      </c>
      <c r="AJ353" s="147">
        <f t="shared" si="185"/>
        <v>0</v>
      </c>
      <c r="AK353" s="147">
        <f t="shared" si="197"/>
        <v>0</v>
      </c>
      <c r="AM353" s="147" t="str">
        <f t="shared" si="189"/>
        <v>0.315548420270355+0.729058320716246i</v>
      </c>
      <c r="AN353" s="147" t="str">
        <f t="shared" si="190"/>
        <v>0.816945124821321i</v>
      </c>
      <c r="AO353" s="147" t="str">
        <f t="shared" si="191"/>
        <v>0.892420186577039-0.386254119992907i</v>
      </c>
      <c r="AP353" s="147" t="str">
        <f t="shared" si="192"/>
        <v>0.114075263288274-0.121509720119374i</v>
      </c>
      <c r="AQ353" s="147" t="str">
        <f t="shared" si="193"/>
        <v>0.885924736711726+0.121509720119374i</v>
      </c>
      <c r="AR353" s="147" t="str">
        <f t="shared" si="194"/>
        <v>0.922899144035241-0.126580974707135i</v>
      </c>
    </row>
    <row r="354" spans="7:44">
      <c r="G354" s="585">
        <v>27702.5</v>
      </c>
      <c r="H354" s="573">
        <f t="shared" si="186"/>
        <v>27.702500000000001</v>
      </c>
      <c r="I354" s="574">
        <f t="shared" si="166"/>
        <v>191.346289474043</v>
      </c>
      <c r="J354" s="575">
        <f t="shared" si="167"/>
        <v>1.5655701760559833</v>
      </c>
      <c r="K354" s="575">
        <f t="shared" si="168"/>
        <v>1.0116629333395837</v>
      </c>
      <c r="L354" s="576">
        <f t="shared" si="169"/>
        <v>0.15199142602126209</v>
      </c>
      <c r="M354" s="575">
        <f t="shared" si="170"/>
        <v>1.0179711268708573</v>
      </c>
      <c r="N354" s="576">
        <f t="shared" si="171"/>
        <v>-0.18818106220610342</v>
      </c>
      <c r="O354" s="574">
        <f t="shared" si="172"/>
        <v>522179.82232070755</v>
      </c>
      <c r="P354" s="577">
        <f t="shared" si="173"/>
        <v>1.5707944117457944</v>
      </c>
      <c r="Q354" s="586">
        <f t="shared" si="195"/>
        <v>69.979241531621909</v>
      </c>
      <c r="R354" s="587">
        <f t="shared" si="196"/>
        <v>1.5565058884444931</v>
      </c>
      <c r="S354" s="574">
        <f t="shared" si="174"/>
        <v>1.4496969356392193</v>
      </c>
      <c r="T354" s="577">
        <f t="shared" si="175"/>
        <v>0.80958445502393883</v>
      </c>
      <c r="U354" s="578">
        <f t="shared" si="187"/>
        <v>0.90489648247380705</v>
      </c>
      <c r="V354" s="579">
        <f t="shared" si="188"/>
        <v>-0.54766995158859233</v>
      </c>
      <c r="W354" s="580">
        <f t="shared" si="176"/>
        <v>-19.543983599613256</v>
      </c>
      <c r="X354" s="581">
        <f t="shared" si="177"/>
        <v>-170.35769853479832</v>
      </c>
      <c r="Y354" s="584">
        <f t="shared" si="178"/>
        <v>9.6423014652016832</v>
      </c>
      <c r="AA354" s="147">
        <f t="shared" si="179"/>
        <v>27702.5</v>
      </c>
      <c r="AB354" s="147">
        <f t="shared" si="180"/>
        <v>767428506.25</v>
      </c>
      <c r="AD354" s="583">
        <f t="shared" si="181"/>
        <v>24.422888583090653</v>
      </c>
      <c r="AE354" s="584">
        <f t="shared" si="182"/>
        <v>-47.204444566848345</v>
      </c>
      <c r="AG354" s="583">
        <f t="shared" si="183"/>
        <v>17.056364691077125</v>
      </c>
      <c r="AH354" s="584">
        <f t="shared" si="184"/>
        <v>-60.394900311917198</v>
      </c>
      <c r="AJ354" s="147">
        <f t="shared" si="185"/>
        <v>0</v>
      </c>
      <c r="AK354" s="147">
        <f t="shared" si="197"/>
        <v>0</v>
      </c>
      <c r="AM354" s="147" t="str">
        <f t="shared" si="189"/>
        <v>0.319027004500176+0.732308527466393i</v>
      </c>
      <c r="AN354" s="147" t="str">
        <f t="shared" si="190"/>
        <v>0.821705842726114i</v>
      </c>
      <c r="AO354" s="147" t="str">
        <f t="shared" si="191"/>
        <v>0.891205209198545-0.388249648367795i</v>
      </c>
      <c r="AP354" s="147" t="str">
        <f t="shared" si="192"/>
        <v>0.113495499249971-0.122051421244399i</v>
      </c>
      <c r="AQ354" s="147" t="str">
        <f t="shared" si="193"/>
        <v>0.886504500750029+0.122051421244399i</v>
      </c>
      <c r="AR354" s="147" t="str">
        <f t="shared" si="194"/>
        <v>0.922165885144519-0.126961179339488i</v>
      </c>
    </row>
    <row r="355" spans="7:44">
      <c r="G355" s="585">
        <v>27863</v>
      </c>
      <c r="H355" s="573">
        <f t="shared" si="186"/>
        <v>27.863</v>
      </c>
      <c r="I355" s="574">
        <f t="shared" si="166"/>
        <v>192.4548624578172</v>
      </c>
      <c r="J355" s="575">
        <f t="shared" si="167"/>
        <v>1.5656002798514184</v>
      </c>
      <c r="K355" s="575">
        <f t="shared" si="168"/>
        <v>1.0117976776973143</v>
      </c>
      <c r="L355" s="576">
        <f t="shared" si="169"/>
        <v>0.15285840409650073</v>
      </c>
      <c r="M355" s="575">
        <f t="shared" si="170"/>
        <v>1.0181781043007612</v>
      </c>
      <c r="N355" s="576">
        <f t="shared" si="171"/>
        <v>-0.18924555339458723</v>
      </c>
      <c r="O355" s="574">
        <f t="shared" si="172"/>
        <v>525205.17604265211</v>
      </c>
      <c r="P355" s="577">
        <f t="shared" si="173"/>
        <v>1.570794422777104</v>
      </c>
      <c r="Q355" s="586">
        <f t="shared" si="195"/>
        <v>70.384597775027984</v>
      </c>
      <c r="R355" s="587">
        <f t="shared" si="196"/>
        <v>1.5565881949368823</v>
      </c>
      <c r="S355" s="574">
        <f t="shared" si="174"/>
        <v>1.4541056051364725</v>
      </c>
      <c r="T355" s="577">
        <f t="shared" si="175"/>
        <v>0.81246914834921469</v>
      </c>
      <c r="U355" s="578">
        <f t="shared" si="187"/>
        <v>0.90394017311089714</v>
      </c>
      <c r="V355" s="579">
        <f t="shared" si="188"/>
        <v>-0.55055780871650783</v>
      </c>
      <c r="W355" s="580">
        <f t="shared" si="176"/>
        <v>-19.626806777996617</v>
      </c>
      <c r="X355" s="581">
        <f t="shared" si="177"/>
        <v>-170.69676761880024</v>
      </c>
      <c r="Y355" s="584">
        <f t="shared" si="178"/>
        <v>9.3032323811997628</v>
      </c>
      <c r="AA355" s="147">
        <f t="shared" si="179"/>
        <v>27863</v>
      </c>
      <c r="AB355" s="147">
        <f t="shared" si="180"/>
        <v>776346769</v>
      </c>
      <c r="AD355" s="583">
        <f t="shared" si="181"/>
        <v>24.396503843120758</v>
      </c>
      <c r="AE355" s="584">
        <f t="shared" si="182"/>
        <v>-47.365010137166742</v>
      </c>
      <c r="AG355" s="583">
        <f t="shared" si="183"/>
        <v>17.018294740131772</v>
      </c>
      <c r="AH355" s="584">
        <f t="shared" si="184"/>
        <v>-60.24247977468989</v>
      </c>
      <c r="AJ355" s="147">
        <f t="shared" si="185"/>
        <v>0</v>
      </c>
      <c r="AK355" s="147">
        <f t="shared" si="197"/>
        <v>0</v>
      </c>
      <c r="AM355" s="147" t="str">
        <f t="shared" si="189"/>
        <v>0.322521022569021+0.73554213688889i</v>
      </c>
      <c r="AN355" s="147" t="str">
        <f t="shared" si="190"/>
        <v>0.826466560630908i</v>
      </c>
      <c r="AO355" s="147" t="str">
        <f t="shared" si="191"/>
        <v>0.889984146881142-0.390240861436444i</v>
      </c>
      <c r="AP355" s="147" t="str">
        <f t="shared" si="192"/>
        <v>0.112913162905163-0.122590356148148i</v>
      </c>
      <c r="AQ355" s="147" t="str">
        <f t="shared" si="193"/>
        <v>0.887086837094837+0.122590356148148i</v>
      </c>
      <c r="AR355" s="147" t="str">
        <f t="shared" si="194"/>
        <v>0.921431507464856-0.127336594279964i</v>
      </c>
    </row>
    <row r="356" spans="7:44">
      <c r="G356" s="585">
        <v>28023.5</v>
      </c>
      <c r="H356" s="573">
        <f t="shared" si="186"/>
        <v>28.023499999999999</v>
      </c>
      <c r="I356" s="574">
        <f t="shared" si="166"/>
        <v>193.56343561400368</v>
      </c>
      <c r="J356" s="575">
        <f t="shared" si="167"/>
        <v>1.5656300388270084</v>
      </c>
      <c r="K356" s="575">
        <f t="shared" si="168"/>
        <v>1.0119331823708961</v>
      </c>
      <c r="L356" s="576">
        <f t="shared" si="169"/>
        <v>0.15372515063466977</v>
      </c>
      <c r="M356" s="575">
        <f t="shared" si="170"/>
        <v>1.0183862350007835</v>
      </c>
      <c r="N356" s="576">
        <f t="shared" si="171"/>
        <v>-0.19030961068176894</v>
      </c>
      <c r="O356" s="574">
        <f t="shared" si="172"/>
        <v>528230.52976459661</v>
      </c>
      <c r="P356" s="577">
        <f t="shared" si="173"/>
        <v>1.5707944336820536</v>
      </c>
      <c r="Q356" s="586">
        <f t="shared" si="195"/>
        <v>70.789954489783952</v>
      </c>
      <c r="R356" s="587">
        <f t="shared" si="196"/>
        <v>1.5566695588246244</v>
      </c>
      <c r="S356" s="574">
        <f t="shared" si="174"/>
        <v>1.458526301699691</v>
      </c>
      <c r="T356" s="577">
        <f t="shared" si="175"/>
        <v>0.81533637878518872</v>
      </c>
      <c r="U356" s="578">
        <f t="shared" si="187"/>
        <v>0.9029811840124039</v>
      </c>
      <c r="V356" s="579">
        <f t="shared" si="188"/>
        <v>-0.55344146565531338</v>
      </c>
      <c r="W356" s="580">
        <f t="shared" si="176"/>
        <v>-19.709353020351706</v>
      </c>
      <c r="X356" s="581">
        <f t="shared" si="177"/>
        <v>-171.03461814852633</v>
      </c>
      <c r="Y356" s="584">
        <f t="shared" si="178"/>
        <v>8.9653818514736656</v>
      </c>
      <c r="AA356" s="147">
        <f t="shared" si="179"/>
        <v>28023.5</v>
      </c>
      <c r="AB356" s="147">
        <f t="shared" si="180"/>
        <v>785316552.25</v>
      </c>
      <c r="AD356" s="583">
        <f t="shared" si="181"/>
        <v>24.370127496667841</v>
      </c>
      <c r="AE356" s="584">
        <f t="shared" si="182"/>
        <v>-47.524629157657095</v>
      </c>
      <c r="AG356" s="583">
        <f t="shared" si="183"/>
        <v>16.980564327991019</v>
      </c>
      <c r="AH356" s="584">
        <f t="shared" si="184"/>
        <v>-60.09026853923374</v>
      </c>
      <c r="AJ356" s="147">
        <f t="shared" si="185"/>
        <v>0</v>
      </c>
      <c r="AK356" s="147">
        <f t="shared" si="197"/>
        <v>0</v>
      </c>
      <c r="AM356" s="147" t="str">
        <f t="shared" si="189"/>
        <v>0.326030395287091+0.738759075695944i</v>
      </c>
      <c r="AN356" s="147" t="str">
        <f t="shared" si="190"/>
        <v>0.831227278535701i</v>
      </c>
      <c r="AO356" s="147" t="str">
        <f t="shared" si="191"/>
        <v>0.888757016008125-0.392227738075956i</v>
      </c>
      <c r="AP356" s="147" t="str">
        <f t="shared" si="192"/>
        <v>0.112328267452152-0.123126512615991i</v>
      </c>
      <c r="AQ356" s="147" t="str">
        <f t="shared" si="193"/>
        <v>0.887671732547848+0.123126512615991i</v>
      </c>
      <c r="AR356" s="147" t="str">
        <f t="shared" si="194"/>
        <v>0.920696046548042-0.127707224680245i</v>
      </c>
    </row>
    <row r="357" spans="7:44">
      <c r="G357" s="585">
        <v>28184</v>
      </c>
      <c r="H357" s="573">
        <f t="shared" si="186"/>
        <v>28.184000000000001</v>
      </c>
      <c r="I357" s="574">
        <f t="shared" si="166"/>
        <v>194.67200893965696</v>
      </c>
      <c r="J357" s="575">
        <f t="shared" si="167"/>
        <v>1.5656594588735022</v>
      </c>
      <c r="K357" s="575">
        <f t="shared" si="168"/>
        <v>1.0120694470549361</v>
      </c>
      <c r="L357" s="576">
        <f t="shared" si="169"/>
        <v>0.1545916644267466</v>
      </c>
      <c r="M357" s="575">
        <f t="shared" si="170"/>
        <v>1.0185955182639779</v>
      </c>
      <c r="N357" s="576">
        <f t="shared" si="171"/>
        <v>-0.19137323192487934</v>
      </c>
      <c r="O357" s="574">
        <f t="shared" si="172"/>
        <v>531255.88348654122</v>
      </c>
      <c r="P357" s="577">
        <f t="shared" si="173"/>
        <v>1.5707944444628019</v>
      </c>
      <c r="Q357" s="586">
        <f t="shared" si="195"/>
        <v>71.195311667838808</v>
      </c>
      <c r="R357" s="587">
        <f t="shared" si="196"/>
        <v>1.5567499962070568</v>
      </c>
      <c r="S357" s="574">
        <f t="shared" si="174"/>
        <v>1.4629589163005086</v>
      </c>
      <c r="T357" s="577">
        <f t="shared" si="175"/>
        <v>0.81818625770713349</v>
      </c>
      <c r="U357" s="578">
        <f t="shared" si="187"/>
        <v>0.90201954979660293</v>
      </c>
      <c r="V357" s="579">
        <f t="shared" si="188"/>
        <v>-0.55632091631529224</v>
      </c>
      <c r="W357" s="580">
        <f t="shared" si="176"/>
        <v>-19.791624594025325</v>
      </c>
      <c r="X357" s="581">
        <f t="shared" si="177"/>
        <v>-171.37125551810956</v>
      </c>
      <c r="Y357" s="584">
        <f t="shared" si="178"/>
        <v>8.6287444818904362</v>
      </c>
      <c r="AA357" s="147">
        <f t="shared" si="179"/>
        <v>28184</v>
      </c>
      <c r="AB357" s="147">
        <f t="shared" si="180"/>
        <v>794337856</v>
      </c>
      <c r="AD357" s="583">
        <f t="shared" si="181"/>
        <v>24.343760354433883</v>
      </c>
      <c r="AE357" s="584">
        <f t="shared" si="182"/>
        <v>-47.68330708735207</v>
      </c>
      <c r="AG357" s="583">
        <f t="shared" si="183"/>
        <v>16.94316991553238</v>
      </c>
      <c r="AH357" s="584">
        <f t="shared" si="184"/>
        <v>-59.938267238479071</v>
      </c>
      <c r="AJ357" s="147">
        <f t="shared" si="185"/>
        <v>0</v>
      </c>
      <c r="AK357" s="147">
        <f t="shared" si="197"/>
        <v>0</v>
      </c>
      <c r="AM357" s="147" t="str">
        <f t="shared" si="189"/>
        <v>0.329555043116589+0.741959270977593i</v>
      </c>
      <c r="AN357" s="147" t="str">
        <f t="shared" si="190"/>
        <v>0.835987996440495i</v>
      </c>
      <c r="AO357" s="147" t="str">
        <f t="shared" si="191"/>
        <v>0.887523833041549-0.394210257228312i</v>
      </c>
      <c r="AP357" s="147" t="str">
        <f t="shared" si="192"/>
        <v>0.111740826147235-0.123659878496265i</v>
      </c>
      <c r="AQ357" s="147" t="str">
        <f t="shared" si="193"/>
        <v>0.888259173852765+0.123659878496265i</v>
      </c>
      <c r="AR357" s="147" t="str">
        <f t="shared" si="194"/>
        <v>0.919959537756979-0.128073075977446i</v>
      </c>
    </row>
    <row r="358" spans="7:44">
      <c r="G358" s="585">
        <v>28348</v>
      </c>
      <c r="H358" s="573">
        <f t="shared" si="186"/>
        <v>28.347999999999999</v>
      </c>
      <c r="I358" s="574">
        <f t="shared" si="166"/>
        <v>195.80475693356385</v>
      </c>
      <c r="J358" s="575">
        <f t="shared" si="167"/>
        <v>1.5656891763720049</v>
      </c>
      <c r="K358" s="575">
        <f t="shared" si="168"/>
        <v>1.0122094679749423</v>
      </c>
      <c r="L358" s="576">
        <f t="shared" si="169"/>
        <v>0.15547683248779876</v>
      </c>
      <c r="M358" s="575">
        <f t="shared" si="170"/>
        <v>1.0188105551354971</v>
      </c>
      <c r="N358" s="576">
        <f t="shared" si="171"/>
        <v>-0.19245959476633942</v>
      </c>
      <c r="O358" s="574">
        <f t="shared" si="172"/>
        <v>534347.21065413579</v>
      </c>
      <c r="P358" s="577">
        <f t="shared" si="173"/>
        <v>1.5707944553525459</v>
      </c>
      <c r="Q358" s="586">
        <f t="shared" si="195"/>
        <v>71.609508880901785</v>
      </c>
      <c r="R358" s="587">
        <f t="shared" si="196"/>
        <v>1.5568312470132204</v>
      </c>
      <c r="S358" s="574">
        <f t="shared" si="174"/>
        <v>1.4675003906258046</v>
      </c>
      <c r="T358" s="577">
        <f t="shared" si="175"/>
        <v>0.82108047596345501</v>
      </c>
      <c r="U358" s="578">
        <f t="shared" si="187"/>
        <v>0.90103424899475748</v>
      </c>
      <c r="V358" s="579">
        <f t="shared" si="188"/>
        <v>-0.55925880774146508</v>
      </c>
      <c r="W358" s="580">
        <f t="shared" si="176"/>
        <v>-19.875408850462996</v>
      </c>
      <c r="X358" s="581">
        <f t="shared" si="177"/>
        <v>-171.71398638364602</v>
      </c>
      <c r="Y358" s="584">
        <f t="shared" si="178"/>
        <v>8.2860136163539835</v>
      </c>
      <c r="AA358" s="147">
        <f t="shared" si="179"/>
        <v>28348</v>
      </c>
      <c r="AB358" s="147">
        <f t="shared" si="180"/>
        <v>803609104</v>
      </c>
      <c r="AD358" s="583">
        <f t="shared" si="181"/>
        <v>24.316828562532443</v>
      </c>
      <c r="AE358" s="584">
        <f t="shared" si="182"/>
        <v>-47.844478874274316</v>
      </c>
      <c r="AG358" s="583">
        <f t="shared" si="183"/>
        <v>16.905303495412021</v>
      </c>
      <c r="AH358" s="584">
        <f t="shared" si="184"/>
        <v>-59.783168757933794</v>
      </c>
      <c r="AJ358" s="147">
        <f t="shared" si="185"/>
        <v>0</v>
      </c>
      <c r="AK358" s="147">
        <f t="shared" si="197"/>
        <v>0</v>
      </c>
      <c r="AM358" s="147" t="str">
        <f t="shared" si="189"/>
        <v>0.333172247704011+0.74521188179462i</v>
      </c>
      <c r="AN358" s="147" t="str">
        <f t="shared" si="190"/>
        <v>0.840852530623586i</v>
      </c>
      <c r="AO358" s="147" t="str">
        <f t="shared" si="191"/>
        <v>0.886257523946514-0.396231485985927i</v>
      </c>
      <c r="AP358" s="147" t="str">
        <f t="shared" si="192"/>
        <v>0.111137958715998-0.124201980299103i</v>
      </c>
      <c r="AQ358" s="147" t="str">
        <f t="shared" si="193"/>
        <v>0.888862041284002+0.124201980299103i</v>
      </c>
      <c r="AR358" s="147" t="str">
        <f t="shared" si="194"/>
        <v>0.919205922220625-0.128441974727085i</v>
      </c>
    </row>
    <row r="359" spans="7:44">
      <c r="G359" s="585">
        <v>28512</v>
      </c>
      <c r="H359" s="573">
        <f t="shared" si="186"/>
        <v>28.512</v>
      </c>
      <c r="I359" s="574">
        <f t="shared" si="166"/>
        <v>196.93750509840254</v>
      </c>
      <c r="J359" s="575">
        <f t="shared" si="167"/>
        <v>1.5657185520114052</v>
      </c>
      <c r="K359" s="575">
        <f t="shared" si="168"/>
        <v>1.0123502817640868</v>
      </c>
      <c r="L359" s="576">
        <f t="shared" si="169"/>
        <v>0.15636175499552379</v>
      </c>
      <c r="M359" s="575">
        <f t="shared" si="170"/>
        <v>1.0190267938828741</v>
      </c>
      <c r="N359" s="576">
        <f t="shared" si="171"/>
        <v>-0.19354549783383299</v>
      </c>
      <c r="O359" s="574">
        <f t="shared" si="172"/>
        <v>537438.53782173048</v>
      </c>
      <c r="P359" s="577">
        <f t="shared" si="173"/>
        <v>1.570794466117015</v>
      </c>
      <c r="Q359" s="586">
        <f t="shared" si="195"/>
        <v>72.023706561271439</v>
      </c>
      <c r="R359" s="587">
        <f t="shared" si="196"/>
        <v>1.5569115632971791</v>
      </c>
      <c r="S359" s="574">
        <f t="shared" si="174"/>
        <v>1.4720540815593122</v>
      </c>
      <c r="T359" s="577">
        <f t="shared" si="175"/>
        <v>0.82395681208726146</v>
      </c>
      <c r="U359" s="578">
        <f t="shared" si="187"/>
        <v>0.90004625916445469</v>
      </c>
      <c r="V359" s="579">
        <f t="shared" si="188"/>
        <v>-0.56219229522451031</v>
      </c>
      <c r="W359" s="580">
        <f t="shared" si="176"/>
        <v>-19.958910987506155</v>
      </c>
      <c r="X359" s="581">
        <f t="shared" si="177"/>
        <v>-172.05546202708297</v>
      </c>
      <c r="Y359" s="584">
        <f t="shared" si="178"/>
        <v>7.9445379729170327</v>
      </c>
      <c r="AA359" s="147">
        <f t="shared" si="179"/>
        <v>28512</v>
      </c>
      <c r="AB359" s="147">
        <f t="shared" si="180"/>
        <v>812934144</v>
      </c>
      <c r="AD359" s="583">
        <f t="shared" si="181"/>
        <v>24.289908042664742</v>
      </c>
      <c r="AE359" s="584">
        <f t="shared" si="182"/>
        <v>-48.00467962747414</v>
      </c>
      <c r="AG359" s="583">
        <f t="shared" si="183"/>
        <v>16.867780596492473</v>
      </c>
      <c r="AH359" s="584">
        <f t="shared" si="184"/>
        <v>-59.628290743720932</v>
      </c>
      <c r="AJ359" s="147">
        <f t="shared" si="185"/>
        <v>0</v>
      </c>
      <c r="AK359" s="147">
        <f t="shared" si="197"/>
        <v>0</v>
      </c>
      <c r="AM359" s="147" t="str">
        <f t="shared" si="189"/>
        <v>0.336805231867408+0.748446858181366i</v>
      </c>
      <c r="AN359" s="147" t="str">
        <f t="shared" si="190"/>
        <v>0.845717064806677i</v>
      </c>
      <c r="AO359" s="147" t="str">
        <f t="shared" si="191"/>
        <v>0.884984930926579-0.398248120894189i</v>
      </c>
      <c r="AP359" s="147" t="str">
        <f t="shared" si="192"/>
        <v>0.110532461355432-0.124741143030228i</v>
      </c>
      <c r="AQ359" s="147" t="str">
        <f t="shared" si="193"/>
        <v>0.889467538644568+0.124741143030228i</v>
      </c>
      <c r="AR359" s="147" t="str">
        <f t="shared" si="194"/>
        <v>0.918451286647054-0.128805896040371i</v>
      </c>
    </row>
    <row r="360" spans="7:44">
      <c r="G360" s="585">
        <v>28676</v>
      </c>
      <c r="H360" s="573">
        <f t="shared" si="186"/>
        <v>28.675999999999998</v>
      </c>
      <c r="I360" s="574">
        <f t="shared" si="166"/>
        <v>198.07025343124039</v>
      </c>
      <c r="J360" s="575">
        <f t="shared" si="167"/>
        <v>1.5657475916568486</v>
      </c>
      <c r="K360" s="575">
        <f t="shared" si="168"/>
        <v>1.012491888091561</v>
      </c>
      <c r="L360" s="576">
        <f t="shared" si="169"/>
        <v>0.15724643066672009</v>
      </c>
      <c r="M360" s="575">
        <f t="shared" si="170"/>
        <v>1.0192442337411531</v>
      </c>
      <c r="N360" s="576">
        <f t="shared" si="171"/>
        <v>-0.19463093885984761</v>
      </c>
      <c r="O360" s="574">
        <f t="shared" si="172"/>
        <v>540529.86498932505</v>
      </c>
      <c r="P360" s="577">
        <f t="shared" si="173"/>
        <v>1.5707944767583588</v>
      </c>
      <c r="Q360" s="586">
        <f t="shared" si="195"/>
        <v>72.437904700931625</v>
      </c>
      <c r="R360" s="587">
        <f t="shared" si="196"/>
        <v>1.5569909610886119</v>
      </c>
      <c r="S360" s="574">
        <f t="shared" si="174"/>
        <v>1.4766198760780587</v>
      </c>
      <c r="T360" s="577">
        <f t="shared" si="175"/>
        <v>0.82681538414224309</v>
      </c>
      <c r="U360" s="578">
        <f t="shared" si="187"/>
        <v>0.89905561686165936</v>
      </c>
      <c r="V360" s="579">
        <f t="shared" si="188"/>
        <v>-0.56512137291607822</v>
      </c>
      <c r="W360" s="580">
        <f t="shared" si="176"/>
        <v>-20.042133297691361</v>
      </c>
      <c r="X360" s="581">
        <f t="shared" si="177"/>
        <v>-172.3956882392273</v>
      </c>
      <c r="Y360" s="584">
        <f t="shared" si="178"/>
        <v>7.6043117607727027</v>
      </c>
      <c r="AA360" s="147">
        <f t="shared" si="179"/>
        <v>28676</v>
      </c>
      <c r="AB360" s="147">
        <f t="shared" si="180"/>
        <v>822312976</v>
      </c>
      <c r="AD360" s="583">
        <f t="shared" si="181"/>
        <v>24.262999610192736</v>
      </c>
      <c r="AE360" s="584">
        <f t="shared" si="182"/>
        <v>-48.163915193192921</v>
      </c>
      <c r="AG360" s="583">
        <f t="shared" si="183"/>
        <v>16.830597621141536</v>
      </c>
      <c r="AH360" s="584">
        <f t="shared" si="184"/>
        <v>-59.473633810577446</v>
      </c>
      <c r="AJ360" s="147">
        <f t="shared" si="185"/>
        <v>0</v>
      </c>
      <c r="AK360" s="147">
        <f t="shared" si="197"/>
        <v>0</v>
      </c>
      <c r="AM360" s="147" t="str">
        <f t="shared" si="189"/>
        <v>0.34045390963713+0.751664123586495i</v>
      </c>
      <c r="AN360" s="147" t="str">
        <f t="shared" si="190"/>
        <v>0.850581598989768i</v>
      </c>
      <c r="AO360" s="147" t="str">
        <f t="shared" si="191"/>
        <v>0.883706071797513-0.400260139699102i</v>
      </c>
      <c r="AP360" s="147" t="str">
        <f t="shared" si="192"/>
        <v>0.109924348393812-0.125277353931082i</v>
      </c>
      <c r="AQ360" s="147" t="str">
        <f t="shared" si="193"/>
        <v>0.890075651606188+0.125277353931082i</v>
      </c>
      <c r="AR360" s="147" t="str">
        <f t="shared" si="194"/>
        <v>0.917695668138712-0.129164846618342i</v>
      </c>
    </row>
    <row r="361" spans="7:44">
      <c r="G361" s="585">
        <v>28840</v>
      </c>
      <c r="H361" s="573">
        <f t="shared" si="186"/>
        <v>28.84</v>
      </c>
      <c r="I361" s="574">
        <f t="shared" si="166"/>
        <v>199.20300192921144</v>
      </c>
      <c r="J361" s="575">
        <f t="shared" si="167"/>
        <v>1.5657763010400765</v>
      </c>
      <c r="K361" s="575">
        <f t="shared" si="168"/>
        <v>1.0126342866248805</v>
      </c>
      <c r="L361" s="576">
        <f t="shared" si="169"/>
        <v>0.15813085822044726</v>
      </c>
      <c r="M361" s="575">
        <f t="shared" si="170"/>
        <v>1.0194628739417846</v>
      </c>
      <c r="N361" s="576">
        <f t="shared" si="171"/>
        <v>-0.19571591558315493</v>
      </c>
      <c r="O361" s="574">
        <f t="shared" si="172"/>
        <v>543621.19215691974</v>
      </c>
      <c r="P361" s="577">
        <f t="shared" si="173"/>
        <v>1.5707944872786777</v>
      </c>
      <c r="Q361" s="586">
        <f t="shared" si="195"/>
        <v>72.852103292048511</v>
      </c>
      <c r="R361" s="587">
        <f t="shared" si="196"/>
        <v>1.5570694560526999</v>
      </c>
      <c r="S361" s="574">
        <f t="shared" si="174"/>
        <v>1.4811976622540772</v>
      </c>
      <c r="T361" s="577">
        <f t="shared" si="175"/>
        <v>0.8296563098995976</v>
      </c>
      <c r="U361" s="578">
        <f t="shared" si="187"/>
        <v>0.89806235851072957</v>
      </c>
      <c r="V361" s="579">
        <f t="shared" si="188"/>
        <v>-0.56804603518386443</v>
      </c>
      <c r="W361" s="580">
        <f t="shared" si="176"/>
        <v>-20.12507803323291</v>
      </c>
      <c r="X361" s="581">
        <f t="shared" si="177"/>
        <v>-172.73467081997413</v>
      </c>
      <c r="Y361" s="584">
        <f t="shared" si="178"/>
        <v>7.2653291800258728</v>
      </c>
      <c r="AA361" s="147">
        <f t="shared" si="179"/>
        <v>28840</v>
      </c>
      <c r="AB361" s="147">
        <f t="shared" si="180"/>
        <v>831745600</v>
      </c>
      <c r="AD361" s="583">
        <f t="shared" si="181"/>
        <v>24.236104064240692</v>
      </c>
      <c r="AE361" s="584">
        <f t="shared" si="182"/>
        <v>-48.322191421794777</v>
      </c>
      <c r="AG361" s="583">
        <f t="shared" si="183"/>
        <v>16.793751029077534</v>
      </c>
      <c r="AH361" s="584">
        <f t="shared" si="184"/>
        <v>-59.31919855344885</v>
      </c>
      <c r="AJ361" s="147">
        <f t="shared" si="185"/>
        <v>0</v>
      </c>
      <c r="AK361" s="147">
        <f t="shared" si="197"/>
        <v>0</v>
      </c>
      <c r="AM361" s="147" t="str">
        <f t="shared" si="189"/>
        <v>0.344118194672157+0.754863601877776i</v>
      </c>
      <c r="AN361" s="147" t="str">
        <f t="shared" si="190"/>
        <v>0.855446133172859i</v>
      </c>
      <c r="AO361" s="147" t="str">
        <f t="shared" si="191"/>
        <v>0.882420964459771-0.402267520218741i</v>
      </c>
      <c r="AP361" s="147" t="str">
        <f t="shared" si="192"/>
        <v>0.109313634221307-0.125810600312963i</v>
      </c>
      <c r="AQ361" s="147" t="str">
        <f t="shared" si="193"/>
        <v>0.890686365778693+0.125810600312963i</v>
      </c>
      <c r="AR361" s="147" t="str">
        <f t="shared" si="194"/>
        <v>0.916939103583171-0.129518833457581i</v>
      </c>
    </row>
    <row r="362" spans="7:44">
      <c r="G362" s="585">
        <v>29008</v>
      </c>
      <c r="H362" s="573">
        <f t="shared" si="186"/>
        <v>29.007999999999999</v>
      </c>
      <c r="I362" s="574">
        <f t="shared" si="166"/>
        <v>200.36337860762427</v>
      </c>
      <c r="J362" s="575">
        <f t="shared" si="167"/>
        <v>1.5658053740640989</v>
      </c>
      <c r="K362" s="575">
        <f t="shared" si="168"/>
        <v>1.0127809793684706</v>
      </c>
      <c r="L362" s="576">
        <f t="shared" si="169"/>
        <v>0.15903659857259095</v>
      </c>
      <c r="M362" s="575">
        <f t="shared" si="170"/>
        <v>1.019688090637443</v>
      </c>
      <c r="N362" s="576">
        <f t="shared" si="171"/>
        <v>-0.19682687136881927</v>
      </c>
      <c r="O362" s="574">
        <f t="shared" si="172"/>
        <v>546787.91754811443</v>
      </c>
      <c r="P362" s="577">
        <f t="shared" si="173"/>
        <v>1.5707944979322463</v>
      </c>
      <c r="Q362" s="586">
        <f t="shared" si="195"/>
        <v>73.27640474793192</v>
      </c>
      <c r="R362" s="587">
        <f t="shared" si="196"/>
        <v>1.5571489454045149</v>
      </c>
      <c r="S362" s="574">
        <f t="shared" si="174"/>
        <v>1.4858994198384077</v>
      </c>
      <c r="T362" s="577">
        <f t="shared" si="175"/>
        <v>0.83254835216793921</v>
      </c>
      <c r="U362" s="578">
        <f t="shared" si="187"/>
        <v>0.89704219974507071</v>
      </c>
      <c r="V362" s="579">
        <f t="shared" si="188"/>
        <v>-0.571037446739037</v>
      </c>
      <c r="W362" s="580">
        <f t="shared" si="176"/>
        <v>-20.209760311732911</v>
      </c>
      <c r="X362" s="581">
        <f t="shared" si="177"/>
        <v>-173.08063783925209</v>
      </c>
      <c r="Y362" s="584">
        <f t="shared" si="178"/>
        <v>6.9193621607479088</v>
      </c>
      <c r="AA362" s="147">
        <f t="shared" si="179"/>
        <v>29008</v>
      </c>
      <c r="AB362" s="147">
        <f t="shared" si="180"/>
        <v>841464064</v>
      </c>
      <c r="AD362" s="583">
        <f t="shared" si="181"/>
        <v>24.20856670967202</v>
      </c>
      <c r="AE362" s="584">
        <f t="shared" si="182"/>
        <v>-48.483339444157636</v>
      </c>
      <c r="AG362" s="583">
        <f t="shared" si="183"/>
        <v>16.756350887955641</v>
      </c>
      <c r="AH362" s="584">
        <f t="shared" si="184"/>
        <v>-59.161227036176136</v>
      </c>
      <c r="AJ362" s="147">
        <f t="shared" si="185"/>
        <v>0</v>
      </c>
      <c r="AK362" s="147">
        <f t="shared" si="197"/>
        <v>0</v>
      </c>
      <c r="AM362" s="147" t="str">
        <f t="shared" si="189"/>
        <v>0.347887944776217+0.758122593933074i</v>
      </c>
      <c r="AN362" s="147" t="str">
        <f t="shared" si="190"/>
        <v>0.860429314531148i</v>
      </c>
      <c r="AO362" s="147" t="str">
        <f t="shared" si="191"/>
        <v>0.881098053180787-0.404319028769705i</v>
      </c>
      <c r="AP362" s="147" t="str">
        <f t="shared" si="192"/>
        <v>0.108685342537297-0.126353765655512i</v>
      </c>
      <c r="AQ362" s="147" t="str">
        <f t="shared" si="193"/>
        <v>0.891314657462703+0.126353765655512i</v>
      </c>
      <c r="AR362" s="147" t="str">
        <f t="shared" si="194"/>
        <v>0.916163143624366-0.12987631492706i</v>
      </c>
    </row>
    <row r="363" spans="7:44">
      <c r="G363" s="585">
        <v>29176</v>
      </c>
      <c r="H363" s="573">
        <f t="shared" si="186"/>
        <v>29.175999999999998</v>
      </c>
      <c r="I363" s="574">
        <f t="shared" si="166"/>
        <v>201.52375545344211</v>
      </c>
      <c r="J363" s="575">
        <f t="shared" si="167"/>
        <v>1.5658341122823172</v>
      </c>
      <c r="K363" s="575">
        <f t="shared" si="168"/>
        <v>1.0129285027216761</v>
      </c>
      <c r="L363" s="576">
        <f t="shared" si="169"/>
        <v>0.15994207584252965</v>
      </c>
      <c r="M363" s="575">
        <f t="shared" si="170"/>
        <v>1.019914565298631</v>
      </c>
      <c r="N363" s="576">
        <f t="shared" si="171"/>
        <v>-0.19793733514333914</v>
      </c>
      <c r="O363" s="574">
        <f t="shared" si="172"/>
        <v>549954.64293930912</v>
      </c>
      <c r="P363" s="577">
        <f t="shared" si="173"/>
        <v>1.5707945084631254</v>
      </c>
      <c r="Q363" s="586">
        <f t="shared" si="195"/>
        <v>73.700706661485398</v>
      </c>
      <c r="R363" s="587">
        <f t="shared" si="196"/>
        <v>1.5572275195014433</v>
      </c>
      <c r="S363" s="574">
        <f t="shared" si="174"/>
        <v>1.4906135268876777</v>
      </c>
      <c r="T363" s="577">
        <f t="shared" si="175"/>
        <v>0.8354221260164495</v>
      </c>
      <c r="U363" s="578">
        <f t="shared" si="187"/>
        <v>0.89601937270774257</v>
      </c>
      <c r="V363" s="579">
        <f t="shared" si="188"/>
        <v>-0.57402421358175892</v>
      </c>
      <c r="W363" s="580">
        <f t="shared" si="176"/>
        <v>-20.294155969645079</v>
      </c>
      <c r="X363" s="581">
        <f t="shared" si="177"/>
        <v>-173.42531216634436</v>
      </c>
      <c r="Y363" s="584">
        <f t="shared" si="178"/>
        <v>6.5746878336556449</v>
      </c>
      <c r="AA363" s="147">
        <f t="shared" si="179"/>
        <v>29176</v>
      </c>
      <c r="AB363" s="147">
        <f t="shared" si="180"/>
        <v>851238976</v>
      </c>
      <c r="AD363" s="583">
        <f t="shared" si="181"/>
        <v>24.181044524264458</v>
      </c>
      <c r="AE363" s="584">
        <f t="shared" si="182"/>
        <v>-48.643493196377207</v>
      </c>
      <c r="AG363" s="583">
        <f t="shared" si="183"/>
        <v>16.71929639738714</v>
      </c>
      <c r="AH363" s="584">
        <f t="shared" si="184"/>
        <v>-59.003489341702576</v>
      </c>
      <c r="AJ363" s="147">
        <f t="shared" si="185"/>
        <v>0</v>
      </c>
      <c r="AK363" s="147">
        <f t="shared" si="197"/>
        <v>0</v>
      </c>
      <c r="AM363" s="147" t="str">
        <f t="shared" si="189"/>
        <v>0.351673888156217+0.761362760253956i</v>
      </c>
      <c r="AN363" s="147" t="str">
        <f t="shared" si="190"/>
        <v>0.865412495889436i</v>
      </c>
      <c r="AO363" s="147" t="str">
        <f t="shared" si="191"/>
        <v>0.879768623483369-0.406365623129558i</v>
      </c>
      <c r="AP363" s="147" t="str">
        <f t="shared" si="192"/>
        <v>0.108054351973964-0.126893793375659i</v>
      </c>
      <c r="AQ363" s="147" t="str">
        <f t="shared" si="193"/>
        <v>0.891945648026036+0.126893793375659i</v>
      </c>
      <c r="AR363" s="147" t="str">
        <f t="shared" si="194"/>
        <v>0.915386268568662-0.130228603368079i</v>
      </c>
    </row>
    <row r="364" spans="7:44">
      <c r="G364" s="585">
        <v>29344</v>
      </c>
      <c r="H364" s="573">
        <f t="shared" si="186"/>
        <v>29.344000000000001</v>
      </c>
      <c r="I364" s="574">
        <f t="shared" si="166"/>
        <v>202.68413246378969</v>
      </c>
      <c r="J364" s="575">
        <f t="shared" si="167"/>
        <v>1.5658625214450244</v>
      </c>
      <c r="K364" s="575">
        <f t="shared" si="168"/>
        <v>1.0130768563216392</v>
      </c>
      <c r="L364" s="576">
        <f t="shared" si="169"/>
        <v>0.16084728866073669</v>
      </c>
      <c r="M364" s="575">
        <f t="shared" si="170"/>
        <v>1.0201422970875322</v>
      </c>
      <c r="N364" s="576">
        <f t="shared" si="171"/>
        <v>-0.19904730449662228</v>
      </c>
      <c r="O364" s="574">
        <f t="shared" si="172"/>
        <v>553121.36833050405</v>
      </c>
      <c r="P364" s="577">
        <f t="shared" si="173"/>
        <v>1.5707945188734218</v>
      </c>
      <c r="Q364" s="586">
        <f t="shared" si="195"/>
        <v>74.125009024849632</v>
      </c>
      <c r="R364" s="587">
        <f t="shared" si="196"/>
        <v>1.5573051940596638</v>
      </c>
      <c r="S364" s="574">
        <f t="shared" si="174"/>
        <v>1.4953398666056352</v>
      </c>
      <c r="T364" s="577">
        <f t="shared" si="175"/>
        <v>0.83827775697743145</v>
      </c>
      <c r="U364" s="578">
        <f t="shared" si="187"/>
        <v>0.89499391610947199</v>
      </c>
      <c r="V364" s="579">
        <f t="shared" si="188"/>
        <v>-0.57700633035432525</v>
      </c>
      <c r="W364" s="580">
        <f t="shared" si="176"/>
        <v>-20.378267303381513</v>
      </c>
      <c r="X364" s="581">
        <f t="shared" si="177"/>
        <v>-173.76870005624579</v>
      </c>
      <c r="Y364" s="584">
        <f t="shared" si="178"/>
        <v>6.2312999437542089</v>
      </c>
      <c r="AA364" s="147">
        <f t="shared" si="179"/>
        <v>29344</v>
      </c>
      <c r="AB364" s="147">
        <f t="shared" si="180"/>
        <v>861070336</v>
      </c>
      <c r="AD364" s="583">
        <f t="shared" si="181"/>
        <v>24.153538315541955</v>
      </c>
      <c r="AE364" s="584">
        <f t="shared" si="182"/>
        <v>-48.802658970574718</v>
      </c>
      <c r="AG364" s="583">
        <f t="shared" si="183"/>
        <v>16.682583930613365</v>
      </c>
      <c r="AH364" s="584">
        <f t="shared" si="184"/>
        <v>-58.845986046849589</v>
      </c>
      <c r="AJ364" s="147">
        <f t="shared" si="185"/>
        <v>0</v>
      </c>
      <c r="AK364" s="147">
        <f t="shared" si="197"/>
        <v>0</v>
      </c>
      <c r="AM364" s="147" t="str">
        <f t="shared" si="189"/>
        <v>0.355475930799444+0.764584020380466i</v>
      </c>
      <c r="AN364" s="147" t="str">
        <f t="shared" si="190"/>
        <v>0.870395677247725i</v>
      </c>
      <c r="AO364" s="147" t="str">
        <f t="shared" si="191"/>
        <v>0.878432694884417-0.408407279690879i</v>
      </c>
      <c r="AP364" s="147" t="str">
        <f t="shared" si="192"/>
        <v>0.107420678200093-0.127430670063411i</v>
      </c>
      <c r="AQ364" s="147" t="str">
        <f t="shared" si="193"/>
        <v>0.892579321799907+0.127430670063411i</v>
      </c>
      <c r="AR364" s="147" t="str">
        <f t="shared" si="194"/>
        <v>0.914608517354119-0.130575707240354i</v>
      </c>
    </row>
    <row r="365" spans="7:44">
      <c r="G365" s="585">
        <v>29512</v>
      </c>
      <c r="H365" s="573">
        <f t="shared" si="186"/>
        <v>29.512</v>
      </c>
      <c r="I365" s="574">
        <f t="shared" si="166"/>
        <v>203.84450963585735</v>
      </c>
      <c r="J365" s="575">
        <f t="shared" si="167"/>
        <v>1.5658906071715828</v>
      </c>
      <c r="K365" s="575">
        <f t="shared" si="168"/>
        <v>1.0132260398036725</v>
      </c>
      <c r="L365" s="576">
        <f t="shared" si="169"/>
        <v>0.16175223566021871</v>
      </c>
      <c r="M365" s="575">
        <f t="shared" si="170"/>
        <v>1.02037128516243</v>
      </c>
      <c r="N365" s="576">
        <f t="shared" si="171"/>
        <v>-0.2001567770255952</v>
      </c>
      <c r="O365" s="574">
        <f t="shared" si="172"/>
        <v>556288.09372169885</v>
      </c>
      <c r="P365" s="577">
        <f t="shared" si="173"/>
        <v>1.5707945291651948</v>
      </c>
      <c r="Q365" s="586">
        <f t="shared" si="195"/>
        <v>74.549311830344266</v>
      </c>
      <c r="R365" s="587">
        <f t="shared" si="196"/>
        <v>1.5573819844376</v>
      </c>
      <c r="S365" s="574">
        <f t="shared" si="174"/>
        <v>1.5000783233668264</v>
      </c>
      <c r="T365" s="577">
        <f t="shared" si="175"/>
        <v>0.8411153701867945</v>
      </c>
      <c r="U365" s="578">
        <f t="shared" si="187"/>
        <v>0.8939658685062567</v>
      </c>
      <c r="V365" s="579">
        <f t="shared" si="188"/>
        <v>-0.57998379193121841</v>
      </c>
      <c r="W365" s="580">
        <f t="shared" si="176"/>
        <v>-20.462096569536254</v>
      </c>
      <c r="X365" s="581">
        <f t="shared" si="177"/>
        <v>-174.11080776779318</v>
      </c>
      <c r="Y365" s="584">
        <f t="shared" si="178"/>
        <v>5.889192232206824</v>
      </c>
      <c r="AA365" s="147">
        <f t="shared" si="179"/>
        <v>29512</v>
      </c>
      <c r="AB365" s="147">
        <f t="shared" si="180"/>
        <v>870958144</v>
      </c>
      <c r="AD365" s="583">
        <f t="shared" si="181"/>
        <v>24.126048874152033</v>
      </c>
      <c r="AE365" s="584">
        <f t="shared" si="182"/>
        <v>-48.960843056654745</v>
      </c>
      <c r="AG365" s="583">
        <f t="shared" si="183"/>
        <v>16.64620991857155</v>
      </c>
      <c r="AH365" s="584">
        <f t="shared" si="184"/>
        <v>-58.688717707890405</v>
      </c>
      <c r="AJ365" s="147">
        <f t="shared" si="185"/>
        <v>0</v>
      </c>
      <c r="AK365" s="147">
        <f t="shared" si="197"/>
        <v>0</v>
      </c>
      <c r="AM365" s="147" t="str">
        <f t="shared" si="189"/>
        <v>0.359293978293401+0.767786294322126i</v>
      </c>
      <c r="AN365" s="147" t="str">
        <f t="shared" si="190"/>
        <v>0.875378858606013i</v>
      </c>
      <c r="AO365" s="147" t="str">
        <f t="shared" si="191"/>
        <v>0.877090286992741-0.410443974927101i</v>
      </c>
      <c r="AP365" s="147" t="str">
        <f t="shared" si="192"/>
        <v>0.1067843369511-0.127964382387021i</v>
      </c>
      <c r="AQ365" s="147" t="str">
        <f t="shared" si="193"/>
        <v>0.8932156630489+0.127964382387021i</v>
      </c>
      <c r="AR365" s="147" t="str">
        <f t="shared" si="194"/>
        <v>0.913829928673255-0.13091763531138i</v>
      </c>
    </row>
    <row r="366" spans="7:44">
      <c r="G366" s="585">
        <v>29684</v>
      </c>
      <c r="H366" s="573">
        <f t="shared" si="186"/>
        <v>29.684000000000001</v>
      </c>
      <c r="I366" s="574">
        <f t="shared" si="166"/>
        <v>205.03251500050581</v>
      </c>
      <c r="J366" s="575">
        <f t="shared" si="167"/>
        <v>1.5659190322610246</v>
      </c>
      <c r="K366" s="575">
        <f t="shared" si="168"/>
        <v>1.0133796346465864</v>
      </c>
      <c r="L366" s="576">
        <f t="shared" si="169"/>
        <v>0.16267845220446583</v>
      </c>
      <c r="M366" s="575">
        <f t="shared" si="170"/>
        <v>1.0206070259607729</v>
      </c>
      <c r="N366" s="576">
        <f t="shared" si="171"/>
        <v>-0.20129214835636527</v>
      </c>
      <c r="O366" s="574">
        <f t="shared" si="172"/>
        <v>559530.21733649366</v>
      </c>
      <c r="P366" s="577">
        <f t="shared" si="173"/>
        <v>1.5707945395813216</v>
      </c>
      <c r="Q366" s="586">
        <f t="shared" si="195"/>
        <v>74.983717533797417</v>
      </c>
      <c r="R366" s="587">
        <f t="shared" si="196"/>
        <v>1.5574597028215531</v>
      </c>
      <c r="S366" s="574">
        <f t="shared" si="174"/>
        <v>1.5049420342383197</v>
      </c>
      <c r="T366" s="577">
        <f t="shared" si="175"/>
        <v>0.84400200950065352</v>
      </c>
      <c r="U366" s="578">
        <f t="shared" si="187"/>
        <v>0.8929106993998317</v>
      </c>
      <c r="V366" s="579">
        <f t="shared" si="188"/>
        <v>-0.58302731756845749</v>
      </c>
      <c r="W366" s="580">
        <f t="shared" si="176"/>
        <v>-20.547631864903664</v>
      </c>
      <c r="X366" s="581">
        <f t="shared" si="177"/>
        <v>-174.45974117730526</v>
      </c>
      <c r="Y366" s="584">
        <f t="shared" si="178"/>
        <v>5.5402588226947387</v>
      </c>
      <c r="AA366" s="147">
        <f t="shared" si="179"/>
        <v>29684</v>
      </c>
      <c r="AB366" s="147">
        <f t="shared" si="180"/>
        <v>881139856</v>
      </c>
      <c r="AD366" s="583">
        <f t="shared" si="181"/>
        <v>24.097923101317519</v>
      </c>
      <c r="AE366" s="584">
        <f t="shared" si="182"/>
        <v>-49.121782967908331</v>
      </c>
      <c r="AG366" s="583">
        <f t="shared" si="183"/>
        <v>16.609316829322992</v>
      </c>
      <c r="AH366" s="584">
        <f t="shared" si="184"/>
        <v>-58.527948858043054</v>
      </c>
      <c r="AJ366" s="147">
        <f t="shared" si="185"/>
        <v>0</v>
      </c>
      <c r="AK366" s="147">
        <f t="shared" si="197"/>
        <v>0</v>
      </c>
      <c r="AM366" s="147" t="str">
        <f t="shared" si="189"/>
        <v>0.363219413664261+0.771045060204599i</v>
      </c>
      <c r="AN366" s="147" t="str">
        <f t="shared" si="190"/>
        <v>0.880480687139499i</v>
      </c>
      <c r="AO366" s="147" t="str">
        <f t="shared" si="191"/>
        <v>0.875709225047929-0.412523998503915i</v>
      </c>
      <c r="AP366" s="147" t="str">
        <f t="shared" si="192"/>
        <v>0.106130097722623-0.1285075100341i</v>
      </c>
      <c r="AQ366" s="147" t="str">
        <f t="shared" si="193"/>
        <v>0.893869902277377+0.1285075100341i</v>
      </c>
      <c r="AR366" s="147" t="str">
        <f t="shared" si="194"/>
        <v>0.913031974696829-0.131262351882386i</v>
      </c>
    </row>
    <row r="367" spans="7:44">
      <c r="G367" s="585">
        <v>29856</v>
      </c>
      <c r="H367" s="573">
        <f t="shared" si="186"/>
        <v>29.856000000000002</v>
      </c>
      <c r="I367" s="574">
        <f t="shared" si="166"/>
        <v>206.22052052890888</v>
      </c>
      <c r="J367" s="575">
        <f t="shared" si="167"/>
        <v>1.5659471298451242</v>
      </c>
      <c r="K367" s="575">
        <f t="shared" si="168"/>
        <v>1.0135340985807435</v>
      </c>
      <c r="L367" s="576">
        <f t="shared" si="169"/>
        <v>0.16360438722960283</v>
      </c>
      <c r="M367" s="575">
        <f t="shared" si="170"/>
        <v>1.0208440817824138</v>
      </c>
      <c r="N367" s="576">
        <f t="shared" si="171"/>
        <v>-0.20242699384781498</v>
      </c>
      <c r="O367" s="574">
        <f t="shared" si="172"/>
        <v>562772.34095128858</v>
      </c>
      <c r="P367" s="577">
        <f t="shared" si="173"/>
        <v>1.5707945498774343</v>
      </c>
      <c r="Q367" s="586">
        <f t="shared" si="195"/>
        <v>75.418123684945741</v>
      </c>
      <c r="R367" s="587">
        <f t="shared" si="196"/>
        <v>1.557536525894802</v>
      </c>
      <c r="S367" s="574">
        <f t="shared" si="174"/>
        <v>1.5098182044655242</v>
      </c>
      <c r="T367" s="577">
        <f t="shared" si="175"/>
        <v>0.84687002696921521</v>
      </c>
      <c r="U367" s="578">
        <f t="shared" si="187"/>
        <v>0.89185289572139215</v>
      </c>
      <c r="V367" s="579">
        <f t="shared" si="188"/>
        <v>-0.58606595356148072</v>
      </c>
      <c r="W367" s="580">
        <f t="shared" si="176"/>
        <v>-20.632876164661855</v>
      </c>
      <c r="X367" s="581">
        <f t="shared" si="177"/>
        <v>-174.80734600515427</v>
      </c>
      <c r="Y367" s="584">
        <f t="shared" si="178"/>
        <v>5.1926539948457275</v>
      </c>
      <c r="AA367" s="147">
        <f t="shared" si="179"/>
        <v>29856</v>
      </c>
      <c r="AB367" s="147">
        <f t="shared" si="180"/>
        <v>891380736</v>
      </c>
      <c r="AD367" s="583">
        <f t="shared" si="181"/>
        <v>24.069816527867339</v>
      </c>
      <c r="AE367" s="584">
        <f t="shared" si="182"/>
        <v>-49.281707216666845</v>
      </c>
      <c r="AG367" s="583">
        <f t="shared" si="183"/>
        <v>16.572771112198986</v>
      </c>
      <c r="AH367" s="584">
        <f t="shared" si="184"/>
        <v>-58.367427400982109</v>
      </c>
      <c r="AJ367" s="147">
        <f t="shared" si="185"/>
        <v>0</v>
      </c>
      <c r="AK367" s="147">
        <f t="shared" si="197"/>
        <v>0</v>
      </c>
      <c r="AM367" s="147" t="str">
        <f t="shared" si="189"/>
        <v>0.367161423540972+0.774283756865215i</v>
      </c>
      <c r="AN367" s="147" t="str">
        <f t="shared" si="190"/>
        <v>0.885582515672985i</v>
      </c>
      <c r="AO367" s="147" t="str">
        <f t="shared" si="191"/>
        <v>0.874321413489978-0.414598772043228i</v>
      </c>
      <c r="AP367" s="147" t="str">
        <f t="shared" si="192"/>
        <v>0.105473096076505-0.129047292810869i</v>
      </c>
      <c r="AQ367" s="147" t="str">
        <f t="shared" si="193"/>
        <v>0.894526903923495+0.129047292810869i</v>
      </c>
      <c r="AR367" s="147" t="str">
        <f t="shared" si="194"/>
        <v>0.912233224182115-0.131601662819189i</v>
      </c>
    </row>
    <row r="368" spans="7:44">
      <c r="G368" s="585">
        <v>30028</v>
      </c>
      <c r="H368" s="573">
        <f t="shared" si="186"/>
        <v>30.027999999999999</v>
      </c>
      <c r="I368" s="574">
        <f t="shared" si="166"/>
        <v>207.40852621825266</v>
      </c>
      <c r="J368" s="575">
        <f t="shared" si="167"/>
        <v>1.5659749055515448</v>
      </c>
      <c r="K368" s="575">
        <f t="shared" si="168"/>
        <v>1.0136894312088522</v>
      </c>
      <c r="L368" s="576">
        <f t="shared" si="169"/>
        <v>0.16453003927697488</v>
      </c>
      <c r="M368" s="575">
        <f t="shared" si="170"/>
        <v>1.0210824517114601</v>
      </c>
      <c r="N368" s="576">
        <f t="shared" si="171"/>
        <v>-0.20356131094412849</v>
      </c>
      <c r="O368" s="574">
        <f t="shared" si="172"/>
        <v>566014.46456608339</v>
      </c>
      <c r="P368" s="577">
        <f t="shared" si="173"/>
        <v>1.5707945600555948</v>
      </c>
      <c r="Q368" s="586">
        <f t="shared" si="195"/>
        <v>75.852530276097397</v>
      </c>
      <c r="R368" s="587">
        <f t="shared" si="196"/>
        <v>1.557612469038735</v>
      </c>
      <c r="S368" s="574">
        <f t="shared" si="174"/>
        <v>1.5147067137203201</v>
      </c>
      <c r="T368" s="577">
        <f t="shared" si="175"/>
        <v>0.84971955548072597</v>
      </c>
      <c r="U368" s="578">
        <f t="shared" si="187"/>
        <v>0.89079249832770913</v>
      </c>
      <c r="V368" s="579">
        <f t="shared" si="188"/>
        <v>-0.58909969515657845</v>
      </c>
      <c r="W368" s="580">
        <f t="shared" si="176"/>
        <v>-20.717831767600043</v>
      </c>
      <c r="X368" s="581">
        <f t="shared" si="177"/>
        <v>-175.15362897131655</v>
      </c>
      <c r="Y368" s="584">
        <f t="shared" si="178"/>
        <v>4.8463710286834498</v>
      </c>
      <c r="AA368" s="147">
        <f t="shared" si="179"/>
        <v>30028</v>
      </c>
      <c r="AB368" s="147">
        <f t="shared" si="180"/>
        <v>901680784</v>
      </c>
      <c r="AD368" s="583">
        <f t="shared" si="181"/>
        <v>24.04172994893699</v>
      </c>
      <c r="AE368" s="584">
        <f t="shared" si="182"/>
        <v>-49.440622535695525</v>
      </c>
      <c r="AG368" s="583">
        <f t="shared" si="183"/>
        <v>16.536569116756933</v>
      </c>
      <c r="AH368" s="584">
        <f t="shared" si="184"/>
        <v>-58.207153868653712</v>
      </c>
      <c r="AJ368" s="147">
        <f t="shared" si="185"/>
        <v>0</v>
      </c>
      <c r="AK368" s="147">
        <f t="shared" si="197"/>
        <v>0</v>
      </c>
      <c r="AM368" s="147" t="str">
        <f t="shared" si="189"/>
        <v>0.371119905318542+0.777502300005242i</v>
      </c>
      <c r="AN368" s="147" t="str">
        <f t="shared" si="190"/>
        <v>0.890684344206471i</v>
      </c>
      <c r="AO368" s="147" t="str">
        <f t="shared" si="191"/>
        <v>0.872926873659079-0.416668270563552i</v>
      </c>
      <c r="AP368" s="147" t="str">
        <f t="shared" si="192"/>
        <v>0.104813349113576-0.12958371666754i</v>
      </c>
      <c r="AQ368" s="147" t="str">
        <f t="shared" si="193"/>
        <v>0.895186650886424+0.12958371666754i</v>
      </c>
      <c r="AR368" s="147" t="str">
        <f t="shared" si="194"/>
        <v>0.911433717838478-0.13193557850385i</v>
      </c>
    </row>
    <row r="369" spans="7:44">
      <c r="G369" s="585">
        <v>30200</v>
      </c>
      <c r="H369" s="573">
        <f t="shared" si="186"/>
        <v>30.2</v>
      </c>
      <c r="I369" s="574">
        <f t="shared" si="166"/>
        <v>208.59653206578741</v>
      </c>
      <c r="J369" s="575">
        <f t="shared" si="167"/>
        <v>1.5660023648797483</v>
      </c>
      <c r="K369" s="575">
        <f t="shared" si="168"/>
        <v>1.013845632131632</v>
      </c>
      <c r="L369" s="576">
        <f t="shared" si="169"/>
        <v>0.16545540689075822</v>
      </c>
      <c r="M369" s="575">
        <f t="shared" si="170"/>
        <v>1.0213221348277994</v>
      </c>
      <c r="N369" s="576">
        <f t="shared" si="171"/>
        <v>-0.20469509709730838</v>
      </c>
      <c r="O369" s="574">
        <f t="shared" si="172"/>
        <v>569256.58818087843</v>
      </c>
      <c r="P369" s="577">
        <f t="shared" si="173"/>
        <v>1.5707945701178185</v>
      </c>
      <c r="Q369" s="586">
        <f t="shared" si="195"/>
        <v>76.286937299735769</v>
      </c>
      <c r="R369" s="587">
        <f t="shared" si="196"/>
        <v>1.5576875472844318</v>
      </c>
      <c r="S369" s="574">
        <f t="shared" si="174"/>
        <v>1.5196074429204105</v>
      </c>
      <c r="T369" s="577">
        <f t="shared" si="175"/>
        <v>0.85255072741667159</v>
      </c>
      <c r="U369" s="578">
        <f t="shared" si="187"/>
        <v>0.88972954789545022</v>
      </c>
      <c r="V369" s="579">
        <f t="shared" si="188"/>
        <v>-0.59212853784852537</v>
      </c>
      <c r="W369" s="580">
        <f t="shared" si="176"/>
        <v>-20.802500933268149</v>
      </c>
      <c r="X369" s="581">
        <f t="shared" si="177"/>
        <v>-175.49859679397923</v>
      </c>
      <c r="Y369" s="584">
        <f t="shared" si="178"/>
        <v>4.5014032060207683</v>
      </c>
      <c r="AA369" s="147">
        <f t="shared" si="179"/>
        <v>30200</v>
      </c>
      <c r="AB369" s="147">
        <f t="shared" si="180"/>
        <v>912040000</v>
      </c>
      <c r="AD369" s="583">
        <f t="shared" si="181"/>
        <v>24.013664142219355</v>
      </c>
      <c r="AE369" s="584">
        <f t="shared" si="182"/>
        <v>-49.598535648792819</v>
      </c>
      <c r="AG369" s="583">
        <f t="shared" si="183"/>
        <v>16.500707250475415</v>
      </c>
      <c r="AH369" s="584">
        <f t="shared" si="184"/>
        <v>-58.047128771707293</v>
      </c>
      <c r="AJ369" s="147">
        <f t="shared" si="185"/>
        <v>0</v>
      </c>
      <c r="AK369" s="147">
        <f t="shared" si="197"/>
        <v>0</v>
      </c>
      <c r="AM369" s="147" t="str">
        <f t="shared" si="189"/>
        <v>0.375094755963242+0.780700605850514i</v>
      </c>
      <c r="AN369" s="147" t="str">
        <f t="shared" si="190"/>
        <v>0.895786172739957i</v>
      </c>
      <c r="AO369" s="147" t="str">
        <f t="shared" si="191"/>
        <v>0.871525626994857-0.418732469173902i</v>
      </c>
      <c r="AP369" s="147" t="str">
        <f t="shared" si="192"/>
        <v>0.104150874006126-0.130116767641752i</v>
      </c>
      <c r="AQ369" s="147" t="str">
        <f t="shared" si="193"/>
        <v>0.895849125993874+0.130116767641752i</v>
      </c>
      <c r="AR369" s="147" t="str">
        <f t="shared" si="194"/>
        <v>0.910633496096789-0.13226410963673i</v>
      </c>
    </row>
    <row r="370" spans="7:44">
      <c r="G370" s="585">
        <v>30375.75</v>
      </c>
      <c r="H370" s="573">
        <f t="shared" si="186"/>
        <v>30.37575</v>
      </c>
      <c r="I370" s="574">
        <f t="shared" si="166"/>
        <v>209.81043936420878</v>
      </c>
      <c r="J370" s="575">
        <f t="shared" si="167"/>
        <v>1.5660301016766867</v>
      </c>
      <c r="K370" s="575">
        <f t="shared" si="168"/>
        <v>1.0140061350775817</v>
      </c>
      <c r="L370" s="576">
        <f t="shared" si="169"/>
        <v>0.1664006543556443</v>
      </c>
      <c r="M370" s="575">
        <f t="shared" si="170"/>
        <v>1.0215683990769566</v>
      </c>
      <c r="N370" s="576">
        <f t="shared" si="171"/>
        <v>-0.20585305134947152</v>
      </c>
      <c r="O370" s="574">
        <f t="shared" si="172"/>
        <v>572569.39763029828</v>
      </c>
      <c r="P370" s="577">
        <f t="shared" si="173"/>
        <v>1.5707945802817156</v>
      </c>
      <c r="Q370" s="586">
        <f t="shared" si="195"/>
        <v>76.730815845829071</v>
      </c>
      <c r="R370" s="587">
        <f t="shared" si="196"/>
        <v>1.5577633843045073</v>
      </c>
      <c r="S370" s="574">
        <f t="shared" si="174"/>
        <v>1.5246275192919974</v>
      </c>
      <c r="T370" s="577">
        <f t="shared" si="175"/>
        <v>0.85542480141141963</v>
      </c>
      <c r="U370" s="578">
        <f t="shared" si="187"/>
        <v>0.88864082766417829</v>
      </c>
      <c r="V370" s="579">
        <f t="shared" si="188"/>
        <v>-0.5952183516469598</v>
      </c>
      <c r="W370" s="580">
        <f t="shared" si="176"/>
        <v>-20.888722521802919</v>
      </c>
      <c r="X370" s="581">
        <f t="shared" si="177"/>
        <v>-175.84973423817323</v>
      </c>
      <c r="Y370" s="584">
        <f t="shared" si="178"/>
        <v>4.1502657618267733</v>
      </c>
      <c r="AA370" s="147">
        <f t="shared" si="179"/>
        <v>30375.75</v>
      </c>
      <c r="AB370" s="147">
        <f t="shared" si="180"/>
        <v>922686188.0625</v>
      </c>
      <c r="AD370" s="583">
        <f t="shared" si="181"/>
        <v>23.985008683307822</v>
      </c>
      <c r="AE370" s="584">
        <f t="shared" si="182"/>
        <v>-49.758863400050622</v>
      </c>
      <c r="AG370" s="583">
        <f t="shared" si="183"/>
        <v>16.464411166927885</v>
      </c>
      <c r="AH370" s="584">
        <f t="shared" si="184"/>
        <v>-57.883871883975701</v>
      </c>
      <c r="AJ370" s="147">
        <f t="shared" si="185"/>
        <v>0</v>
      </c>
      <c r="AK370" s="147">
        <f t="shared" si="197"/>
        <v>0</v>
      </c>
      <c r="AM370" s="147" t="str">
        <f t="shared" si="189"/>
        <v>0.379173068025484+0.783947651654822i</v>
      </c>
      <c r="AN370" s="147" t="str">
        <f t="shared" si="190"/>
        <v>0.90099923300019i</v>
      </c>
      <c r="AO370" s="147" t="str">
        <f t="shared" si="191"/>
        <v>0.870086924540874-0.42083617181659i</v>
      </c>
      <c r="AP370" s="147" t="str">
        <f t="shared" si="192"/>
        <v>0.103471155329086-0.13065794194247i</v>
      </c>
      <c r="AQ370" s="147" t="str">
        <f t="shared" si="193"/>
        <v>0.896528844670914+0.13065794194247i</v>
      </c>
      <c r="AR370" s="147" t="str">
        <f t="shared" si="194"/>
        <v>0.909815130468835-0.132594253048058i</v>
      </c>
    </row>
    <row r="371" spans="7:44">
      <c r="G371" s="585">
        <v>30551.5</v>
      </c>
      <c r="H371" s="573">
        <f t="shared" si="186"/>
        <v>30.551500000000001</v>
      </c>
      <c r="I371" s="574">
        <f t="shared" si="166"/>
        <v>211.02434682218657</v>
      </c>
      <c r="J371" s="575">
        <f t="shared" si="167"/>
        <v>1.5660575193644517</v>
      </c>
      <c r="K371" s="575">
        <f t="shared" si="168"/>
        <v>1.0141675437434388</v>
      </c>
      <c r="L371" s="576">
        <f t="shared" si="169"/>
        <v>0.16734560178507035</v>
      </c>
      <c r="M371" s="575">
        <f t="shared" si="170"/>
        <v>1.0218160324430032</v>
      </c>
      <c r="N371" s="576">
        <f t="shared" si="171"/>
        <v>-0.20701044590098316</v>
      </c>
      <c r="O371" s="574">
        <f t="shared" si="172"/>
        <v>575882.20707971824</v>
      </c>
      <c r="P371" s="577">
        <f t="shared" si="173"/>
        <v>1.5707945903286753</v>
      </c>
      <c r="Q371" s="586">
        <f t="shared" si="195"/>
        <v>77.174694828144396</v>
      </c>
      <c r="R371" s="587">
        <f t="shared" si="196"/>
        <v>1.5578383489546206</v>
      </c>
      <c r="S371" s="574">
        <f t="shared" si="174"/>
        <v>1.5296601068240203</v>
      </c>
      <c r="T371" s="577">
        <f t="shared" si="175"/>
        <v>0.85827998743324807</v>
      </c>
      <c r="U371" s="578">
        <f t="shared" si="187"/>
        <v>0.88754952713635815</v>
      </c>
      <c r="V371" s="579">
        <f t="shared" si="188"/>
        <v>-0.59830304187453331</v>
      </c>
      <c r="W371" s="580">
        <f t="shared" si="176"/>
        <v>-20.974649695804541</v>
      </c>
      <c r="X371" s="581">
        <f t="shared" si="177"/>
        <v>-176.19951273733594</v>
      </c>
      <c r="Y371" s="584">
        <f t="shared" si="178"/>
        <v>3.8004872626640633</v>
      </c>
      <c r="AA371" s="147">
        <f t="shared" si="179"/>
        <v>30551.5</v>
      </c>
      <c r="AB371" s="147">
        <f t="shared" si="180"/>
        <v>933394152.25</v>
      </c>
      <c r="AD371" s="583">
        <f t="shared" si="181"/>
        <v>23.956376499366002</v>
      </c>
      <c r="AE371" s="584">
        <f t="shared" si="182"/>
        <v>-49.918158926592383</v>
      </c>
      <c r="AG371" s="583">
        <f t="shared" si="183"/>
        <v>16.428462801375382</v>
      </c>
      <c r="AH371" s="584">
        <f t="shared" si="184"/>
        <v>-57.720875393902382</v>
      </c>
      <c r="AJ371" s="147">
        <f t="shared" si="185"/>
        <v>0</v>
      </c>
      <c r="AK371" s="147">
        <f t="shared" si="197"/>
        <v>0</v>
      </c>
      <c r="AM371" s="147" t="str">
        <f t="shared" si="189"/>
        <v>0.383268251640531+0.787173392948131i</v>
      </c>
      <c r="AN371" s="147" t="str">
        <f t="shared" si="190"/>
        <v>0.906212293260423i</v>
      </c>
      <c r="AO371" s="147" t="str">
        <f t="shared" si="191"/>
        <v>0.868641265189631-0.422934288677089i</v>
      </c>
      <c r="AP371" s="147" t="str">
        <f t="shared" si="192"/>
        <v>0.102788624726578-0.131195565491355i</v>
      </c>
      <c r="AQ371" s="147" t="str">
        <f t="shared" si="193"/>
        <v>0.897211375273422+0.131195565491355i</v>
      </c>
      <c r="AR371" s="147" t="str">
        <f t="shared" si="194"/>
        <v>0.908996102356773-0.132918798139169i</v>
      </c>
    </row>
    <row r="372" spans="7:44">
      <c r="G372" s="585">
        <v>30727.25</v>
      </c>
      <c r="H372" s="573">
        <f t="shared" si="186"/>
        <v>30.727250000000002</v>
      </c>
      <c r="I372" s="574">
        <f t="shared" si="166"/>
        <v>212.23825443698297</v>
      </c>
      <c r="J372" s="575">
        <f t="shared" si="167"/>
        <v>1.5660846234184853</v>
      </c>
      <c r="K372" s="575">
        <f t="shared" si="168"/>
        <v>1.0143298576968258</v>
      </c>
      <c r="L372" s="576">
        <f t="shared" si="169"/>
        <v>0.16829024763513775</v>
      </c>
      <c r="M372" s="575">
        <f t="shared" si="170"/>
        <v>1.0220650339307811</v>
      </c>
      <c r="N372" s="576">
        <f t="shared" si="171"/>
        <v>-0.2081672780589961</v>
      </c>
      <c r="O372" s="574">
        <f t="shared" si="172"/>
        <v>579195.01652913832</v>
      </c>
      <c r="P372" s="577">
        <f t="shared" si="173"/>
        <v>1.5707946002607045</v>
      </c>
      <c r="Q372" s="586">
        <f t="shared" si="195"/>
        <v>77.618574239197855</v>
      </c>
      <c r="R372" s="587">
        <f t="shared" si="196"/>
        <v>1.5579124562004574</v>
      </c>
      <c r="S372" s="574">
        <f t="shared" si="174"/>
        <v>1.5347050824371178</v>
      </c>
      <c r="T372" s="577">
        <f t="shared" si="175"/>
        <v>0.86111642497031915</v>
      </c>
      <c r="U372" s="578">
        <f t="shared" si="187"/>
        <v>0.8864556891094455</v>
      </c>
      <c r="V372" s="579">
        <f t="shared" si="188"/>
        <v>-0.60138260451757775</v>
      </c>
      <c r="W372" s="580">
        <f t="shared" si="176"/>
        <v>-21.060284745591144</v>
      </c>
      <c r="X372" s="581">
        <f t="shared" si="177"/>
        <v>-176.54793944411847</v>
      </c>
      <c r="Y372" s="584">
        <f t="shared" si="178"/>
        <v>3.4520605558815305</v>
      </c>
      <c r="AA372" s="147">
        <f t="shared" si="179"/>
        <v>30727.25</v>
      </c>
      <c r="AB372" s="147">
        <f t="shared" si="180"/>
        <v>944163892.5625</v>
      </c>
      <c r="AD372" s="583">
        <f t="shared" si="181"/>
        <v>23.927768365405825</v>
      </c>
      <c r="AE372" s="584">
        <f t="shared" si="182"/>
        <v>-50.076429363145458</v>
      </c>
      <c r="AG372" s="583">
        <f t="shared" si="183"/>
        <v>16.392858500320816</v>
      </c>
      <c r="AH372" s="584">
        <f t="shared" si="184"/>
        <v>-57.558139779343399</v>
      </c>
      <c r="AJ372" s="147">
        <f t="shared" si="185"/>
        <v>0</v>
      </c>
      <c r="AK372" s="147">
        <f t="shared" si="197"/>
        <v>0</v>
      </c>
      <c r="AM372" s="147" t="str">
        <f t="shared" si="189"/>
        <v>0.387380195517936+0.790377742067904i</v>
      </c>
      <c r="AN372" s="147" t="str">
        <f t="shared" si="190"/>
        <v>0.911425353520657i</v>
      </c>
      <c r="AO372" s="147" t="str">
        <f t="shared" si="191"/>
        <v>0.867188672132973-0.425026793496102i</v>
      </c>
      <c r="AP372" s="147" t="str">
        <f t="shared" si="192"/>
        <v>0.102103300747011-0.131729623677984i</v>
      </c>
      <c r="AQ372" s="147" t="str">
        <f t="shared" si="193"/>
        <v>0.897896699252989+0.131729623677984i</v>
      </c>
      <c r="AR372" s="147" t="str">
        <f t="shared" si="194"/>
        <v>0.908176453980268-0.133237757322815i</v>
      </c>
    </row>
    <row r="373" spans="7:44">
      <c r="G373" s="585">
        <v>30903</v>
      </c>
      <c r="H373" s="573">
        <f t="shared" si="186"/>
        <v>30.902999999999999</v>
      </c>
      <c r="I373" s="574">
        <f t="shared" si="166"/>
        <v>213.45216220592252</v>
      </c>
      <c r="J373" s="575">
        <f t="shared" si="167"/>
        <v>1.5661114191896763</v>
      </c>
      <c r="K373" s="575">
        <f t="shared" si="168"/>
        <v>1.0144930765032185</v>
      </c>
      <c r="L373" s="576">
        <f t="shared" si="169"/>
        <v>0.1692345903650862</v>
      </c>
      <c r="M373" s="575">
        <f t="shared" si="170"/>
        <v>1.0223154025406049</v>
      </c>
      <c r="N373" s="576">
        <f t="shared" si="171"/>
        <v>-0.20932354513930035</v>
      </c>
      <c r="O373" s="574">
        <f t="shared" si="172"/>
        <v>582507.82597855839</v>
      </c>
      <c r="P373" s="577">
        <f t="shared" si="173"/>
        <v>1.5707946100797636</v>
      </c>
      <c r="Q373" s="586">
        <f t="shared" si="195"/>
        <v>78.062454071675759</v>
      </c>
      <c r="R373" s="587">
        <f t="shared" si="196"/>
        <v>1.5579857206673502</v>
      </c>
      <c r="S373" s="574">
        <f t="shared" si="174"/>
        <v>1.5397623243639942</v>
      </c>
      <c r="T373" s="577">
        <f t="shared" si="175"/>
        <v>0.86393425289168835</v>
      </c>
      <c r="U373" s="578">
        <f t="shared" si="187"/>
        <v>0.88535935617434336</v>
      </c>
      <c r="V373" s="579">
        <f t="shared" si="188"/>
        <v>-0.60445703582566346</v>
      </c>
      <c r="W373" s="580">
        <f t="shared" si="176"/>
        <v>-21.145629923096489</v>
      </c>
      <c r="X373" s="581">
        <f t="shared" si="177"/>
        <v>-176.89502150345876</v>
      </c>
      <c r="Y373" s="584">
        <f t="shared" si="178"/>
        <v>3.1049784965412357</v>
      </c>
      <c r="AA373" s="147">
        <f t="shared" si="179"/>
        <v>30903</v>
      </c>
      <c r="AB373" s="147">
        <f t="shared" si="180"/>
        <v>954995409</v>
      </c>
      <c r="AD373" s="583">
        <f t="shared" si="181"/>
        <v>23.899185038610607</v>
      </c>
      <c r="AE373" s="584">
        <f t="shared" si="182"/>
        <v>-50.233681828463112</v>
      </c>
      <c r="AG373" s="583">
        <f t="shared" si="183"/>
        <v>16.357594667976713</v>
      </c>
      <c r="AH373" s="584">
        <f t="shared" si="184"/>
        <v>-57.395665496251034</v>
      </c>
      <c r="AJ373" s="147">
        <f t="shared" si="185"/>
        <v>0</v>
      </c>
      <c r="AK373" s="147">
        <f t="shared" si="197"/>
        <v>0</v>
      </c>
      <c r="AM373" s="147" t="str">
        <f t="shared" si="189"/>
        <v>0.391508787911775+0.793560611932953i</v>
      </c>
      <c r="AN373" s="147" t="str">
        <f t="shared" si="190"/>
        <v>0.91663841378089i</v>
      </c>
      <c r="AO373" s="147" t="str">
        <f t="shared" si="191"/>
        <v>0.865729168669384-0.427113660114794i</v>
      </c>
      <c r="AP373" s="147" t="str">
        <f t="shared" si="192"/>
        <v>0.101415202014704-0.132260101988826i</v>
      </c>
      <c r="AQ373" s="147" t="str">
        <f t="shared" si="193"/>
        <v>0.898584797985296+0.132260101988826i</v>
      </c>
      <c r="AR373" s="147" t="str">
        <f t="shared" si="194"/>
        <v>0.907356227247133-0.133551143336687i</v>
      </c>
    </row>
    <row r="374" spans="7:44">
      <c r="G374" s="585">
        <v>31083</v>
      </c>
      <c r="H374" s="573">
        <f t="shared" si="186"/>
        <v>31.082999999999998</v>
      </c>
      <c r="I374" s="574">
        <f t="shared" si="166"/>
        <v>214.69542494282263</v>
      </c>
      <c r="J374" s="575">
        <f t="shared" si="167"/>
        <v>1.5661385488469437</v>
      </c>
      <c r="K374" s="575">
        <f t="shared" si="168"/>
        <v>1.0146611797624383</v>
      </c>
      <c r="L374" s="576">
        <f t="shared" si="169"/>
        <v>0.17020145345295057</v>
      </c>
      <c r="M374" s="575">
        <f t="shared" si="170"/>
        <v>1.0225732416456039</v>
      </c>
      <c r="N374" s="576">
        <f t="shared" si="171"/>
        <v>-0.21050718462322168</v>
      </c>
      <c r="O374" s="574">
        <f t="shared" si="172"/>
        <v>585900.74604055332</v>
      </c>
      <c r="P374" s="577">
        <f t="shared" si="173"/>
        <v>1.5707946200211695</v>
      </c>
      <c r="Q374" s="586">
        <f t="shared" si="195"/>
        <v>78.517068269724348</v>
      </c>
      <c r="R374" s="587">
        <f t="shared" si="196"/>
        <v>1.5580598981603131</v>
      </c>
      <c r="S374" s="574">
        <f t="shared" si="174"/>
        <v>1.5449544498710388</v>
      </c>
      <c r="T374" s="577">
        <f t="shared" si="175"/>
        <v>0.86680107609921264</v>
      </c>
      <c r="U374" s="578">
        <f t="shared" si="187"/>
        <v>0.88423396978067748</v>
      </c>
      <c r="V374" s="579">
        <f t="shared" si="188"/>
        <v>-0.60760049065876653</v>
      </c>
      <c r="W374" s="580">
        <f t="shared" si="176"/>
        <v>-21.232740766450895</v>
      </c>
      <c r="X374" s="581">
        <f t="shared" si="177"/>
        <v>-177.2491103690636</v>
      </c>
      <c r="Y374" s="584">
        <f t="shared" si="178"/>
        <v>2.750889630936399</v>
      </c>
      <c r="AA374" s="147">
        <f t="shared" si="179"/>
        <v>31083</v>
      </c>
      <c r="AB374" s="147">
        <f t="shared" si="180"/>
        <v>966152889</v>
      </c>
      <c r="AD374" s="583">
        <f t="shared" si="181"/>
        <v>23.869936994626272</v>
      </c>
      <c r="AE374" s="584">
        <f t="shared" si="182"/>
        <v>-50.393689211366222</v>
      </c>
      <c r="AG374" s="583">
        <f t="shared" si="183"/>
        <v>16.321827303054754</v>
      </c>
      <c r="AH374" s="584">
        <f t="shared" si="184"/>
        <v>-57.22953358848757</v>
      </c>
      <c r="AJ374" s="147">
        <f t="shared" si="185"/>
        <v>0</v>
      </c>
      <c r="AK374" s="147">
        <f t="shared" si="197"/>
        <v>0</v>
      </c>
      <c r="AM374" s="147" t="str">
        <f t="shared" si="189"/>
        <v>0.395754358280546+0.796798095167807i</v>
      </c>
      <c r="AN374" s="147" t="str">
        <f t="shared" si="190"/>
        <v>0.921977536664771i</v>
      </c>
      <c r="AO374" s="147" t="str">
        <f t="shared" si="191"/>
        <v>0.864227232748211-0.429245119910596i</v>
      </c>
      <c r="AP374" s="147" t="str">
        <f t="shared" si="192"/>
        <v>0.100707606953242-0.132799682527968i</v>
      </c>
      <c r="AQ374" s="147" t="str">
        <f t="shared" si="193"/>
        <v>0.899292393046758+0.132799682527968i</v>
      </c>
      <c r="AR374" s="147" t="str">
        <f t="shared" si="194"/>
        <v>0.906515609684157-0.133866344365313i</v>
      </c>
    </row>
    <row r="375" spans="7:44">
      <c r="G375" s="585">
        <v>31263</v>
      </c>
      <c r="H375" s="573">
        <f t="shared" si="186"/>
        <v>31.263000000000002</v>
      </c>
      <c r="I375" s="574">
        <f t="shared" si="166"/>
        <v>215.93868783592293</v>
      </c>
      <c r="J375" s="575">
        <f t="shared" si="167"/>
        <v>1.5661653661072581</v>
      </c>
      <c r="K375" s="575">
        <f t="shared" si="168"/>
        <v>1.0148302312367561</v>
      </c>
      <c r="L375" s="576">
        <f t="shared" si="169"/>
        <v>0.17116799532199597</v>
      </c>
      <c r="M375" s="575">
        <f t="shared" si="170"/>
        <v>1.0228325126547433</v>
      </c>
      <c r="N375" s="576">
        <f t="shared" si="171"/>
        <v>-0.21169022569809098</v>
      </c>
      <c r="O375" s="574">
        <f t="shared" si="172"/>
        <v>589293.6661025486</v>
      </c>
      <c r="P375" s="577">
        <f t="shared" si="173"/>
        <v>1.5707946298480981</v>
      </c>
      <c r="Q375" s="586">
        <f t="shared" si="195"/>
        <v>78.971682894823402</v>
      </c>
      <c r="R375" s="587">
        <f t="shared" si="196"/>
        <v>1.5581332216216499</v>
      </c>
      <c r="S375" s="574">
        <f t="shared" si="174"/>
        <v>1.5501591877381891</v>
      </c>
      <c r="T375" s="577">
        <f t="shared" si="175"/>
        <v>0.86964867157175441</v>
      </c>
      <c r="U375" s="578">
        <f t="shared" si="187"/>
        <v>0.88310605611306814</v>
      </c>
      <c r="V375" s="579">
        <f t="shared" si="188"/>
        <v>-0.61073855585824532</v>
      </c>
      <c r="W375" s="580">
        <f t="shared" si="176"/>
        <v>-21.319552210999177</v>
      </c>
      <c r="X375" s="581">
        <f t="shared" si="177"/>
        <v>-177.60180390833426</v>
      </c>
      <c r="Y375" s="584">
        <f t="shared" si="178"/>
        <v>2.3981960916657385</v>
      </c>
      <c r="AA375" s="147">
        <f t="shared" si="179"/>
        <v>31263</v>
      </c>
      <c r="AB375" s="147">
        <f t="shared" si="180"/>
        <v>977375169</v>
      </c>
      <c r="AD375" s="583">
        <f t="shared" si="181"/>
        <v>23.840716523735217</v>
      </c>
      <c r="AE375" s="584">
        <f t="shared" si="182"/>
        <v>-50.552643852052718</v>
      </c>
      <c r="AG375" s="583">
        <f t="shared" si="183"/>
        <v>16.286409617671818</v>
      </c>
      <c r="AH375" s="584">
        <f t="shared" si="184"/>
        <v>-57.063676703126802</v>
      </c>
      <c r="AJ375" s="147">
        <f t="shared" si="185"/>
        <v>0</v>
      </c>
      <c r="AK375" s="147">
        <f t="shared" si="197"/>
        <v>0</v>
      </c>
      <c r="AM375" s="147" t="str">
        <f t="shared" si="189"/>
        <v>0.400017153375552+0.800012864744326i</v>
      </c>
      <c r="AN375" s="147" t="str">
        <f t="shared" si="190"/>
        <v>0.927316659548651i</v>
      </c>
      <c r="AO375" s="147" t="str">
        <f t="shared" si="191"/>
        <v>0.862718097972825-0.431370610305061i</v>
      </c>
      <c r="AP375" s="147" t="str">
        <f t="shared" si="192"/>
        <v>0.0999971411040747-0.133335477457388i</v>
      </c>
      <c r="AQ375" s="147" t="str">
        <f t="shared" si="193"/>
        <v>0.900002858895925+0.133335477457388i</v>
      </c>
      <c r="AR375" s="147" t="str">
        <f t="shared" si="194"/>
        <v>0.905674473425455-0.134175727489679i</v>
      </c>
    </row>
    <row r="376" spans="7:44">
      <c r="G376" s="585">
        <v>31443</v>
      </c>
      <c r="H376" s="573">
        <f t="shared" si="186"/>
        <v>31.443000000000001</v>
      </c>
      <c r="I376" s="574">
        <f t="shared" si="166"/>
        <v>217.18195088254086</v>
      </c>
      <c r="J376" s="575">
        <f t="shared" si="167"/>
        <v>1.5661918763355507</v>
      </c>
      <c r="K376" s="575">
        <f t="shared" si="168"/>
        <v>1.0150002304523873</v>
      </c>
      <c r="L376" s="576">
        <f t="shared" si="169"/>
        <v>0.1721342143272826</v>
      </c>
      <c r="M376" s="575">
        <f t="shared" si="170"/>
        <v>1.0230932144794092</v>
      </c>
      <c r="N376" s="576">
        <f t="shared" si="171"/>
        <v>-0.21287266550858061</v>
      </c>
      <c r="O376" s="574">
        <f t="shared" si="172"/>
        <v>592686.58616454375</v>
      </c>
      <c r="P376" s="577">
        <f t="shared" si="173"/>
        <v>1.5707946395625156</v>
      </c>
      <c r="Q376" s="586">
        <f t="shared" si="195"/>
        <v>79.426297939639937</v>
      </c>
      <c r="R376" s="587">
        <f t="shared" si="196"/>
        <v>1.5582057057153165</v>
      </c>
      <c r="S376" s="574">
        <f t="shared" si="174"/>
        <v>1.5553764113516706</v>
      </c>
      <c r="T376" s="577">
        <f t="shared" si="175"/>
        <v>0.8724771863834847</v>
      </c>
      <c r="U376" s="578">
        <f t="shared" si="187"/>
        <v>0.88197566023816532</v>
      </c>
      <c r="V376" s="579">
        <f t="shared" si="188"/>
        <v>-0.61387122824068818</v>
      </c>
      <c r="W376" s="580">
        <f t="shared" si="176"/>
        <v>-21.406066557383273</v>
      </c>
      <c r="X376" s="581">
        <f t="shared" si="177"/>
        <v>-177.95310976357158</v>
      </c>
      <c r="Y376" s="584">
        <f t="shared" si="178"/>
        <v>2.0468902364284247</v>
      </c>
      <c r="AA376" s="147">
        <f t="shared" si="179"/>
        <v>31443</v>
      </c>
      <c r="AB376" s="147">
        <f t="shared" si="180"/>
        <v>988662249</v>
      </c>
      <c r="AD376" s="583">
        <f t="shared" si="181"/>
        <v>23.811524383150335</v>
      </c>
      <c r="AE376" s="584">
        <f t="shared" si="182"/>
        <v>-50.710553337181722</v>
      </c>
      <c r="AG376" s="583">
        <f t="shared" si="183"/>
        <v>16.251337928816024</v>
      </c>
      <c r="AH376" s="584">
        <f t="shared" si="184"/>
        <v>-56.898095260602574</v>
      </c>
      <c r="AJ376" s="147">
        <f t="shared" si="185"/>
        <v>0</v>
      </c>
      <c r="AK376" s="147">
        <f t="shared" si="197"/>
        <v>0</v>
      </c>
      <c r="AM376" s="147" t="str">
        <f t="shared" si="189"/>
        <v>0.404297051680853+0.80320482902176i</v>
      </c>
      <c r="AN376" s="147" t="str">
        <f t="shared" si="190"/>
        <v>0.932655782432532i</v>
      </c>
      <c r="AO376" s="147" t="str">
        <f t="shared" si="191"/>
        <v>0.861201789718023-0.433490103526056i</v>
      </c>
      <c r="AP376" s="147" t="str">
        <f t="shared" si="192"/>
        <v>0.0992838247198578-0.133867471503627i</v>
      </c>
      <c r="AQ376" s="147" t="str">
        <f t="shared" si="193"/>
        <v>0.900716175280142+0.133867471503627i</v>
      </c>
      <c r="AR376" s="147" t="str">
        <f t="shared" si="194"/>
        <v>0.904832862464107-0.134479307417551i</v>
      </c>
    </row>
    <row r="377" spans="7:44">
      <c r="G377" s="585">
        <v>31623</v>
      </c>
      <c r="H377" s="573">
        <f t="shared" si="186"/>
        <v>31.623000000000001</v>
      </c>
      <c r="I377" s="574">
        <f t="shared" si="166"/>
        <v>218.42521408005501</v>
      </c>
      <c r="J377" s="575">
        <f t="shared" si="167"/>
        <v>1.5662180847746079</v>
      </c>
      <c r="K377" s="575">
        <f t="shared" si="168"/>
        <v>1.0151711769332095</v>
      </c>
      <c r="L377" s="576">
        <f t="shared" si="169"/>
        <v>0.17310010882738072</v>
      </c>
      <c r="M377" s="575">
        <f t="shared" si="170"/>
        <v>1.0233553460260918</v>
      </c>
      <c r="N377" s="576">
        <f t="shared" si="171"/>
        <v>-0.21405450120898975</v>
      </c>
      <c r="O377" s="574">
        <f t="shared" si="172"/>
        <v>596079.5062265388</v>
      </c>
      <c r="P377" s="577">
        <f t="shared" si="173"/>
        <v>1.5707946491663427</v>
      </c>
      <c r="Q377" s="586">
        <f t="shared" si="195"/>
        <v>79.88091339700793</v>
      </c>
      <c r="R377" s="587">
        <f t="shared" si="196"/>
        <v>1.5582773647714843</v>
      </c>
      <c r="S377" s="574">
        <f t="shared" si="174"/>
        <v>1.5606059954891123</v>
      </c>
      <c r="T377" s="577">
        <f t="shared" si="175"/>
        <v>0.87528676686550122</v>
      </c>
      <c r="U377" s="578">
        <f t="shared" si="187"/>
        <v>0.88084282698503247</v>
      </c>
      <c r="V377" s="579">
        <f t="shared" si="188"/>
        <v>-0.61699850490353203</v>
      </c>
      <c r="W377" s="580">
        <f t="shared" si="176"/>
        <v>-21.492286068324855</v>
      </c>
      <c r="X377" s="581">
        <f t="shared" si="177"/>
        <v>-178.30303556306686</v>
      </c>
      <c r="Y377" s="584">
        <f t="shared" si="178"/>
        <v>1.6969644369331434</v>
      </c>
      <c r="AA377" s="147">
        <f t="shared" si="179"/>
        <v>31623</v>
      </c>
      <c r="AB377" s="147">
        <f t="shared" si="180"/>
        <v>1000014129</v>
      </c>
      <c r="AD377" s="583">
        <f t="shared" si="181"/>
        <v>23.782361311751163</v>
      </c>
      <c r="AE377" s="584">
        <f t="shared" si="182"/>
        <v>-50.867425229959316</v>
      </c>
      <c r="AG377" s="583">
        <f t="shared" si="183"/>
        <v>16.216608611528908</v>
      </c>
      <c r="AH377" s="584">
        <f t="shared" si="184"/>
        <v>-56.732789658609384</v>
      </c>
      <c r="AJ377" s="147">
        <f t="shared" si="185"/>
        <v>0</v>
      </c>
      <c r="AK377" s="147">
        <f t="shared" si="197"/>
        <v>0</v>
      </c>
      <c r="AM377" s="147" t="str">
        <f t="shared" si="189"/>
        <v>0.408593931192958+0.806373897009446i</v>
      </c>
      <c r="AN377" s="147" t="str">
        <f t="shared" si="190"/>
        <v>0.937994905316412i</v>
      </c>
      <c r="AO377" s="147" t="str">
        <f t="shared" si="191"/>
        <v>0.859678333473926-0.435603571913994i</v>
      </c>
      <c r="AP377" s="147" t="str">
        <f t="shared" si="192"/>
        <v>0.098567678134507-0.134395649501574i</v>
      </c>
      <c r="AQ377" s="147" t="str">
        <f t="shared" si="193"/>
        <v>0.901432321865493+0.134395649501574i</v>
      </c>
      <c r="AR377" s="147" t="str">
        <f t="shared" si="194"/>
        <v>0.903990820442384-0.134777099189642i</v>
      </c>
    </row>
    <row r="378" spans="7:44">
      <c r="G378" s="585">
        <v>31807</v>
      </c>
      <c r="H378" s="573">
        <f t="shared" si="186"/>
        <v>31.806999999999999</v>
      </c>
      <c r="I378" s="574">
        <f t="shared" si="166"/>
        <v>219.69610550192098</v>
      </c>
      <c r="J378" s="575">
        <f t="shared" si="167"/>
        <v>1.5662445690347542</v>
      </c>
      <c r="K378" s="575">
        <f t="shared" si="168"/>
        <v>1.0153469008011091</v>
      </c>
      <c r="L378" s="576">
        <f t="shared" si="169"/>
        <v>0.1740871305421241</v>
      </c>
      <c r="M378" s="575">
        <f t="shared" si="170"/>
        <v>1.0236247793069873</v>
      </c>
      <c r="N378" s="576">
        <f t="shared" si="171"/>
        <v>-0.21526197257578167</v>
      </c>
      <c r="O378" s="574">
        <f t="shared" si="172"/>
        <v>599547.82451213407</v>
      </c>
      <c r="P378" s="577">
        <f t="shared" si="173"/>
        <v>1.5707946588712396</v>
      </c>
      <c r="Q378" s="586">
        <f t="shared" si="195"/>
        <v>80.345631839208494</v>
      </c>
      <c r="R378" s="587">
        <f t="shared" si="196"/>
        <v>1.5583497780902069</v>
      </c>
      <c r="S378" s="574">
        <f t="shared" si="174"/>
        <v>1.5659644392575993</v>
      </c>
      <c r="T378" s="577">
        <f t="shared" si="175"/>
        <v>0.87813936389299296</v>
      </c>
      <c r="U378" s="578">
        <f t="shared" si="187"/>
        <v>0.87968234685994751</v>
      </c>
      <c r="V378" s="579">
        <f t="shared" si="188"/>
        <v>-0.62018969696357007</v>
      </c>
      <c r="W378" s="580">
        <f t="shared" si="176"/>
        <v>-21.580119149687341</v>
      </c>
      <c r="X378" s="581">
        <f t="shared" si="177"/>
        <v>-178.65931901995035</v>
      </c>
      <c r="Y378" s="584">
        <f t="shared" si="178"/>
        <v>1.3406809800496546</v>
      </c>
      <c r="AA378" s="147">
        <f t="shared" si="179"/>
        <v>31807</v>
      </c>
      <c r="AB378" s="147">
        <f t="shared" si="180"/>
        <v>1011685249</v>
      </c>
      <c r="AD378" s="583">
        <f t="shared" si="181"/>
        <v>23.752580967920135</v>
      </c>
      <c r="AE378" s="584">
        <f t="shared" si="182"/>
        <v>-51.02671857897446</v>
      </c>
      <c r="AG378" s="583">
        <f t="shared" si="183"/>
        <v>16.181457685123586</v>
      </c>
      <c r="AH378" s="584">
        <f t="shared" si="184"/>
        <v>-56.564096092748201</v>
      </c>
      <c r="AJ378" s="147">
        <f t="shared" si="185"/>
        <v>0</v>
      </c>
      <c r="AK378" s="147">
        <f t="shared" si="197"/>
        <v>0</v>
      </c>
      <c r="AM378" s="147" t="str">
        <f t="shared" si="189"/>
        <v>0.413003720815079+0.809589629517979i</v>
      </c>
      <c r="AN378" s="147" t="str">
        <f t="shared" si="190"/>
        <v>0.94345267537549i</v>
      </c>
      <c r="AO378" s="147" t="str">
        <f t="shared" si="191"/>
        <v>0.858113661287532-0.437757750435871i</v>
      </c>
      <c r="AP378" s="147" t="str">
        <f t="shared" si="192"/>
        <v>0.0978327131974868-0.134931604919663i</v>
      </c>
      <c r="AQ378" s="147" t="str">
        <f t="shared" si="193"/>
        <v>0.902167286802513+0.134931604919663i</v>
      </c>
      <c r="AR378" s="147" t="str">
        <f t="shared" si="194"/>
        <v>0.903129665913073-0.135075542036236i</v>
      </c>
    </row>
    <row r="379" spans="7:44">
      <c r="G379" s="585">
        <v>31991</v>
      </c>
      <c r="H379" s="573">
        <f t="shared" si="186"/>
        <v>31.991</v>
      </c>
      <c r="I379" s="574">
        <f t="shared" si="166"/>
        <v>220.96699707611273</v>
      </c>
      <c r="J379" s="575">
        <f t="shared" si="167"/>
        <v>1.5662707486465002</v>
      </c>
      <c r="K379" s="575">
        <f t="shared" si="168"/>
        <v>1.0155236134891199</v>
      </c>
      <c r="L379" s="576">
        <f t="shared" si="169"/>
        <v>0.1750738097117587</v>
      </c>
      <c r="M379" s="575">
        <f t="shared" si="170"/>
        <v>1.0238957042328862</v>
      </c>
      <c r="N379" s="576">
        <f t="shared" si="171"/>
        <v>-0.21646880670249466</v>
      </c>
      <c r="O379" s="574">
        <f t="shared" si="172"/>
        <v>603016.14279772923</v>
      </c>
      <c r="P379" s="577">
        <f t="shared" si="173"/>
        <v>1.5707946684644987</v>
      </c>
      <c r="Q379" s="586">
        <f t="shared" si="195"/>
        <v>80.810350697870902</v>
      </c>
      <c r="R379" s="587">
        <f t="shared" si="196"/>
        <v>1.5584213585497846</v>
      </c>
      <c r="S379" s="574">
        <f t="shared" si="174"/>
        <v>1.571335538795072</v>
      </c>
      <c r="T379" s="577">
        <f t="shared" si="175"/>
        <v>0.88097248249289439</v>
      </c>
      <c r="U379" s="578">
        <f t="shared" si="187"/>
        <v>0.87851941378331733</v>
      </c>
      <c r="V379" s="579">
        <f t="shared" si="188"/>
        <v>-0.62337524558450697</v>
      </c>
      <c r="W379" s="580">
        <f t="shared" si="176"/>
        <v>-21.66764881059472</v>
      </c>
      <c r="X379" s="581">
        <f t="shared" si="177"/>
        <v>-179.01417647296927</v>
      </c>
      <c r="Y379" s="584">
        <f t="shared" si="178"/>
        <v>0.98582352703073184</v>
      </c>
      <c r="AA379" s="147">
        <f t="shared" si="179"/>
        <v>31991</v>
      </c>
      <c r="AB379" s="147">
        <f t="shared" si="180"/>
        <v>1023424081</v>
      </c>
      <c r="AD379" s="583">
        <f t="shared" si="181"/>
        <v>23.722832503658896</v>
      </c>
      <c r="AE379" s="584">
        <f t="shared" si="182"/>
        <v>-51.18494360921347</v>
      </c>
      <c r="AG379" s="583">
        <f t="shared" si="183"/>
        <v>16.146657036123869</v>
      </c>
      <c r="AH379" s="584">
        <f t="shared" si="184"/>
        <v>-56.395691532284182</v>
      </c>
      <c r="AJ379" s="147">
        <f t="shared" si="185"/>
        <v>0</v>
      </c>
      <c r="AK379" s="147">
        <f t="shared" si="197"/>
        <v>0</v>
      </c>
      <c r="AM379" s="147" t="str">
        <f t="shared" si="189"/>
        <v>0.417430995401073+0.812781246634428i</v>
      </c>
      <c r="AN379" s="147" t="str">
        <f t="shared" si="190"/>
        <v>0.948910445434568i</v>
      </c>
      <c r="AO379" s="147" t="str">
        <f t="shared" si="191"/>
        <v>0.856541574123154-0.439905575293677i</v>
      </c>
      <c r="AP379" s="147" t="str">
        <f t="shared" si="192"/>
        <v>0.0970948340998212-0.135463541105738i</v>
      </c>
      <c r="AQ379" s="147" t="str">
        <f t="shared" si="193"/>
        <v>0.902905165900179+0.135463541105738i</v>
      </c>
      <c r="AR379" s="147" t="str">
        <f t="shared" si="194"/>
        <v>0.90226815204392-0.135367969437792i</v>
      </c>
    </row>
    <row r="380" spans="7:44">
      <c r="G380" s="585">
        <v>32175</v>
      </c>
      <c r="H380" s="573">
        <f t="shared" si="186"/>
        <v>32.174999999999997</v>
      </c>
      <c r="I380" s="574">
        <f t="shared" si="166"/>
        <v>222.237888800017</v>
      </c>
      <c r="J380" s="575">
        <f t="shared" si="167"/>
        <v>1.566296628836306</v>
      </c>
      <c r="K380" s="575">
        <f t="shared" si="168"/>
        <v>1.0157013144811344</v>
      </c>
      <c r="L380" s="576">
        <f t="shared" si="169"/>
        <v>0.17606014459444205</v>
      </c>
      <c r="M380" s="575">
        <f t="shared" si="170"/>
        <v>1.0241681196200267</v>
      </c>
      <c r="N380" s="576">
        <f t="shared" si="171"/>
        <v>-0.21767500058085612</v>
      </c>
      <c r="O380" s="574">
        <f t="shared" si="172"/>
        <v>606484.46108332451</v>
      </c>
      <c r="P380" s="577">
        <f t="shared" si="173"/>
        <v>1.5707946779480355</v>
      </c>
      <c r="Q380" s="586">
        <f t="shared" si="195"/>
        <v>81.275069965851344</v>
      </c>
      <c r="R380" s="587">
        <f t="shared" si="196"/>
        <v>1.5584921204359865</v>
      </c>
      <c r="S380" s="574">
        <f t="shared" si="174"/>
        <v>1.5767191647657668</v>
      </c>
      <c r="T380" s="577">
        <f t="shared" si="175"/>
        <v>0.88378627647605723</v>
      </c>
      <c r="U380" s="578">
        <f t="shared" si="187"/>
        <v>0.87735407485435613</v>
      </c>
      <c r="V380" s="579">
        <f t="shared" si="188"/>
        <v>-0.62655514856113537</v>
      </c>
      <c r="W380" s="580">
        <f t="shared" si="176"/>
        <v>-21.754877351533853</v>
      </c>
      <c r="X380" s="581">
        <f t="shared" si="177"/>
        <v>-179.36761601697566</v>
      </c>
      <c r="Y380" s="584">
        <f t="shared" si="178"/>
        <v>0.63238398302434007</v>
      </c>
      <c r="AA380" s="147">
        <f t="shared" si="179"/>
        <v>32175</v>
      </c>
      <c r="AB380" s="147">
        <f t="shared" si="180"/>
        <v>1035230625</v>
      </c>
      <c r="AD380" s="583">
        <f t="shared" si="181"/>
        <v>23.693116650858187</v>
      </c>
      <c r="AE380" s="584">
        <f t="shared" si="182"/>
        <v>-51.342108314984465</v>
      </c>
      <c r="AG380" s="583">
        <f t="shared" si="183"/>
        <v>16.112202972378494</v>
      </c>
      <c r="AH380" s="584">
        <f t="shared" si="184"/>
        <v>-56.227576330459399</v>
      </c>
      <c r="AJ380" s="147">
        <f t="shared" si="185"/>
        <v>0</v>
      </c>
      <c r="AK380" s="147">
        <f t="shared" si="197"/>
        <v>0</v>
      </c>
      <c r="AM380" s="147" t="str">
        <f t="shared" si="189"/>
        <v>0.421875623074915+0.81594865328952i</v>
      </c>
      <c r="AN380" s="147" t="str">
        <f t="shared" si="190"/>
        <v>0.954368215493646i</v>
      </c>
      <c r="AO380" s="147" t="str">
        <f t="shared" si="191"/>
        <v>0.85496209957859-0.442047017310504i</v>
      </c>
      <c r="AP380" s="147" t="str">
        <f t="shared" si="192"/>
        <v>0.0963540628208475-0.13599144221492i</v>
      </c>
      <c r="AQ380" s="147" t="str">
        <f t="shared" si="193"/>
        <v>0.903645937179153+0.13599144221492i</v>
      </c>
      <c r="AR380" s="147" t="str">
        <f t="shared" si="194"/>
        <v>0.901406324304512-0.135654398498687i</v>
      </c>
    </row>
    <row r="381" spans="7:44">
      <c r="G381" s="585">
        <v>32359</v>
      </c>
      <c r="H381" s="573">
        <f t="shared" si="186"/>
        <v>32.359000000000002</v>
      </c>
      <c r="I381" s="574">
        <f t="shared" si="166"/>
        <v>223.50878067107993</v>
      </c>
      <c r="J381" s="575">
        <f t="shared" si="167"/>
        <v>1.5663222147117599</v>
      </c>
      <c r="K381" s="575">
        <f t="shared" si="168"/>
        <v>1.0158800032585207</v>
      </c>
      <c r="L381" s="576">
        <f t="shared" si="169"/>
        <v>0.17704613345222661</v>
      </c>
      <c r="M381" s="575">
        <f t="shared" si="170"/>
        <v>1.0244420242793968</v>
      </c>
      <c r="N381" s="576">
        <f t="shared" si="171"/>
        <v>-0.21888055121323638</v>
      </c>
      <c r="O381" s="574">
        <f t="shared" si="172"/>
        <v>609952.77936891979</v>
      </c>
      <c r="P381" s="577">
        <f t="shared" si="173"/>
        <v>1.5707946873237215</v>
      </c>
      <c r="Q381" s="586">
        <f t="shared" si="195"/>
        <v>81.739789636168467</v>
      </c>
      <c r="R381" s="587">
        <f t="shared" si="196"/>
        <v>1.5585620777097373</v>
      </c>
      <c r="S381" s="574">
        <f t="shared" si="174"/>
        <v>1.5821151892947434</v>
      </c>
      <c r="T381" s="577">
        <f t="shared" si="175"/>
        <v>0.88658089878628765</v>
      </c>
      <c r="U381" s="578">
        <f t="shared" si="187"/>
        <v>0.87618637690263379</v>
      </c>
      <c r="V381" s="579">
        <f t="shared" si="188"/>
        <v>-0.62972940398488975</v>
      </c>
      <c r="W381" s="580">
        <f t="shared" si="176"/>
        <v>-21.841807035791451</v>
      </c>
      <c r="X381" s="581">
        <f t="shared" si="177"/>
        <v>-179.71964572632533</v>
      </c>
      <c r="Y381" s="584">
        <f t="shared" si="178"/>
        <v>0.28035427367467491</v>
      </c>
      <c r="AA381" s="147">
        <f t="shared" si="179"/>
        <v>32359</v>
      </c>
      <c r="AB381" s="147">
        <f t="shared" si="180"/>
        <v>1047104881</v>
      </c>
      <c r="AD381" s="583">
        <f t="shared" si="181"/>
        <v>23.663434122762261</v>
      </c>
      <c r="AE381" s="584">
        <f t="shared" si="182"/>
        <v>-51.498220659527242</v>
      </c>
      <c r="AG381" s="583">
        <f t="shared" si="183"/>
        <v>16.078091859707055</v>
      </c>
      <c r="AH381" s="584">
        <f t="shared" si="184"/>
        <v>-56.059750817095384</v>
      </c>
      <c r="AJ381" s="147">
        <f t="shared" si="185"/>
        <v>0</v>
      </c>
      <c r="AK381" s="147">
        <f t="shared" si="197"/>
        <v>0</v>
      </c>
      <c r="AM381" s="147" t="str">
        <f t="shared" si="189"/>
        <v>0.426337471443679+0.819091755135143i</v>
      </c>
      <c r="AN381" s="147" t="str">
        <f t="shared" si="190"/>
        <v>0.959825985552724i</v>
      </c>
      <c r="AO381" s="147" t="str">
        <f t="shared" si="191"/>
        <v>0.853375265375277-0.444182047434535i</v>
      </c>
      <c r="AP381" s="147" t="str">
        <f t="shared" si="192"/>
        <v>0.0956104214260535-0.136515292522524i</v>
      </c>
      <c r="AQ381" s="147" t="str">
        <f t="shared" si="193"/>
        <v>0.904389578573947+0.136515292522524i</v>
      </c>
      <c r="AR381" s="147" t="str">
        <f t="shared" si="194"/>
        <v>0.900544227774567-0.135934846659739i</v>
      </c>
    </row>
    <row r="382" spans="7:44">
      <c r="G382" s="585">
        <v>32547.5</v>
      </c>
      <c r="H382" s="573">
        <f t="shared" si="186"/>
        <v>32.547499999999999</v>
      </c>
      <c r="I382" s="574">
        <f t="shared" si="166"/>
        <v>224.81075428680757</v>
      </c>
      <c r="J382" s="575">
        <f t="shared" si="167"/>
        <v>1.5663481263476897</v>
      </c>
      <c r="K382" s="575">
        <f t="shared" si="168"/>
        <v>1.016064085914502</v>
      </c>
      <c r="L382" s="576">
        <f t="shared" si="169"/>
        <v>0.17805587553291419</v>
      </c>
      <c r="M382" s="575">
        <f t="shared" si="170"/>
        <v>1.0247241707967298</v>
      </c>
      <c r="N382" s="576">
        <f t="shared" si="171"/>
        <v>-0.22011491526256957</v>
      </c>
      <c r="O382" s="574">
        <f t="shared" si="172"/>
        <v>613505.92065606511</v>
      </c>
      <c r="P382" s="577">
        <f t="shared" si="173"/>
        <v>1.5707946968187769</v>
      </c>
      <c r="Q382" s="586">
        <f t="shared" si="195"/>
        <v>82.215875143289395</v>
      </c>
      <c r="R382" s="587">
        <f t="shared" si="196"/>
        <v>1.5586329257882572</v>
      </c>
      <c r="S382" s="574">
        <f t="shared" si="174"/>
        <v>1.5876559067552434</v>
      </c>
      <c r="T382" s="577">
        <f t="shared" si="175"/>
        <v>0.88942414609113229</v>
      </c>
      <c r="U382" s="578">
        <f t="shared" si="187"/>
        <v>0.87498772352333209</v>
      </c>
      <c r="V382" s="579">
        <f t="shared" si="188"/>
        <v>-0.63297543254835198</v>
      </c>
      <c r="W382" s="580">
        <f t="shared" si="176"/>
        <v>-21.930555136239093</v>
      </c>
      <c r="X382" s="581">
        <f t="shared" si="177"/>
        <v>-180.07883130058974</v>
      </c>
      <c r="Y382" s="584">
        <f t="shared" si="178"/>
        <v>-7.8831300589740749E-2</v>
      </c>
      <c r="AA382" s="147">
        <f t="shared" si="179"/>
        <v>32547.5</v>
      </c>
      <c r="AB382" s="147">
        <f t="shared" si="180"/>
        <v>1059339756.25</v>
      </c>
      <c r="AD382" s="583">
        <f t="shared" si="181"/>
        <v>23.633060946848083</v>
      </c>
      <c r="AE382" s="584">
        <f t="shared" si="182"/>
        <v>-51.657067978529092</v>
      </c>
      <c r="AG382" s="583">
        <f t="shared" si="183"/>
        <v>16.043498402910828</v>
      </c>
      <c r="AH382" s="584">
        <f t="shared" si="184"/>
        <v>-55.888121598202346</v>
      </c>
      <c r="AJ382" s="147">
        <f t="shared" si="185"/>
        <v>0</v>
      </c>
      <c r="AK382" s="147">
        <f t="shared" si="197"/>
        <v>0</v>
      </c>
      <c r="AM382" s="147" t="str">
        <f t="shared" si="189"/>
        <v>0.430926159738425+0.822286424751098i</v>
      </c>
      <c r="AN382" s="147" t="str">
        <f t="shared" si="190"/>
        <v>0.965417233683899i</v>
      </c>
      <c r="AO382" s="147" t="str">
        <f t="shared" si="191"/>
        <v>0.851742019990017-0.446362613700265i</v>
      </c>
      <c r="AP382" s="147" t="str">
        <f t="shared" si="192"/>
        <v>0.0948456400435958-0.137047737458516i</v>
      </c>
      <c r="AQ382" s="147" t="str">
        <f t="shared" si="193"/>
        <v>0.905154359956404+0.137047737458516i</v>
      </c>
      <c r="AR382" s="147" t="str">
        <f t="shared" si="194"/>
        <v>0.899660815347072-0.136215970090823i</v>
      </c>
    </row>
    <row r="383" spans="7:44">
      <c r="G383" s="585">
        <v>32736</v>
      </c>
      <c r="H383" s="573">
        <f t="shared" si="186"/>
        <v>32.735999999999997</v>
      </c>
      <c r="I383" s="574">
        <f t="shared" si="166"/>
        <v>226.11272805173786</v>
      </c>
      <c r="J383" s="575">
        <f t="shared" si="167"/>
        <v>1.566373739581415</v>
      </c>
      <c r="K383" s="575">
        <f t="shared" si="168"/>
        <v>1.0162492041522373</v>
      </c>
      <c r="L383" s="576">
        <f t="shared" si="169"/>
        <v>0.17906525077660576</v>
      </c>
      <c r="M383" s="575">
        <f t="shared" si="170"/>
        <v>1.025007877778829</v>
      </c>
      <c r="N383" s="576">
        <f t="shared" si="171"/>
        <v>-0.2213485978834118</v>
      </c>
      <c r="O383" s="574">
        <f t="shared" si="172"/>
        <v>617059.06194321043</v>
      </c>
      <c r="P383" s="577">
        <f t="shared" si="173"/>
        <v>1.5707947062044836</v>
      </c>
      <c r="Q383" s="586">
        <f t="shared" si="195"/>
        <v>82.691961058336958</v>
      </c>
      <c r="R383" s="587">
        <f t="shared" si="196"/>
        <v>1.5587029580738641</v>
      </c>
      <c r="S383" s="574">
        <f t="shared" si="174"/>
        <v>1.5932093695828371</v>
      </c>
      <c r="T383" s="577">
        <f t="shared" si="175"/>
        <v>0.89224759462820669</v>
      </c>
      <c r="U383" s="578">
        <f t="shared" si="187"/>
        <v>0.87378669294386102</v>
      </c>
      <c r="V383" s="579">
        <f t="shared" si="188"/>
        <v>-0.63621553083021765</v>
      </c>
      <c r="W383" s="580">
        <f t="shared" si="176"/>
        <v>-22.018994276539487</v>
      </c>
      <c r="X383" s="581">
        <f t="shared" si="177"/>
        <v>-180.43655432218677</v>
      </c>
      <c r="Y383" s="584">
        <f t="shared" si="178"/>
        <v>-0.43655432218676538</v>
      </c>
      <c r="AA383" s="147">
        <f t="shared" si="179"/>
        <v>32736</v>
      </c>
      <c r="AB383" s="147">
        <f t="shared" si="180"/>
        <v>1071645696</v>
      </c>
      <c r="AD383" s="583">
        <f t="shared" si="181"/>
        <v>23.602724202463847</v>
      </c>
      <c r="AE383" s="584">
        <f t="shared" si="182"/>
        <v>-51.814827646922545</v>
      </c>
      <c r="AG383" s="583">
        <f t="shared" si="183"/>
        <v>16.009257336637091</v>
      </c>
      <c r="AH383" s="584">
        <f t="shared" si="184"/>
        <v>-55.716797037464609</v>
      </c>
      <c r="AJ383" s="147">
        <f t="shared" si="185"/>
        <v>0</v>
      </c>
      <c r="AK383" s="147">
        <f t="shared" si="197"/>
        <v>0</v>
      </c>
      <c r="AM383" s="147" t="str">
        <f t="shared" si="189"/>
        <v>0.435532638404894+0.82545538807004i</v>
      </c>
      <c r="AN383" s="147" t="str">
        <f t="shared" si="190"/>
        <v>0.971008481815074i</v>
      </c>
      <c r="AO383" s="147" t="str">
        <f t="shared" si="191"/>
        <v>0.85010110985544-0.448536389291644i</v>
      </c>
      <c r="AP383" s="147" t="str">
        <f t="shared" si="192"/>
        <v>0.0940778935991843-0.137575898011673i</v>
      </c>
      <c r="AQ383" s="147" t="str">
        <f t="shared" si="193"/>
        <v>0.905922106400816+0.137575898011673i</v>
      </c>
      <c r="AR383" s="147" t="str">
        <f t="shared" si="194"/>
        <v>0.898777215340822-0.136490854610227i</v>
      </c>
    </row>
    <row r="384" spans="7:44">
      <c r="G384" s="585">
        <v>32924.5</v>
      </c>
      <c r="H384" s="573">
        <f t="shared" si="186"/>
        <v>32.924500000000002</v>
      </c>
      <c r="I384" s="574">
        <f t="shared" si="166"/>
        <v>227.41470196330806</v>
      </c>
      <c r="J384" s="575">
        <f t="shared" si="167"/>
        <v>1.5663990595380572</v>
      </c>
      <c r="K384" s="575">
        <f t="shared" si="168"/>
        <v>1.0164353574059108</v>
      </c>
      <c r="L384" s="576">
        <f t="shared" si="169"/>
        <v>0.18007425732751567</v>
      </c>
      <c r="M384" s="575">
        <f t="shared" si="170"/>
        <v>1.0252931439303141</v>
      </c>
      <c r="N384" s="576">
        <f t="shared" si="171"/>
        <v>-0.22258159588773571</v>
      </c>
      <c r="O384" s="574">
        <f t="shared" si="172"/>
        <v>620612.20323035575</v>
      </c>
      <c r="P384" s="577">
        <f t="shared" si="173"/>
        <v>1.57079471548272</v>
      </c>
      <c r="Q384" s="586">
        <f t="shared" si="195"/>
        <v>83.168047374305772</v>
      </c>
      <c r="R384" s="587">
        <f t="shared" si="196"/>
        <v>1.5587721885756147</v>
      </c>
      <c r="S384" s="574">
        <f t="shared" si="174"/>
        <v>1.5987754449616502</v>
      </c>
      <c r="T384" s="577">
        <f t="shared" si="175"/>
        <v>0.89505140593196009</v>
      </c>
      <c r="U384" s="578">
        <f t="shared" si="187"/>
        <v>0.87258333461864646</v>
      </c>
      <c r="V384" s="579">
        <f t="shared" si="188"/>
        <v>-0.63944969773002902</v>
      </c>
      <c r="W384" s="580">
        <f t="shared" si="176"/>
        <v>-22.107126774961191</v>
      </c>
      <c r="X384" s="581">
        <f t="shared" si="177"/>
        <v>-180.79282339807065</v>
      </c>
      <c r="Y384" s="584">
        <f t="shared" si="178"/>
        <v>-0.79282339807065227</v>
      </c>
      <c r="AA384" s="147">
        <f t="shared" si="179"/>
        <v>32924.5</v>
      </c>
      <c r="AB384" s="147">
        <f t="shared" si="180"/>
        <v>1084022700.25</v>
      </c>
      <c r="AD384" s="583">
        <f t="shared" si="181"/>
        <v>23.572424597794157</v>
      </c>
      <c r="AE384" s="584">
        <f t="shared" si="182"/>
        <v>-51.971508117397633</v>
      </c>
      <c r="AG384" s="583">
        <f t="shared" si="183"/>
        <v>15.97536493452697</v>
      </c>
      <c r="AH384" s="584">
        <f t="shared" si="184"/>
        <v>-55.545777415249766</v>
      </c>
      <c r="AJ384" s="147">
        <f t="shared" si="185"/>
        <v>0</v>
      </c>
      <c r="AK384" s="147">
        <f t="shared" si="197"/>
        <v>0</v>
      </c>
      <c r="AM384" s="147" t="str">
        <f t="shared" si="189"/>
        <v>0.44015676343547+0.828598546023919i</v>
      </c>
      <c r="AN384" s="147" t="str">
        <f t="shared" si="190"/>
        <v>0.976599729946248i</v>
      </c>
      <c r="AO384" s="147" t="str">
        <f t="shared" si="191"/>
        <v>0.848452565176856-0.450703343384803i</v>
      </c>
      <c r="AP384" s="147" t="str">
        <f t="shared" si="192"/>
        <v>0.0933072060940883-0.138099757670653i</v>
      </c>
      <c r="AQ384" s="147" t="str">
        <f t="shared" si="193"/>
        <v>0.906692793905912+0.138099757670653i</v>
      </c>
      <c r="AR384" s="147" t="str">
        <f t="shared" si="194"/>
        <v>0.897893474942558-0.136759520023819i</v>
      </c>
    </row>
    <row r="385" spans="7:44">
      <c r="G385" s="585">
        <v>33113</v>
      </c>
      <c r="H385" s="573">
        <f t="shared" si="186"/>
        <v>33.113</v>
      </c>
      <c r="I385" s="574">
        <f t="shared" si="166"/>
        <v>228.71667601901402</v>
      </c>
      <c r="J385" s="575">
        <f t="shared" si="167"/>
        <v>1.5664240912260396</v>
      </c>
      <c r="K385" s="575">
        <f t="shared" si="168"/>
        <v>1.0166225451069586</v>
      </c>
      <c r="L385" s="576">
        <f t="shared" si="169"/>
        <v>0.18108289333421659</v>
      </c>
      <c r="M385" s="575">
        <f t="shared" si="170"/>
        <v>1.0255799679501314</v>
      </c>
      <c r="N385" s="576">
        <f t="shared" si="171"/>
        <v>-0.22381390609937771</v>
      </c>
      <c r="O385" s="574">
        <f t="shared" si="172"/>
        <v>624165.34451750107</v>
      </c>
      <c r="P385" s="577">
        <f t="shared" si="173"/>
        <v>1.5707947246553213</v>
      </c>
      <c r="Q385" s="586">
        <f t="shared" si="195"/>
        <v>83.644134084349915</v>
      </c>
      <c r="R385" s="587">
        <f t="shared" si="196"/>
        <v>1.5588406309836493</v>
      </c>
      <c r="S385" s="574">
        <f t="shared" si="174"/>
        <v>1.6043540016193929</v>
      </c>
      <c r="T385" s="577">
        <f t="shared" si="175"/>
        <v>0.89783574053276627</v>
      </c>
      <c r="U385" s="578">
        <f t="shared" si="187"/>
        <v>0.87137769769504125</v>
      </c>
      <c r="V385" s="579">
        <f t="shared" si="188"/>
        <v>-0.64267793246259597</v>
      </c>
      <c r="W385" s="580">
        <f t="shared" si="176"/>
        <v>-22.194954912931379</v>
      </c>
      <c r="X385" s="581">
        <f t="shared" si="177"/>
        <v>-181.14764710774395</v>
      </c>
      <c r="Y385" s="584">
        <f t="shared" si="178"/>
        <v>-1.1476471077439498</v>
      </c>
      <c r="AA385" s="147">
        <f t="shared" si="179"/>
        <v>33113</v>
      </c>
      <c r="AB385" s="147">
        <f t="shared" si="180"/>
        <v>1096470769</v>
      </c>
      <c r="AD385" s="583">
        <f t="shared" si="181"/>
        <v>23.542162821956381</v>
      </c>
      <c r="AE385" s="584">
        <f t="shared" si="182"/>
        <v>-52.127117803385133</v>
      </c>
      <c r="AG385" s="583">
        <f t="shared" si="183"/>
        <v>15.941817528635569</v>
      </c>
      <c r="AH385" s="584">
        <f t="shared" si="184"/>
        <v>-55.375062987605617</v>
      </c>
      <c r="AJ385" s="147">
        <f t="shared" si="185"/>
        <v>0</v>
      </c>
      <c r="AK385" s="147">
        <f t="shared" si="197"/>
        <v>0</v>
      </c>
      <c r="AM385" s="147" t="str">
        <f t="shared" si="189"/>
        <v>0.444798390270877+0.831715800351412i</v>
      </c>
      <c r="AN385" s="147" t="str">
        <f t="shared" si="190"/>
        <v>0.982190978077423i</v>
      </c>
      <c r="AO385" s="147" t="str">
        <f t="shared" si="191"/>
        <v>0.846796416293136-0.452863445296089i</v>
      </c>
      <c r="AP385" s="147" t="str">
        <f t="shared" si="192"/>
        <v>0.0925336016215205-0.138619300058569i</v>
      </c>
      <c r="AQ385" s="147" t="str">
        <f t="shared" si="193"/>
        <v>0.90746639837848+0.138619300058569i</v>
      </c>
      <c r="AR385" s="147" t="str">
        <f t="shared" si="194"/>
        <v>0.89700964090384-0.137021986478026i</v>
      </c>
    </row>
    <row r="386" spans="7:44">
      <c r="G386" s="585">
        <v>33305.75</v>
      </c>
      <c r="H386" s="573">
        <f t="shared" si="186"/>
        <v>33.305750000000003</v>
      </c>
      <c r="I386" s="574">
        <f t="shared" si="166"/>
        <v>230.04800507393216</v>
      </c>
      <c r="J386" s="575">
        <f t="shared" si="167"/>
        <v>1.5664493942970936</v>
      </c>
      <c r="K386" s="575">
        <f t="shared" si="168"/>
        <v>1.0168150223200649</v>
      </c>
      <c r="L386" s="576">
        <f t="shared" si="169"/>
        <v>0.18211388537666739</v>
      </c>
      <c r="M386" s="575">
        <f t="shared" si="170"/>
        <v>1.0258748684139194</v>
      </c>
      <c r="N386" s="576">
        <f t="shared" si="171"/>
        <v>-0.22507328596851359</v>
      </c>
      <c r="O386" s="574">
        <f t="shared" si="172"/>
        <v>627798.59641722147</v>
      </c>
      <c r="P386" s="577">
        <f t="shared" si="173"/>
        <v>1.570794733927366</v>
      </c>
      <c r="Q386" s="586">
        <f t="shared" si="195"/>
        <v>84.130955245418761</v>
      </c>
      <c r="R386" s="587">
        <f t="shared" si="196"/>
        <v>1.5589098155142065</v>
      </c>
      <c r="S386" s="574">
        <f t="shared" si="174"/>
        <v>1.6100711061515256</v>
      </c>
      <c r="T386" s="577">
        <f t="shared" si="175"/>
        <v>0.90066287774505849</v>
      </c>
      <c r="U386" s="578">
        <f t="shared" si="187"/>
        <v>0.87014257261696082</v>
      </c>
      <c r="V386" s="579">
        <f t="shared" si="188"/>
        <v>-0.64597281753885138</v>
      </c>
      <c r="W386" s="580">
        <f t="shared" si="176"/>
        <v>-22.284450869045198</v>
      </c>
      <c r="X386" s="581">
        <f t="shared" si="177"/>
        <v>-181.50898511475751</v>
      </c>
      <c r="Y386" s="584">
        <f t="shared" si="178"/>
        <v>-1.5089851147575075</v>
      </c>
      <c r="AA386" s="147">
        <f t="shared" si="179"/>
        <v>33305.75</v>
      </c>
      <c r="AB386" s="147">
        <f t="shared" si="180"/>
        <v>1109272983.0625</v>
      </c>
      <c r="AD386" s="583">
        <f t="shared" si="181"/>
        <v>23.511258567597473</v>
      </c>
      <c r="AE386" s="584">
        <f t="shared" si="182"/>
        <v>-52.285137383574941</v>
      </c>
      <c r="AG386" s="583">
        <f t="shared" si="183"/>
        <v>15.907866738844852</v>
      </c>
      <c r="AH386" s="584">
        <f t="shared" si="184"/>
        <v>-55.20081539629777</v>
      </c>
      <c r="AJ386" s="147">
        <f t="shared" si="185"/>
        <v>0</v>
      </c>
      <c r="AK386" s="147">
        <f t="shared" si="197"/>
        <v>0</v>
      </c>
      <c r="AM386" s="147" t="str">
        <f t="shared" si="189"/>
        <v>0.449562616146384+0.834876449815413i</v>
      </c>
      <c r="AN386" s="147" t="str">
        <f t="shared" si="190"/>
        <v>0.987908288832245i</v>
      </c>
      <c r="AO386" s="147" t="str">
        <f t="shared" si="191"/>
        <v>0.845095095620948-0.455065132288533i</v>
      </c>
      <c r="AP386" s="147" t="str">
        <f t="shared" si="192"/>
        <v>0.0917395639756027-0.139146074969236i</v>
      </c>
      <c r="AQ386" s="147" t="str">
        <f t="shared" si="193"/>
        <v>0.908260436024397+0.139146074969236i</v>
      </c>
      <c r="AR386" s="147" t="str">
        <f t="shared" si="194"/>
        <v>0.89610583099207-0.137283981767805i</v>
      </c>
    </row>
    <row r="387" spans="7:44">
      <c r="G387" s="585">
        <v>33498.5</v>
      </c>
      <c r="H387" s="573">
        <f t="shared" si="186"/>
        <v>33.4985</v>
      </c>
      <c r="I387" s="574">
        <f t="shared" si="166"/>
        <v>231.37933427444256</v>
      </c>
      <c r="J387" s="575">
        <f t="shared" si="167"/>
        <v>1.566474406186434</v>
      </c>
      <c r="K387" s="575">
        <f t="shared" si="168"/>
        <v>1.0170085799414226</v>
      </c>
      <c r="L387" s="576">
        <f t="shared" si="169"/>
        <v>0.18314448607632008</v>
      </c>
      <c r="M387" s="575">
        <f t="shared" si="170"/>
        <v>1.0261713950171969</v>
      </c>
      <c r="N387" s="576">
        <f t="shared" si="171"/>
        <v>-0.22633194000204401</v>
      </c>
      <c r="O387" s="574">
        <f t="shared" si="172"/>
        <v>631431.84831694188</v>
      </c>
      <c r="P387" s="577">
        <f t="shared" si="173"/>
        <v>1.5707947430927083</v>
      </c>
      <c r="Q387" s="586">
        <f t="shared" si="195"/>
        <v>84.617776804546835</v>
      </c>
      <c r="R387" s="587">
        <f t="shared" si="196"/>
        <v>1.558978203982551</v>
      </c>
      <c r="S387" s="574">
        <f t="shared" si="174"/>
        <v>1.6158009883808162</v>
      </c>
      <c r="T387" s="577">
        <f t="shared" si="175"/>
        <v>0.90346998632277176</v>
      </c>
      <c r="U387" s="578">
        <f t="shared" si="187"/>
        <v>0.86890516797691741</v>
      </c>
      <c r="V387" s="579">
        <f t="shared" si="188"/>
        <v>-0.64926149926980459</v>
      </c>
      <c r="W387" s="580">
        <f t="shared" si="176"/>
        <v>-22.373633296418213</v>
      </c>
      <c r="X387" s="581">
        <f t="shared" si="177"/>
        <v>-181.86882989641589</v>
      </c>
      <c r="Y387" s="584">
        <f t="shared" si="178"/>
        <v>-1.8688298964158889</v>
      </c>
      <c r="AA387" s="147">
        <f t="shared" si="179"/>
        <v>33498.5</v>
      </c>
      <c r="AB387" s="147">
        <f t="shared" si="180"/>
        <v>1122149502.25</v>
      </c>
      <c r="AD387" s="583">
        <f t="shared" si="181"/>
        <v>23.48039526496666</v>
      </c>
      <c r="AE387" s="584">
        <f t="shared" si="182"/>
        <v>-52.442055012424085</v>
      </c>
      <c r="AG387" s="583">
        <f t="shared" si="183"/>
        <v>15.874269102084908</v>
      </c>
      <c r="AH387" s="584">
        <f t="shared" si="184"/>
        <v>-55.026887381985553</v>
      </c>
      <c r="AJ387" s="147">
        <f t="shared" si="185"/>
        <v>0</v>
      </c>
      <c r="AK387" s="147">
        <f t="shared" si="197"/>
        <v>0</v>
      </c>
      <c r="AM387" s="147" t="str">
        <f t="shared" si="189"/>
        <v>0.454344834473174+0.838009809211021i</v>
      </c>
      <c r="AN387" s="147" t="str">
        <f t="shared" si="190"/>
        <v>0.993625599587067i</v>
      </c>
      <c r="AO387" s="147" t="str">
        <f t="shared" si="191"/>
        <v>0.843385888567367-0.457259590193722i</v>
      </c>
      <c r="AP387" s="147" t="str">
        <f t="shared" si="192"/>
        <v>0.0909425275878043-0.13966830153517i</v>
      </c>
      <c r="AQ387" s="147" t="str">
        <f t="shared" si="193"/>
        <v>0.909057472412196+0.13966830153517i</v>
      </c>
      <c r="AR387" s="147" t="str">
        <f t="shared" si="194"/>
        <v>0.895202020641449-0.137539539081144i</v>
      </c>
    </row>
    <row r="388" spans="7:44">
      <c r="G388" s="585">
        <v>33691.25</v>
      </c>
      <c r="H388" s="573">
        <f t="shared" si="186"/>
        <v>33.691249999999997</v>
      </c>
      <c r="I388" s="574">
        <f t="shared" si="166"/>
        <v>232.71066361804637</v>
      </c>
      <c r="J388" s="575">
        <f t="shared" si="167"/>
        <v>1.5664991318915495</v>
      </c>
      <c r="K388" s="575">
        <f t="shared" si="168"/>
        <v>1.0172032173542778</v>
      </c>
      <c r="L388" s="576">
        <f t="shared" si="169"/>
        <v>0.18417469346792126</v>
      </c>
      <c r="M388" s="575">
        <f t="shared" si="170"/>
        <v>1.0264695463506857</v>
      </c>
      <c r="N388" s="576">
        <f t="shared" si="171"/>
        <v>-0.22758986484279775</v>
      </c>
      <c r="O388" s="574">
        <f t="shared" si="172"/>
        <v>635065.10021666239</v>
      </c>
      <c r="P388" s="577">
        <f t="shared" si="173"/>
        <v>1.5707947521531793</v>
      </c>
      <c r="Q388" s="586">
        <f t="shared" si="195"/>
        <v>85.104598754903108</v>
      </c>
      <c r="R388" s="587">
        <f t="shared" si="196"/>
        <v>1.5590458100491289</v>
      </c>
      <c r="S388" s="574">
        <f t="shared" si="174"/>
        <v>1.621543512853552</v>
      </c>
      <c r="T388" s="577">
        <f t="shared" si="175"/>
        <v>0.90625723457931695</v>
      </c>
      <c r="U388" s="578">
        <f t="shared" si="187"/>
        <v>0.86766553531125246</v>
      </c>
      <c r="V388" s="579">
        <f t="shared" si="188"/>
        <v>-0.65254397781939122</v>
      </c>
      <c r="W388" s="580">
        <f t="shared" si="176"/>
        <v>-22.462504520937209</v>
      </c>
      <c r="X388" s="581">
        <f t="shared" si="177"/>
        <v>-182.22719052976302</v>
      </c>
      <c r="Y388" s="584">
        <f t="shared" si="178"/>
        <v>-2.2271905297630212</v>
      </c>
      <c r="AA388" s="147">
        <f t="shared" si="179"/>
        <v>33691.25</v>
      </c>
      <c r="AB388" s="147">
        <f t="shared" si="180"/>
        <v>1135100326.5625</v>
      </c>
      <c r="AD388" s="583">
        <f t="shared" si="181"/>
        <v>23.449573591339462</v>
      </c>
      <c r="AE388" s="584">
        <f t="shared" si="182"/>
        <v>-52.597879550999735</v>
      </c>
      <c r="AG388" s="583">
        <f t="shared" si="183"/>
        <v>15.841020877932547</v>
      </c>
      <c r="AH388" s="584">
        <f t="shared" si="184"/>
        <v>-54.853279141860178</v>
      </c>
      <c r="AJ388" s="147">
        <f t="shared" si="185"/>
        <v>0</v>
      </c>
      <c r="AK388" s="147">
        <f t="shared" si="197"/>
        <v>0</v>
      </c>
      <c r="AM388" s="147" t="str">
        <f t="shared" si="189"/>
        <v>0.459144888932232+0.841115776116387i</v>
      </c>
      <c r="AN388" s="147" t="str">
        <f t="shared" si="190"/>
        <v>0.99934291034189i</v>
      </c>
      <c r="AO388" s="147" t="str">
        <f t="shared" si="191"/>
        <v>0.841668827998819-0.459446786664201i</v>
      </c>
      <c r="AP388" s="147" t="str">
        <f t="shared" si="192"/>
        <v>0.0901425185112947-0.140185962686065i</v>
      </c>
      <c r="AQ388" s="147" t="str">
        <f t="shared" si="193"/>
        <v>0.909857481488705+0.140185962686065i</v>
      </c>
      <c r="AR388" s="147" t="str">
        <f t="shared" si="194"/>
        <v>0.894298258418978-0.137788681013876i</v>
      </c>
    </row>
    <row r="389" spans="7:44">
      <c r="G389" s="585">
        <v>33884</v>
      </c>
      <c r="H389" s="573">
        <f t="shared" si="186"/>
        <v>33.884</v>
      </c>
      <c r="I389" s="574">
        <f t="shared" si="166"/>
        <v>234.04199310230169</v>
      </c>
      <c r="J389" s="575">
        <f t="shared" si="167"/>
        <v>1.5665235762962193</v>
      </c>
      <c r="K389" s="575">
        <f t="shared" si="168"/>
        <v>1.0173989339389098</v>
      </c>
      <c r="L389" s="576">
        <f t="shared" si="169"/>
        <v>0.18520450559105658</v>
      </c>
      <c r="M389" s="575">
        <f t="shared" si="170"/>
        <v>1.0267693209990278</v>
      </c>
      <c r="N389" s="576">
        <f t="shared" si="171"/>
        <v>-0.22884705714672318</v>
      </c>
      <c r="O389" s="574">
        <f t="shared" si="172"/>
        <v>638698.35211638291</v>
      </c>
      <c r="P389" s="577">
        <f t="shared" si="173"/>
        <v>1.570794761110569</v>
      </c>
      <c r="Q389" s="586">
        <f t="shared" si="195"/>
        <v>85.591421089811973</v>
      </c>
      <c r="R389" s="587">
        <f t="shared" si="196"/>
        <v>1.5591126470636261</v>
      </c>
      <c r="S389" s="574">
        <f t="shared" si="174"/>
        <v>1.6272985457312494</v>
      </c>
      <c r="T389" s="577">
        <f t="shared" si="175"/>
        <v>0.9090247896892828</v>
      </c>
      <c r="U389" s="578">
        <f t="shared" si="187"/>
        <v>0.86642372581093929</v>
      </c>
      <c r="V389" s="579">
        <f t="shared" si="188"/>
        <v>-0.65582025368322838</v>
      </c>
      <c r="W389" s="580">
        <f t="shared" si="176"/>
        <v>-22.551066832243635</v>
      </c>
      <c r="X389" s="581">
        <f t="shared" si="177"/>
        <v>-182.58407605735934</v>
      </c>
      <c r="Y389" s="584">
        <f t="shared" si="178"/>
        <v>-2.58407605735934</v>
      </c>
      <c r="AA389" s="147">
        <f t="shared" si="179"/>
        <v>33884</v>
      </c>
      <c r="AB389" s="147">
        <f t="shared" si="180"/>
        <v>1148125456</v>
      </c>
      <c r="AD389" s="583">
        <f t="shared" si="181"/>
        <v>23.418794204704724</v>
      </c>
      <c r="AE389" s="584">
        <f t="shared" si="182"/>
        <v>-52.752619812922163</v>
      </c>
      <c r="AG389" s="583">
        <f t="shared" si="183"/>
        <v>15.80811838440555</v>
      </c>
      <c r="AH389" s="584">
        <f t="shared" si="184"/>
        <v>-54.679990848068201</v>
      </c>
      <c r="AJ389" s="147">
        <f t="shared" si="185"/>
        <v>0</v>
      </c>
      <c r="AK389" s="147">
        <f t="shared" si="197"/>
        <v>0</v>
      </c>
      <c r="AM389" s="147" t="str">
        <f t="shared" si="189"/>
        <v>0.463962622621518+0.844194249005049i</v>
      </c>
      <c r="AN389" s="147" t="str">
        <f t="shared" si="190"/>
        <v>1.00506022109671i</v>
      </c>
      <c r="AO389" s="147" t="str">
        <f t="shared" si="191"/>
        <v>0.839943946924767-0.461626689508463i</v>
      </c>
      <c r="AP389" s="147" t="str">
        <f t="shared" si="192"/>
        <v>0.0893395628964137-0.140699041500842i</v>
      </c>
      <c r="AQ389" s="147" t="str">
        <f t="shared" si="193"/>
        <v>0.910660437103586+0.140699041500842i</v>
      </c>
      <c r="AR389" s="147" t="str">
        <f t="shared" si="194"/>
        <v>0.893394592411546-0.138031430501292i</v>
      </c>
    </row>
    <row r="390" spans="7:44">
      <c r="G390" s="585">
        <v>34081.5</v>
      </c>
      <c r="H390" s="573">
        <f t="shared" si="186"/>
        <v>34.081499999999998</v>
      </c>
      <c r="I390" s="574">
        <f t="shared" si="166"/>
        <v>235.40613110894427</v>
      </c>
      <c r="J390" s="575">
        <f t="shared" si="167"/>
        <v>1.5665483362992112</v>
      </c>
      <c r="K390" s="575">
        <f t="shared" si="168"/>
        <v>1.0176005923698543</v>
      </c>
      <c r="L390" s="576">
        <f t="shared" si="169"/>
        <v>0.18625928365960859</v>
      </c>
      <c r="M390" s="575">
        <f t="shared" si="170"/>
        <v>1.0270781654171037</v>
      </c>
      <c r="N390" s="576">
        <f t="shared" si="171"/>
        <v>-0.23013446752255215</v>
      </c>
      <c r="O390" s="574">
        <f t="shared" si="172"/>
        <v>642421.13940662844</v>
      </c>
      <c r="P390" s="577">
        <f t="shared" si="173"/>
        <v>1.5707947701836042</v>
      </c>
      <c r="Q390" s="586">
        <f t="shared" si="195"/>
        <v>86.090240735541855</v>
      </c>
      <c r="R390" s="587">
        <f t="shared" si="196"/>
        <v>1.5591803470937438</v>
      </c>
      <c r="S390" s="574">
        <f t="shared" si="174"/>
        <v>1.6332082380175221</v>
      </c>
      <c r="T390" s="577">
        <f t="shared" si="175"/>
        <v>0.91184029308553338</v>
      </c>
      <c r="U390" s="578">
        <f t="shared" si="187"/>
        <v>0.86514910920824417</v>
      </c>
      <c r="V390" s="579">
        <f t="shared" si="188"/>
        <v>-0.65917083487530492</v>
      </c>
      <c r="W390" s="580">
        <f t="shared" si="176"/>
        <v>-22.641493544308386</v>
      </c>
      <c r="X390" s="581">
        <f t="shared" si="177"/>
        <v>-182.94823576771279</v>
      </c>
      <c r="Y390" s="584">
        <f t="shared" si="178"/>
        <v>-2.9482357677127879</v>
      </c>
      <c r="AA390" s="147">
        <f t="shared" si="179"/>
        <v>34081.5</v>
      </c>
      <c r="AB390" s="147">
        <f t="shared" si="180"/>
        <v>1161548642.25</v>
      </c>
      <c r="AD390" s="583">
        <f t="shared" si="181"/>
        <v>23.387300842980608</v>
      </c>
      <c r="AE390" s="584">
        <f t="shared" si="182"/>
        <v>-52.910057868759935</v>
      </c>
      <c r="AG390" s="583">
        <f t="shared" si="183"/>
        <v>15.774759889289216</v>
      </c>
      <c r="AH390" s="584">
        <f t="shared" si="184"/>
        <v>-54.502764179701316</v>
      </c>
      <c r="AJ390" s="147">
        <f t="shared" si="185"/>
        <v>0</v>
      </c>
      <c r="AK390" s="147">
        <f t="shared" si="197"/>
        <v>0</v>
      </c>
      <c r="AM390" s="147" t="str">
        <f t="shared" si="189"/>
        <v>0.468917254681904+0.847319961776774i</v>
      </c>
      <c r="AN390" s="147" t="str">
        <f t="shared" si="190"/>
        <v>1.01091842537208i</v>
      </c>
      <c r="AO390" s="147" t="str">
        <f t="shared" si="191"/>
        <v>0.838168481759454-0.463852713446502i</v>
      </c>
      <c r="AP390" s="147" t="str">
        <f t="shared" si="192"/>
        <v>0.0885137908863493-0.141219993629462i</v>
      </c>
      <c r="AQ390" s="147" t="str">
        <f t="shared" si="193"/>
        <v>0.911486209113651+0.141219993629462i</v>
      </c>
      <c r="AR390" s="147" t="str">
        <f t="shared" si="194"/>
        <v>0.892468806656776-0.13827355579315i</v>
      </c>
    </row>
    <row r="391" spans="7:44">
      <c r="G391" s="585">
        <v>34279</v>
      </c>
      <c r="H391" s="573">
        <f t="shared" si="186"/>
        <v>34.279000000000003</v>
      </c>
      <c r="I391" s="574">
        <f t="shared" si="166"/>
        <v>236.77026925824143</v>
      </c>
      <c r="J391" s="575">
        <f t="shared" si="167"/>
        <v>1.5665728109955808</v>
      </c>
      <c r="K391" s="575">
        <f t="shared" si="168"/>
        <v>1.0178033824898731</v>
      </c>
      <c r="L391" s="576">
        <f t="shared" si="169"/>
        <v>0.18731364258667721</v>
      </c>
      <c r="M391" s="575">
        <f t="shared" si="170"/>
        <v>1.0273887111155875</v>
      </c>
      <c r="N391" s="576">
        <f t="shared" si="171"/>
        <v>-0.23142110174647845</v>
      </c>
      <c r="O391" s="574">
        <f t="shared" si="172"/>
        <v>646143.92669687385</v>
      </c>
      <c r="P391" s="577">
        <f t="shared" si="173"/>
        <v>1.5707947791520902</v>
      </c>
      <c r="Q391" s="586">
        <f t="shared" si="195"/>
        <v>86.589060771302499</v>
      </c>
      <c r="R391" s="587">
        <f t="shared" si="196"/>
        <v>1.5592472671149784</v>
      </c>
      <c r="S391" s="574">
        <f t="shared" si="174"/>
        <v>1.6391307834284219</v>
      </c>
      <c r="T391" s="577">
        <f t="shared" si="175"/>
        <v>0.9146354724217185</v>
      </c>
      <c r="U391" s="578">
        <f t="shared" si="187"/>
        <v>0.86387231485360738</v>
      </c>
      <c r="V391" s="579">
        <f t="shared" si="188"/>
        <v>-0.66251490601224194</v>
      </c>
      <c r="W391" s="580">
        <f t="shared" si="176"/>
        <v>-22.731600684601144</v>
      </c>
      <c r="X391" s="581">
        <f t="shared" si="177"/>
        <v>-183.31086587968741</v>
      </c>
      <c r="Y391" s="584">
        <f t="shared" si="178"/>
        <v>-3.3108658796874124</v>
      </c>
      <c r="AA391" s="147">
        <f t="shared" si="179"/>
        <v>34279</v>
      </c>
      <c r="AB391" s="147">
        <f t="shared" si="180"/>
        <v>1175049841</v>
      </c>
      <c r="AD391" s="583">
        <f t="shared" si="181"/>
        <v>23.355853216327517</v>
      </c>
      <c r="AE391" s="584">
        <f t="shared" si="182"/>
        <v>-53.066376126958879</v>
      </c>
      <c r="AG391" s="583">
        <f t="shared" si="183"/>
        <v>15.741756730663743</v>
      </c>
      <c r="AH391" s="584">
        <f t="shared" si="184"/>
        <v>-54.325873707963119</v>
      </c>
      <c r="AJ391" s="147">
        <f t="shared" si="185"/>
        <v>0</v>
      </c>
      <c r="AK391" s="147">
        <f t="shared" si="197"/>
        <v>0</v>
      </c>
      <c r="AM391" s="147" t="str">
        <f t="shared" si="189"/>
        <v>0.473890112683809+0.850416595832975i</v>
      </c>
      <c r="AN391" s="147" t="str">
        <f t="shared" si="190"/>
        <v>1.01677662964745i</v>
      </c>
      <c r="AO391" s="147" t="str">
        <f t="shared" si="191"/>
        <v>0.836384876516922-0.466071011927293i</v>
      </c>
      <c r="AP391" s="147" t="str">
        <f t="shared" si="192"/>
        <v>0.0876849812193652-0.141736099305496i</v>
      </c>
      <c r="AQ391" s="147" t="str">
        <f t="shared" si="193"/>
        <v>0.912315018780635+0.141736099305496i</v>
      </c>
      <c r="AR391" s="147" t="str">
        <f t="shared" si="194"/>
        <v>0.891543222585299-0.138509019505548i</v>
      </c>
    </row>
    <row r="392" spans="7:44">
      <c r="G392" s="585">
        <v>34476.5</v>
      </c>
      <c r="H392" s="573">
        <f t="shared" si="186"/>
        <v>34.476500000000001</v>
      </c>
      <c r="I392" s="574">
        <f t="shared" si="166"/>
        <v>238.13440754774163</v>
      </c>
      <c r="J392" s="575">
        <f t="shared" si="167"/>
        <v>1.5665970052883824</v>
      </c>
      <c r="K392" s="575">
        <f t="shared" si="168"/>
        <v>1.0180073036226585</v>
      </c>
      <c r="L392" s="576">
        <f t="shared" si="169"/>
        <v>0.18836758027924447</v>
      </c>
      <c r="M392" s="575">
        <f t="shared" si="170"/>
        <v>1.0277009565522253</v>
      </c>
      <c r="N392" s="576">
        <f t="shared" si="171"/>
        <v>-0.23270695626418242</v>
      </c>
      <c r="O392" s="574">
        <f t="shared" si="172"/>
        <v>649866.7139871195</v>
      </c>
      <c r="P392" s="577">
        <f t="shared" si="173"/>
        <v>1.5707947880178237</v>
      </c>
      <c r="Q392" s="586">
        <f t="shared" si="195"/>
        <v>87.087881190391883</v>
      </c>
      <c r="R392" s="587">
        <f t="shared" si="196"/>
        <v>1.5593134205298882</v>
      </c>
      <c r="S392" s="574">
        <f t="shared" si="174"/>
        <v>1.6450660431429973</v>
      </c>
      <c r="T392" s="577">
        <f t="shared" si="175"/>
        <v>0.91741050376604227</v>
      </c>
      <c r="U392" s="578">
        <f t="shared" si="187"/>
        <v>0.8625933966742565</v>
      </c>
      <c r="V392" s="579">
        <f t="shared" si="188"/>
        <v>-0.66585246868908954</v>
      </c>
      <c r="W392" s="580">
        <f t="shared" si="176"/>
        <v>-22.82139060386023</v>
      </c>
      <c r="X392" s="581">
        <f t="shared" si="177"/>
        <v>-183.67197600202869</v>
      </c>
      <c r="Y392" s="584">
        <f t="shared" si="178"/>
        <v>-3.6719760020286856</v>
      </c>
      <c r="AA392" s="147">
        <f t="shared" si="179"/>
        <v>34476.5</v>
      </c>
      <c r="AB392" s="147">
        <f t="shared" si="180"/>
        <v>1188629052.25</v>
      </c>
      <c r="AD392" s="583">
        <f t="shared" si="181"/>
        <v>23.324451972060718</v>
      </c>
      <c r="AE392" s="584">
        <f t="shared" si="182"/>
        <v>-53.221583907676894</v>
      </c>
      <c r="AG392" s="583">
        <f t="shared" si="183"/>
        <v>15.709105130250339</v>
      </c>
      <c r="AH392" s="584">
        <f t="shared" si="184"/>
        <v>-54.149319538661871</v>
      </c>
      <c r="AJ392" s="147">
        <f t="shared" si="185"/>
        <v>0</v>
      </c>
      <c r="AK392" s="147">
        <f t="shared" si="197"/>
        <v>0</v>
      </c>
      <c r="AM392" s="147" t="str">
        <f t="shared" si="189"/>
        <v>0.478881025966409+0.85348404490194i</v>
      </c>
      <c r="AN392" s="147" t="str">
        <f t="shared" si="190"/>
        <v>1.02263483392282i</v>
      </c>
      <c r="AO392" s="147" t="str">
        <f t="shared" si="191"/>
        <v>0.834593167169928-0.468281550834157i</v>
      </c>
      <c r="AP392" s="147" t="str">
        <f t="shared" si="192"/>
        <v>0.0868531623389318-0.14224734081699i</v>
      </c>
      <c r="AQ392" s="147" t="str">
        <f t="shared" si="193"/>
        <v>0.913146837661068+0.14224734081699i</v>
      </c>
      <c r="AR392" s="147" t="str">
        <f t="shared" si="194"/>
        <v>0.890617890354292-0.138737847366842i</v>
      </c>
    </row>
    <row r="393" spans="7:44">
      <c r="G393" s="585">
        <v>34674</v>
      </c>
      <c r="H393" s="573">
        <f t="shared" si="186"/>
        <v>34.673999999999999</v>
      </c>
      <c r="I393" s="574">
        <f t="shared" si="166"/>
        <v>239.49854597504915</v>
      </c>
      <c r="J393" s="575">
        <f t="shared" si="167"/>
        <v>1.5666209239689652</v>
      </c>
      <c r="K393" s="575">
        <f t="shared" si="168"/>
        <v>1.0182123550886739</v>
      </c>
      <c r="L393" s="576">
        <f t="shared" si="169"/>
        <v>0.18942109464970755</v>
      </c>
      <c r="M393" s="575">
        <f t="shared" si="170"/>
        <v>1.0280149001782004</v>
      </c>
      <c r="N393" s="576">
        <f t="shared" si="171"/>
        <v>-0.23399202753596421</v>
      </c>
      <c r="O393" s="574">
        <f t="shared" si="172"/>
        <v>653589.50127736514</v>
      </c>
      <c r="P393" s="577">
        <f t="shared" si="173"/>
        <v>1.57079479678256</v>
      </c>
      <c r="Q393" s="586">
        <f t="shared" si="195"/>
        <v>87.586701986260636</v>
      </c>
      <c r="R393" s="587">
        <f t="shared" si="196"/>
        <v>1.5593788204357402</v>
      </c>
      <c r="S393" s="574">
        <f t="shared" si="174"/>
        <v>1.6510138800406124</v>
      </c>
      <c r="T393" s="577">
        <f t="shared" si="175"/>
        <v>0.92016556189893473</v>
      </c>
      <c r="U393" s="578">
        <f t="shared" si="187"/>
        <v>0.86131240820763511</v>
      </c>
      <c r="V393" s="579">
        <f t="shared" si="188"/>
        <v>-0.66918352485176436</v>
      </c>
      <c r="W393" s="580">
        <f t="shared" si="176"/>
        <v>-22.910865616837803</v>
      </c>
      <c r="X393" s="581">
        <f t="shared" si="177"/>
        <v>-184.03157570141795</v>
      </c>
      <c r="Y393" s="584">
        <f t="shared" si="178"/>
        <v>-4.0315757014179496</v>
      </c>
      <c r="AA393" s="147">
        <f t="shared" si="179"/>
        <v>34674</v>
      </c>
      <c r="AB393" s="147">
        <f t="shared" si="180"/>
        <v>1202286276</v>
      </c>
      <c r="AD393" s="583">
        <f t="shared" si="181"/>
        <v>23.293097737894243</v>
      </c>
      <c r="AE393" s="584">
        <f t="shared" si="182"/>
        <v>-53.375690474777429</v>
      </c>
      <c r="AG393" s="583">
        <f t="shared" si="183"/>
        <v>15.676801368738131</v>
      </c>
      <c r="AH393" s="584">
        <f t="shared" si="184"/>
        <v>-53.973101751629812</v>
      </c>
      <c r="AJ393" s="147">
        <f t="shared" si="185"/>
        <v>0</v>
      </c>
      <c r="AK393" s="147">
        <f t="shared" si="197"/>
        <v>0</v>
      </c>
      <c r="AM393" s="147" t="str">
        <f t="shared" si="189"/>
        <v>0.483889823249249+0.856522203713546i</v>
      </c>
      <c r="AN393" s="147" t="str">
        <f t="shared" si="190"/>
        <v>1.02849303819819i</v>
      </c>
      <c r="AO393" s="147" t="str">
        <f t="shared" si="191"/>
        <v>0.832793389845479-0.470484296225254i</v>
      </c>
      <c r="AP393" s="147" t="str">
        <f t="shared" si="192"/>
        <v>0.0860183627917918-0.142753700618924i</v>
      </c>
      <c r="AQ393" s="147" t="str">
        <f t="shared" si="193"/>
        <v>0.913981637208208+0.142753700618924i</v>
      </c>
      <c r="AR393" s="147" t="str">
        <f t="shared" si="194"/>
        <v>0.8896928595891-0.138960065443464i</v>
      </c>
    </row>
    <row r="394" spans="7:44">
      <c r="G394" s="585">
        <v>34875.75</v>
      </c>
      <c r="H394" s="573">
        <f t="shared" si="186"/>
        <v>34.875749999999996</v>
      </c>
      <c r="I394" s="574">
        <f t="shared" si="166"/>
        <v>240.89203941975919</v>
      </c>
      <c r="J394" s="575">
        <f t="shared" si="167"/>
        <v>1.5666450776520882</v>
      </c>
      <c r="K394" s="575">
        <f t="shared" si="168"/>
        <v>1.0184229854249456</v>
      </c>
      <c r="L394" s="576">
        <f t="shared" si="169"/>
        <v>0.19049684033301212</v>
      </c>
      <c r="M394" s="575">
        <f t="shared" si="170"/>
        <v>1.0283373513331231</v>
      </c>
      <c r="N394" s="576">
        <f t="shared" si="171"/>
        <v>-0.23530393986525308</v>
      </c>
      <c r="O394" s="574">
        <f t="shared" si="172"/>
        <v>657392.39918018563</v>
      </c>
      <c r="P394" s="577">
        <f t="shared" si="173"/>
        <v>1.5707948056334089</v>
      </c>
      <c r="Q394" s="586">
        <f t="shared" si="195"/>
        <v>88.096257282894257</v>
      </c>
      <c r="R394" s="587">
        <f t="shared" si="196"/>
        <v>1.5594448629856374</v>
      </c>
      <c r="S394" s="574">
        <f t="shared" si="174"/>
        <v>1.657102553595319</v>
      </c>
      <c r="T394" s="577">
        <f t="shared" si="175"/>
        <v>0.92295946395617801</v>
      </c>
      <c r="U394" s="578">
        <f t="shared" si="187"/>
        <v>0.86000177183888027</v>
      </c>
      <c r="V394" s="579">
        <f t="shared" si="188"/>
        <v>-0.67257954631529848</v>
      </c>
      <c r="W394" s="580">
        <f t="shared" si="176"/>
        <v>-23.001943268088787</v>
      </c>
      <c r="X394" s="581">
        <f t="shared" si="177"/>
        <v>-184.39736399900343</v>
      </c>
      <c r="Y394" s="584">
        <f t="shared" si="178"/>
        <v>-4.3973639990034314</v>
      </c>
      <c r="AA394" s="147">
        <f t="shared" si="179"/>
        <v>34875.75</v>
      </c>
      <c r="AB394" s="147">
        <f t="shared" si="180"/>
        <v>1216317938.0625</v>
      </c>
      <c r="AD394" s="583">
        <f t="shared" si="181"/>
        <v>23.261117963459231</v>
      </c>
      <c r="AE394" s="584">
        <f t="shared" si="182"/>
        <v>-53.531985818947888</v>
      </c>
      <c r="AG394" s="583">
        <f t="shared" si="183"/>
        <v>15.644157802672837</v>
      </c>
      <c r="AH394" s="584">
        <f t="shared" si="184"/>
        <v>-53.793439310607468</v>
      </c>
      <c r="AJ394" s="147">
        <f t="shared" si="185"/>
        <v>0</v>
      </c>
      <c r="AK394" s="147">
        <f t="shared" si="197"/>
        <v>0</v>
      </c>
      <c r="AM394" s="147" t="str">
        <f t="shared" si="189"/>
        <v>0.489024691427781+0.859595389720958i</v>
      </c>
      <c r="AN394" s="147" t="str">
        <f t="shared" si="190"/>
        <v>1.0344773050972i</v>
      </c>
      <c r="AO394" s="147" t="str">
        <f t="shared" si="191"/>
        <v>0.830946590597451-0.472726360470356i</v>
      </c>
      <c r="AP394" s="147" t="str">
        <f t="shared" si="192"/>
        <v>0.0851625514287032-0.143265898286826i</v>
      </c>
      <c r="AQ394" s="147" t="str">
        <f t="shared" si="193"/>
        <v>0.914837448571297+0.143265898286826i</v>
      </c>
      <c r="AR394" s="147" t="str">
        <f t="shared" si="194"/>
        <v>0.888748285414889-0.139180268210148i</v>
      </c>
    </row>
    <row r="395" spans="7:44">
      <c r="G395" s="585">
        <v>35077.5</v>
      </c>
      <c r="H395" s="573">
        <f t="shared" si="186"/>
        <v>35.077500000000001</v>
      </c>
      <c r="I395" s="574">
        <f t="shared" si="166"/>
        <v>242.28553300338913</v>
      </c>
      <c r="J395" s="575">
        <f t="shared" si="167"/>
        <v>1.5666689534977325</v>
      </c>
      <c r="K395" s="575">
        <f t="shared" si="168"/>
        <v>1.0186347938214126</v>
      </c>
      <c r="L395" s="576">
        <f t="shared" si="169"/>
        <v>0.19157213989291591</v>
      </c>
      <c r="M395" s="575">
        <f t="shared" si="170"/>
        <v>1.0286615712624396</v>
      </c>
      <c r="N395" s="576">
        <f t="shared" si="171"/>
        <v>-0.23661502745657334</v>
      </c>
      <c r="O395" s="574">
        <f t="shared" si="172"/>
        <v>661195.29708300624</v>
      </c>
      <c r="P395" s="577">
        <f t="shared" si="173"/>
        <v>1.5707948143824455</v>
      </c>
      <c r="Q395" s="586">
        <f t="shared" si="195"/>
        <v>88.605812959350743</v>
      </c>
      <c r="R395" s="587">
        <f t="shared" si="196"/>
        <v>1.5595101459387868</v>
      </c>
      <c r="S395" s="574">
        <f t="shared" si="174"/>
        <v>1.663204067543179</v>
      </c>
      <c r="T395" s="577">
        <f t="shared" si="175"/>
        <v>0.92573288850362401</v>
      </c>
      <c r="U395" s="578">
        <f t="shared" si="187"/>
        <v>0.85868908680591238</v>
      </c>
      <c r="V395" s="579">
        <f t="shared" si="188"/>
        <v>-0.6759687834328304</v>
      </c>
      <c r="W395" s="580">
        <f t="shared" si="176"/>
        <v>-23.09269708626767</v>
      </c>
      <c r="X395" s="581">
        <f t="shared" si="177"/>
        <v>-184.76159621123077</v>
      </c>
      <c r="Y395" s="584">
        <f t="shared" si="178"/>
        <v>-4.761596211230767</v>
      </c>
      <c r="AA395" s="147">
        <f t="shared" si="179"/>
        <v>35077.5</v>
      </c>
      <c r="AB395" s="147">
        <f t="shared" si="180"/>
        <v>1230431006.25</v>
      </c>
      <c r="AD395" s="583">
        <f t="shared" si="181"/>
        <v>23.229188507428571</v>
      </c>
      <c r="AE395" s="584">
        <f t="shared" si="182"/>
        <v>-53.687151404085093</v>
      </c>
      <c r="AG395" s="583">
        <f t="shared" si="183"/>
        <v>15.61186954382817</v>
      </c>
      <c r="AH395" s="584">
        <f t="shared" si="184"/>
        <v>-53.614127972046496</v>
      </c>
      <c r="AJ395" s="147">
        <f t="shared" si="185"/>
        <v>0</v>
      </c>
      <c r="AK395" s="147">
        <f t="shared" si="197"/>
        <v>0</v>
      </c>
      <c r="AM395" s="147" t="str">
        <f t="shared" si="189"/>
        <v>0.494177858318589+0.862637792462648i</v>
      </c>
      <c r="AN395" s="147" t="str">
        <f t="shared" si="190"/>
        <v>1.04046157199622i</v>
      </c>
      <c r="AO395" s="147" t="str">
        <f t="shared" si="191"/>
        <v>0.829091449103304-0.474960221135764i</v>
      </c>
      <c r="AP395" s="147" t="str">
        <f t="shared" si="192"/>
        <v>0.0843036902802352-0.143772965410441i</v>
      </c>
      <c r="AQ395" s="147" t="str">
        <f t="shared" si="193"/>
        <v>0.915696309719765+0.143772965410441i</v>
      </c>
      <c r="AR395" s="147" t="str">
        <f t="shared" si="194"/>
        <v>0.887804128805008-0.139393629686017i</v>
      </c>
    </row>
    <row r="396" spans="7:44">
      <c r="G396" s="585">
        <v>35279.25</v>
      </c>
      <c r="H396" s="573">
        <f t="shared" si="186"/>
        <v>35.279249999999998</v>
      </c>
      <c r="I396" s="574">
        <f t="shared" si="166"/>
        <v>243.67902672355578</v>
      </c>
      <c r="J396" s="575">
        <f t="shared" si="167"/>
        <v>1.5666925562723639</v>
      </c>
      <c r="K396" s="575">
        <f t="shared" si="168"/>
        <v>1.0188477795433533</v>
      </c>
      <c r="L396" s="576">
        <f t="shared" si="169"/>
        <v>0.19264699112176012</v>
      </c>
      <c r="M396" s="575">
        <f t="shared" si="170"/>
        <v>1.0289875582942001</v>
      </c>
      <c r="N396" s="576">
        <f t="shared" si="171"/>
        <v>-0.23792528658426487</v>
      </c>
      <c r="O396" s="574">
        <f t="shared" si="172"/>
        <v>664998.19498582697</v>
      </c>
      <c r="P396" s="577">
        <f t="shared" si="173"/>
        <v>1.5707948230314164</v>
      </c>
      <c r="Q396" s="586">
        <f t="shared" si="195"/>
        <v>89.115369009114659</v>
      </c>
      <c r="R396" s="587">
        <f t="shared" si="196"/>
        <v>1.5595746823246053</v>
      </c>
      <c r="S396" s="574">
        <f t="shared" si="174"/>
        <v>1.6693182810856957</v>
      </c>
      <c r="T396" s="577">
        <f t="shared" si="175"/>
        <v>0.92848601764977634</v>
      </c>
      <c r="U396" s="578">
        <f t="shared" si="187"/>
        <v>0.85737440890467076</v>
      </c>
      <c r="V396" s="579">
        <f t="shared" si="188"/>
        <v>-0.67935123938831521</v>
      </c>
      <c r="W396" s="580">
        <f t="shared" si="176"/>
        <v>-23.183129428351421</v>
      </c>
      <c r="X396" s="581">
        <f t="shared" si="177"/>
        <v>-185.12428239426865</v>
      </c>
      <c r="Y396" s="584">
        <f t="shared" si="178"/>
        <v>-5.1242823942686471</v>
      </c>
      <c r="AA396" s="147">
        <f t="shared" si="179"/>
        <v>35279.25</v>
      </c>
      <c r="AB396" s="147">
        <f t="shared" si="180"/>
        <v>1244625480.5625</v>
      </c>
      <c r="AD396" s="583">
        <f t="shared" si="181"/>
        <v>23.197309978163908</v>
      </c>
      <c r="AE396" s="584">
        <f t="shared" si="182"/>
        <v>-53.841196917807196</v>
      </c>
      <c r="AG396" s="583">
        <f t="shared" si="183"/>
        <v>15.579932809974606</v>
      </c>
      <c r="AH396" s="584">
        <f t="shared" si="184"/>
        <v>-53.435167739643013</v>
      </c>
      <c r="AJ396" s="147">
        <f t="shared" si="185"/>
        <v>0</v>
      </c>
      <c r="AK396" s="147">
        <f t="shared" si="197"/>
        <v>0</v>
      </c>
      <c r="AM396" s="147" t="str">
        <f t="shared" si="189"/>
        <v>0.499349139379837+0.865649302986082i</v>
      </c>
      <c r="AN396" s="147" t="str">
        <f t="shared" si="190"/>
        <v>1.04644583889524i</v>
      </c>
      <c r="AO396" s="147" t="str">
        <f t="shared" si="191"/>
        <v>0.827228004365683-0.477185842610844i</v>
      </c>
      <c r="AP396" s="147" t="str">
        <f t="shared" si="192"/>
        <v>0.0834418101033605-0.144274883831014i</v>
      </c>
      <c r="AQ396" s="147" t="str">
        <f t="shared" si="193"/>
        <v>0.91655818989664+0.144274883831014i</v>
      </c>
      <c r="AR396" s="147" t="str">
        <f t="shared" si="194"/>
        <v>0.886860440937401-0.139600178691322i</v>
      </c>
    </row>
    <row r="397" spans="7:44">
      <c r="G397" s="585">
        <v>35481</v>
      </c>
      <c r="H397" s="573">
        <f t="shared" si="186"/>
        <v>35.481000000000002</v>
      </c>
      <c r="I397" s="574">
        <f t="shared" ref="I397:I460" si="198">SQRT(1+(G397/pole1)^2)</f>
        <v>245.07252057792999</v>
      </c>
      <c r="J397" s="575">
        <f t="shared" ref="J397:J460" si="199">ATAN(G397/pole1)</f>
        <v>1.5667158906340395</v>
      </c>
      <c r="K397" s="575">
        <f t="shared" ref="K397:K460" si="200">SQRT(1+(G397/Zero1)^2)</f>
        <v>1.0190619418525784</v>
      </c>
      <c r="L397" s="576">
        <f t="shared" ref="L397:L460" si="201">ATAN(G397/Zero1)</f>
        <v>0.19372139181787024</v>
      </c>
      <c r="M397" s="575">
        <f t="shared" ref="M397:M460" si="202">SQRT(1+(G397/z_RHP)^2)</f>
        <v>1.0293153107494655</v>
      </c>
      <c r="N397" s="576">
        <f t="shared" ref="N397:N460" si="203">-ATAN(G397/z_RHP)</f>
        <v>-0.23923471353875275</v>
      </c>
      <c r="O397" s="574">
        <f t="shared" ref="O397:O460" si="204">SQRT(1+(G397/Pole2)^2)</f>
        <v>668801.09288864769</v>
      </c>
      <c r="P397" s="577">
        <f t="shared" ref="P397:P460" si="205">ATAN(G397/Pole2)</f>
        <v>1.570794831582029</v>
      </c>
      <c r="Q397" s="586">
        <f t="shared" si="195"/>
        <v>89.624925425818773</v>
      </c>
      <c r="R397" s="587">
        <f t="shared" si="196"/>
        <v>1.5596384848762241</v>
      </c>
      <c r="S397" s="574">
        <f t="shared" ref="S397:S460" si="206">SQRT(1+(G397/pole4)^2)</f>
        <v>1.6754450551887117</v>
      </c>
      <c r="T397" s="577">
        <f t="shared" ref="T397:T460" si="207">ATAN(G397/pole4)</f>
        <v>0.93121903207836298</v>
      </c>
      <c r="U397" s="578">
        <f t="shared" si="187"/>
        <v>0.85605779349846645</v>
      </c>
      <c r="V397" s="579">
        <f t="shared" si="188"/>
        <v>-0.68272691773128336</v>
      </c>
      <c r="W397" s="580">
        <f t="shared" ref="W397:W460" si="208">20*LOG10(((K397*Q397*M397*U397)/(I397*O397*S397))*Adc)</f>
        <v>-23.273242615983534</v>
      </c>
      <c r="X397" s="581">
        <f t="shared" ref="X397:X460" si="209">((L397+R397+N397+V397)-(J397+P397+T397))*radconv</f>
        <v>-185.48543255493902</v>
      </c>
      <c r="Y397" s="584">
        <f t="shared" ref="Y397:Y460" si="210">IF(X397&gt;0,X397,X397+180)</f>
        <v>-5.4854325549390239</v>
      </c>
      <c r="AA397" s="147">
        <f t="shared" ref="AA397:AA460" si="211">IF(W397&lt;0,G397,1000000000)</f>
        <v>35481</v>
      </c>
      <c r="AB397" s="147">
        <f t="shared" ref="AB397:AB460" si="212">G397^2</f>
        <v>1258901361</v>
      </c>
      <c r="AD397" s="583">
        <f t="shared" ref="AD397:AD460" si="213">20*LOG10((Q397/(O397*S397))*Aea)</f>
        <v>23.165482964416025</v>
      </c>
      <c r="AE397" s="584">
        <f t="shared" ref="AE397:AE460" si="214">(R397-(P397+T397))*radconv</f>
        <v>-53.9941319830724</v>
      </c>
      <c r="AG397" s="583">
        <f t="shared" ref="AG397:AG460" si="215">20*LOG10((K397*M397/(I397*U397))*Acs*Am)</f>
        <v>15.548343877682596</v>
      </c>
      <c r="AH397" s="584">
        <f t="shared" ref="AH397:AH460" si="216">(L397+N397-(J397+V397))*radconv</f>
        <v>-53.256558590514572</v>
      </c>
      <c r="AJ397" s="147">
        <f t="shared" ref="AJ397:AJ460" si="217">SUM((W398&lt;0)*(W397&gt;0))*G397</f>
        <v>0</v>
      </c>
      <c r="AK397" s="147">
        <f t="shared" si="197"/>
        <v>0</v>
      </c>
      <c r="AM397" s="147" t="str">
        <f t="shared" si="189"/>
        <v>0.504538349420992+0.868629813445017i</v>
      </c>
      <c r="AN397" s="147" t="str">
        <f t="shared" si="190"/>
        <v>1.05243010579425i</v>
      </c>
      <c r="AO397" s="147" t="str">
        <f t="shared" si="191"/>
        <v>0.825356295551312-0.479403189478532i</v>
      </c>
      <c r="AP397" s="147" t="str">
        <f t="shared" si="192"/>
        <v>0.082576941763168-0.144771635574169i</v>
      </c>
      <c r="AQ397" s="147" t="str">
        <f t="shared" si="193"/>
        <v>0.917423058236832+0.144771635574169i</v>
      </c>
      <c r="AR397" s="147" t="str">
        <f t="shared" si="194"/>
        <v>0.885917272410408-0.139799944375447i</v>
      </c>
    </row>
    <row r="398" spans="7:44">
      <c r="G398" s="585">
        <v>35687.75</v>
      </c>
      <c r="H398" s="573">
        <f t="shared" ref="H398:H461" si="218">G398/1000</f>
        <v>35.687750000000001</v>
      </c>
      <c r="I398" s="574">
        <f t="shared" si="198"/>
        <v>246.50054973283846</v>
      </c>
      <c r="J398" s="575">
        <f t="shared" si="199"/>
        <v>1.5667395295827888</v>
      </c>
      <c r="K398" s="575">
        <f t="shared" si="200"/>
        <v>1.0192826316899926</v>
      </c>
      <c r="L398" s="576">
        <f t="shared" si="201"/>
        <v>0.19482194982859463</v>
      </c>
      <c r="M398" s="575">
        <f t="shared" si="202"/>
        <v>1.0296530157733852</v>
      </c>
      <c r="N398" s="576">
        <f t="shared" si="203"/>
        <v>-0.24057572498653115</v>
      </c>
      <c r="O398" s="574">
        <f t="shared" si="204"/>
        <v>672698.23857096839</v>
      </c>
      <c r="P398" s="577">
        <f t="shared" si="205"/>
        <v>1.5707948402442522</v>
      </c>
      <c r="Q398" s="586">
        <f t="shared" si="195"/>
        <v>90.147110628521986</v>
      </c>
      <c r="R398" s="587">
        <f t="shared" si="196"/>
        <v>1.5597031203327734</v>
      </c>
      <c r="S398" s="574">
        <f t="shared" si="206"/>
        <v>1.6817365577881009</v>
      </c>
      <c r="T398" s="577">
        <f t="shared" si="207"/>
        <v>0.93399909805376635</v>
      </c>
      <c r="U398" s="578">
        <f t="shared" ref="U398:U461" si="219">IMABS(IMPRODUCT(AO398, AR398))</f>
        <v>0.85470659554800343</v>
      </c>
      <c r="V398" s="579">
        <f t="shared" ref="V398:V461" si="220">IMARGUMENT(IMPRODUCT(AO398, AR398))</f>
        <v>-0.68617922845200263</v>
      </c>
      <c r="W398" s="580">
        <f t="shared" si="208"/>
        <v>-23.365260367406261</v>
      </c>
      <c r="X398" s="581">
        <f t="shared" si="209"/>
        <v>-185.85394997293335</v>
      </c>
      <c r="Y398" s="584">
        <f t="shared" si="210"/>
        <v>-5.85394997293335</v>
      </c>
      <c r="AA398" s="147">
        <f t="shared" si="211"/>
        <v>35687.75</v>
      </c>
      <c r="AB398" s="147">
        <f t="shared" si="212"/>
        <v>1273615500.0625</v>
      </c>
      <c r="AD398" s="583">
        <f t="shared" si="213"/>
        <v>23.132921219172673</v>
      </c>
      <c r="AE398" s="584">
        <f t="shared" si="214"/>
        <v>-54.149715187850383</v>
      </c>
      <c r="AG398" s="583">
        <f t="shared" si="215"/>
        <v>15.516329075663178</v>
      </c>
      <c r="AH398" s="584">
        <f t="shared" si="216"/>
        <v>-53.073887135548929</v>
      </c>
      <c r="AJ398" s="147">
        <f t="shared" si="217"/>
        <v>0</v>
      </c>
      <c r="AK398" s="147">
        <f t="shared" si="197"/>
        <v>0</v>
      </c>
      <c r="AM398" s="147" t="str">
        <f t="shared" ref="AM398:AM461" si="221">IMSUB(1,IMEXP(COMPLEX(0,-2*Pi*G398*Tsw)))</f>
        <v>0.509874571015809+0.871651916686393i</v>
      </c>
      <c r="AN398" s="147" t="str">
        <f t="shared" ref="AN398:AN461" si="222">COMPLEX(0, 2*Pi*G398*Tsw)</f>
        <v>1.05856268166226i</v>
      </c>
      <c r="AO398" s="147" t="str">
        <f t="shared" ref="AO398:AO461" si="223">IMDIV(AM398, AN398)</f>
        <v>0.823429667214075-0.481666867582327i</v>
      </c>
      <c r="AP398" s="147" t="str">
        <f t="shared" ref="AP398:AP461" si="224">IMDIV(IMEXP(COMPLEX(0,-2*Pi*G398*Tsw)),6)</f>
        <v>0.0816875714973652-0.145275319447732i</v>
      </c>
      <c r="AQ398" s="147" t="str">
        <f t="shared" ref="AQ398:AQ461" si="225">IMSUB(1, AP398)</f>
        <v>0.918312428502635+0.145275319447732i</v>
      </c>
      <c r="AR398" s="147" t="str">
        <f t="shared" ref="AR398:AR461" si="226">IMDIV(0.833, AQ398)</f>
        <v>0.884951320323876-0.139997654137569i</v>
      </c>
    </row>
    <row r="399" spans="7:44">
      <c r="G399" s="585">
        <v>35894.5</v>
      </c>
      <c r="H399" s="573">
        <f t="shared" si="218"/>
        <v>35.894500000000001</v>
      </c>
      <c r="I399" s="574">
        <f t="shared" si="198"/>
        <v>247.92857902390466</v>
      </c>
      <c r="J399" s="575">
        <f t="shared" si="199"/>
        <v>1.5667628962183604</v>
      </c>
      <c r="K399" s="575">
        <f t="shared" si="200"/>
        <v>1.019504555575637</v>
      </c>
      <c r="L399" s="576">
        <f t="shared" si="201"/>
        <v>0.19592203003637795</v>
      </c>
      <c r="M399" s="575">
        <f t="shared" si="202"/>
        <v>1.0299925712182341</v>
      </c>
      <c r="N399" s="576">
        <f t="shared" si="203"/>
        <v>-0.24191585466621623</v>
      </c>
      <c r="O399" s="574">
        <f t="shared" si="204"/>
        <v>676595.38425328908</v>
      </c>
      <c r="P399" s="577">
        <f t="shared" si="205"/>
        <v>1.5707948488066878</v>
      </c>
      <c r="Q399" s="586">
        <f t="shared" si="195"/>
        <v>90.669296203498604</v>
      </c>
      <c r="R399" s="587">
        <f t="shared" si="196"/>
        <v>1.559767011288318</v>
      </c>
      <c r="S399" s="574">
        <f t="shared" si="206"/>
        <v>1.688040961190959</v>
      </c>
      <c r="T399" s="577">
        <f t="shared" si="207"/>
        <v>0.93675841954504979</v>
      </c>
      <c r="U399" s="578">
        <f t="shared" si="219"/>
        <v>0.85335347919070159</v>
      </c>
      <c r="V399" s="579">
        <f t="shared" si="220"/>
        <v>-0.68962443016320418</v>
      </c>
      <c r="W399" s="580">
        <f t="shared" si="208"/>
        <v>-23.45694777580804</v>
      </c>
      <c r="X399" s="581">
        <f t="shared" si="209"/>
        <v>-186.22087540644964</v>
      </c>
      <c r="Y399" s="584">
        <f t="shared" si="210"/>
        <v>-6.2208754064496361</v>
      </c>
      <c r="AA399" s="147">
        <f t="shared" si="211"/>
        <v>35894.5</v>
      </c>
      <c r="AB399" s="147">
        <f t="shared" si="212"/>
        <v>1288415130.25</v>
      </c>
      <c r="AD399" s="583">
        <f t="shared" si="213"/>
        <v>23.100414765088445</v>
      </c>
      <c r="AE399" s="584">
        <f t="shared" si="214"/>
        <v>-54.304152472286809</v>
      </c>
      <c r="AG399" s="583">
        <f t="shared" si="215"/>
        <v>15.484671794498418</v>
      </c>
      <c r="AH399" s="584">
        <f t="shared" si="216"/>
        <v>-52.891584248931501</v>
      </c>
      <c r="AJ399" s="147">
        <f t="shared" si="217"/>
        <v>0</v>
      </c>
      <c r="AK399" s="147">
        <f t="shared" si="197"/>
        <v>0</v>
      </c>
      <c r="AM399" s="147" t="str">
        <f t="shared" si="221"/>
        <v>0.51522922542858+0.874641238520929i</v>
      </c>
      <c r="AN399" s="147" t="str">
        <f t="shared" si="222"/>
        <v>1.06469525753028i</v>
      </c>
      <c r="AO399" s="147" t="str">
        <f t="shared" si="223"/>
        <v>0.821494443912327-0.483921781171198i</v>
      </c>
      <c r="AP399" s="147" t="str">
        <f t="shared" si="224"/>
        <v>0.0807951290952367-0.145773539753488i</v>
      </c>
      <c r="AQ399" s="147" t="str">
        <f t="shared" si="225"/>
        <v>0.919204870904763+0.145773539753488i</v>
      </c>
      <c r="AR399" s="147" t="str">
        <f t="shared" si="226"/>
        <v>0.883986019365051-0.140188303189257i</v>
      </c>
    </row>
    <row r="400" spans="7:44">
      <c r="G400" s="585">
        <v>36101.25</v>
      </c>
      <c r="H400" s="573">
        <f t="shared" si="218"/>
        <v>36.10125</v>
      </c>
      <c r="I400" s="574">
        <f t="shared" si="198"/>
        <v>249.3566084487893</v>
      </c>
      <c r="J400" s="575">
        <f t="shared" si="199"/>
        <v>1.5667859952192236</v>
      </c>
      <c r="K400" s="575">
        <f t="shared" si="200"/>
        <v>1.0197277127038116</v>
      </c>
      <c r="L400" s="576">
        <f t="shared" si="201"/>
        <v>0.19702163009146417</v>
      </c>
      <c r="M400" s="575">
        <f t="shared" si="202"/>
        <v>1.030333975254546</v>
      </c>
      <c r="N400" s="576">
        <f t="shared" si="203"/>
        <v>-0.24325509863837438</v>
      </c>
      <c r="O400" s="574">
        <f t="shared" si="204"/>
        <v>680492.5299356099</v>
      </c>
      <c r="P400" s="577">
        <f t="shared" si="205"/>
        <v>1.5707948572710502</v>
      </c>
      <c r="Q400" s="586">
        <f t="shared" si="195"/>
        <v>91.191482144353429</v>
      </c>
      <c r="R400" s="587">
        <f t="shared" si="196"/>
        <v>1.5598301705319457</v>
      </c>
      <c r="S400" s="574">
        <f t="shared" si="206"/>
        <v>1.6943581213925478</v>
      </c>
      <c r="T400" s="577">
        <f t="shared" si="207"/>
        <v>0.93949718632675217</v>
      </c>
      <c r="U400" s="578">
        <f t="shared" si="219"/>
        <v>0.85199850258365339</v>
      </c>
      <c r="V400" s="579">
        <f t="shared" si="220"/>
        <v>-0.69306252785237021</v>
      </c>
      <c r="W400" s="580">
        <f t="shared" si="208"/>
        <v>-23.548307230031035</v>
      </c>
      <c r="X400" s="581">
        <f t="shared" si="209"/>
        <v>-186.58621945884195</v>
      </c>
      <c r="Y400" s="584">
        <f t="shared" si="210"/>
        <v>-6.5862194588419527</v>
      </c>
      <c r="AA400" s="147">
        <f t="shared" si="211"/>
        <v>36101.25</v>
      </c>
      <c r="AB400" s="147">
        <f t="shared" si="212"/>
        <v>1303300251.5625</v>
      </c>
      <c r="AD400" s="583">
        <f t="shared" si="213"/>
        <v>23.067964174421117</v>
      </c>
      <c r="AE400" s="584">
        <f t="shared" si="214"/>
        <v>-54.457453976999275</v>
      </c>
      <c r="AG400" s="583">
        <f t="shared" si="215"/>
        <v>15.453368210963273</v>
      </c>
      <c r="AH400" s="584">
        <f t="shared" si="216"/>
        <v>-52.709649821875352</v>
      </c>
      <c r="AJ400" s="147">
        <f t="shared" si="217"/>
        <v>0</v>
      </c>
      <c r="AK400" s="147">
        <f t="shared" si="197"/>
        <v>0</v>
      </c>
      <c r="AM400" s="147" t="str">
        <f t="shared" si="221"/>
        <v>0.520602111279469+0.877597666525098i</v>
      </c>
      <c r="AN400" s="147" t="str">
        <f t="shared" si="222"/>
        <v>1.07082783339829i</v>
      </c>
      <c r="AO400" s="147" t="str">
        <f t="shared" si="223"/>
        <v>0.819550668327351-0.486167892766972i</v>
      </c>
      <c r="AP400" s="147" t="str">
        <f t="shared" si="224"/>
        <v>0.0798996481200885-0.146266277754183i</v>
      </c>
      <c r="AQ400" s="147" t="str">
        <f t="shared" si="225"/>
        <v>0.920100351879911+0.146266277754183i</v>
      </c>
      <c r="AR400" s="147" t="str">
        <f t="shared" si="226"/>
        <v>0.883021422095894-0.140371923913826i</v>
      </c>
    </row>
    <row r="401" spans="7:44">
      <c r="G401" s="585">
        <v>36308</v>
      </c>
      <c r="H401" s="573">
        <f t="shared" si="218"/>
        <v>36.308</v>
      </c>
      <c r="I401" s="574">
        <f t="shared" si="198"/>
        <v>250.78463800520638</v>
      </c>
      <c r="J401" s="575">
        <f t="shared" si="199"/>
        <v>1.5668088311572874</v>
      </c>
      <c r="K401" s="575">
        <f t="shared" si="200"/>
        <v>1.0199521022650466</v>
      </c>
      <c r="L401" s="576">
        <f t="shared" si="201"/>
        <v>0.19812074765079254</v>
      </c>
      <c r="M401" s="575">
        <f t="shared" si="202"/>
        <v>1.0306772260453247</v>
      </c>
      <c r="N401" s="576">
        <f t="shared" si="203"/>
        <v>-0.24459345298148608</v>
      </c>
      <c r="O401" s="574">
        <f t="shared" si="204"/>
        <v>684389.67561793071</v>
      </c>
      <c r="P401" s="577">
        <f t="shared" si="205"/>
        <v>1.5707948656390147</v>
      </c>
      <c r="Q401" s="586">
        <f t="shared" si="195"/>
        <v>91.713668444836912</v>
      </c>
      <c r="R401" s="587">
        <f t="shared" si="196"/>
        <v>1.5598926105615021</v>
      </c>
      <c r="S401" s="574">
        <f t="shared" si="206"/>
        <v>1.700687896238499</v>
      </c>
      <c r="T401" s="577">
        <f t="shared" si="207"/>
        <v>0.94221558659010984</v>
      </c>
      <c r="U401" s="578">
        <f t="shared" si="219"/>
        <v>0.8506417233996767</v>
      </c>
      <c r="V401" s="579">
        <f t="shared" si="220"/>
        <v>-0.69649352689162514</v>
      </c>
      <c r="W401" s="580">
        <f t="shared" si="208"/>
        <v>-23.639341083738511</v>
      </c>
      <c r="X401" s="581">
        <f t="shared" si="209"/>
        <v>-186.94999267600815</v>
      </c>
      <c r="Y401" s="584">
        <f t="shared" si="210"/>
        <v>-6.9499926760081507</v>
      </c>
      <c r="AA401" s="147">
        <f t="shared" si="211"/>
        <v>36308</v>
      </c>
      <c r="AB401" s="147">
        <f t="shared" si="212"/>
        <v>1318270864</v>
      </c>
      <c r="AD401" s="583">
        <f t="shared" si="213"/>
        <v>23.035569999626379</v>
      </c>
      <c r="AE401" s="584">
        <f t="shared" si="214"/>
        <v>-54.609629768573612</v>
      </c>
      <c r="AG401" s="583">
        <f t="shared" si="215"/>
        <v>15.422414561241791</v>
      </c>
      <c r="AH401" s="584">
        <f t="shared" si="216"/>
        <v>-52.528083718092489</v>
      </c>
      <c r="AJ401" s="147">
        <f t="shared" si="217"/>
        <v>0</v>
      </c>
      <c r="AK401" s="147">
        <f t="shared" si="197"/>
        <v>0</v>
      </c>
      <c r="AM401" s="147" t="str">
        <f t="shared" si="221"/>
        <v>0.525993026503013+0.88052108951247i</v>
      </c>
      <c r="AN401" s="147" t="str">
        <f t="shared" si="222"/>
        <v>1.0769604092663i</v>
      </c>
      <c r="AO401" s="147" t="str">
        <f t="shared" si="223"/>
        <v>0.817598383316933-0.488405165108489i</v>
      </c>
      <c r="AP401" s="147" t="str">
        <f t="shared" si="224"/>
        <v>0.0790011622494978-0.146753514918745i</v>
      </c>
      <c r="AQ401" s="147" t="str">
        <f t="shared" si="225"/>
        <v>0.920998837750502+0.146753514918745i</v>
      </c>
      <c r="AR401" s="147" t="str">
        <f t="shared" si="226"/>
        <v>0.882057580441129-0.140548549015136i</v>
      </c>
    </row>
    <row r="402" spans="7:44">
      <c r="G402" s="585">
        <v>36519.5</v>
      </c>
      <c r="H402" s="573">
        <f t="shared" si="218"/>
        <v>36.519500000000001</v>
      </c>
      <c r="I402" s="574">
        <f t="shared" si="198"/>
        <v>252.24547611325639</v>
      </c>
      <c r="J402" s="575">
        <f t="shared" si="199"/>
        <v>1.5668319242025168</v>
      </c>
      <c r="K402" s="575">
        <f t="shared" si="200"/>
        <v>1.0201829214706535</v>
      </c>
      <c r="L402" s="576">
        <f t="shared" si="201"/>
        <v>0.19924461531733947</v>
      </c>
      <c r="M402" s="575">
        <f t="shared" si="202"/>
        <v>1.0310302718494802</v>
      </c>
      <c r="N402" s="576">
        <f t="shared" si="203"/>
        <v>-0.24596163089758202</v>
      </c>
      <c r="O402" s="574">
        <f t="shared" si="204"/>
        <v>688376.35669077642</v>
      </c>
      <c r="P402" s="577">
        <f t="shared" si="205"/>
        <v>1.5707948741011917</v>
      </c>
      <c r="Q402" s="586">
        <f t="shared" si="195"/>
        <v>92.247852136111078</v>
      </c>
      <c r="R402" s="587">
        <f t="shared" si="196"/>
        <v>1.5599557536709758</v>
      </c>
      <c r="S402" s="574">
        <f t="shared" si="206"/>
        <v>1.70717600157052</v>
      </c>
      <c r="T402" s="577">
        <f t="shared" si="207"/>
        <v>0.94497556182478815</v>
      </c>
      <c r="U402" s="578">
        <f t="shared" si="219"/>
        <v>0.84925196719741314</v>
      </c>
      <c r="V402" s="579">
        <f t="shared" si="220"/>
        <v>-0.6999960126286906</v>
      </c>
      <c r="W402" s="580">
        <f t="shared" si="208"/>
        <v>-23.732131915281229</v>
      </c>
      <c r="X402" s="581">
        <f t="shared" si="209"/>
        <v>-187.32050899086539</v>
      </c>
      <c r="Y402" s="584">
        <f t="shared" si="210"/>
        <v>-7.3205089908653918</v>
      </c>
      <c r="AA402" s="147">
        <f t="shared" si="211"/>
        <v>36519.5</v>
      </c>
      <c r="AB402" s="147">
        <f t="shared" si="212"/>
        <v>1333673880.25</v>
      </c>
      <c r="AD402" s="583">
        <f t="shared" si="213"/>
        <v>23.002490512074804</v>
      </c>
      <c r="AE402" s="584">
        <f t="shared" si="214"/>
        <v>-54.76414735242669</v>
      </c>
      <c r="AG402" s="583">
        <f t="shared" si="215"/>
        <v>15.391107985743904</v>
      </c>
      <c r="AH402" s="584">
        <f t="shared" si="216"/>
        <v>-52.342727147560765</v>
      </c>
      <c r="AJ402" s="147">
        <f t="shared" si="217"/>
        <v>0</v>
      </c>
      <c r="AK402" s="147">
        <f t="shared" si="197"/>
        <v>0</v>
      </c>
      <c r="AM402" s="147" t="str">
        <f t="shared" si="221"/>
        <v>0.531526239948231+0.883477411223942i</v>
      </c>
      <c r="AN402" s="147" t="str">
        <f t="shared" si="222"/>
        <v>1.08323387865486i</v>
      </c>
      <c r="AO402" s="147" t="str">
        <f t="shared" si="223"/>
        <v>0.81559248527292-0.490684653076278i</v>
      </c>
      <c r="AP402" s="147" t="str">
        <f t="shared" si="224"/>
        <v>0.0780789600086282-0.14724623520399i</v>
      </c>
      <c r="AQ402" s="147" t="str">
        <f t="shared" si="225"/>
        <v>0.921921039991372+0.14724623520399i</v>
      </c>
      <c r="AR402" s="147" t="str">
        <f t="shared" si="226"/>
        <v>0.881072430228879-0.140722027880443i</v>
      </c>
    </row>
    <row r="403" spans="7:44">
      <c r="G403" s="585">
        <v>36731</v>
      </c>
      <c r="H403" s="573">
        <f t="shared" si="218"/>
        <v>36.731000000000002</v>
      </c>
      <c r="I403" s="574">
        <f t="shared" si="198"/>
        <v>253.70631435427688</v>
      </c>
      <c r="J403" s="575">
        <f t="shared" si="199"/>
        <v>1.5668547513087441</v>
      </c>
      <c r="K403" s="575">
        <f t="shared" si="200"/>
        <v>1.020415028663505</v>
      </c>
      <c r="L403" s="576">
        <f t="shared" si="201"/>
        <v>0.20036797312445126</v>
      </c>
      <c r="M403" s="575">
        <f t="shared" si="202"/>
        <v>1.0313852463269548</v>
      </c>
      <c r="N403" s="576">
        <f t="shared" si="203"/>
        <v>-0.2473288695930321</v>
      </c>
      <c r="O403" s="574">
        <f t="shared" si="204"/>
        <v>692363.03776362224</v>
      </c>
      <c r="P403" s="577">
        <f t="shared" si="205"/>
        <v>1.5707948824659168</v>
      </c>
      <c r="Q403" s="586">
        <f t="shared" si="195"/>
        <v>92.782036190947153</v>
      </c>
      <c r="R403" s="587">
        <f t="shared" si="196"/>
        <v>1.5600181696993851</v>
      </c>
      <c r="S403" s="574">
        <f t="shared" si="206"/>
        <v>1.7136770127247143</v>
      </c>
      <c r="T403" s="577">
        <f t="shared" si="207"/>
        <v>0.947714617288966</v>
      </c>
      <c r="U403" s="578">
        <f t="shared" si="219"/>
        <v>0.8478604451751528</v>
      </c>
      <c r="V403" s="579">
        <f t="shared" si="220"/>
        <v>-0.70349108237640634</v>
      </c>
      <c r="W403" s="580">
        <f t="shared" si="208"/>
        <v>-23.824586887100942</v>
      </c>
      <c r="X403" s="581">
        <f t="shared" si="209"/>
        <v>-187.68940360159715</v>
      </c>
      <c r="Y403" s="584">
        <f t="shared" si="210"/>
        <v>-7.6894036015971494</v>
      </c>
      <c r="AA403" s="147">
        <f t="shared" si="211"/>
        <v>36731</v>
      </c>
      <c r="AB403" s="147">
        <f t="shared" si="212"/>
        <v>1349166361</v>
      </c>
      <c r="AD403" s="583">
        <f t="shared" si="213"/>
        <v>22.969471170435245</v>
      </c>
      <c r="AE403" s="584">
        <f t="shared" si="214"/>
        <v>-54.917507974813205</v>
      </c>
      <c r="AG403" s="583">
        <f t="shared" si="215"/>
        <v>15.360159824831566</v>
      </c>
      <c r="AH403" s="584">
        <f t="shared" si="216"/>
        <v>-52.157755644152438</v>
      </c>
      <c r="AJ403" s="147">
        <f t="shared" si="217"/>
        <v>0</v>
      </c>
      <c r="AK403" s="147">
        <f t="shared" si="197"/>
        <v>0</v>
      </c>
      <c r="AM403" s="147" t="str">
        <f t="shared" si="221"/>
        <v>0.537077890782182+0.886398962543011i</v>
      </c>
      <c r="AN403" s="147" t="str">
        <f t="shared" si="222"/>
        <v>1.08950734804342i</v>
      </c>
      <c r="AO403" s="147" t="str">
        <f t="shared" si="223"/>
        <v>0.813577773600922-0.492954812784593i</v>
      </c>
      <c r="AP403" s="147" t="str">
        <f t="shared" si="224"/>
        <v>0.0771536848696363-0.147733160423835i</v>
      </c>
      <c r="AQ403" s="147" t="str">
        <f t="shared" si="225"/>
        <v>0.922846315130364+0.147733160423835i</v>
      </c>
      <c r="AR403" s="147" t="str">
        <f t="shared" si="226"/>
        <v>0.880088178636619-0.140888256202527i</v>
      </c>
    </row>
    <row r="404" spans="7:44">
      <c r="G404" s="585">
        <v>36942.5</v>
      </c>
      <c r="H404" s="573">
        <f t="shared" si="218"/>
        <v>36.942500000000003</v>
      </c>
      <c r="I404" s="574">
        <f t="shared" si="198"/>
        <v>255.16715272598421</v>
      </c>
      <c r="J404" s="575">
        <f t="shared" si="199"/>
        <v>1.5668773170434678</v>
      </c>
      <c r="K404" s="575">
        <f t="shared" si="200"/>
        <v>1.0206484229648918</v>
      </c>
      <c r="L404" s="576">
        <f t="shared" si="201"/>
        <v>0.20149081858573872</v>
      </c>
      <c r="M404" s="575">
        <f t="shared" si="202"/>
        <v>1.0317421474870483</v>
      </c>
      <c r="N404" s="576">
        <f t="shared" si="203"/>
        <v>-0.24869516492823826</v>
      </c>
      <c r="O404" s="574">
        <f t="shared" si="204"/>
        <v>696349.71883646806</v>
      </c>
      <c r="P404" s="577">
        <f t="shared" si="205"/>
        <v>1.5707948907348639</v>
      </c>
      <c r="Q404" s="586">
        <f t="shared" si="195"/>
        <v>93.316220603101542</v>
      </c>
      <c r="R404" s="587">
        <f t="shared" si="196"/>
        <v>1.5600798711326656</v>
      </c>
      <c r="S404" s="574">
        <f t="shared" si="206"/>
        <v>1.7201907833785501</v>
      </c>
      <c r="T404" s="577">
        <f t="shared" si="207"/>
        <v>0.95043294929751843</v>
      </c>
      <c r="U404" s="578">
        <f t="shared" si="219"/>
        <v>0.84646721749049558</v>
      </c>
      <c r="V404" s="579">
        <f t="shared" si="220"/>
        <v>-0.70697874310441688</v>
      </c>
      <c r="W404" s="580">
        <f t="shared" si="208"/>
        <v>-23.916708410205541</v>
      </c>
      <c r="X404" s="581">
        <f t="shared" si="209"/>
        <v>-188.05668760722941</v>
      </c>
      <c r="Y404" s="584">
        <f t="shared" si="210"/>
        <v>-8.0566876072294065</v>
      </c>
      <c r="AA404" s="147">
        <f t="shared" si="211"/>
        <v>36942.5</v>
      </c>
      <c r="AB404" s="147">
        <f t="shared" si="212"/>
        <v>1364748306.25</v>
      </c>
      <c r="AD404" s="583">
        <f t="shared" si="213"/>
        <v>22.936512504659099</v>
      </c>
      <c r="AE404" s="584">
        <f t="shared" si="214"/>
        <v>-55.069722168451413</v>
      </c>
      <c r="AG404" s="583">
        <f t="shared" si="215"/>
        <v>15.329566234012269</v>
      </c>
      <c r="AH404" s="584">
        <f t="shared" si="216"/>
        <v>-51.973168975512799</v>
      </c>
      <c r="AJ404" s="147">
        <f t="shared" si="217"/>
        <v>0</v>
      </c>
      <c r="AK404" s="147">
        <f t="shared" si="197"/>
        <v>0</v>
      </c>
      <c r="AM404" s="147" t="str">
        <f t="shared" si="221"/>
        <v>0.542647760512491+0.88928562848826i</v>
      </c>
      <c r="AN404" s="147" t="str">
        <f t="shared" si="222"/>
        <v>1.09578081743198i</v>
      </c>
      <c r="AO404" s="147" t="str">
        <f t="shared" si="223"/>
        <v>0.811554294746962-0.495215605055229i</v>
      </c>
      <c r="AP404" s="147" t="str">
        <f t="shared" si="224"/>
        <v>0.0762253732479182-0.14821427141471i</v>
      </c>
      <c r="AQ404" s="147" t="str">
        <f t="shared" si="225"/>
        <v>0.923774626752082+0.14821427141471i</v>
      </c>
      <c r="AR404" s="147" t="str">
        <f t="shared" si="226"/>
        <v>0.879104879187294-0.141047269964506i</v>
      </c>
    </row>
    <row r="405" spans="7:44">
      <c r="G405" s="585">
        <v>37154</v>
      </c>
      <c r="H405" s="573">
        <f t="shared" si="218"/>
        <v>37.154000000000003</v>
      </c>
      <c r="I405" s="574">
        <f t="shared" si="198"/>
        <v>256.62799122614649</v>
      </c>
      <c r="J405" s="575">
        <f t="shared" si="199"/>
        <v>1.5668996258701862</v>
      </c>
      <c r="K405" s="575">
        <f t="shared" si="200"/>
        <v>1.0208831034920374</v>
      </c>
      <c r="L405" s="576">
        <f t="shared" si="201"/>
        <v>0.20261314922224785</v>
      </c>
      <c r="M405" s="575">
        <f t="shared" si="202"/>
        <v>1.0321009733310165</v>
      </c>
      <c r="N405" s="576">
        <f t="shared" si="203"/>
        <v>-0.25006051278340119</v>
      </c>
      <c r="O405" s="574">
        <f t="shared" si="204"/>
        <v>700336.399909314</v>
      </c>
      <c r="P405" s="577">
        <f t="shared" si="205"/>
        <v>1.5707948989096687</v>
      </c>
      <c r="Q405" s="586">
        <f t="shared" si="195"/>
        <v>93.850405366472827</v>
      </c>
      <c r="R405" s="587">
        <f t="shared" si="196"/>
        <v>1.5601408701725017</v>
      </c>
      <c r="S405" s="574">
        <f t="shared" si="206"/>
        <v>1.7267171691323788</v>
      </c>
      <c r="T405" s="577">
        <f t="shared" si="207"/>
        <v>0.95313075243109469</v>
      </c>
      <c r="U405" s="578">
        <f t="shared" si="219"/>
        <v>0.84507234376500373</v>
      </c>
      <c r="V405" s="579">
        <f t="shared" si="220"/>
        <v>-0.7104590021828433</v>
      </c>
      <c r="W405" s="580">
        <f t="shared" si="208"/>
        <v>-24.008498860783952</v>
      </c>
      <c r="X405" s="581">
        <f t="shared" si="209"/>
        <v>-188.42237204140389</v>
      </c>
      <c r="Y405" s="584">
        <f t="shared" si="210"/>
        <v>-8.4223720414038894</v>
      </c>
      <c r="AA405" s="147">
        <f t="shared" si="211"/>
        <v>37154</v>
      </c>
      <c r="AB405" s="147">
        <f t="shared" si="212"/>
        <v>1380419716</v>
      </c>
      <c r="AD405" s="583">
        <f t="shared" si="213"/>
        <v>22.903615024916419</v>
      </c>
      <c r="AE405" s="584">
        <f t="shared" si="214"/>
        <v>-55.220800382979974</v>
      </c>
      <c r="AG405" s="583">
        <f t="shared" si="215"/>
        <v>15.299323428416237</v>
      </c>
      <c r="AH405" s="584">
        <f t="shared" si="216"/>
        <v>-51.78896688109112</v>
      </c>
      <c r="AJ405" s="147">
        <f t="shared" si="217"/>
        <v>0</v>
      </c>
      <c r="AK405" s="147">
        <f t="shared" si="197"/>
        <v>0</v>
      </c>
      <c r="AM405" s="147" t="str">
        <f t="shared" si="221"/>
        <v>0.548235629929753+0.892137295451229i</v>
      </c>
      <c r="AN405" s="147" t="str">
        <f t="shared" si="222"/>
        <v>1.10205428682054i</v>
      </c>
      <c r="AO405" s="147" t="str">
        <f t="shared" si="223"/>
        <v>0.809522095345296-0.497466990951443i</v>
      </c>
      <c r="AP405" s="147" t="str">
        <f t="shared" si="224"/>
        <v>0.0752940616783745-0.148689549241871i</v>
      </c>
      <c r="AQ405" s="147" t="str">
        <f t="shared" si="225"/>
        <v>0.924705938321626+0.148689549241871i</v>
      </c>
      <c r="AR405" s="147" t="str">
        <f t="shared" si="226"/>
        <v>0.878122584710967-0.141199105454827i</v>
      </c>
    </row>
    <row r="406" spans="7:44">
      <c r="G406" s="585">
        <v>37370.25</v>
      </c>
      <c r="H406" s="573">
        <f t="shared" si="218"/>
        <v>37.370249999999999</v>
      </c>
      <c r="I406" s="574">
        <f t="shared" si="198"/>
        <v>258.12163828652433</v>
      </c>
      <c r="J406" s="575">
        <f t="shared" si="199"/>
        <v>1.5669221746387589</v>
      </c>
      <c r="K406" s="575">
        <f t="shared" si="200"/>
        <v>1.0211243835786634</v>
      </c>
      <c r="L406" s="576">
        <f t="shared" si="201"/>
        <v>0.2037601509934947</v>
      </c>
      <c r="M406" s="575">
        <f t="shared" si="202"/>
        <v>1.0324698458289197</v>
      </c>
      <c r="N406" s="576">
        <f t="shared" si="203"/>
        <v>-0.25145554057090697</v>
      </c>
      <c r="O406" s="574">
        <f t="shared" si="204"/>
        <v>704412.61637268483</v>
      </c>
      <c r="P406" s="577">
        <f t="shared" si="205"/>
        <v>1.5707949071723959</v>
      </c>
      <c r="Q406" s="586">
        <f t="shared" si="195"/>
        <v>94.396587544103681</v>
      </c>
      <c r="R406" s="587">
        <f t="shared" si="196"/>
        <v>1.5602025253553142</v>
      </c>
      <c r="S406" s="574">
        <f t="shared" si="206"/>
        <v>1.7334030233888531</v>
      </c>
      <c r="T406" s="577">
        <f t="shared" si="207"/>
        <v>0.95586811977214792</v>
      </c>
      <c r="U406" s="578">
        <f t="shared" si="219"/>
        <v>0.84364450272449365</v>
      </c>
      <c r="V406" s="579">
        <f t="shared" si="220"/>
        <v>-0.71400977833694956</v>
      </c>
      <c r="W406" s="580">
        <f t="shared" si="208"/>
        <v>-24.102010929510172</v>
      </c>
      <c r="X406" s="581">
        <f t="shared" si="209"/>
        <v>-188.79462680994712</v>
      </c>
      <c r="Y406" s="584">
        <f t="shared" si="210"/>
        <v>-8.7946268099471183</v>
      </c>
      <c r="AA406" s="147">
        <f t="shared" si="211"/>
        <v>37370.25</v>
      </c>
      <c r="AB406" s="147">
        <f t="shared" si="212"/>
        <v>1396535585.0625</v>
      </c>
      <c r="AD406" s="583">
        <f t="shared" si="213"/>
        <v>22.870042486778068</v>
      </c>
      <c r="AE406" s="584">
        <f t="shared" si="214"/>
        <v>-55.374107870433569</v>
      </c>
      <c r="AG406" s="583">
        <f t="shared" si="215"/>
        <v>15.268760220282358</v>
      </c>
      <c r="AH406" s="584">
        <f t="shared" si="216"/>
        <v>-51.6010251864639</v>
      </c>
      <c r="AJ406" s="147">
        <f t="shared" si="217"/>
        <v>0</v>
      </c>
      <c r="AK406" s="147">
        <f t="shared" si="197"/>
        <v>0</v>
      </c>
      <c r="AM406" s="147" t="str">
        <f t="shared" si="221"/>
        <v>0.553967376742919+0.895016703190732i</v>
      </c>
      <c r="AN406" s="147" t="str">
        <f t="shared" si="222"/>
        <v>1.10846864972965i</v>
      </c>
      <c r="AO406" s="147" t="str">
        <f t="shared" si="223"/>
        <v>0.80743528778105-0.499759173954111i</v>
      </c>
      <c r="AP406" s="147" t="str">
        <f t="shared" si="224"/>
        <v>0.0743387705428468-0.149169450531789i</v>
      </c>
      <c r="AQ406" s="147" t="str">
        <f t="shared" si="225"/>
        <v>0.925661229457153+0.149169450531789i</v>
      </c>
      <c r="AR406" s="147" t="str">
        <f t="shared" si="226"/>
        <v>0.877119322637479-0.141346967167867i</v>
      </c>
    </row>
    <row r="407" spans="7:44">
      <c r="G407" s="585">
        <v>37586.5</v>
      </c>
      <c r="H407" s="573">
        <f t="shared" si="218"/>
        <v>37.586500000000001</v>
      </c>
      <c r="I407" s="574">
        <f t="shared" si="198"/>
        <v>259.61528547663323</v>
      </c>
      <c r="J407" s="575">
        <f t="shared" si="199"/>
        <v>1.5669444639472363</v>
      </c>
      <c r="K407" s="575">
        <f t="shared" si="200"/>
        <v>1.0213670064341251</v>
      </c>
      <c r="L407" s="576">
        <f t="shared" si="201"/>
        <v>0.20490660933836161</v>
      </c>
      <c r="M407" s="575">
        <f t="shared" si="202"/>
        <v>1.0328407261815078</v>
      </c>
      <c r="N407" s="576">
        <f t="shared" si="203"/>
        <v>-0.25284956919520696</v>
      </c>
      <c r="O407" s="574">
        <f t="shared" si="204"/>
        <v>708488.83283605578</v>
      </c>
      <c r="P407" s="577">
        <f t="shared" si="205"/>
        <v>1.5707949153400456</v>
      </c>
      <c r="Q407" s="586">
        <f t="shared" ref="Q407:Q470" si="227">SQRT(1+(G407/Zero2)^2)</f>
        <v>94.942770076441505</v>
      </c>
      <c r="R407" s="587">
        <f t="shared" ref="R407:R470" si="228">ATAN(G407/Zero2)</f>
        <v>1.5602634711639856</v>
      </c>
      <c r="S407" s="574">
        <f t="shared" si="206"/>
        <v>1.7401017664787044</v>
      </c>
      <c r="T407" s="577">
        <f t="shared" si="207"/>
        <v>0.95858443164919593</v>
      </c>
      <c r="U407" s="578">
        <f t="shared" si="219"/>
        <v>0.84221506521702294</v>
      </c>
      <c r="V407" s="579">
        <f t="shared" si="220"/>
        <v>-0.71755283348800392</v>
      </c>
      <c r="W407" s="580">
        <f t="shared" si="208"/>
        <v>-24.195181804150497</v>
      </c>
      <c r="X407" s="581">
        <f t="shared" si="209"/>
        <v>-189.16523246930865</v>
      </c>
      <c r="Y407" s="584">
        <f t="shared" si="210"/>
        <v>-9.1652324693086484</v>
      </c>
      <c r="AA407" s="147">
        <f t="shared" si="211"/>
        <v>37586.5</v>
      </c>
      <c r="AB407" s="147">
        <f t="shared" si="212"/>
        <v>1412744982.25</v>
      </c>
      <c r="AD407" s="583">
        <f t="shared" si="213"/>
        <v>22.836534931186272</v>
      </c>
      <c r="AE407" s="584">
        <f t="shared" si="214"/>
        <v>-55.52624960735951</v>
      </c>
      <c r="AG407" s="583">
        <f t="shared" si="215"/>
        <v>15.238555913469279</v>
      </c>
      <c r="AH407" s="584">
        <f t="shared" si="216"/>
        <v>-51.413484894960519</v>
      </c>
      <c r="AJ407" s="147">
        <f t="shared" si="217"/>
        <v>0</v>
      </c>
      <c r="AK407" s="147">
        <f t="shared" ref="AK407:AK470" si="229">IF(AJ407&gt;0,Y407,0)</f>
        <v>0</v>
      </c>
      <c r="AM407" s="147" t="str">
        <f t="shared" si="221"/>
        <v>0.559717475082389+0.897859286443134i</v>
      </c>
      <c r="AN407" s="147" t="str">
        <f t="shared" si="222"/>
        <v>1.11488301263875i</v>
      </c>
      <c r="AO407" s="147" t="str">
        <f t="shared" si="223"/>
        <v>0.80533946276394-0.502041441781077i</v>
      </c>
      <c r="AP407" s="147" t="str">
        <f t="shared" si="224"/>
        <v>0.0733804208196018-0.149643214407189i</v>
      </c>
      <c r="AQ407" s="147" t="str">
        <f t="shared" si="225"/>
        <v>0.926619579180398+0.149643214407189i</v>
      </c>
      <c r="AR407" s="147" t="str">
        <f t="shared" si="226"/>
        <v>0.876117220674932-0.141487402214459i</v>
      </c>
    </row>
    <row r="408" spans="7:44">
      <c r="G408" s="585">
        <v>37802.75</v>
      </c>
      <c r="H408" s="573">
        <f t="shared" si="218"/>
        <v>37.802750000000003</v>
      </c>
      <c r="I408" s="574">
        <f t="shared" si="198"/>
        <v>261.10893279424681</v>
      </c>
      <c r="J408" s="575">
        <f t="shared" si="199"/>
        <v>1.5669664982482419</v>
      </c>
      <c r="K408" s="575">
        <f t="shared" si="200"/>
        <v>1.0216109711017385</v>
      </c>
      <c r="L408" s="576">
        <f t="shared" si="201"/>
        <v>0.20605252163136889</v>
      </c>
      <c r="M408" s="575">
        <f t="shared" si="202"/>
        <v>1.0332136122265743</v>
      </c>
      <c r="N408" s="576">
        <f t="shared" si="203"/>
        <v>-0.25424259431712687</v>
      </c>
      <c r="O408" s="574">
        <f t="shared" si="204"/>
        <v>712565.04929942684</v>
      </c>
      <c r="P408" s="577">
        <f t="shared" si="205"/>
        <v>1.5707949234142495</v>
      </c>
      <c r="Q408" s="586">
        <f t="shared" si="227"/>
        <v>95.488952957399675</v>
      </c>
      <c r="R408" s="587">
        <f t="shared" si="228"/>
        <v>1.560323719770609</v>
      </c>
      <c r="S408" s="574">
        <f t="shared" si="206"/>
        <v>1.7468132501222362</v>
      </c>
      <c r="T408" s="577">
        <f t="shared" si="207"/>
        <v>0.96127989044037054</v>
      </c>
      <c r="U408" s="578">
        <f t="shared" si="219"/>
        <v>0.84078409322733438</v>
      </c>
      <c r="V408" s="579">
        <f t="shared" si="220"/>
        <v>-0.72108817677853088</v>
      </c>
      <c r="W408" s="580">
        <f t="shared" si="208"/>
        <v>-24.288013917210755</v>
      </c>
      <c r="X408" s="581">
        <f t="shared" si="209"/>
        <v>-189.53420059834224</v>
      </c>
      <c r="Y408" s="584">
        <f t="shared" si="210"/>
        <v>-9.5342005983422382</v>
      </c>
      <c r="AA408" s="147">
        <f t="shared" si="211"/>
        <v>37802.75</v>
      </c>
      <c r="AB408" s="147">
        <f t="shared" si="212"/>
        <v>1429047907.5625</v>
      </c>
      <c r="AD408" s="583">
        <f t="shared" si="213"/>
        <v>22.803092842283451</v>
      </c>
      <c r="AE408" s="584">
        <f t="shared" si="214"/>
        <v>-55.677236491854515</v>
      </c>
      <c r="AG408" s="583">
        <f t="shared" si="215"/>
        <v>15.208706647452763</v>
      </c>
      <c r="AH408" s="584">
        <f t="shared" si="216"/>
        <v>-51.226345639681966</v>
      </c>
      <c r="AJ408" s="147">
        <f t="shared" si="217"/>
        <v>0</v>
      </c>
      <c r="AK408" s="147">
        <f t="shared" si="229"/>
        <v>0</v>
      </c>
      <c r="AM408" s="147" t="str">
        <f t="shared" si="221"/>
        <v>0.565485688366651+0.900664928253453i</v>
      </c>
      <c r="AN408" s="147" t="str">
        <f t="shared" si="222"/>
        <v>1.12129737554786i</v>
      </c>
      <c r="AO408" s="147" t="str">
        <f t="shared" si="223"/>
        <v>0.803234670743248-0.504313753602034i</v>
      </c>
      <c r="AP408" s="147" t="str">
        <f t="shared" si="224"/>
        <v>0.0724190519388915-0.150110821375575i</v>
      </c>
      <c r="AQ408" s="147" t="str">
        <f t="shared" si="225"/>
        <v>0.927580948061108+0.150110821375575i</v>
      </c>
      <c r="AR408" s="147" t="str">
        <f t="shared" si="226"/>
        <v>0.875116333058129-0.141620450300455i</v>
      </c>
    </row>
    <row r="409" spans="7:44">
      <c r="G409" s="585">
        <v>38019</v>
      </c>
      <c r="H409" s="573">
        <f t="shared" si="218"/>
        <v>38.018999999999998</v>
      </c>
      <c r="I409" s="574">
        <f t="shared" si="198"/>
        <v>262.60258023718927</v>
      </c>
      <c r="J409" s="575">
        <f t="shared" si="199"/>
        <v>1.5669882818930967</v>
      </c>
      <c r="K409" s="575">
        <f t="shared" si="200"/>
        <v>1.0218562766204442</v>
      </c>
      <c r="L409" s="576">
        <f t="shared" si="201"/>
        <v>0.20719788525527355</v>
      </c>
      <c r="M409" s="575">
        <f t="shared" si="202"/>
        <v>1.0335885017933477</v>
      </c>
      <c r="N409" s="576">
        <f t="shared" si="203"/>
        <v>-0.25563461161931567</v>
      </c>
      <c r="O409" s="574">
        <f t="shared" si="204"/>
        <v>716641.26576279779</v>
      </c>
      <c r="P409" s="577">
        <f t="shared" si="205"/>
        <v>1.5707949313966021</v>
      </c>
      <c r="Q409" s="586">
        <f t="shared" si="227"/>
        <v>96.035136181030083</v>
      </c>
      <c r="R409" s="587">
        <f t="shared" si="228"/>
        <v>1.5603832830703914</v>
      </c>
      <c r="S409" s="574">
        <f t="shared" si="206"/>
        <v>1.7535373280299806</v>
      </c>
      <c r="T409" s="577">
        <f t="shared" si="207"/>
        <v>0.96395469664056788</v>
      </c>
      <c r="U409" s="578">
        <f t="shared" si="219"/>
        <v>0.83935164815041075</v>
      </c>
      <c r="V409" s="579">
        <f t="shared" si="220"/>
        <v>-0.72461581776578354</v>
      </c>
      <c r="W409" s="580">
        <f t="shared" si="208"/>
        <v>-24.380509666757554</v>
      </c>
      <c r="X409" s="581">
        <f t="shared" si="209"/>
        <v>-189.90154270259893</v>
      </c>
      <c r="Y409" s="584">
        <f t="shared" si="210"/>
        <v>-9.9015427025989311</v>
      </c>
      <c r="AA409" s="147">
        <f t="shared" si="211"/>
        <v>38019</v>
      </c>
      <c r="AB409" s="147">
        <f t="shared" si="212"/>
        <v>1445444361</v>
      </c>
      <c r="AD409" s="583">
        <f t="shared" si="213"/>
        <v>22.769716684563789</v>
      </c>
      <c r="AE409" s="584">
        <f t="shared" si="214"/>
        <v>-55.827079329976186</v>
      </c>
      <c r="AG409" s="583">
        <f t="shared" si="215"/>
        <v>15.179208621452698</v>
      </c>
      <c r="AH409" s="584">
        <f t="shared" si="216"/>
        <v>-51.039607024941297</v>
      </c>
      <c r="AJ409" s="147">
        <f t="shared" si="217"/>
        <v>0</v>
      </c>
      <c r="AK409" s="147">
        <f t="shared" si="229"/>
        <v>0</v>
      </c>
      <c r="AM409" s="147" t="str">
        <f t="shared" si="221"/>
        <v>0.571271779268845+0.903433513186608i</v>
      </c>
      <c r="AN409" s="147" t="str">
        <f t="shared" si="222"/>
        <v>1.12771173845697i</v>
      </c>
      <c r="AO409" s="147" t="str">
        <f t="shared" si="223"/>
        <v>0.801120962368239-0.506576068854712i</v>
      </c>
      <c r="AP409" s="147" t="str">
        <f t="shared" si="224"/>
        <v>0.0714547034551925-0.150572252197768i</v>
      </c>
      <c r="AQ409" s="147" t="str">
        <f t="shared" si="225"/>
        <v>0.928545296544808+0.150572252197768i</v>
      </c>
      <c r="AR409" s="147" t="str">
        <f t="shared" si="226"/>
        <v>0.874116713272983-0.141746151416612i</v>
      </c>
    </row>
    <row r="410" spans="7:44">
      <c r="G410" s="585">
        <v>38240.5</v>
      </c>
      <c r="H410" s="573">
        <f t="shared" si="218"/>
        <v>38.240499999999997</v>
      </c>
      <c r="I410" s="574">
        <f t="shared" si="198"/>
        <v>264.13248976888229</v>
      </c>
      <c r="J410" s="575">
        <f t="shared" si="199"/>
        <v>1.5670103389755654</v>
      </c>
      <c r="K410" s="575">
        <f t="shared" si="200"/>
        <v>1.0221089265991807</v>
      </c>
      <c r="L410" s="576">
        <f t="shared" si="201"/>
        <v>0.20837048385708073</v>
      </c>
      <c r="M410" s="575">
        <f t="shared" si="202"/>
        <v>1.0339745675204646</v>
      </c>
      <c r="N410" s="576">
        <f t="shared" si="203"/>
        <v>-0.25705937425445535</v>
      </c>
      <c r="O410" s="574">
        <f t="shared" si="204"/>
        <v>720816.44239464379</v>
      </c>
      <c r="P410" s="577">
        <f t="shared" si="205"/>
        <v>1.5707949394791514</v>
      </c>
      <c r="Q410" s="586">
        <f t="shared" si="227"/>
        <v>96.594579693370747</v>
      </c>
      <c r="R410" s="587">
        <f t="shared" si="228"/>
        <v>1.5604435940993679</v>
      </c>
      <c r="S410" s="574">
        <f t="shared" si="206"/>
        <v>1.7604375552348526</v>
      </c>
      <c r="T410" s="577">
        <f t="shared" si="207"/>
        <v>0.96667323712876685</v>
      </c>
      <c r="U410" s="578">
        <f t="shared" si="219"/>
        <v>0.83788296332783863</v>
      </c>
      <c r="V410" s="579">
        <f t="shared" si="220"/>
        <v>-0.72822112626082436</v>
      </c>
      <c r="W410" s="580">
        <f t="shared" si="208"/>
        <v>-24.474904737035182</v>
      </c>
      <c r="X410" s="581">
        <f t="shared" si="209"/>
        <v>-190.27612916831106</v>
      </c>
      <c r="Y410" s="584">
        <f t="shared" si="210"/>
        <v>-10.276129168311058</v>
      </c>
      <c r="AA410" s="147">
        <f t="shared" si="211"/>
        <v>38240.5</v>
      </c>
      <c r="AB410" s="147">
        <f t="shared" si="212"/>
        <v>1462335840.25</v>
      </c>
      <c r="AD410" s="583">
        <f t="shared" si="213"/>
        <v>22.735599055481703</v>
      </c>
      <c r="AE410" s="584">
        <f t="shared" si="214"/>
        <v>-55.97938512223697</v>
      </c>
      <c r="AG410" s="583">
        <f t="shared" si="215"/>
        <v>15.149354682026594</v>
      </c>
      <c r="AH410" s="584">
        <f t="shared" si="216"/>
        <v>-50.848749776703485</v>
      </c>
      <c r="AJ410" s="147">
        <f t="shared" si="217"/>
        <v>0</v>
      </c>
      <c r="AK410" s="147">
        <f t="shared" si="229"/>
        <v>0</v>
      </c>
      <c r="AM410" s="147" t="str">
        <f t="shared" si="221"/>
        <v>0.577216626859386+0.906230776014501i</v>
      </c>
      <c r="AN410" s="147" t="str">
        <f t="shared" si="222"/>
        <v>1.13428182578352i</v>
      </c>
      <c r="AO410" s="147" t="str">
        <f t="shared" si="223"/>
        <v>0.798946747990527-0.508882901708018i</v>
      </c>
      <c r="AP410" s="147" t="str">
        <f t="shared" si="224"/>
        <v>0.0704638955234357-0.151038462669083i</v>
      </c>
      <c r="AQ410" s="147" t="str">
        <f t="shared" si="225"/>
        <v>0.929536104476564+0.151038462669083i</v>
      </c>
      <c r="AR410" s="147" t="str">
        <f t="shared" si="226"/>
        <v>0.873094194750124-0.141867329633869i</v>
      </c>
    </row>
    <row r="411" spans="7:44">
      <c r="G411" s="585">
        <v>38462</v>
      </c>
      <c r="H411" s="573">
        <f t="shared" si="218"/>
        <v>38.462000000000003</v>
      </c>
      <c r="I411" s="574">
        <f t="shared" si="198"/>
        <v>265.66239942759955</v>
      </c>
      <c r="J411" s="575">
        <f t="shared" si="199"/>
        <v>1.5670321420112274</v>
      </c>
      <c r="K411" s="575">
        <f t="shared" si="200"/>
        <v>1.0223629812691601</v>
      </c>
      <c r="L411" s="576">
        <f t="shared" si="201"/>
        <v>0.20954250129403193</v>
      </c>
      <c r="M411" s="575">
        <f t="shared" si="202"/>
        <v>1.034362730593489</v>
      </c>
      <c r="N411" s="576">
        <f t="shared" si="203"/>
        <v>-0.25848307044261426</v>
      </c>
      <c r="O411" s="574">
        <f t="shared" si="204"/>
        <v>724991.61902648967</v>
      </c>
      <c r="P411" s="577">
        <f t="shared" si="205"/>
        <v>1.5707949474686069</v>
      </c>
      <c r="Q411" s="586">
        <f t="shared" si="227"/>
        <v>97.154023553020068</v>
      </c>
      <c r="R411" s="587">
        <f t="shared" si="228"/>
        <v>1.5605032105482712</v>
      </c>
      <c r="S411" s="574">
        <f t="shared" si="206"/>
        <v>1.7673506912386334</v>
      </c>
      <c r="T411" s="577">
        <f t="shared" si="207"/>
        <v>0.96937052983701189</v>
      </c>
      <c r="U411" s="578">
        <f t="shared" si="219"/>
        <v>0.83641286151330496</v>
      </c>
      <c r="V411" s="579">
        <f t="shared" si="220"/>
        <v>-0.73181837553436513</v>
      </c>
      <c r="W411" s="580">
        <f t="shared" si="208"/>
        <v>-24.568951899211179</v>
      </c>
      <c r="X411" s="581">
        <f t="shared" si="209"/>
        <v>-190.64903389727306</v>
      </c>
      <c r="Y411" s="584">
        <f t="shared" si="210"/>
        <v>-10.649033897273057</v>
      </c>
      <c r="AA411" s="147">
        <f t="shared" si="211"/>
        <v>38462</v>
      </c>
      <c r="AB411" s="147">
        <f t="shared" si="212"/>
        <v>1479325444</v>
      </c>
      <c r="AD411" s="583">
        <f t="shared" si="213"/>
        <v>22.701551523052423</v>
      </c>
      <c r="AE411" s="584">
        <f t="shared" si="214"/>
        <v>-56.130513297553897</v>
      </c>
      <c r="AG411" s="583">
        <f t="shared" si="215"/>
        <v>15.119861358775532</v>
      </c>
      <c r="AH411" s="584">
        <f t="shared" si="216"/>
        <v>-50.658311927416818</v>
      </c>
      <c r="AJ411" s="147">
        <f t="shared" si="217"/>
        <v>0</v>
      </c>
      <c r="AK411" s="147">
        <f t="shared" si="229"/>
        <v>0</v>
      </c>
      <c r="AM411" s="147" t="str">
        <f t="shared" si="221"/>
        <v>0.583179724271438+0.908988920582405i</v>
      </c>
      <c r="AN411" s="147" t="str">
        <f t="shared" si="222"/>
        <v>1.14085191311007i</v>
      </c>
      <c r="AO411" s="147" t="str">
        <f t="shared" si="223"/>
        <v>0.796763287273994-0.511179161440537i</v>
      </c>
      <c r="AP411" s="147" t="str">
        <f t="shared" si="224"/>
        <v>0.0694700459547603-0.151498153430401i</v>
      </c>
      <c r="AQ411" s="147" t="str">
        <f t="shared" si="225"/>
        <v>0.93052995404524+0.151498153430401i</v>
      </c>
      <c r="AR411" s="147" t="str">
        <f t="shared" si="226"/>
        <v>0.872073117559705-0.141980885614957i</v>
      </c>
    </row>
    <row r="412" spans="7:44">
      <c r="G412" s="585">
        <v>38683.5</v>
      </c>
      <c r="H412" s="573">
        <f t="shared" si="218"/>
        <v>38.683500000000002</v>
      </c>
      <c r="I412" s="574">
        <f t="shared" si="198"/>
        <v>267.19230921115911</v>
      </c>
      <c r="J412" s="575">
        <f t="shared" si="199"/>
        <v>1.5670536953639826</v>
      </c>
      <c r="K412" s="575">
        <f t="shared" si="200"/>
        <v>1.022618439583457</v>
      </c>
      <c r="L412" s="576">
        <f t="shared" si="201"/>
        <v>0.21071393478065328</v>
      </c>
      <c r="M412" s="575">
        <f t="shared" si="202"/>
        <v>1.0347529886521127</v>
      </c>
      <c r="N412" s="576">
        <f t="shared" si="203"/>
        <v>-0.25990569561579863</v>
      </c>
      <c r="O412" s="574">
        <f t="shared" si="204"/>
        <v>729166.79565833579</v>
      </c>
      <c r="P412" s="577">
        <f t="shared" si="205"/>
        <v>1.5707949553665679</v>
      </c>
      <c r="Q412" s="586">
        <f t="shared" si="227"/>
        <v>97.713467754012669</v>
      </c>
      <c r="R412" s="587">
        <f t="shared" si="228"/>
        <v>1.5605621443468245</v>
      </c>
      <c r="S412" s="574">
        <f t="shared" si="206"/>
        <v>1.7742765851511866</v>
      </c>
      <c r="T412" s="577">
        <f t="shared" si="207"/>
        <v>0.97204678410950029</v>
      </c>
      <c r="U412" s="578">
        <f t="shared" si="219"/>
        <v>0.83494140675493989</v>
      </c>
      <c r="V412" s="579">
        <f t="shared" si="220"/>
        <v>-0.7354075771722034</v>
      </c>
      <c r="W412" s="580">
        <f t="shared" si="208"/>
        <v>-24.66265362331724</v>
      </c>
      <c r="X412" s="581">
        <f t="shared" si="209"/>
        <v>-191.02026901231241</v>
      </c>
      <c r="Y412" s="584">
        <f t="shared" si="210"/>
        <v>-11.020269012312411</v>
      </c>
      <c r="AA412" s="147">
        <f t="shared" si="211"/>
        <v>38683.5</v>
      </c>
      <c r="AB412" s="147">
        <f t="shared" si="212"/>
        <v>1496413172.25</v>
      </c>
      <c r="AD412" s="583">
        <f t="shared" si="213"/>
        <v>22.66757452539721</v>
      </c>
      <c r="AE412" s="584">
        <f t="shared" si="214"/>
        <v>-56.28047516703473</v>
      </c>
      <c r="AG412" s="583">
        <f t="shared" si="215"/>
        <v>15.090724754025436</v>
      </c>
      <c r="AH412" s="584">
        <f t="shared" si="216"/>
        <v>-50.468292961166178</v>
      </c>
      <c r="AJ412" s="147">
        <f t="shared" si="217"/>
        <v>0</v>
      </c>
      <c r="AK412" s="147">
        <f t="shared" si="229"/>
        <v>0</v>
      </c>
      <c r="AM412" s="147" t="str">
        <f t="shared" si="221"/>
        <v>0.589160814102589+0.911707827832553i</v>
      </c>
      <c r="AN412" s="147" t="str">
        <f t="shared" si="222"/>
        <v>1.14742200043663i</v>
      </c>
      <c r="AO412" s="147" t="str">
        <f t="shared" si="223"/>
        <v>0.79457063528991-0.513464805344847i</v>
      </c>
      <c r="AP412" s="147" t="str">
        <f t="shared" si="224"/>
        <v>0.0684731976495685-0.151951304638759i</v>
      </c>
      <c r="AQ412" s="147" t="str">
        <f t="shared" si="225"/>
        <v>0.931526802350432+0.151951304638759i</v>
      </c>
      <c r="AR412" s="147" t="str">
        <f t="shared" si="226"/>
        <v>0.871053536752242-0.142086863186054i</v>
      </c>
    </row>
    <row r="413" spans="7:44">
      <c r="G413" s="585">
        <v>38905</v>
      </c>
      <c r="H413" s="573">
        <f t="shared" si="218"/>
        <v>38.905000000000001</v>
      </c>
      <c r="I413" s="574">
        <f t="shared" si="198"/>
        <v>268.72221911742884</v>
      </c>
      <c r="J413" s="575">
        <f t="shared" si="199"/>
        <v>1.5670750032983525</v>
      </c>
      <c r="K413" s="575">
        <f t="shared" si="200"/>
        <v>1.0228753004904108</v>
      </c>
      <c r="L413" s="576">
        <f t="shared" si="201"/>
        <v>0.2118847815406564</v>
      </c>
      <c r="M413" s="575">
        <f t="shared" si="202"/>
        <v>1.0351453393268564</v>
      </c>
      <c r="N413" s="576">
        <f t="shared" si="203"/>
        <v>-0.26132724523022538</v>
      </c>
      <c r="O413" s="574">
        <f t="shared" si="204"/>
        <v>733341.9722901819</v>
      </c>
      <c r="P413" s="577">
        <f t="shared" si="205"/>
        <v>1.570794963174597</v>
      </c>
      <c r="Q413" s="586">
        <f t="shared" si="227"/>
        <v>98.272912290518931</v>
      </c>
      <c r="R413" s="587">
        <f t="shared" si="228"/>
        <v>1.5606204071531176</v>
      </c>
      <c r="S413" s="574">
        <f t="shared" si="206"/>
        <v>1.7812150881528894</v>
      </c>
      <c r="T413" s="577">
        <f t="shared" si="207"/>
        <v>0.9747022072430217</v>
      </c>
      <c r="U413" s="578">
        <f t="shared" si="219"/>
        <v>0.83346866244992623</v>
      </c>
      <c r="V413" s="579">
        <f t="shared" si="220"/>
        <v>-0.7389887431911214</v>
      </c>
      <c r="W413" s="580">
        <f t="shared" si="208"/>
        <v>-24.756012345033298</v>
      </c>
      <c r="X413" s="581">
        <f t="shared" si="209"/>
        <v>-191.38984655437042</v>
      </c>
      <c r="Y413" s="584">
        <f t="shared" si="210"/>
        <v>-11.389846554370422</v>
      </c>
      <c r="AA413" s="147">
        <f t="shared" si="211"/>
        <v>38905</v>
      </c>
      <c r="AB413" s="147">
        <f t="shared" si="212"/>
        <v>1513599025</v>
      </c>
      <c r="AD413" s="583">
        <f t="shared" si="213"/>
        <v>22.633668481057537</v>
      </c>
      <c r="AE413" s="584">
        <f t="shared" si="214"/>
        <v>-56.429281940040887</v>
      </c>
      <c r="AG413" s="583">
        <f t="shared" si="215"/>
        <v>15.061941030420281</v>
      </c>
      <c r="AH413" s="584">
        <f t="shared" si="216"/>
        <v>-50.278692332509749</v>
      </c>
      <c r="AJ413" s="147">
        <f t="shared" si="217"/>
        <v>0</v>
      </c>
      <c r="AK413" s="147">
        <f t="shared" si="229"/>
        <v>0</v>
      </c>
      <c r="AM413" s="147" t="str">
        <f t="shared" si="221"/>
        <v>0.595159638173743+0.914387380400881i</v>
      </c>
      <c r="AN413" s="147" t="str">
        <f t="shared" si="222"/>
        <v>1.15399208776318i</v>
      </c>
      <c r="AO413" s="147" t="str">
        <f t="shared" si="223"/>
        <v>0.792368847323093-0.515739791013091i</v>
      </c>
      <c r="AP413" s="147" t="str">
        <f t="shared" si="224"/>
        <v>0.0674733936377095-0.15239789673348i</v>
      </c>
      <c r="AQ413" s="147" t="str">
        <f t="shared" si="225"/>
        <v>0.93252660636229+0.15239789673348i</v>
      </c>
      <c r="AR413" s="147" t="str">
        <f t="shared" si="226"/>
        <v>0.870035506566275-0.142185306434716i</v>
      </c>
    </row>
    <row r="414" spans="7:44">
      <c r="G414" s="585">
        <v>39131.5</v>
      </c>
      <c r="H414" s="573">
        <f t="shared" si="218"/>
        <v>39.131500000000003</v>
      </c>
      <c r="I414" s="574">
        <f t="shared" si="198"/>
        <v>270.28666436075491</v>
      </c>
      <c r="J414" s="575">
        <f t="shared" si="199"/>
        <v>1.5670965427756998</v>
      </c>
      <c r="K414" s="575">
        <f t="shared" si="200"/>
        <v>1.0231394089531647</v>
      </c>
      <c r="L414" s="576">
        <f t="shared" si="201"/>
        <v>0.21308144862445377</v>
      </c>
      <c r="M414" s="575">
        <f t="shared" si="202"/>
        <v>1.035548708203033</v>
      </c>
      <c r="N414" s="576">
        <f t="shared" si="203"/>
        <v>-0.26277976704074485</v>
      </c>
      <c r="O414" s="574">
        <f t="shared" si="204"/>
        <v>737611.39670152799</v>
      </c>
      <c r="P414" s="577">
        <f t="shared" si="205"/>
        <v>1.5707949710674709</v>
      </c>
      <c r="Q414" s="586">
        <f t="shared" si="227"/>
        <v>98.844985712891528</v>
      </c>
      <c r="R414" s="587">
        <f t="shared" si="228"/>
        <v>1.5606793031338648</v>
      </c>
      <c r="S414" s="574">
        <f t="shared" si="206"/>
        <v>1.7883231028342974</v>
      </c>
      <c r="T414" s="577">
        <f t="shared" si="207"/>
        <v>0.97739624426336125</v>
      </c>
      <c r="U414" s="578">
        <f t="shared" si="219"/>
        <v>0.83196140518431427</v>
      </c>
      <c r="V414" s="579">
        <f t="shared" si="220"/>
        <v>-0.74264245138456109</v>
      </c>
      <c r="W414" s="580">
        <f t="shared" si="208"/>
        <v>-24.851126285850217</v>
      </c>
      <c r="X414" s="581">
        <f t="shared" si="209"/>
        <v>-191.76606504323004</v>
      </c>
      <c r="Y414" s="584">
        <f t="shared" si="210"/>
        <v>-11.766065043230043</v>
      </c>
      <c r="AA414" s="147">
        <f t="shared" si="211"/>
        <v>39131.5</v>
      </c>
      <c r="AB414" s="147">
        <f t="shared" si="212"/>
        <v>1531274292.25</v>
      </c>
      <c r="AD414" s="583">
        <f t="shared" si="213"/>
        <v>22.599070853210421</v>
      </c>
      <c r="AE414" s="584">
        <f t="shared" si="214"/>
        <v>-56.580264852432137</v>
      </c>
      <c r="AG414" s="583">
        <f t="shared" si="215"/>
        <v>15.03286854470951</v>
      </c>
      <c r="AH414" s="584">
        <f t="shared" si="216"/>
        <v>-50.085243790386812</v>
      </c>
      <c r="AJ414" s="147">
        <f t="shared" si="217"/>
        <v>0</v>
      </c>
      <c r="AK414" s="147">
        <f t="shared" si="229"/>
        <v>0</v>
      </c>
      <c r="AM414" s="147" t="str">
        <f t="shared" si="221"/>
        <v>0.601311945323519+0.917086601722151i</v>
      </c>
      <c r="AN414" s="147" t="str">
        <f t="shared" si="222"/>
        <v>1.16071048405873i</v>
      </c>
      <c r="AO414" s="147" t="str">
        <f t="shared" si="223"/>
        <v>0.79010796776412-0.518055065050221i</v>
      </c>
      <c r="AP414" s="147" t="str">
        <f t="shared" si="224"/>
        <v>0.0664480091127468-0.152847766953692i</v>
      </c>
      <c r="AQ414" s="147" t="str">
        <f t="shared" si="225"/>
        <v>0.933551990887253+0.152847766953692i</v>
      </c>
      <c r="AR414" s="147" t="str">
        <f t="shared" si="226"/>
        <v>0.868996155199482-0.142278226719165i</v>
      </c>
    </row>
    <row r="415" spans="7:44">
      <c r="G415" s="585">
        <v>39358</v>
      </c>
      <c r="H415" s="573">
        <f t="shared" si="218"/>
        <v>39.357999999999997</v>
      </c>
      <c r="I415" s="574">
        <f t="shared" si="198"/>
        <v>271.85110972803687</v>
      </c>
      <c r="J415" s="575">
        <f t="shared" si="199"/>
        <v>1.5671178343428269</v>
      </c>
      <c r="K415" s="575">
        <f t="shared" si="200"/>
        <v>1.0234049818065019</v>
      </c>
      <c r="L415" s="576">
        <f t="shared" si="201"/>
        <v>0.21427749635177987</v>
      </c>
      <c r="M415" s="575">
        <f t="shared" si="202"/>
        <v>1.0359542601960889</v>
      </c>
      <c r="N415" s="576">
        <f t="shared" si="203"/>
        <v>-0.26423115465444103</v>
      </c>
      <c r="O415" s="574">
        <f t="shared" si="204"/>
        <v>741880.82111287396</v>
      </c>
      <c r="P415" s="577">
        <f t="shared" si="205"/>
        <v>1.5707949788695001</v>
      </c>
      <c r="Q415" s="586">
        <f t="shared" si="227"/>
        <v>99.417059474185422</v>
      </c>
      <c r="R415" s="587">
        <f t="shared" si="228"/>
        <v>1.5607375213066894</v>
      </c>
      <c r="S415" s="574">
        <f t="shared" si="206"/>
        <v>1.7954439940474576</v>
      </c>
      <c r="T415" s="577">
        <f t="shared" si="207"/>
        <v>0.98006893097090608</v>
      </c>
      <c r="U415" s="578">
        <f t="shared" si="219"/>
        <v>0.83045293149260735</v>
      </c>
      <c r="V415" s="579">
        <f t="shared" si="220"/>
        <v>-0.74628778384894134</v>
      </c>
      <c r="W415" s="580">
        <f t="shared" si="208"/>
        <v>-24.945886608911504</v>
      </c>
      <c r="X415" s="581">
        <f t="shared" si="209"/>
        <v>-192.14057548328751</v>
      </c>
      <c r="Y415" s="584">
        <f t="shared" si="210"/>
        <v>-12.140575483287506</v>
      </c>
      <c r="AA415" s="147">
        <f t="shared" si="211"/>
        <v>39358</v>
      </c>
      <c r="AB415" s="147">
        <f t="shared" si="212"/>
        <v>1549052164</v>
      </c>
      <c r="AD415" s="583">
        <f t="shared" si="213"/>
        <v>22.564548242764289</v>
      </c>
      <c r="AE415" s="584">
        <f t="shared" si="214"/>
        <v>-56.730063312335865</v>
      </c>
      <c r="AG415" s="583">
        <f t="shared" si="215"/>
        <v>15.004157123260367</v>
      </c>
      <c r="AH415" s="584">
        <f t="shared" si="216"/>
        <v>-49.892231439801208</v>
      </c>
      <c r="AJ415" s="147">
        <f t="shared" si="217"/>
        <v>0</v>
      </c>
      <c r="AK415" s="147">
        <f t="shared" si="229"/>
        <v>0</v>
      </c>
      <c r="AM415" s="147" t="str">
        <f t="shared" si="221"/>
        <v>0.607482247928043+0.919744428799858i</v>
      </c>
      <c r="AN415" s="147" t="str">
        <f t="shared" si="222"/>
        <v>1.16742888035428i</v>
      </c>
      <c r="AO415" s="147" t="str">
        <f t="shared" si="223"/>
        <v>0.787837652706298-0.520359105510299i</v>
      </c>
      <c r="AP415" s="147" t="str">
        <f t="shared" si="224"/>
        <v>0.0654196253453262-0.15329073813331i</v>
      </c>
      <c r="AQ415" s="147" t="str">
        <f t="shared" si="225"/>
        <v>0.934580374654674+0.15329073813331i</v>
      </c>
      <c r="AR415" s="147" t="str">
        <f t="shared" si="226"/>
        <v>0.867958537376689-0.142363362715318i</v>
      </c>
    </row>
    <row r="416" spans="7:44">
      <c r="G416" s="585">
        <v>39584.5</v>
      </c>
      <c r="H416" s="573">
        <f t="shared" si="218"/>
        <v>39.584499999999998</v>
      </c>
      <c r="I416" s="574">
        <f t="shared" si="198"/>
        <v>273.41555521714707</v>
      </c>
      <c r="J416" s="575">
        <f t="shared" si="199"/>
        <v>1.5671388822552372</v>
      </c>
      <c r="K416" s="575">
        <f t="shared" si="200"/>
        <v>1.0236720179106944</v>
      </c>
      <c r="L416" s="576">
        <f t="shared" si="201"/>
        <v>0.21547292178404898</v>
      </c>
      <c r="M416" s="575">
        <f t="shared" si="202"/>
        <v>1.0363619927431142</v>
      </c>
      <c r="N416" s="576">
        <f t="shared" si="203"/>
        <v>-0.26568140329165607</v>
      </c>
      <c r="O416" s="574">
        <f t="shared" si="204"/>
        <v>746150.24552422017</v>
      </c>
      <c r="P416" s="577">
        <f t="shared" si="205"/>
        <v>1.5707949865822437</v>
      </c>
      <c r="Q416" s="586">
        <f t="shared" si="227"/>
        <v>99.989133568583341</v>
      </c>
      <c r="R416" s="587">
        <f t="shared" si="228"/>
        <v>1.5607950733051477</v>
      </c>
      <c r="S416" s="574">
        <f t="shared" si="206"/>
        <v>1.8025776091902674</v>
      </c>
      <c r="T416" s="577">
        <f t="shared" si="207"/>
        <v>0.98272048243350663</v>
      </c>
      <c r="U416" s="578">
        <f t="shared" si="219"/>
        <v>0.82894330705150521</v>
      </c>
      <c r="V416" s="579">
        <f t="shared" si="220"/>
        <v>-0.74992475478974974</v>
      </c>
      <c r="W416" s="580">
        <f t="shared" si="208"/>
        <v>-25.040295812449536</v>
      </c>
      <c r="X416" s="581">
        <f t="shared" si="209"/>
        <v>-192.51339048280983</v>
      </c>
      <c r="Y416" s="584">
        <f t="shared" si="210"/>
        <v>-12.513390482809825</v>
      </c>
      <c r="AA416" s="147">
        <f t="shared" si="211"/>
        <v>39584.5</v>
      </c>
      <c r="AB416" s="147">
        <f t="shared" si="212"/>
        <v>1566932640.25</v>
      </c>
      <c r="AD416" s="583">
        <f t="shared" si="213"/>
        <v>22.530101036903982</v>
      </c>
      <c r="AE416" s="584">
        <f t="shared" si="214"/>
        <v>-56.878688975767894</v>
      </c>
      <c r="AG416" s="583">
        <f t="shared" si="215"/>
        <v>14.97580285037602</v>
      </c>
      <c r="AH416" s="584">
        <f t="shared" si="216"/>
        <v>-49.699654605175176</v>
      </c>
      <c r="AJ416" s="147">
        <f t="shared" si="217"/>
        <v>0</v>
      </c>
      <c r="AK416" s="147">
        <f t="shared" si="229"/>
        <v>0</v>
      </c>
      <c r="AM416" s="147" t="str">
        <f t="shared" si="221"/>
        <v>0.613670267480346+0.922360741668515i</v>
      </c>
      <c r="AN416" s="147" t="str">
        <f t="shared" si="222"/>
        <v>1.17414727664983i</v>
      </c>
      <c r="AO416" s="147" t="str">
        <f t="shared" si="223"/>
        <v>0.785557961945172-0.522651868027424i</v>
      </c>
      <c r="AP416" s="147" t="str">
        <f t="shared" si="224"/>
        <v>0.0643882887532757-0.153726790278086i</v>
      </c>
      <c r="AQ416" s="147" t="str">
        <f t="shared" si="225"/>
        <v>0.935611711246724+0.153726790278086i</v>
      </c>
      <c r="AR416" s="147" t="str">
        <f t="shared" si="226"/>
        <v>0.866922708482913-0.142440762329363i</v>
      </c>
    </row>
    <row r="417" spans="7:44">
      <c r="G417" s="585">
        <v>39811</v>
      </c>
      <c r="H417" s="573">
        <f t="shared" si="218"/>
        <v>39.811</v>
      </c>
      <c r="I417" s="574">
        <f t="shared" si="198"/>
        <v>274.98000082600612</v>
      </c>
      <c r="J417" s="575">
        <f t="shared" si="199"/>
        <v>1.567159690671591</v>
      </c>
      <c r="K417" s="575">
        <f t="shared" si="200"/>
        <v>1.0239405161209272</v>
      </c>
      <c r="L417" s="576">
        <f t="shared" si="201"/>
        <v>0.21666772199284665</v>
      </c>
      <c r="M417" s="575">
        <f t="shared" si="202"/>
        <v>1.036771903271462</v>
      </c>
      <c r="N417" s="576">
        <f t="shared" si="203"/>
        <v>-0.26713050819939466</v>
      </c>
      <c r="O417" s="574">
        <f t="shared" si="204"/>
        <v>750419.66993556626</v>
      </c>
      <c r="P417" s="577">
        <f t="shared" si="205"/>
        <v>1.5707949942072259</v>
      </c>
      <c r="Q417" s="586">
        <f t="shared" si="227"/>
        <v>100.5612079904004</v>
      </c>
      <c r="R417" s="587">
        <f t="shared" si="228"/>
        <v>1.5608519704980897</v>
      </c>
      <c r="S417" s="574">
        <f t="shared" si="206"/>
        <v>1.8097237977962075</v>
      </c>
      <c r="T417" s="577">
        <f t="shared" si="207"/>
        <v>0.98535111151985788</v>
      </c>
      <c r="U417" s="578">
        <f t="shared" si="219"/>
        <v>0.82743259682671289</v>
      </c>
      <c r="V417" s="579">
        <f t="shared" si="220"/>
        <v>-0.75355337885566009</v>
      </c>
      <c r="W417" s="580">
        <f t="shared" si="208"/>
        <v>-25.134356360614035</v>
      </c>
      <c r="X417" s="581">
        <f t="shared" si="209"/>
        <v>-192.88452256001517</v>
      </c>
      <c r="Y417" s="584">
        <f t="shared" si="210"/>
        <v>-12.884522560015171</v>
      </c>
      <c r="AA417" s="147">
        <f t="shared" si="211"/>
        <v>39811</v>
      </c>
      <c r="AB417" s="147">
        <f t="shared" si="212"/>
        <v>1584915721</v>
      </c>
      <c r="AD417" s="583">
        <f t="shared" si="213"/>
        <v>22.495729603509528</v>
      </c>
      <c r="AE417" s="584">
        <f t="shared" si="214"/>
        <v>-57.026153387906277</v>
      </c>
      <c r="AG417" s="583">
        <f t="shared" si="215"/>
        <v>14.947801870878628</v>
      </c>
      <c r="AH417" s="584">
        <f t="shared" si="216"/>
        <v>-49.507512580934446</v>
      </c>
      <c r="AJ417" s="147">
        <f t="shared" si="217"/>
        <v>0</v>
      </c>
      <c r="AK417" s="147">
        <f t="shared" si="229"/>
        <v>0</v>
      </c>
      <c r="AM417" s="147" t="str">
        <f t="shared" si="221"/>
        <v>0.619875724673777+0.924935422236447i</v>
      </c>
      <c r="AN417" s="147" t="str">
        <f t="shared" si="222"/>
        <v>1.18086567294538i</v>
      </c>
      <c r="AO417" s="147" t="str">
        <f t="shared" si="223"/>
        <v>0.783268955502299-0.524933308568153i</v>
      </c>
      <c r="AP417" s="147" t="str">
        <f t="shared" si="224"/>
        <v>0.0633540458877038-0.154155903706074i</v>
      </c>
      <c r="AQ417" s="147" t="str">
        <f t="shared" si="225"/>
        <v>0.936645954112296+0.154155903706074i</v>
      </c>
      <c r="AR417" s="147" t="str">
        <f t="shared" si="226"/>
        <v>0.865888723032117-0.14251047369806i</v>
      </c>
    </row>
    <row r="418" spans="7:44">
      <c r="G418" s="585">
        <v>40042.75</v>
      </c>
      <c r="H418" s="573">
        <f t="shared" si="218"/>
        <v>40.042749999999998</v>
      </c>
      <c r="I418" s="574">
        <f t="shared" si="198"/>
        <v>276.5807085410014</v>
      </c>
      <c r="J418" s="575">
        <f t="shared" si="199"/>
        <v>1.5671807377539044</v>
      </c>
      <c r="K418" s="575">
        <f t="shared" si="200"/>
        <v>1.0242167499338324</v>
      </c>
      <c r="L418" s="576">
        <f t="shared" si="201"/>
        <v>0.21788956607316087</v>
      </c>
      <c r="M418" s="575">
        <f t="shared" si="202"/>
        <v>1.0371935666346312</v>
      </c>
      <c r="N418" s="576">
        <f t="shared" si="203"/>
        <v>-0.26861201289982484</v>
      </c>
      <c r="O418" s="574">
        <f t="shared" si="204"/>
        <v>754788.05451538751</v>
      </c>
      <c r="P418" s="577">
        <f t="shared" si="205"/>
        <v>1.570795001919663</v>
      </c>
      <c r="Q418" s="586">
        <f t="shared" si="227"/>
        <v>101.14654274846842</v>
      </c>
      <c r="R418" s="587">
        <f t="shared" si="228"/>
        <v>1.5609095203405925</v>
      </c>
      <c r="S418" s="574">
        <f t="shared" si="206"/>
        <v>1.8170484857985336</v>
      </c>
      <c r="T418" s="577">
        <f t="shared" si="207"/>
        <v>0.98802127975661003</v>
      </c>
      <c r="U418" s="578">
        <f t="shared" si="219"/>
        <v>0.82588581332982591</v>
      </c>
      <c r="V418" s="579">
        <f t="shared" si="220"/>
        <v>-0.75725748651548863</v>
      </c>
      <c r="W418" s="580">
        <f t="shared" si="208"/>
        <v>-25.230238784291288</v>
      </c>
      <c r="X418" s="581">
        <f t="shared" si="209"/>
        <v>-193.26252811220215</v>
      </c>
      <c r="Y418" s="584">
        <f t="shared" si="210"/>
        <v>-13.262528112202148</v>
      </c>
      <c r="AA418" s="147">
        <f t="shared" si="211"/>
        <v>40042.75</v>
      </c>
      <c r="AB418" s="147">
        <f t="shared" si="212"/>
        <v>1603421827.5625</v>
      </c>
      <c r="AD418" s="583">
        <f t="shared" si="213"/>
        <v>22.46064027254463</v>
      </c>
      <c r="AE418" s="584">
        <f t="shared" si="214"/>
        <v>-57.17584583743615</v>
      </c>
      <c r="AG418" s="583">
        <f t="shared" si="215"/>
        <v>14.919513574786819</v>
      </c>
      <c r="AH418" s="584">
        <f t="shared" si="216"/>
        <v>-49.311366211566074</v>
      </c>
      <c r="AJ418" s="147">
        <f t="shared" si="217"/>
        <v>0</v>
      </c>
      <c r="AK418" s="147">
        <f t="shared" si="229"/>
        <v>0</v>
      </c>
      <c r="AM418" s="147" t="str">
        <f t="shared" si="221"/>
        <v>0.626242773416764+0.927526568663565i</v>
      </c>
      <c r="AN418" s="147" t="str">
        <f t="shared" si="222"/>
        <v>1.18773979365837i</v>
      </c>
      <c r="AO418" s="147" t="str">
        <f t="shared" si="223"/>
        <v>0.780917313384509-0.52725586594002i</v>
      </c>
      <c r="AP418" s="147" t="str">
        <f t="shared" si="224"/>
        <v>0.062292871097206-0.154587761443927i</v>
      </c>
      <c r="AQ418" s="147" t="str">
        <f t="shared" si="225"/>
        <v>0.937707128902794+0.154587761443927i</v>
      </c>
      <c r="AR418" s="147" t="str">
        <f t="shared" si="226"/>
        <v>0.864832735013561-0.142573893712004i</v>
      </c>
    </row>
    <row r="419" spans="7:44">
      <c r="G419" s="585">
        <v>40274.5</v>
      </c>
      <c r="H419" s="573">
        <f t="shared" si="218"/>
        <v>40.274500000000003</v>
      </c>
      <c r="I419" s="574">
        <f t="shared" si="198"/>
        <v>278.1814163771063</v>
      </c>
      <c r="J419" s="575">
        <f t="shared" si="199"/>
        <v>1.5672015426185404</v>
      </c>
      <c r="K419" s="575">
        <f t="shared" si="200"/>
        <v>1.0244945119770636</v>
      </c>
      <c r="L419" s="576">
        <f t="shared" si="201"/>
        <v>0.21911074944042488</v>
      </c>
      <c r="M419" s="575">
        <f t="shared" si="202"/>
        <v>1.0376175046353697</v>
      </c>
      <c r="N419" s="576">
        <f t="shared" si="203"/>
        <v>-0.27009231025428682</v>
      </c>
      <c r="O419" s="574">
        <f t="shared" si="204"/>
        <v>759156.43909520865</v>
      </c>
      <c r="P419" s="577">
        <f t="shared" si="205"/>
        <v>1.5707950095433414</v>
      </c>
      <c r="Q419" s="586">
        <f t="shared" si="227"/>
        <v>101.73187783767726</v>
      </c>
      <c r="R419" s="587">
        <f t="shared" si="228"/>
        <v>1.5609664079337902</v>
      </c>
      <c r="S419" s="574">
        <f t="shared" si="206"/>
        <v>1.8243860249096189</v>
      </c>
      <c r="T419" s="577">
        <f t="shared" si="207"/>
        <v>0.99066998833268138</v>
      </c>
      <c r="U419" s="578">
        <f t="shared" si="219"/>
        <v>0.82433802845608806</v>
      </c>
      <c r="V419" s="579">
        <f t="shared" si="220"/>
        <v>-0.76095288829207386</v>
      </c>
      <c r="W419" s="580">
        <f t="shared" si="208"/>
        <v>-25.325761315842577</v>
      </c>
      <c r="X419" s="581">
        <f t="shared" si="209"/>
        <v>-193.63879804722851</v>
      </c>
      <c r="Y419" s="584">
        <f t="shared" si="210"/>
        <v>-13.638798047228505</v>
      </c>
      <c r="AA419" s="147">
        <f t="shared" si="211"/>
        <v>40274.5</v>
      </c>
      <c r="AB419" s="147">
        <f t="shared" si="212"/>
        <v>1622035350.25</v>
      </c>
      <c r="AD419" s="583">
        <f t="shared" si="213"/>
        <v>22.425630986844766</v>
      </c>
      <c r="AE419" s="584">
        <f t="shared" si="214"/>
        <v>-57.324346677982525</v>
      </c>
      <c r="AG419" s="583">
        <f t="shared" si="215"/>
        <v>14.89158716279039</v>
      </c>
      <c r="AH419" s="584">
        <f t="shared" si="216"/>
        <v>-49.115673454755218</v>
      </c>
      <c r="AJ419" s="147">
        <f t="shared" si="217"/>
        <v>0</v>
      </c>
      <c r="AK419" s="147">
        <f t="shared" si="229"/>
        <v>0</v>
      </c>
      <c r="AM419" s="147" t="str">
        <f t="shared" si="221"/>
        <v>0.632627483440616+0.930073886353566i</v>
      </c>
      <c r="AN419" s="147" t="str">
        <f t="shared" si="222"/>
        <v>1.19461391437137i</v>
      </c>
      <c r="AO419" s="147" t="str">
        <f t="shared" si="223"/>
        <v>0.778556046572578-0.529566478198538i</v>
      </c>
      <c r="AP419" s="147" t="str">
        <f t="shared" si="224"/>
        <v>0.0612287527598973-0.155012314392261i</v>
      </c>
      <c r="AQ419" s="147" t="str">
        <f t="shared" si="225"/>
        <v>0.938771247240103+0.155012314392261i</v>
      </c>
      <c r="AR419" s="147" t="str">
        <f t="shared" si="226"/>
        <v>0.863778789577535-0.142629367579165i</v>
      </c>
    </row>
    <row r="420" spans="7:44">
      <c r="G420" s="585">
        <v>40506.25</v>
      </c>
      <c r="H420" s="573">
        <f t="shared" si="218"/>
        <v>40.506250000000001</v>
      </c>
      <c r="I420" s="574">
        <f t="shared" si="198"/>
        <v>279.78212433224218</v>
      </c>
      <c r="J420" s="575">
        <f t="shared" si="199"/>
        <v>1.5672221094228558</v>
      </c>
      <c r="K420" s="575">
        <f t="shared" si="200"/>
        <v>1.0247738010079532</v>
      </c>
      <c r="L420" s="576">
        <f t="shared" si="201"/>
        <v>0.22033126899110461</v>
      </c>
      <c r="M420" s="575">
        <f t="shared" si="202"/>
        <v>1.0380437144867847</v>
      </c>
      <c r="N420" s="576">
        <f t="shared" si="203"/>
        <v>-0.27157139525852025</v>
      </c>
      <c r="O420" s="574">
        <f t="shared" si="204"/>
        <v>763524.82367502991</v>
      </c>
      <c r="P420" s="577">
        <f t="shared" si="205"/>
        <v>1.5707950170797846</v>
      </c>
      <c r="Q420" s="586">
        <f t="shared" si="227"/>
        <v>102.31721325234378</v>
      </c>
      <c r="R420" s="587">
        <f t="shared" si="228"/>
        <v>1.5610226446430815</v>
      </c>
      <c r="S420" s="574">
        <f t="shared" si="206"/>
        <v>1.8317362606931868</v>
      </c>
      <c r="T420" s="577">
        <f t="shared" si="207"/>
        <v>0.99329745819330617</v>
      </c>
      <c r="U420" s="578">
        <f t="shared" si="219"/>
        <v>0.82278930948767459</v>
      </c>
      <c r="V420" s="579">
        <f t="shared" si="220"/>
        <v>-0.76463960127132957</v>
      </c>
      <c r="W420" s="580">
        <f t="shared" si="208"/>
        <v>-25.420926489163275</v>
      </c>
      <c r="X420" s="581">
        <f t="shared" si="209"/>
        <v>-194.01334548146772</v>
      </c>
      <c r="Y420" s="584">
        <f t="shared" si="210"/>
        <v>-14.013345481467724</v>
      </c>
      <c r="AA420" s="147">
        <f t="shared" si="211"/>
        <v>40506.25</v>
      </c>
      <c r="AB420" s="147">
        <f t="shared" si="212"/>
        <v>1640756289.0625</v>
      </c>
      <c r="AD420" s="583">
        <f t="shared" si="213"/>
        <v>22.390702080967632</v>
      </c>
      <c r="AE420" s="584">
        <f t="shared" si="214"/>
        <v>-57.471667917672789</v>
      </c>
      <c r="AG420" s="583">
        <f t="shared" si="215"/>
        <v>14.864018693869365</v>
      </c>
      <c r="AH420" s="584">
        <f t="shared" si="216"/>
        <v>-48.920433460846532</v>
      </c>
      <c r="AJ420" s="147">
        <f t="shared" si="217"/>
        <v>0</v>
      </c>
      <c r="AK420" s="147">
        <f t="shared" si="229"/>
        <v>0</v>
      </c>
      <c r="AM420" s="147" t="str">
        <f t="shared" si="221"/>
        <v>0.639029553046391+0.932577254937151i</v>
      </c>
      <c r="AN420" s="147" t="str">
        <f t="shared" si="222"/>
        <v>1.20148803508437i</v>
      </c>
      <c r="AO420" s="147" t="str">
        <f t="shared" si="223"/>
        <v>0.776185220081417-0.531865099265443i</v>
      </c>
      <c r="AP420" s="147" t="str">
        <f t="shared" si="224"/>
        <v>0.0601617411589348-0.155429542489525i</v>
      </c>
      <c r="AQ420" s="147" t="str">
        <f t="shared" si="225"/>
        <v>0.939838258841065+0.155429542489525i</v>
      </c>
      <c r="AR420" s="147" t="str">
        <f t="shared" si="226"/>
        <v>0.862726942317059-0.142676947524014i</v>
      </c>
    </row>
    <row r="421" spans="7:44">
      <c r="G421" s="585">
        <v>40738</v>
      </c>
      <c r="H421" s="573">
        <f t="shared" si="218"/>
        <v>40.738</v>
      </c>
      <c r="I421" s="574">
        <f t="shared" si="198"/>
        <v>281.3828324043775</v>
      </c>
      <c r="J421" s="575">
        <f t="shared" si="199"/>
        <v>1.5672424422296083</v>
      </c>
      <c r="K421" s="575">
        <f t="shared" si="200"/>
        <v>1.0250546157783604</v>
      </c>
      <c r="L421" s="576">
        <f t="shared" si="201"/>
        <v>0.22155112163294982</v>
      </c>
      <c r="M421" s="575">
        <f t="shared" si="202"/>
        <v>1.0384721933916372</v>
      </c>
      <c r="N421" s="576">
        <f t="shared" si="203"/>
        <v>-0.27304926293767606</v>
      </c>
      <c r="O421" s="574">
        <f t="shared" si="204"/>
        <v>767893.20825485117</v>
      </c>
      <c r="P421" s="577">
        <f t="shared" si="205"/>
        <v>1.5707950245304811</v>
      </c>
      <c r="Q421" s="586">
        <f t="shared" si="227"/>
        <v>102.90254898691414</v>
      </c>
      <c r="R421" s="587">
        <f t="shared" si="228"/>
        <v>1.5610782415752844</v>
      </c>
      <c r="S421" s="574">
        <f t="shared" si="206"/>
        <v>1.8390990409167634</v>
      </c>
      <c r="T421" s="577">
        <f t="shared" si="207"/>
        <v>0.99590390792768835</v>
      </c>
      <c r="U421" s="578">
        <f t="shared" si="219"/>
        <v>0.82123972293127567</v>
      </c>
      <c r="V421" s="579">
        <f t="shared" si="220"/>
        <v>-0.768317642994088</v>
      </c>
      <c r="W421" s="580">
        <f t="shared" si="208"/>
        <v>-25.515736804205211</v>
      </c>
      <c r="X421" s="581">
        <f t="shared" si="209"/>
        <v>-194.3861834327997</v>
      </c>
      <c r="Y421" s="584">
        <f t="shared" si="210"/>
        <v>-14.386183432799697</v>
      </c>
      <c r="AA421" s="147">
        <f t="shared" si="211"/>
        <v>40738</v>
      </c>
      <c r="AB421" s="147">
        <f t="shared" si="212"/>
        <v>1659584644</v>
      </c>
      <c r="AD421" s="583">
        <f t="shared" si="213"/>
        <v>22.355853870470163</v>
      </c>
      <c r="AE421" s="584">
        <f t="shared" si="214"/>
        <v>-57.617821444457256</v>
      </c>
      <c r="AG421" s="583">
        <f t="shared" si="215"/>
        <v>14.83680428789703</v>
      </c>
      <c r="AH421" s="584">
        <f t="shared" si="216"/>
        <v>-48.725645349738251</v>
      </c>
      <c r="AJ421" s="147">
        <f t="shared" si="217"/>
        <v>0</v>
      </c>
      <c r="AK421" s="147">
        <f t="shared" si="229"/>
        <v>0</v>
      </c>
      <c r="AM421" s="147" t="str">
        <f t="shared" si="221"/>
        <v>0.645448679714847+0.935036556121767i</v>
      </c>
      <c r="AN421" s="147" t="str">
        <f t="shared" si="222"/>
        <v>1.20836215579736i</v>
      </c>
      <c r="AO421" s="147" t="str">
        <f t="shared" si="223"/>
        <v>0.773804899165156-0.534151683432138i</v>
      </c>
      <c r="AP421" s="147" t="str">
        <f t="shared" si="224"/>
        <v>0.0590918867141922-0.155839426020294i</v>
      </c>
      <c r="AQ421" s="147" t="str">
        <f t="shared" si="225"/>
        <v>0.940908113285808+0.155839426020294i</v>
      </c>
      <c r="AR421" s="147" t="str">
        <f t="shared" si="226"/>
        <v>0.861677247892251-0.142716685965578i</v>
      </c>
    </row>
    <row r="422" spans="7:44">
      <c r="G422" s="585">
        <v>40975.25</v>
      </c>
      <c r="H422" s="573">
        <f t="shared" si="218"/>
        <v>40.975250000000003</v>
      </c>
      <c r="I422" s="574">
        <f t="shared" si="198"/>
        <v>283.02152935247375</v>
      </c>
      <c r="J422" s="575">
        <f t="shared" si="199"/>
        <v>1.5672630193359156</v>
      </c>
      <c r="K422" s="575">
        <f t="shared" si="200"/>
        <v>1.0253436741516424</v>
      </c>
      <c r="L422" s="576">
        <f t="shared" si="201"/>
        <v>0.22279923033703827</v>
      </c>
      <c r="M422" s="575">
        <f t="shared" si="202"/>
        <v>1.0389131886958818</v>
      </c>
      <c r="N422" s="576">
        <f t="shared" si="203"/>
        <v>-0.27456093790141484</v>
      </c>
      <c r="O422" s="574">
        <f t="shared" si="204"/>
        <v>772365.26539212244</v>
      </c>
      <c r="P422" s="577">
        <f t="shared" si="205"/>
        <v>1.5707950320706972</v>
      </c>
      <c r="Q422" s="586">
        <f t="shared" si="227"/>
        <v>103.50177651015622</v>
      </c>
      <c r="R422" s="587">
        <f t="shared" si="228"/>
        <v>1.5611345065600233</v>
      </c>
      <c r="S422" s="574">
        <f t="shared" si="206"/>
        <v>1.8466493959792756</v>
      </c>
      <c r="T422" s="577">
        <f t="shared" si="207"/>
        <v>0.99855066658287028</v>
      </c>
      <c r="U422" s="578">
        <f t="shared" si="219"/>
        <v>0.81965253076553612</v>
      </c>
      <c r="V422" s="579">
        <f t="shared" si="220"/>
        <v>-0.7720740101325998</v>
      </c>
      <c r="W422" s="580">
        <f t="shared" si="208"/>
        <v>-25.612432186853344</v>
      </c>
      <c r="X422" s="581">
        <f t="shared" si="209"/>
        <v>-194.76611241841249</v>
      </c>
      <c r="Y422" s="584">
        <f t="shared" si="210"/>
        <v>-14.76611241841249</v>
      </c>
      <c r="AA422" s="147">
        <f t="shared" si="211"/>
        <v>40975.25</v>
      </c>
      <c r="AB422" s="147">
        <f t="shared" si="212"/>
        <v>1678971112.5625</v>
      </c>
      <c r="AD422" s="583">
        <f t="shared" si="213"/>
        <v>22.320262526658997</v>
      </c>
      <c r="AE422" s="584">
        <f t="shared" si="214"/>
        <v>-57.766246230821139</v>
      </c>
      <c r="AG422" s="583">
        <f t="shared" si="215"/>
        <v>14.80930679514373</v>
      </c>
      <c r="AH422" s="584">
        <f t="shared" si="216"/>
        <v>-48.526701581818578</v>
      </c>
      <c r="AJ422" s="147">
        <f t="shared" si="217"/>
        <v>0</v>
      </c>
      <c r="AK422" s="147">
        <f t="shared" si="229"/>
        <v>0</v>
      </c>
      <c r="AM422" s="147" t="str">
        <f t="shared" si="221"/>
        <v>0.652037500492901+0.937508452728173i</v>
      </c>
      <c r="AN422" s="147" t="str">
        <f t="shared" si="222"/>
        <v>1.21539941637626i</v>
      </c>
      <c r="AO422" s="147" t="str">
        <f t="shared" si="223"/>
        <v>0.771358320644398-0.536480017768122i</v>
      </c>
      <c r="AP422" s="147" t="str">
        <f t="shared" si="224"/>
        <v>0.0579937499178498-0.156251408788029i</v>
      </c>
      <c r="AQ422" s="147" t="str">
        <f t="shared" si="225"/>
        <v>0.94200625008215+0.156251408788029i</v>
      </c>
      <c r="AR422" s="147" t="str">
        <f t="shared" si="226"/>
        <v>0.860604927801477-0.142749299558441i</v>
      </c>
    </row>
    <row r="423" spans="7:44">
      <c r="G423" s="585">
        <v>41212.5</v>
      </c>
      <c r="H423" s="573">
        <f t="shared" si="218"/>
        <v>41.212499999999999</v>
      </c>
      <c r="I423" s="574">
        <f t="shared" si="198"/>
        <v>284.66022641902646</v>
      </c>
      <c r="J423" s="575">
        <f t="shared" si="199"/>
        <v>1.5672833595307096</v>
      </c>
      <c r="K423" s="575">
        <f t="shared" si="200"/>
        <v>1.0256343288782404</v>
      </c>
      <c r="L423" s="576">
        <f t="shared" si="201"/>
        <v>0.22404663357981283</v>
      </c>
      <c r="M423" s="575">
        <f t="shared" si="202"/>
        <v>1.0393565560664371</v>
      </c>
      <c r="N423" s="576">
        <f t="shared" si="203"/>
        <v>-0.27607132661750017</v>
      </c>
      <c r="O423" s="574">
        <f t="shared" si="204"/>
        <v>776837.32252939371</v>
      </c>
      <c r="P423" s="577">
        <f t="shared" si="205"/>
        <v>1.5707950395240988</v>
      </c>
      <c r="Q423" s="586">
        <f t="shared" si="227"/>
        <v>104.10100435728673</v>
      </c>
      <c r="R423" s="587">
        <f t="shared" si="228"/>
        <v>1.5611901237981474</v>
      </c>
      <c r="S423" s="574">
        <f t="shared" si="206"/>
        <v>1.8542125820261448</v>
      </c>
      <c r="T423" s="577">
        <f t="shared" si="207"/>
        <v>1.001175851666392</v>
      </c>
      <c r="U423" s="578">
        <f t="shared" si="219"/>
        <v>0.81806456791535198</v>
      </c>
      <c r="V423" s="579">
        <f t="shared" si="220"/>
        <v>-0.77582132818045313</v>
      </c>
      <c r="W423" s="580">
        <f t="shared" si="208"/>
        <v>-25.708760864658039</v>
      </c>
      <c r="X423" s="581">
        <f t="shared" si="209"/>
        <v>-195.14427711225221</v>
      </c>
      <c r="Y423" s="584">
        <f t="shared" si="210"/>
        <v>-15.144277112252212</v>
      </c>
      <c r="AA423" s="147">
        <f t="shared" si="211"/>
        <v>41212.5</v>
      </c>
      <c r="AB423" s="147">
        <f t="shared" si="212"/>
        <v>1698470156.25</v>
      </c>
      <c r="AD423" s="583">
        <f t="shared" si="213"/>
        <v>22.284756364353392</v>
      </c>
      <c r="AE423" s="584">
        <f t="shared" si="214"/>
        <v>-57.913472050751636</v>
      </c>
      <c r="AG423" s="583">
        <f t="shared" si="215"/>
        <v>14.782172330895182</v>
      </c>
      <c r="AH423" s="584">
        <f t="shared" si="216"/>
        <v>-48.328229437966719</v>
      </c>
      <c r="AJ423" s="147">
        <f t="shared" si="217"/>
        <v>0</v>
      </c>
      <c r="AK423" s="147">
        <f t="shared" si="229"/>
        <v>0</v>
      </c>
      <c r="AM423" s="147" t="str">
        <f t="shared" si="221"/>
        <v>0.658643553359379+0.939933921260898i</v>
      </c>
      <c r="AN423" s="147" t="str">
        <f t="shared" si="222"/>
        <v>1.22243667695515i</v>
      </c>
      <c r="AO423" s="147" t="str">
        <f t="shared" si="223"/>
        <v>0.768901930856729-0.538795641341465i</v>
      </c>
      <c r="AP423" s="147" t="str">
        <f t="shared" si="224"/>
        <v>0.0568927411067702-0.156655653543483i</v>
      </c>
      <c r="AQ423" s="147" t="str">
        <f t="shared" si="225"/>
        <v>0.94310725889323+0.156655653543483i</v>
      </c>
      <c r="AR423" s="147" t="str">
        <f t="shared" si="226"/>
        <v>0.859534976903803-0.142773806776088i</v>
      </c>
    </row>
    <row r="424" spans="7:44">
      <c r="G424" s="585">
        <v>41449.75</v>
      </c>
      <c r="H424" s="573">
        <f t="shared" si="218"/>
        <v>41.449750000000002</v>
      </c>
      <c r="I424" s="574">
        <f t="shared" si="198"/>
        <v>286.29892360200165</v>
      </c>
      <c r="J424" s="575">
        <f t="shared" si="199"/>
        <v>1.5673034668820243</v>
      </c>
      <c r="K424" s="575">
        <f t="shared" si="200"/>
        <v>1.025926578601368</v>
      </c>
      <c r="L424" s="576">
        <f t="shared" si="201"/>
        <v>0.22529332808056549</v>
      </c>
      <c r="M424" s="575">
        <f t="shared" si="202"/>
        <v>1.0398022924689854</v>
      </c>
      <c r="N424" s="576">
        <f t="shared" si="203"/>
        <v>-0.27758042384448606</v>
      </c>
      <c r="O424" s="574">
        <f t="shared" si="204"/>
        <v>781309.37966666499</v>
      </c>
      <c r="P424" s="577">
        <f t="shared" si="205"/>
        <v>1.570795046892177</v>
      </c>
      <c r="Q424" s="586">
        <f t="shared" si="227"/>
        <v>104.70023252274459</v>
      </c>
      <c r="R424" s="587">
        <f t="shared" si="228"/>
        <v>1.5612451044110041</v>
      </c>
      <c r="S424" s="574">
        <f t="shared" si="206"/>
        <v>1.8617884426865678</v>
      </c>
      <c r="T424" s="577">
        <f t="shared" si="207"/>
        <v>1.0037796901302491</v>
      </c>
      <c r="U424" s="578">
        <f t="shared" si="219"/>
        <v>0.81647590321994579</v>
      </c>
      <c r="V424" s="579">
        <f t="shared" si="220"/>
        <v>-0.77955961738856983</v>
      </c>
      <c r="W424" s="580">
        <f t="shared" si="208"/>
        <v>-25.804725414374499</v>
      </c>
      <c r="X424" s="581">
        <f t="shared" si="209"/>
        <v>-195.52069116162102</v>
      </c>
      <c r="Y424" s="584">
        <f t="shared" si="210"/>
        <v>-15.520691161621016</v>
      </c>
      <c r="AA424" s="147">
        <f t="shared" si="211"/>
        <v>41449.75</v>
      </c>
      <c r="AB424" s="147">
        <f t="shared" si="212"/>
        <v>1718081775.0625</v>
      </c>
      <c r="AD424" s="583">
        <f t="shared" si="213"/>
        <v>22.249335663564661</v>
      </c>
      <c r="AE424" s="584">
        <f t="shared" si="214"/>
        <v>-58.059511270519423</v>
      </c>
      <c r="AG424" s="583">
        <f t="shared" si="215"/>
        <v>14.755396922223184</v>
      </c>
      <c r="AH424" s="584">
        <f t="shared" si="216"/>
        <v>-48.130227878629483</v>
      </c>
      <c r="AJ424" s="147">
        <f t="shared" si="217"/>
        <v>0</v>
      </c>
      <c r="AK424" s="147">
        <f t="shared" si="229"/>
        <v>0</v>
      </c>
      <c r="AM424" s="147" t="str">
        <f t="shared" si="221"/>
        <v>0.665266511163842+0.942312841603877i</v>
      </c>
      <c r="AN424" s="147" t="str">
        <f t="shared" si="222"/>
        <v>1.22947393753404i</v>
      </c>
      <c r="AO424" s="147" t="str">
        <f t="shared" si="223"/>
        <v>0.766435800578154-0.541098506323907i</v>
      </c>
      <c r="AP424" s="147" t="str">
        <f t="shared" si="224"/>
        <v>0.0557889148060263-0.157052140267313i</v>
      </c>
      <c r="AQ424" s="147" t="str">
        <f t="shared" si="225"/>
        <v>0.944211085193974+0.157052140267313i</v>
      </c>
      <c r="AR424" s="147" t="str">
        <f t="shared" si="226"/>
        <v>0.858467450845468-0.142790264400897i</v>
      </c>
    </row>
    <row r="425" spans="7:44">
      <c r="G425" s="585">
        <v>41687</v>
      </c>
      <c r="H425" s="573">
        <f t="shared" si="218"/>
        <v>41.686999999999998</v>
      </c>
      <c r="I425" s="574">
        <f t="shared" si="198"/>
        <v>287.93762089941157</v>
      </c>
      <c r="J425" s="575">
        <f t="shared" si="199"/>
        <v>1.5673233453652875</v>
      </c>
      <c r="K425" s="575">
        <f t="shared" si="200"/>
        <v>1.026220421958344</v>
      </c>
      <c r="L425" s="576">
        <f t="shared" si="201"/>
        <v>0.22653931057112767</v>
      </c>
      <c r="M425" s="575">
        <f t="shared" si="202"/>
        <v>1.0402503948582105</v>
      </c>
      <c r="N425" s="576">
        <f t="shared" si="203"/>
        <v>-0.27908822437341613</v>
      </c>
      <c r="O425" s="574">
        <f t="shared" si="204"/>
        <v>785781.43680393638</v>
      </c>
      <c r="P425" s="577">
        <f t="shared" si="205"/>
        <v>1.5707950541763882</v>
      </c>
      <c r="Q425" s="586">
        <f t="shared" si="227"/>
        <v>105.29946100109522</v>
      </c>
      <c r="R425" s="587">
        <f t="shared" si="228"/>
        <v>1.5612994592668039</v>
      </c>
      <c r="S425" s="574">
        <f t="shared" si="206"/>
        <v>1.869376823864644</v>
      </c>
      <c r="T425" s="577">
        <f t="shared" si="207"/>
        <v>1.006362406408454</v>
      </c>
      <c r="U425" s="578">
        <f t="shared" si="219"/>
        <v>0.81488660467403062</v>
      </c>
      <c r="V425" s="579">
        <f t="shared" si="220"/>
        <v>-0.78328889847375516</v>
      </c>
      <c r="W425" s="580">
        <f t="shared" si="208"/>
        <v>-25.900328378833983</v>
      </c>
      <c r="X425" s="581">
        <f t="shared" si="209"/>
        <v>-195.89536810658325</v>
      </c>
      <c r="Y425" s="584">
        <f t="shared" si="210"/>
        <v>-15.895368106583248</v>
      </c>
      <c r="AA425" s="147">
        <f t="shared" si="211"/>
        <v>41687</v>
      </c>
      <c r="AB425" s="147">
        <f t="shared" si="212"/>
        <v>1737805969</v>
      </c>
      <c r="AD425" s="583">
        <f t="shared" si="213"/>
        <v>22.214000685643406</v>
      </c>
      <c r="AE425" s="584">
        <f t="shared" si="214"/>
        <v>-58.20437612662699</v>
      </c>
      <c r="AG425" s="583">
        <f t="shared" si="215"/>
        <v>14.728976657628348</v>
      </c>
      <c r="AH425" s="584">
        <f t="shared" si="216"/>
        <v>-47.932695833397659</v>
      </c>
      <c r="AJ425" s="147">
        <f t="shared" si="217"/>
        <v>0</v>
      </c>
      <c r="AK425" s="147">
        <f t="shared" si="229"/>
        <v>0</v>
      </c>
      <c r="AM425" s="147" t="str">
        <f t="shared" si="221"/>
        <v>0.671906045918664+0.944645095946236i</v>
      </c>
      <c r="AN425" s="147" t="str">
        <f t="shared" si="222"/>
        <v>1.23651119811293i</v>
      </c>
      <c r="AO425" s="147" t="str">
        <f t="shared" si="223"/>
        <v>0.763960000837746-0.543388565298945i</v>
      </c>
      <c r="AP425" s="147" t="str">
        <f t="shared" si="224"/>
        <v>0.0546823256802227-0.157440849324373i</v>
      </c>
      <c r="AQ425" s="147" t="str">
        <f t="shared" si="225"/>
        <v>0.945317674319777+0.157440849324373i</v>
      </c>
      <c r="AR425" s="147" t="str">
        <f t="shared" si="226"/>
        <v>0.857402404275473-0.142798729367908i</v>
      </c>
    </row>
    <row r="426" spans="7:44">
      <c r="G426" s="585">
        <v>41929.75</v>
      </c>
      <c r="H426" s="573">
        <f t="shared" si="218"/>
        <v>41.929749999999999</v>
      </c>
      <c r="I426" s="574">
        <f t="shared" si="198"/>
        <v>289.61430708093565</v>
      </c>
      <c r="J426" s="575">
        <f t="shared" si="199"/>
        <v>1.5673434518415164</v>
      </c>
      <c r="K426" s="575">
        <f t="shared" si="200"/>
        <v>1.0265227253300651</v>
      </c>
      <c r="L426" s="576">
        <f t="shared" si="201"/>
        <v>0.22781343744183433</v>
      </c>
      <c r="M426" s="575">
        <f t="shared" si="202"/>
        <v>1.0407113309982994</v>
      </c>
      <c r="N426" s="576">
        <f t="shared" si="203"/>
        <v>-0.28062963164608423</v>
      </c>
      <c r="O426" s="574">
        <f t="shared" si="204"/>
        <v>790357.16649865767</v>
      </c>
      <c r="P426" s="577">
        <f t="shared" si="205"/>
        <v>1.5707950615441437</v>
      </c>
      <c r="Q426" s="586">
        <f t="shared" si="227"/>
        <v>105.9125812904125</v>
      </c>
      <c r="R426" s="587">
        <f t="shared" si="228"/>
        <v>1.5613544375860551</v>
      </c>
      <c r="S426" s="574">
        <f t="shared" si="206"/>
        <v>1.8771539220345259</v>
      </c>
      <c r="T426" s="577">
        <f t="shared" si="207"/>
        <v>1.0089833651022888</v>
      </c>
      <c r="U426" s="578">
        <f t="shared" si="219"/>
        <v>0.81325987651262988</v>
      </c>
      <c r="V426" s="579">
        <f t="shared" si="220"/>
        <v>-0.78709533116263242</v>
      </c>
      <c r="W426" s="580">
        <f t="shared" si="208"/>
        <v>-25.997776001151614</v>
      </c>
      <c r="X426" s="581">
        <f t="shared" si="209"/>
        <v>-196.27694695821864</v>
      </c>
      <c r="Y426" s="584">
        <f t="shared" si="210"/>
        <v>-16.276946958218645</v>
      </c>
      <c r="AA426" s="147">
        <f t="shared" si="211"/>
        <v>41929.75</v>
      </c>
      <c r="AB426" s="147">
        <f t="shared" si="212"/>
        <v>1758103935.0625</v>
      </c>
      <c r="AD426" s="583">
        <f t="shared" si="213"/>
        <v>22.177935542122427</v>
      </c>
      <c r="AE426" s="584">
        <f t="shared" si="214"/>
        <v>-58.35139639471334</v>
      </c>
      <c r="AG426" s="583">
        <f t="shared" si="215"/>
        <v>14.70230748293789</v>
      </c>
      <c r="AH426" s="584">
        <f t="shared" si="216"/>
        <v>-47.731069360301717</v>
      </c>
      <c r="AJ426" s="147">
        <f t="shared" si="217"/>
        <v>0</v>
      </c>
      <c r="AK426" s="147">
        <f t="shared" si="229"/>
        <v>0</v>
      </c>
      <c r="AM426" s="147" t="str">
        <f t="shared" si="221"/>
        <v>0.67871631521808+0.946982995566949i</v>
      </c>
      <c r="AN426" s="147" t="str">
        <f t="shared" si="222"/>
        <v>1.24371159855772i</v>
      </c>
      <c r="AO426" s="147" t="str">
        <f t="shared" si="223"/>
        <v>0.761416872420524-0.545718409320263i</v>
      </c>
      <c r="AP426" s="147" t="str">
        <f t="shared" si="224"/>
        <v>0.0535472807969867-0.157830499261158i</v>
      </c>
      <c r="AQ426" s="147" t="str">
        <f t="shared" si="225"/>
        <v>0.946452719203013+0.157830499261158i</v>
      </c>
      <c r="AR426" s="147" t="str">
        <f t="shared" si="226"/>
        <v>0.856315289817031-0.142799177364712i</v>
      </c>
    </row>
    <row r="427" spans="7:44">
      <c r="G427" s="585">
        <v>42172.5</v>
      </c>
      <c r="H427" s="573">
        <f t="shared" si="218"/>
        <v>42.172499999999999</v>
      </c>
      <c r="I427" s="574">
        <f t="shared" si="198"/>
        <v>291.29099337819434</v>
      </c>
      <c r="J427" s="575">
        <f t="shared" si="199"/>
        <v>1.5673633268498812</v>
      </c>
      <c r="K427" s="575">
        <f t="shared" si="200"/>
        <v>1.0268266941752369</v>
      </c>
      <c r="L427" s="576">
        <f t="shared" si="201"/>
        <v>0.22908681202576806</v>
      </c>
      <c r="M427" s="575">
        <f t="shared" si="202"/>
        <v>1.0411747376095406</v>
      </c>
      <c r="N427" s="576">
        <f t="shared" si="203"/>
        <v>-0.28216967047432628</v>
      </c>
      <c r="O427" s="574">
        <f t="shared" si="204"/>
        <v>794932.89619337907</v>
      </c>
      <c r="P427" s="577">
        <f t="shared" si="205"/>
        <v>1.5707950688270798</v>
      </c>
      <c r="Q427" s="586">
        <f t="shared" si="227"/>
        <v>106.52570189617769</v>
      </c>
      <c r="R427" s="587">
        <f t="shared" si="228"/>
        <v>1.5614087830377232</v>
      </c>
      <c r="S427" s="574">
        <f t="shared" si="206"/>
        <v>1.8849438087132719</v>
      </c>
      <c r="T427" s="577">
        <f t="shared" si="207"/>
        <v>1.0115826783145139</v>
      </c>
      <c r="U427" s="578">
        <f t="shared" si="219"/>
        <v>0.8116326260923753</v>
      </c>
      <c r="V427" s="579">
        <f t="shared" si="220"/>
        <v>-0.79089237856664252</v>
      </c>
      <c r="W427" s="580">
        <f t="shared" si="208"/>
        <v>-26.094850359628122</v>
      </c>
      <c r="X427" s="581">
        <f t="shared" si="209"/>
        <v>-196.65673556831479</v>
      </c>
      <c r="Y427" s="584">
        <f t="shared" si="210"/>
        <v>-16.656735568314787</v>
      </c>
      <c r="AA427" s="147">
        <f t="shared" si="211"/>
        <v>42172.5</v>
      </c>
      <c r="AB427" s="147">
        <f t="shared" si="212"/>
        <v>1778519756.25</v>
      </c>
      <c r="AD427" s="583">
        <f t="shared" si="213"/>
        <v>22.14196063803324</v>
      </c>
      <c r="AE427" s="584">
        <f t="shared" si="214"/>
        <v>-58.497212723838224</v>
      </c>
      <c r="AG427" s="583">
        <f t="shared" si="215"/>
        <v>14.676002015885061</v>
      </c>
      <c r="AH427" s="584">
        <f t="shared" si="216"/>
        <v>-47.529932059054005</v>
      </c>
      <c r="AJ427" s="147">
        <f t="shared" si="217"/>
        <v>0</v>
      </c>
      <c r="AK427" s="147">
        <f t="shared" si="229"/>
        <v>0</v>
      </c>
      <c r="AM427" s="147" t="str">
        <f t="shared" si="221"/>
        <v>0.685543241644451+0.949271798340454i</v>
      </c>
      <c r="AN427" s="147" t="str">
        <f t="shared" si="222"/>
        <v>1.25091199900251i</v>
      </c>
      <c r="AO427" s="147" t="str">
        <f t="shared" si="223"/>
        <v>0.758863772269682-0.548034747601038i</v>
      </c>
      <c r="AP427" s="147" t="str">
        <f t="shared" si="224"/>
        <v>0.0524094597259248-0.158211966390076i</v>
      </c>
      <c r="AQ427" s="147" t="str">
        <f t="shared" si="225"/>
        <v>0.947590540274075+0.158211966390076i</v>
      </c>
      <c r="AR427" s="147" t="str">
        <f t="shared" si="226"/>
        <v>0.855230883725438-0.142791378850815i</v>
      </c>
    </row>
    <row r="428" spans="7:44">
      <c r="G428" s="585">
        <v>42415.25</v>
      </c>
      <c r="H428" s="573">
        <f t="shared" si="218"/>
        <v>42.41525</v>
      </c>
      <c r="I428" s="574">
        <f t="shared" si="198"/>
        <v>292.96767978920053</v>
      </c>
      <c r="J428" s="575">
        <f t="shared" si="199"/>
        <v>1.5673829743645149</v>
      </c>
      <c r="K428" s="575">
        <f t="shared" si="200"/>
        <v>1.0271323270152222</v>
      </c>
      <c r="L428" s="576">
        <f t="shared" si="201"/>
        <v>0.23035943086315286</v>
      </c>
      <c r="M428" s="575">
        <f t="shared" si="202"/>
        <v>1.0416406113947336</v>
      </c>
      <c r="N428" s="576">
        <f t="shared" si="203"/>
        <v>-0.28370833538434059</v>
      </c>
      <c r="O428" s="574">
        <f t="shared" si="204"/>
        <v>799508.62588810048</v>
      </c>
      <c r="P428" s="577">
        <f t="shared" si="205"/>
        <v>1.5707950760266527</v>
      </c>
      <c r="Q428" s="586">
        <f t="shared" si="227"/>
        <v>107.13882281295797</v>
      </c>
      <c r="R428" s="587">
        <f t="shared" si="228"/>
        <v>1.5614625064865757</v>
      </c>
      <c r="S428" s="574">
        <f t="shared" si="206"/>
        <v>1.8927463260017019</v>
      </c>
      <c r="T428" s="577">
        <f t="shared" si="207"/>
        <v>1.0141605783921632</v>
      </c>
      <c r="U428" s="578">
        <f t="shared" si="219"/>
        <v>0.81000492351770126</v>
      </c>
      <c r="V428" s="579">
        <f t="shared" si="220"/>
        <v>-0.79468006433670646</v>
      </c>
      <c r="W428" s="580">
        <f t="shared" si="208"/>
        <v>-26.191554072817198</v>
      </c>
      <c r="X428" s="581">
        <f t="shared" si="209"/>
        <v>-197.03474809435806</v>
      </c>
      <c r="Y428" s="584">
        <f t="shared" si="210"/>
        <v>-17.034748094358065</v>
      </c>
      <c r="AA428" s="147">
        <f t="shared" si="211"/>
        <v>42415.25</v>
      </c>
      <c r="AB428" s="147">
        <f t="shared" si="212"/>
        <v>1799053432.5625</v>
      </c>
      <c r="AD428" s="583">
        <f t="shared" si="213"/>
        <v>22.106076196062453</v>
      </c>
      <c r="AE428" s="584">
        <f t="shared" si="214"/>
        <v>-58.641837804084247</v>
      </c>
      <c r="AG428" s="583">
        <f t="shared" si="215"/>
        <v>14.650056257995605</v>
      </c>
      <c r="AH428" s="584">
        <f t="shared" si="216"/>
        <v>-47.329282686862435</v>
      </c>
      <c r="AJ428" s="147">
        <f t="shared" si="217"/>
        <v>0</v>
      </c>
      <c r="AK428" s="147">
        <f t="shared" si="229"/>
        <v>0</v>
      </c>
      <c r="AM428" s="147" t="str">
        <f t="shared" si="221"/>
        <v>0.692386471252074+0.951511385602531i</v>
      </c>
      <c r="AN428" s="147" t="str">
        <f t="shared" si="222"/>
        <v>1.2581123994473i</v>
      </c>
      <c r="AO428" s="147" t="str">
        <f t="shared" si="223"/>
        <v>0.756300777275972-0.55033753069777i</v>
      </c>
      <c r="AP428" s="147" t="str">
        <f t="shared" si="224"/>
        <v>0.0512689214579877-0.158585230933755i</v>
      </c>
      <c r="AQ428" s="147" t="str">
        <f t="shared" si="225"/>
        <v>0.948731078542012+0.158585230933755i</v>
      </c>
      <c r="AR428" s="147" t="str">
        <f t="shared" si="226"/>
        <v>0.854149241346287-0.142775395214161i</v>
      </c>
    </row>
    <row r="429" spans="7:44">
      <c r="G429" s="585">
        <v>42658</v>
      </c>
      <c r="H429" s="573">
        <f t="shared" si="218"/>
        <v>42.658000000000001</v>
      </c>
      <c r="I429" s="574">
        <f t="shared" si="198"/>
        <v>294.64436631201244</v>
      </c>
      <c r="J429" s="575">
        <f t="shared" si="199"/>
        <v>1.5674023982690906</v>
      </c>
      <c r="K429" s="575">
        <f t="shared" si="200"/>
        <v>1.0274396223650537</v>
      </c>
      <c r="L429" s="576">
        <f t="shared" si="201"/>
        <v>0.23163129050811015</v>
      </c>
      <c r="M429" s="575">
        <f t="shared" si="202"/>
        <v>1.0421089490450355</v>
      </c>
      <c r="N429" s="576">
        <f t="shared" si="203"/>
        <v>-0.28524562093810957</v>
      </c>
      <c r="O429" s="574">
        <f t="shared" si="204"/>
        <v>804084.35558282188</v>
      </c>
      <c r="P429" s="577">
        <f t="shared" si="205"/>
        <v>1.5707950831442858</v>
      </c>
      <c r="Q429" s="586">
        <f t="shared" si="227"/>
        <v>107.75194403544424</v>
      </c>
      <c r="R429" s="587">
        <f t="shared" si="228"/>
        <v>1.5615156185501071</v>
      </c>
      <c r="S429" s="574">
        <f t="shared" si="206"/>
        <v>1.9005613183396475</v>
      </c>
      <c r="T429" s="577">
        <f t="shared" si="207"/>
        <v>1.0167172950083909</v>
      </c>
      <c r="U429" s="578">
        <f t="shared" si="219"/>
        <v>0.80837683797869453</v>
      </c>
      <c r="V429" s="579">
        <f t="shared" si="220"/>
        <v>-0.79845841259756822</v>
      </c>
      <c r="W429" s="580">
        <f t="shared" si="208"/>
        <v>-26.287889725395921</v>
      </c>
      <c r="X429" s="581">
        <f t="shared" si="209"/>
        <v>-197.41099857801774</v>
      </c>
      <c r="Y429" s="584">
        <f t="shared" si="210"/>
        <v>-17.41099857801774</v>
      </c>
      <c r="AA429" s="147">
        <f t="shared" si="211"/>
        <v>42658</v>
      </c>
      <c r="AB429" s="147">
        <f t="shared" si="212"/>
        <v>1819704964</v>
      </c>
      <c r="AD429" s="583">
        <f t="shared" si="213"/>
        <v>22.070282420692841</v>
      </c>
      <c r="AE429" s="584">
        <f t="shared" si="214"/>
        <v>-58.785284186497719</v>
      </c>
      <c r="AG429" s="583">
        <f t="shared" si="215"/>
        <v>14.624466272657934</v>
      </c>
      <c r="AH429" s="584">
        <f t="shared" si="216"/>
        <v>-47.129119969857932</v>
      </c>
      <c r="AJ429" s="147">
        <f t="shared" si="217"/>
        <v>0</v>
      </c>
      <c r="AK429" s="147">
        <f t="shared" si="229"/>
        <v>0</v>
      </c>
      <c r="AM429" s="147" t="str">
        <f t="shared" si="221"/>
        <v>0.699245649249995+0.953701641240563i</v>
      </c>
      <c r="AN429" s="147" t="str">
        <f t="shared" si="222"/>
        <v>1.26531279989209i</v>
      </c>
      <c r="AO429" s="147" t="str">
        <f t="shared" si="223"/>
        <v>0.7537279645965-0.552626709624394i</v>
      </c>
      <c r="AP429" s="147" t="str">
        <f t="shared" si="224"/>
        <v>0.0501257251250008-0.158950273540094i</v>
      </c>
      <c r="AQ429" s="147" t="str">
        <f t="shared" si="225"/>
        <v>0.949874274874999+0.158950273540094i</v>
      </c>
      <c r="AR429" s="147" t="str">
        <f t="shared" si="226"/>
        <v>0.853070416965797-0.142751287946523i</v>
      </c>
    </row>
    <row r="430" spans="7:44">
      <c r="G430" s="585">
        <v>42906.5</v>
      </c>
      <c r="H430" s="573">
        <f t="shared" si="218"/>
        <v>42.906500000000001</v>
      </c>
      <c r="I430" s="574">
        <f t="shared" si="198"/>
        <v>296.36076848935789</v>
      </c>
      <c r="J430" s="575">
        <f t="shared" si="199"/>
        <v>1.5674220546106308</v>
      </c>
      <c r="K430" s="575">
        <f t="shared" si="200"/>
        <v>1.0277559170844124</v>
      </c>
      <c r="L430" s="576">
        <f t="shared" si="201"/>
        <v>0.23293248662898919</v>
      </c>
      <c r="M430" s="575">
        <f t="shared" si="202"/>
        <v>1.042590928803983</v>
      </c>
      <c r="N430" s="576">
        <f t="shared" si="203"/>
        <v>-0.28681788566101701</v>
      </c>
      <c r="O430" s="574">
        <f t="shared" si="204"/>
        <v>808768.47022396838</v>
      </c>
      <c r="P430" s="577">
        <f t="shared" si="205"/>
        <v>1.5707950903470913</v>
      </c>
      <c r="Q430" s="586">
        <f t="shared" si="227"/>
        <v>108.37958852294429</v>
      </c>
      <c r="R430" s="587">
        <f t="shared" si="228"/>
        <v>1.5615693662275374</v>
      </c>
      <c r="S430" s="574">
        <f t="shared" si="206"/>
        <v>1.908574185587401</v>
      </c>
      <c r="T430" s="577">
        <f t="shared" si="207"/>
        <v>1.0193128672999519</v>
      </c>
      <c r="U430" s="578">
        <f t="shared" si="219"/>
        <v>0.80670986270498024</v>
      </c>
      <c r="V430" s="579">
        <f t="shared" si="220"/>
        <v>-0.80231661207403926</v>
      </c>
      <c r="W430" s="580">
        <f t="shared" si="208"/>
        <v>-26.386128695351072</v>
      </c>
      <c r="X430" s="581">
        <f t="shared" si="209"/>
        <v>-197.79435067258535</v>
      </c>
      <c r="Y430" s="584">
        <f t="shared" si="210"/>
        <v>-17.794350672585352</v>
      </c>
      <c r="AA430" s="147">
        <f t="shared" si="211"/>
        <v>42906.5</v>
      </c>
      <c r="AB430" s="147">
        <f t="shared" si="212"/>
        <v>1840967742.25</v>
      </c>
      <c r="AD430" s="583">
        <f t="shared" si="213"/>
        <v>22.033734909383714</v>
      </c>
      <c r="AE430" s="584">
        <f t="shared" si="214"/>
        <v>-58.930920422006658</v>
      </c>
      <c r="AG430" s="583">
        <f t="shared" si="215"/>
        <v>14.598634606287401</v>
      </c>
      <c r="AH430" s="584">
        <f t="shared" si="216"/>
        <v>-46.924718735368657</v>
      </c>
      <c r="AJ430" s="147">
        <f t="shared" si="217"/>
        <v>0</v>
      </c>
      <c r="AK430" s="147">
        <f t="shared" si="229"/>
        <v>0</v>
      </c>
      <c r="AM430" s="147" t="str">
        <f t="shared" si="221"/>
        <v>0.706283448303777+0.95589256052115i</v>
      </c>
      <c r="AN430" s="147" t="str">
        <f t="shared" si="222"/>
        <v>1.27268375565122i</v>
      </c>
      <c r="AO430" s="147" t="str">
        <f t="shared" si="223"/>
        <v>0.751084121468989-0.554955970143878i</v>
      </c>
      <c r="AP430" s="147" t="str">
        <f t="shared" si="224"/>
        <v>0.0489527586160372-0.159315426753525i</v>
      </c>
      <c r="AQ430" s="147" t="str">
        <f t="shared" si="225"/>
        <v>0.951047241383963+0.159315426753525i</v>
      </c>
      <c r="AR430" s="147" t="str">
        <f t="shared" si="226"/>
        <v>0.851969013042629-0.142718259395978i</v>
      </c>
    </row>
    <row r="431" spans="7:44">
      <c r="G431" s="585">
        <v>43155</v>
      </c>
      <c r="H431" s="573">
        <f t="shared" si="218"/>
        <v>43.155000000000001</v>
      </c>
      <c r="I431" s="574">
        <f t="shared" si="198"/>
        <v>298.07717077989008</v>
      </c>
      <c r="J431" s="575">
        <f t="shared" si="199"/>
        <v>1.5674414845799971</v>
      </c>
      <c r="K431" s="575">
        <f t="shared" si="200"/>
        <v>1.0280739508365428</v>
      </c>
      <c r="L431" s="576">
        <f t="shared" si="201"/>
        <v>0.23423287990274697</v>
      </c>
      <c r="M431" s="575">
        <f t="shared" si="202"/>
        <v>1.0430754834792308</v>
      </c>
      <c r="N431" s="576">
        <f t="shared" si="203"/>
        <v>-0.28838869349104479</v>
      </c>
      <c r="O431" s="574">
        <f t="shared" si="204"/>
        <v>813452.58486511477</v>
      </c>
      <c r="P431" s="577">
        <f t="shared" si="205"/>
        <v>1.5707950974669449</v>
      </c>
      <c r="Q431" s="586">
        <f t="shared" si="227"/>
        <v>109.00723331992728</v>
      </c>
      <c r="R431" s="587">
        <f t="shared" si="228"/>
        <v>1.5616224949654574</v>
      </c>
      <c r="S431" s="574">
        <f t="shared" si="206"/>
        <v>1.9165998033274028</v>
      </c>
      <c r="T431" s="577">
        <f t="shared" si="207"/>
        <v>1.0218867192827266</v>
      </c>
      <c r="U431" s="578">
        <f t="shared" si="219"/>
        <v>0.8050426299195369</v>
      </c>
      <c r="V431" s="579">
        <f t="shared" si="220"/>
        <v>-0.80616507909166768</v>
      </c>
      <c r="W431" s="580">
        <f t="shared" si="208"/>
        <v>-26.483987337585418</v>
      </c>
      <c r="X431" s="581">
        <f t="shared" si="209"/>
        <v>-198.17588566994894</v>
      </c>
      <c r="Y431" s="584">
        <f t="shared" si="210"/>
        <v>-18.17588566994894</v>
      </c>
      <c r="AA431" s="147">
        <f t="shared" si="211"/>
        <v>43155</v>
      </c>
      <c r="AB431" s="147">
        <f t="shared" si="212"/>
        <v>1862354025</v>
      </c>
      <c r="AD431" s="583">
        <f t="shared" si="213"/>
        <v>21.997282788263746</v>
      </c>
      <c r="AE431" s="584">
        <f t="shared" si="214"/>
        <v>-59.075347633359939</v>
      </c>
      <c r="AG431" s="583">
        <f t="shared" si="215"/>
        <v>14.573167611140615</v>
      </c>
      <c r="AH431" s="584">
        <f t="shared" si="216"/>
        <v>-46.720824685464194</v>
      </c>
      <c r="AJ431" s="147">
        <f t="shared" si="217"/>
        <v>0</v>
      </c>
      <c r="AK431" s="147">
        <f t="shared" si="229"/>
        <v>0</v>
      </c>
      <c r="AM431" s="147" t="str">
        <f t="shared" si="221"/>
        <v>0.713337205196+0.958031545448875i</v>
      </c>
      <c r="AN431" s="147" t="str">
        <f t="shared" si="222"/>
        <v>1.28005471141036i</v>
      </c>
      <c r="AO431" s="147" t="str">
        <f t="shared" si="223"/>
        <v>0.748430154515286-0.557270871969252i</v>
      </c>
      <c r="AP431" s="147" t="str">
        <f t="shared" si="224"/>
        <v>0.0477771324673333-0.159671924241479i</v>
      </c>
      <c r="AQ431" s="147" t="str">
        <f t="shared" si="225"/>
        <v>0.952222867532667+0.159671924241479i</v>
      </c>
      <c r="AR431" s="147" t="str">
        <f t="shared" si="226"/>
        <v>0.850870673960573-0.142676848481869i</v>
      </c>
    </row>
    <row r="432" spans="7:44">
      <c r="G432" s="585">
        <v>43403.5</v>
      </c>
      <c r="H432" s="573">
        <f t="shared" si="218"/>
        <v>43.403500000000001</v>
      </c>
      <c r="I432" s="574">
        <f t="shared" si="198"/>
        <v>299.7935731816649</v>
      </c>
      <c r="J432" s="575">
        <f t="shared" si="199"/>
        <v>1.567460692065308</v>
      </c>
      <c r="K432" s="575">
        <f t="shared" si="200"/>
        <v>1.028393722008043</v>
      </c>
      <c r="L432" s="576">
        <f t="shared" si="201"/>
        <v>0.23553246667829111</v>
      </c>
      <c r="M432" s="575">
        <f t="shared" si="202"/>
        <v>1.043562609483967</v>
      </c>
      <c r="N432" s="576">
        <f t="shared" si="203"/>
        <v>-0.28995803871129699</v>
      </c>
      <c r="O432" s="574">
        <f t="shared" si="204"/>
        <v>818136.69950626127</v>
      </c>
      <c r="P432" s="577">
        <f t="shared" si="205"/>
        <v>1.5707951045052713</v>
      </c>
      <c r="Q432" s="586">
        <f t="shared" si="227"/>
        <v>109.63487842107794</v>
      </c>
      <c r="R432" s="587">
        <f t="shared" si="228"/>
        <v>1.5616750153936036</v>
      </c>
      <c r="S432" s="574">
        <f t="shared" si="206"/>
        <v>1.9246380120534412</v>
      </c>
      <c r="T432" s="577">
        <f t="shared" si="207"/>
        <v>1.0244390887833392</v>
      </c>
      <c r="U432" s="578">
        <f t="shared" si="219"/>
        <v>0.80337521089157604</v>
      </c>
      <c r="V432" s="579">
        <f t="shared" si="220"/>
        <v>-0.81000384101374434</v>
      </c>
      <c r="W432" s="580">
        <f t="shared" si="208"/>
        <v>-26.581468319470499</v>
      </c>
      <c r="X432" s="581">
        <f t="shared" si="209"/>
        <v>-198.55561825982488</v>
      </c>
      <c r="Y432" s="584">
        <f t="shared" si="210"/>
        <v>-18.555618259824882</v>
      </c>
      <c r="AA432" s="147">
        <f t="shared" si="211"/>
        <v>43403.5</v>
      </c>
      <c r="AB432" s="147">
        <f t="shared" si="212"/>
        <v>1883863812.25</v>
      </c>
      <c r="AD432" s="583">
        <f t="shared" si="213"/>
        <v>21.960926220866849</v>
      </c>
      <c r="AE432" s="584">
        <f t="shared" si="214"/>
        <v>-59.218578838062029</v>
      </c>
      <c r="AG432" s="583">
        <f t="shared" si="215"/>
        <v>14.548061257328335</v>
      </c>
      <c r="AH432" s="584">
        <f t="shared" si="216"/>
        <v>-46.517436356754438</v>
      </c>
      <c r="AJ432" s="147">
        <f t="shared" si="217"/>
        <v>0</v>
      </c>
      <c r="AK432" s="147">
        <f t="shared" si="229"/>
        <v>0</v>
      </c>
      <c r="AM432" s="147" t="str">
        <f t="shared" si="221"/>
        <v>0.720406536690792+0.960118479811092i</v>
      </c>
      <c r="AN432" s="147" t="str">
        <f t="shared" si="222"/>
        <v>1.28742566716949i</v>
      </c>
      <c r="AO432" s="147" t="str">
        <f t="shared" si="223"/>
        <v>0.745766147355125-0.559571364049829i</v>
      </c>
      <c r="AP432" s="147" t="str">
        <f t="shared" si="224"/>
        <v>0.0465989105515347-0.160019746635182i</v>
      </c>
      <c r="AQ432" s="147" t="str">
        <f t="shared" si="225"/>
        <v>0.953401089448465+0.160019746635182i</v>
      </c>
      <c r="AR432" s="147" t="str">
        <f t="shared" si="226"/>
        <v>0.849775454564982-0.142627121409048i</v>
      </c>
    </row>
    <row r="433" spans="7:44">
      <c r="G433" s="585">
        <v>43652</v>
      </c>
      <c r="H433" s="573">
        <f t="shared" si="218"/>
        <v>43.652000000000001</v>
      </c>
      <c r="I433" s="574">
        <f t="shared" si="198"/>
        <v>301.50997569278258</v>
      </c>
      <c r="J433" s="575">
        <f t="shared" si="199"/>
        <v>1.5674796808661464</v>
      </c>
      <c r="K433" s="575">
        <f t="shared" si="200"/>
        <v>1.0287152289787067</v>
      </c>
      <c r="L433" s="576">
        <f t="shared" si="201"/>
        <v>0.23683124331995345</v>
      </c>
      <c r="M433" s="575">
        <f t="shared" si="202"/>
        <v>1.0440523032190567</v>
      </c>
      <c r="N433" s="576">
        <f t="shared" si="203"/>
        <v>-0.29152591564433633</v>
      </c>
      <c r="O433" s="574">
        <f t="shared" si="204"/>
        <v>822820.81414740777</v>
      </c>
      <c r="P433" s="577">
        <f t="shared" si="205"/>
        <v>1.5707951114634626</v>
      </c>
      <c r="Q433" s="586">
        <f t="shared" si="227"/>
        <v>110.26252382120207</v>
      </c>
      <c r="R433" s="587">
        <f t="shared" si="228"/>
        <v>1.5617269378996967</v>
      </c>
      <c r="S433" s="574">
        <f t="shared" si="206"/>
        <v>1.9326886546647288</v>
      </c>
      <c r="T433" s="577">
        <f t="shared" si="207"/>
        <v>1.0269702107946488</v>
      </c>
      <c r="U433" s="578">
        <f t="shared" si="219"/>
        <v>0.80170767590202152</v>
      </c>
      <c r="V433" s="579">
        <f t="shared" si="220"/>
        <v>-0.81383292568391929</v>
      </c>
      <c r="W433" s="580">
        <f t="shared" si="208"/>
        <v>-26.678574274437196</v>
      </c>
      <c r="X433" s="581">
        <f t="shared" si="209"/>
        <v>-198.93356300725853</v>
      </c>
      <c r="Y433" s="584">
        <f t="shared" si="210"/>
        <v>-18.933563007258527</v>
      </c>
      <c r="AA433" s="147">
        <f t="shared" si="211"/>
        <v>43652</v>
      </c>
      <c r="AB433" s="147">
        <f t="shared" si="212"/>
        <v>1905497104</v>
      </c>
      <c r="AD433" s="583">
        <f t="shared" si="213"/>
        <v>21.924665353019943</v>
      </c>
      <c r="AE433" s="584">
        <f t="shared" si="214"/>
        <v>-59.360626905119176</v>
      </c>
      <c r="AG433" s="583">
        <f t="shared" si="215"/>
        <v>14.523311577410452</v>
      </c>
      <c r="AH433" s="584">
        <f t="shared" si="216"/>
        <v>-46.314552254631032</v>
      </c>
      <c r="AJ433" s="147">
        <f t="shared" si="217"/>
        <v>0</v>
      </c>
      <c r="AK433" s="147">
        <f t="shared" si="229"/>
        <v>0</v>
      </c>
      <c r="AM433" s="147" t="str">
        <f t="shared" si="221"/>
        <v>0.727491058706142+0.962153250223113i</v>
      </c>
      <c r="AN433" s="147" t="str">
        <f t="shared" si="222"/>
        <v>1.29479662292863i</v>
      </c>
      <c r="AO433" s="147" t="str">
        <f t="shared" si="223"/>
        <v>0.743092183888209-0.561857395843889i</v>
      </c>
      <c r="AP433" s="147" t="str">
        <f t="shared" si="224"/>
        <v>0.0454181568823097-0.160358875037186i</v>
      </c>
      <c r="AQ433" s="147" t="str">
        <f t="shared" si="225"/>
        <v>0.95458184311769+0.160358875037186i</v>
      </c>
      <c r="AR433" s="147" t="str">
        <f t="shared" si="226"/>
        <v>0.848683408578307-0.142569144430671i</v>
      </c>
    </row>
    <row r="434" spans="7:44">
      <c r="G434" s="585">
        <v>43906</v>
      </c>
      <c r="H434" s="573">
        <f t="shared" si="218"/>
        <v>43.905999999999999</v>
      </c>
      <c r="I434" s="574">
        <f t="shared" si="198"/>
        <v>303.26436710293962</v>
      </c>
      <c r="J434" s="575">
        <f t="shared" si="199"/>
        <v>1.5674988678096515</v>
      </c>
      <c r="K434" s="575">
        <f t="shared" si="200"/>
        <v>1.029045643955439</v>
      </c>
      <c r="L434" s="576">
        <f t="shared" si="201"/>
        <v>0.23815792452419671</v>
      </c>
      <c r="M434" s="575">
        <f t="shared" si="202"/>
        <v>1.0445554850921994</v>
      </c>
      <c r="N434" s="576">
        <f t="shared" si="203"/>
        <v>-0.29312697081685912</v>
      </c>
      <c r="O434" s="574">
        <f t="shared" si="204"/>
        <v>827608.60134600429</v>
      </c>
      <c r="P434" s="577">
        <f t="shared" si="205"/>
        <v>1.5707951184942599</v>
      </c>
      <c r="Q434" s="586">
        <f t="shared" si="227"/>
        <v>110.9040610731054</v>
      </c>
      <c r="R434" s="587">
        <f t="shared" si="228"/>
        <v>1.5617794022452109</v>
      </c>
      <c r="S434" s="574">
        <f t="shared" si="206"/>
        <v>1.9409301691622232</v>
      </c>
      <c r="T434" s="577">
        <f t="shared" si="207"/>
        <v>1.029535637227285</v>
      </c>
      <c r="U434" s="578">
        <f t="shared" si="219"/>
        <v>0.80000318599698683</v>
      </c>
      <c r="V434" s="579">
        <f t="shared" si="220"/>
        <v>-0.8177367872873772</v>
      </c>
      <c r="W434" s="580">
        <f t="shared" si="208"/>
        <v>-26.777444593257233</v>
      </c>
      <c r="X434" s="581">
        <f t="shared" si="209"/>
        <v>-199.31804012715796</v>
      </c>
      <c r="Y434" s="584">
        <f t="shared" si="210"/>
        <v>-19.318040127157957</v>
      </c>
      <c r="AA434" s="147">
        <f t="shared" si="211"/>
        <v>43906</v>
      </c>
      <c r="AB434" s="147">
        <f t="shared" si="212"/>
        <v>1927736836</v>
      </c>
      <c r="AD434" s="583">
        <f t="shared" si="213"/>
        <v>21.887700964740212</v>
      </c>
      <c r="AE434" s="584">
        <f t="shared" si="214"/>
        <v>-59.50460942978718</v>
      </c>
      <c r="AG434" s="583">
        <f t="shared" si="215"/>
        <v>14.498378654034362</v>
      </c>
      <c r="AH434" s="584">
        <f t="shared" si="216"/>
        <v>-46.107697261988626</v>
      </c>
      <c r="AJ434" s="147">
        <f t="shared" si="217"/>
        <v>0</v>
      </c>
      <c r="AK434" s="147">
        <f t="shared" si="229"/>
        <v>0</v>
      </c>
      <c r="AM434" s="147" t="str">
        <f t="shared" si="221"/>
        <v>0.734747678842211+0.964179032192883i</v>
      </c>
      <c r="AN434" s="147" t="str">
        <f t="shared" si="222"/>
        <v>1.30233071855366i</v>
      </c>
      <c r="AO434" s="147" t="str">
        <f t="shared" si="223"/>
        <v>0.74034883647963-0.564179027934015i</v>
      </c>
      <c r="AP434" s="147" t="str">
        <f t="shared" si="224"/>
        <v>0.0442087201929648-0.16069650536548i</v>
      </c>
      <c r="AQ434" s="147" t="str">
        <f t="shared" si="225"/>
        <v>0.955791279807035+0.16069650536548i</v>
      </c>
      <c r="AR434" s="147" t="str">
        <f t="shared" si="226"/>
        <v>0.847570526864966-0.14250142745127i</v>
      </c>
    </row>
    <row r="435" spans="7:44">
      <c r="G435" s="585">
        <v>44160</v>
      </c>
      <c r="H435" s="573">
        <f t="shared" si="218"/>
        <v>44.16</v>
      </c>
      <c r="I435" s="574">
        <f t="shared" si="198"/>
        <v>305.01875862345571</v>
      </c>
      <c r="J435" s="575">
        <f t="shared" si="199"/>
        <v>1.5675178340361746</v>
      </c>
      <c r="K435" s="575">
        <f t="shared" si="200"/>
        <v>1.0293778689733344</v>
      </c>
      <c r="L435" s="576">
        <f t="shared" si="201"/>
        <v>0.23948375170527914</v>
      </c>
      <c r="M435" s="575">
        <f t="shared" si="202"/>
        <v>1.0450613419730999</v>
      </c>
      <c r="N435" s="576">
        <f t="shared" si="203"/>
        <v>-0.29472648012022579</v>
      </c>
      <c r="O435" s="574">
        <f t="shared" si="204"/>
        <v>832396.38854460081</v>
      </c>
      <c r="P435" s="577">
        <f t="shared" si="205"/>
        <v>1.5707951254441774</v>
      </c>
      <c r="Q435" s="586">
        <f t="shared" si="227"/>
        <v>111.54559862676162</v>
      </c>
      <c r="R435" s="587">
        <f t="shared" si="228"/>
        <v>1.5618312631094509</v>
      </c>
      <c r="S435" s="574">
        <f t="shared" si="206"/>
        <v>1.9491843496513064</v>
      </c>
      <c r="T435" s="577">
        <f t="shared" si="207"/>
        <v>1.0320793527408827</v>
      </c>
      <c r="U435" s="578">
        <f t="shared" si="219"/>
        <v>0.79829872027892823</v>
      </c>
      <c r="V435" s="579">
        <f t="shared" si="220"/>
        <v>-0.82163059884546441</v>
      </c>
      <c r="W435" s="580">
        <f t="shared" si="208"/>
        <v>-26.875928558892056</v>
      </c>
      <c r="X435" s="581">
        <f t="shared" si="209"/>
        <v>-199.70067976413017</v>
      </c>
      <c r="Y435" s="584">
        <f t="shared" si="210"/>
        <v>-19.700679764130172</v>
      </c>
      <c r="AA435" s="147">
        <f t="shared" si="211"/>
        <v>44160</v>
      </c>
      <c r="AB435" s="147">
        <f t="shared" si="212"/>
        <v>1950105600</v>
      </c>
      <c r="AD435" s="583">
        <f t="shared" si="213"/>
        <v>21.850836812877684</v>
      </c>
      <c r="AE435" s="584">
        <f t="shared" si="214"/>
        <v>-59.64738258271953</v>
      </c>
      <c r="AG435" s="583">
        <f t="shared" si="215"/>
        <v>14.473810179994773</v>
      </c>
      <c r="AH435" s="584">
        <f t="shared" si="216"/>
        <v>-45.90136580852333</v>
      </c>
      <c r="AJ435" s="147">
        <f t="shared" si="217"/>
        <v>0</v>
      </c>
      <c r="AK435" s="147">
        <f t="shared" si="229"/>
        <v>0</v>
      </c>
      <c r="AM435" s="147" t="str">
        <f t="shared" si="221"/>
        <v>0.742019355317638+0.966150085115803i</v>
      </c>
      <c r="AN435" s="147" t="str">
        <f t="shared" si="222"/>
        <v>1.30986481417869i</v>
      </c>
      <c r="AO435" s="147" t="str">
        <f t="shared" si="223"/>
        <v>0.737595265295829-0.566485447418403i</v>
      </c>
      <c r="AP435" s="147" t="str">
        <f t="shared" si="224"/>
        <v>0.042996774113727-0.161025014185967i</v>
      </c>
      <c r="AQ435" s="147" t="str">
        <f t="shared" si="225"/>
        <v>0.957003225886273+0.161025014185967i</v>
      </c>
      <c r="AR435" s="147" t="str">
        <f t="shared" si="226"/>
        <v>0.846461070540435-0.142425231393985i</v>
      </c>
    </row>
    <row r="436" spans="7:44">
      <c r="G436" s="585">
        <v>44414</v>
      </c>
      <c r="H436" s="573">
        <f t="shared" si="218"/>
        <v>44.414000000000001</v>
      </c>
      <c r="I436" s="574">
        <f t="shared" si="198"/>
        <v>306.77315025243746</v>
      </c>
      <c r="J436" s="575">
        <f t="shared" si="199"/>
        <v>1.5675365833324482</v>
      </c>
      <c r="K436" s="575">
        <f t="shared" si="200"/>
        <v>1.0297119022804246</v>
      </c>
      <c r="L436" s="576">
        <f t="shared" si="201"/>
        <v>0.24080872103096337</v>
      </c>
      <c r="M436" s="575">
        <f t="shared" si="202"/>
        <v>1.0455698699791733</v>
      </c>
      <c r="N436" s="576">
        <f t="shared" si="203"/>
        <v>-0.29632443761965072</v>
      </c>
      <c r="O436" s="574">
        <f t="shared" si="204"/>
        <v>837184.17574319732</v>
      </c>
      <c r="P436" s="577">
        <f t="shared" si="205"/>
        <v>1.570795132314603</v>
      </c>
      <c r="Q436" s="586">
        <f t="shared" si="227"/>
        <v>112.18713647699407</v>
      </c>
      <c r="R436" s="587">
        <f t="shared" si="228"/>
        <v>1.5618825308450892</v>
      </c>
      <c r="S436" s="574">
        <f t="shared" si="206"/>
        <v>1.9574510359021069</v>
      </c>
      <c r="T436" s="577">
        <f t="shared" si="207"/>
        <v>1.0346015992758195</v>
      </c>
      <c r="U436" s="578">
        <f t="shared" si="219"/>
        <v>0.7965943506281854</v>
      </c>
      <c r="V436" s="579">
        <f t="shared" si="220"/>
        <v>-0.82551439158341566</v>
      </c>
      <c r="W436" s="580">
        <f t="shared" si="208"/>
        <v>-26.974028878459752</v>
      </c>
      <c r="X436" s="581">
        <f t="shared" si="209"/>
        <v>-200.08149707282359</v>
      </c>
      <c r="Y436" s="584">
        <f t="shared" si="210"/>
        <v>-20.081497072823595</v>
      </c>
      <c r="AA436" s="147">
        <f t="shared" si="211"/>
        <v>44414</v>
      </c>
      <c r="AB436" s="147">
        <f t="shared" si="212"/>
        <v>1972603396</v>
      </c>
      <c r="AD436" s="583">
        <f t="shared" si="213"/>
        <v>21.814072999279198</v>
      </c>
      <c r="AE436" s="584">
        <f t="shared" si="214"/>
        <v>-59.788959632993794</v>
      </c>
      <c r="AG436" s="583">
        <f t="shared" si="215"/>
        <v>14.449602112525223</v>
      </c>
      <c r="AH436" s="584">
        <f t="shared" si="216"/>
        <v>-45.695556201657638</v>
      </c>
      <c r="AJ436" s="147">
        <f t="shared" si="217"/>
        <v>0</v>
      </c>
      <c r="AK436" s="147">
        <f t="shared" si="229"/>
        <v>0</v>
      </c>
      <c r="AM436" s="147" t="str">
        <f t="shared" si="221"/>
        <v>0.749305675375137+0.968066297110319i</v>
      </c>
      <c r="AN436" s="147" t="str">
        <f t="shared" si="222"/>
        <v>1.31739890980372i</v>
      </c>
      <c r="AO436" s="147" t="str">
        <f t="shared" si="223"/>
        <v>0.734831560817484-0.568776601983659i</v>
      </c>
      <c r="AP436" s="147" t="str">
        <f t="shared" si="224"/>
        <v>0.0417823874374772-0.16134438285172i</v>
      </c>
      <c r="AQ436" s="147" t="str">
        <f t="shared" si="225"/>
        <v>0.958217612562523+0.16134438285172i</v>
      </c>
      <c r="AR436" s="147" t="str">
        <f t="shared" si="226"/>
        <v>0.845355093406535-0.142340627064331i</v>
      </c>
    </row>
    <row r="437" spans="7:44">
      <c r="G437" s="585">
        <v>44668</v>
      </c>
      <c r="H437" s="573">
        <f t="shared" si="218"/>
        <v>44.667999999999999</v>
      </c>
      <c r="I437" s="574">
        <f t="shared" si="198"/>
        <v>308.52754198803467</v>
      </c>
      <c r="J437" s="575">
        <f t="shared" si="199"/>
        <v>1.5675551193990747</v>
      </c>
      <c r="K437" s="575">
        <f t="shared" si="200"/>
        <v>1.0300477421174841</v>
      </c>
      <c r="L437" s="576">
        <f t="shared" si="201"/>
        <v>0.24213282868601751</v>
      </c>
      <c r="M437" s="575">
        <f t="shared" si="202"/>
        <v>1.0460810652149037</v>
      </c>
      <c r="N437" s="576">
        <f t="shared" si="203"/>
        <v>-0.29792083742355785</v>
      </c>
      <c r="O437" s="574">
        <f t="shared" si="204"/>
        <v>841971.96294179396</v>
      </c>
      <c r="P437" s="577">
        <f t="shared" si="205"/>
        <v>1.5707951391068928</v>
      </c>
      <c r="Q437" s="586">
        <f t="shared" si="227"/>
        <v>112.8286746187438</v>
      </c>
      <c r="R437" s="587">
        <f t="shared" si="228"/>
        <v>1.5619332155693515</v>
      </c>
      <c r="S437" s="574">
        <f t="shared" si="206"/>
        <v>1.9657300701393443</v>
      </c>
      <c r="T437" s="577">
        <f t="shared" si="207"/>
        <v>1.0371026157984642</v>
      </c>
      <c r="U437" s="578">
        <f t="shared" si="219"/>
        <v>0.79489014786722068</v>
      </c>
      <c r="V437" s="579">
        <f t="shared" si="220"/>
        <v>-0.82938819720775203</v>
      </c>
      <c r="W437" s="580">
        <f t="shared" si="208"/>
        <v>-27.07174822523481</v>
      </c>
      <c r="X437" s="581">
        <f t="shared" si="209"/>
        <v>-200.46050707511904</v>
      </c>
      <c r="Y437" s="584">
        <f t="shared" si="210"/>
        <v>-20.46050707511904</v>
      </c>
      <c r="AA437" s="147">
        <f t="shared" si="211"/>
        <v>44668</v>
      </c>
      <c r="AB437" s="147">
        <f t="shared" si="212"/>
        <v>1995230224</v>
      </c>
      <c r="AD437" s="583">
        <f t="shared" si="213"/>
        <v>21.777409608759811</v>
      </c>
      <c r="AE437" s="584">
        <f t="shared" si="214"/>
        <v>-59.929353692777774</v>
      </c>
      <c r="AG437" s="583">
        <f t="shared" si="215"/>
        <v>14.425750471547481</v>
      </c>
      <c r="AH437" s="584">
        <f t="shared" si="216"/>
        <v>-45.490266717804843</v>
      </c>
      <c r="AJ437" s="147">
        <f t="shared" si="217"/>
        <v>0</v>
      </c>
      <c r="AK437" s="147">
        <f t="shared" si="229"/>
        <v>0</v>
      </c>
      <c r="AM437" s="147" t="str">
        <f t="shared" si="221"/>
        <v>0.756606225426216+0.969927559407777i</v>
      </c>
      <c r="AN437" s="147" t="str">
        <f t="shared" si="222"/>
        <v>1.32493300542875i</v>
      </c>
      <c r="AO437" s="147" t="str">
        <f t="shared" si="223"/>
        <v>0.732057813816712-0.571052439878934i</v>
      </c>
      <c r="AP437" s="147" t="str">
        <f t="shared" si="224"/>
        <v>0.0405656290956307-0.161654593234629i</v>
      </c>
      <c r="AQ437" s="147" t="str">
        <f t="shared" si="225"/>
        <v>0.959434370904369+0.161654593234629i</v>
      </c>
      <c r="AR437" s="147" t="str">
        <f t="shared" si="226"/>
        <v>0.844252648087086-0.142247685253481i</v>
      </c>
    </row>
    <row r="438" spans="7:44">
      <c r="G438" s="585">
        <v>44928.25</v>
      </c>
      <c r="H438" s="573">
        <f t="shared" si="218"/>
        <v>44.928249999999998</v>
      </c>
      <c r="I438" s="574">
        <f t="shared" si="198"/>
        <v>310.32510292030599</v>
      </c>
      <c r="J438" s="575">
        <f t="shared" si="199"/>
        <v>1.5675738941870596</v>
      </c>
      <c r="K438" s="575">
        <f t="shared" si="200"/>
        <v>1.0303937176377085</v>
      </c>
      <c r="L438" s="576">
        <f t="shared" si="201"/>
        <v>0.24348862002321903</v>
      </c>
      <c r="M438" s="575">
        <f t="shared" si="202"/>
        <v>1.0466076014695722</v>
      </c>
      <c r="N438" s="576">
        <f t="shared" si="203"/>
        <v>-0.2995548969424911</v>
      </c>
      <c r="O438" s="574">
        <f t="shared" si="204"/>
        <v>846877.5598647655</v>
      </c>
      <c r="P438" s="577">
        <f t="shared" si="205"/>
        <v>1.5707951459866578</v>
      </c>
      <c r="Q438" s="586">
        <f t="shared" si="227"/>
        <v>113.48599893716109</v>
      </c>
      <c r="R438" s="587">
        <f t="shared" si="228"/>
        <v>1.5619845530896934</v>
      </c>
      <c r="S438" s="574">
        <f t="shared" si="206"/>
        <v>1.9742254658022722</v>
      </c>
      <c r="T438" s="577">
        <f t="shared" si="207"/>
        <v>1.0396433998495906</v>
      </c>
      <c r="U438" s="578">
        <f t="shared" si="219"/>
        <v>0.79314425703673896</v>
      </c>
      <c r="V438" s="579">
        <f t="shared" si="220"/>
        <v>-0.83334699774773657</v>
      </c>
      <c r="W438" s="580">
        <f t="shared" si="208"/>
        <v>-27.171479694550346</v>
      </c>
      <c r="X438" s="581">
        <f t="shared" si="209"/>
        <v>-200.84698412065362</v>
      </c>
      <c r="Y438" s="584">
        <f t="shared" si="210"/>
        <v>-20.846984120653616</v>
      </c>
      <c r="AA438" s="147">
        <f t="shared" si="211"/>
        <v>44928.25</v>
      </c>
      <c r="AB438" s="147">
        <f t="shared" si="212"/>
        <v>2018547648.0625</v>
      </c>
      <c r="AD438" s="583">
        <f t="shared" si="213"/>
        <v>21.739948299270289</v>
      </c>
      <c r="AE438" s="584">
        <f t="shared" si="214"/>
        <v>-60.07198886665968</v>
      </c>
      <c r="AG438" s="583">
        <f t="shared" si="215"/>
        <v>14.401677522403084</v>
      </c>
      <c r="AH438" s="584">
        <f t="shared" si="216"/>
        <v>-45.280463463188681</v>
      </c>
      <c r="AJ438" s="147">
        <f t="shared" si="217"/>
        <v>0</v>
      </c>
      <c r="AK438" s="147">
        <f t="shared" si="229"/>
        <v>0</v>
      </c>
      <c r="AM438" s="147" t="str">
        <f t="shared" si="221"/>
        <v>0.764100741171705+0.971777515527222i</v>
      </c>
      <c r="AN438" s="147" t="str">
        <f t="shared" si="222"/>
        <v>1.33265248726503i</v>
      </c>
      <c r="AO438" s="147" t="str">
        <f t="shared" si="223"/>
        <v>0.729205494165682-0.573368337562518i</v>
      </c>
      <c r="AP438" s="147" t="str">
        <f t="shared" si="224"/>
        <v>0.0393165431380492-0.161962919254537i</v>
      </c>
      <c r="AQ438" s="147" t="str">
        <f t="shared" si="225"/>
        <v>0.960683456861951+0.161962919254537i</v>
      </c>
      <c r="AR438" s="147" t="str">
        <f t="shared" si="226"/>
        <v>0.843126792712604-0.142143882747292i</v>
      </c>
    </row>
    <row r="439" spans="7:44">
      <c r="G439" s="585">
        <v>45188.5</v>
      </c>
      <c r="H439" s="573">
        <f t="shared" si="218"/>
        <v>45.188499999999998</v>
      </c>
      <c r="I439" s="574">
        <f t="shared" si="198"/>
        <v>312.12266396070464</v>
      </c>
      <c r="J439" s="575">
        <f t="shared" si="199"/>
        <v>1.5675924527214347</v>
      </c>
      <c r="K439" s="575">
        <f t="shared" si="200"/>
        <v>1.0307415859233831</v>
      </c>
      <c r="L439" s="576">
        <f t="shared" si="201"/>
        <v>0.24484349870878205</v>
      </c>
      <c r="M439" s="575">
        <f t="shared" si="202"/>
        <v>1.0471369295092718</v>
      </c>
      <c r="N439" s="576">
        <f t="shared" si="203"/>
        <v>-0.30118730878136868</v>
      </c>
      <c r="O439" s="574">
        <f t="shared" si="204"/>
        <v>851783.15678773704</v>
      </c>
      <c r="P439" s="577">
        <f t="shared" si="205"/>
        <v>1.5707951527871788</v>
      </c>
      <c r="Q439" s="586">
        <f t="shared" si="227"/>
        <v>114.14332355123052</v>
      </c>
      <c r="R439" s="587">
        <f t="shared" si="228"/>
        <v>1.5620352993287032</v>
      </c>
      <c r="S439" s="574">
        <f t="shared" si="206"/>
        <v>1.9827334969801669</v>
      </c>
      <c r="T439" s="577">
        <f t="shared" si="207"/>
        <v>1.0421623947255354</v>
      </c>
      <c r="U439" s="578">
        <f t="shared" si="219"/>
        <v>0.79139868856099937</v>
      </c>
      <c r="V439" s="579">
        <f t="shared" si="220"/>
        <v>-0.8372953825299575</v>
      </c>
      <c r="W439" s="580">
        <f t="shared" si="208"/>
        <v>-27.270816787979868</v>
      </c>
      <c r="X439" s="581">
        <f t="shared" si="209"/>
        <v>-201.23159532838801</v>
      </c>
      <c r="Y439" s="584">
        <f t="shared" si="210"/>
        <v>-21.231595328388011</v>
      </c>
      <c r="AA439" s="147">
        <f t="shared" si="211"/>
        <v>45188.5</v>
      </c>
      <c r="AB439" s="147">
        <f t="shared" si="212"/>
        <v>2042000532.25</v>
      </c>
      <c r="AD439" s="583">
        <f t="shared" si="213"/>
        <v>21.70259254352397</v>
      </c>
      <c r="AE439" s="584">
        <f t="shared" si="214"/>
        <v>-60.213409486147711</v>
      </c>
      <c r="AG439" s="583">
        <f t="shared" si="215"/>
        <v>14.377970492933262</v>
      </c>
      <c r="AH439" s="584">
        <f t="shared" si="216"/>
        <v>-45.071202483088143</v>
      </c>
      <c r="AJ439" s="147">
        <f t="shared" si="217"/>
        <v>0</v>
      </c>
      <c r="AK439" s="147">
        <f t="shared" si="229"/>
        <v>0</v>
      </c>
      <c r="AM439" s="147" t="str">
        <f t="shared" si="221"/>
        <v>0.771609314178539+0.973569563323547i</v>
      </c>
      <c r="AN439" s="147" t="str">
        <f t="shared" si="222"/>
        <v>1.34037196910131i</v>
      </c>
      <c r="AO439" s="147" t="str">
        <f t="shared" si="223"/>
        <v>0.726342825548869-0.575668047352472i</v>
      </c>
      <c r="AP439" s="147" t="str">
        <f t="shared" si="224"/>
        <v>0.0380651143035768-0.162261593887258i</v>
      </c>
      <c r="AQ439" s="147" t="str">
        <f t="shared" si="225"/>
        <v>0.961934885696423+0.162261593887258i</v>
      </c>
      <c r="AR439" s="147" t="str">
        <f t="shared" si="226"/>
        <v>0.84200475321295-0.142031477752329i</v>
      </c>
    </row>
    <row r="440" spans="7:44">
      <c r="G440" s="585">
        <v>45448.75</v>
      </c>
      <c r="H440" s="573">
        <f t="shared" si="218"/>
        <v>45.448749999999997</v>
      </c>
      <c r="I440" s="574">
        <f t="shared" si="198"/>
        <v>313.92022510737326</v>
      </c>
      <c r="J440" s="575">
        <f t="shared" si="199"/>
        <v>1.5676107987171028</v>
      </c>
      <c r="K440" s="575">
        <f t="shared" si="200"/>
        <v>1.0310913450587711</v>
      </c>
      <c r="L440" s="576">
        <f t="shared" si="201"/>
        <v>0.24619746069467</v>
      </c>
      <c r="M440" s="575">
        <f t="shared" si="202"/>
        <v>1.0476690451024087</v>
      </c>
      <c r="N440" s="576">
        <f t="shared" si="203"/>
        <v>-0.30281806674424661</v>
      </c>
      <c r="O440" s="574">
        <f t="shared" si="204"/>
        <v>856688.7537107087</v>
      </c>
      <c r="P440" s="577">
        <f t="shared" si="205"/>
        <v>1.5707951595098171</v>
      </c>
      <c r="Q440" s="586">
        <f t="shared" si="227"/>
        <v>114.80064845587356</v>
      </c>
      <c r="R440" s="587">
        <f t="shared" si="228"/>
        <v>1.5620854644427835</v>
      </c>
      <c r="S440" s="574">
        <f t="shared" si="206"/>
        <v>1.9912540017097367</v>
      </c>
      <c r="T440" s="577">
        <f t="shared" si="207"/>
        <v>1.0446598479577591</v>
      </c>
      <c r="U440" s="578">
        <f t="shared" si="219"/>
        <v>0.78965351520300742</v>
      </c>
      <c r="V440" s="579">
        <f t="shared" si="220"/>
        <v>-0.84123338716224461</v>
      </c>
      <c r="W440" s="580">
        <f t="shared" si="208"/>
        <v>-27.369762275308052</v>
      </c>
      <c r="X440" s="581">
        <f t="shared" si="209"/>
        <v>-201.6143564289498</v>
      </c>
      <c r="Y440" s="584">
        <f t="shared" si="210"/>
        <v>-21.614356428949804</v>
      </c>
      <c r="AA440" s="147">
        <f t="shared" si="211"/>
        <v>45448.75</v>
      </c>
      <c r="AB440" s="147">
        <f t="shared" si="212"/>
        <v>2065588876.5625</v>
      </c>
      <c r="AD440" s="583">
        <f t="shared" si="213"/>
        <v>21.665342380628793</v>
      </c>
      <c r="AE440" s="584">
        <f t="shared" si="214"/>
        <v>-60.353629151908876</v>
      </c>
      <c r="AG440" s="583">
        <f t="shared" si="215"/>
        <v>14.354625298387116</v>
      </c>
      <c r="AH440" s="584">
        <f t="shared" si="216"/>
        <v>-44.862481827107111</v>
      </c>
      <c r="AJ440" s="147">
        <f t="shared" si="217"/>
        <v>0</v>
      </c>
      <c r="AK440" s="147">
        <f t="shared" si="229"/>
        <v>0</v>
      </c>
      <c r="AM440" s="147" t="str">
        <f t="shared" si="221"/>
        <v>0.779131497010071+0.975303596008437i</v>
      </c>
      <c r="AN440" s="147" t="str">
        <f t="shared" si="222"/>
        <v>1.34809145093759i</v>
      </c>
      <c r="AO440" s="147" t="str">
        <f t="shared" si="223"/>
        <v>0.723469906533506-0.577951515431827i</v>
      </c>
      <c r="AP440" s="147" t="str">
        <f t="shared" si="224"/>
        <v>0.0368114171649882-0.16255059933474i</v>
      </c>
      <c r="AQ440" s="147" t="str">
        <f t="shared" si="225"/>
        <v>0.963188582835012+0.16255059933474i</v>
      </c>
      <c r="AR440" s="147" t="str">
        <f t="shared" si="226"/>
        <v>0.840886582426911-0.141910546264697i</v>
      </c>
    </row>
    <row r="441" spans="7:44">
      <c r="G441" s="585">
        <v>45709</v>
      </c>
      <c r="H441" s="573">
        <f t="shared" si="218"/>
        <v>45.709000000000003</v>
      </c>
      <c r="I441" s="574">
        <f t="shared" si="198"/>
        <v>315.71778635849654</v>
      </c>
      <c r="J441" s="575">
        <f t="shared" si="199"/>
        <v>1.5676289358043636</v>
      </c>
      <c r="K441" s="575">
        <f t="shared" si="200"/>
        <v>1.0314429931203286</v>
      </c>
      <c r="L441" s="576">
        <f t="shared" si="201"/>
        <v>0.24755050195176595</v>
      </c>
      <c r="M441" s="575">
        <f t="shared" si="202"/>
        <v>1.048203944003719</v>
      </c>
      <c r="N441" s="576">
        <f t="shared" si="203"/>
        <v>-0.30444716468291511</v>
      </c>
      <c r="O441" s="574">
        <f t="shared" si="204"/>
        <v>861594.35063368035</v>
      </c>
      <c r="P441" s="577">
        <f t="shared" si="205"/>
        <v>1.570795166155903</v>
      </c>
      <c r="Q441" s="586">
        <f t="shared" si="227"/>
        <v>115.45797364612736</v>
      </c>
      <c r="R441" s="587">
        <f t="shared" si="228"/>
        <v>1.5621350583570588</v>
      </c>
      <c r="S441" s="574">
        <f t="shared" si="206"/>
        <v>1.9997868205525591</v>
      </c>
      <c r="T441" s="577">
        <f t="shared" si="207"/>
        <v>1.0471360039371671</v>
      </c>
      <c r="U441" s="578">
        <f t="shared" si="219"/>
        <v>0.78790880858653767</v>
      </c>
      <c r="V441" s="579">
        <f t="shared" si="220"/>
        <v>-0.84516104773631906</v>
      </c>
      <c r="W441" s="580">
        <f t="shared" si="208"/>
        <v>-27.468318892203133</v>
      </c>
      <c r="X441" s="581">
        <f t="shared" si="209"/>
        <v>-201.99528301080397</v>
      </c>
      <c r="Y441" s="584">
        <f t="shared" si="210"/>
        <v>-21.995283010803973</v>
      </c>
      <c r="AA441" s="147">
        <f t="shared" si="211"/>
        <v>45709</v>
      </c>
      <c r="AB441" s="147">
        <f t="shared" si="212"/>
        <v>2089312681</v>
      </c>
      <c r="AD441" s="583">
        <f t="shared" si="213"/>
        <v>21.628197833243501</v>
      </c>
      <c r="AE441" s="584">
        <f t="shared" si="214"/>
        <v>-60.492661297919057</v>
      </c>
      <c r="AG441" s="583">
        <f t="shared" si="215"/>
        <v>14.331637917579629</v>
      </c>
      <c r="AH441" s="584">
        <f t="shared" si="216"/>
        <v>-44.654299513928017</v>
      </c>
      <c r="AJ441" s="147">
        <f t="shared" si="217"/>
        <v>0</v>
      </c>
      <c r="AK441" s="147">
        <f t="shared" si="229"/>
        <v>0</v>
      </c>
      <c r="AM441" s="147" t="str">
        <f t="shared" si="221"/>
        <v>0.786666841418636+0.9769795102507i</v>
      </c>
      <c r="AN441" s="147" t="str">
        <f t="shared" si="222"/>
        <v>1.35581093277386i</v>
      </c>
      <c r="AO441" s="147" t="str">
        <f t="shared" si="223"/>
        <v>0.720586835991869-0.580218688611096i</v>
      </c>
      <c r="AP441" s="147" t="str">
        <f t="shared" si="224"/>
        <v>0.0355555264302273-0.162829918375117i</v>
      </c>
      <c r="AQ441" s="147" t="str">
        <f t="shared" si="225"/>
        <v>0.964444473569773+0.162829918375117i</v>
      </c>
      <c r="AR441" s="147" t="str">
        <f t="shared" si="226"/>
        <v>0.839772331950868-0.141781164196125i</v>
      </c>
    </row>
    <row r="442" spans="7:44">
      <c r="G442" s="585">
        <v>45975.25</v>
      </c>
      <c r="H442" s="573">
        <f t="shared" si="218"/>
        <v>45.975250000000003</v>
      </c>
      <c r="I442" s="574">
        <f t="shared" si="198"/>
        <v>317.5567900501847</v>
      </c>
      <c r="J442" s="575">
        <f t="shared" si="199"/>
        <v>1.5676472785487714</v>
      </c>
      <c r="K442" s="575">
        <f t="shared" si="200"/>
        <v>1.0318047010790641</v>
      </c>
      <c r="L442" s="576">
        <f t="shared" si="201"/>
        <v>0.24893378024767981</v>
      </c>
      <c r="M442" s="575">
        <f t="shared" si="202"/>
        <v>1.0487540507276276</v>
      </c>
      <c r="N442" s="576">
        <f t="shared" si="203"/>
        <v>-0.30611209684167462</v>
      </c>
      <c r="O442" s="574">
        <f t="shared" si="204"/>
        <v>866613.04489205207</v>
      </c>
      <c r="P442" s="577">
        <f t="shared" si="205"/>
        <v>1.5707951728773484</v>
      </c>
      <c r="Q442" s="586">
        <f t="shared" si="227"/>
        <v>116.13045359813241</v>
      </c>
      <c r="R442" s="587">
        <f t="shared" si="228"/>
        <v>1.5621852146562194</v>
      </c>
      <c r="S442" s="574">
        <f t="shared" si="206"/>
        <v>2.0085289410173544</v>
      </c>
      <c r="T442" s="577">
        <f t="shared" si="207"/>
        <v>1.0496474592628424</v>
      </c>
      <c r="U442" s="578">
        <f t="shared" si="219"/>
        <v>0.78612443469492588</v>
      </c>
      <c r="V442" s="579">
        <f t="shared" si="220"/>
        <v>-0.84916859316790971</v>
      </c>
      <c r="W442" s="580">
        <f t="shared" si="208"/>
        <v>-27.568748103769515</v>
      </c>
      <c r="X442" s="581">
        <f t="shared" si="209"/>
        <v>-202.38310942159751</v>
      </c>
      <c r="Y442" s="584">
        <f t="shared" si="210"/>
        <v>-22.38310942159751</v>
      </c>
      <c r="AA442" s="147">
        <f t="shared" si="211"/>
        <v>45975.25</v>
      </c>
      <c r="AB442" s="147">
        <f t="shared" si="212"/>
        <v>2113723612.5625</v>
      </c>
      <c r="AD442" s="583">
        <f t="shared" si="213"/>
        <v>21.590306230358443</v>
      </c>
      <c r="AE442" s="584">
        <f t="shared" si="214"/>
        <v>-60.633683729529601</v>
      </c>
      <c r="AG442" s="583">
        <f t="shared" si="215"/>
        <v>14.308486723133328</v>
      </c>
      <c r="AH442" s="584">
        <f t="shared" si="216"/>
        <v>-44.441872613712079</v>
      </c>
      <c r="AJ442" s="147">
        <f t="shared" si="217"/>
        <v>0</v>
      </c>
      <c r="AK442" s="147">
        <f t="shared" si="229"/>
        <v>0</v>
      </c>
      <c r="AM442" s="147" t="str">
        <f t="shared" si="221"/>
        <v>0.794389063321612+0.978633814415911i</v>
      </c>
      <c r="AN442" s="147" t="str">
        <f t="shared" si="222"/>
        <v>1.36370838537294i</v>
      </c>
      <c r="AO442" s="147" t="str">
        <f t="shared" si="223"/>
        <v>0.717626895099189-0.582521213363637i</v>
      </c>
      <c r="AP442" s="147" t="str">
        <f t="shared" si="224"/>
        <v>0.034268489446398-0.163105635735985i</v>
      </c>
      <c r="AQ442" s="147" t="str">
        <f t="shared" si="225"/>
        <v>0.965731510553602+0.163105635735985i</v>
      </c>
      <c r="AR442" s="147" t="str">
        <f t="shared" si="226"/>
        <v>0.838636502144452-0.141640133244965i</v>
      </c>
    </row>
    <row r="443" spans="7:44">
      <c r="G443" s="585">
        <v>46241.5</v>
      </c>
      <c r="H443" s="573">
        <f t="shared" si="218"/>
        <v>46.241500000000002</v>
      </c>
      <c r="I443" s="574">
        <f t="shared" si="198"/>
        <v>319.39579384748646</v>
      </c>
      <c r="J443" s="575">
        <f t="shared" si="199"/>
        <v>1.5676654100670055</v>
      </c>
      <c r="K443" s="575">
        <f t="shared" si="200"/>
        <v>1.0321683819676883</v>
      </c>
      <c r="L443" s="576">
        <f t="shared" si="201"/>
        <v>0.25031608640057368</v>
      </c>
      <c r="M443" s="575">
        <f t="shared" si="202"/>
        <v>1.0493070615439326</v>
      </c>
      <c r="N443" s="576">
        <f t="shared" si="203"/>
        <v>-0.30777527868574628</v>
      </c>
      <c r="O443" s="574">
        <f t="shared" si="204"/>
        <v>871631.73915042379</v>
      </c>
      <c r="P443" s="577">
        <f t="shared" si="205"/>
        <v>1.5707951795213921</v>
      </c>
      <c r="Q443" s="586">
        <f t="shared" si="227"/>
        <v>116.80293383891757</v>
      </c>
      <c r="R443" s="587">
        <f t="shared" si="228"/>
        <v>1.5622347934165837</v>
      </c>
      <c r="S443" s="574">
        <f t="shared" si="206"/>
        <v>2.0172836202453475</v>
      </c>
      <c r="T443" s="577">
        <f t="shared" si="207"/>
        <v>1.0521371315722288</v>
      </c>
      <c r="U443" s="578">
        <f t="shared" si="219"/>
        <v>0.78434069735153733</v>
      </c>
      <c r="V443" s="579">
        <f t="shared" si="220"/>
        <v>-0.85316539000636182</v>
      </c>
      <c r="W443" s="580">
        <f t="shared" si="208"/>
        <v>-27.668775993972186</v>
      </c>
      <c r="X443" s="581">
        <f t="shared" si="209"/>
        <v>-202.7690483062481</v>
      </c>
      <c r="Y443" s="584">
        <f t="shared" si="210"/>
        <v>-22.769048306248095</v>
      </c>
      <c r="AA443" s="147">
        <f t="shared" si="211"/>
        <v>46241.5</v>
      </c>
      <c r="AB443" s="147">
        <f t="shared" si="212"/>
        <v>2138276322.25</v>
      </c>
      <c r="AD443" s="583">
        <f t="shared" si="213"/>
        <v>21.552525166605001</v>
      </c>
      <c r="AE443" s="584">
        <f t="shared" si="214"/>
        <v>-60.773491172341089</v>
      </c>
      <c r="AG443" s="583">
        <f t="shared" si="215"/>
        <v>14.285701714852992</v>
      </c>
      <c r="AH443" s="584">
        <f t="shared" si="216"/>
        <v>-44.230004874198734</v>
      </c>
      <c r="AJ443" s="147">
        <f t="shared" si="217"/>
        <v>0</v>
      </c>
      <c r="AK443" s="147">
        <f t="shared" si="229"/>
        <v>0</v>
      </c>
      <c r="AM443" s="147" t="str">
        <f t="shared" si="221"/>
        <v>0.802124109062197+0.980227081744618i</v>
      </c>
      <c r="AN443" s="147" t="str">
        <f t="shared" si="222"/>
        <v>1.37160583797201i</v>
      </c>
      <c r="AO443" s="147" t="str">
        <f t="shared" si="223"/>
        <v>0.714656539515707-0.584806572599734i</v>
      </c>
      <c r="AP443" s="147" t="str">
        <f t="shared" si="224"/>
        <v>0.0329793151563005-0.16337118029077i</v>
      </c>
      <c r="AQ443" s="147" t="str">
        <f t="shared" si="225"/>
        <v>0.9670206848437+0.16337118029077i</v>
      </c>
      <c r="AR443" s="147" t="str">
        <f t="shared" si="226"/>
        <v>0.837504880826846-0.141490417965648i</v>
      </c>
    </row>
    <row r="444" spans="7:44">
      <c r="G444" s="585">
        <v>46507.75</v>
      </c>
      <c r="H444" s="573">
        <f t="shared" si="218"/>
        <v>46.507750000000001</v>
      </c>
      <c r="I444" s="574">
        <f t="shared" si="198"/>
        <v>321.23479774858799</v>
      </c>
      <c r="J444" s="575">
        <f t="shared" si="199"/>
        <v>1.5676833339867353</v>
      </c>
      <c r="K444" s="575">
        <f t="shared" si="200"/>
        <v>1.0325340337014755</v>
      </c>
      <c r="L444" s="576">
        <f t="shared" si="201"/>
        <v>0.25169741615793967</v>
      </c>
      <c r="M444" s="575">
        <f t="shared" si="202"/>
        <v>1.0498629718634791</v>
      </c>
      <c r="N444" s="576">
        <f t="shared" si="203"/>
        <v>-0.30943670378703619</v>
      </c>
      <c r="O444" s="574">
        <f t="shared" si="204"/>
        <v>876650.43340879539</v>
      </c>
      <c r="P444" s="577">
        <f t="shared" si="205"/>
        <v>1.5707951860893634</v>
      </c>
      <c r="Q444" s="586">
        <f t="shared" si="227"/>
        <v>117.47541436352353</v>
      </c>
      <c r="R444" s="587">
        <f t="shared" si="228"/>
        <v>1.5622838045561576</v>
      </c>
      <c r="S444" s="574">
        <f t="shared" si="206"/>
        <v>2.0260506954351731</v>
      </c>
      <c r="T444" s="577">
        <f t="shared" si="207"/>
        <v>1.0546052725764745</v>
      </c>
      <c r="U444" s="578">
        <f t="shared" si="219"/>
        <v>0.7825576695951959</v>
      </c>
      <c r="V444" s="579">
        <f t="shared" si="220"/>
        <v>-0.85715147839548489</v>
      </c>
      <c r="W444" s="580">
        <f t="shared" si="208"/>
        <v>-27.768405386014642</v>
      </c>
      <c r="X444" s="581">
        <f t="shared" si="209"/>
        <v>-203.1531159018275</v>
      </c>
      <c r="Y444" s="584">
        <f t="shared" si="210"/>
        <v>-23.153115901827505</v>
      </c>
      <c r="AA444" s="147">
        <f t="shared" si="211"/>
        <v>46507.75</v>
      </c>
      <c r="AB444" s="147">
        <f t="shared" si="212"/>
        <v>2162970810.0625</v>
      </c>
      <c r="AD444" s="583">
        <f t="shared" si="213"/>
        <v>21.514854616322062</v>
      </c>
      <c r="AE444" s="584">
        <f t="shared" si="214"/>
        <v>-60.912097480156255</v>
      </c>
      <c r="AG444" s="583">
        <f t="shared" si="215"/>
        <v>14.263278785121079</v>
      </c>
      <c r="AH444" s="584">
        <f t="shared" si="216"/>
        <v>-44.018694078515381</v>
      </c>
      <c r="AJ444" s="147">
        <f t="shared" si="217"/>
        <v>0</v>
      </c>
      <c r="AK444" s="147">
        <f t="shared" si="229"/>
        <v>0</v>
      </c>
      <c r="AM444" s="147" t="str">
        <f t="shared" si="221"/>
        <v>0.809871496209982+0.981759212865644i</v>
      </c>
      <c r="AN444" s="147" t="str">
        <f t="shared" si="222"/>
        <v>1.37950329057108i</v>
      </c>
      <c r="AO444" s="147" t="str">
        <f t="shared" si="223"/>
        <v>0.711675876075091-0.587074711416393i</v>
      </c>
      <c r="AP444" s="147" t="str">
        <f t="shared" si="224"/>
        <v>0.031688083965003-0.163626535477607i</v>
      </c>
      <c r="AQ444" s="147" t="str">
        <f t="shared" si="225"/>
        <v>0.968311916034997+0.163626535477607i</v>
      </c>
      <c r="AR444" s="147" t="str">
        <f t="shared" si="226"/>
        <v>0.836377519303885-0.141332099263461i</v>
      </c>
    </row>
    <row r="445" spans="7:44">
      <c r="G445" s="585">
        <v>46774</v>
      </c>
      <c r="H445" s="573">
        <f t="shared" si="218"/>
        <v>46.774000000000001</v>
      </c>
      <c r="I445" s="574">
        <f t="shared" si="198"/>
        <v>323.07380175171676</v>
      </c>
      <c r="J445" s="575">
        <f t="shared" si="199"/>
        <v>1.5677010538530316</v>
      </c>
      <c r="K445" s="575">
        <f t="shared" si="200"/>
        <v>1.0329016541873615</v>
      </c>
      <c r="L445" s="576">
        <f t="shared" si="201"/>
        <v>0.25307776528817943</v>
      </c>
      <c r="M445" s="575">
        <f t="shared" si="202"/>
        <v>1.0504217770827915</v>
      </c>
      <c r="N445" s="576">
        <f t="shared" si="203"/>
        <v>-0.31109636576981625</v>
      </c>
      <c r="O445" s="574">
        <f t="shared" si="204"/>
        <v>881669.12766716722</v>
      </c>
      <c r="P445" s="577">
        <f t="shared" si="205"/>
        <v>1.5707951925825616</v>
      </c>
      <c r="Q445" s="586">
        <f t="shared" si="227"/>
        <v>118.1478951671039</v>
      </c>
      <c r="R445" s="587">
        <f t="shared" si="228"/>
        <v>1.562332257767151</v>
      </c>
      <c r="S445" s="574">
        <f t="shared" si="206"/>
        <v>2.034830006362649</v>
      </c>
      <c r="T445" s="577">
        <f t="shared" si="207"/>
        <v>1.0570521307012066</v>
      </c>
      <c r="U445" s="578">
        <f t="shared" si="219"/>
        <v>0.78077542324971838</v>
      </c>
      <c r="V445" s="579">
        <f t="shared" si="220"/>
        <v>-0.8611268989593529</v>
      </c>
      <c r="W445" s="580">
        <f t="shared" si="208"/>
        <v>-27.867639068878027</v>
      </c>
      <c r="X445" s="581">
        <f t="shared" si="209"/>
        <v>-203.53532829468352</v>
      </c>
      <c r="Y445" s="584">
        <f t="shared" si="210"/>
        <v>-23.535328294683524</v>
      </c>
      <c r="AA445" s="147">
        <f t="shared" si="211"/>
        <v>46774</v>
      </c>
      <c r="AB445" s="147">
        <f t="shared" si="212"/>
        <v>2187807076</v>
      </c>
      <c r="AD445" s="583">
        <f t="shared" si="213"/>
        <v>21.477294538155014</v>
      </c>
      <c r="AE445" s="584">
        <f t="shared" si="214"/>
        <v>-61.049516331466805</v>
      </c>
      <c r="AG445" s="583">
        <f t="shared" si="215"/>
        <v>14.241213890409774</v>
      </c>
      <c r="AH445" s="584">
        <f t="shared" si="216"/>
        <v>-43.807937979342036</v>
      </c>
      <c r="AJ445" s="147">
        <f t="shared" si="217"/>
        <v>0</v>
      </c>
      <c r="AK445" s="147">
        <f t="shared" si="229"/>
        <v>0</v>
      </c>
      <c r="AM445" s="147" t="str">
        <f t="shared" si="221"/>
        <v>0.817630741564829+0.98323011222084i</v>
      </c>
      <c r="AN445" s="147" t="str">
        <f t="shared" si="222"/>
        <v>1.38740074317016i</v>
      </c>
      <c r="AO445" s="147" t="str">
        <f t="shared" si="223"/>
        <v>0.708685011926832-0.589325575605915i</v>
      </c>
      <c r="AP445" s="147" t="str">
        <f t="shared" si="224"/>
        <v>0.0303948764058618-0.16387168537014i</v>
      </c>
      <c r="AQ445" s="147" t="str">
        <f t="shared" si="225"/>
        <v>0.969605123594138+0.16387168537014i</v>
      </c>
      <c r="AR445" s="147" t="str">
        <f t="shared" si="226"/>
        <v>0.835254467584819-0.141165257882194i</v>
      </c>
    </row>
    <row r="446" spans="7:44">
      <c r="G446" s="585">
        <v>47046.25</v>
      </c>
      <c r="H446" s="573">
        <f t="shared" si="218"/>
        <v>47.046250000000001</v>
      </c>
      <c r="I446" s="574">
        <f t="shared" si="198"/>
        <v>324.95424820227527</v>
      </c>
      <c r="J446" s="575">
        <f t="shared" si="199"/>
        <v>1.5677189656466963</v>
      </c>
      <c r="K446" s="575">
        <f t="shared" si="200"/>
        <v>1.0332795926906484</v>
      </c>
      <c r="L446" s="576">
        <f t="shared" si="201"/>
        <v>0.25448820246697912</v>
      </c>
      <c r="M446" s="575">
        <f t="shared" si="202"/>
        <v>1.0509961637755338</v>
      </c>
      <c r="N446" s="576">
        <f t="shared" si="203"/>
        <v>-0.31279159883392726</v>
      </c>
      <c r="O446" s="574">
        <f t="shared" si="204"/>
        <v>886800.91926093888</v>
      </c>
      <c r="P446" s="577">
        <f t="shared" si="205"/>
        <v>1.570795199146088</v>
      </c>
      <c r="Q446" s="586">
        <f t="shared" si="227"/>
        <v>118.83553075120753</v>
      </c>
      <c r="R446" s="587">
        <f t="shared" si="228"/>
        <v>1.5623812358194222</v>
      </c>
      <c r="S446" s="574">
        <f t="shared" si="206"/>
        <v>2.0438196490902194</v>
      </c>
      <c r="T446" s="577">
        <f t="shared" si="207"/>
        <v>1.0595323770005838</v>
      </c>
      <c r="U446" s="578">
        <f t="shared" si="219"/>
        <v>0.77895389519354385</v>
      </c>
      <c r="V446" s="579">
        <f t="shared" si="220"/>
        <v>-0.86518091814239373</v>
      </c>
      <c r="W446" s="580">
        <f t="shared" si="208"/>
        <v>-27.968702688557457</v>
      </c>
      <c r="X446" s="581">
        <f t="shared" si="209"/>
        <v>-203.92425214229849</v>
      </c>
      <c r="Y446" s="584">
        <f t="shared" si="210"/>
        <v>-23.924252142298485</v>
      </c>
      <c r="AA446" s="147">
        <f t="shared" si="211"/>
        <v>47046.25</v>
      </c>
      <c r="AB446" s="147">
        <f t="shared" si="212"/>
        <v>2213349639.0625</v>
      </c>
      <c r="AD446" s="583">
        <f t="shared" si="213"/>
        <v>21.439002211175922</v>
      </c>
      <c r="AE446" s="584">
        <f t="shared" si="214"/>
        <v>-61.188818117111694</v>
      </c>
      <c r="AG446" s="583">
        <f t="shared" si="215"/>
        <v>14.219017840283552</v>
      </c>
      <c r="AH446" s="584">
        <f t="shared" si="216"/>
        <v>-43.593003662274647</v>
      </c>
      <c r="AJ446" s="147">
        <f t="shared" si="217"/>
        <v>0</v>
      </c>
      <c r="AK446" s="147">
        <f t="shared" si="229"/>
        <v>0</v>
      </c>
      <c r="AM446" s="147" t="str">
        <f t="shared" si="221"/>
        <v>0.82557660102751+0.984670745930275i</v>
      </c>
      <c r="AN446" s="147" t="str">
        <f t="shared" si="222"/>
        <v>1.39547616653203i</v>
      </c>
      <c r="AO446" s="147" t="str">
        <f t="shared" si="223"/>
        <v>0.705616311869612-0.591609244806519i</v>
      </c>
      <c r="AP446" s="147" t="str">
        <f t="shared" si="224"/>
        <v>0.029070566495415-0.164111790988379i</v>
      </c>
      <c r="AQ446" s="147" t="str">
        <f t="shared" si="225"/>
        <v>0.970929433504585+0.164111790988379i</v>
      </c>
      <c r="AR446" s="147" t="str">
        <f t="shared" si="226"/>
        <v>0.834110614999527-0.140985927695995i</v>
      </c>
    </row>
    <row r="447" spans="7:44">
      <c r="G447" s="585">
        <v>47318.5</v>
      </c>
      <c r="H447" s="573">
        <f t="shared" si="218"/>
        <v>47.3185</v>
      </c>
      <c r="I447" s="574">
        <f t="shared" si="198"/>
        <v>326.83469475588987</v>
      </c>
      <c r="J447" s="575">
        <f t="shared" si="199"/>
        <v>1.5677366713290128</v>
      </c>
      <c r="K447" s="575">
        <f t="shared" si="200"/>
        <v>1.0336595852256412</v>
      </c>
      <c r="L447" s="576">
        <f t="shared" si="201"/>
        <v>0.25589760544183127</v>
      </c>
      <c r="M447" s="575">
        <f t="shared" si="202"/>
        <v>1.0515735675323559</v>
      </c>
      <c r="N447" s="576">
        <f t="shared" si="203"/>
        <v>-0.3144849751043905</v>
      </c>
      <c r="O447" s="574">
        <f t="shared" si="204"/>
        <v>891932.71085471066</v>
      </c>
      <c r="P447" s="577">
        <f t="shared" si="205"/>
        <v>1.5707952056340873</v>
      </c>
      <c r="Q447" s="586">
        <f t="shared" si="227"/>
        <v>119.52316661709963</v>
      </c>
      <c r="R447" s="587">
        <f t="shared" si="228"/>
        <v>1.5624296503146951</v>
      </c>
      <c r="S447" s="574">
        <f t="shared" si="206"/>
        <v>2.0528217544614695</v>
      </c>
      <c r="T447" s="577">
        <f t="shared" si="207"/>
        <v>1.0619908853887914</v>
      </c>
      <c r="U447" s="578">
        <f t="shared" si="219"/>
        <v>0.7771333322007109</v>
      </c>
      <c r="V447" s="579">
        <f t="shared" si="220"/>
        <v>-0.86922387067220752</v>
      </c>
      <c r="W447" s="580">
        <f t="shared" si="208"/>
        <v>-28.069358354869458</v>
      </c>
      <c r="X447" s="581">
        <f t="shared" si="209"/>
        <v>-204.31126977170427</v>
      </c>
      <c r="Y447" s="584">
        <f t="shared" si="210"/>
        <v>-24.311269771704275</v>
      </c>
      <c r="AA447" s="147">
        <f t="shared" si="211"/>
        <v>47318.5</v>
      </c>
      <c r="AB447" s="147">
        <f t="shared" si="212"/>
        <v>2239040442.25</v>
      </c>
      <c r="AD447" s="583">
        <f t="shared" si="213"/>
        <v>21.400825256101108</v>
      </c>
      <c r="AE447" s="584">
        <f t="shared" si="214"/>
        <v>-61.326906697299847</v>
      </c>
      <c r="AG447" s="583">
        <f t="shared" si="215"/>
        <v>14.197187792364502</v>
      </c>
      <c r="AH447" s="584">
        <f t="shared" si="216"/>
        <v>-43.378644477502704</v>
      </c>
      <c r="AJ447" s="147">
        <f t="shared" si="217"/>
        <v>0</v>
      </c>
      <c r="AK447" s="147">
        <f t="shared" si="229"/>
        <v>0</v>
      </c>
      <c r="AM447" s="147" t="str">
        <f t="shared" si="221"/>
        <v>0.833533835007738+0.986047167184597i</v>
      </c>
      <c r="AN447" s="147" t="str">
        <f t="shared" si="222"/>
        <v>1.4035515898939i</v>
      </c>
      <c r="AO447" s="147" t="str">
        <f t="shared" si="223"/>
        <v>0.702537173755855-0.593874739631586i</v>
      </c>
      <c r="AP447" s="147" t="str">
        <f t="shared" si="224"/>
        <v>0.0277443608320437-0.164341194530766i</v>
      </c>
      <c r="AQ447" s="147" t="str">
        <f t="shared" si="225"/>
        <v>0.972255639167956+0.164341194530766i</v>
      </c>
      <c r="AR447" s="147" t="str">
        <f t="shared" si="226"/>
        <v>0.832971370328997-0.140797856546192i</v>
      </c>
    </row>
    <row r="448" spans="7:44">
      <c r="G448" s="585">
        <v>47590.75</v>
      </c>
      <c r="H448" s="573">
        <f t="shared" si="218"/>
        <v>47.59075</v>
      </c>
      <c r="I448" s="574">
        <f t="shared" si="198"/>
        <v>328.71514141079211</v>
      </c>
      <c r="J448" s="575">
        <f t="shared" si="199"/>
        <v>1.5677541744372099</v>
      </c>
      <c r="K448" s="575">
        <f t="shared" si="200"/>
        <v>1.0340416295278756</v>
      </c>
      <c r="L448" s="576">
        <f t="shared" si="201"/>
        <v>0.2573059697566672</v>
      </c>
      <c r="M448" s="575">
        <f t="shared" si="202"/>
        <v>1.0521539833861209</v>
      </c>
      <c r="N448" s="576">
        <f t="shared" si="203"/>
        <v>-0.31617648793456271</v>
      </c>
      <c r="O448" s="574">
        <f t="shared" si="204"/>
        <v>897064.50244848244</v>
      </c>
      <c r="P448" s="577">
        <f t="shared" si="205"/>
        <v>1.5707952120478552</v>
      </c>
      <c r="Q448" s="586">
        <f t="shared" si="227"/>
        <v>120.21080275994453</v>
      </c>
      <c r="R448" s="587">
        <f t="shared" si="228"/>
        <v>1.5624775109238054</v>
      </c>
      <c r="S448" s="574">
        <f t="shared" si="206"/>
        <v>2.0618361592383656</v>
      </c>
      <c r="T448" s="577">
        <f t="shared" si="207"/>
        <v>1.0644279110664536</v>
      </c>
      <c r="U448" s="578">
        <f t="shared" si="219"/>
        <v>0.77531380717809062</v>
      </c>
      <c r="V448" s="579">
        <f t="shared" si="220"/>
        <v>-0.8732558014600893</v>
      </c>
      <c r="W448" s="580">
        <f t="shared" si="208"/>
        <v>-28.169608943353811</v>
      </c>
      <c r="X448" s="581">
        <f t="shared" si="209"/>
        <v>-204.69639790118097</v>
      </c>
      <c r="Y448" s="584">
        <f t="shared" si="210"/>
        <v>-24.696397901180973</v>
      </c>
      <c r="AA448" s="147">
        <f t="shared" si="211"/>
        <v>47590.75</v>
      </c>
      <c r="AB448" s="147">
        <f t="shared" si="212"/>
        <v>2264879485.5625</v>
      </c>
      <c r="AD448" s="583">
        <f t="shared" si="213"/>
        <v>21.362763581324678</v>
      </c>
      <c r="AE448" s="584">
        <f t="shared" si="214"/>
        <v>-61.463796139926224</v>
      </c>
      <c r="AG448" s="583">
        <f t="shared" si="215"/>
        <v>14.175719623024301</v>
      </c>
      <c r="AH448" s="584">
        <f t="shared" si="216"/>
        <v>-43.164857928956152</v>
      </c>
      <c r="AJ448" s="147">
        <f t="shared" si="217"/>
        <v>0</v>
      </c>
      <c r="AK448" s="147">
        <f t="shared" si="229"/>
        <v>0</v>
      </c>
      <c r="AM448" s="147" t="str">
        <f t="shared" si="221"/>
        <v>0.841501924597499+0.987359286224474i</v>
      </c>
      <c r="AN448" s="147" t="str">
        <f t="shared" si="222"/>
        <v>1.41162701325576i</v>
      </c>
      <c r="AO448" s="147" t="str">
        <f t="shared" si="223"/>
        <v>0.699447713137226-0.596122004393121i</v>
      </c>
      <c r="AP448" s="147" t="str">
        <f t="shared" si="224"/>
        <v>0.0264163459004168-0.164559881037412i</v>
      </c>
      <c r="AQ448" s="147" t="str">
        <f t="shared" si="225"/>
        <v>0.973583654099583+0.164559881037412i</v>
      </c>
      <c r="AR448" s="147" t="str">
        <f t="shared" si="226"/>
        <v>0.8318367829428-0.140601130131145i</v>
      </c>
    </row>
    <row r="449" spans="7:44">
      <c r="G449" s="585">
        <v>47863</v>
      </c>
      <c r="H449" s="573">
        <f t="shared" si="218"/>
        <v>47.863</v>
      </c>
      <c r="I449" s="574">
        <f t="shared" si="198"/>
        <v>330.59558816525345</v>
      </c>
      <c r="J449" s="575">
        <f t="shared" si="199"/>
        <v>1.5677714784280363</v>
      </c>
      <c r="K449" s="575">
        <f t="shared" si="200"/>
        <v>1.0344257233240153</v>
      </c>
      <c r="L449" s="576">
        <f t="shared" si="201"/>
        <v>0.25871329097846496</v>
      </c>
      <c r="M449" s="575">
        <f t="shared" si="202"/>
        <v>1.0527374063547639</v>
      </c>
      <c r="N449" s="576">
        <f t="shared" si="203"/>
        <v>-0.31786613073507419</v>
      </c>
      <c r="O449" s="574">
        <f t="shared" si="204"/>
        <v>902196.29404225433</v>
      </c>
      <c r="P449" s="577">
        <f t="shared" si="205"/>
        <v>1.5707952183886589</v>
      </c>
      <c r="Q449" s="586">
        <f t="shared" si="227"/>
        <v>120.89843917501652</v>
      </c>
      <c r="R449" s="587">
        <f t="shared" si="228"/>
        <v>1.5625248270975798</v>
      </c>
      <c r="S449" s="574">
        <f t="shared" si="206"/>
        <v>2.0708627028040545</v>
      </c>
      <c r="T449" s="577">
        <f t="shared" si="207"/>
        <v>1.0668437058145104</v>
      </c>
      <c r="U449" s="578">
        <f t="shared" si="219"/>
        <v>0.77349539174403792</v>
      </c>
      <c r="V449" s="579">
        <f t="shared" si="220"/>
        <v>-0.87727675588942777</v>
      </c>
      <c r="W449" s="580">
        <f t="shared" si="208"/>
        <v>-28.269457295251502</v>
      </c>
      <c r="X449" s="581">
        <f t="shared" si="209"/>
        <v>-205.07965309007812</v>
      </c>
      <c r="Y449" s="584">
        <f t="shared" si="210"/>
        <v>-25.079653090078125</v>
      </c>
      <c r="AA449" s="147">
        <f t="shared" si="211"/>
        <v>47863</v>
      </c>
      <c r="AB449" s="147">
        <f t="shared" si="212"/>
        <v>2290866769</v>
      </c>
      <c r="AD449" s="583">
        <f t="shared" si="213"/>
        <v>21.324817080397661</v>
      </c>
      <c r="AE449" s="584">
        <f t="shared" si="214"/>
        <v>-61.599500329556108</v>
      </c>
      <c r="AG449" s="583">
        <f t="shared" si="215"/>
        <v>14.154609273149195</v>
      </c>
      <c r="AH449" s="584">
        <f t="shared" si="216"/>
        <v>-42.951641490865846</v>
      </c>
      <c r="AJ449" s="147">
        <f t="shared" si="217"/>
        <v>0</v>
      </c>
      <c r="AK449" s="147">
        <f t="shared" si="229"/>
        <v>0</v>
      </c>
      <c r="AM449" s="147" t="str">
        <f t="shared" si="221"/>
        <v>0.849480350180895+0.98860701748386i</v>
      </c>
      <c r="AN449" s="147" t="str">
        <f t="shared" si="222"/>
        <v>1.41970243661763i</v>
      </c>
      <c r="AO449" s="147" t="str">
        <f t="shared" si="223"/>
        <v>0.696348045889931-0.598350984171542i</v>
      </c>
      <c r="AP449" s="147" t="str">
        <f t="shared" si="224"/>
        <v>0.0250866083031842-0.16476783624731i</v>
      </c>
      <c r="AQ449" s="147" t="str">
        <f t="shared" si="225"/>
        <v>0.974913391696816+0.16476783624731i</v>
      </c>
      <c r="AR449" s="147" t="str">
        <f t="shared" si="226"/>
        <v>0.830706900866286-0.140395833903995i</v>
      </c>
    </row>
    <row r="450" spans="7:44">
      <c r="G450" s="585">
        <v>48141.75</v>
      </c>
      <c r="H450" s="573">
        <f t="shared" si="218"/>
        <v>48.141750000000002</v>
      </c>
      <c r="I450" s="574">
        <f t="shared" si="198"/>
        <v>332.52093090321216</v>
      </c>
      <c r="J450" s="575">
        <f t="shared" si="199"/>
        <v>1.5677889927764685</v>
      </c>
      <c r="K450" s="575">
        <f t="shared" si="200"/>
        <v>1.0348211084961108</v>
      </c>
      <c r="L450" s="576">
        <f t="shared" si="201"/>
        <v>0.26015312680435382</v>
      </c>
      <c r="M450" s="575">
        <f t="shared" si="202"/>
        <v>1.0533378690600306</v>
      </c>
      <c r="N450" s="576">
        <f t="shared" si="203"/>
        <v>-0.31959416959659742</v>
      </c>
      <c r="O450" s="574">
        <f t="shared" si="204"/>
        <v>907450.6077493761</v>
      </c>
      <c r="P450" s="577">
        <f t="shared" si="205"/>
        <v>1.5707952248065444</v>
      </c>
      <c r="Q450" s="586">
        <f t="shared" si="227"/>
        <v>121.60249326565905</v>
      </c>
      <c r="R450" s="587">
        <f t="shared" si="228"/>
        <v>1.5625727185075802</v>
      </c>
      <c r="S450" s="574">
        <f t="shared" si="206"/>
        <v>2.0801171680690365</v>
      </c>
      <c r="T450" s="577">
        <f t="shared" si="207"/>
        <v>1.0692954400211663</v>
      </c>
      <c r="U450" s="578">
        <f t="shared" si="219"/>
        <v>0.77163478452640955</v>
      </c>
      <c r="V450" s="579">
        <f t="shared" si="220"/>
        <v>-0.88138238636577415</v>
      </c>
      <c r="W450" s="580">
        <f t="shared" si="208"/>
        <v>-28.371275713583696</v>
      </c>
      <c r="X450" s="581">
        <f t="shared" si="209"/>
        <v>-205.47013511946909</v>
      </c>
      <c r="Y450" s="584">
        <f t="shared" si="210"/>
        <v>-25.470135119469091</v>
      </c>
      <c r="AA450" s="147">
        <f t="shared" si="211"/>
        <v>48141.75</v>
      </c>
      <c r="AB450" s="147">
        <f t="shared" si="212"/>
        <v>2317628093.0625</v>
      </c>
      <c r="AD450" s="583">
        <f t="shared" si="213"/>
        <v>21.286083807573327</v>
      </c>
      <c r="AE450" s="584">
        <f t="shared" si="214"/>
        <v>-61.737230744292553</v>
      </c>
      <c r="AG450" s="583">
        <f t="shared" si="215"/>
        <v>14.133361474453093</v>
      </c>
      <c r="AH450" s="584">
        <f t="shared" si="216"/>
        <v>-42.733922507912929</v>
      </c>
      <c r="AJ450" s="147">
        <f t="shared" si="217"/>
        <v>0</v>
      </c>
      <c r="AK450" s="147">
        <f t="shared" si="229"/>
        <v>0</v>
      </c>
      <c r="AM450" s="147" t="str">
        <f t="shared" si="221"/>
        <v>0.857659427324565+0.989817741491043i</v>
      </c>
      <c r="AN450" s="147" t="str">
        <f t="shared" si="222"/>
        <v>1.4279706616392i</v>
      </c>
      <c r="AO450" s="147" t="str">
        <f t="shared" si="223"/>
        <v>0.693163920016962-0.600614179523855i</v>
      </c>
      <c r="AP450" s="147" t="str">
        <f t="shared" si="224"/>
        <v>0.0237234287792392-0.164969623581841i</v>
      </c>
      <c r="AQ450" s="147" t="str">
        <f t="shared" si="225"/>
        <v>0.976276571220761+0.164969623581841i</v>
      </c>
      <c r="AR450" s="147" t="str">
        <f t="shared" si="226"/>
        <v>0.829554966648377-0.140176846011276i</v>
      </c>
    </row>
    <row r="451" spans="7:44">
      <c r="G451" s="585">
        <v>48420.5</v>
      </c>
      <c r="H451" s="573">
        <f t="shared" si="218"/>
        <v>48.420499999999997</v>
      </c>
      <c r="I451" s="574">
        <f t="shared" si="198"/>
        <v>334.44627374199814</v>
      </c>
      <c r="J451" s="575">
        <f t="shared" si="199"/>
        <v>1.5678063054714391</v>
      </c>
      <c r="K451" s="575">
        <f t="shared" si="200"/>
        <v>1.0352186373426679</v>
      </c>
      <c r="L451" s="576">
        <f t="shared" si="201"/>
        <v>0.26159185980349886</v>
      </c>
      <c r="M451" s="575">
        <f t="shared" si="202"/>
        <v>1.0539414735672648</v>
      </c>
      <c r="N451" s="576">
        <f t="shared" si="203"/>
        <v>-0.32132023427164558</v>
      </c>
      <c r="O451" s="574">
        <f t="shared" si="204"/>
        <v>912704.92145649798</v>
      </c>
      <c r="P451" s="577">
        <f t="shared" si="205"/>
        <v>1.5707952311505362</v>
      </c>
      <c r="Q451" s="586">
        <f t="shared" si="227"/>
        <v>122.30654763199648</v>
      </c>
      <c r="R451" s="587">
        <f t="shared" si="228"/>
        <v>1.5626200585464498</v>
      </c>
      <c r="S451" s="574">
        <f t="shared" si="206"/>
        <v>2.0893840261122438</v>
      </c>
      <c r="T451" s="577">
        <f t="shared" si="207"/>
        <v>1.0717254408120791</v>
      </c>
      <c r="U451" s="578">
        <f t="shared" si="219"/>
        <v>0.76977548836987086</v>
      </c>
      <c r="V451" s="579">
        <f t="shared" si="220"/>
        <v>-0.88547660785238003</v>
      </c>
      <c r="W451" s="580">
        <f t="shared" si="208"/>
        <v>-28.472678380283568</v>
      </c>
      <c r="X451" s="581">
        <f t="shared" si="209"/>
        <v>-205.85868833677833</v>
      </c>
      <c r="Y451" s="584">
        <f t="shared" si="210"/>
        <v>-25.858688336778329</v>
      </c>
      <c r="AA451" s="147">
        <f t="shared" si="211"/>
        <v>48420.5</v>
      </c>
      <c r="AB451" s="147">
        <f t="shared" si="212"/>
        <v>2344544820.25</v>
      </c>
      <c r="AD451" s="583">
        <f t="shared" si="213"/>
        <v>21.247471002624287</v>
      </c>
      <c r="AE451" s="584">
        <f t="shared" si="214"/>
        <v>-61.873747513036044</v>
      </c>
      <c r="AG451" s="583">
        <f t="shared" si="215"/>
        <v>14.112480374663129</v>
      </c>
      <c r="AH451" s="584">
        <f t="shared" si="216"/>
        <v>-42.516795732794009</v>
      </c>
      <c r="AJ451" s="147">
        <f t="shared" si="217"/>
        <v>0</v>
      </c>
      <c r="AK451" s="147">
        <f t="shared" si="229"/>
        <v>0</v>
      </c>
      <c r="AM451" s="147" t="str">
        <f t="shared" si="221"/>
        <v>0.865848235318936+0.990960798434003i</v>
      </c>
      <c r="AN451" s="147" t="str">
        <f t="shared" si="222"/>
        <v>1.43623888666076i</v>
      </c>
      <c r="AO451" s="147" t="str">
        <f t="shared" si="223"/>
        <v>0.689969341199204-0.602858092313615i</v>
      </c>
      <c r="AP451" s="147" t="str">
        <f t="shared" si="224"/>
        <v>0.022358627446844-0.165160133072334i</v>
      </c>
      <c r="AQ451" s="147" t="str">
        <f t="shared" si="225"/>
        <v>0.977641372553156+0.165160133072334i</v>
      </c>
      <c r="AR451" s="147" t="str">
        <f t="shared" si="226"/>
        <v>0.828408062758512-0.139949054658027i</v>
      </c>
    </row>
    <row r="452" spans="7:44">
      <c r="G452" s="585">
        <v>48699.25</v>
      </c>
      <c r="H452" s="573">
        <f t="shared" si="218"/>
        <v>48.699249999999999</v>
      </c>
      <c r="I452" s="574">
        <f t="shared" si="198"/>
        <v>336.37161667987982</v>
      </c>
      <c r="J452" s="575">
        <f t="shared" si="199"/>
        <v>1.567823419975644</v>
      </c>
      <c r="K452" s="575">
        <f t="shared" si="200"/>
        <v>1.0356183073950964</v>
      </c>
      <c r="L452" s="576">
        <f t="shared" si="201"/>
        <v>0.26302948529310577</v>
      </c>
      <c r="M452" s="575">
        <f t="shared" si="202"/>
        <v>1.0545482144815326</v>
      </c>
      <c r="N452" s="576">
        <f t="shared" si="203"/>
        <v>-0.32304431787411775</v>
      </c>
      <c r="O452" s="574">
        <f t="shared" si="204"/>
        <v>917959.23516361974</v>
      </c>
      <c r="P452" s="577">
        <f t="shared" si="205"/>
        <v>1.570795237421903</v>
      </c>
      <c r="Q452" s="586">
        <f t="shared" si="227"/>
        <v>123.01060226929495</v>
      </c>
      <c r="R452" s="587">
        <f t="shared" si="228"/>
        <v>1.5626668566813389</v>
      </c>
      <c r="S452" s="574">
        <f t="shared" si="206"/>
        <v>2.0986631127690076</v>
      </c>
      <c r="T452" s="577">
        <f t="shared" si="207"/>
        <v>1.0741339675762422</v>
      </c>
      <c r="U452" s="578">
        <f t="shared" si="219"/>
        <v>0.7679175760166842</v>
      </c>
      <c r="V452" s="579">
        <f t="shared" si="220"/>
        <v>-0.88955947051534801</v>
      </c>
      <c r="W452" s="580">
        <f t="shared" si="208"/>
        <v>-28.573668237936044</v>
      </c>
      <c r="X452" s="581">
        <f t="shared" si="209"/>
        <v>-206.24533000800909</v>
      </c>
      <c r="Y452" s="584">
        <f t="shared" si="210"/>
        <v>-26.245330008009091</v>
      </c>
      <c r="AA452" s="147">
        <f t="shared" si="211"/>
        <v>48699.25</v>
      </c>
      <c r="AB452" s="147">
        <f t="shared" si="212"/>
        <v>2371616950.5625</v>
      </c>
      <c r="AD452" s="583">
        <f t="shared" si="213"/>
        <v>21.208978506425922</v>
      </c>
      <c r="AE452" s="584">
        <f t="shared" si="214"/>
        <v>-62.00906495532611</v>
      </c>
      <c r="AG452" s="583">
        <f t="shared" si="215"/>
        <v>14.091961818690098</v>
      </c>
      <c r="AH452" s="584">
        <f t="shared" si="216"/>
        <v>-42.300258363360832</v>
      </c>
      <c r="AJ452" s="147">
        <f t="shared" si="217"/>
        <v>0</v>
      </c>
      <c r="AK452" s="147">
        <f t="shared" si="229"/>
        <v>0</v>
      </c>
      <c r="AM452" s="147" t="str">
        <f t="shared" si="221"/>
        <v>0.874046214351272+0.992036110169763i</v>
      </c>
      <c r="AN452" s="147" t="str">
        <f t="shared" si="222"/>
        <v>1.44450711168233i</v>
      </c>
      <c r="AO452" s="147" t="str">
        <f t="shared" si="223"/>
        <v>0.686764434835076-0.605082666109773i</v>
      </c>
      <c r="AP452" s="147" t="str">
        <f t="shared" si="224"/>
        <v>0.0209922976081213-0.165339351694961i</v>
      </c>
      <c r="AQ452" s="147" t="str">
        <f t="shared" si="225"/>
        <v>0.979007702391879+0.165339351694961i</v>
      </c>
      <c r="AR452" s="147" t="str">
        <f t="shared" si="226"/>
        <v>0.827266236487214-0.139712550663034i</v>
      </c>
    </row>
    <row r="453" spans="7:44">
      <c r="G453" s="585">
        <v>48978</v>
      </c>
      <c r="H453" s="573">
        <f t="shared" si="218"/>
        <v>48.978000000000002</v>
      </c>
      <c r="I453" s="574">
        <f t="shared" si="198"/>
        <v>338.29695971516549</v>
      </c>
      <c r="J453" s="575">
        <f t="shared" si="199"/>
        <v>1.5678403396729508</v>
      </c>
      <c r="K453" s="575">
        <f t="shared" si="200"/>
        <v>1.0360201161753291</v>
      </c>
      <c r="L453" s="576">
        <f t="shared" si="201"/>
        <v>0.26446599861589848</v>
      </c>
      <c r="M453" s="575">
        <f t="shared" si="202"/>
        <v>1.0551580863923089</v>
      </c>
      <c r="N453" s="576">
        <f t="shared" si="203"/>
        <v>-0.32476641358081965</v>
      </c>
      <c r="O453" s="574">
        <f t="shared" si="204"/>
        <v>923213.54887074162</v>
      </c>
      <c r="P453" s="577">
        <f t="shared" si="205"/>
        <v>1.5707952436218851</v>
      </c>
      <c r="Q453" s="586">
        <f t="shared" si="227"/>
        <v>123.71465717292838</v>
      </c>
      <c r="R453" s="587">
        <f t="shared" si="228"/>
        <v>1.5627131221638988</v>
      </c>
      <c r="S453" s="574">
        <f t="shared" si="206"/>
        <v>2.1079542665504913</v>
      </c>
      <c r="T453" s="577">
        <f t="shared" si="207"/>
        <v>1.0765212761350726</v>
      </c>
      <c r="U453" s="578">
        <f t="shared" si="219"/>
        <v>0.7660611188404699</v>
      </c>
      <c r="V453" s="579">
        <f t="shared" si="220"/>
        <v>-0.89363102498322289</v>
      </c>
      <c r="W453" s="580">
        <f t="shared" si="208"/>
        <v>-28.674248194533366</v>
      </c>
      <c r="X453" s="581">
        <f t="shared" si="209"/>
        <v>-206.63007723122465</v>
      </c>
      <c r="Y453" s="584">
        <f t="shared" si="210"/>
        <v>-26.630077231224647</v>
      </c>
      <c r="AA453" s="147">
        <f t="shared" si="211"/>
        <v>48978</v>
      </c>
      <c r="AB453" s="147">
        <f t="shared" si="212"/>
        <v>2398844484</v>
      </c>
      <c r="AD453" s="583">
        <f t="shared" si="213"/>
        <v>21.170606145846541</v>
      </c>
      <c r="AE453" s="584">
        <f t="shared" si="214"/>
        <v>-62.143197198640806</v>
      </c>
      <c r="AG453" s="583">
        <f t="shared" si="215"/>
        <v>14.071801716752478</v>
      </c>
      <c r="AH453" s="584">
        <f t="shared" si="216"/>
        <v>-42.084307568594802</v>
      </c>
      <c r="AJ453" s="147">
        <f t="shared" si="217"/>
        <v>0</v>
      </c>
      <c r="AK453" s="147">
        <f t="shared" si="229"/>
        <v>0</v>
      </c>
      <c r="AM453" s="147" t="str">
        <f t="shared" si="221"/>
        <v>0.882252803981837+0.993043603186618i</v>
      </c>
      <c r="AN453" s="147" t="str">
        <f t="shared" si="222"/>
        <v>1.45277533670389i</v>
      </c>
      <c r="AO453" s="147" t="str">
        <f t="shared" si="223"/>
        <v>0.683549326656159-0.607287845334382i</v>
      </c>
      <c r="AP453" s="147" t="str">
        <f t="shared" si="224"/>
        <v>0.0196245326696938-0.16550726719777i</v>
      </c>
      <c r="AQ453" s="147" t="str">
        <f t="shared" si="225"/>
        <v>0.980375467330306+0.16550726719777i</v>
      </c>
      <c r="AR453" s="147" t="str">
        <f t="shared" si="226"/>
        <v>0.826129533730709-0.139467424507748i</v>
      </c>
    </row>
    <row r="454" spans="7:44">
      <c r="G454" s="585">
        <v>49263.25</v>
      </c>
      <c r="H454" s="573">
        <f t="shared" si="218"/>
        <v>49.263249999999999</v>
      </c>
      <c r="I454" s="574">
        <f t="shared" si="198"/>
        <v>340.26719874096915</v>
      </c>
      <c r="J454" s="575">
        <f t="shared" si="199"/>
        <v>1.5678574556865574</v>
      </c>
      <c r="K454" s="575">
        <f t="shared" si="200"/>
        <v>1.0364335060092136</v>
      </c>
      <c r="L454" s="576">
        <f t="shared" si="201"/>
        <v>0.26593485290816588</v>
      </c>
      <c r="M454" s="575">
        <f t="shared" si="202"/>
        <v>1.0557854152329924</v>
      </c>
      <c r="N454" s="576">
        <f t="shared" si="203"/>
        <v>-0.32652660075871004</v>
      </c>
      <c r="O454" s="574">
        <f t="shared" si="204"/>
        <v>928590.38469121349</v>
      </c>
      <c r="P454" s="577">
        <f t="shared" si="205"/>
        <v>1.5707952498938038</v>
      </c>
      <c r="Q454" s="586">
        <f t="shared" si="227"/>
        <v>124.4351297713303</v>
      </c>
      <c r="R454" s="587">
        <f t="shared" si="228"/>
        <v>1.5627599244872916</v>
      </c>
      <c r="S454" s="574">
        <f t="shared" si="206"/>
        <v>2.1174744017984626</v>
      </c>
      <c r="T454" s="577">
        <f t="shared" si="207"/>
        <v>1.078942549943996</v>
      </c>
      <c r="U454" s="578">
        <f t="shared" si="219"/>
        <v>0.76416295159163583</v>
      </c>
      <c r="V454" s="579">
        <f t="shared" si="220"/>
        <v>-0.89778586801700855</v>
      </c>
      <c r="W454" s="580">
        <f t="shared" si="208"/>
        <v>-28.776752161868178</v>
      </c>
      <c r="X454" s="581">
        <f t="shared" si="209"/>
        <v>-207.02185257621838</v>
      </c>
      <c r="Y454" s="584">
        <f t="shared" si="210"/>
        <v>-27.021852576218379</v>
      </c>
      <c r="AA454" s="147">
        <f t="shared" si="211"/>
        <v>49263.25</v>
      </c>
      <c r="AB454" s="147">
        <f t="shared" si="212"/>
        <v>2426867800.5625</v>
      </c>
      <c r="AD454" s="583">
        <f t="shared" si="213"/>
        <v>21.131463179340876</v>
      </c>
      <c r="AE454" s="584">
        <f t="shared" si="214"/>
        <v>-62.279244752845791</v>
      </c>
      <c r="AG454" s="583">
        <f t="shared" si="215"/>
        <v>14.051538403413586</v>
      </c>
      <c r="AH454" s="584">
        <f t="shared" si="216"/>
        <v>-41.863925418089053</v>
      </c>
      <c r="AJ454" s="147">
        <f t="shared" si="217"/>
        <v>0</v>
      </c>
      <c r="AK454" s="147">
        <f t="shared" si="229"/>
        <v>0</v>
      </c>
      <c r="AM454" s="147" t="str">
        <f t="shared" si="221"/>
        <v>0.890659086829223+0.99400430819337i</v>
      </c>
      <c r="AN454" s="147" t="str">
        <f t="shared" si="222"/>
        <v>1.46123636338515i</v>
      </c>
      <c r="AO454" s="147" t="str">
        <f t="shared" si="223"/>
        <v>0.680248817440202-0.609524310472189i</v>
      </c>
      <c r="AP454" s="147" t="str">
        <f t="shared" si="224"/>
        <v>0.0182234855284628-0.165667384698895i</v>
      </c>
      <c r="AQ454" s="147" t="str">
        <f t="shared" si="225"/>
        <v>0.981776514471537+0.165667384698895i</v>
      </c>
      <c r="AR454" s="147" t="str">
        <f t="shared" si="226"/>
        <v>0.824971675459169-0.139207750347901i</v>
      </c>
    </row>
    <row r="455" spans="7:44">
      <c r="G455" s="585">
        <v>49548.5</v>
      </c>
      <c r="H455" s="573">
        <f t="shared" si="218"/>
        <v>49.548499999999997</v>
      </c>
      <c r="I455" s="574">
        <f t="shared" si="198"/>
        <v>342.23743786530912</v>
      </c>
      <c r="J455" s="575">
        <f t="shared" si="199"/>
        <v>1.5678743746285693</v>
      </c>
      <c r="K455" s="575">
        <f t="shared" si="200"/>
        <v>1.0368491301966172</v>
      </c>
      <c r="L455" s="576">
        <f t="shared" si="201"/>
        <v>0.26740253277529968</v>
      </c>
      <c r="M455" s="575">
        <f t="shared" si="202"/>
        <v>1.0564160112793946</v>
      </c>
      <c r="N455" s="576">
        <f t="shared" si="203"/>
        <v>-0.32828469199568711</v>
      </c>
      <c r="O455" s="574">
        <f t="shared" si="204"/>
        <v>933967.22051168547</v>
      </c>
      <c r="P455" s="577">
        <f t="shared" si="205"/>
        <v>1.5707952560935079</v>
      </c>
      <c r="Q455" s="586">
        <f t="shared" si="227"/>
        <v>125.15560263916392</v>
      </c>
      <c r="R455" s="587">
        <f t="shared" si="228"/>
        <v>1.5628061879646853</v>
      </c>
      <c r="S455" s="574">
        <f t="shared" si="206"/>
        <v>2.1270068397148529</v>
      </c>
      <c r="T455" s="577">
        <f t="shared" si="207"/>
        <v>1.0813421352540973</v>
      </c>
      <c r="U455" s="578">
        <f t="shared" si="219"/>
        <v>0.7622664550647843</v>
      </c>
      <c r="V455" s="579">
        <f t="shared" si="220"/>
        <v>-0.90192897802412386</v>
      </c>
      <c r="W455" s="580">
        <f t="shared" si="208"/>
        <v>-28.878832942370209</v>
      </c>
      <c r="X455" s="581">
        <f t="shared" si="209"/>
        <v>-207.41167978798268</v>
      </c>
      <c r="Y455" s="584">
        <f t="shared" si="210"/>
        <v>-27.411679787982678</v>
      </c>
      <c r="AA455" s="147">
        <f t="shared" si="211"/>
        <v>49548.5</v>
      </c>
      <c r="AB455" s="147">
        <f t="shared" si="212"/>
        <v>2455053852.25</v>
      </c>
      <c r="AD455" s="583">
        <f t="shared" si="213"/>
        <v>21.092445607071831</v>
      </c>
      <c r="AE455" s="584">
        <f t="shared" si="214"/>
        <v>-62.414080517066893</v>
      </c>
      <c r="AG455" s="583">
        <f t="shared" si="215"/>
        <v>14.031641994602762</v>
      </c>
      <c r="AH455" s="584">
        <f t="shared" si="216"/>
        <v>-41.644151430157535</v>
      </c>
      <c r="AJ455" s="147">
        <f t="shared" si="217"/>
        <v>0</v>
      </c>
      <c r="AK455" s="147">
        <f t="shared" si="229"/>
        <v>0</v>
      </c>
      <c r="AM455" s="147" t="str">
        <f t="shared" si="221"/>
        <v>0.899073197233549+0.994893853877559i</v>
      </c>
      <c r="AN455" s="147" t="str">
        <f t="shared" si="222"/>
        <v>1.46969739006642i</v>
      </c>
      <c r="AO455" s="147" t="str">
        <f t="shared" si="223"/>
        <v>0.676937892522621-0.61174035097995i</v>
      </c>
      <c r="AP455" s="147" t="str">
        <f t="shared" si="224"/>
        <v>0.0168211337944085-0.165815642312927i</v>
      </c>
      <c r="AQ455" s="147" t="str">
        <f t="shared" si="225"/>
        <v>0.983178866205591+0.165815642312927i</v>
      </c>
      <c r="AR455" s="147" t="str">
        <f t="shared" si="226"/>
        <v>0.823819275295365-0.138939237791047i</v>
      </c>
    </row>
    <row r="456" spans="7:44">
      <c r="G456" s="585">
        <v>49833.75</v>
      </c>
      <c r="H456" s="573">
        <f t="shared" si="218"/>
        <v>49.833750000000002</v>
      </c>
      <c r="I456" s="574">
        <f t="shared" si="198"/>
        <v>344.20767708649316</v>
      </c>
      <c r="J456" s="575">
        <f t="shared" si="199"/>
        <v>1.5678910998830808</v>
      </c>
      <c r="K456" s="575">
        <f t="shared" si="200"/>
        <v>1.0372669860516788</v>
      </c>
      <c r="L456" s="576">
        <f t="shared" si="201"/>
        <v>0.26886903330984918</v>
      </c>
      <c r="M456" s="575">
        <f t="shared" si="202"/>
        <v>1.0570498686842404</v>
      </c>
      <c r="N456" s="576">
        <f t="shared" si="203"/>
        <v>-0.33004068018446903</v>
      </c>
      <c r="O456" s="574">
        <f t="shared" si="204"/>
        <v>939344.05633215734</v>
      </c>
      <c r="P456" s="577">
        <f t="shared" si="205"/>
        <v>1.5707952622222374</v>
      </c>
      <c r="Q456" s="586">
        <f t="shared" si="227"/>
        <v>125.8760757718028</v>
      </c>
      <c r="R456" s="587">
        <f t="shared" si="228"/>
        <v>1.5628519218484105</v>
      </c>
      <c r="S456" s="574">
        <f t="shared" si="206"/>
        <v>2.13655141563091</v>
      </c>
      <c r="T456" s="577">
        <f t="shared" si="207"/>
        <v>1.0837202949113891</v>
      </c>
      <c r="U456" s="578">
        <f t="shared" si="219"/>
        <v>0.76037170137418453</v>
      </c>
      <c r="V456" s="579">
        <f t="shared" si="220"/>
        <v>-0.90606041067284648</v>
      </c>
      <c r="W456" s="580">
        <f t="shared" si="208"/>
        <v>-28.980493544419659</v>
      </c>
      <c r="X456" s="581">
        <f t="shared" si="209"/>
        <v>-207.799576653847</v>
      </c>
      <c r="Y456" s="584">
        <f t="shared" si="210"/>
        <v>-27.799576653846998</v>
      </c>
      <c r="AA456" s="147">
        <f t="shared" si="211"/>
        <v>49833.75</v>
      </c>
      <c r="AB456" s="147">
        <f t="shared" si="212"/>
        <v>2483402639.0625</v>
      </c>
      <c r="AD456" s="583">
        <f t="shared" si="213"/>
        <v>21.053553201425661</v>
      </c>
      <c r="AE456" s="584">
        <f t="shared" si="214"/>
        <v>-62.547719021222825</v>
      </c>
      <c r="AG456" s="583">
        <f t="shared" si="215"/>
        <v>14.012108311594993</v>
      </c>
      <c r="AH456" s="584">
        <f t="shared" si="216"/>
        <v>-41.424982483096187</v>
      </c>
      <c r="AJ456" s="147">
        <f t="shared" si="217"/>
        <v>0</v>
      </c>
      <c r="AK456" s="147">
        <f t="shared" si="229"/>
        <v>0</v>
      </c>
      <c r="AM456" s="147" t="str">
        <f t="shared" si="221"/>
        <v>0.907494532840868+0.9957121765579i</v>
      </c>
      <c r="AN456" s="147" t="str">
        <f t="shared" si="222"/>
        <v>1.47815841674768i</v>
      </c>
      <c r="AO456" s="147" t="str">
        <f t="shared" si="223"/>
        <v>0.673616687681363-0.613935910088436i</v>
      </c>
      <c r="AP456" s="147" t="str">
        <f t="shared" si="224"/>
        <v>0.0154175778598554-0.165952029426317i</v>
      </c>
      <c r="AQ456" s="147" t="str">
        <f t="shared" si="225"/>
        <v>0.984582422140145+0.165952029426317i</v>
      </c>
      <c r="AR456" s="147" t="str">
        <f t="shared" si="226"/>
        <v>0.82267237802475-0.138661982599105i</v>
      </c>
    </row>
    <row r="457" spans="7:44">
      <c r="G457" s="585">
        <v>50119</v>
      </c>
      <c r="H457" s="573">
        <f t="shared" si="218"/>
        <v>50.119</v>
      </c>
      <c r="I457" s="574">
        <f t="shared" si="198"/>
        <v>346.17791640286782</v>
      </c>
      <c r="J457" s="575">
        <f t="shared" si="199"/>
        <v>1.5679076347571452</v>
      </c>
      <c r="K457" s="575">
        <f t="shared" si="200"/>
        <v>1.0376870708784549</v>
      </c>
      <c r="L457" s="576">
        <f t="shared" si="201"/>
        <v>0.27033434963253733</v>
      </c>
      <c r="M457" s="575">
        <f t="shared" si="202"/>
        <v>1.0576869815840675</v>
      </c>
      <c r="N457" s="576">
        <f t="shared" si="203"/>
        <v>-0.33179455828664506</v>
      </c>
      <c r="O457" s="574">
        <f t="shared" si="204"/>
        <v>944720.89215262933</v>
      </c>
      <c r="P457" s="577">
        <f t="shared" si="205"/>
        <v>1.5707952682812041</v>
      </c>
      <c r="Q457" s="586">
        <f t="shared" si="227"/>
        <v>126.5965491647259</v>
      </c>
      <c r="R457" s="587">
        <f t="shared" si="228"/>
        <v>1.5628971351801826</v>
      </c>
      <c r="S457" s="574">
        <f t="shared" si="206"/>
        <v>2.1461079675994386</v>
      </c>
      <c r="T457" s="577">
        <f t="shared" si="207"/>
        <v>1.0860772880584553</v>
      </c>
      <c r="U457" s="578">
        <f t="shared" si="219"/>
        <v>0.75847876118881419</v>
      </c>
      <c r="V457" s="579">
        <f t="shared" si="220"/>
        <v>-0.91018022207904858</v>
      </c>
      <c r="W457" s="580">
        <f t="shared" si="208"/>
        <v>-29.081736941550375</v>
      </c>
      <c r="X457" s="581">
        <f t="shared" si="209"/>
        <v>-208.18556078457854</v>
      </c>
      <c r="Y457" s="584">
        <f t="shared" si="210"/>
        <v>-28.185560784578541</v>
      </c>
      <c r="AA457" s="147">
        <f t="shared" si="211"/>
        <v>50119</v>
      </c>
      <c r="AB457" s="147">
        <f t="shared" si="212"/>
        <v>2511914161</v>
      </c>
      <c r="AD457" s="583">
        <f t="shared" si="213"/>
        <v>21.014785721711743</v>
      </c>
      <c r="AE457" s="584">
        <f t="shared" si="214"/>
        <v>-62.680174595107303</v>
      </c>
      <c r="AG457" s="583">
        <f t="shared" si="215"/>
        <v>13.992933241653782</v>
      </c>
      <c r="AH457" s="584">
        <f t="shared" si="216"/>
        <v>-41.206415427473317</v>
      </c>
      <c r="AJ457" s="147">
        <f t="shared" si="217"/>
        <v>0</v>
      </c>
      <c r="AK457" s="147">
        <f t="shared" si="229"/>
        <v>0</v>
      </c>
      <c r="AM457" s="147" t="str">
        <f t="shared" si="221"/>
        <v>0.915922490780025+0.996459217651864i</v>
      </c>
      <c r="AN457" s="147" t="str">
        <f t="shared" si="222"/>
        <v>1.48661944342894i</v>
      </c>
      <c r="AO457" s="147" t="str">
        <f t="shared" si="223"/>
        <v>0.670285339033032-0.616110931972891i</v>
      </c>
      <c r="AP457" s="147" t="str">
        <f t="shared" si="224"/>
        <v>0.0140129182033293-0.166076536275311i</v>
      </c>
      <c r="AQ457" s="147" t="str">
        <f t="shared" si="225"/>
        <v>0.985987081796671+0.166076536275311i</v>
      </c>
      <c r="AR457" s="147" t="str">
        <f t="shared" si="226"/>
        <v>0.821531026996766-0.138376080098033i</v>
      </c>
    </row>
    <row r="458" spans="7:44">
      <c r="G458" s="585">
        <v>50410.75</v>
      </c>
      <c r="H458" s="573">
        <f t="shared" si="218"/>
        <v>50.41075</v>
      </c>
      <c r="I458" s="574">
        <f t="shared" si="198"/>
        <v>348.19305171631282</v>
      </c>
      <c r="J458" s="575">
        <f t="shared" si="199"/>
        <v>1.5679243528431539</v>
      </c>
      <c r="K458" s="575">
        <f t="shared" si="200"/>
        <v>1.0381190311077397</v>
      </c>
      <c r="L458" s="576">
        <f t="shared" si="201"/>
        <v>0.27183182610825563</v>
      </c>
      <c r="M458" s="575">
        <f t="shared" si="202"/>
        <v>1.0583419738805426</v>
      </c>
      <c r="N458" s="576">
        <f t="shared" si="203"/>
        <v>-0.33358621203755212</v>
      </c>
      <c r="O458" s="574">
        <f t="shared" si="204"/>
        <v>950220.2500864513</v>
      </c>
      <c r="P458" s="577">
        <f t="shared" si="205"/>
        <v>1.5707952744073055</v>
      </c>
      <c r="Q458" s="586">
        <f t="shared" si="227"/>
        <v>127.33344027033441</v>
      </c>
      <c r="R458" s="587">
        <f t="shared" si="228"/>
        <v>1.5629428495192614</v>
      </c>
      <c r="S458" s="574">
        <f t="shared" si="206"/>
        <v>2.1558945075055815</v>
      </c>
      <c r="T458" s="577">
        <f t="shared" si="207"/>
        <v>1.0884663608642695</v>
      </c>
      <c r="U458" s="578">
        <f t="shared" si="219"/>
        <v>0.75654463464155719</v>
      </c>
      <c r="V458" s="579">
        <f t="shared" si="220"/>
        <v>-0.91438194921022664</v>
      </c>
      <c r="W458" s="580">
        <f t="shared" si="208"/>
        <v>-29.184858864916066</v>
      </c>
      <c r="X458" s="581">
        <f t="shared" si="209"/>
        <v>-208.57837990940624</v>
      </c>
      <c r="Y458" s="584">
        <f t="shared" si="210"/>
        <v>-28.578379909406237</v>
      </c>
      <c r="AA458" s="147">
        <f t="shared" si="211"/>
        <v>50410.75</v>
      </c>
      <c r="AB458" s="147">
        <f t="shared" si="212"/>
        <v>2541243715.5625</v>
      </c>
      <c r="AD458" s="583">
        <f t="shared" si="213"/>
        <v>20.975263810700678</v>
      </c>
      <c r="AE458" s="584">
        <f t="shared" si="214"/>
        <v>-62.814439496290639</v>
      </c>
      <c r="AG458" s="583">
        <f t="shared" si="215"/>
        <v>13.973687973677025</v>
      </c>
      <c r="AH458" s="584">
        <f t="shared" si="216"/>
        <v>-40.983487188003274</v>
      </c>
      <c r="AJ458" s="147">
        <f t="shared" si="217"/>
        <v>0</v>
      </c>
      <c r="AK458" s="147">
        <f t="shared" si="229"/>
        <v>0</v>
      </c>
      <c r="AM458" s="147" t="str">
        <f t="shared" si="221"/>
        <v>0.924548718378727+0.997149489345358i</v>
      </c>
      <c r="AN458" s="147" t="str">
        <f t="shared" si="222"/>
        <v>1.49527327176989i</v>
      </c>
      <c r="AO458" s="147" t="str">
        <f t="shared" si="223"/>
        <v>0.66686772790707-0.618314214420739i</v>
      </c>
      <c r="AP458" s="147" t="str">
        <f t="shared" si="224"/>
        <v>0.0125752136035455-0.16619158155756i</v>
      </c>
      <c r="AQ458" s="147" t="str">
        <f t="shared" si="225"/>
        <v>0.987424786396454+0.16619158155756i</v>
      </c>
      <c r="AR458" s="147" t="str">
        <f t="shared" si="226"/>
        <v>0.820369448928431-0.138074816489546i</v>
      </c>
    </row>
    <row r="459" spans="7:44">
      <c r="G459" s="585">
        <v>50702.5</v>
      </c>
      <c r="H459" s="573">
        <f t="shared" si="218"/>
        <v>50.702500000000001</v>
      </c>
      <c r="I459" s="574">
        <f t="shared" si="198"/>
        <v>350.20818712595582</v>
      </c>
      <c r="J459" s="575">
        <f t="shared" si="199"/>
        <v>1.5679408785338529</v>
      </c>
      <c r="K459" s="575">
        <f t="shared" si="200"/>
        <v>1.0385533173127797</v>
      </c>
      <c r="L459" s="576">
        <f t="shared" si="201"/>
        <v>0.27332805355361178</v>
      </c>
      <c r="M459" s="575">
        <f t="shared" si="202"/>
        <v>1.0590003592704451</v>
      </c>
      <c r="N459" s="576">
        <f t="shared" si="203"/>
        <v>-0.33537564376789919</v>
      </c>
      <c r="O459" s="574">
        <f t="shared" si="204"/>
        <v>955719.60802027327</v>
      </c>
      <c r="P459" s="577">
        <f t="shared" si="205"/>
        <v>1.570795280462906</v>
      </c>
      <c r="Q459" s="586">
        <f t="shared" si="227"/>
        <v>128.07033163898225</v>
      </c>
      <c r="R459" s="587">
        <f t="shared" si="228"/>
        <v>1.5629880377958951</v>
      </c>
      <c r="S459" s="574">
        <f t="shared" si="206"/>
        <v>2.1656932412917467</v>
      </c>
      <c r="T459" s="577">
        <f t="shared" si="207"/>
        <v>1.0908338282406078</v>
      </c>
      <c r="U459" s="578">
        <f t="shared" si="219"/>
        <v>0.75461255016101503</v>
      </c>
      <c r="V459" s="579">
        <f t="shared" si="220"/>
        <v>-0.91857163955121501</v>
      </c>
      <c r="W459" s="580">
        <f t="shared" si="208"/>
        <v>-29.287550536587421</v>
      </c>
      <c r="X459" s="581">
        <f t="shared" si="209"/>
        <v>-208.96923484247876</v>
      </c>
      <c r="Y459" s="584">
        <f t="shared" si="210"/>
        <v>-28.969234842478755</v>
      </c>
      <c r="AA459" s="147">
        <f t="shared" si="211"/>
        <v>50702.5</v>
      </c>
      <c r="AB459" s="147">
        <f t="shared" si="212"/>
        <v>2570743506.25</v>
      </c>
      <c r="AD459" s="583">
        <f t="shared" si="213"/>
        <v>20.935872034961875</v>
      </c>
      <c r="AE459" s="584">
        <f t="shared" si="214"/>
        <v>-62.947496634667559</v>
      </c>
      <c r="AG459" s="583">
        <f t="shared" si="215"/>
        <v>13.954809351408187</v>
      </c>
      <c r="AH459" s="584">
        <f t="shared" si="216"/>
        <v>-40.761181834139613</v>
      </c>
      <c r="AJ459" s="147">
        <f t="shared" si="217"/>
        <v>0</v>
      </c>
      <c r="AK459" s="147">
        <f t="shared" si="229"/>
        <v>0</v>
      </c>
      <c r="AM459" s="147" t="str">
        <f t="shared" si="221"/>
        <v>0.933180596393962+0.99776508623109i</v>
      </c>
      <c r="AN459" s="147" t="str">
        <f t="shared" si="222"/>
        <v>1.50392710011085i</v>
      </c>
      <c r="AO459" s="147" t="str">
        <f t="shared" si="223"/>
        <v>0.663439794493727-0.620495897922964i</v>
      </c>
      <c r="AP459" s="147" t="str">
        <f t="shared" si="224"/>
        <v>0.011136567267673-0.166294181038515i</v>
      </c>
      <c r="AQ459" s="147" t="str">
        <f t="shared" si="225"/>
        <v>0.988863432732327+0.166294181038515i</v>
      </c>
      <c r="AR459" s="147" t="str">
        <f t="shared" si="226"/>
        <v>0.819213759978058-0.137764707240327i</v>
      </c>
    </row>
    <row r="460" spans="7:44">
      <c r="G460" s="585">
        <v>50994.25</v>
      </c>
      <c r="H460" s="573">
        <f t="shared" si="218"/>
        <v>50.994250000000001</v>
      </c>
      <c r="I460" s="574">
        <f t="shared" si="198"/>
        <v>352.22332263014579</v>
      </c>
      <c r="J460" s="575">
        <f t="shared" si="199"/>
        <v>1.5679572151314218</v>
      </c>
      <c r="K460" s="575">
        <f t="shared" si="200"/>
        <v>1.0389899265768792</v>
      </c>
      <c r="L460" s="576">
        <f t="shared" si="201"/>
        <v>0.27482302683986515</v>
      </c>
      <c r="M460" s="575">
        <f t="shared" si="202"/>
        <v>1.0596621314292214</v>
      </c>
      <c r="N460" s="576">
        <f t="shared" si="203"/>
        <v>-0.33716284617037529</v>
      </c>
      <c r="O460" s="574">
        <f t="shared" si="204"/>
        <v>961218.96595409524</v>
      </c>
      <c r="P460" s="577">
        <f t="shared" si="205"/>
        <v>1.5707952864492154</v>
      </c>
      <c r="Q460" s="586">
        <f t="shared" si="227"/>
        <v>128.80722326615498</v>
      </c>
      <c r="R460" s="587">
        <f t="shared" si="228"/>
        <v>1.5630327090385299</v>
      </c>
      <c r="S460" s="574">
        <f t="shared" si="206"/>
        <v>2.1755040041897984</v>
      </c>
      <c r="T460" s="577">
        <f t="shared" si="207"/>
        <v>1.0931799557668962</v>
      </c>
      <c r="U460" s="578">
        <f t="shared" si="219"/>
        <v>0.75268257876066558</v>
      </c>
      <c r="V460" s="579">
        <f t="shared" si="220"/>
        <v>-0.92274935450136242</v>
      </c>
      <c r="W460" s="580">
        <f t="shared" si="208"/>
        <v>-29.389815029572979</v>
      </c>
      <c r="X460" s="581">
        <f t="shared" si="209"/>
        <v>-209.35814386545553</v>
      </c>
      <c r="Y460" s="584">
        <f t="shared" si="210"/>
        <v>-29.358143865455531</v>
      </c>
      <c r="AA460" s="147">
        <f t="shared" si="211"/>
        <v>50994.25</v>
      </c>
      <c r="AB460" s="147">
        <f t="shared" si="212"/>
        <v>2600413533.0625</v>
      </c>
      <c r="AD460" s="583">
        <f t="shared" si="213"/>
        <v>20.896610097937099</v>
      </c>
      <c r="AE460" s="584">
        <f t="shared" si="214"/>
        <v>-63.079360709595726</v>
      </c>
      <c r="AG460" s="583">
        <f t="shared" si="215"/>
        <v>13.936293180170713</v>
      </c>
      <c r="AH460" s="584">
        <f t="shared" si="216"/>
        <v>-40.539495912336854</v>
      </c>
      <c r="AJ460" s="147">
        <f t="shared" si="217"/>
        <v>0</v>
      </c>
      <c r="AK460" s="147">
        <f t="shared" si="229"/>
        <v>0</v>
      </c>
      <c r="AM460" s="147" t="str">
        <f t="shared" si="221"/>
        <v>0.941817478399243+0.998305962208069i</v>
      </c>
      <c r="AN460" s="147" t="str">
        <f t="shared" si="222"/>
        <v>1.51258092845181i</v>
      </c>
      <c r="AO460" s="147" t="str">
        <f t="shared" si="223"/>
        <v>0.660001685483287-0.622655925830847i</v>
      </c>
      <c r="AP460" s="147" t="str">
        <f t="shared" si="224"/>
        <v>0.00969708693345942-0.166384327034678i</v>
      </c>
      <c r="AQ460" s="147" t="str">
        <f t="shared" si="225"/>
        <v>0.990302913066541+0.166384327034678i</v>
      </c>
      <c r="AR460" s="147" t="str">
        <f t="shared" si="226"/>
        <v>0.818064002017779-0.137445852830565i</v>
      </c>
    </row>
    <row r="461" spans="7:44">
      <c r="G461" s="585">
        <v>51286</v>
      </c>
      <c r="H461" s="573">
        <f t="shared" si="218"/>
        <v>51.286000000000001</v>
      </c>
      <c r="I461" s="574">
        <f t="shared" ref="I461:I524" si="230">SQRT(1+(G461/pole1)^2)</f>
        <v>354.23845822726912</v>
      </c>
      <c r="J461" s="575">
        <f t="shared" ref="J461:J524" si="231">ATAN(G461/pole1)</f>
        <v>1.5679733658629009</v>
      </c>
      <c r="K461" s="575">
        <f t="shared" ref="K461:K524" si="232">SQRT(1+(G461/Zero1)^2)</f>
        <v>1.0394288559726548</v>
      </c>
      <c r="L461" s="576">
        <f t="shared" ref="L461:L524" si="233">ATAN(G461/Zero1)</f>
        <v>0.27631674086929309</v>
      </c>
      <c r="M461" s="575">
        <f t="shared" ref="M461:M524" si="234">SQRT(1+(G461/z_RHP)^2)</f>
        <v>1.0603272840156146</v>
      </c>
      <c r="N461" s="576">
        <f t="shared" ref="N461:N524" si="235">-ATAN(G461/z_RHP)</f>
        <v>-0.33894781201283031</v>
      </c>
      <c r="O461" s="574">
        <f t="shared" ref="O461:O524" si="236">SQRT(1+(G461/Pole2)^2)</f>
        <v>966718.32388791733</v>
      </c>
      <c r="P461" s="577">
        <f t="shared" ref="P461:P524" si="237">ATAN(G461/Pole2)</f>
        <v>1.5707952923674162</v>
      </c>
      <c r="Q461" s="586">
        <f t="shared" si="227"/>
        <v>129.54411514744086</v>
      </c>
      <c r="R461" s="587">
        <f t="shared" si="228"/>
        <v>1.563076872070192</v>
      </c>
      <c r="S461" s="574">
        <f t="shared" ref="S461:S524" si="238">SQRT(1+(G461/pole4)^2)</f>
        <v>2.1853266341899595</v>
      </c>
      <c r="T461" s="577">
        <f t="shared" ref="T461:T524" si="239">ATAN(G461/pole4)</f>
        <v>1.0955050051961299</v>
      </c>
      <c r="U461" s="578">
        <f t="shared" si="219"/>
        <v>0.75075478993653799</v>
      </c>
      <c r="V461" s="579">
        <f t="shared" si="220"/>
        <v>-0.92691515588736795</v>
      </c>
      <c r="W461" s="580">
        <f t="shared" ref="W461:W524" si="240">20*LOG10(((K461*Q461*M461*U461)/(I461*O461*S461))*Adc)</f>
        <v>-29.491655381819328</v>
      </c>
      <c r="X461" s="581">
        <f t="shared" ref="X461:X524" si="241">((L461+R461+N461+V461)-(J461+P461+T461))*radconv</f>
        <v>-209.74512507523494</v>
      </c>
      <c r="Y461" s="584">
        <f t="shared" ref="Y461:Y524" si="242">IF(X461&gt;0,X461,X461+180)</f>
        <v>-29.745125075234938</v>
      </c>
      <c r="AA461" s="147">
        <f t="shared" ref="AA461:AA524" si="243">IF(W461&lt;0,G461,1000000000)</f>
        <v>51286</v>
      </c>
      <c r="AB461" s="147">
        <f t="shared" ref="AB461:AB524" si="244">G461^2</f>
        <v>2630253796</v>
      </c>
      <c r="AD461" s="583">
        <f t="shared" ref="AD461:AD524" si="245">20*LOG10((Q461/(O461*S461))*Aea)</f>
        <v>20.857477691003837</v>
      </c>
      <c r="AE461" s="584">
        <f t="shared" ref="AE461:AE524" si="246">(R461-(P461+T461))*radconv</f>
        <v>-63.210046212962617</v>
      </c>
      <c r="AG461" s="583">
        <f t="shared" ref="AG461:AG524" si="247">20*LOG10((K461*M461/(I461*U461))*Acs*Am)</f>
        <v>13.918135331848729</v>
      </c>
      <c r="AH461" s="584">
        <f t="shared" ref="AH461:AH524" si="248">(L461+N461-(J461+V461))*radconv</f>
        <v>-40.318425942788167</v>
      </c>
      <c r="AJ461" s="147">
        <f t="shared" ref="AJ461:AJ524" si="249">SUM((W462&lt;0)*(W461&gt;0))*G461</f>
        <v>0</v>
      </c>
      <c r="AK461" s="147">
        <f t="shared" si="229"/>
        <v>0</v>
      </c>
      <c r="AM461" s="147" t="str">
        <f t="shared" si="221"/>
        <v>0.950458717593344+0.998772076771024i</v>
      </c>
      <c r="AN461" s="147" t="str">
        <f t="shared" si="222"/>
        <v>1.52123475679276i</v>
      </c>
      <c r="AO461" s="147" t="str">
        <f t="shared" si="223"/>
        <v>0.656553547906537-0.62479424253835i</v>
      </c>
      <c r="AP461" s="147" t="str">
        <f t="shared" si="224"/>
        <v>0.00825688040110937-0.166462012795171i</v>
      </c>
      <c r="AQ461" s="147" t="str">
        <f t="shared" si="225"/>
        <v>0.991743119598891+0.166462012795171i</v>
      </c>
      <c r="AR461" s="147" t="str">
        <f t="shared" si="226"/>
        <v>0.816920215451354-0.137118353200269i</v>
      </c>
    </row>
    <row r="462" spans="7:44">
      <c r="G462" s="585">
        <v>51584.75</v>
      </c>
      <c r="H462" s="573">
        <f t="shared" ref="H462:H525" si="250">G462/1000</f>
        <v>51.58475</v>
      </c>
      <c r="I462" s="574">
        <f t="shared" si="230"/>
        <v>356.3019433592554</v>
      </c>
      <c r="J462" s="575">
        <f t="shared" si="231"/>
        <v>1.5679897147865021</v>
      </c>
      <c r="K462" s="575">
        <f t="shared" si="232"/>
        <v>1.0398807178963791</v>
      </c>
      <c r="L462" s="576">
        <f t="shared" si="233"/>
        <v>0.27784498356389653</v>
      </c>
      <c r="M462" s="575">
        <f t="shared" si="234"/>
        <v>1.0610118921244533</v>
      </c>
      <c r="N462" s="576">
        <f t="shared" si="235"/>
        <v>-0.34077327962674903</v>
      </c>
      <c r="O462" s="574">
        <f t="shared" si="236"/>
        <v>972349.62871303933</v>
      </c>
      <c r="P462" s="577">
        <f t="shared" si="237"/>
        <v>1.5707952983582412</v>
      </c>
      <c r="Q462" s="586">
        <f t="shared" si="227"/>
        <v>130.29868764117623</v>
      </c>
      <c r="R462" s="587">
        <f t="shared" si="228"/>
        <v>1.5631215770707456</v>
      </c>
      <c r="S462" s="574">
        <f t="shared" si="238"/>
        <v>2.1953970711987121</v>
      </c>
      <c r="T462" s="577">
        <f t="shared" si="239"/>
        <v>1.0978642665703882</v>
      </c>
      <c r="U462" s="578">
        <f t="shared" ref="U462:U525" si="251">IMABS(IMPRODUCT(AO462, AR462))</f>
        <v>0.74878308016666406</v>
      </c>
      <c r="V462" s="579">
        <f t="shared" ref="V462:V525" si="252">IMARGUMENT(IMPRODUCT(AO462, AR462))</f>
        <v>-0.93116862720535798</v>
      </c>
      <c r="W462" s="580">
        <f t="shared" si="240"/>
        <v>-29.595502814109214</v>
      </c>
      <c r="X462" s="581">
        <f t="shared" si="241"/>
        <v>-210.13941214315847</v>
      </c>
      <c r="Y462" s="584">
        <f t="shared" si="242"/>
        <v>-30.139412143158467</v>
      </c>
      <c r="AA462" s="147">
        <f t="shared" si="243"/>
        <v>51584.75</v>
      </c>
      <c r="AB462" s="147">
        <f t="shared" si="244"/>
        <v>2660986432.5625</v>
      </c>
      <c r="AD462" s="583">
        <f t="shared" si="245"/>
        <v>20.817540269187941</v>
      </c>
      <c r="AE462" s="584">
        <f t="shared" si="246"/>
        <v>-63.342660868021511</v>
      </c>
      <c r="AG462" s="583">
        <f t="shared" si="247"/>
        <v>13.899908898083677</v>
      </c>
      <c r="AH462" s="584">
        <f t="shared" si="248"/>
        <v>-40.092686445494252</v>
      </c>
      <c r="AJ462" s="147">
        <f t="shared" si="249"/>
        <v>0</v>
      </c>
      <c r="AK462" s="147">
        <f t="shared" si="229"/>
        <v>0</v>
      </c>
      <c r="AM462" s="147" t="str">
        <f t="shared" ref="AM462:AM525" si="253">IMSUB(1,IMEXP(COMPLEX(0,-2*Pi*G462*Tsw)))</f>
        <v>0.959311126578977+0.99917186488598i</v>
      </c>
      <c r="AN462" s="147" t="str">
        <f t="shared" ref="AN462:AN525" si="254">COMPLEX(0, 2*Pi*G462*Tsw)</f>
        <v>1.53009621769031i</v>
      </c>
      <c r="AO462" s="147" t="str">
        <f t="shared" ref="AO462:AO525" si="255">IMDIV(AM462, AN462)</f>
        <v>0.653012440220417-0.626961308372531i</v>
      </c>
      <c r="AP462" s="147" t="str">
        <f t="shared" ref="AP462:AP525" si="256">IMDIV(IMEXP(COMPLEX(0,-2*Pi*G462*Tsw)),6)</f>
        <v>0.00678147890350385-0.166528644147663i</v>
      </c>
      <c r="AQ462" s="147" t="str">
        <f t="shared" ref="AQ462:AQ525" si="257">IMSUB(1, AP462)</f>
        <v>0.993218521096496+0.166528644147663i</v>
      </c>
      <c r="AR462" s="147" t="str">
        <f t="shared" ref="AR462:AR525" si="258">IMDIV(0.833, AQ462)</f>
        <v>0.815755214558219-0.136774140787059i</v>
      </c>
    </row>
    <row r="463" spans="7:44">
      <c r="G463" s="585">
        <v>51883.5</v>
      </c>
      <c r="H463" s="573">
        <f t="shared" si="250"/>
        <v>51.883499999999998</v>
      </c>
      <c r="I463" s="574">
        <f t="shared" si="230"/>
        <v>358.36542858537996</v>
      </c>
      <c r="J463" s="575">
        <f t="shared" si="231"/>
        <v>1.5680058754343442</v>
      </c>
      <c r="K463" s="575">
        <f t="shared" si="232"/>
        <v>1.0403350063752244</v>
      </c>
      <c r="L463" s="576">
        <f t="shared" si="233"/>
        <v>0.27937189513073718</v>
      </c>
      <c r="M463" s="575">
        <f t="shared" si="234"/>
        <v>1.0617000313105891</v>
      </c>
      <c r="N463" s="576">
        <f t="shared" si="235"/>
        <v>-0.34259638696146155</v>
      </c>
      <c r="O463" s="574">
        <f t="shared" si="236"/>
        <v>977980.93353816133</v>
      </c>
      <c r="P463" s="577">
        <f t="shared" si="237"/>
        <v>1.5707953042800749</v>
      </c>
      <c r="Q463" s="586">
        <f t="shared" si="227"/>
        <v>131.05326039231969</v>
      </c>
      <c r="R463" s="587">
        <f t="shared" si="228"/>
        <v>1.5631657672703791</v>
      </c>
      <c r="S463" s="574">
        <f t="shared" si="238"/>
        <v>2.2054796164049799</v>
      </c>
      <c r="T463" s="577">
        <f t="shared" si="239"/>
        <v>1.1002019697134242</v>
      </c>
      <c r="U463" s="578">
        <f t="shared" si="251"/>
        <v>0.74681380164872913</v>
      </c>
      <c r="V463" s="579">
        <f t="shared" si="252"/>
        <v>-0.93540973893504209</v>
      </c>
      <c r="W463" s="580">
        <f t="shared" si="240"/>
        <v>-29.698911846366602</v>
      </c>
      <c r="X463" s="581">
        <f t="shared" si="241"/>
        <v>-210.53171560169696</v>
      </c>
      <c r="Y463" s="584">
        <f t="shared" si="242"/>
        <v>-30.531715601696959</v>
      </c>
      <c r="AA463" s="147">
        <f t="shared" si="243"/>
        <v>51883.5</v>
      </c>
      <c r="AB463" s="147">
        <f t="shared" si="244"/>
        <v>2691897572.25</v>
      </c>
      <c r="AD463" s="583">
        <f t="shared" si="245"/>
        <v>20.777737976186927</v>
      </c>
      <c r="AE463" s="584">
        <f t="shared" si="246"/>
        <v>-63.474069819383338</v>
      </c>
      <c r="AG463" s="583">
        <f t="shared" si="247"/>
        <v>13.882049635213697</v>
      </c>
      <c r="AH463" s="584">
        <f t="shared" si="248"/>
        <v>-39.867585347006958</v>
      </c>
      <c r="AJ463" s="147">
        <f t="shared" si="249"/>
        <v>0</v>
      </c>
      <c r="AK463" s="147">
        <f t="shared" si="229"/>
        <v>0</v>
      </c>
      <c r="AM463" s="147" t="str">
        <f t="shared" si="253"/>
        <v>0.968166730657404+0.999493193054841i</v>
      </c>
      <c r="AN463" s="147" t="str">
        <f t="shared" si="254"/>
        <v>1.53895767858787i</v>
      </c>
      <c r="AO463" s="147" t="str">
        <f t="shared" si="255"/>
        <v>0.649461130063021-0.629105494015783i</v>
      </c>
      <c r="AP463" s="147" t="str">
        <f t="shared" si="256"/>
        <v>0.00530554489043263-0.166582198842473i</v>
      </c>
      <c r="AQ463" s="147" t="str">
        <f t="shared" si="257"/>
        <v>0.994694455109567+0.166582198842473i</v>
      </c>
      <c r="AR463" s="147" t="str">
        <f t="shared" si="258"/>
        <v>0.814596556182918-0.136421073628594i</v>
      </c>
    </row>
    <row r="464" spans="7:44">
      <c r="G464" s="585">
        <v>52182.25</v>
      </c>
      <c r="H464" s="573">
        <f t="shared" si="250"/>
        <v>52.182250000000003</v>
      </c>
      <c r="I464" s="574">
        <f t="shared" si="230"/>
        <v>360.42891390402593</v>
      </c>
      <c r="J464" s="575">
        <f t="shared" si="231"/>
        <v>1.5680218510401018</v>
      </c>
      <c r="K464" s="575">
        <f t="shared" si="232"/>
        <v>1.0407917182317359</v>
      </c>
      <c r="L464" s="576">
        <f t="shared" si="233"/>
        <v>0.28089747019767614</v>
      </c>
      <c r="M464" s="575">
        <f t="shared" si="234"/>
        <v>1.0623916947125054</v>
      </c>
      <c r="N464" s="576">
        <f t="shared" si="235"/>
        <v>-0.34441712649622536</v>
      </c>
      <c r="O464" s="574">
        <f t="shared" si="236"/>
        <v>983612.23836328345</v>
      </c>
      <c r="P464" s="577">
        <f t="shared" si="237"/>
        <v>1.5707953101341019</v>
      </c>
      <c r="Q464" s="586">
        <f t="shared" si="227"/>
        <v>131.80783339645035</v>
      </c>
      <c r="R464" s="587">
        <f t="shared" si="228"/>
        <v>1.5632094515103094</v>
      </c>
      <c r="S464" s="574">
        <f t="shared" si="238"/>
        <v>2.2155741045042801</v>
      </c>
      <c r="T464" s="577">
        <f t="shared" si="239"/>
        <v>1.1025183835667762</v>
      </c>
      <c r="U464" s="578">
        <f t="shared" si="251"/>
        <v>0.74484702416407433</v>
      </c>
      <c r="V464" s="579">
        <f t="shared" si="252"/>
        <v>-0.93963855875570879</v>
      </c>
      <c r="W464" s="580">
        <f t="shared" si="240"/>
        <v>-29.801885630859864</v>
      </c>
      <c r="X464" s="581">
        <f t="shared" si="241"/>
        <v>-210.92205429347661</v>
      </c>
      <c r="Y464" s="584">
        <f t="shared" si="242"/>
        <v>-30.922054293476606</v>
      </c>
      <c r="AA464" s="147">
        <f t="shared" si="243"/>
        <v>52182.25</v>
      </c>
      <c r="AB464" s="147">
        <f t="shared" si="244"/>
        <v>2722987215.0625</v>
      </c>
      <c r="AD464" s="583">
        <f t="shared" si="245"/>
        <v>20.738070444663109</v>
      </c>
      <c r="AE464" s="584">
        <f t="shared" si="246"/>
        <v>-63.604287969766666</v>
      </c>
      <c r="AG464" s="583">
        <f t="shared" si="247"/>
        <v>13.864553319137018</v>
      </c>
      <c r="AH464" s="584">
        <f t="shared" si="248"/>
        <v>-39.643118831758656</v>
      </c>
      <c r="AJ464" s="147">
        <f t="shared" si="249"/>
        <v>0</v>
      </c>
      <c r="AK464" s="147">
        <f t="shared" si="229"/>
        <v>0</v>
      </c>
      <c r="AM464" s="147" t="str">
        <f t="shared" si="253"/>
        <v>0.977024834442513+0.999736036045318i</v>
      </c>
      <c r="AN464" s="147" t="str">
        <f t="shared" si="254"/>
        <v>1.54781913948542i</v>
      </c>
      <c r="AO464" s="147" t="str">
        <f t="shared" si="255"/>
        <v>0.645899776363849-0.631226743175775i</v>
      </c>
      <c r="AP464" s="147" t="str">
        <f t="shared" si="256"/>
        <v>0.0038291942595812-0.16662267267422i</v>
      </c>
      <c r="AQ464" s="147" t="str">
        <f t="shared" si="257"/>
        <v>0.996170805740419+0.16662267267422i</v>
      </c>
      <c r="AR464" s="147" t="str">
        <f t="shared" si="258"/>
        <v>0.813444279090552-0.136059257180179i</v>
      </c>
    </row>
    <row r="465" spans="7:44">
      <c r="G465" s="585">
        <v>52481</v>
      </c>
      <c r="H465" s="573">
        <f t="shared" si="250"/>
        <v>52.481000000000002</v>
      </c>
      <c r="I465" s="574">
        <f t="shared" si="230"/>
        <v>362.49239931361325</v>
      </c>
      <c r="J465" s="575">
        <f t="shared" si="231"/>
        <v>1.5680376447638185</v>
      </c>
      <c r="K465" s="575">
        <f t="shared" si="232"/>
        <v>1.0412508502770994</v>
      </c>
      <c r="L465" s="576">
        <f t="shared" si="233"/>
        <v>0.28242170342685907</v>
      </c>
      <c r="M465" s="575">
        <f t="shared" si="234"/>
        <v>1.0630868754514486</v>
      </c>
      <c r="N465" s="576">
        <f t="shared" si="235"/>
        <v>-0.34623549079261584</v>
      </c>
      <c r="O465" s="574">
        <f t="shared" si="236"/>
        <v>989243.54318840557</v>
      </c>
      <c r="P465" s="577">
        <f t="shared" si="237"/>
        <v>1.5707953159214805</v>
      </c>
      <c r="Q465" s="586">
        <f t="shared" si="227"/>
        <v>132.56240664924803</v>
      </c>
      <c r="R465" s="587">
        <f t="shared" si="228"/>
        <v>1.5632526384304575</v>
      </c>
      <c r="S465" s="574">
        <f t="shared" si="238"/>
        <v>2.225680372997016</v>
      </c>
      <c r="T465" s="577">
        <f t="shared" si="239"/>
        <v>1.1048137731097447</v>
      </c>
      <c r="U465" s="578">
        <f t="shared" si="251"/>
        <v>0.74288281589927052</v>
      </c>
      <c r="V465" s="579">
        <f t="shared" si="252"/>
        <v>-0.94385515475102777</v>
      </c>
      <c r="W465" s="580">
        <f t="shared" si="240"/>
        <v>-29.904427284381949</v>
      </c>
      <c r="X465" s="581">
        <f t="shared" si="241"/>
        <v>-211.3104468673387</v>
      </c>
      <c r="Y465" s="584">
        <f t="shared" si="242"/>
        <v>-31.310446867338698</v>
      </c>
      <c r="AA465" s="147">
        <f t="shared" si="243"/>
        <v>52481</v>
      </c>
      <c r="AB465" s="147">
        <f t="shared" si="244"/>
        <v>2754255361</v>
      </c>
      <c r="AD465" s="583">
        <f t="shared" si="245"/>
        <v>20.69853729622519</v>
      </c>
      <c r="AE465" s="584">
        <f t="shared" si="246"/>
        <v>-63.733330006402376</v>
      </c>
      <c r="AG465" s="583">
        <f t="shared" si="247"/>
        <v>13.847415793226329</v>
      </c>
      <c r="AH465" s="584">
        <f t="shared" si="248"/>
        <v>-39.419283059545783</v>
      </c>
      <c r="AJ465" s="147">
        <f t="shared" si="249"/>
        <v>0</v>
      </c>
      <c r="AK465" s="147">
        <f t="shared" si="229"/>
        <v>0</v>
      </c>
      <c r="AM465" s="147" t="str">
        <f t="shared" si="253"/>
        <v>0.985884742351931+0.999900374788173i</v>
      </c>
      <c r="AN465" s="147" t="str">
        <f t="shared" si="254"/>
        <v>1.55668060038297i</v>
      </c>
      <c r="AO465" s="147" t="str">
        <f t="shared" si="255"/>
        <v>0.642328538392642-0.633325000715874i</v>
      </c>
      <c r="AP465" s="147" t="str">
        <f t="shared" si="256"/>
        <v>0.00235254294134475-0.166650062464695i</v>
      </c>
      <c r="AQ465" s="147" t="str">
        <f t="shared" si="257"/>
        <v>0.997647457058655+0.166650062464695i</v>
      </c>
      <c r="AR465" s="147" t="str">
        <f t="shared" si="258"/>
        <v>0.812298420545741-0.135688796243744i</v>
      </c>
    </row>
    <row r="466" spans="7:44">
      <c r="G466" s="585">
        <v>52786.5</v>
      </c>
      <c r="H466" s="573">
        <f t="shared" si="250"/>
        <v>52.786499999999997</v>
      </c>
      <c r="I466" s="574">
        <f t="shared" si="230"/>
        <v>364.60250749853287</v>
      </c>
      <c r="J466" s="575">
        <f t="shared" si="231"/>
        <v>1.5680536104581091</v>
      </c>
      <c r="K466" s="575">
        <f t="shared" si="232"/>
        <v>1.041722855512611</v>
      </c>
      <c r="L466" s="576">
        <f t="shared" si="233"/>
        <v>0.28397898221596174</v>
      </c>
      <c r="M466" s="575">
        <f t="shared" si="234"/>
        <v>1.0638013934595636</v>
      </c>
      <c r="N466" s="576">
        <f t="shared" si="235"/>
        <v>-0.34809247546204042</v>
      </c>
      <c r="O466" s="574">
        <f t="shared" si="236"/>
        <v>995002.08251585264</v>
      </c>
      <c r="P466" s="577">
        <f t="shared" si="237"/>
        <v>1.5707953217718744</v>
      </c>
      <c r="Q466" s="586">
        <f t="shared" si="227"/>
        <v>133.33402909022388</v>
      </c>
      <c r="R466" s="587">
        <f t="shared" si="228"/>
        <v>1.5632962956178384</v>
      </c>
      <c r="S466" s="574">
        <f t="shared" si="238"/>
        <v>2.2360270001774016</v>
      </c>
      <c r="T466" s="577">
        <f t="shared" si="239"/>
        <v>1.1071395547973435</v>
      </c>
      <c r="U466" s="578">
        <f t="shared" si="251"/>
        <v>0.74087695437781453</v>
      </c>
      <c r="V466" s="579">
        <f t="shared" si="252"/>
        <v>-0.9481544512362281</v>
      </c>
      <c r="W466" s="580">
        <f t="shared" si="240"/>
        <v>-30.008842102981998</v>
      </c>
      <c r="X466" s="581">
        <f t="shared" si="241"/>
        <v>-211.70562149759388</v>
      </c>
      <c r="Y466" s="584">
        <f t="shared" si="242"/>
        <v>-31.705621497593881</v>
      </c>
      <c r="AA466" s="147">
        <f t="shared" si="243"/>
        <v>52786.5</v>
      </c>
      <c r="AB466" s="147">
        <f t="shared" si="244"/>
        <v>2786414582.25</v>
      </c>
      <c r="AD466" s="583">
        <f t="shared" si="245"/>
        <v>20.658249496698915</v>
      </c>
      <c r="AE466" s="584">
        <f t="shared" si="246"/>
        <v>-63.864086443940543</v>
      </c>
      <c r="AG466" s="583">
        <f t="shared" si="247"/>
        <v>13.830257839542739</v>
      </c>
      <c r="AH466" s="584">
        <f t="shared" si="248"/>
        <v>-39.191038164745116</v>
      </c>
      <c r="AJ466" s="147">
        <f t="shared" si="249"/>
        <v>0</v>
      </c>
      <c r="AK466" s="147">
        <f t="shared" si="229"/>
        <v>0</v>
      </c>
      <c r="AM466" s="147" t="str">
        <f t="shared" si="253"/>
        <v>0.994945973110014+0.99998722832454i</v>
      </c>
      <c r="AN466" s="147" t="str">
        <f t="shared" si="254"/>
        <v>1.56574227838867i</v>
      </c>
      <c r="AO466" s="147" t="str">
        <f t="shared" si="255"/>
        <v>0.638666555873833-0.635446833647443i</v>
      </c>
      <c r="AP466" s="147" t="str">
        <f t="shared" si="256"/>
        <v>0.000842337814997702-0.16666453805409i</v>
      </c>
      <c r="AQ466" s="147" t="str">
        <f t="shared" si="257"/>
        <v>0.999157662185002+0.16666453805409i</v>
      </c>
      <c r="AR466" s="147" t="str">
        <f t="shared" si="258"/>
        <v>0.811133347313191-0.13530113389171i</v>
      </c>
    </row>
    <row r="467" spans="7:44">
      <c r="G467" s="585">
        <v>53092</v>
      </c>
      <c r="H467" s="573">
        <f t="shared" si="250"/>
        <v>53.091999999999999</v>
      </c>
      <c r="I467" s="574">
        <f t="shared" si="230"/>
        <v>366.71261577532141</v>
      </c>
      <c r="J467" s="575">
        <f t="shared" si="231"/>
        <v>1.5680693924153726</v>
      </c>
      <c r="K467" s="575">
        <f t="shared" si="232"/>
        <v>1.0421973847562995</v>
      </c>
      <c r="L467" s="576">
        <f t="shared" si="233"/>
        <v>0.28553484666716722</v>
      </c>
      <c r="M467" s="575">
        <f t="shared" si="234"/>
        <v>1.0645195749400345</v>
      </c>
      <c r="N467" s="576">
        <f t="shared" si="235"/>
        <v>-0.349946960878186</v>
      </c>
      <c r="O467" s="574">
        <f t="shared" si="236"/>
        <v>1000760.6218432997</v>
      </c>
      <c r="P467" s="577">
        <f t="shared" si="237"/>
        <v>1.5707953275549404</v>
      </c>
      <c r="Q467" s="586">
        <f t="shared" si="227"/>
        <v>134.10565178240333</v>
      </c>
      <c r="R467" s="587">
        <f t="shared" si="228"/>
        <v>1.5633394504122098</v>
      </c>
      <c r="S467" s="574">
        <f t="shared" si="238"/>
        <v>2.2463856111532192</v>
      </c>
      <c r="T467" s="577">
        <f t="shared" si="239"/>
        <v>1.1094438994043565</v>
      </c>
      <c r="U467" s="578">
        <f t="shared" si="251"/>
        <v>0.73887391867945962</v>
      </c>
      <c r="V467" s="579">
        <f t="shared" si="252"/>
        <v>-0.95244111050733238</v>
      </c>
      <c r="W467" s="580">
        <f t="shared" si="240"/>
        <v>-30.112811524396363</v>
      </c>
      <c r="X467" s="581">
        <f t="shared" si="241"/>
        <v>-212.09879990728459</v>
      </c>
      <c r="Y467" s="584">
        <f t="shared" si="242"/>
        <v>-32.098799907284587</v>
      </c>
      <c r="AA467" s="147">
        <f t="shared" si="243"/>
        <v>53092</v>
      </c>
      <c r="AB467" s="147">
        <f t="shared" si="244"/>
        <v>2818760464</v>
      </c>
      <c r="AD467" s="583">
        <f t="shared" si="245"/>
        <v>20.618101387904883</v>
      </c>
      <c r="AE467" s="584">
        <f t="shared" si="246"/>
        <v>-63.993643408376215</v>
      </c>
      <c r="AG467" s="583">
        <f t="shared" si="247"/>
        <v>13.813466491114621</v>
      </c>
      <c r="AH467" s="584">
        <f t="shared" si="248"/>
        <v>-38.963444640548992</v>
      </c>
      <c r="AJ467" s="147">
        <f t="shared" si="249"/>
        <v>0</v>
      </c>
      <c r="AK467" s="147">
        <f t="shared" si="229"/>
        <v>0</v>
      </c>
      <c r="AM467" s="147" t="str">
        <f t="shared" si="253"/>
        <v>1.00400761887165+0.999991969463245i</v>
      </c>
      <c r="AN467" s="147" t="str">
        <f t="shared" si="254"/>
        <v>1.57480395639436i</v>
      </c>
      <c r="AO467" s="147" t="str">
        <f t="shared" si="255"/>
        <v>0.634994575294824-0.637544511362802i</v>
      </c>
      <c r="AP467" s="147" t="str">
        <f t="shared" si="256"/>
        <v>-0.00066793647860869-0.166665328243874i</v>
      </c>
      <c r="AQ467" s="147" t="str">
        <f t="shared" si="257"/>
        <v>1.00066793647861+0.166665328243874i</v>
      </c>
      <c r="AR467" s="147" t="str">
        <f t="shared" si="258"/>
        <v>0.809975060083357-0.13490465152026i</v>
      </c>
    </row>
    <row r="468" spans="7:44">
      <c r="G468" s="585">
        <v>53397.5</v>
      </c>
      <c r="H468" s="573">
        <f t="shared" si="250"/>
        <v>53.397500000000001</v>
      </c>
      <c r="I468" s="574">
        <f t="shared" si="230"/>
        <v>368.82272414240191</v>
      </c>
      <c r="J468" s="575">
        <f t="shared" si="231"/>
        <v>1.5680849937891894</v>
      </c>
      <c r="K468" s="575">
        <f t="shared" si="232"/>
        <v>1.0426744345620778</v>
      </c>
      <c r="L468" s="576">
        <f t="shared" si="233"/>
        <v>0.28708929118405818</v>
      </c>
      <c r="M468" s="575">
        <f t="shared" si="234"/>
        <v>1.0652414124831662</v>
      </c>
      <c r="N468" s="576">
        <f t="shared" si="235"/>
        <v>-0.35179893935336765</v>
      </c>
      <c r="O468" s="574">
        <f t="shared" si="236"/>
        <v>1006519.1611707468</v>
      </c>
      <c r="P468" s="577">
        <f t="shared" si="237"/>
        <v>1.5707953332718336</v>
      </c>
      <c r="Q468" s="586">
        <f t="shared" si="227"/>
        <v>134.87727472147495</v>
      </c>
      <c r="R468" s="587">
        <f t="shared" si="228"/>
        <v>1.5633821114358697</v>
      </c>
      <c r="S468" s="574">
        <f t="shared" si="238"/>
        <v>2.2567560409060063</v>
      </c>
      <c r="T468" s="577">
        <f t="shared" si="239"/>
        <v>1.1117270778171808</v>
      </c>
      <c r="U468" s="578">
        <f t="shared" si="251"/>
        <v>0.73687377666713716</v>
      </c>
      <c r="V468" s="579">
        <f t="shared" si="252"/>
        <v>-0.95671520657762987</v>
      </c>
      <c r="W468" s="580">
        <f t="shared" si="240"/>
        <v>-30.216338771049635</v>
      </c>
      <c r="X468" s="581">
        <f t="shared" si="241"/>
        <v>-212.49000142461793</v>
      </c>
      <c r="Y468" s="584">
        <f t="shared" si="242"/>
        <v>-32.49000142461793</v>
      </c>
      <c r="AA468" s="147">
        <f t="shared" si="243"/>
        <v>53397.5</v>
      </c>
      <c r="AB468" s="147">
        <f t="shared" si="244"/>
        <v>2851293006.25</v>
      </c>
      <c r="AD468" s="583">
        <f t="shared" si="245"/>
        <v>20.578092532643019</v>
      </c>
      <c r="AE468" s="584">
        <f t="shared" si="246"/>
        <v>-64.122015926401545</v>
      </c>
      <c r="AG468" s="583">
        <f t="shared" si="247"/>
        <v>13.797037513373187</v>
      </c>
      <c r="AH468" s="584">
        <f t="shared" si="248"/>
        <v>-38.736498307174358</v>
      </c>
      <c r="AJ468" s="147">
        <f t="shared" si="249"/>
        <v>0</v>
      </c>
      <c r="AK468" s="147">
        <f t="shared" si="229"/>
        <v>0</v>
      </c>
      <c r="AM468" s="147" t="str">
        <f t="shared" si="253"/>
        <v>1.0130689355539+0.999914597814977i</v>
      </c>
      <c r="AN468" s="147" t="str">
        <f t="shared" si="254"/>
        <v>1.58386563440006i</v>
      </c>
      <c r="AO468" s="147" t="str">
        <f t="shared" si="255"/>
        <v>0.631312768013763-0.639617978666247i</v>
      </c>
      <c r="AP468" s="147" t="str">
        <f t="shared" si="256"/>
        <v>-0.00217815592565048-0.166652432969163i</v>
      </c>
      <c r="AQ468" s="147" t="str">
        <f t="shared" si="257"/>
        <v>1.00217815592565+0.166652432969163i</v>
      </c>
      <c r="AR468" s="147" t="str">
        <f t="shared" si="258"/>
        <v>0.808823594021661-0.13449945899297i</v>
      </c>
    </row>
    <row r="469" spans="7:44">
      <c r="G469" s="585">
        <v>53703</v>
      </c>
      <c r="H469" s="573">
        <f t="shared" si="250"/>
        <v>53.703000000000003</v>
      </c>
      <c r="I469" s="574">
        <f t="shared" si="230"/>
        <v>370.93283259823363</v>
      </c>
      <c r="J469" s="575">
        <f t="shared" si="231"/>
        <v>1.568100417661382</v>
      </c>
      <c r="K469" s="575">
        <f t="shared" si="232"/>
        <v>1.0431540014718745</v>
      </c>
      <c r="L469" s="576">
        <f t="shared" si="233"/>
        <v>0.28864231020787495</v>
      </c>
      <c r="M469" s="575">
        <f t="shared" si="234"/>
        <v>1.0659668986616648</v>
      </c>
      <c r="N469" s="576">
        <f t="shared" si="235"/>
        <v>-0.35364840328945746</v>
      </c>
      <c r="O469" s="574">
        <f t="shared" si="236"/>
        <v>1012277.7004981941</v>
      </c>
      <c r="P469" s="577">
        <f t="shared" si="237"/>
        <v>1.5707953389236835</v>
      </c>
      <c r="Q469" s="586">
        <f t="shared" si="227"/>
        <v>135.64889790322556</v>
      </c>
      <c r="R469" s="587">
        <f t="shared" si="228"/>
        <v>1.5634242871149353</v>
      </c>
      <c r="S469" s="574">
        <f t="shared" si="238"/>
        <v>2.2671381272500661</v>
      </c>
      <c r="T469" s="577">
        <f t="shared" si="239"/>
        <v>1.1139893568514452</v>
      </c>
      <c r="U469" s="578">
        <f t="shared" si="251"/>
        <v>0.73487659454314369</v>
      </c>
      <c r="V469" s="579">
        <f t="shared" si="252"/>
        <v>-0.96097681383465272</v>
      </c>
      <c r="W469" s="580">
        <f t="shared" si="240"/>
        <v>-30.319427029640668</v>
      </c>
      <c r="X469" s="581">
        <f t="shared" si="241"/>
        <v>-212.87924517610702</v>
      </c>
      <c r="Y469" s="584">
        <f t="shared" si="242"/>
        <v>-32.87924517610702</v>
      </c>
      <c r="AA469" s="147">
        <f t="shared" si="243"/>
        <v>53703</v>
      </c>
      <c r="AB469" s="147">
        <f t="shared" si="244"/>
        <v>2884012209</v>
      </c>
      <c r="AD469" s="583">
        <f t="shared" si="245"/>
        <v>20.538222483780796</v>
      </c>
      <c r="AE469" s="584">
        <f t="shared" si="246"/>
        <v>-64.249218802709763</v>
      </c>
      <c r="AG469" s="583">
        <f t="shared" si="247"/>
        <v>13.780966739795808</v>
      </c>
      <c r="AH469" s="584">
        <f t="shared" si="248"/>
        <v>-38.510194962257785</v>
      </c>
      <c r="AJ469" s="147">
        <f t="shared" si="249"/>
        <v>0</v>
      </c>
      <c r="AK469" s="147">
        <f t="shared" si="229"/>
        <v>0</v>
      </c>
      <c r="AM469" s="147" t="str">
        <f t="shared" si="253"/>
        <v>1.02212917910081+0.999755119732989i</v>
      </c>
      <c r="AN469" s="147" t="str">
        <f t="shared" si="254"/>
        <v>1.59292731240576i</v>
      </c>
      <c r="AO469" s="147" t="str">
        <f t="shared" si="255"/>
        <v>0.627621305722408-0.641667181634994i</v>
      </c>
      <c r="AP469" s="147" t="str">
        <f t="shared" si="256"/>
        <v>-0.00368819651680248-0.166625853288832i</v>
      </c>
      <c r="AQ469" s="147" t="str">
        <f t="shared" si="257"/>
        <v>1.0036881965168+0.166625853288832i</v>
      </c>
      <c r="AR469" s="147" t="str">
        <f t="shared" si="258"/>
        <v>0.807678982777185-0.134085665404606i</v>
      </c>
    </row>
    <row r="470" spans="7:44">
      <c r="G470" s="585">
        <v>54015.75</v>
      </c>
      <c r="H470" s="573">
        <f t="shared" si="250"/>
        <v>54.015749999999997</v>
      </c>
      <c r="I470" s="574">
        <f t="shared" si="230"/>
        <v>373.09301736801211</v>
      </c>
      <c r="J470" s="575">
        <f t="shared" si="231"/>
        <v>1.5681160268407721</v>
      </c>
      <c r="K470" s="575">
        <f t="shared" si="232"/>
        <v>1.0436475530579645</v>
      </c>
      <c r="L470" s="576">
        <f t="shared" si="233"/>
        <v>0.29023070243617249</v>
      </c>
      <c r="M470" s="575">
        <f t="shared" si="234"/>
        <v>1.0667133735508054</v>
      </c>
      <c r="N470" s="576">
        <f t="shared" si="235"/>
        <v>-0.35553914534362824</v>
      </c>
      <c r="O470" s="574">
        <f t="shared" si="236"/>
        <v>1018172.8991059161</v>
      </c>
      <c r="P470" s="577">
        <f t="shared" si="237"/>
        <v>1.570795344643436</v>
      </c>
      <c r="Q470" s="586">
        <f t="shared" si="227"/>
        <v>136.43883317516546</v>
      </c>
      <c r="R470" s="587">
        <f t="shared" si="228"/>
        <v>1.5634669695288566</v>
      </c>
      <c r="S470" s="574">
        <f t="shared" si="238"/>
        <v>2.2777785053852675</v>
      </c>
      <c r="T470" s="577">
        <f t="shared" si="239"/>
        <v>1.1162839484992673</v>
      </c>
      <c r="U470" s="578">
        <f t="shared" si="251"/>
        <v>0.73283514960096297</v>
      </c>
      <c r="V470" s="579">
        <f t="shared" si="252"/>
        <v>-0.96532669694024886</v>
      </c>
      <c r="W470" s="580">
        <f t="shared" si="240"/>
        <v>-30.424510288150199</v>
      </c>
      <c r="X470" s="581">
        <f t="shared" si="241"/>
        <v>-213.27571805161247</v>
      </c>
      <c r="Y470" s="584">
        <f t="shared" si="242"/>
        <v>-33.275718051612472</v>
      </c>
      <c r="AA470" s="147">
        <f t="shared" si="243"/>
        <v>54015.75</v>
      </c>
      <c r="AB470" s="147">
        <f t="shared" si="244"/>
        <v>2917701248.0625</v>
      </c>
      <c r="AD470" s="583">
        <f t="shared" si="245"/>
        <v>20.497549565248832</v>
      </c>
      <c r="AE470" s="584">
        <f t="shared" si="246"/>
        <v>-64.378244025523927</v>
      </c>
      <c r="AG470" s="583">
        <f t="shared" si="247"/>
        <v>13.764881357291454</v>
      </c>
      <c r="AH470" s="584">
        <f t="shared" si="248"/>
        <v>-38.279182727727672</v>
      </c>
      <c r="AJ470" s="147">
        <f t="shared" si="249"/>
        <v>0</v>
      </c>
      <c r="AK470" s="147">
        <f t="shared" si="229"/>
        <v>0</v>
      </c>
      <c r="AM470" s="147" t="str">
        <f t="shared" si="253"/>
        <v>1.03140254821634+0.9995068183687i</v>
      </c>
      <c r="AN470" s="147" t="str">
        <f t="shared" si="254"/>
        <v>1.6022040384165i</v>
      </c>
      <c r="AO470" s="147" t="str">
        <f t="shared" si="255"/>
        <v>0.623832417347131-0.643739825569097i</v>
      </c>
      <c r="AP470" s="147" t="str">
        <f t="shared" si="256"/>
        <v>-0.00523375803605637-0.166584469728117i</v>
      </c>
      <c r="AQ470" s="147" t="str">
        <f t="shared" si="257"/>
        <v>1.00523375803606+0.166584469728117i</v>
      </c>
      <c r="AR470" s="147" t="str">
        <f t="shared" si="258"/>
        <v>0.806514342423879-0.13365325526203i</v>
      </c>
    </row>
    <row r="471" spans="7:44">
      <c r="G471" s="585">
        <v>54328.5</v>
      </c>
      <c r="H471" s="573">
        <f t="shared" si="250"/>
        <v>54.328499999999998</v>
      </c>
      <c r="I471" s="574">
        <f t="shared" si="230"/>
        <v>375.25320222764685</v>
      </c>
      <c r="J471" s="575">
        <f t="shared" si="231"/>
        <v>1.5681314563083726</v>
      </c>
      <c r="K471" s="575">
        <f t="shared" si="232"/>
        <v>1.0441437352631191</v>
      </c>
      <c r="L471" s="576">
        <f t="shared" si="233"/>
        <v>0.29181758904150906</v>
      </c>
      <c r="M471" s="575">
        <f t="shared" si="234"/>
        <v>1.0674636564981197</v>
      </c>
      <c r="N471" s="576">
        <f t="shared" si="235"/>
        <v>-0.35742723626646139</v>
      </c>
      <c r="O471" s="574">
        <f t="shared" si="236"/>
        <v>1024068.0977136383</v>
      </c>
      <c r="P471" s="577">
        <f t="shared" si="237"/>
        <v>1.5707953502973353</v>
      </c>
      <c r="Q471" s="586">
        <f t="shared" ref="Q471:Q534" si="259">SQRT(1+(G471/Zero2)^2)</f>
        <v>137.22876869280645</v>
      </c>
      <c r="R471" s="587">
        <f t="shared" ref="R471:R534" si="260">ATAN(G471/Zero2)</f>
        <v>1.5635091605538389</v>
      </c>
      <c r="S471" s="574">
        <f t="shared" si="238"/>
        <v>2.288430764806388</v>
      </c>
      <c r="T471" s="577">
        <f t="shared" si="239"/>
        <v>1.1185571901488274</v>
      </c>
      <c r="U471" s="578">
        <f t="shared" si="251"/>
        <v>0.7307969418688447</v>
      </c>
      <c r="V471" s="579">
        <f t="shared" si="252"/>
        <v>-0.96966365034222779</v>
      </c>
      <c r="W471" s="580">
        <f t="shared" si="240"/>
        <v>-30.529140122728254</v>
      </c>
      <c r="X471" s="581">
        <f t="shared" si="241"/>
        <v>-213.67017906609178</v>
      </c>
      <c r="Y471" s="584">
        <f t="shared" si="242"/>
        <v>-33.670179066091777</v>
      </c>
      <c r="AA471" s="147">
        <f t="shared" si="243"/>
        <v>54328.5</v>
      </c>
      <c r="AB471" s="147">
        <f t="shared" si="244"/>
        <v>2951585912.25</v>
      </c>
      <c r="AD471" s="583">
        <f t="shared" si="245"/>
        <v>20.457021141388193</v>
      </c>
      <c r="AE471" s="584">
        <f t="shared" si="246"/>
        <v>-64.506074134282912</v>
      </c>
      <c r="AG471" s="583">
        <f t="shared" si="247"/>
        <v>13.749162757986104</v>
      </c>
      <c r="AH471" s="584">
        <f t="shared" si="248"/>
        <v>-38.048835381123475</v>
      </c>
      <c r="AJ471" s="147">
        <f t="shared" si="249"/>
        <v>0</v>
      </c>
      <c r="AK471" s="147">
        <f t="shared" ref="AK471:AK534" si="261">IF(AJ471&gt;0,Y471,0)</f>
        <v>0</v>
      </c>
      <c r="AM471" s="147" t="str">
        <f t="shared" si="253"/>
        <v>1.04067321492188+0.999172502417835i</v>
      </c>
      <c r="AN471" s="147" t="str">
        <f t="shared" si="254"/>
        <v>1.61148076442724i</v>
      </c>
      <c r="AO471" s="147" t="str">
        <f t="shared" si="255"/>
        <v>0.620033775440668-0.645786929570804i</v>
      </c>
      <c r="AP471" s="147" t="str">
        <f t="shared" si="256"/>
        <v>-0.00677886915364672-0.166528750402972i</v>
      </c>
      <c r="AQ471" s="147" t="str">
        <f t="shared" si="257"/>
        <v>1.00677886915365+0.166528750402972i</v>
      </c>
      <c r="AR471" s="147" t="str">
        <f t="shared" si="258"/>
        <v>0.805356952731143-0.133212059843297i</v>
      </c>
    </row>
    <row r="472" spans="7:44">
      <c r="G472" s="585">
        <v>54641.25</v>
      </c>
      <c r="H472" s="573">
        <f t="shared" si="250"/>
        <v>54.641249999999999</v>
      </c>
      <c r="I472" s="574">
        <f t="shared" si="230"/>
        <v>377.41338717559483</v>
      </c>
      <c r="J472" s="575">
        <f t="shared" si="231"/>
        <v>1.5681467091500021</v>
      </c>
      <c r="K472" s="575">
        <f t="shared" si="232"/>
        <v>1.0446425443388792</v>
      </c>
      <c r="L472" s="576">
        <f t="shared" si="233"/>
        <v>0.29340296418278733</v>
      </c>
      <c r="M472" s="575">
        <f t="shared" si="234"/>
        <v>1.0682177394796224</v>
      </c>
      <c r="N472" s="576">
        <f t="shared" si="235"/>
        <v>-0.35931266819673346</v>
      </c>
      <c r="O472" s="574">
        <f t="shared" si="236"/>
        <v>1029963.2963213605</v>
      </c>
      <c r="P472" s="577">
        <f t="shared" si="237"/>
        <v>1.5707953558865122</v>
      </c>
      <c r="Q472" s="586">
        <f t="shared" si="259"/>
        <v>138.01870445192975</v>
      </c>
      <c r="R472" s="587">
        <f t="shared" si="260"/>
        <v>1.5635508686269721</v>
      </c>
      <c r="S472" s="574">
        <f t="shared" si="238"/>
        <v>2.2990947403668591</v>
      </c>
      <c r="T472" s="577">
        <f t="shared" si="239"/>
        <v>1.1208093552265377</v>
      </c>
      <c r="U472" s="578">
        <f t="shared" si="251"/>
        <v>0.72876203710519094</v>
      </c>
      <c r="V472" s="579">
        <f t="shared" si="252"/>
        <v>-0.9739877549638537</v>
      </c>
      <c r="W472" s="580">
        <f t="shared" si="240"/>
        <v>-30.633319840680766</v>
      </c>
      <c r="X472" s="581">
        <f t="shared" si="241"/>
        <v>-214.06264810000056</v>
      </c>
      <c r="Y472" s="584">
        <f t="shared" si="242"/>
        <v>-34.062648100000558</v>
      </c>
      <c r="AA472" s="147">
        <f t="shared" si="243"/>
        <v>54641.25</v>
      </c>
      <c r="AB472" s="147">
        <f t="shared" si="244"/>
        <v>2985666201.5625</v>
      </c>
      <c r="AD472" s="583">
        <f t="shared" si="245"/>
        <v>20.416636703322474</v>
      </c>
      <c r="AE472" s="584">
        <f t="shared" si="246"/>
        <v>-64.632724311821278</v>
      </c>
      <c r="AG472" s="583">
        <f t="shared" si="247"/>
        <v>13.733806684483481</v>
      </c>
      <c r="AH472" s="584">
        <f t="shared" si="248"/>
        <v>-37.819148346943386</v>
      </c>
      <c r="AJ472" s="147">
        <f t="shared" si="249"/>
        <v>0</v>
      </c>
      <c r="AK472" s="147">
        <f t="shared" si="261"/>
        <v>0</v>
      </c>
      <c r="AM472" s="147" t="str">
        <f t="shared" si="253"/>
        <v>1.04994038141142+0.998752200650633i</v>
      </c>
      <c r="AN472" s="147" t="str">
        <f t="shared" si="254"/>
        <v>1.62075749043799i</v>
      </c>
      <c r="AO472" s="147" t="str">
        <f t="shared" si="255"/>
        <v>0.616225565232916-0.647808439945995i</v>
      </c>
      <c r="AP472" s="147" t="str">
        <f t="shared" si="256"/>
        <v>-0.00832339690190398-0.166458700108439i</v>
      </c>
      <c r="AQ472" s="147" t="str">
        <f t="shared" si="257"/>
        <v>1.0083233969019+0.166458700108439i</v>
      </c>
      <c r="AR472" s="147" t="str">
        <f t="shared" si="258"/>
        <v>0.804206845064328-0.132762193616678i</v>
      </c>
    </row>
    <row r="473" spans="7:44">
      <c r="G473" s="585">
        <v>54954</v>
      </c>
      <c r="H473" s="573">
        <f t="shared" si="250"/>
        <v>54.954000000000001</v>
      </c>
      <c r="I473" s="574">
        <f t="shared" si="230"/>
        <v>379.57357221034835</v>
      </c>
      <c r="J473" s="575">
        <f t="shared" si="231"/>
        <v>1.5681617883812329</v>
      </c>
      <c r="K473" s="575">
        <f t="shared" si="232"/>
        <v>1.0451439765241168</v>
      </c>
      <c r="L473" s="576">
        <f t="shared" si="233"/>
        <v>0.2949868220604227</v>
      </c>
      <c r="M473" s="575">
        <f t="shared" si="234"/>
        <v>1.0689756144533866</v>
      </c>
      <c r="N473" s="576">
        <f t="shared" si="235"/>
        <v>-0.3611954333709651</v>
      </c>
      <c r="O473" s="574">
        <f t="shared" si="236"/>
        <v>1035858.4949290827</v>
      </c>
      <c r="P473" s="577">
        <f t="shared" si="237"/>
        <v>1.5707953614120718</v>
      </c>
      <c r="Q473" s="586">
        <f t="shared" si="259"/>
        <v>138.80864044841269</v>
      </c>
      <c r="R473" s="587">
        <f t="shared" si="260"/>
        <v>1.5635921019932963</v>
      </c>
      <c r="S473" s="574">
        <f t="shared" si="238"/>
        <v>2.3097702697899982</v>
      </c>
      <c r="T473" s="577">
        <f t="shared" si="239"/>
        <v>1.1230407129674045</v>
      </c>
      <c r="U473" s="578">
        <f t="shared" si="251"/>
        <v>0.72673049933803857</v>
      </c>
      <c r="V473" s="579">
        <f t="shared" si="252"/>
        <v>-0.97829909206912335</v>
      </c>
      <c r="W473" s="580">
        <f t="shared" si="240"/>
        <v>-30.737052713149847</v>
      </c>
      <c r="X473" s="581">
        <f t="shared" si="241"/>
        <v>-214.45314482336661</v>
      </c>
      <c r="Y473" s="584">
        <f t="shared" si="242"/>
        <v>-34.453144823366614</v>
      </c>
      <c r="AA473" s="147">
        <f t="shared" si="243"/>
        <v>54954</v>
      </c>
      <c r="AB473" s="147">
        <f t="shared" si="244"/>
        <v>3019942116</v>
      </c>
      <c r="AD473" s="583">
        <f t="shared" si="245"/>
        <v>20.376395733364774</v>
      </c>
      <c r="AE473" s="584">
        <f t="shared" si="246"/>
        <v>-64.758209511825896</v>
      </c>
      <c r="AG473" s="583">
        <f t="shared" si="247"/>
        <v>13.718808948333708</v>
      </c>
      <c r="AH473" s="584">
        <f t="shared" si="248"/>
        <v>-37.590117029360037</v>
      </c>
      <c r="AJ473" s="147">
        <f t="shared" si="249"/>
        <v>0</v>
      </c>
      <c r="AK473" s="147">
        <f t="shared" si="261"/>
        <v>0</v>
      </c>
      <c r="AM473" s="147" t="str">
        <f t="shared" si="253"/>
        <v>1.05920325018014+0.998245949237014i</v>
      </c>
      <c r="AN473" s="147" t="str">
        <f t="shared" si="254"/>
        <v>1.63003421644873i</v>
      </c>
      <c r="AO473" s="147" t="str">
        <f t="shared" si="255"/>
        <v>0.612407972276705-0.649804304407653i</v>
      </c>
      <c r="AP473" s="147" t="str">
        <f t="shared" si="256"/>
        <v>-0.0098672083633567-0.166374324872836i</v>
      </c>
      <c r="AQ473" s="147" t="str">
        <f t="shared" si="257"/>
        <v>1.00986720836336+0.166374324872836i</v>
      </c>
      <c r="AR473" s="147" t="str">
        <f t="shared" si="258"/>
        <v>0.803064049258728-0.132303770157663i</v>
      </c>
    </row>
    <row r="474" spans="7:44">
      <c r="G474" s="585">
        <v>55274</v>
      </c>
      <c r="H474" s="573">
        <f t="shared" si="250"/>
        <v>55.274000000000001</v>
      </c>
      <c r="I474" s="574">
        <f t="shared" si="230"/>
        <v>381.78383356523301</v>
      </c>
      <c r="J474" s="575">
        <f t="shared" si="231"/>
        <v>1.5681770405508826</v>
      </c>
      <c r="K474" s="575">
        <f t="shared" si="232"/>
        <v>1.0456597437262678</v>
      </c>
      <c r="L474" s="576">
        <f t="shared" si="233"/>
        <v>0.29660581963242383</v>
      </c>
      <c r="M474" s="575">
        <f t="shared" si="234"/>
        <v>1.0697549745321091</v>
      </c>
      <c r="N474" s="576">
        <f t="shared" si="235"/>
        <v>-0.36311907558430068</v>
      </c>
      <c r="O474" s="574">
        <f t="shared" si="236"/>
        <v>1041890.35281708</v>
      </c>
      <c r="P474" s="577">
        <f t="shared" si="237"/>
        <v>1.5707953670010015</v>
      </c>
      <c r="Q474" s="586">
        <f t="shared" si="259"/>
        <v>139.61688855199623</v>
      </c>
      <c r="R474" s="587">
        <f t="shared" si="260"/>
        <v>1.563633808272237</v>
      </c>
      <c r="S474" s="574">
        <f t="shared" si="238"/>
        <v>2.3207050659253579</v>
      </c>
      <c r="T474" s="577">
        <f t="shared" si="239"/>
        <v>1.1253025368803862</v>
      </c>
      <c r="U474" s="578">
        <f t="shared" si="251"/>
        <v>0.72465541754222418</v>
      </c>
      <c r="V474" s="579">
        <f t="shared" si="252"/>
        <v>-0.98269724244074563</v>
      </c>
      <c r="W474" s="580">
        <f t="shared" si="240"/>
        <v>-30.842731135930972</v>
      </c>
      <c r="X474" s="581">
        <f t="shared" si="241"/>
        <v>-214.85067270560302</v>
      </c>
      <c r="Y474" s="584">
        <f t="shared" si="242"/>
        <v>-34.850672705603017</v>
      </c>
      <c r="AA474" s="147">
        <f t="shared" si="243"/>
        <v>55274</v>
      </c>
      <c r="AB474" s="147">
        <f t="shared" si="244"/>
        <v>3055215076</v>
      </c>
      <c r="AD474" s="583">
        <f t="shared" si="245"/>
        <v>20.335369865834785</v>
      </c>
      <c r="AE474" s="584">
        <f t="shared" si="246"/>
        <v>-64.885413202646461</v>
      </c>
      <c r="AG474" s="583">
        <f t="shared" si="247"/>
        <v>13.703830138816953</v>
      </c>
      <c r="AH474" s="584">
        <f t="shared" si="248"/>
        <v>-37.356450312284274</v>
      </c>
      <c r="AJ474" s="147">
        <f t="shared" si="249"/>
        <v>0</v>
      </c>
      <c r="AK474" s="147">
        <f t="shared" si="261"/>
        <v>0</v>
      </c>
      <c r="AM474" s="147" t="str">
        <f t="shared" si="253"/>
        <v>1.06867556596606+0.997639046268359i</v>
      </c>
      <c r="AN474" s="147" t="str">
        <f t="shared" si="254"/>
        <v>1.63952599046452i</v>
      </c>
      <c r="AO474" s="147" t="str">
        <f t="shared" si="255"/>
        <v>0.608492364299575-0.651819838283428i</v>
      </c>
      <c r="AP474" s="147" t="str">
        <f t="shared" si="256"/>
        <v>-0.0114459276610097-0.16627317437806i</v>
      </c>
      <c r="AQ474" s="147" t="str">
        <f t="shared" si="257"/>
        <v>1.01144592766101+0.16627317437806i</v>
      </c>
      <c r="AR474" s="147" t="str">
        <f t="shared" si="258"/>
        <v>0.801902359408529-0.131825980206823i</v>
      </c>
    </row>
    <row r="475" spans="7:44">
      <c r="G475" s="585">
        <v>55594</v>
      </c>
      <c r="H475" s="573">
        <f t="shared" si="250"/>
        <v>55.594000000000001</v>
      </c>
      <c r="I475" s="574">
        <f t="shared" si="230"/>
        <v>383.99409500790915</v>
      </c>
      <c r="J475" s="575">
        <f t="shared" si="231"/>
        <v>1.5681921171382396</v>
      </c>
      <c r="K475" s="575">
        <f t="shared" si="232"/>
        <v>1.0461782490560796</v>
      </c>
      <c r="L475" s="576">
        <f t="shared" si="233"/>
        <v>0.29822321662997192</v>
      </c>
      <c r="M475" s="575">
        <f t="shared" si="234"/>
        <v>1.0705382873592555</v>
      </c>
      <c r="N475" s="576">
        <f t="shared" si="235"/>
        <v>-0.36503990983896478</v>
      </c>
      <c r="O475" s="574">
        <f t="shared" si="236"/>
        <v>1047922.2107050772</v>
      </c>
      <c r="P475" s="577">
        <f t="shared" si="237"/>
        <v>1.5707953725255914</v>
      </c>
      <c r="Q475" s="586">
        <f t="shared" si="259"/>
        <v>140.42513689563569</v>
      </c>
      <c r="R475" s="587">
        <f t="shared" si="260"/>
        <v>1.5636750344515797</v>
      </c>
      <c r="S475" s="574">
        <f t="shared" si="238"/>
        <v>2.3316516230422493</v>
      </c>
      <c r="T475" s="577">
        <f t="shared" si="239"/>
        <v>1.1275431347016314</v>
      </c>
      <c r="U475" s="578">
        <f t="shared" si="251"/>
        <v>0.7225839908263697</v>
      </c>
      <c r="V475" s="579">
        <f t="shared" si="252"/>
        <v>-0.98708219963878618</v>
      </c>
      <c r="W475" s="580">
        <f t="shared" si="240"/>
        <v>-30.947948571718406</v>
      </c>
      <c r="X475" s="581">
        <f t="shared" si="241"/>
        <v>-215.24617677505037</v>
      </c>
      <c r="Y475" s="584">
        <f t="shared" si="242"/>
        <v>-35.246176775050372</v>
      </c>
      <c r="AA475" s="147">
        <f t="shared" si="243"/>
        <v>55594</v>
      </c>
      <c r="AB475" s="147">
        <f t="shared" si="244"/>
        <v>3090692836</v>
      </c>
      <c r="AD475" s="583">
        <f t="shared" si="245"/>
        <v>20.294493072432815</v>
      </c>
      <c r="AE475" s="584">
        <f t="shared" si="246"/>
        <v>-65.011428231987907</v>
      </c>
      <c r="AG475" s="583">
        <f t="shared" si="247"/>
        <v>13.689217816513231</v>
      </c>
      <c r="AH475" s="584">
        <f t="shared" si="248"/>
        <v>-37.123460270229593</v>
      </c>
      <c r="AJ475" s="147">
        <f t="shared" si="249"/>
        <v>0</v>
      </c>
      <c r="AK475" s="147">
        <f t="shared" si="261"/>
        <v>0</v>
      </c>
      <c r="AM475" s="147" t="str">
        <f t="shared" si="253"/>
        <v>1.0781416945575+0.996942262907779i</v>
      </c>
      <c r="AN475" s="147" t="str">
        <f t="shared" si="254"/>
        <v>1.6490177644803i</v>
      </c>
      <c r="AO475" s="147" t="str">
        <f t="shared" si="255"/>
        <v>0.60456732752177-0.653808417216951i</v>
      </c>
      <c r="AP475" s="147" t="str">
        <f t="shared" si="256"/>
        <v>-0.0130236157595836-0.166157043817963i</v>
      </c>
      <c r="AQ475" s="147" t="str">
        <f t="shared" si="257"/>
        <v>1.01302361575958+0.166157043817963i</v>
      </c>
      <c r="AR475" s="147" t="str">
        <f t="shared" si="258"/>
        <v>0.800748382780084-0.131339469341976i</v>
      </c>
    </row>
    <row r="476" spans="7:44">
      <c r="G476" s="585">
        <v>55914</v>
      </c>
      <c r="H476" s="573">
        <f t="shared" si="250"/>
        <v>55.914000000000001</v>
      </c>
      <c r="I476" s="574">
        <f t="shared" si="230"/>
        <v>386.20435653686945</v>
      </c>
      <c r="J476" s="575">
        <f t="shared" si="231"/>
        <v>1.568207021157888</v>
      </c>
      <c r="K476" s="575">
        <f t="shared" si="232"/>
        <v>1.046699488444379</v>
      </c>
      <c r="L476" s="576">
        <f t="shared" si="233"/>
        <v>0.29983900697588006</v>
      </c>
      <c r="M476" s="575">
        <f t="shared" si="234"/>
        <v>1.0713255442645242</v>
      </c>
      <c r="N476" s="576">
        <f t="shared" si="235"/>
        <v>-0.36695792813552947</v>
      </c>
      <c r="O476" s="574">
        <f t="shared" si="236"/>
        <v>1053954.0685930743</v>
      </c>
      <c r="P476" s="577">
        <f t="shared" si="237"/>
        <v>1.5707953779869459</v>
      </c>
      <c r="Q476" s="586">
        <f t="shared" si="259"/>
        <v>141.23338547520976</v>
      </c>
      <c r="R476" s="587">
        <f t="shared" si="260"/>
        <v>1.5637157887737063</v>
      </c>
      <c r="S476" s="574">
        <f t="shared" si="238"/>
        <v>2.3426097762703817</v>
      </c>
      <c r="T476" s="577">
        <f t="shared" si="239"/>
        <v>1.129762781646741</v>
      </c>
      <c r="U476" s="578">
        <f t="shared" si="251"/>
        <v>0.72051628230507514</v>
      </c>
      <c r="V476" s="579">
        <f t="shared" si="252"/>
        <v>-0.99145405170945999</v>
      </c>
      <c r="W476" s="580">
        <f t="shared" si="240"/>
        <v>-31.052708411568549</v>
      </c>
      <c r="X476" s="581">
        <f t="shared" si="241"/>
        <v>-215.63967743547403</v>
      </c>
      <c r="Y476" s="584">
        <f t="shared" si="242"/>
        <v>-35.639677435474027</v>
      </c>
      <c r="AA476" s="147">
        <f t="shared" si="243"/>
        <v>55914</v>
      </c>
      <c r="AB476" s="147">
        <f t="shared" si="244"/>
        <v>3126375396</v>
      </c>
      <c r="AD476" s="583">
        <f t="shared" si="245"/>
        <v>20.253764773088022</v>
      </c>
      <c r="AE476" s="584">
        <f t="shared" si="246"/>
        <v>-65.136269896352232</v>
      </c>
      <c r="AG476" s="583">
        <f t="shared" si="247"/>
        <v>13.674967710172947</v>
      </c>
      <c r="AH476" s="584">
        <f t="shared" si="248"/>
        <v>-36.891141921106133</v>
      </c>
      <c r="AJ476" s="147">
        <f t="shared" si="249"/>
        <v>0</v>
      </c>
      <c r="AK476" s="147">
        <f t="shared" si="261"/>
        <v>0</v>
      </c>
      <c r="AM476" s="147" t="str">
        <f t="shared" si="253"/>
        <v>1.08760078312164+0.996155661930642i</v>
      </c>
      <c r="AN476" s="147" t="str">
        <f t="shared" si="254"/>
        <v>1.65850953849609i</v>
      </c>
      <c r="AO476" s="147" t="str">
        <f t="shared" si="255"/>
        <v>0.600633061678946-0.655769989787252i</v>
      </c>
      <c r="AP476" s="147" t="str">
        <f t="shared" si="256"/>
        <v>-0.014600130520274-0.166025943655107i</v>
      </c>
      <c r="AQ476" s="147" t="str">
        <f t="shared" si="257"/>
        <v>1.01460013052027+0.166025943655107i</v>
      </c>
      <c r="AR476" s="147" t="str">
        <f t="shared" si="258"/>
        <v>0.799602146576537-0.130844356254857i</v>
      </c>
    </row>
    <row r="477" spans="7:44">
      <c r="G477" s="585">
        <v>56234</v>
      </c>
      <c r="H477" s="573">
        <f t="shared" si="250"/>
        <v>56.234000000000002</v>
      </c>
      <c r="I477" s="574">
        <f t="shared" si="230"/>
        <v>388.41461815064093</v>
      </c>
      <c r="J477" s="575">
        <f t="shared" si="231"/>
        <v>1.5682217555557956</v>
      </c>
      <c r="K477" s="575">
        <f t="shared" si="232"/>
        <v>1.0472234578086592</v>
      </c>
      <c r="L477" s="576">
        <f t="shared" si="233"/>
        <v>0.301453184638586</v>
      </c>
      <c r="M477" s="575">
        <f t="shared" si="234"/>
        <v>1.0721167365594886</v>
      </c>
      <c r="N477" s="576">
        <f t="shared" si="235"/>
        <v>-0.36887312258087784</v>
      </c>
      <c r="O477" s="574">
        <f t="shared" si="236"/>
        <v>1059985.9264810719</v>
      </c>
      <c r="P477" s="577">
        <f t="shared" si="237"/>
        <v>1.5707953833861446</v>
      </c>
      <c r="Q477" s="586">
        <f t="shared" si="259"/>
        <v>142.04163428669085</v>
      </c>
      <c r="R477" s="587">
        <f t="shared" si="260"/>
        <v>1.5637560792934009</v>
      </c>
      <c r="S477" s="574">
        <f t="shared" si="238"/>
        <v>2.3535793636369386</v>
      </c>
      <c r="T477" s="577">
        <f t="shared" si="239"/>
        <v>1.1319617486343376</v>
      </c>
      <c r="U477" s="578">
        <f t="shared" si="251"/>
        <v>0.7184523533007513</v>
      </c>
      <c r="V477" s="579">
        <f t="shared" si="252"/>
        <v>-0.99581288700018333</v>
      </c>
      <c r="W477" s="580">
        <f t="shared" si="240"/>
        <v>-31.157014009985808</v>
      </c>
      <c r="X477" s="581">
        <f t="shared" si="241"/>
        <v>-216.03119487199058</v>
      </c>
      <c r="Y477" s="584">
        <f t="shared" si="242"/>
        <v>-36.031194871990579</v>
      </c>
      <c r="AA477" s="147">
        <f t="shared" si="243"/>
        <v>56234</v>
      </c>
      <c r="AB477" s="147">
        <f t="shared" si="244"/>
        <v>3162262756</v>
      </c>
      <c r="AD477" s="583">
        <f t="shared" si="245"/>
        <v>20.213184380103954</v>
      </c>
      <c r="AE477" s="584">
        <f t="shared" si="246"/>
        <v>-65.259953256789871</v>
      </c>
      <c r="AG477" s="583">
        <f t="shared" si="247"/>
        <v>13.661075618269162</v>
      </c>
      <c r="AH477" s="584">
        <f t="shared" si="248"/>
        <v>-36.659490265112098</v>
      </c>
      <c r="AJ477" s="147">
        <f t="shared" si="249"/>
        <v>0</v>
      </c>
      <c r="AK477" s="147">
        <f t="shared" si="261"/>
        <v>0</v>
      </c>
      <c r="AM477" s="147" t="str">
        <f t="shared" si="253"/>
        <v>1.09705197945989+0.995279314204268i</v>
      </c>
      <c r="AN477" s="147" t="str">
        <f t="shared" si="254"/>
        <v>1.66800131251188i</v>
      </c>
      <c r="AO477" s="147" t="str">
        <f t="shared" si="255"/>
        <v>0.596689766811667-0.657704506124048i</v>
      </c>
      <c r="AP477" s="147" t="str">
        <f t="shared" si="256"/>
        <v>-0.0161753299099809-0.165879885700711i</v>
      </c>
      <c r="AQ477" s="147" t="str">
        <f t="shared" si="257"/>
        <v>1.01617532990998+0.165879885700711i</v>
      </c>
      <c r="AR477" s="147" t="str">
        <f t="shared" si="258"/>
        <v>0.798463676470308-0.130340758617706i</v>
      </c>
    </row>
    <row r="478" spans="7:44">
      <c r="G478" s="585">
        <v>56561.5</v>
      </c>
      <c r="H478" s="573">
        <f t="shared" si="250"/>
        <v>56.561500000000002</v>
      </c>
      <c r="I478" s="574">
        <f t="shared" si="230"/>
        <v>390.67668285729906</v>
      </c>
      <c r="J478" s="575">
        <f t="shared" si="231"/>
        <v>1.5682366626637609</v>
      </c>
      <c r="K478" s="575">
        <f t="shared" si="232"/>
        <v>1.0477625301323974</v>
      </c>
      <c r="L478" s="576">
        <f t="shared" si="233"/>
        <v>0.30310351852208678</v>
      </c>
      <c r="M478" s="575">
        <f t="shared" si="234"/>
        <v>1.0729305381628242</v>
      </c>
      <c r="N478" s="576">
        <f t="shared" si="235"/>
        <v>-0.37083027236793314</v>
      </c>
      <c r="O478" s="574">
        <f t="shared" si="236"/>
        <v>1066159.156038319</v>
      </c>
      <c r="P478" s="577">
        <f t="shared" si="237"/>
        <v>1.5707953888486301</v>
      </c>
      <c r="Q478" s="586">
        <f t="shared" si="259"/>
        <v>142.86882666570759</v>
      </c>
      <c r="R478" s="587">
        <f t="shared" si="260"/>
        <v>1.5637968421007942</v>
      </c>
      <c r="S478" s="574">
        <f t="shared" si="238"/>
        <v>2.3648177239246362</v>
      </c>
      <c r="T478" s="577">
        <f t="shared" si="239"/>
        <v>1.1341911195185863</v>
      </c>
      <c r="U478" s="578">
        <f t="shared" si="251"/>
        <v>0.71634402652669649</v>
      </c>
      <c r="V478" s="579">
        <f t="shared" si="252"/>
        <v>-1.0002604970070408</v>
      </c>
      <c r="W478" s="580">
        <f t="shared" si="240"/>
        <v>-31.263297398140306</v>
      </c>
      <c r="X478" s="581">
        <f t="shared" si="241"/>
        <v>-216.42985584428095</v>
      </c>
      <c r="Y478" s="584">
        <f t="shared" si="242"/>
        <v>-36.429855844280951</v>
      </c>
      <c r="AA478" s="147">
        <f t="shared" si="243"/>
        <v>56561.5</v>
      </c>
      <c r="AB478" s="147">
        <f t="shared" si="244"/>
        <v>3199203282.25</v>
      </c>
      <c r="AD478" s="583">
        <f t="shared" si="245"/>
        <v>20.171805410191666</v>
      </c>
      <c r="AE478" s="584">
        <f t="shared" si="246"/>
        <v>-65.385351575722595</v>
      </c>
      <c r="AG478" s="583">
        <f t="shared" si="247"/>
        <v>13.64722431702176</v>
      </c>
      <c r="AH478" s="584">
        <f t="shared" si="248"/>
        <v>-36.42309435326122</v>
      </c>
      <c r="AJ478" s="147">
        <f t="shared" si="249"/>
        <v>0</v>
      </c>
      <c r="AK478" s="147">
        <f t="shared" si="261"/>
        <v>0</v>
      </c>
      <c r="AM478" s="147" t="str">
        <f t="shared" si="253"/>
        <v>1.10671562781792+0.994289582958319i</v>
      </c>
      <c r="AN478" s="147" t="str">
        <f t="shared" si="254"/>
        <v>1.67771554998116i</v>
      </c>
      <c r="AO478" s="147" t="str">
        <f t="shared" si="255"/>
        <v>0.592644911093233-0.65965629741606i</v>
      </c>
      <c r="AP478" s="147" t="str">
        <f t="shared" si="256"/>
        <v>-0.0177859379696533-0.165714930493053i</v>
      </c>
      <c r="AQ478" s="147" t="str">
        <f t="shared" si="257"/>
        <v>1.01778593796965+0.165714930493053i</v>
      </c>
      <c r="AR478" s="147" t="str">
        <f t="shared" si="258"/>
        <v>0.797306589949099-0.129816694459978i</v>
      </c>
    </row>
    <row r="479" spans="7:44">
      <c r="G479" s="585">
        <v>56889</v>
      </c>
      <c r="H479" s="573">
        <f t="shared" si="250"/>
        <v>56.889000000000003</v>
      </c>
      <c r="I479" s="574">
        <f t="shared" si="230"/>
        <v>392.9387476497746</v>
      </c>
      <c r="J479" s="575">
        <f t="shared" si="231"/>
        <v>1.5682513981376298</v>
      </c>
      <c r="K479" s="575">
        <f t="shared" si="232"/>
        <v>1.0483044532047316</v>
      </c>
      <c r="L479" s="576">
        <f t="shared" si="233"/>
        <v>0.30475215060517857</v>
      </c>
      <c r="M479" s="575">
        <f t="shared" si="234"/>
        <v>1.0737484433183011</v>
      </c>
      <c r="N479" s="576">
        <f t="shared" si="235"/>
        <v>-0.37278444799598159</v>
      </c>
      <c r="O479" s="574">
        <f t="shared" si="236"/>
        <v>1072332.3855955661</v>
      </c>
      <c r="P479" s="577">
        <f t="shared" si="237"/>
        <v>1.5707953942482222</v>
      </c>
      <c r="Q479" s="586">
        <f t="shared" si="259"/>
        <v>143.69601927938294</v>
      </c>
      <c r="R479" s="587">
        <f t="shared" si="260"/>
        <v>1.5638371356023766</v>
      </c>
      <c r="S479" s="574">
        <f t="shared" si="238"/>
        <v>2.3760677263635976</v>
      </c>
      <c r="T479" s="577">
        <f t="shared" si="239"/>
        <v>1.1363993904222138</v>
      </c>
      <c r="U479" s="578">
        <f t="shared" si="251"/>
        <v>0.71423978284031775</v>
      </c>
      <c r="V479" s="579">
        <f t="shared" si="252"/>
        <v>-1.004694661057858</v>
      </c>
      <c r="W479" s="580">
        <f t="shared" si="240"/>
        <v>-31.3691119981521</v>
      </c>
      <c r="X479" s="581">
        <f t="shared" si="241"/>
        <v>-216.82648163115067</v>
      </c>
      <c r="Y479" s="584">
        <f t="shared" si="242"/>
        <v>-36.826481631150671</v>
      </c>
      <c r="AA479" s="147">
        <f t="shared" si="243"/>
        <v>56889</v>
      </c>
      <c r="AB479" s="147">
        <f t="shared" si="244"/>
        <v>3236358321</v>
      </c>
      <c r="AD479" s="583">
        <f t="shared" si="245"/>
        <v>20.130580092964152</v>
      </c>
      <c r="AE479" s="584">
        <f t="shared" si="246"/>
        <v>-65.509567840455276</v>
      </c>
      <c r="AG479" s="583">
        <f t="shared" si="247"/>
        <v>13.633739321852115</v>
      </c>
      <c r="AH479" s="584">
        <f t="shared" si="248"/>
        <v>-36.187386103256721</v>
      </c>
      <c r="AJ479" s="147">
        <f t="shared" si="249"/>
        <v>0</v>
      </c>
      <c r="AK479" s="147">
        <f t="shared" si="261"/>
        <v>0</v>
      </c>
      <c r="AM479" s="147" t="str">
        <f t="shared" si="253"/>
        <v>1.1163692058845+0.993206024912158i</v>
      </c>
      <c r="AN479" s="147" t="str">
        <f t="shared" si="254"/>
        <v>1.68742978745044i</v>
      </c>
      <c r="AO479" s="147" t="str">
        <f t="shared" si="255"/>
        <v>0.588591023045057-0.661579648639033i</v>
      </c>
      <c r="AP479" s="147" t="str">
        <f t="shared" si="256"/>
        <v>-0.0193948676474168-0.16553433748536i</v>
      </c>
      <c r="AQ479" s="147" t="str">
        <f t="shared" si="257"/>
        <v>1.01939486764742+0.16553433748536i</v>
      </c>
      <c r="AR479" s="147" t="str">
        <f t="shared" si="258"/>
        <v>0.796157687481041-0.129283989466419i</v>
      </c>
    </row>
    <row r="480" spans="7:44">
      <c r="G480" s="585">
        <v>57216.5</v>
      </c>
      <c r="H480" s="573">
        <f t="shared" si="250"/>
        <v>57.216500000000003</v>
      </c>
      <c r="I480" s="574">
        <f t="shared" si="230"/>
        <v>395.20081252659384</v>
      </c>
      <c r="J480" s="575">
        <f t="shared" si="231"/>
        <v>1.5682659649246122</v>
      </c>
      <c r="K480" s="575">
        <f t="shared" si="232"/>
        <v>1.0488492226068578</v>
      </c>
      <c r="L480" s="576">
        <f t="shared" si="233"/>
        <v>0.3063990745707833</v>
      </c>
      <c r="M480" s="575">
        <f t="shared" si="234"/>
        <v>1.0745704426557106</v>
      </c>
      <c r="N480" s="576">
        <f t="shared" si="235"/>
        <v>-0.37473564134819676</v>
      </c>
      <c r="O480" s="574">
        <f t="shared" si="236"/>
        <v>1078505.6151528137</v>
      </c>
      <c r="P480" s="577">
        <f t="shared" si="237"/>
        <v>1.5707953995860013</v>
      </c>
      <c r="Q480" s="586">
        <f t="shared" si="259"/>
        <v>144.52321212368767</v>
      </c>
      <c r="R480" s="587">
        <f t="shared" si="260"/>
        <v>1.5638769678563702</v>
      </c>
      <c r="S480" s="574">
        <f t="shared" si="238"/>
        <v>2.3873292063671054</v>
      </c>
      <c r="T480" s="577">
        <f t="shared" si="239"/>
        <v>1.1385868382524218</v>
      </c>
      <c r="U480" s="578">
        <f t="shared" si="251"/>
        <v>0.71213968231791869</v>
      </c>
      <c r="V480" s="579">
        <f t="shared" si="252"/>
        <v>-1.0091154747273088</v>
      </c>
      <c r="W480" s="580">
        <f t="shared" si="240"/>
        <v>-31.474461291725916</v>
      </c>
      <c r="X480" s="581">
        <f t="shared" si="241"/>
        <v>-217.22109317834372</v>
      </c>
      <c r="Y480" s="584">
        <f t="shared" si="242"/>
        <v>-37.221093178343722</v>
      </c>
      <c r="AA480" s="147">
        <f t="shared" si="243"/>
        <v>57216.5</v>
      </c>
      <c r="AB480" s="147">
        <f t="shared" si="244"/>
        <v>3273727872.25</v>
      </c>
      <c r="AD480" s="583">
        <f t="shared" si="245"/>
        <v>20.089507776604904</v>
      </c>
      <c r="AE480" s="584">
        <f t="shared" si="246"/>
        <v>-65.632617454961746</v>
      </c>
      <c r="AG480" s="583">
        <f t="shared" si="247"/>
        <v>13.620616346760643</v>
      </c>
      <c r="AH480" s="584">
        <f t="shared" si="248"/>
        <v>-35.952360104817863</v>
      </c>
      <c r="AJ480" s="147">
        <f t="shared" si="249"/>
        <v>0</v>
      </c>
      <c r="AK480" s="147">
        <f t="shared" si="261"/>
        <v>0</v>
      </c>
      <c r="AM480" s="147" t="str">
        <f t="shared" si="253"/>
        <v>1.1260118026933+0.992028742316464i</v>
      </c>
      <c r="AN480" s="147" t="str">
        <f t="shared" si="254"/>
        <v>1.69714402491973i</v>
      </c>
      <c r="AO480" s="147" t="str">
        <f t="shared" si="255"/>
        <v>0.584528318015546-0.663474511390721i</v>
      </c>
      <c r="AP480" s="147" t="str">
        <f t="shared" si="256"/>
        <v>-0.0210019671155497-0.165338123719411i</v>
      </c>
      <c r="AQ480" s="147" t="str">
        <f t="shared" si="257"/>
        <v>1.02100196711555+0.165338123719411i</v>
      </c>
      <c r="AR480" s="147" t="str">
        <f t="shared" si="258"/>
        <v>0.795016991840477-0.128742766409458i</v>
      </c>
    </row>
    <row r="481" spans="7:44">
      <c r="G481" s="585">
        <v>57544</v>
      </c>
      <c r="H481" s="573">
        <f t="shared" si="250"/>
        <v>57.543999999999997</v>
      </c>
      <c r="I481" s="574">
        <f t="shared" si="230"/>
        <v>397.4628774863167</v>
      </c>
      <c r="J481" s="575">
        <f t="shared" si="231"/>
        <v>1.5682803659048257</v>
      </c>
      <c r="K481" s="575">
        <f t="shared" si="232"/>
        <v>1.0493968339059629</v>
      </c>
      <c r="L481" s="576">
        <f t="shared" si="233"/>
        <v>0.30804428415196988</v>
      </c>
      <c r="M481" s="575">
        <f t="shared" si="234"/>
        <v>1.0753965267866603</v>
      </c>
      <c r="N481" s="576">
        <f t="shared" si="235"/>
        <v>-0.37668384442333841</v>
      </c>
      <c r="O481" s="574">
        <f t="shared" si="236"/>
        <v>1084678.8447100611</v>
      </c>
      <c r="P481" s="577">
        <f t="shared" si="237"/>
        <v>1.5707954048630226</v>
      </c>
      <c r="Q481" s="586">
        <f t="shared" si="259"/>
        <v>145.35040519468424</v>
      </c>
      <c r="R481" s="587">
        <f t="shared" si="260"/>
        <v>1.563916346737565</v>
      </c>
      <c r="S481" s="574">
        <f t="shared" si="238"/>
        <v>2.398602002273043</v>
      </c>
      <c r="T481" s="577">
        <f t="shared" si="239"/>
        <v>1.1407537355159192</v>
      </c>
      <c r="U481" s="578">
        <f t="shared" si="251"/>
        <v>0.71004378318493999</v>
      </c>
      <c r="V481" s="579">
        <f t="shared" si="252"/>
        <v>-1.013523033846728</v>
      </c>
      <c r="W481" s="580">
        <f t="shared" si="240"/>
        <v>-31.579348723564252</v>
      </c>
      <c r="X481" s="581">
        <f t="shared" si="241"/>
        <v>-217.61371120459353</v>
      </c>
      <c r="Y481" s="584">
        <f t="shared" si="242"/>
        <v>-37.613711204593528</v>
      </c>
      <c r="AA481" s="147">
        <f t="shared" si="243"/>
        <v>57544</v>
      </c>
      <c r="AB481" s="147">
        <f t="shared" si="244"/>
        <v>3311311936</v>
      </c>
      <c r="AD481" s="583">
        <f t="shared" si="245"/>
        <v>20.048587802887493</v>
      </c>
      <c r="AE481" s="584">
        <f t="shared" si="246"/>
        <v>-65.754515581594532</v>
      </c>
      <c r="AG481" s="583">
        <f t="shared" si="247"/>
        <v>13.607851176340251</v>
      </c>
      <c r="AH481" s="584">
        <f t="shared" si="248"/>
        <v>-35.718010932863592</v>
      </c>
      <c r="AJ481" s="147">
        <f t="shared" si="249"/>
        <v>0</v>
      </c>
      <c r="AK481" s="147">
        <f t="shared" si="261"/>
        <v>0</v>
      </c>
      <c r="AM481" s="147" t="str">
        <f t="shared" si="253"/>
        <v>1.13564250831421+0.990757846266296i</v>
      </c>
      <c r="AN481" s="147" t="str">
        <f t="shared" si="254"/>
        <v>1.70685826238901i</v>
      </c>
      <c r="AO481" s="147" t="str">
        <f t="shared" si="255"/>
        <v>0.580457011632342-0.665340838977868i</v>
      </c>
      <c r="AP481" s="147" t="str">
        <f t="shared" si="256"/>
        <v>-0.0226070847190347-0.165126307711049i</v>
      </c>
      <c r="AQ481" s="147" t="str">
        <f t="shared" si="257"/>
        <v>1.02260708471903+0.165126307711049i</v>
      </c>
      <c r="AR481" s="147" t="str">
        <f t="shared" si="258"/>
        <v>0.793884524279288-0.128193146910575i</v>
      </c>
    </row>
    <row r="482" spans="7:44">
      <c r="G482" s="585">
        <v>57879</v>
      </c>
      <c r="H482" s="573">
        <f t="shared" si="250"/>
        <v>57.878999999999998</v>
      </c>
      <c r="I482" s="574">
        <f t="shared" si="230"/>
        <v>399.77674554469047</v>
      </c>
      <c r="J482" s="575">
        <f t="shared" si="231"/>
        <v>1.5682949280667868</v>
      </c>
      <c r="K482" s="575">
        <f t="shared" si="232"/>
        <v>1.0499599215506639</v>
      </c>
      <c r="L482" s="576">
        <f t="shared" si="233"/>
        <v>0.30972539008266414</v>
      </c>
      <c r="M482" s="575">
        <f t="shared" si="234"/>
        <v>1.0762457452506873</v>
      </c>
      <c r="N482" s="576">
        <f t="shared" si="235"/>
        <v>-0.37867356083495352</v>
      </c>
      <c r="O482" s="574">
        <f t="shared" si="236"/>
        <v>1090993.4459365583</v>
      </c>
      <c r="P482" s="577">
        <f t="shared" si="237"/>
        <v>1.5707954101991062</v>
      </c>
      <c r="Q482" s="586">
        <f t="shared" si="259"/>
        <v>146.1965418489786</v>
      </c>
      <c r="R482" s="587">
        <f t="shared" si="260"/>
        <v>1.5639561663823383</v>
      </c>
      <c r="S482" s="574">
        <f t="shared" si="238"/>
        <v>2.4101444958622364</v>
      </c>
      <c r="T482" s="577">
        <f t="shared" si="239"/>
        <v>1.1429492740476126</v>
      </c>
      <c r="U482" s="578">
        <f t="shared" si="251"/>
        <v>0.70790429196598914</v>
      </c>
      <c r="V482" s="579">
        <f t="shared" si="252"/>
        <v>-1.0180179162558023</v>
      </c>
      <c r="W482" s="580">
        <f t="shared" si="240"/>
        <v>-31.686163862448037</v>
      </c>
      <c r="X482" s="581">
        <f t="shared" si="241"/>
        <v>-218.01327932476116</v>
      </c>
      <c r="Y482" s="584">
        <f t="shared" si="242"/>
        <v>-38.013279324761157</v>
      </c>
      <c r="AA482" s="147">
        <f t="shared" si="243"/>
        <v>57879</v>
      </c>
      <c r="AB482" s="147">
        <f t="shared" si="244"/>
        <v>3349978641</v>
      </c>
      <c r="AD482" s="583">
        <f t="shared" si="245"/>
        <v>20.006887653811852</v>
      </c>
      <c r="AE482" s="584">
        <f t="shared" si="246"/>
        <v>-65.878029481507895</v>
      </c>
      <c r="AG482" s="583">
        <f t="shared" si="247"/>
        <v>13.595159541203149</v>
      </c>
      <c r="AH482" s="584">
        <f t="shared" si="248"/>
        <v>-35.478989569634145</v>
      </c>
      <c r="AJ482" s="147">
        <f t="shared" si="249"/>
        <v>0</v>
      </c>
      <c r="AK482" s="147">
        <f t="shared" si="261"/>
        <v>0</v>
      </c>
      <c r="AM482" s="147" t="str">
        <f t="shared" si="253"/>
        <v>1.14548051422824+0.989361117074998i</v>
      </c>
      <c r="AN482" s="147" t="str">
        <f t="shared" si="254"/>
        <v>1.71679496331179i</v>
      </c>
      <c r="AO482" s="147" t="str">
        <f t="shared" si="255"/>
        <v>0.576283795221805-0.667220337144132i</v>
      </c>
      <c r="AP482" s="147" t="str">
        <f t="shared" si="256"/>
        <v>-0.024246752371373-0.1648935195125i</v>
      </c>
      <c r="AQ482" s="147" t="str">
        <f t="shared" si="257"/>
        <v>1.02424675237137+0.1648935195125i</v>
      </c>
      <c r="AR482" s="147" t="str">
        <f t="shared" si="258"/>
        <v>0.792734655826967-0.127622379213016i</v>
      </c>
    </row>
    <row r="483" spans="7:44">
      <c r="G483" s="585">
        <v>58214</v>
      </c>
      <c r="H483" s="573">
        <f t="shared" si="250"/>
        <v>58.213999999999999</v>
      </c>
      <c r="I483" s="574">
        <f t="shared" si="230"/>
        <v>402.09061368686389</v>
      </c>
      <c r="J483" s="575">
        <f t="shared" si="231"/>
        <v>1.5683093226300979</v>
      </c>
      <c r="K483" s="575">
        <f t="shared" si="232"/>
        <v>1.0505259733192291</v>
      </c>
      <c r="L483" s="576">
        <f t="shared" si="233"/>
        <v>0.31140468910444058</v>
      </c>
      <c r="M483" s="575">
        <f t="shared" si="234"/>
        <v>1.0770992178122716</v>
      </c>
      <c r="N483" s="576">
        <f t="shared" si="235"/>
        <v>-0.38066013187548131</v>
      </c>
      <c r="O483" s="574">
        <f t="shared" si="236"/>
        <v>1097308.0471630557</v>
      </c>
      <c r="P483" s="577">
        <f t="shared" si="237"/>
        <v>1.5707954154737753</v>
      </c>
      <c r="Q483" s="586">
        <f t="shared" si="259"/>
        <v>147.04267873241497</v>
      </c>
      <c r="R483" s="587">
        <f t="shared" si="260"/>
        <v>1.5639955277538282</v>
      </c>
      <c r="S483" s="574">
        <f t="shared" si="238"/>
        <v>2.4216984965063149</v>
      </c>
      <c r="T483" s="577">
        <f t="shared" si="239"/>
        <v>1.1451238730100626</v>
      </c>
      <c r="U483" s="578">
        <f t="shared" si="251"/>
        <v>0.7057693142058139</v>
      </c>
      <c r="V483" s="579">
        <f t="shared" si="252"/>
        <v>-1.0224991336701201</v>
      </c>
      <c r="W483" s="580">
        <f t="shared" si="240"/>
        <v>-31.792502919106216</v>
      </c>
      <c r="X483" s="581">
        <f t="shared" si="241"/>
        <v>-218.41080471213488</v>
      </c>
      <c r="Y483" s="584">
        <f t="shared" si="242"/>
        <v>-38.410804712134876</v>
      </c>
      <c r="AA483" s="147">
        <f t="shared" si="243"/>
        <v>58214</v>
      </c>
      <c r="AB483" s="147">
        <f t="shared" si="244"/>
        <v>3388869796</v>
      </c>
      <c r="AD483" s="583">
        <f t="shared" si="245"/>
        <v>19.965345492964182</v>
      </c>
      <c r="AE483" s="584">
        <f t="shared" si="246"/>
        <v>-66.000369886083661</v>
      </c>
      <c r="AG483" s="583">
        <f t="shared" si="247"/>
        <v>13.582833584150292</v>
      </c>
      <c r="AH483" s="584">
        <f t="shared" si="248"/>
        <v>-35.240664862003456</v>
      </c>
      <c r="AJ483" s="147">
        <f t="shared" si="249"/>
        <v>0</v>
      </c>
      <c r="AK483" s="147">
        <f t="shared" si="261"/>
        <v>0</v>
      </c>
      <c r="AM483" s="147" t="str">
        <f t="shared" si="253"/>
        <v>1.15530415580177+0.98786670112455i</v>
      </c>
      <c r="AN483" s="147" t="str">
        <f t="shared" si="254"/>
        <v>1.72673166423456i</v>
      </c>
      <c r="AO483" s="147" t="str">
        <f t="shared" si="255"/>
        <v>0.572102036226028-0.669069884876353i</v>
      </c>
      <c r="AP483" s="147" t="str">
        <f t="shared" si="256"/>
        <v>-0.0258840259669612-0.164644450187425i</v>
      </c>
      <c r="AQ483" s="147" t="str">
        <f t="shared" si="257"/>
        <v>1.02588402596696+0.164644450187425i</v>
      </c>
      <c r="AR483" s="147" t="str">
        <f t="shared" si="258"/>
        <v>0.791593436898085-0.127043079813251i</v>
      </c>
    </row>
    <row r="484" spans="7:44">
      <c r="G484" s="585">
        <v>58549</v>
      </c>
      <c r="H484" s="573">
        <f t="shared" si="250"/>
        <v>58.548999999999999</v>
      </c>
      <c r="I484" s="574">
        <f t="shared" si="230"/>
        <v>404.40448191139842</v>
      </c>
      <c r="J484" s="575">
        <f t="shared" si="231"/>
        <v>1.5683235524715844</v>
      </c>
      <c r="K484" s="575">
        <f t="shared" si="232"/>
        <v>1.0510949844228024</v>
      </c>
      <c r="L484" s="576">
        <f t="shared" si="233"/>
        <v>0.31308217467282989</v>
      </c>
      <c r="M484" s="575">
        <f t="shared" si="234"/>
        <v>1.0779569343668658</v>
      </c>
      <c r="N484" s="576">
        <f t="shared" si="235"/>
        <v>-0.38264354935477124</v>
      </c>
      <c r="O484" s="574">
        <f t="shared" si="236"/>
        <v>1103622.6483895532</v>
      </c>
      <c r="P484" s="577">
        <f t="shared" si="237"/>
        <v>1.5707954206880843</v>
      </c>
      <c r="Q484" s="586">
        <f t="shared" si="259"/>
        <v>147.88881584106031</v>
      </c>
      <c r="R484" s="587">
        <f t="shared" si="260"/>
        <v>1.5640344387178624</v>
      </c>
      <c r="S484" s="574">
        <f t="shared" si="238"/>
        <v>2.433263840286537</v>
      </c>
      <c r="T484" s="577">
        <f t="shared" si="239"/>
        <v>1.147277810267157</v>
      </c>
      <c r="U484" s="578">
        <f t="shared" si="251"/>
        <v>0.70363890639967952</v>
      </c>
      <c r="V484" s="579">
        <f t="shared" si="252"/>
        <v>-1.0269667893774133</v>
      </c>
      <c r="W484" s="580">
        <f t="shared" si="240"/>
        <v>-31.898369464901318</v>
      </c>
      <c r="X484" s="581">
        <f t="shared" si="241"/>
        <v>-218.80630882501495</v>
      </c>
      <c r="Y484" s="584">
        <f t="shared" si="242"/>
        <v>-38.806308825014952</v>
      </c>
      <c r="AA484" s="147">
        <f t="shared" si="243"/>
        <v>58549</v>
      </c>
      <c r="AB484" s="147">
        <f t="shared" si="244"/>
        <v>3427985401</v>
      </c>
      <c r="AD484" s="583">
        <f t="shared" si="245"/>
        <v>19.923960597896887</v>
      </c>
      <c r="AE484" s="584">
        <f t="shared" si="246"/>
        <v>-66.121552265131555</v>
      </c>
      <c r="AG484" s="583">
        <f t="shared" si="247"/>
        <v>13.570869013742508</v>
      </c>
      <c r="AH484" s="584">
        <f t="shared" si="248"/>
        <v>-35.003030962559784</v>
      </c>
      <c r="AJ484" s="147">
        <f t="shared" si="249"/>
        <v>0</v>
      </c>
      <c r="AK484" s="147">
        <f t="shared" si="261"/>
        <v>0</v>
      </c>
      <c r="AM484" s="147" t="str">
        <f t="shared" si="253"/>
        <v>1.16511246307583+0.986274745969415i</v>
      </c>
      <c r="AN484" s="147" t="str">
        <f t="shared" si="254"/>
        <v>1.73666836515734i</v>
      </c>
      <c r="AO484" s="147" t="str">
        <f t="shared" si="255"/>
        <v>0.567911966243515-0.67088943775991i</v>
      </c>
      <c r="AP484" s="147" t="str">
        <f t="shared" si="256"/>
        <v>-0.027518743845971-0.164379124328236i</v>
      </c>
      <c r="AQ484" s="147" t="str">
        <f t="shared" si="257"/>
        <v>1.02751874384597+0.164379124328236i</v>
      </c>
      <c r="AR484" s="147" t="str">
        <f t="shared" si="258"/>
        <v>0.790460885543943-0.126455375105949i</v>
      </c>
    </row>
    <row r="485" spans="7:44">
      <c r="G485" s="585">
        <v>58884</v>
      </c>
      <c r="H485" s="573">
        <f t="shared" si="250"/>
        <v>58.884</v>
      </c>
      <c r="I485" s="574">
        <f t="shared" si="230"/>
        <v>406.71835021688844</v>
      </c>
      <c r="J485" s="575">
        <f t="shared" si="231"/>
        <v>1.5683376204026058</v>
      </c>
      <c r="K485" s="575">
        <f t="shared" si="232"/>
        <v>1.0516669500578826</v>
      </c>
      <c r="L485" s="576">
        <f t="shared" si="233"/>
        <v>0.31475784029831311</v>
      </c>
      <c r="M485" s="575">
        <f t="shared" si="234"/>
        <v>1.0788188847918914</v>
      </c>
      <c r="N485" s="576">
        <f t="shared" si="235"/>
        <v>-0.38462380520790135</v>
      </c>
      <c r="O485" s="574">
        <f t="shared" si="236"/>
        <v>1109937.2496160506</v>
      </c>
      <c r="P485" s="577">
        <f t="shared" si="237"/>
        <v>1.5707954258430632</v>
      </c>
      <c r="Q485" s="586">
        <f t="shared" si="259"/>
        <v>148.73495317107097</v>
      </c>
      <c r="R485" s="587">
        <f t="shared" si="260"/>
        <v>1.564072906961282</v>
      </c>
      <c r="S485" s="574">
        <f t="shared" si="238"/>
        <v>2.4448403662264231</v>
      </c>
      <c r="T485" s="577">
        <f t="shared" si="239"/>
        <v>1.1494113591945785</v>
      </c>
      <c r="U485" s="578">
        <f t="shared" si="251"/>
        <v>0.70151312314298087</v>
      </c>
      <c r="V485" s="579">
        <f t="shared" si="252"/>
        <v>-1.0314209868717408</v>
      </c>
      <c r="W485" s="580">
        <f t="shared" si="240"/>
        <v>-32.00376703379662</v>
      </c>
      <c r="X485" s="581">
        <f t="shared" si="241"/>
        <v>-219.19981288689763</v>
      </c>
      <c r="Y485" s="584">
        <f t="shared" si="242"/>
        <v>-39.199812886897632</v>
      </c>
      <c r="AA485" s="147">
        <f t="shared" si="243"/>
        <v>58884</v>
      </c>
      <c r="AB485" s="147">
        <f t="shared" si="244"/>
        <v>3467325456</v>
      </c>
      <c r="AD485" s="583">
        <f t="shared" si="245"/>
        <v>19.88273224101431</v>
      </c>
      <c r="AE485" s="584">
        <f t="shared" si="246"/>
        <v>-66.241591841559952</v>
      </c>
      <c r="AG485" s="583">
        <f t="shared" si="247"/>
        <v>13.559261609877097</v>
      </c>
      <c r="AH485" s="584">
        <f t="shared" si="248"/>
        <v>-34.766082012345422</v>
      </c>
      <c r="AJ485" s="147">
        <f t="shared" si="249"/>
        <v>0</v>
      </c>
      <c r="AK485" s="147">
        <f t="shared" si="261"/>
        <v>0</v>
      </c>
      <c r="AM485" s="147" t="str">
        <f t="shared" si="253"/>
        <v>1.17490446760548+0.98458540879481i</v>
      </c>
      <c r="AN485" s="147" t="str">
        <f t="shared" si="254"/>
        <v>1.74660506608012i</v>
      </c>
      <c r="AO485" s="147" t="str">
        <f t="shared" si="255"/>
        <v>0.563713817116368-0.672678953257762i</v>
      </c>
      <c r="AP485" s="147" t="str">
        <f t="shared" si="256"/>
        <v>-0.0291507446009137-0.164097568132468i</v>
      </c>
      <c r="AQ485" s="147" t="str">
        <f t="shared" si="257"/>
        <v>1.02915074460091+0.164097568132468i</v>
      </c>
      <c r="AR485" s="147" t="str">
        <f t="shared" si="258"/>
        <v>0.789337018316051-0.125859390203159i</v>
      </c>
    </row>
    <row r="486" spans="7:44">
      <c r="G486" s="585">
        <v>59227</v>
      </c>
      <c r="H486" s="573">
        <f t="shared" si="250"/>
        <v>59.226999999999997</v>
      </c>
      <c r="I486" s="574">
        <f t="shared" si="230"/>
        <v>409.08747516137134</v>
      </c>
      <c r="J486" s="575">
        <f t="shared" si="231"/>
        <v>1.5683518593970383</v>
      </c>
      <c r="K486" s="575">
        <f t="shared" si="232"/>
        <v>1.0522556307499753</v>
      </c>
      <c r="L486" s="576">
        <f t="shared" si="233"/>
        <v>0.31647162944587998</v>
      </c>
      <c r="M486" s="575">
        <f t="shared" si="234"/>
        <v>1.0797057952563767</v>
      </c>
      <c r="N486" s="576">
        <f t="shared" si="235"/>
        <v>-0.38664806668165458</v>
      </c>
      <c r="O486" s="574">
        <f t="shared" si="236"/>
        <v>1116402.6472897478</v>
      </c>
      <c r="P486" s="577">
        <f t="shared" si="237"/>
        <v>1.5707954310607255</v>
      </c>
      <c r="Q486" s="586">
        <f t="shared" si="259"/>
        <v>149.60129699111422</v>
      </c>
      <c r="R486" s="587">
        <f t="shared" si="260"/>
        <v>1.5641118429889027</v>
      </c>
      <c r="S486" s="574">
        <f t="shared" si="238"/>
        <v>2.456704767329664</v>
      </c>
      <c r="T486" s="577">
        <f t="shared" si="239"/>
        <v>1.1515750149426105</v>
      </c>
      <c r="U486" s="578">
        <f t="shared" si="251"/>
        <v>0.69934142149066691</v>
      </c>
      <c r="V486" s="579">
        <f t="shared" si="252"/>
        <v>-1.0359677174083179</v>
      </c>
      <c r="W486" s="580">
        <f t="shared" si="240"/>
        <v>-32.111199301955857</v>
      </c>
      <c r="X486" s="581">
        <f t="shared" si="241"/>
        <v>-219.60066371749417</v>
      </c>
      <c r="Y486" s="584">
        <f t="shared" si="242"/>
        <v>-39.600663717494172</v>
      </c>
      <c r="AA486" s="147">
        <f t="shared" si="243"/>
        <v>59227</v>
      </c>
      <c r="AB486" s="147">
        <f t="shared" si="244"/>
        <v>3507837529</v>
      </c>
      <c r="AD486" s="583">
        <f t="shared" si="245"/>
        <v>19.840680751688147</v>
      </c>
      <c r="AE486" s="584">
        <f t="shared" si="246"/>
        <v>-66.363329613276889</v>
      </c>
      <c r="AG486" s="583">
        <f t="shared" si="247"/>
        <v>13.547742742868003</v>
      </c>
      <c r="AH486" s="584">
        <f t="shared" si="248"/>
        <v>-34.524178129971453</v>
      </c>
      <c r="AJ486" s="147">
        <f t="shared" si="249"/>
        <v>0</v>
      </c>
      <c r="AK486" s="147">
        <f t="shared" si="261"/>
        <v>0</v>
      </c>
      <c r="AM486" s="147" t="str">
        <f t="shared" si="253"/>
        <v>1.18491240996999+0.982755005400171i</v>
      </c>
      <c r="AN486" s="147" t="str">
        <f t="shared" si="254"/>
        <v>1.75677906135329i</v>
      </c>
      <c r="AO486" s="147" t="str">
        <f t="shared" si="255"/>
        <v>0.55940728519563-0.674480039087683i</v>
      </c>
      <c r="AP486" s="147" t="str">
        <f t="shared" si="256"/>
        <v>-0.0308187349949987-0.163792500900029i</v>
      </c>
      <c r="AQ486" s="147" t="str">
        <f t="shared" si="257"/>
        <v>1.030818734995+0.163792500900029i</v>
      </c>
      <c r="AR486" s="147" t="str">
        <f t="shared" si="258"/>
        <v>0.788195325896404-0.125240722974356i</v>
      </c>
    </row>
    <row r="487" spans="7:44">
      <c r="G487" s="585">
        <v>59570</v>
      </c>
      <c r="H487" s="573">
        <f t="shared" si="250"/>
        <v>59.57</v>
      </c>
      <c r="I487" s="574">
        <f t="shared" si="230"/>
        <v>411.4566001878411</v>
      </c>
      <c r="J487" s="575">
        <f t="shared" si="231"/>
        <v>1.568365934418126</v>
      </c>
      <c r="K487" s="575">
        <f t="shared" si="232"/>
        <v>1.0528473985325808</v>
      </c>
      <c r="L487" s="576">
        <f t="shared" si="233"/>
        <v>0.31818349709773402</v>
      </c>
      <c r="M487" s="575">
        <f t="shared" si="234"/>
        <v>1.0805971226875539</v>
      </c>
      <c r="N487" s="576">
        <f t="shared" si="235"/>
        <v>-0.38866899701256802</v>
      </c>
      <c r="O487" s="574">
        <f t="shared" si="236"/>
        <v>1122868.0449634453</v>
      </c>
      <c r="P487" s="577">
        <f t="shared" si="237"/>
        <v>1.5707954362183016</v>
      </c>
      <c r="Q487" s="586">
        <f t="shared" si="259"/>
        <v>150.46764103534349</v>
      </c>
      <c r="R487" s="587">
        <f t="shared" si="260"/>
        <v>1.5641503306544564</v>
      </c>
      <c r="S487" s="574">
        <f t="shared" si="238"/>
        <v>2.4685805586848328</v>
      </c>
      <c r="T487" s="577">
        <f t="shared" si="239"/>
        <v>1.1537178629099551</v>
      </c>
      <c r="U487" s="578">
        <f t="shared" si="251"/>
        <v>0.69717467776680642</v>
      </c>
      <c r="V487" s="579">
        <f t="shared" si="252"/>
        <v>-1.0405005594469325</v>
      </c>
      <c r="W487" s="580">
        <f t="shared" si="240"/>
        <v>-32.218147307890334</v>
      </c>
      <c r="X487" s="581">
        <f t="shared" si="241"/>
        <v>-219.99946212175686</v>
      </c>
      <c r="Y487" s="584">
        <f t="shared" si="242"/>
        <v>-39.999462121756864</v>
      </c>
      <c r="AA487" s="147">
        <f t="shared" si="243"/>
        <v>59570</v>
      </c>
      <c r="AB487" s="147">
        <f t="shared" si="244"/>
        <v>3548584900</v>
      </c>
      <c r="AD487" s="583">
        <f t="shared" si="245"/>
        <v>19.798791807815672</v>
      </c>
      <c r="AE487" s="584">
        <f t="shared" si="246"/>
        <v>-66.483900872789491</v>
      </c>
      <c r="AG487" s="583">
        <f t="shared" si="247"/>
        <v>13.536589574110296</v>
      </c>
      <c r="AH487" s="584">
        <f t="shared" si="248"/>
        <v>-34.282979838103749</v>
      </c>
      <c r="AJ487" s="147">
        <f t="shared" si="249"/>
        <v>0</v>
      </c>
      <c r="AK487" s="147">
        <f t="shared" si="261"/>
        <v>0</v>
      </c>
      <c r="AM487" s="147" t="str">
        <f t="shared" si="253"/>
        <v>1.1949012121828+0.980822877735668i</v>
      </c>
      <c r="AN487" s="147" t="str">
        <f t="shared" si="254"/>
        <v>1.76695305662646i</v>
      </c>
      <c r="AO487" s="147" t="str">
        <f t="shared" si="255"/>
        <v>0.555092776266674-0.676249551566557i</v>
      </c>
      <c r="AP487" s="147" t="str">
        <f t="shared" si="256"/>
        <v>-0.0324835353637993-0.163470479622611i</v>
      </c>
      <c r="AQ487" s="147" t="str">
        <f t="shared" si="257"/>
        <v>1.0324835353638+0.163470479622611i</v>
      </c>
      <c r="AR487" s="147" t="str">
        <f t="shared" si="258"/>
        <v>0.787062767794702-0.124613636670889i</v>
      </c>
    </row>
    <row r="488" spans="7:44">
      <c r="G488" s="585">
        <v>59913</v>
      </c>
      <c r="H488" s="573">
        <f t="shared" si="250"/>
        <v>59.912999999999997</v>
      </c>
      <c r="I488" s="574">
        <f t="shared" si="230"/>
        <v>413.82572529488971</v>
      </c>
      <c r="J488" s="575">
        <f t="shared" si="231"/>
        <v>1.568379848282073</v>
      </c>
      <c r="K488" s="575">
        <f t="shared" si="232"/>
        <v>1.0534422482032095</v>
      </c>
      <c r="L488" s="576">
        <f t="shared" si="233"/>
        <v>0.31989343646731383</v>
      </c>
      <c r="M488" s="575">
        <f t="shared" si="234"/>
        <v>1.0814928561645092</v>
      </c>
      <c r="N488" s="576">
        <f t="shared" si="235"/>
        <v>-0.39068658794972005</v>
      </c>
      <c r="O488" s="574">
        <f t="shared" si="236"/>
        <v>1129333.442637143</v>
      </c>
      <c r="P488" s="577">
        <f t="shared" si="237"/>
        <v>1.5707954413168241</v>
      </c>
      <c r="Q488" s="586">
        <f t="shared" si="259"/>
        <v>151.33398529990862</v>
      </c>
      <c r="R488" s="587">
        <f t="shared" si="260"/>
        <v>1.5641883776580658</v>
      </c>
      <c r="S488" s="574">
        <f t="shared" si="238"/>
        <v>2.4804675766918254</v>
      </c>
      <c r="T488" s="577">
        <f t="shared" si="239"/>
        <v>1.1558401824232936</v>
      </c>
      <c r="U488" s="578">
        <f t="shared" si="251"/>
        <v>0.69501294458721885</v>
      </c>
      <c r="V488" s="579">
        <f t="shared" si="252"/>
        <v>-1.0450196246330026</v>
      </c>
      <c r="W488" s="580">
        <f t="shared" si="240"/>
        <v>-32.324614727720316</v>
      </c>
      <c r="X488" s="581">
        <f t="shared" si="241"/>
        <v>-220.39623013706628</v>
      </c>
      <c r="Y488" s="584">
        <f t="shared" si="242"/>
        <v>-40.396230137066283</v>
      </c>
      <c r="AA488" s="147">
        <f t="shared" si="243"/>
        <v>59913</v>
      </c>
      <c r="AB488" s="147">
        <f t="shared" si="244"/>
        <v>3589567569</v>
      </c>
      <c r="AD488" s="583">
        <f t="shared" si="245"/>
        <v>19.757064614375761</v>
      </c>
      <c r="AE488" s="584">
        <f t="shared" si="246"/>
        <v>-66.603321183212373</v>
      </c>
      <c r="AG488" s="583">
        <f t="shared" si="247"/>
        <v>13.525797797236304</v>
      </c>
      <c r="AH488" s="584">
        <f t="shared" si="248"/>
        <v>-34.042480817385979</v>
      </c>
      <c r="AJ488" s="147">
        <f t="shared" si="249"/>
        <v>0</v>
      </c>
      <c r="AK488" s="147">
        <f t="shared" si="261"/>
        <v>0</v>
      </c>
      <c r="AM488" s="147" t="str">
        <f t="shared" si="253"/>
        <v>1.20486984031011+0.978789225794456i</v>
      </c>
      <c r="AN488" s="147" t="str">
        <f t="shared" si="254"/>
        <v>1.77712705189964i</v>
      </c>
      <c r="AO488" s="147" t="str">
        <f t="shared" si="255"/>
        <v>0.550770539871187-0.677987451162919i</v>
      </c>
      <c r="AP488" s="147" t="str">
        <f t="shared" si="256"/>
        <v>-0.0341449733850182-0.163131537632409i</v>
      </c>
      <c r="AQ488" s="147" t="str">
        <f t="shared" si="257"/>
        <v>1.03414497338502+0.163131537632409i</v>
      </c>
      <c r="AR488" s="147" t="str">
        <f t="shared" si="258"/>
        <v>0.785939357155243-0.123978261383308i</v>
      </c>
    </row>
    <row r="489" spans="7:44">
      <c r="G489" s="585">
        <v>60256</v>
      </c>
      <c r="H489" s="573">
        <f t="shared" si="250"/>
        <v>60.256</v>
      </c>
      <c r="I489" s="574">
        <f t="shared" si="230"/>
        <v>416.19485048114115</v>
      </c>
      <c r="J489" s="575">
        <f t="shared" si="231"/>
        <v>1.5683936037409609</v>
      </c>
      <c r="K489" s="575">
        <f t="shared" si="232"/>
        <v>1.0540401745440524</v>
      </c>
      <c r="L489" s="576">
        <f t="shared" si="233"/>
        <v>0.32160144082844244</v>
      </c>
      <c r="M489" s="575">
        <f t="shared" si="234"/>
        <v>1.0823929847485829</v>
      </c>
      <c r="N489" s="576">
        <f t="shared" si="235"/>
        <v>-0.39270083137818168</v>
      </c>
      <c r="O489" s="574">
        <f t="shared" si="236"/>
        <v>1135798.8403108404</v>
      </c>
      <c r="P489" s="577">
        <f t="shared" si="237"/>
        <v>1.5707954463573011</v>
      </c>
      <c r="Q489" s="586">
        <f t="shared" si="259"/>
        <v>152.20032978104706</v>
      </c>
      <c r="R489" s="587">
        <f t="shared" si="260"/>
        <v>1.5642259915245389</v>
      </c>
      <c r="S489" s="574">
        <f t="shared" si="238"/>
        <v>2.4923656607184235</v>
      </c>
      <c r="T489" s="577">
        <f t="shared" si="239"/>
        <v>1.1579422482227899</v>
      </c>
      <c r="U489" s="578">
        <f t="shared" si="251"/>
        <v>0.69285627261795391</v>
      </c>
      <c r="V489" s="579">
        <f t="shared" si="252"/>
        <v>-1.049525024763464</v>
      </c>
      <c r="W489" s="580">
        <f t="shared" si="240"/>
        <v>-32.430605199604258</v>
      </c>
      <c r="X489" s="581">
        <f t="shared" si="241"/>
        <v>-220.79098955739815</v>
      </c>
      <c r="Y489" s="584">
        <f t="shared" si="242"/>
        <v>-40.790989557398149</v>
      </c>
      <c r="AA489" s="147">
        <f t="shared" si="243"/>
        <v>60256</v>
      </c>
      <c r="AB489" s="147">
        <f t="shared" si="244"/>
        <v>3630785536</v>
      </c>
      <c r="AD489" s="583">
        <f t="shared" si="245"/>
        <v>19.715498372472577</v>
      </c>
      <c r="AE489" s="584">
        <f t="shared" si="246"/>
        <v>-66.721605854915452</v>
      </c>
      <c r="AG489" s="583">
        <f t="shared" si="247"/>
        <v>13.515363178254898</v>
      </c>
      <c r="AH489" s="584">
        <f t="shared" si="248"/>
        <v>-33.802674740438583</v>
      </c>
      <c r="AJ489" s="147">
        <f t="shared" si="249"/>
        <v>0</v>
      </c>
      <c r="AK489" s="147">
        <f t="shared" si="261"/>
        <v>0</v>
      </c>
      <c r="AM489" s="147" t="str">
        <f t="shared" si="253"/>
        <v>1.21481726250632+0.976654260078401i</v>
      </c>
      <c r="AN489" s="147" t="str">
        <f t="shared" si="254"/>
        <v>1.78730104717281i</v>
      </c>
      <c r="AO489" s="147" t="str">
        <f t="shared" si="255"/>
        <v>0.546440825748574-0.679693700413785i</v>
      </c>
      <c r="AP489" s="147" t="str">
        <f t="shared" si="256"/>
        <v>-0.0358028770843872-0.162775710013067i</v>
      </c>
      <c r="AQ489" s="147" t="str">
        <f t="shared" si="257"/>
        <v>1.03580287708439+0.162775710013067i</v>
      </c>
      <c r="AR489" s="147" t="str">
        <f t="shared" si="258"/>
        <v>0.784825105651336-0.123334725781099i</v>
      </c>
    </row>
    <row r="490" spans="7:44">
      <c r="G490" s="585">
        <v>60607</v>
      </c>
      <c r="H490" s="573">
        <f t="shared" si="250"/>
        <v>60.606999999999999</v>
      </c>
      <c r="I490" s="574">
        <f t="shared" si="230"/>
        <v>418.61923231209556</v>
      </c>
      <c r="J490" s="575">
        <f t="shared" si="231"/>
        <v>1.5684075188427518</v>
      </c>
      <c r="K490" s="575">
        <f t="shared" si="232"/>
        <v>1.0546552263747846</v>
      </c>
      <c r="L490" s="576">
        <f t="shared" si="233"/>
        <v>0.32334727184002321</v>
      </c>
      <c r="M490" s="575">
        <f t="shared" si="234"/>
        <v>1.0833186462221498</v>
      </c>
      <c r="N490" s="576">
        <f t="shared" si="235"/>
        <v>-0.3947585803878978</v>
      </c>
      <c r="O490" s="574">
        <f t="shared" si="236"/>
        <v>1142415.0344317378</v>
      </c>
      <c r="P490" s="577">
        <f t="shared" si="237"/>
        <v>1.5707954514562763</v>
      </c>
      <c r="Q490" s="586">
        <f t="shared" si="259"/>
        <v>153.08688076783287</v>
      </c>
      <c r="R490" s="587">
        <f t="shared" si="260"/>
        <v>1.564264041945858</v>
      </c>
      <c r="S490" s="574">
        <f t="shared" si="238"/>
        <v>2.5045525427160737</v>
      </c>
      <c r="T490" s="577">
        <f t="shared" si="239"/>
        <v>1.1600726559018217</v>
      </c>
      <c r="U490" s="578">
        <f t="shared" si="251"/>
        <v>0.69065458976737315</v>
      </c>
      <c r="V490" s="579">
        <f t="shared" si="252"/>
        <v>-1.0541214770412848</v>
      </c>
      <c r="W490" s="580">
        <f t="shared" si="240"/>
        <v>-32.538577745225069</v>
      </c>
      <c r="X490" s="581">
        <f t="shared" si="241"/>
        <v>-221.19289926781153</v>
      </c>
      <c r="Y490" s="584">
        <f t="shared" si="242"/>
        <v>-41.192899267811526</v>
      </c>
      <c r="AA490" s="147">
        <f t="shared" si="243"/>
        <v>60607</v>
      </c>
      <c r="AB490" s="147">
        <f t="shared" si="244"/>
        <v>3673208449</v>
      </c>
      <c r="AD490" s="583">
        <f t="shared" si="245"/>
        <v>19.673128444680231</v>
      </c>
      <c r="AE490" s="584">
        <f t="shared" si="246"/>
        <v>-66.841489387302701</v>
      </c>
      <c r="AG490" s="583">
        <f t="shared" si="247"/>
        <v>13.505050593692996</v>
      </c>
      <c r="AH490" s="584">
        <f t="shared" si="248"/>
        <v>-33.557986285357991</v>
      </c>
      <c r="AJ490" s="147">
        <f t="shared" si="249"/>
        <v>0</v>
      </c>
      <c r="AK490" s="147">
        <f t="shared" si="261"/>
        <v>0</v>
      </c>
      <c r="AM490" s="147" t="str">
        <f t="shared" si="253"/>
        <v>1.22497366672539+0.974364844029244i</v>
      </c>
      <c r="AN490" s="147" t="str">
        <f t="shared" si="254"/>
        <v>1.79771233679638i</v>
      </c>
      <c r="AO490" s="147" t="str">
        <f t="shared" si="255"/>
        <v>0.542002646410946-0.681406942396779i</v>
      </c>
      <c r="AP490" s="147" t="str">
        <f t="shared" si="256"/>
        <v>-0.0374956111208987-0.162394140671541i</v>
      </c>
      <c r="AQ490" s="147" t="str">
        <f t="shared" si="257"/>
        <v>1.0374956111209+0.162394140671541i</v>
      </c>
      <c r="AR490" s="147" t="str">
        <f t="shared" si="258"/>
        <v>0.783694358517846-0.122667865325369i</v>
      </c>
    </row>
    <row r="491" spans="7:44">
      <c r="G491" s="585">
        <v>60958</v>
      </c>
      <c r="H491" s="573">
        <f t="shared" si="250"/>
        <v>60.957999999999998</v>
      </c>
      <c r="I491" s="574">
        <f t="shared" si="230"/>
        <v>421.0436142231739</v>
      </c>
      <c r="J491" s="575">
        <f t="shared" si="231"/>
        <v>1.5684212736973884</v>
      </c>
      <c r="K491" s="575">
        <f t="shared" si="232"/>
        <v>1.0552734889637392</v>
      </c>
      <c r="L491" s="576">
        <f t="shared" si="233"/>
        <v>0.32509106246987624</v>
      </c>
      <c r="M491" s="575">
        <f t="shared" si="234"/>
        <v>1.0842488869817213</v>
      </c>
      <c r="N491" s="576">
        <f t="shared" si="235"/>
        <v>-0.39681280715617584</v>
      </c>
      <c r="O491" s="574">
        <f t="shared" si="236"/>
        <v>1149031.2285526353</v>
      </c>
      <c r="P491" s="577">
        <f t="shared" si="237"/>
        <v>1.5707954564965312</v>
      </c>
      <c r="Q491" s="586">
        <f t="shared" si="259"/>
        <v>153.97343197371075</v>
      </c>
      <c r="R491" s="587">
        <f t="shared" si="260"/>
        <v>1.5643016541923269</v>
      </c>
      <c r="S491" s="574">
        <f t="shared" si="238"/>
        <v>2.5167506818508385</v>
      </c>
      <c r="T491" s="577">
        <f t="shared" si="239"/>
        <v>1.1621824218406511</v>
      </c>
      <c r="U491" s="578">
        <f t="shared" si="251"/>
        <v>0.6884583082174256</v>
      </c>
      <c r="V491" s="579">
        <f t="shared" si="252"/>
        <v>-1.0587038566791649</v>
      </c>
      <c r="W491" s="580">
        <f t="shared" si="240"/>
        <v>-32.646058425132026</v>
      </c>
      <c r="X491" s="581">
        <f t="shared" si="241"/>
        <v>-221.59275100716428</v>
      </c>
      <c r="Y491" s="584">
        <f t="shared" si="242"/>
        <v>-41.592751007164281</v>
      </c>
      <c r="AA491" s="147">
        <f t="shared" si="243"/>
        <v>60958</v>
      </c>
      <c r="AB491" s="147">
        <f t="shared" si="244"/>
        <v>3715877764</v>
      </c>
      <c r="AD491" s="583">
        <f t="shared" si="245"/>
        <v>19.630925360518969</v>
      </c>
      <c r="AE491" s="584">
        <f t="shared" si="246"/>
        <v>-66.960215337298422</v>
      </c>
      <c r="AG491" s="583">
        <f t="shared" si="247"/>
        <v>13.495103276743203</v>
      </c>
      <c r="AH491" s="584">
        <f t="shared" si="248"/>
        <v>-33.314010047360583</v>
      </c>
      <c r="AJ491" s="147">
        <f t="shared" si="249"/>
        <v>0</v>
      </c>
      <c r="AK491" s="147">
        <f t="shared" si="261"/>
        <v>0</v>
      </c>
      <c r="AM491" s="147" t="str">
        <f t="shared" si="253"/>
        <v>1.23510568515501+0.971969812703972i</v>
      </c>
      <c r="AN491" s="147" t="str">
        <f t="shared" si="254"/>
        <v>1.80812362641994i</v>
      </c>
      <c r="AO491" s="147" t="str">
        <f t="shared" si="255"/>
        <v>0.537557166170357-0.683086967676266i</v>
      </c>
      <c r="AP491" s="147" t="str">
        <f t="shared" si="256"/>
        <v>-0.0391842808591677-0.161994968783995i</v>
      </c>
      <c r="AQ491" s="147" t="str">
        <f t="shared" si="257"/>
        <v>1.03918428085917+0.161994968783995i</v>
      </c>
      <c r="AR491" s="147" t="str">
        <f t="shared" si="258"/>
        <v>0.782573222951688-0.121992727525128i</v>
      </c>
    </row>
    <row r="492" spans="7:44">
      <c r="G492" s="585">
        <v>61309</v>
      </c>
      <c r="H492" s="573">
        <f t="shared" si="250"/>
        <v>61.308999999999997</v>
      </c>
      <c r="I492" s="574">
        <f t="shared" si="230"/>
        <v>423.46799621299982</v>
      </c>
      <c r="J492" s="575">
        <f t="shared" si="231"/>
        <v>1.5684348710571416</v>
      </c>
      <c r="K492" s="575">
        <f t="shared" si="232"/>
        <v>1.0558949566708902</v>
      </c>
      <c r="L492" s="576">
        <f t="shared" si="233"/>
        <v>0.32683280570642786</v>
      </c>
      <c r="M492" s="575">
        <f t="shared" si="234"/>
        <v>1.0851836952509362</v>
      </c>
      <c r="N492" s="576">
        <f t="shared" si="235"/>
        <v>-0.39886350342631705</v>
      </c>
      <c r="O492" s="574">
        <f t="shared" si="236"/>
        <v>1155647.4226735327</v>
      </c>
      <c r="P492" s="577">
        <f t="shared" si="237"/>
        <v>1.5707954614790742</v>
      </c>
      <c r="Q492" s="586">
        <f t="shared" si="259"/>
        <v>154.85998339491795</v>
      </c>
      <c r="R492" s="587">
        <f t="shared" si="260"/>
        <v>1.5643388357893044</v>
      </c>
      <c r="S492" s="574">
        <f t="shared" si="238"/>
        <v>2.5289599152303119</v>
      </c>
      <c r="T492" s="577">
        <f t="shared" si="239"/>
        <v>1.1642718260813072</v>
      </c>
      <c r="U492" s="578">
        <f t="shared" si="251"/>
        <v>0.68626747614464945</v>
      </c>
      <c r="V492" s="579">
        <f t="shared" si="252"/>
        <v>-1.0632722838592716</v>
      </c>
      <c r="W492" s="580">
        <f t="shared" si="240"/>
        <v>-32.7530510193601</v>
      </c>
      <c r="X492" s="581">
        <f t="shared" si="241"/>
        <v>-221.99056736185329</v>
      </c>
      <c r="Y492" s="584">
        <f t="shared" si="242"/>
        <v>-41.990567361853294</v>
      </c>
      <c r="AA492" s="147">
        <f t="shared" si="243"/>
        <v>61309</v>
      </c>
      <c r="AB492" s="147">
        <f t="shared" si="244"/>
        <v>3758793481</v>
      </c>
      <c r="AD492" s="583">
        <f t="shared" si="245"/>
        <v>19.588888253863988</v>
      </c>
      <c r="AE492" s="584">
        <f t="shared" si="246"/>
        <v>-67.077799319015426</v>
      </c>
      <c r="AG492" s="583">
        <f t="shared" si="247"/>
        <v>13.485516916383355</v>
      </c>
      <c r="AH492" s="584">
        <f t="shared" si="248"/>
        <v>-33.070739226868461</v>
      </c>
      <c r="AJ492" s="147">
        <f t="shared" si="249"/>
        <v>0</v>
      </c>
      <c r="AK492" s="147">
        <f t="shared" si="261"/>
        <v>0</v>
      </c>
      <c r="AM492" s="147" t="str">
        <f t="shared" si="253"/>
        <v>1.24521221954546+0.969469425709543i</v>
      </c>
      <c r="AN492" s="147" t="str">
        <f t="shared" si="254"/>
        <v>1.81853491604351i</v>
      </c>
      <c r="AO492" s="147" t="str">
        <f t="shared" si="255"/>
        <v>0.533104653178046-0.684733742838769i</v>
      </c>
      <c r="AP492" s="147" t="str">
        <f t="shared" si="256"/>
        <v>-0.040868703257576-0.161578237618257i</v>
      </c>
      <c r="AQ492" s="147" t="str">
        <f t="shared" si="257"/>
        <v>1.04086870325758+0.161578237618257i</v>
      </c>
      <c r="AR492" s="147" t="str">
        <f t="shared" si="258"/>
        <v>0.781461706958167-0.121309445640243i</v>
      </c>
    </row>
    <row r="493" spans="7:44">
      <c r="G493" s="585">
        <v>61660</v>
      </c>
      <c r="H493" s="573">
        <f t="shared" si="250"/>
        <v>61.66</v>
      </c>
      <c r="I493" s="574">
        <f t="shared" si="230"/>
        <v>425.89237828022863</v>
      </c>
      <c r="J493" s="575">
        <f t="shared" si="231"/>
        <v>1.5684483136116141</v>
      </c>
      <c r="K493" s="575">
        <f t="shared" si="232"/>
        <v>1.0565196238402781</v>
      </c>
      <c r="L493" s="576">
        <f t="shared" si="233"/>
        <v>0.32857249460424792</v>
      </c>
      <c r="M493" s="575">
        <f t="shared" si="234"/>
        <v>1.0861230592362532</v>
      </c>
      <c r="N493" s="576">
        <f t="shared" si="235"/>
        <v>-0.40091066108875356</v>
      </c>
      <c r="O493" s="574">
        <f t="shared" si="236"/>
        <v>1162263.6167944302</v>
      </c>
      <c r="P493" s="577">
        <f t="shared" si="237"/>
        <v>1.5707954664048909</v>
      </c>
      <c r="Q493" s="586">
        <f t="shared" si="259"/>
        <v>155.74653502777727</v>
      </c>
      <c r="R493" s="587">
        <f t="shared" si="260"/>
        <v>1.5643755940908093</v>
      </c>
      <c r="S493" s="574">
        <f t="shared" si="238"/>
        <v>2.541180082945854</v>
      </c>
      <c r="T493" s="577">
        <f t="shared" si="239"/>
        <v>1.1663411439975828</v>
      </c>
      <c r="U493" s="578">
        <f t="shared" si="251"/>
        <v>0.68408213973717247</v>
      </c>
      <c r="V493" s="579">
        <f t="shared" si="252"/>
        <v>-1.0678268788548555</v>
      </c>
      <c r="W493" s="580">
        <f t="shared" si="240"/>
        <v>-32.859559269482411</v>
      </c>
      <c r="X493" s="581">
        <f t="shared" si="241"/>
        <v>-222.38637066688932</v>
      </c>
      <c r="Y493" s="584">
        <f t="shared" si="242"/>
        <v>-42.38637066688932</v>
      </c>
      <c r="AA493" s="147">
        <f t="shared" si="243"/>
        <v>61660</v>
      </c>
      <c r="AB493" s="147">
        <f t="shared" si="244"/>
        <v>3801955600</v>
      </c>
      <c r="AD493" s="583">
        <f t="shared" si="245"/>
        <v>19.547016256027142</v>
      </c>
      <c r="AE493" s="584">
        <f t="shared" si="246"/>
        <v>-67.194256688912105</v>
      </c>
      <c r="AG493" s="583">
        <f t="shared" si="247"/>
        <v>13.476287274873735</v>
      </c>
      <c r="AH493" s="584">
        <f t="shared" si="248"/>
        <v>-32.828167020134693</v>
      </c>
      <c r="AJ493" s="147">
        <f t="shared" si="249"/>
        <v>0</v>
      </c>
      <c r="AK493" s="147">
        <f t="shared" si="261"/>
        <v>0</v>
      </c>
      <c r="AM493" s="147" t="str">
        <f t="shared" si="253"/>
        <v>1.25529217440932+0.966863954072837i</v>
      </c>
      <c r="AN493" s="147" t="str">
        <f t="shared" si="254"/>
        <v>1.82894620566708i</v>
      </c>
      <c r="AO493" s="147" t="str">
        <f t="shared" si="255"/>
        <v>0.528645375723442-0.686347236741975i</v>
      </c>
      <c r="AP493" s="147" t="str">
        <f t="shared" si="256"/>
        <v>-0.042548695734887-0.161143992345473i</v>
      </c>
      <c r="AQ493" s="147" t="str">
        <f t="shared" si="257"/>
        <v>1.04254869573489+0.161143992345473i</v>
      </c>
      <c r="AR493" s="147" t="str">
        <f t="shared" si="258"/>
        <v>0.780359817116181-0.120618151373201i</v>
      </c>
    </row>
    <row r="494" spans="7:44">
      <c r="G494" s="585">
        <v>62019</v>
      </c>
      <c r="H494" s="573">
        <f t="shared" si="250"/>
        <v>62.018999999999998</v>
      </c>
      <c r="I494" s="574">
        <f t="shared" si="230"/>
        <v>428.37201699748971</v>
      </c>
      <c r="J494" s="575">
        <f t="shared" si="231"/>
        <v>1.5684619051506823</v>
      </c>
      <c r="K494" s="575">
        <f t="shared" si="232"/>
        <v>1.0571618322028937</v>
      </c>
      <c r="L494" s="576">
        <f t="shared" si="233"/>
        <v>0.33034970225498744</v>
      </c>
      <c r="M494" s="575">
        <f t="shared" si="234"/>
        <v>1.0870885335674079</v>
      </c>
      <c r="N494" s="576">
        <f t="shared" si="235"/>
        <v>-0.40300080881144656</v>
      </c>
      <c r="O494" s="574">
        <f t="shared" si="236"/>
        <v>1169030.6073625279</v>
      </c>
      <c r="P494" s="577">
        <f t="shared" si="237"/>
        <v>1.5707954713853003</v>
      </c>
      <c r="Q494" s="586">
        <f t="shared" si="259"/>
        <v>156.65329318085671</v>
      </c>
      <c r="R494" s="587">
        <f t="shared" si="260"/>
        <v>1.5644127598019426</v>
      </c>
      <c r="S494" s="574">
        <f t="shared" si="238"/>
        <v>2.553689920388079</v>
      </c>
      <c r="T494" s="577">
        <f t="shared" si="239"/>
        <v>1.1684371298238199</v>
      </c>
      <c r="U494" s="578">
        <f t="shared" si="251"/>
        <v>0.68185272616794934</v>
      </c>
      <c r="V494" s="579">
        <f t="shared" si="252"/>
        <v>-1.0724710990495749</v>
      </c>
      <c r="W494" s="580">
        <f t="shared" si="240"/>
        <v>-32.967997889726789</v>
      </c>
      <c r="X494" s="581">
        <f t="shared" si="241"/>
        <v>-222.78913575555404</v>
      </c>
      <c r="Y494" s="584">
        <f t="shared" si="242"/>
        <v>-42.789135755554042</v>
      </c>
      <c r="AA494" s="147">
        <f t="shared" si="243"/>
        <v>62019</v>
      </c>
      <c r="AB494" s="147">
        <f t="shared" si="244"/>
        <v>3846356361</v>
      </c>
      <c r="AD494" s="583">
        <f t="shared" si="245"/>
        <v>19.504359799385234</v>
      </c>
      <c r="AE494" s="584">
        <f t="shared" si="246"/>
        <v>-67.312218677775405</v>
      </c>
      <c r="AG494" s="583">
        <f t="shared" si="247"/>
        <v>13.467211936459975</v>
      </c>
      <c r="AH494" s="584">
        <f t="shared" si="248"/>
        <v>-32.580781686754314</v>
      </c>
      <c r="AJ494" s="147">
        <f t="shared" si="249"/>
        <v>0</v>
      </c>
      <c r="AK494" s="147">
        <f t="shared" si="261"/>
        <v>0</v>
      </c>
      <c r="AM494" s="147" t="str">
        <f t="shared" si="253"/>
        <v>1.26557323788874+0.964090688326202i</v>
      </c>
      <c r="AN494" s="147" t="str">
        <f t="shared" si="254"/>
        <v>1.83959478964104i</v>
      </c>
      <c r="AO494" s="147" t="str">
        <f t="shared" si="255"/>
        <v>0.524077744596311-0.687963047631642i</v>
      </c>
      <c r="AP494" s="147" t="str">
        <f t="shared" si="256"/>
        <v>-0.0442622063147902-0.1606817813877i</v>
      </c>
      <c r="AQ494" s="147" t="str">
        <f t="shared" si="257"/>
        <v>1.04426220631479+0.1606817813877i</v>
      </c>
      <c r="AR494" s="147" t="str">
        <f t="shared" si="258"/>
        <v>0.779242776136442-0.119902948364825i</v>
      </c>
    </row>
    <row r="495" spans="7:44">
      <c r="G495" s="585">
        <v>62378</v>
      </c>
      <c r="H495" s="573">
        <f t="shared" si="250"/>
        <v>62.378</v>
      </c>
      <c r="I495" s="574">
        <f t="shared" si="230"/>
        <v>430.85165579297313</v>
      </c>
      <c r="J495" s="575">
        <f t="shared" si="231"/>
        <v>1.5684753402456171</v>
      </c>
      <c r="K495" s="575">
        <f t="shared" si="232"/>
        <v>1.0578073755158461</v>
      </c>
      <c r="L495" s="576">
        <f t="shared" si="233"/>
        <v>0.33212474636954065</v>
      </c>
      <c r="M495" s="575">
        <f t="shared" si="234"/>
        <v>1.0880587486409286</v>
      </c>
      <c r="N495" s="576">
        <f t="shared" si="235"/>
        <v>-0.40508723809275748</v>
      </c>
      <c r="O495" s="574">
        <f t="shared" si="236"/>
        <v>1175797.5979306255</v>
      </c>
      <c r="P495" s="577">
        <f t="shared" si="237"/>
        <v>1.5707954763083829</v>
      </c>
      <c r="Q495" s="586">
        <f t="shared" si="259"/>
        <v>157.56005154782918</v>
      </c>
      <c r="R495" s="587">
        <f t="shared" si="260"/>
        <v>1.5644494977356633</v>
      </c>
      <c r="S495" s="574">
        <f t="shared" si="238"/>
        <v>2.5662108671823489</v>
      </c>
      <c r="T495" s="577">
        <f t="shared" si="239"/>
        <v>1.1705126714046685</v>
      </c>
      <c r="U495" s="578">
        <f t="shared" si="251"/>
        <v>0.67962915316098405</v>
      </c>
      <c r="V495" s="579">
        <f t="shared" si="252"/>
        <v>-1.0771011040684246</v>
      </c>
      <c r="W495" s="580">
        <f t="shared" si="240"/>
        <v>-33.07593763329119</v>
      </c>
      <c r="X495" s="581">
        <f t="shared" si="241"/>
        <v>-223.18984145911989</v>
      </c>
      <c r="Y495" s="584">
        <f t="shared" si="242"/>
        <v>-43.18984145911989</v>
      </c>
      <c r="AA495" s="147">
        <f t="shared" si="243"/>
        <v>62378</v>
      </c>
      <c r="AB495" s="147">
        <f t="shared" si="244"/>
        <v>3891014884</v>
      </c>
      <c r="AD495" s="583">
        <f t="shared" si="245"/>
        <v>19.461874218884972</v>
      </c>
      <c r="AE495" s="584">
        <f t="shared" si="246"/>
        <v>-67.42903380421707</v>
      </c>
      <c r="AG495" s="583">
        <f t="shared" si="247"/>
        <v>13.45850102413182</v>
      </c>
      <c r="AH495" s="584">
        <f t="shared" si="248"/>
        <v>-32.334112769863289</v>
      </c>
      <c r="AJ495" s="147">
        <f t="shared" si="249"/>
        <v>0</v>
      </c>
      <c r="AK495" s="147">
        <f t="shared" si="261"/>
        <v>0</v>
      </c>
      <c r="AM495" s="147" t="str">
        <f t="shared" si="253"/>
        <v>1.27582418768166+0.961208103112824i</v>
      </c>
      <c r="AN495" s="147" t="str">
        <f t="shared" si="254"/>
        <v>1.850243373615i</v>
      </c>
      <c r="AO495" s="147" t="str">
        <f t="shared" si="255"/>
        <v>0.519503605212118-0.68954398425379i</v>
      </c>
      <c r="AP495" s="147" t="str">
        <f t="shared" si="256"/>
        <v>-0.0459706979469428-0.160201350518804i</v>
      </c>
      <c r="AQ495" s="147" t="str">
        <f t="shared" si="257"/>
        <v>1.04597069794694+0.160201350518804i</v>
      </c>
      <c r="AR495" s="147" t="str">
        <f t="shared" si="258"/>
        <v>0.778135814654984-0.119179637287604i</v>
      </c>
    </row>
    <row r="496" spans="7:44">
      <c r="G496" s="585">
        <v>62737</v>
      </c>
      <c r="H496" s="573">
        <f t="shared" si="250"/>
        <v>62.737000000000002</v>
      </c>
      <c r="I496" s="574">
        <f t="shared" si="230"/>
        <v>433.33129466533586</v>
      </c>
      <c r="J496" s="575">
        <f t="shared" si="231"/>
        <v>1.5684886215820599</v>
      </c>
      <c r="K496" s="575">
        <f t="shared" si="232"/>
        <v>1.0584562476772632</v>
      </c>
      <c r="L496" s="576">
        <f t="shared" si="233"/>
        <v>0.3338976197311852</v>
      </c>
      <c r="M496" s="575">
        <f t="shared" si="234"/>
        <v>1.0890336917862988</v>
      </c>
      <c r="N496" s="576">
        <f t="shared" si="235"/>
        <v>-0.40716994073000912</v>
      </c>
      <c r="O496" s="574">
        <f t="shared" si="236"/>
        <v>1182564.588498723</v>
      </c>
      <c r="P496" s="577">
        <f t="shared" si="237"/>
        <v>1.5707954811751226</v>
      </c>
      <c r="Q496" s="586">
        <f t="shared" si="259"/>
        <v>158.46681012502299</v>
      </c>
      <c r="R496" s="587">
        <f t="shared" si="260"/>
        <v>1.5644858152351917</v>
      </c>
      <c r="S496" s="574">
        <f t="shared" si="238"/>
        <v>2.5787427615060832</v>
      </c>
      <c r="T496" s="577">
        <f t="shared" si="239"/>
        <v>1.1725680487846446</v>
      </c>
      <c r="U496" s="578">
        <f t="shared" si="251"/>
        <v>0.67741146392014695</v>
      </c>
      <c r="V496" s="579">
        <f t="shared" si="252"/>
        <v>-1.0817170227805499</v>
      </c>
      <c r="W496" s="580">
        <f t="shared" si="240"/>
        <v>-33.183382383422533</v>
      </c>
      <c r="X496" s="581">
        <f t="shared" si="241"/>
        <v>-223.58851088331951</v>
      </c>
      <c r="Y496" s="584">
        <f t="shared" si="242"/>
        <v>-43.588510883319515</v>
      </c>
      <c r="AA496" s="147">
        <f t="shared" si="243"/>
        <v>62737</v>
      </c>
      <c r="AB496" s="147">
        <f t="shared" si="244"/>
        <v>3935931169</v>
      </c>
      <c r="AD496" s="583">
        <f t="shared" si="245"/>
        <v>19.419558579180098</v>
      </c>
      <c r="AE496" s="584">
        <f t="shared" si="246"/>
        <v>-67.544717692926724</v>
      </c>
      <c r="AG496" s="583">
        <f t="shared" si="247"/>
        <v>13.45015023235799</v>
      </c>
      <c r="AH496" s="584">
        <f t="shared" si="248"/>
        <v>-32.088152983188351</v>
      </c>
      <c r="AJ496" s="147">
        <f t="shared" si="249"/>
        <v>0</v>
      </c>
      <c r="AK496" s="147">
        <f t="shared" si="261"/>
        <v>0</v>
      </c>
      <c r="AM496" s="147" t="str">
        <f t="shared" si="253"/>
        <v>1.28604386141987+0.958216525292699i</v>
      </c>
      <c r="AN496" s="147" t="str">
        <f t="shared" si="254"/>
        <v>1.86089195758896i</v>
      </c>
      <c r="AO496" s="147" t="str">
        <f t="shared" si="255"/>
        <v>0.51492324494443-0.691090020661982i</v>
      </c>
      <c r="AP496" s="147" t="str">
        <f t="shared" si="256"/>
        <v>-0.0476739769033108-0.15970275421545i</v>
      </c>
      <c r="AQ496" s="147" t="str">
        <f t="shared" si="257"/>
        <v>1.04767397690331+0.15970275421545i</v>
      </c>
      <c r="AR496" s="147" t="str">
        <f t="shared" si="258"/>
        <v>0.777038935373085-0.118448354018032i</v>
      </c>
    </row>
    <row r="497" spans="7:44">
      <c r="G497" s="585">
        <v>63096</v>
      </c>
      <c r="H497" s="573">
        <f t="shared" si="250"/>
        <v>63.095999999999997</v>
      </c>
      <c r="I497" s="574">
        <f t="shared" si="230"/>
        <v>435.81093361326589</v>
      </c>
      <c r="J497" s="575">
        <f t="shared" si="231"/>
        <v>1.5685017517845314</v>
      </c>
      <c r="K497" s="575">
        <f t="shared" si="232"/>
        <v>1.0591084425687991</v>
      </c>
      <c r="L497" s="576">
        <f t="shared" si="233"/>
        <v>0.33566831519542156</v>
      </c>
      <c r="M497" s="575">
        <f t="shared" si="234"/>
        <v>1.0900133503166984</v>
      </c>
      <c r="N497" s="576">
        <f t="shared" si="235"/>
        <v>-0.40924890867911773</v>
      </c>
      <c r="O497" s="574">
        <f t="shared" si="236"/>
        <v>1189331.5790668207</v>
      </c>
      <c r="P497" s="577">
        <f t="shared" si="237"/>
        <v>1.5707954859864814</v>
      </c>
      <c r="Q497" s="586">
        <f t="shared" si="259"/>
        <v>159.37356890884996</v>
      </c>
      <c r="R497" s="587">
        <f t="shared" si="260"/>
        <v>1.5645217194766348</v>
      </c>
      <c r="S497" s="574">
        <f t="shared" si="238"/>
        <v>2.5912854445269802</v>
      </c>
      <c r="T497" s="577">
        <f t="shared" si="239"/>
        <v>1.174603537274834</v>
      </c>
      <c r="U497" s="578">
        <f t="shared" si="251"/>
        <v>0.6751996996341415</v>
      </c>
      <c r="V497" s="579">
        <f t="shared" si="252"/>
        <v>-1.0863189840808491</v>
      </c>
      <c r="W497" s="580">
        <f t="shared" si="240"/>
        <v>-33.290335984468499</v>
      </c>
      <c r="X497" s="581">
        <f t="shared" si="241"/>
        <v>-223.98516687517593</v>
      </c>
      <c r="Y497" s="584">
        <f t="shared" si="242"/>
        <v>-43.985166875175935</v>
      </c>
      <c r="AA497" s="147">
        <f t="shared" si="243"/>
        <v>63096</v>
      </c>
      <c r="AB497" s="147">
        <f t="shared" si="244"/>
        <v>3981105216</v>
      </c>
      <c r="AD497" s="583">
        <f t="shared" si="245"/>
        <v>19.377411943696895</v>
      </c>
      <c r="AE497" s="584">
        <f t="shared" si="246"/>
        <v>-67.659285706962194</v>
      </c>
      <c r="AG497" s="583">
        <f t="shared" si="247"/>
        <v>13.442155329666456</v>
      </c>
      <c r="AH497" s="584">
        <f t="shared" si="248"/>
        <v>-31.842895040427379</v>
      </c>
      <c r="AJ497" s="147">
        <f t="shared" si="249"/>
        <v>0</v>
      </c>
      <c r="AK497" s="147">
        <f t="shared" si="261"/>
        <v>0</v>
      </c>
      <c r="AM497" s="147" t="str">
        <f t="shared" si="253"/>
        <v>1.29623110028159+0.955116294084631i</v>
      </c>
      <c r="AN497" s="147" t="str">
        <f t="shared" si="254"/>
        <v>1.87154054156292i</v>
      </c>
      <c r="AO497" s="147" t="str">
        <f t="shared" si="255"/>
        <v>0.510336951230036-0.692601133395224i</v>
      </c>
      <c r="AP497" s="147" t="str">
        <f t="shared" si="256"/>
        <v>-0.0493718500469315-0.159186049014105i</v>
      </c>
      <c r="AQ497" s="147" t="str">
        <f t="shared" si="257"/>
        <v>1.04937185004693+0.159186049014105i</v>
      </c>
      <c r="AR497" s="147" t="str">
        <f t="shared" si="258"/>
        <v>0.775952139625957-0.117709232742972i</v>
      </c>
    </row>
    <row r="498" spans="7:44">
      <c r="G498" s="585">
        <v>63463.25</v>
      </c>
      <c r="H498" s="573">
        <f t="shared" si="250"/>
        <v>63.463250000000002</v>
      </c>
      <c r="I498" s="574">
        <f t="shared" si="230"/>
        <v>438.34755598434725</v>
      </c>
      <c r="J498" s="575">
        <f t="shared" si="231"/>
        <v>1.5685150300162691</v>
      </c>
      <c r="K498" s="575">
        <f t="shared" si="232"/>
        <v>1.0597790569740668</v>
      </c>
      <c r="L498" s="576">
        <f t="shared" si="233"/>
        <v>0.33747744120938211</v>
      </c>
      <c r="M498" s="575">
        <f t="shared" si="234"/>
        <v>1.0910203878198277</v>
      </c>
      <c r="N498" s="576">
        <f t="shared" si="235"/>
        <v>-0.41137177972065836</v>
      </c>
      <c r="O498" s="574">
        <f t="shared" si="236"/>
        <v>1196254.078471093</v>
      </c>
      <c r="P498" s="577">
        <f t="shared" si="237"/>
        <v>1.5707954908520831</v>
      </c>
      <c r="Q498" s="586">
        <f t="shared" si="259"/>
        <v>160.30116567432597</v>
      </c>
      <c r="R498" s="587">
        <f t="shared" si="260"/>
        <v>1.5645580285150076</v>
      </c>
      <c r="S498" s="574">
        <f t="shared" si="238"/>
        <v>2.6041273655916357</v>
      </c>
      <c r="T498" s="577">
        <f t="shared" si="239"/>
        <v>1.1766655047722283</v>
      </c>
      <c r="U498" s="578">
        <f t="shared" si="251"/>
        <v>0.67294327952711519</v>
      </c>
      <c r="V498" s="579">
        <f t="shared" si="252"/>
        <v>-1.0910123929420461</v>
      </c>
      <c r="W498" s="580">
        <f t="shared" si="240"/>
        <v>-33.39924319219547</v>
      </c>
      <c r="X498" s="581">
        <f t="shared" si="241"/>
        <v>-224.38887840669003</v>
      </c>
      <c r="Y498" s="584">
        <f t="shared" si="242"/>
        <v>-44.388878406690026</v>
      </c>
      <c r="AA498" s="147">
        <f t="shared" si="243"/>
        <v>63463.25</v>
      </c>
      <c r="AB498" s="147">
        <f t="shared" si="244"/>
        <v>4027584100.5625</v>
      </c>
      <c r="AD498" s="583">
        <f t="shared" si="245"/>
        <v>19.334470654506191</v>
      </c>
      <c r="AE498" s="584">
        <f t="shared" si="246"/>
        <v>-67.775347666310154</v>
      </c>
      <c r="AG498" s="583">
        <f t="shared" si="247"/>
        <v>13.434340615063256</v>
      </c>
      <c r="AH498" s="584">
        <f t="shared" si="248"/>
        <v>-31.592719573427146</v>
      </c>
      <c r="AJ498" s="147">
        <f t="shared" si="249"/>
        <v>0</v>
      </c>
      <c r="AK498" s="147">
        <f t="shared" si="261"/>
        <v>0</v>
      </c>
      <c r="AM498" s="147" t="str">
        <f t="shared" si="253"/>
        <v>1.30661768110368+0.951832757176701i</v>
      </c>
      <c r="AN498" s="147" t="str">
        <f t="shared" si="254"/>
        <v>1.88243383533573i</v>
      </c>
      <c r="AO498" s="147" t="str">
        <f t="shared" si="255"/>
        <v>0.505639422384767-0.694110813658769i</v>
      </c>
      <c r="AP498" s="147" t="str">
        <f t="shared" si="256"/>
        <v>-0.0511029468506137-0.158638792862784i</v>
      </c>
      <c r="AQ498" s="147" t="str">
        <f t="shared" si="257"/>
        <v>1.05110294685061+0.158638792862784i</v>
      </c>
      <c r="AR498" s="147" t="str">
        <f t="shared" si="258"/>
        <v>0.774850802561205-0.116945153978851i</v>
      </c>
    </row>
    <row r="499" spans="7:44">
      <c r="G499" s="585">
        <v>63830.5</v>
      </c>
      <c r="H499" s="573">
        <f t="shared" si="250"/>
        <v>63.830500000000001</v>
      </c>
      <c r="I499" s="574">
        <f t="shared" si="230"/>
        <v>440.88417843182492</v>
      </c>
      <c r="J499" s="575">
        <f t="shared" si="231"/>
        <v>1.5685281554556778</v>
      </c>
      <c r="K499" s="575">
        <f t="shared" si="232"/>
        <v>1.0604531355757678</v>
      </c>
      <c r="L499" s="576">
        <f t="shared" si="233"/>
        <v>0.33928427318349585</v>
      </c>
      <c r="M499" s="575">
        <f t="shared" si="234"/>
        <v>1.0920323330141144</v>
      </c>
      <c r="N499" s="576">
        <f t="shared" si="235"/>
        <v>-0.41349072592756475</v>
      </c>
      <c r="O499" s="574">
        <f t="shared" si="236"/>
        <v>1203176.5778753657</v>
      </c>
      <c r="P499" s="577">
        <f t="shared" si="237"/>
        <v>1.5707954956616961</v>
      </c>
      <c r="Q499" s="586">
        <f t="shared" si="259"/>
        <v>161.22876264870268</v>
      </c>
      <c r="R499" s="587">
        <f t="shared" si="260"/>
        <v>1.564593919760056</v>
      </c>
      <c r="S499" s="574">
        <f t="shared" si="238"/>
        <v>2.616980249959318</v>
      </c>
      <c r="T499" s="577">
        <f t="shared" si="239"/>
        <v>1.1787072268254164</v>
      </c>
      <c r="U499" s="578">
        <f t="shared" si="251"/>
        <v>0.6706931407313832</v>
      </c>
      <c r="V499" s="579">
        <f t="shared" si="252"/>
        <v>-1.0956914684071102</v>
      </c>
      <c r="W499" s="580">
        <f t="shared" si="240"/>
        <v>-33.507644434943209</v>
      </c>
      <c r="X499" s="581">
        <f t="shared" si="241"/>
        <v>-224.79053045916197</v>
      </c>
      <c r="Y499" s="584">
        <f t="shared" si="242"/>
        <v>-44.790530459161971</v>
      </c>
      <c r="AA499" s="147">
        <f t="shared" si="243"/>
        <v>63830.5</v>
      </c>
      <c r="AB499" s="147">
        <f t="shared" si="244"/>
        <v>4074332730.25</v>
      </c>
      <c r="AD499" s="583">
        <f t="shared" si="245"/>
        <v>19.29170424121704</v>
      </c>
      <c r="AE499" s="584">
        <f t="shared" si="246"/>
        <v>-67.890273581735727</v>
      </c>
      <c r="AG499" s="583">
        <f t="shared" si="247"/>
        <v>13.426889607436836</v>
      </c>
      <c r="AH499" s="584">
        <f t="shared" si="248"/>
        <v>-31.34326315751807</v>
      </c>
      <c r="AJ499" s="147">
        <f t="shared" si="249"/>
        <v>0</v>
      </c>
      <c r="AK499" s="147">
        <f t="shared" si="261"/>
        <v>0</v>
      </c>
      <c r="AM499" s="147" t="str">
        <f t="shared" si="253"/>
        <v>1.31696787785129+0.948436273246891i</v>
      </c>
      <c r="AN499" s="147" t="str">
        <f t="shared" si="254"/>
        <v>1.89332712910854i</v>
      </c>
      <c r="AO499" s="147" t="str">
        <f t="shared" si="255"/>
        <v>0.500936292870559-0.695583904970176i</v>
      </c>
      <c r="AP499" s="147" t="str">
        <f t="shared" si="256"/>
        <v>-0.0528279796418815-0.158072712207815i</v>
      </c>
      <c r="AQ499" s="147" t="str">
        <f t="shared" si="257"/>
        <v>1.05282797964188+0.158072712207815i</v>
      </c>
      <c r="AR499" s="147" t="str">
        <f t="shared" si="258"/>
        <v>0.773760016457028-0.1161731515161i</v>
      </c>
    </row>
    <row r="500" spans="7:44">
      <c r="G500" s="585">
        <v>64197.75</v>
      </c>
      <c r="H500" s="573">
        <f t="shared" si="250"/>
        <v>64.197749999999999</v>
      </c>
      <c r="I500" s="574">
        <f t="shared" si="230"/>
        <v>443.42080095438791</v>
      </c>
      <c r="J500" s="575">
        <f t="shared" si="231"/>
        <v>1.568541130724934</v>
      </c>
      <c r="K500" s="575">
        <f t="shared" si="232"/>
        <v>1.0611306717720554</v>
      </c>
      <c r="L500" s="576">
        <f t="shared" si="233"/>
        <v>0.34108880370355577</v>
      </c>
      <c r="M500" s="575">
        <f t="shared" si="234"/>
        <v>1.0930491722689333</v>
      </c>
      <c r="N500" s="576">
        <f t="shared" si="235"/>
        <v>-0.41560573919930394</v>
      </c>
      <c r="O500" s="574">
        <f t="shared" si="236"/>
        <v>1210099.0772796383</v>
      </c>
      <c r="P500" s="577">
        <f t="shared" si="237"/>
        <v>1.5707955004162812</v>
      </c>
      <c r="Q500" s="586">
        <f t="shared" si="259"/>
        <v>162.15635982839518</v>
      </c>
      <c r="R500" s="587">
        <f t="shared" si="260"/>
        <v>1.564629400381506</v>
      </c>
      <c r="S500" s="574">
        <f t="shared" si="238"/>
        <v>2.6298439368865774</v>
      </c>
      <c r="T500" s="577">
        <f t="shared" si="239"/>
        <v>1.1807289833734649</v>
      </c>
      <c r="U500" s="578">
        <f t="shared" si="251"/>
        <v>0.66844932105166421</v>
      </c>
      <c r="V500" s="579">
        <f t="shared" si="252"/>
        <v>-1.1003563484366403</v>
      </c>
      <c r="W500" s="580">
        <f t="shared" si="240"/>
        <v>-33.615543706737931</v>
      </c>
      <c r="X500" s="581">
        <f t="shared" si="241"/>
        <v>-225.19014667665496</v>
      </c>
      <c r="Y500" s="584">
        <f t="shared" si="242"/>
        <v>-45.190146676654962</v>
      </c>
      <c r="AA500" s="147">
        <f t="shared" si="243"/>
        <v>64197.75</v>
      </c>
      <c r="AB500" s="147">
        <f t="shared" si="244"/>
        <v>4121351105.0625</v>
      </c>
      <c r="AD500" s="583">
        <f t="shared" si="245"/>
        <v>19.249111699460148</v>
      </c>
      <c r="AE500" s="584">
        <f t="shared" si="246"/>
        <v>-68.00407908182595</v>
      </c>
      <c r="AG500" s="583">
        <f t="shared" si="247"/>
        <v>13.41979800805489</v>
      </c>
      <c r="AH500" s="584">
        <f t="shared" si="248"/>
        <v>-31.094517999056155</v>
      </c>
      <c r="AJ500" s="147">
        <f t="shared" si="249"/>
        <v>0</v>
      </c>
      <c r="AK500" s="147">
        <f t="shared" si="261"/>
        <v>0</v>
      </c>
      <c r="AM500" s="147" t="str">
        <f t="shared" si="253"/>
        <v>1.32728046234236+0.944927245331075i</v>
      </c>
      <c r="AN500" s="147" t="str">
        <f t="shared" si="254"/>
        <v>1.90422042288134i</v>
      </c>
      <c r="AO500" s="147" t="str">
        <f t="shared" si="255"/>
        <v>0.496227870459069-0.697020390283393i</v>
      </c>
      <c r="AP500" s="147" t="str">
        <f t="shared" si="256"/>
        <v>-0.0545467437237263-0.157487874221846i</v>
      </c>
      <c r="AQ500" s="147" t="str">
        <f t="shared" si="257"/>
        <v>1.05454674372373+0.157487874221846i</v>
      </c>
      <c r="AR500" s="147" t="str">
        <f t="shared" si="258"/>
        <v>0.772679778609612-0.115393363558016i</v>
      </c>
    </row>
    <row r="501" spans="7:44">
      <c r="G501" s="585">
        <v>64565</v>
      </c>
      <c r="H501" s="573">
        <f t="shared" si="250"/>
        <v>64.564999999999998</v>
      </c>
      <c r="I501" s="574">
        <f t="shared" si="230"/>
        <v>445.95742355075487</v>
      </c>
      <c r="J501" s="575">
        <f t="shared" si="231"/>
        <v>1.5685539583865531</v>
      </c>
      <c r="K501" s="575">
        <f t="shared" si="232"/>
        <v>1.0618116589441136</v>
      </c>
      <c r="L501" s="576">
        <f t="shared" si="233"/>
        <v>0.34289102543418432</v>
      </c>
      <c r="M501" s="575">
        <f t="shared" si="234"/>
        <v>1.094070891938534</v>
      </c>
      <c r="N501" s="576">
        <f t="shared" si="235"/>
        <v>-0.41771681160612922</v>
      </c>
      <c r="O501" s="574">
        <f t="shared" si="236"/>
        <v>1217021.5766839108</v>
      </c>
      <c r="P501" s="577">
        <f t="shared" si="237"/>
        <v>1.5707955051167775</v>
      </c>
      <c r="Q501" s="586">
        <f t="shared" si="259"/>
        <v>163.08395720990001</v>
      </c>
      <c r="R501" s="587">
        <f t="shared" si="260"/>
        <v>1.5646644773859655</v>
      </c>
      <c r="S501" s="574">
        <f t="shared" si="238"/>
        <v>2.6427182686259068</v>
      </c>
      <c r="T501" s="577">
        <f t="shared" si="239"/>
        <v>1.1827310495601693</v>
      </c>
      <c r="U501" s="578">
        <f t="shared" si="251"/>
        <v>0.66621185625756318</v>
      </c>
      <c r="V501" s="579">
        <f t="shared" si="252"/>
        <v>-1.1050071709473797</v>
      </c>
      <c r="W501" s="580">
        <f t="shared" si="240"/>
        <v>-33.722944962226585</v>
      </c>
      <c r="X501" s="581">
        <f t="shared" si="241"/>
        <v>-225.58775043716585</v>
      </c>
      <c r="Y501" s="584">
        <f t="shared" si="242"/>
        <v>-45.587750437165852</v>
      </c>
      <c r="AA501" s="147">
        <f t="shared" si="243"/>
        <v>64565</v>
      </c>
      <c r="AB501" s="147">
        <f t="shared" si="244"/>
        <v>4168639225</v>
      </c>
      <c r="AD501" s="583">
        <f t="shared" si="245"/>
        <v>19.206692024987014</v>
      </c>
      <c r="AE501" s="584">
        <f t="shared" si="246"/>
        <v>-68.116779529763875</v>
      </c>
      <c r="AG501" s="583">
        <f t="shared" si="247"/>
        <v>13.413061593100297</v>
      </c>
      <c r="AH501" s="584">
        <f t="shared" si="248"/>
        <v>-30.846476308760554</v>
      </c>
      <c r="AJ501" s="147">
        <f t="shared" si="249"/>
        <v>0</v>
      </c>
      <c r="AK501" s="147">
        <f t="shared" si="261"/>
        <v>0</v>
      </c>
      <c r="AM501" s="147" t="str">
        <f t="shared" si="253"/>
        <v>1.33755421085804+0.941306089819888i</v>
      </c>
      <c r="AN501" s="147" t="str">
        <f t="shared" si="254"/>
        <v>1.91511371665415i</v>
      </c>
      <c r="AO501" s="147" t="str">
        <f t="shared" si="255"/>
        <v>0.491514462892794-0.698420255270715i</v>
      </c>
      <c r="AP501" s="147" t="str">
        <f t="shared" si="256"/>
        <v>-0.0562590351430062-0.156884348303315i</v>
      </c>
      <c r="AQ501" s="147" t="str">
        <f t="shared" si="257"/>
        <v>1.05625903514301+0.156884348303315i</v>
      </c>
      <c r="AR501" s="147" t="str">
        <f t="shared" si="258"/>
        <v>0.771610085021462-0.114605926487027i</v>
      </c>
    </row>
    <row r="502" spans="7:44">
      <c r="G502" s="585">
        <v>64941</v>
      </c>
      <c r="H502" s="573">
        <f t="shared" si="250"/>
        <v>64.941000000000003</v>
      </c>
      <c r="I502" s="574">
        <f t="shared" si="230"/>
        <v>448.55448311191128</v>
      </c>
      <c r="J502" s="575">
        <f t="shared" si="231"/>
        <v>1.5685669413667926</v>
      </c>
      <c r="K502" s="575">
        <f t="shared" si="232"/>
        <v>1.0625124394929468</v>
      </c>
      <c r="L502" s="576">
        <f t="shared" si="233"/>
        <v>0.34473378688150796</v>
      </c>
      <c r="M502" s="575">
        <f t="shared" si="234"/>
        <v>1.0951219967813783</v>
      </c>
      <c r="N502" s="576">
        <f t="shared" si="235"/>
        <v>-0.41987409093142486</v>
      </c>
      <c r="O502" s="574">
        <f t="shared" si="236"/>
        <v>1224109.0097023086</v>
      </c>
      <c r="P502" s="577">
        <f t="shared" si="237"/>
        <v>1.5707955098741877</v>
      </c>
      <c r="Q502" s="586">
        <f t="shared" si="259"/>
        <v>164.03365548333286</v>
      </c>
      <c r="R502" s="587">
        <f t="shared" si="260"/>
        <v>1.5646999791196419</v>
      </c>
      <c r="S502" s="574">
        <f t="shared" si="238"/>
        <v>2.6559102073536982</v>
      </c>
      <c r="T502" s="577">
        <f t="shared" si="239"/>
        <v>1.1847606991631396</v>
      </c>
      <c r="U502" s="578">
        <f t="shared" si="251"/>
        <v>0.66392770129039758</v>
      </c>
      <c r="V502" s="579">
        <f t="shared" si="252"/>
        <v>-1.1097543827590779</v>
      </c>
      <c r="W502" s="580">
        <f t="shared" si="240"/>
        <v>-33.832393264239442</v>
      </c>
      <c r="X502" s="581">
        <f t="shared" si="241"/>
        <v>-225.99276658507111</v>
      </c>
      <c r="Y502" s="584">
        <f t="shared" si="242"/>
        <v>-45.992766585071109</v>
      </c>
      <c r="AA502" s="147">
        <f t="shared" si="243"/>
        <v>64941</v>
      </c>
      <c r="AB502" s="147">
        <f t="shared" si="244"/>
        <v>4217333481</v>
      </c>
      <c r="AD502" s="583">
        <f t="shared" si="245"/>
        <v>19.163439716896512</v>
      </c>
      <c r="AE502" s="584">
        <f t="shared" si="246"/>
        <v>-68.231036059109499</v>
      </c>
      <c r="AG502" s="583">
        <f t="shared" si="247"/>
        <v>13.406528323590042</v>
      </c>
      <c r="AH502" s="584">
        <f t="shared" si="248"/>
        <v>-30.593245524168669</v>
      </c>
      <c r="AJ502" s="147">
        <f t="shared" si="249"/>
        <v>0</v>
      </c>
      <c r="AK502" s="147">
        <f t="shared" si="261"/>
        <v>0</v>
      </c>
      <c r="AM502" s="147" t="str">
        <f t="shared" si="253"/>
        <v>1.34803123098145+0.937482939717592i</v>
      </c>
      <c r="AN502" s="147" t="str">
        <f t="shared" si="254"/>
        <v>1.9262665511227i</v>
      </c>
      <c r="AO502" s="147" t="str">
        <f t="shared" si="255"/>
        <v>0.48668391151328-0.699815521478981i</v>
      </c>
      <c r="AP502" s="147" t="str">
        <f t="shared" si="256"/>
        <v>-0.0580052051635745-0.156247156619599i</v>
      </c>
      <c r="AQ502" s="147" t="str">
        <f t="shared" si="257"/>
        <v>1.05800520516357+0.156247156619599i</v>
      </c>
      <c r="AR502" s="147" t="str">
        <f t="shared" si="258"/>
        <v>0.770525823807871-0.11379194401349i</v>
      </c>
    </row>
    <row r="503" spans="7:44">
      <c r="G503" s="585">
        <v>65317</v>
      </c>
      <c r="H503" s="573">
        <f t="shared" si="250"/>
        <v>65.316999999999993</v>
      </c>
      <c r="I503" s="574">
        <f t="shared" si="230"/>
        <v>451.15154274780451</v>
      </c>
      <c r="J503" s="575">
        <f t="shared" si="231"/>
        <v>1.5685797748736503</v>
      </c>
      <c r="K503" s="575">
        <f t="shared" si="232"/>
        <v>1.0632168233260157</v>
      </c>
      <c r="L503" s="576">
        <f t="shared" si="233"/>
        <v>0.34657411290303841</v>
      </c>
      <c r="M503" s="575">
        <f t="shared" si="234"/>
        <v>1.0961781883744324</v>
      </c>
      <c r="N503" s="576">
        <f t="shared" si="235"/>
        <v>-0.422027223089669</v>
      </c>
      <c r="O503" s="574">
        <f t="shared" si="236"/>
        <v>1231196.4427207061</v>
      </c>
      <c r="P503" s="577">
        <f t="shared" si="237"/>
        <v>1.5707955145768253</v>
      </c>
      <c r="Q503" s="586">
        <f t="shared" si="259"/>
        <v>164.98335396112918</v>
      </c>
      <c r="R503" s="587">
        <f t="shared" si="260"/>
        <v>1.5647350721340383</v>
      </c>
      <c r="S503" s="574">
        <f t="shared" si="238"/>
        <v>2.6691129788675538</v>
      </c>
      <c r="T503" s="577">
        <f t="shared" si="239"/>
        <v>1.1867702776465803</v>
      </c>
      <c r="U503" s="578">
        <f t="shared" si="251"/>
        <v>0.66165027716276004</v>
      </c>
      <c r="V503" s="579">
        <f t="shared" si="252"/>
        <v>-1.1144871515771801</v>
      </c>
      <c r="W503" s="580">
        <f t="shared" si="240"/>
        <v>-33.941327802275083</v>
      </c>
      <c r="X503" s="581">
        <f t="shared" si="241"/>
        <v>-226.39572199496615</v>
      </c>
      <c r="Y503" s="584">
        <f t="shared" si="242"/>
        <v>-46.395721994966152</v>
      </c>
      <c r="AA503" s="147">
        <f t="shared" si="243"/>
        <v>65317</v>
      </c>
      <c r="AB503" s="147">
        <f t="shared" si="244"/>
        <v>4266310489</v>
      </c>
      <c r="AD503" s="583">
        <f t="shared" si="245"/>
        <v>19.120366482958133</v>
      </c>
      <c r="AE503" s="584">
        <f t="shared" si="246"/>
        <v>-68.344166012766195</v>
      </c>
      <c r="AG503" s="583">
        <f t="shared" si="247"/>
        <v>13.400358639047418</v>
      </c>
      <c r="AH503" s="584">
        <f t="shared" si="248"/>
        <v>-30.340735622410538</v>
      </c>
      <c r="AJ503" s="147">
        <f t="shared" si="249"/>
        <v>0</v>
      </c>
      <c r="AK503" s="147">
        <f t="shared" si="261"/>
        <v>0</v>
      </c>
      <c r="AM503" s="147" t="str">
        <f t="shared" si="253"/>
        <v>1.35846496143948+0.933543181336669i</v>
      </c>
      <c r="AN503" s="147" t="str">
        <f t="shared" si="254"/>
        <v>1.93741938559125i</v>
      </c>
      <c r="AO503" s="147" t="str">
        <f t="shared" si="255"/>
        <v>0.48184878724736-0.701172379889712i</v>
      </c>
      <c r="AP503" s="147" t="str">
        <f t="shared" si="256"/>
        <v>-0.0597441602399138-0.155590530222778i</v>
      </c>
      <c r="AQ503" s="147" t="str">
        <f t="shared" si="257"/>
        <v>1.05974416023991+0.155590530222778i</v>
      </c>
      <c r="AR503" s="147" t="str">
        <f t="shared" si="258"/>
        <v>0.769452602862179-0.112970227109834i</v>
      </c>
    </row>
    <row r="504" spans="7:44">
      <c r="G504" s="585">
        <v>65693</v>
      </c>
      <c r="H504" s="573">
        <f t="shared" si="250"/>
        <v>65.692999999999998</v>
      </c>
      <c r="I504" s="574">
        <f t="shared" si="230"/>
        <v>453.74860245715143</v>
      </c>
      <c r="J504" s="575">
        <f t="shared" si="231"/>
        <v>1.5685924614736837</v>
      </c>
      <c r="K504" s="575">
        <f t="shared" si="232"/>
        <v>1.0639248032865312</v>
      </c>
      <c r="L504" s="576">
        <f t="shared" si="233"/>
        <v>0.34841199588276583</v>
      </c>
      <c r="M504" s="575">
        <f t="shared" si="234"/>
        <v>1.0972394520283333</v>
      </c>
      <c r="N504" s="576">
        <f t="shared" si="235"/>
        <v>-0.42417620012206309</v>
      </c>
      <c r="O504" s="574">
        <f t="shared" si="236"/>
        <v>1238283.8757391039</v>
      </c>
      <c r="P504" s="577">
        <f t="shared" si="237"/>
        <v>1.5707955192256311</v>
      </c>
      <c r="Q504" s="586">
        <f t="shared" si="259"/>
        <v>165.93305263977996</v>
      </c>
      <c r="R504" s="587">
        <f t="shared" si="260"/>
        <v>1.5647697634468407</v>
      </c>
      <c r="S504" s="574">
        <f t="shared" si="238"/>
        <v>2.6823264232061867</v>
      </c>
      <c r="T504" s="577">
        <f t="shared" si="239"/>
        <v>1.1887600652764767</v>
      </c>
      <c r="U504" s="578">
        <f t="shared" si="251"/>
        <v>0.65937961590619465</v>
      </c>
      <c r="V504" s="579">
        <f t="shared" si="252"/>
        <v>-1.1192056251637157</v>
      </c>
      <c r="W504" s="580">
        <f t="shared" si="240"/>
        <v>-34.049752697079704</v>
      </c>
      <c r="X504" s="581">
        <f t="shared" si="241"/>
        <v>-226.79664091643244</v>
      </c>
      <c r="Y504" s="584">
        <f t="shared" si="242"/>
        <v>-46.796640916432438</v>
      </c>
      <c r="AA504" s="147">
        <f t="shared" si="243"/>
        <v>65693</v>
      </c>
      <c r="AB504" s="147">
        <f t="shared" si="244"/>
        <v>4315570249</v>
      </c>
      <c r="AD504" s="583">
        <f t="shared" si="245"/>
        <v>19.07747124789811</v>
      </c>
      <c r="AE504" s="584">
        <f t="shared" si="246"/>
        <v>-68.456185046762201</v>
      </c>
      <c r="AG504" s="583">
        <f t="shared" si="247"/>
        <v>13.394548241090462</v>
      </c>
      <c r="AH504" s="584">
        <f t="shared" si="248"/>
        <v>-30.088938264758077</v>
      </c>
      <c r="AJ504" s="147">
        <f t="shared" si="249"/>
        <v>0</v>
      </c>
      <c r="AK504" s="147">
        <f t="shared" si="261"/>
        <v>0</v>
      </c>
      <c r="AM504" s="147" t="str">
        <f t="shared" si="253"/>
        <v>1.36885410443856+0.92948730472171i</v>
      </c>
      <c r="AN504" s="147" t="str">
        <f t="shared" si="254"/>
        <v>1.9485722200598i</v>
      </c>
      <c r="AO504" s="147" t="str">
        <f t="shared" si="255"/>
        <v>0.477009420104113-0.702490823971898i</v>
      </c>
      <c r="AP504" s="147" t="str">
        <f t="shared" si="256"/>
        <v>-0.0614756840730932-0.154914550786952i</v>
      </c>
      <c r="AQ504" s="147" t="str">
        <f t="shared" si="257"/>
        <v>1.06147568407309+0.154914550786952i</v>
      </c>
      <c r="AR504" s="147" t="str">
        <f t="shared" si="258"/>
        <v>0.768390413995227-0.112140916272628i</v>
      </c>
    </row>
    <row r="505" spans="7:44">
      <c r="G505" s="585">
        <v>66069</v>
      </c>
      <c r="H505" s="573">
        <f t="shared" si="250"/>
        <v>66.069000000000003</v>
      </c>
      <c r="I505" s="574">
        <f t="shared" si="230"/>
        <v>456.3456622386978</v>
      </c>
      <c r="J505" s="575">
        <f t="shared" si="231"/>
        <v>1.5686050036750254</v>
      </c>
      <c r="K505" s="575">
        <f t="shared" si="232"/>
        <v>1.0646363722002512</v>
      </c>
      <c r="L505" s="576">
        <f t="shared" si="233"/>
        <v>0.35024742829090405</v>
      </c>
      <c r="M505" s="575">
        <f t="shared" si="234"/>
        <v>1.0983057730400889</v>
      </c>
      <c r="N505" s="576">
        <f t="shared" si="235"/>
        <v>-0.42632101425400543</v>
      </c>
      <c r="O505" s="574">
        <f t="shared" si="236"/>
        <v>1245371.3087575014</v>
      </c>
      <c r="P505" s="577">
        <f t="shared" si="237"/>
        <v>1.5707955238215239</v>
      </c>
      <c r="Q505" s="586">
        <f t="shared" si="259"/>
        <v>166.88275151585617</v>
      </c>
      <c r="R505" s="587">
        <f t="shared" si="260"/>
        <v>1.5648040599159929</v>
      </c>
      <c r="S505" s="574">
        <f t="shared" si="238"/>
        <v>2.6955503834167471</v>
      </c>
      <c r="T505" s="577">
        <f t="shared" si="239"/>
        <v>1.1907303374525831</v>
      </c>
      <c r="U505" s="578">
        <f t="shared" si="251"/>
        <v>0.65711574749920965</v>
      </c>
      <c r="V505" s="579">
        <f t="shared" si="252"/>
        <v>-1.1239099511628874</v>
      </c>
      <c r="W505" s="580">
        <f t="shared" si="240"/>
        <v>-34.15767202939972</v>
      </c>
      <c r="X505" s="581">
        <f t="shared" si="241"/>
        <v>-227.19554732490317</v>
      </c>
      <c r="Y505" s="584">
        <f t="shared" si="242"/>
        <v>-47.195547324903174</v>
      </c>
      <c r="AA505" s="147">
        <f t="shared" si="243"/>
        <v>66069</v>
      </c>
      <c r="AB505" s="147">
        <f t="shared" si="244"/>
        <v>4365112761</v>
      </c>
      <c r="AD505" s="583">
        <f t="shared" si="245"/>
        <v>19.034752937927863</v>
      </c>
      <c r="AE505" s="584">
        <f t="shared" si="246"/>
        <v>-68.567108547462539</v>
      </c>
      <c r="AG505" s="583">
        <f t="shared" si="247"/>
        <v>13.389092907384089</v>
      </c>
      <c r="AH505" s="584">
        <f t="shared" si="248"/>
        <v>-29.837845121500106</v>
      </c>
      <c r="AJ505" s="147">
        <f t="shared" si="249"/>
        <v>0</v>
      </c>
      <c r="AK505" s="147">
        <f t="shared" si="261"/>
        <v>0</v>
      </c>
      <c r="AM505" s="147" t="str">
        <f t="shared" si="253"/>
        <v>1.37919736773107+0.925315814360604i</v>
      </c>
      <c r="AN505" s="147" t="str">
        <f t="shared" si="254"/>
        <v>1.95972505452835i</v>
      </c>
      <c r="AO505" s="147" t="str">
        <f t="shared" si="255"/>
        <v>0.472166139950332-0.703770850173166i</v>
      </c>
      <c r="AP505" s="147" t="str">
        <f t="shared" si="256"/>
        <v>-0.0631995612885117-0.154219302393434i</v>
      </c>
      <c r="AQ505" s="147" t="str">
        <f t="shared" si="257"/>
        <v>1.06319956128851+0.154219302393434i</v>
      </c>
      <c r="AR505" s="147" t="str">
        <f t="shared" si="258"/>
        <v>0.767339247806015-0.111304150043412i</v>
      </c>
    </row>
    <row r="506" spans="7:44">
      <c r="G506" s="585">
        <v>66453.75</v>
      </c>
      <c r="H506" s="573">
        <f t="shared" si="250"/>
        <v>66.453749999999999</v>
      </c>
      <c r="I506" s="574">
        <f t="shared" si="230"/>
        <v>459.00315899021712</v>
      </c>
      <c r="J506" s="575">
        <f t="shared" si="231"/>
        <v>1.5686176908280414</v>
      </c>
      <c r="K506" s="575">
        <f t="shared" si="232"/>
        <v>1.0653682079330515</v>
      </c>
      <c r="L506" s="576">
        <f t="shared" si="233"/>
        <v>0.3521230290124675</v>
      </c>
      <c r="M506" s="575">
        <f t="shared" si="234"/>
        <v>1.0994021286152835</v>
      </c>
      <c r="N506" s="576">
        <f t="shared" si="235"/>
        <v>-0.42851142368897743</v>
      </c>
      <c r="O506" s="574">
        <f t="shared" si="236"/>
        <v>1252623.6753900244</v>
      </c>
      <c r="P506" s="577">
        <f t="shared" si="237"/>
        <v>1.5707955284705317</v>
      </c>
      <c r="Q506" s="586">
        <f t="shared" si="259"/>
        <v>167.85455129803478</v>
      </c>
      <c r="R506" s="587">
        <f t="shared" si="260"/>
        <v>1.5648387527658374</v>
      </c>
      <c r="S506" s="574">
        <f t="shared" si="238"/>
        <v>2.709092807210475</v>
      </c>
      <c r="T506" s="577">
        <f t="shared" si="239"/>
        <v>1.1927265407100587</v>
      </c>
      <c r="U506" s="578">
        <f t="shared" si="251"/>
        <v>0.65480625695740236</v>
      </c>
      <c r="V506" s="579">
        <f t="shared" si="252"/>
        <v>-1.1287092614499774</v>
      </c>
      <c r="W506" s="580">
        <f t="shared" si="240"/>
        <v>-34.267583651259372</v>
      </c>
      <c r="X506" s="581">
        <f t="shared" si="241"/>
        <v>-227.60167821454212</v>
      </c>
      <c r="Y506" s="584">
        <f t="shared" si="242"/>
        <v>-47.601678214542119</v>
      </c>
      <c r="AA506" s="147">
        <f t="shared" si="243"/>
        <v>66453.75</v>
      </c>
      <c r="AB506" s="147">
        <f t="shared" si="244"/>
        <v>4416100889.0625</v>
      </c>
      <c r="AD506" s="583">
        <f t="shared" si="245"/>
        <v>18.991222548947071</v>
      </c>
      <c r="AE506" s="584">
        <f t="shared" si="246"/>
        <v>-68.679495081787735</v>
      </c>
      <c r="AG506" s="583">
        <f t="shared" si="247"/>
        <v>13.383873849146404</v>
      </c>
      <c r="AH506" s="584">
        <f t="shared" si="248"/>
        <v>-29.58162902813746</v>
      </c>
      <c r="AJ506" s="147">
        <f t="shared" si="249"/>
        <v>0</v>
      </c>
      <c r="AK506" s="147">
        <f t="shared" si="261"/>
        <v>0</v>
      </c>
      <c r="AM506" s="147" t="str">
        <f t="shared" si="253"/>
        <v>1.38973249622198+0.920928108697192i</v>
      </c>
      <c r="AN506" s="147" t="str">
        <f t="shared" si="254"/>
        <v>1.97113742969265i</v>
      </c>
      <c r="AO506" s="147" t="str">
        <f t="shared" si="255"/>
        <v>0.467206443764191-0.705040894301659i</v>
      </c>
      <c r="AP506" s="147" t="str">
        <f t="shared" si="256"/>
        <v>-0.0649554160369962-0.153488018116199i</v>
      </c>
      <c r="AQ506" s="147" t="str">
        <f t="shared" si="257"/>
        <v>1.064955416037+0.153488018116199i</v>
      </c>
      <c r="AR506" s="147" t="str">
        <f t="shared" si="258"/>
        <v>0.766275019041951-0.11044033603057i</v>
      </c>
    </row>
    <row r="507" spans="7:44">
      <c r="G507" s="585">
        <v>66838.5</v>
      </c>
      <c r="H507" s="573">
        <f t="shared" si="250"/>
        <v>66.838499999999996</v>
      </c>
      <c r="I507" s="574">
        <f t="shared" si="230"/>
        <v>461.66065581476875</v>
      </c>
      <c r="J507" s="575">
        <f t="shared" si="231"/>
        <v>1.5686302319167658</v>
      </c>
      <c r="K507" s="575">
        <f t="shared" si="232"/>
        <v>1.0661037863481537</v>
      </c>
      <c r="L507" s="576">
        <f t="shared" si="233"/>
        <v>0.35399604810333929</v>
      </c>
      <c r="M507" s="575">
        <f t="shared" si="234"/>
        <v>1.1005037484801874</v>
      </c>
      <c r="N507" s="576">
        <f t="shared" si="235"/>
        <v>-0.43069745833301831</v>
      </c>
      <c r="O507" s="574">
        <f t="shared" si="236"/>
        <v>1259876.0420225468</v>
      </c>
      <c r="P507" s="577">
        <f t="shared" si="237"/>
        <v>1.5707955330660164</v>
      </c>
      <c r="Q507" s="586">
        <f t="shared" si="259"/>
        <v>168.82635127991625</v>
      </c>
      <c r="R507" s="587">
        <f t="shared" si="260"/>
        <v>1.5648730462170439</v>
      </c>
      <c r="S507" s="574">
        <f t="shared" si="238"/>
        <v>2.7226459188554388</v>
      </c>
      <c r="T507" s="577">
        <f t="shared" si="239"/>
        <v>1.1947028779002993</v>
      </c>
      <c r="U507" s="578">
        <f t="shared" si="251"/>
        <v>0.65250393621946712</v>
      </c>
      <c r="V507" s="579">
        <f t="shared" si="252"/>
        <v>-1.1334940703671967</v>
      </c>
      <c r="W507" s="580">
        <f t="shared" si="240"/>
        <v>-34.376974426939945</v>
      </c>
      <c r="X507" s="581">
        <f t="shared" si="241"/>
        <v>-228.00575176648834</v>
      </c>
      <c r="Y507" s="584">
        <f t="shared" si="242"/>
        <v>-48.005751766488345</v>
      </c>
      <c r="AA507" s="147">
        <f t="shared" si="243"/>
        <v>66838.5</v>
      </c>
      <c r="AB507" s="147">
        <f t="shared" si="244"/>
        <v>4467385082.25</v>
      </c>
      <c r="AD507" s="583">
        <f t="shared" si="245"/>
        <v>18.947875146596111</v>
      </c>
      <c r="AE507" s="584">
        <f t="shared" si="246"/>
        <v>-68.790766255093217</v>
      </c>
      <c r="AG507" s="583">
        <f t="shared" si="247"/>
        <v>13.379017865374244</v>
      </c>
      <c r="AH507" s="584">
        <f t="shared" si="248"/>
        <v>-29.326132692685235</v>
      </c>
      <c r="AJ507" s="147">
        <f t="shared" si="249"/>
        <v>0</v>
      </c>
      <c r="AK507" s="147">
        <f t="shared" si="261"/>
        <v>0</v>
      </c>
      <c r="AM507" s="147" t="str">
        <f t="shared" si="253"/>
        <v>1.40021686560442+0.916420460534234i</v>
      </c>
      <c r="AN507" s="147" t="str">
        <f t="shared" si="254"/>
        <v>1.98254980485694i</v>
      </c>
      <c r="AO507" s="147" t="str">
        <f t="shared" si="255"/>
        <v>0.462243348585315-0.706270713691079i</v>
      </c>
      <c r="AP507" s="147" t="str">
        <f t="shared" si="256"/>
        <v>-0.0667028109340693-0.152736743422372i</v>
      </c>
      <c r="AQ507" s="147" t="str">
        <f t="shared" si="257"/>
        <v>1.06670281093407+0.152736743422372i</v>
      </c>
      <c r="AR507" s="147" t="str">
        <f t="shared" si="258"/>
        <v>0.76522230836148-0.109569002889322i</v>
      </c>
    </row>
    <row r="508" spans="7:44">
      <c r="G508" s="585">
        <v>67223.25</v>
      </c>
      <c r="H508" s="573">
        <f t="shared" si="250"/>
        <v>67.223249999999993</v>
      </c>
      <c r="I508" s="574">
        <f t="shared" si="230"/>
        <v>464.31815271109866</v>
      </c>
      <c r="J508" s="575">
        <f t="shared" si="231"/>
        <v>1.5686426294491644</v>
      </c>
      <c r="K508" s="575">
        <f t="shared" si="232"/>
        <v>1.0668430997039233</v>
      </c>
      <c r="L508" s="576">
        <f t="shared" si="233"/>
        <v>0.35586647777532804</v>
      </c>
      <c r="M508" s="575">
        <f t="shared" si="234"/>
        <v>1.101610616841799</v>
      </c>
      <c r="N508" s="576">
        <f t="shared" si="235"/>
        <v>-0.43287911044899752</v>
      </c>
      <c r="O508" s="574">
        <f t="shared" si="236"/>
        <v>1267128.4086550698</v>
      </c>
      <c r="P508" s="577">
        <f t="shared" si="237"/>
        <v>1.5707955376088969</v>
      </c>
      <c r="Q508" s="586">
        <f t="shared" si="259"/>
        <v>169.79815145807171</v>
      </c>
      <c r="R508" s="587">
        <f t="shared" si="260"/>
        <v>1.564906947127126</v>
      </c>
      <c r="S508" s="574">
        <f t="shared" si="238"/>
        <v>2.7362095595330613</v>
      </c>
      <c r="T508" s="577">
        <f t="shared" si="239"/>
        <v>1.196659628902542</v>
      </c>
      <c r="U508" s="578">
        <f t="shared" si="251"/>
        <v>0.65020881102028394</v>
      </c>
      <c r="V508" s="579">
        <f t="shared" si="252"/>
        <v>-1.1382645356236334</v>
      </c>
      <c r="W508" s="580">
        <f t="shared" si="240"/>
        <v>-34.48584860370169</v>
      </c>
      <c r="X508" s="581">
        <f t="shared" si="241"/>
        <v>-228.40779280647359</v>
      </c>
      <c r="Y508" s="584">
        <f t="shared" si="242"/>
        <v>-48.407792806473594</v>
      </c>
      <c r="AA508" s="147">
        <f t="shared" si="243"/>
        <v>67223.25</v>
      </c>
      <c r="AB508" s="147">
        <f t="shared" si="244"/>
        <v>4518965340.5625</v>
      </c>
      <c r="AD508" s="583">
        <f t="shared" si="245"/>
        <v>18.904709587097326</v>
      </c>
      <c r="AE508" s="584">
        <f t="shared" si="246"/>
        <v>-68.900937710424131</v>
      </c>
      <c r="AG508" s="583">
        <f t="shared" si="247"/>
        <v>13.374520669750991</v>
      </c>
      <c r="AH508" s="584">
        <f t="shared" si="248"/>
        <v>-29.071347225699707</v>
      </c>
      <c r="AJ508" s="147">
        <f t="shared" si="249"/>
        <v>0</v>
      </c>
      <c r="AK508" s="147">
        <f t="shared" si="261"/>
        <v>0</v>
      </c>
      <c r="AM508" s="147" t="str">
        <f t="shared" si="253"/>
        <v>1.41064911038476+0.91179345695185i</v>
      </c>
      <c r="AN508" s="147" t="str">
        <f t="shared" si="254"/>
        <v>1.99396218002123i</v>
      </c>
      <c r="AO508" s="147" t="str">
        <f t="shared" si="255"/>
        <v>0.457277207204673-0.707460314202018i</v>
      </c>
      <c r="AP508" s="147" t="str">
        <f t="shared" si="256"/>
        <v>-0.0684415183974602-0.151965576158642i</v>
      </c>
      <c r="AQ508" s="147" t="str">
        <f t="shared" si="257"/>
        <v>1.06844151839746+0.151965576158642i</v>
      </c>
      <c r="AR508" s="147" t="str">
        <f t="shared" si="258"/>
        <v>0.764181102076161-0.10869029279275i</v>
      </c>
    </row>
    <row r="509" spans="7:44">
      <c r="G509" s="585">
        <v>67608</v>
      </c>
      <c r="H509" s="573">
        <f t="shared" si="250"/>
        <v>67.608000000000004</v>
      </c>
      <c r="I509" s="574">
        <f t="shared" si="230"/>
        <v>466.97564967798155</v>
      </c>
      <c r="J509" s="575">
        <f t="shared" si="231"/>
        <v>1.5686548858761145</v>
      </c>
      <c r="K509" s="575">
        <f t="shared" si="232"/>
        <v>1.067586140240917</v>
      </c>
      <c r="L509" s="576">
        <f t="shared" si="233"/>
        <v>0.35773431033423381</v>
      </c>
      <c r="M509" s="575">
        <f t="shared" si="234"/>
        <v>1.1027227178954337</v>
      </c>
      <c r="N509" s="576">
        <f t="shared" si="235"/>
        <v>-0.43505637249764717</v>
      </c>
      <c r="O509" s="574">
        <f t="shared" si="236"/>
        <v>1274380.7752875923</v>
      </c>
      <c r="P509" s="577">
        <f t="shared" si="237"/>
        <v>1.5707955421000712</v>
      </c>
      <c r="Q509" s="586">
        <f t="shared" si="259"/>
        <v>170.76995182915041</v>
      </c>
      <c r="R509" s="587">
        <f t="shared" si="260"/>
        <v>1.5649404621975052</v>
      </c>
      <c r="S509" s="574">
        <f t="shared" si="238"/>
        <v>2.7497835734361584</v>
      </c>
      <c r="T509" s="577">
        <f t="shared" si="239"/>
        <v>1.1985970686760443</v>
      </c>
      <c r="U509" s="578">
        <f t="shared" si="251"/>
        <v>0.64792090503746291</v>
      </c>
      <c r="V509" s="579">
        <f t="shared" si="252"/>
        <v>-1.1430208147331524</v>
      </c>
      <c r="W509" s="580">
        <f t="shared" si="240"/>
        <v>-34.594210388264798</v>
      </c>
      <c r="X509" s="581">
        <f t="shared" si="241"/>
        <v>-228.80782587877272</v>
      </c>
      <c r="Y509" s="584">
        <f t="shared" si="242"/>
        <v>-48.807825878772718</v>
      </c>
      <c r="AA509" s="147">
        <f t="shared" si="243"/>
        <v>67608</v>
      </c>
      <c r="AB509" s="147">
        <f t="shared" si="244"/>
        <v>4570841664</v>
      </c>
      <c r="AD509" s="583">
        <f t="shared" si="245"/>
        <v>18.861724729533083</v>
      </c>
      <c r="AE509" s="584">
        <f t="shared" si="246"/>
        <v>-69.010024817873784</v>
      </c>
      <c r="AG509" s="583">
        <f t="shared" si="247"/>
        <v>13.370378053005608</v>
      </c>
      <c r="AH509" s="584">
        <f t="shared" si="248"/>
        <v>-28.817263751603051</v>
      </c>
      <c r="AJ509" s="147">
        <f t="shared" si="249"/>
        <v>0</v>
      </c>
      <c r="AK509" s="147">
        <f t="shared" si="261"/>
        <v>0</v>
      </c>
      <c r="AM509" s="147" t="str">
        <f t="shared" si="253"/>
        <v>1.42102787185814+0.907047700575115i</v>
      </c>
      <c r="AN509" s="147" t="str">
        <f t="shared" si="254"/>
        <v>2.00537455518553i</v>
      </c>
      <c r="AO509" s="147" t="str">
        <f t="shared" si="255"/>
        <v>0.452308372134101-0.70860970494695i</v>
      </c>
      <c r="AP509" s="147" t="str">
        <f t="shared" si="256"/>
        <v>-0.070171311976357-0.151174616762519i</v>
      </c>
      <c r="AQ509" s="147" t="str">
        <f t="shared" si="257"/>
        <v>1.07017131197636+0.151174616762519i</v>
      </c>
      <c r="AR509" s="147" t="str">
        <f t="shared" si="258"/>
        <v>0.763151385384311-0.107804345833377i</v>
      </c>
    </row>
    <row r="510" spans="7:44">
      <c r="G510" s="585">
        <v>68001.75</v>
      </c>
      <c r="H510" s="573">
        <f t="shared" si="250"/>
        <v>68.001750000000001</v>
      </c>
      <c r="I510" s="574">
        <f t="shared" si="230"/>
        <v>469.69531038840245</v>
      </c>
      <c r="J510" s="575">
        <f t="shared" si="231"/>
        <v>1.568667285407102</v>
      </c>
      <c r="K510" s="575">
        <f t="shared" si="232"/>
        <v>1.068350412707519</v>
      </c>
      <c r="L510" s="576">
        <f t="shared" si="233"/>
        <v>0.3596431380025169</v>
      </c>
      <c r="M510" s="575">
        <f t="shared" si="234"/>
        <v>1.1038662342330998</v>
      </c>
      <c r="N510" s="576">
        <f t="shared" si="235"/>
        <v>-0.43728001168665703</v>
      </c>
      <c r="O510" s="574">
        <f t="shared" si="236"/>
        <v>1281802.7879232154</v>
      </c>
      <c r="P510" s="577">
        <f t="shared" si="237"/>
        <v>1.5707955466436836</v>
      </c>
      <c r="Q510" s="586">
        <f t="shared" si="259"/>
        <v>171.76448456898041</v>
      </c>
      <c r="R510" s="587">
        <f t="shared" si="260"/>
        <v>1.5649743685959636</v>
      </c>
      <c r="S510" s="574">
        <f t="shared" si="238"/>
        <v>2.7636856886829029</v>
      </c>
      <c r="T510" s="577">
        <f t="shared" si="239"/>
        <v>1.2005601164222475</v>
      </c>
      <c r="U510" s="578">
        <f t="shared" si="251"/>
        <v>0.64558697787978081</v>
      </c>
      <c r="V510" s="579">
        <f t="shared" si="252"/>
        <v>-1.1478738281806762</v>
      </c>
      <c r="W510" s="580">
        <f t="shared" si="240"/>
        <v>-34.704580788075887</v>
      </c>
      <c r="X510" s="581">
        <f t="shared" si="241"/>
        <v>-229.21516279761457</v>
      </c>
      <c r="Y510" s="584">
        <f t="shared" si="242"/>
        <v>-49.215162797614568</v>
      </c>
      <c r="AA510" s="147">
        <f t="shared" si="243"/>
        <v>68001.75</v>
      </c>
      <c r="AB510" s="147">
        <f t="shared" si="244"/>
        <v>4624238003.0625</v>
      </c>
      <c r="AD510" s="583">
        <f t="shared" si="245"/>
        <v>18.817920282830936</v>
      </c>
      <c r="AE510" s="584">
        <f t="shared" si="246"/>
        <v>-69.120556735639823</v>
      </c>
      <c r="AG510" s="583">
        <f t="shared" si="247"/>
        <v>13.366501337379891</v>
      </c>
      <c r="AH510" s="584">
        <f t="shared" si="248"/>
        <v>-28.557954375116665</v>
      </c>
      <c r="AJ510" s="147">
        <f t="shared" si="249"/>
        <v>0</v>
      </c>
      <c r="AK510" s="147">
        <f t="shared" si="261"/>
        <v>0</v>
      </c>
      <c r="AM510" s="147" t="str">
        <f t="shared" si="253"/>
        <v>1.43159262642339+0.902068625336765i</v>
      </c>
      <c r="AN510" s="147" t="str">
        <f t="shared" si="254"/>
        <v>2.01705388649402i</v>
      </c>
      <c r="AO510" s="147" t="str">
        <f t="shared" si="255"/>
        <v>0.447220885558349-0.7097443633059i</v>
      </c>
      <c r="AP510" s="147" t="str">
        <f t="shared" si="256"/>
        <v>-0.0719321044038982-0.150344770889461i</v>
      </c>
      <c r="AQ510" s="147" t="str">
        <f t="shared" si="257"/>
        <v>1.0719321044039+0.150344770889461i</v>
      </c>
      <c r="AR510" s="147" t="str">
        <f t="shared" si="258"/>
        <v>0.762109461074037-0.10689032621295i</v>
      </c>
    </row>
    <row r="511" spans="7:44">
      <c r="G511" s="585">
        <v>68395.5</v>
      </c>
      <c r="H511" s="573">
        <f t="shared" si="250"/>
        <v>68.395499999999998</v>
      </c>
      <c r="I511" s="574">
        <f t="shared" si="230"/>
        <v>472.41497117020685</v>
      </c>
      <c r="J511" s="575">
        <f t="shared" si="231"/>
        <v>1.5686795421715822</v>
      </c>
      <c r="K511" s="575">
        <f t="shared" si="232"/>
        <v>1.0691185722666219</v>
      </c>
      <c r="L511" s="576">
        <f t="shared" si="233"/>
        <v>0.36154922962984859</v>
      </c>
      <c r="M511" s="575">
        <f t="shared" si="234"/>
        <v>1.1050151974036417</v>
      </c>
      <c r="N511" s="576">
        <f t="shared" si="235"/>
        <v>-0.43949903767608178</v>
      </c>
      <c r="O511" s="574">
        <f t="shared" si="236"/>
        <v>1289224.8005588381</v>
      </c>
      <c r="P511" s="577">
        <f t="shared" si="237"/>
        <v>1.5707955511349809</v>
      </c>
      <c r="Q511" s="586">
        <f t="shared" si="259"/>
        <v>172.75901750400487</v>
      </c>
      <c r="R511" s="587">
        <f t="shared" si="260"/>
        <v>1.5650078846121755</v>
      </c>
      <c r="S511" s="574">
        <f t="shared" si="238"/>
        <v>2.7775983473161738</v>
      </c>
      <c r="T511" s="577">
        <f t="shared" si="239"/>
        <v>1.2025035062512732</v>
      </c>
      <c r="U511" s="578">
        <f t="shared" si="251"/>
        <v>0.64326065540921762</v>
      </c>
      <c r="V511" s="579">
        <f t="shared" si="252"/>
        <v>-1.1527123171470959</v>
      </c>
      <c r="W511" s="580">
        <f t="shared" si="240"/>
        <v>-34.81442333180496</v>
      </c>
      <c r="X511" s="581">
        <f t="shared" si="241"/>
        <v>-229.6204478403711</v>
      </c>
      <c r="Y511" s="584">
        <f t="shared" si="242"/>
        <v>-49.620447840371099</v>
      </c>
      <c r="AA511" s="147">
        <f t="shared" si="243"/>
        <v>68395.5</v>
      </c>
      <c r="AB511" s="147">
        <f t="shared" si="244"/>
        <v>4677944420.25</v>
      </c>
      <c r="AD511" s="583">
        <f t="shared" si="245"/>
        <v>18.774302683369459</v>
      </c>
      <c r="AE511" s="584">
        <f t="shared" si="246"/>
        <v>-69.229984701974047</v>
      </c>
      <c r="AG511" s="583">
        <f t="shared" si="247"/>
        <v>13.362987303737235</v>
      </c>
      <c r="AH511" s="584">
        <f t="shared" si="248"/>
        <v>-28.299361456912472</v>
      </c>
      <c r="AJ511" s="147">
        <f t="shared" si="249"/>
        <v>0</v>
      </c>
      <c r="AK511" s="147">
        <f t="shared" si="261"/>
        <v>0</v>
      </c>
      <c r="AM511" s="147" t="str">
        <f t="shared" si="253"/>
        <v>1.44209850949748+0.896966503220774i</v>
      </c>
      <c r="AN511" s="147" t="str">
        <f t="shared" si="254"/>
        <v>2.02873321780251i</v>
      </c>
      <c r="AO511" s="147" t="str">
        <f t="shared" si="255"/>
        <v>0.442131323798381-0.710836938461301i</v>
      </c>
      <c r="AP511" s="147" t="str">
        <f t="shared" si="256"/>
        <v>-0.0736830849162475-0.149494417203462i</v>
      </c>
      <c r="AQ511" s="147" t="str">
        <f t="shared" si="257"/>
        <v>1.07368308491625+0.149494417203462i</v>
      </c>
      <c r="AR511" s="147" t="str">
        <f t="shared" si="258"/>
        <v>0.761079535450959-0.10596901748396i</v>
      </c>
    </row>
    <row r="512" spans="7:44">
      <c r="G512" s="585">
        <v>68789.25</v>
      </c>
      <c r="H512" s="573">
        <f t="shared" si="250"/>
        <v>68.789249999999996</v>
      </c>
      <c r="I512" s="574">
        <f t="shared" si="230"/>
        <v>475.13463202216883</v>
      </c>
      <c r="J512" s="575">
        <f t="shared" si="231"/>
        <v>1.5686916586211292</v>
      </c>
      <c r="K512" s="575">
        <f t="shared" si="232"/>
        <v>1.0698906105456671</v>
      </c>
      <c r="L512" s="576">
        <f t="shared" si="233"/>
        <v>0.36345257727408298</v>
      </c>
      <c r="M512" s="575">
        <f t="shared" si="234"/>
        <v>1.1061695904344075</v>
      </c>
      <c r="N512" s="576">
        <f t="shared" si="235"/>
        <v>-0.44171344302172733</v>
      </c>
      <c r="O512" s="574">
        <f t="shared" si="236"/>
        <v>1296646.8131944607</v>
      </c>
      <c r="P512" s="577">
        <f t="shared" si="237"/>
        <v>1.5707955555748621</v>
      </c>
      <c r="Q512" s="586">
        <f t="shared" si="259"/>
        <v>173.75355063087201</v>
      </c>
      <c r="R512" s="587">
        <f t="shared" si="260"/>
        <v>1.5650410169494917</v>
      </c>
      <c r="S512" s="574">
        <f t="shared" si="238"/>
        <v>2.7915213916944777</v>
      </c>
      <c r="T512" s="577">
        <f t="shared" si="239"/>
        <v>1.2044275175115498</v>
      </c>
      <c r="U512" s="578">
        <f t="shared" si="251"/>
        <v>0.64094195661723286</v>
      </c>
      <c r="V512" s="579">
        <f t="shared" si="252"/>
        <v>-1.1575364497306035</v>
      </c>
      <c r="W512" s="580">
        <f t="shared" si="240"/>
        <v>-34.923742401550115</v>
      </c>
      <c r="X512" s="581">
        <f t="shared" si="241"/>
        <v>-230.02370642881837</v>
      </c>
      <c r="Y512" s="584">
        <f t="shared" si="242"/>
        <v>-50.023706428818372</v>
      </c>
      <c r="AA512" s="147">
        <f t="shared" si="243"/>
        <v>68789.25</v>
      </c>
      <c r="AB512" s="147">
        <f t="shared" si="244"/>
        <v>4731960915.5625</v>
      </c>
      <c r="AD512" s="583">
        <f t="shared" si="245"/>
        <v>18.730870719299464</v>
      </c>
      <c r="AE512" s="584">
        <f t="shared" si="246"/>
        <v>-69.338324338340186</v>
      </c>
      <c r="AG512" s="583">
        <f t="shared" si="247"/>
        <v>13.359831681421957</v>
      </c>
      <c r="AH512" s="584">
        <f t="shared" si="248"/>
        <v>-28.041475534668887</v>
      </c>
      <c r="AJ512" s="147">
        <f t="shared" si="249"/>
        <v>0</v>
      </c>
      <c r="AK512" s="147">
        <f t="shared" si="261"/>
        <v>0</v>
      </c>
      <c r="AM512" s="147" t="str">
        <f t="shared" si="253"/>
        <v>1.45254408802304+0.891742030183278i</v>
      </c>
      <c r="AN512" s="147" t="str">
        <f t="shared" si="254"/>
        <v>2.040412549111i</v>
      </c>
      <c r="AO512" s="147" t="str">
        <f t="shared" si="255"/>
        <v>0.437040063575284-0.711887450729465i</v>
      </c>
      <c r="AP512" s="147" t="str">
        <f t="shared" si="256"/>
        <v>-0.0754240146705067-0.148623671697213i</v>
      </c>
      <c r="AQ512" s="147" t="str">
        <f t="shared" si="257"/>
        <v>1.07542401467051+0.148623671697213i</v>
      </c>
      <c r="AR512" s="147" t="str">
        <f t="shared" si="258"/>
        <v>0.76006158936094-0.105040563150761i</v>
      </c>
    </row>
    <row r="513" spans="7:44">
      <c r="G513" s="585">
        <v>69183</v>
      </c>
      <c r="H513" s="573">
        <f t="shared" si="250"/>
        <v>69.183000000000007</v>
      </c>
      <c r="I513" s="574">
        <f t="shared" si="230"/>
        <v>477.85429294309057</v>
      </c>
      <c r="J513" s="575">
        <f t="shared" si="231"/>
        <v>1.5687036371515055</v>
      </c>
      <c r="K513" s="575">
        <f t="shared" si="232"/>
        <v>1.0706665191540299</v>
      </c>
      <c r="L513" s="576">
        <f t="shared" si="233"/>
        <v>0.36535317309544901</v>
      </c>
      <c r="M513" s="575">
        <f t="shared" si="234"/>
        <v>1.1073293963434785</v>
      </c>
      <c r="N513" s="576">
        <f t="shared" si="235"/>
        <v>-0.44392322049162941</v>
      </c>
      <c r="O513" s="574">
        <f t="shared" si="236"/>
        <v>1304068.8258300836</v>
      </c>
      <c r="P513" s="577">
        <f t="shared" si="237"/>
        <v>1.5707955599642047</v>
      </c>
      <c r="Q513" s="586">
        <f t="shared" si="259"/>
        <v>174.74808394630631</v>
      </c>
      <c r="R513" s="587">
        <f t="shared" si="260"/>
        <v>1.5650737721586654</v>
      </c>
      <c r="S513" s="574">
        <f t="shared" si="238"/>
        <v>2.8054546671892058</v>
      </c>
      <c r="T513" s="577">
        <f t="shared" si="239"/>
        <v>1.2063324245820903</v>
      </c>
      <c r="U513" s="578">
        <f t="shared" si="251"/>
        <v>0.63863089844225696</v>
      </c>
      <c r="V513" s="579">
        <f t="shared" si="252"/>
        <v>-1.1623463937537397</v>
      </c>
      <c r="W513" s="580">
        <f t="shared" si="240"/>
        <v>-35.032542338311487</v>
      </c>
      <c r="X513" s="581">
        <f t="shared" si="241"/>
        <v>-230.42496369605072</v>
      </c>
      <c r="Y513" s="584">
        <f t="shared" si="242"/>
        <v>-50.424963696050725</v>
      </c>
      <c r="AA513" s="147">
        <f t="shared" si="243"/>
        <v>69183</v>
      </c>
      <c r="AB513" s="147">
        <f t="shared" si="244"/>
        <v>4786287489</v>
      </c>
      <c r="AD513" s="583">
        <f t="shared" si="245"/>
        <v>18.687623183015429</v>
      </c>
      <c r="AE513" s="584">
        <f t="shared" si="246"/>
        <v>-69.445590990217454</v>
      </c>
      <c r="AG513" s="583">
        <f t="shared" si="247"/>
        <v>13.357030277897197</v>
      </c>
      <c r="AH513" s="584">
        <f t="shared" si="248"/>
        <v>-27.78428716495447</v>
      </c>
      <c r="AJ513" s="147">
        <f t="shared" si="249"/>
        <v>0</v>
      </c>
      <c r="AK513" s="147">
        <f t="shared" si="261"/>
        <v>0</v>
      </c>
      <c r="AM513" s="147" t="str">
        <f t="shared" si="253"/>
        <v>1.46292793716851+0.886395918869726i</v>
      </c>
      <c r="AN513" s="147" t="str">
        <f t="shared" si="254"/>
        <v>2.05209188041948i</v>
      </c>
      <c r="AO513" s="147" t="str">
        <f t="shared" si="255"/>
        <v>0.431947481166649-0.712895923972695i</v>
      </c>
      <c r="AP513" s="147" t="str">
        <f t="shared" si="256"/>
        <v>-0.0771546561947522-0.147732653144954i</v>
      </c>
      <c r="AQ513" s="147" t="str">
        <f t="shared" si="257"/>
        <v>1.07715465619475+0.147732653144954i</v>
      </c>
      <c r="AR513" s="147" t="str">
        <f t="shared" si="258"/>
        <v>0.759055602648747-0.104105104516734i</v>
      </c>
    </row>
    <row r="514" spans="7:44">
      <c r="G514" s="585">
        <v>69586</v>
      </c>
      <c r="H514" s="573">
        <f t="shared" si="250"/>
        <v>69.585999999999999</v>
      </c>
      <c r="I514" s="574">
        <f t="shared" si="230"/>
        <v>480.63784438123059</v>
      </c>
      <c r="J514" s="575">
        <f t="shared" si="231"/>
        <v>1.5687157567083905</v>
      </c>
      <c r="K514" s="575">
        <f t="shared" si="232"/>
        <v>1.0714646544617847</v>
      </c>
      <c r="L514" s="576">
        <f t="shared" si="233"/>
        <v>0.36729556020881798</v>
      </c>
      <c r="M514" s="575">
        <f t="shared" si="234"/>
        <v>1.1085220358665313</v>
      </c>
      <c r="N514" s="576">
        <f t="shared" si="235"/>
        <v>-0.44618011063790908</v>
      </c>
      <c r="O514" s="574">
        <f t="shared" si="236"/>
        <v>1311665.1968577811</v>
      </c>
      <c r="P514" s="577">
        <f t="shared" si="237"/>
        <v>1.5707955644052241</v>
      </c>
      <c r="Q514" s="586">
        <f t="shared" si="259"/>
        <v>175.76598109345522</v>
      </c>
      <c r="R514" s="587">
        <f t="shared" si="260"/>
        <v>1.5651069130146866</v>
      </c>
      <c r="S514" s="574">
        <f t="shared" si="238"/>
        <v>2.8197257002574903</v>
      </c>
      <c r="T514" s="577">
        <f t="shared" si="239"/>
        <v>1.2082625804332481</v>
      </c>
      <c r="U514" s="578">
        <f t="shared" si="251"/>
        <v>0.63627347628219</v>
      </c>
      <c r="V514" s="579">
        <f t="shared" si="252"/>
        <v>-1.1672548156735747</v>
      </c>
      <c r="W514" s="580">
        <f t="shared" si="240"/>
        <v>-35.143365128674816</v>
      </c>
      <c r="X514" s="581">
        <f t="shared" si="241"/>
        <v>-230.83360085982866</v>
      </c>
      <c r="Y514" s="584">
        <f t="shared" si="242"/>
        <v>-50.833600859828664</v>
      </c>
      <c r="AA514" s="147">
        <f t="shared" si="243"/>
        <v>69586</v>
      </c>
      <c r="AB514" s="147">
        <f t="shared" si="244"/>
        <v>4842211396</v>
      </c>
      <c r="AD514" s="583">
        <f t="shared" si="245"/>
        <v>18.643549394848208</v>
      </c>
      <c r="AE514" s="584">
        <f t="shared" si="246"/>
        <v>-69.554282197687641</v>
      </c>
      <c r="AG514" s="583">
        <f t="shared" si="247"/>
        <v>13.354525567134818</v>
      </c>
      <c r="AH514" s="584">
        <f t="shared" si="248"/>
        <v>-27.521769400467381</v>
      </c>
      <c r="AJ514" s="147">
        <f t="shared" si="249"/>
        <v>0</v>
      </c>
      <c r="AK514" s="147">
        <f t="shared" si="261"/>
        <v>0</v>
      </c>
      <c r="AM514" s="147" t="str">
        <f t="shared" si="253"/>
        <v>1.47349032457144+0.880799019377993i</v>
      </c>
      <c r="AN514" s="147" t="str">
        <f t="shared" si="254"/>
        <v>2.06404558332062i</v>
      </c>
      <c r="AO514" s="147" t="str">
        <f t="shared" si="255"/>
        <v>0.426734286536914-0.713884584952286i</v>
      </c>
      <c r="AP514" s="147" t="str">
        <f t="shared" si="256"/>
        <v>-0.0789150540952397-0.146799836562999i</v>
      </c>
      <c r="AQ514" s="147" t="str">
        <f t="shared" si="257"/>
        <v>1.07891505409524+0.146799836562999i</v>
      </c>
      <c r="AR514" s="147" t="str">
        <f t="shared" si="258"/>
        <v>0.758038345306179-0.103140562157371i</v>
      </c>
    </row>
    <row r="515" spans="7:44">
      <c r="G515" s="585">
        <v>69989</v>
      </c>
      <c r="H515" s="573">
        <f t="shared" si="250"/>
        <v>69.989000000000004</v>
      </c>
      <c r="I515" s="574">
        <f t="shared" si="230"/>
        <v>483.42139588915541</v>
      </c>
      <c r="J515" s="575">
        <f t="shared" si="231"/>
        <v>1.5687277366959032</v>
      </c>
      <c r="K515" s="575">
        <f t="shared" si="232"/>
        <v>1.0722668262370227</v>
      </c>
      <c r="L515" s="576">
        <f t="shared" si="233"/>
        <v>0.36923504839844906</v>
      </c>
      <c r="M515" s="575">
        <f t="shared" si="234"/>
        <v>1.1097203095522901</v>
      </c>
      <c r="N515" s="576">
        <f t="shared" si="235"/>
        <v>-0.44843213826383366</v>
      </c>
      <c r="O515" s="574">
        <f t="shared" si="236"/>
        <v>1319261.5678854792</v>
      </c>
      <c r="P515" s="577">
        <f t="shared" si="237"/>
        <v>1.5707955687951001</v>
      </c>
      <c r="Q515" s="586">
        <f t="shared" si="259"/>
        <v>176.78387843142769</v>
      </c>
      <c r="R515" s="587">
        <f t="shared" si="260"/>
        <v>1.5651396722297315</v>
      </c>
      <c r="S515" s="574">
        <f t="shared" si="238"/>
        <v>2.8340071323980482</v>
      </c>
      <c r="T515" s="577">
        <f t="shared" si="239"/>
        <v>1.2101732900471098</v>
      </c>
      <c r="U515" s="578">
        <f t="shared" si="251"/>
        <v>0.63392408747185314</v>
      </c>
      <c r="V515" s="579">
        <f t="shared" si="252"/>
        <v>-1.1721487293533048</v>
      </c>
      <c r="W515" s="580">
        <f t="shared" si="240"/>
        <v>-35.253653181649959</v>
      </c>
      <c r="X515" s="581">
        <f t="shared" si="241"/>
        <v>-231.24019393630576</v>
      </c>
      <c r="Y515" s="584">
        <f t="shared" si="242"/>
        <v>-51.240193936305758</v>
      </c>
      <c r="AA515" s="147">
        <f t="shared" si="243"/>
        <v>69989</v>
      </c>
      <c r="AB515" s="147">
        <f t="shared" si="244"/>
        <v>4898460121</v>
      </c>
      <c r="AD515" s="583">
        <f t="shared" si="245"/>
        <v>18.599666256328725</v>
      </c>
      <c r="AE515" s="584">
        <f t="shared" si="246"/>
        <v>-69.661881081319081</v>
      </c>
      <c r="AG515" s="583">
        <f t="shared" si="247"/>
        <v>13.35238327064304</v>
      </c>
      <c r="AH515" s="584">
        <f t="shared" si="248"/>
        <v>-27.259962394372458</v>
      </c>
      <c r="AJ515" s="147">
        <f t="shared" si="249"/>
        <v>0</v>
      </c>
      <c r="AK515" s="147">
        <f t="shared" si="261"/>
        <v>0</v>
      </c>
      <c r="AM515" s="147" t="str">
        <f t="shared" si="253"/>
        <v>1.48398505526784+0.875076263120755i</v>
      </c>
      <c r="AN515" s="147" t="str">
        <f t="shared" si="254"/>
        <v>2.07599928622175i</v>
      </c>
      <c r="AO515" s="147" t="str">
        <f t="shared" si="255"/>
        <v>0.421520502886764-0.714829270470822i</v>
      </c>
      <c r="AP515" s="147" t="str">
        <f t="shared" si="256"/>
        <v>-0.0806641758779735-0.145846043853459i</v>
      </c>
      <c r="AQ515" s="147" t="str">
        <f t="shared" si="257"/>
        <v>1.08066417587797+0.145846043853459i</v>
      </c>
      <c r="AR515" s="147" t="str">
        <f t="shared" si="258"/>
        <v>0.757033570131659-0.102168975091879i</v>
      </c>
    </row>
    <row r="516" spans="7:44">
      <c r="G516" s="585">
        <v>70392</v>
      </c>
      <c r="H516" s="573">
        <f t="shared" si="250"/>
        <v>70.391999999999996</v>
      </c>
      <c r="I516" s="574">
        <f t="shared" si="230"/>
        <v>486.20494746566652</v>
      </c>
      <c r="J516" s="575">
        <f t="shared" si="231"/>
        <v>1.5687395795111683</v>
      </c>
      <c r="K516" s="575">
        <f t="shared" si="232"/>
        <v>1.0730730254274043</v>
      </c>
      <c r="L516" s="576">
        <f t="shared" si="233"/>
        <v>0.37117162959077332</v>
      </c>
      <c r="M516" s="575">
        <f t="shared" si="234"/>
        <v>1.1109241991692616</v>
      </c>
      <c r="N516" s="576">
        <f t="shared" si="235"/>
        <v>-0.45067929629808001</v>
      </c>
      <c r="O516" s="574">
        <f t="shared" si="236"/>
        <v>1326857.9389131768</v>
      </c>
      <c r="P516" s="577">
        <f t="shared" si="237"/>
        <v>1.5707955731347114</v>
      </c>
      <c r="Q516" s="586">
        <f t="shared" si="259"/>
        <v>177.80177595694644</v>
      </c>
      <c r="R516" s="587">
        <f t="shared" si="260"/>
        <v>1.5651720563582996</v>
      </c>
      <c r="S516" s="574">
        <f t="shared" si="238"/>
        <v>2.8482988071873603</v>
      </c>
      <c r="T516" s="577">
        <f t="shared" si="239"/>
        <v>1.2120648320878877</v>
      </c>
      <c r="U516" s="578">
        <f t="shared" si="251"/>
        <v>0.63158274381080093</v>
      </c>
      <c r="V516" s="579">
        <f t="shared" si="252"/>
        <v>-1.1770283137394226</v>
      </c>
      <c r="W516" s="580">
        <f t="shared" si="240"/>
        <v>-35.363411022860511</v>
      </c>
      <c r="X516" s="581">
        <f t="shared" si="241"/>
        <v>-231.64476896391875</v>
      </c>
      <c r="Y516" s="584">
        <f t="shared" si="242"/>
        <v>-51.64476896391875</v>
      </c>
      <c r="AA516" s="147">
        <f t="shared" si="243"/>
        <v>70392</v>
      </c>
      <c r="AB516" s="147">
        <f t="shared" si="244"/>
        <v>4955033664</v>
      </c>
      <c r="AD516" s="583">
        <f t="shared" si="245"/>
        <v>18.555972488061261</v>
      </c>
      <c r="AE516" s="584">
        <f t="shared" si="246"/>
        <v>-69.76840323190018</v>
      </c>
      <c r="AG516" s="583">
        <f t="shared" si="247"/>
        <v>13.35059913786572</v>
      </c>
      <c r="AH516" s="584">
        <f t="shared" si="248"/>
        <v>-26.998856088560498</v>
      </c>
      <c r="AJ516" s="147">
        <f t="shared" si="249"/>
        <v>0</v>
      </c>
      <c r="AK516" s="147">
        <f t="shared" si="261"/>
        <v>0</v>
      </c>
      <c r="AM516" s="147" t="str">
        <f t="shared" si="253"/>
        <v>1.49441062967289+0.869228467818708i</v>
      </c>
      <c r="AN516" s="147" t="str">
        <f t="shared" si="254"/>
        <v>2.08795298912288i</v>
      </c>
      <c r="AO516" s="147" t="str">
        <f t="shared" si="255"/>
        <v>0.416306531970271-0.715730017609578i</v>
      </c>
      <c r="AP516" s="147" t="str">
        <f t="shared" si="256"/>
        <v>-0.0824017716121478-0.144871411303118i</v>
      </c>
      <c r="AQ516" s="147" t="str">
        <f t="shared" si="257"/>
        <v>1.08240177161215+0.144871411303118i</v>
      </c>
      <c r="AR516" s="147" t="str">
        <f t="shared" si="258"/>
        <v>0.756041252595931-0.101190487801785i</v>
      </c>
    </row>
    <row r="517" spans="7:44">
      <c r="G517" s="585">
        <v>70795</v>
      </c>
      <c r="H517" s="573">
        <f t="shared" si="250"/>
        <v>70.795000000000002</v>
      </c>
      <c r="I517" s="574">
        <f t="shared" si="230"/>
        <v>488.98849910959262</v>
      </c>
      <c r="J517" s="575">
        <f t="shared" si="231"/>
        <v>1.5687512874967287</v>
      </c>
      <c r="K517" s="575">
        <f t="shared" si="232"/>
        <v>1.0738832429623943</v>
      </c>
      <c r="L517" s="576">
        <f t="shared" si="233"/>
        <v>0.37310529582362295</v>
      </c>
      <c r="M517" s="575">
        <f t="shared" si="234"/>
        <v>1.1121336864796354</v>
      </c>
      <c r="N517" s="576">
        <f t="shared" si="235"/>
        <v>-0.45292157789659127</v>
      </c>
      <c r="O517" s="574">
        <f t="shared" si="236"/>
        <v>1334454.3099408748</v>
      </c>
      <c r="P517" s="577">
        <f t="shared" si="237"/>
        <v>1.5707955774249163</v>
      </c>
      <c r="Q517" s="586">
        <f t="shared" si="259"/>
        <v>178.81967366680871</v>
      </c>
      <c r="R517" s="587">
        <f t="shared" si="260"/>
        <v>1.5652040718056519</v>
      </c>
      <c r="S517" s="574">
        <f t="shared" si="238"/>
        <v>2.8626005712146414</v>
      </c>
      <c r="T517" s="577">
        <f t="shared" si="239"/>
        <v>1.2139374802055323</v>
      </c>
      <c r="U517" s="578">
        <f t="shared" si="251"/>
        <v>0.6292494550587665</v>
      </c>
      <c r="V517" s="579">
        <f t="shared" si="252"/>
        <v>-1.1818937474200628</v>
      </c>
      <c r="W517" s="580">
        <f t="shared" si="240"/>
        <v>-35.472643136266015</v>
      </c>
      <c r="X517" s="581">
        <f t="shared" si="241"/>
        <v>-232.04735168533705</v>
      </c>
      <c r="Y517" s="584">
        <f t="shared" si="242"/>
        <v>-52.047351685337048</v>
      </c>
      <c r="AA517" s="147">
        <f t="shared" si="243"/>
        <v>70795</v>
      </c>
      <c r="AB517" s="147">
        <f t="shared" si="244"/>
        <v>5011932025</v>
      </c>
      <c r="AD517" s="583">
        <f t="shared" si="245"/>
        <v>18.512466816284523</v>
      </c>
      <c r="AE517" s="584">
        <f t="shared" si="246"/>
        <v>-69.873863961472964</v>
      </c>
      <c r="AG517" s="583">
        <f t="shared" si="247"/>
        <v>13.349168997514463</v>
      </c>
      <c r="AH517" s="584">
        <f t="shared" si="248"/>
        <v>-26.738440448965953</v>
      </c>
      <c r="AJ517" s="147">
        <f t="shared" si="249"/>
        <v>0</v>
      </c>
      <c r="AK517" s="147">
        <f t="shared" si="261"/>
        <v>0</v>
      </c>
      <c r="AM517" s="147" t="str">
        <f t="shared" si="253"/>
        <v>1.50476555808343+0.863256469059298i</v>
      </c>
      <c r="AN517" s="147" t="str">
        <f t="shared" si="254"/>
        <v>2.09990669202401i</v>
      </c>
      <c r="AO517" s="147" t="str">
        <f t="shared" si="255"/>
        <v>0.411092774901937-0.716586867311257i</v>
      </c>
      <c r="AP517" s="147" t="str">
        <f t="shared" si="256"/>
        <v>-0.0841275930139043-0.14387607817655i</v>
      </c>
      <c r="AQ517" s="147" t="str">
        <f t="shared" si="257"/>
        <v>1.0841275930139+0.14387607817655i</v>
      </c>
      <c r="AR517" s="147" t="str">
        <f t="shared" si="258"/>
        <v>0.755061367294706-0.10020524245396i</v>
      </c>
    </row>
    <row r="518" spans="7:44">
      <c r="G518" s="585">
        <v>71207.25</v>
      </c>
      <c r="H518" s="573">
        <f t="shared" si="250"/>
        <v>71.207250000000002</v>
      </c>
      <c r="I518" s="574">
        <f t="shared" si="230"/>
        <v>491.83594127544472</v>
      </c>
      <c r="J518" s="575">
        <f t="shared" si="231"/>
        <v>1.5687631270934055</v>
      </c>
      <c r="K518" s="575">
        <f t="shared" si="232"/>
        <v>1.0747162055779935</v>
      </c>
      <c r="L518" s="576">
        <f t="shared" si="233"/>
        <v>0.37508032094225696</v>
      </c>
      <c r="M518" s="575">
        <f t="shared" si="234"/>
        <v>1.1133767078471286</v>
      </c>
      <c r="N518" s="576">
        <f t="shared" si="235"/>
        <v>-0.45521027374501821</v>
      </c>
      <c r="O518" s="574">
        <f t="shared" si="236"/>
        <v>1342225.0393606476</v>
      </c>
      <c r="P518" s="577">
        <f t="shared" si="237"/>
        <v>1.5707955817633477</v>
      </c>
      <c r="Q518" s="586">
        <f t="shared" si="259"/>
        <v>179.86093522125893</v>
      </c>
      <c r="R518" s="587">
        <f t="shared" si="260"/>
        <v>1.5652364471532612</v>
      </c>
      <c r="S518" s="574">
        <f t="shared" si="238"/>
        <v>2.8772408839372186</v>
      </c>
      <c r="T518" s="577">
        <f t="shared" si="239"/>
        <v>1.2158338416993952</v>
      </c>
      <c r="U518" s="578">
        <f t="shared" si="251"/>
        <v>0.62687095311787699</v>
      </c>
      <c r="V518" s="579">
        <f t="shared" si="252"/>
        <v>-1.1868564008650901</v>
      </c>
      <c r="W518" s="580">
        <f t="shared" si="240"/>
        <v>-35.583843103848949</v>
      </c>
      <c r="X518" s="581">
        <f t="shared" si="241"/>
        <v>-232.45713993911113</v>
      </c>
      <c r="Y518" s="584">
        <f t="shared" si="242"/>
        <v>-52.45713993911113</v>
      </c>
      <c r="AA518" s="147">
        <f t="shared" si="243"/>
        <v>71207.25</v>
      </c>
      <c r="AB518" s="147">
        <f t="shared" si="244"/>
        <v>5070472452.5625</v>
      </c>
      <c r="AD518" s="583">
        <f t="shared" si="245"/>
        <v>18.468155865352806</v>
      </c>
      <c r="AE518" s="584">
        <f t="shared" si="246"/>
        <v>-69.980662749419992</v>
      </c>
      <c r="AG518" s="583">
        <f t="shared" si="247"/>
        <v>13.348068037228526</v>
      </c>
      <c r="AH518" s="584">
        <f t="shared" si="248"/>
        <v>-26.47275171897088</v>
      </c>
      <c r="AJ518" s="147">
        <f t="shared" si="249"/>
        <v>0</v>
      </c>
      <c r="AK518" s="147">
        <f t="shared" si="261"/>
        <v>0</v>
      </c>
      <c r="AM518" s="147" t="str">
        <f t="shared" si="253"/>
        <v>1.51528352216326+0.857019773276574i</v>
      </c>
      <c r="AN518" s="147" t="str">
        <f t="shared" si="254"/>
        <v>2.11213476651779i</v>
      </c>
      <c r="AO518" s="147" t="str">
        <f t="shared" si="255"/>
        <v>0.40575998599252-0.717418010528495i</v>
      </c>
      <c r="AP518" s="147" t="str">
        <f t="shared" si="256"/>
        <v>-0.0858805870272092-0.142836628879429i</v>
      </c>
      <c r="AQ518" s="147" t="str">
        <f t="shared" si="257"/>
        <v>1.08588058702721+0.142836628879429i</v>
      </c>
      <c r="AR518" s="147" t="str">
        <f t="shared" si="258"/>
        <v>0.754071827023255-0.0991905362262957i</v>
      </c>
    </row>
    <row r="519" spans="7:44">
      <c r="G519" s="585">
        <v>71619.5</v>
      </c>
      <c r="H519" s="573">
        <f t="shared" si="250"/>
        <v>71.619500000000002</v>
      </c>
      <c r="I519" s="574">
        <f t="shared" si="230"/>
        <v>494.68338350944674</v>
      </c>
      <c r="J519" s="575">
        <f t="shared" si="231"/>
        <v>1.5687748303905085</v>
      </c>
      <c r="K519" s="575">
        <f t="shared" si="232"/>
        <v>1.0755533538623372</v>
      </c>
      <c r="L519" s="576">
        <f t="shared" si="233"/>
        <v>0.3770522792532377</v>
      </c>
      <c r="M519" s="575">
        <f t="shared" si="234"/>
        <v>1.1146255481996754</v>
      </c>
      <c r="N519" s="576">
        <f t="shared" si="235"/>
        <v>-0.45749385296615513</v>
      </c>
      <c r="O519" s="574">
        <f t="shared" si="236"/>
        <v>1349995.7687804205</v>
      </c>
      <c r="P519" s="577">
        <f t="shared" si="237"/>
        <v>1.5707955860518341</v>
      </c>
      <c r="Q519" s="586">
        <f t="shared" si="259"/>
        <v>180.90219696206245</v>
      </c>
      <c r="R519" s="587">
        <f t="shared" si="260"/>
        <v>1.5652684497999485</v>
      </c>
      <c r="S519" s="574">
        <f t="shared" si="238"/>
        <v>2.8918914389690857</v>
      </c>
      <c r="T519" s="577">
        <f t="shared" si="239"/>
        <v>1.2177109956467509</v>
      </c>
      <c r="U519" s="578">
        <f t="shared" si="251"/>
        <v>0.62450089444115975</v>
      </c>
      <c r="V519" s="579">
        <f t="shared" si="252"/>
        <v>-1.1918046234021846</v>
      </c>
      <c r="W519" s="580">
        <f t="shared" si="240"/>
        <v>-35.694502294792883</v>
      </c>
      <c r="X519" s="581">
        <f t="shared" si="241"/>
        <v>-232.864896947338</v>
      </c>
      <c r="Y519" s="584">
        <f t="shared" si="242"/>
        <v>-52.864896947337996</v>
      </c>
      <c r="AA519" s="147">
        <f t="shared" si="243"/>
        <v>71619.5</v>
      </c>
      <c r="AB519" s="147">
        <f t="shared" si="244"/>
        <v>5129352780.25</v>
      </c>
      <c r="AD519" s="583">
        <f t="shared" si="245"/>
        <v>18.424039067246248</v>
      </c>
      <c r="AE519" s="584">
        <f t="shared" si="246"/>
        <v>-70.086382377344364</v>
      </c>
      <c r="AG519" s="583">
        <f t="shared" si="247"/>
        <v>13.347328923430187</v>
      </c>
      <c r="AH519" s="584">
        <f t="shared" si="248"/>
        <v>-26.20776456369142</v>
      </c>
      <c r="AJ519" s="147">
        <f t="shared" si="249"/>
        <v>0</v>
      </c>
      <c r="AK519" s="147">
        <f t="shared" si="261"/>
        <v>0</v>
      </c>
      <c r="AM519" s="147" t="str">
        <f t="shared" si="253"/>
        <v>1.52572443901926+0.850654932518402i</v>
      </c>
      <c r="AN519" s="147" t="str">
        <f t="shared" si="254"/>
        <v>2.12436284101157i</v>
      </c>
      <c r="AO519" s="147" t="str">
        <f t="shared" si="255"/>
        <v>0.400428267759259-0.718203317043875i</v>
      </c>
      <c r="AP519" s="147" t="str">
        <f t="shared" si="256"/>
        <v>-0.0876207398365428-0.1417758220864i</v>
      </c>
      <c r="AQ519" s="147" t="str">
        <f t="shared" si="257"/>
        <v>1.08762073983654+0.1417758220864i</v>
      </c>
      <c r="AR519" s="147" t="str">
        <f t="shared" si="258"/>
        <v>0.753095239891326-0.0981690517974069i</v>
      </c>
    </row>
    <row r="520" spans="7:44">
      <c r="G520" s="585">
        <v>72031.75</v>
      </c>
      <c r="H520" s="573">
        <f t="shared" si="250"/>
        <v>72.031750000000002</v>
      </c>
      <c r="I520" s="574">
        <f t="shared" si="230"/>
        <v>497.53082581042855</v>
      </c>
      <c r="J520" s="575">
        <f t="shared" si="231"/>
        <v>1.5687863997282219</v>
      </c>
      <c r="K520" s="575">
        <f t="shared" si="232"/>
        <v>1.0763946780494198</v>
      </c>
      <c r="L520" s="576">
        <f t="shared" si="233"/>
        <v>0.37902116259358953</v>
      </c>
      <c r="M520" s="575">
        <f t="shared" si="234"/>
        <v>1.1158801880002769</v>
      </c>
      <c r="N520" s="576">
        <f t="shared" si="235"/>
        <v>-0.45977230896239424</v>
      </c>
      <c r="O520" s="574">
        <f t="shared" si="236"/>
        <v>1357766.4982001935</v>
      </c>
      <c r="P520" s="577">
        <f t="shared" si="237"/>
        <v>1.5707955902912332</v>
      </c>
      <c r="Q520" s="586">
        <f t="shared" si="259"/>
        <v>181.94345888601987</v>
      </c>
      <c r="R520" s="587">
        <f t="shared" si="260"/>
        <v>1.5653000861445465</v>
      </c>
      <c r="S520" s="574">
        <f t="shared" si="238"/>
        <v>2.9065520814303292</v>
      </c>
      <c r="T520" s="577">
        <f t="shared" si="239"/>
        <v>1.219569219366061</v>
      </c>
      <c r="U520" s="578">
        <f t="shared" si="251"/>
        <v>0.62213928318274103</v>
      </c>
      <c r="V520" s="579">
        <f t="shared" si="252"/>
        <v>-1.1967386049607172</v>
      </c>
      <c r="W520" s="580">
        <f t="shared" si="240"/>
        <v>-35.804625378907375</v>
      </c>
      <c r="X520" s="581">
        <f t="shared" si="241"/>
        <v>-233.27064933854115</v>
      </c>
      <c r="Y520" s="584">
        <f t="shared" si="242"/>
        <v>-53.270649338541148</v>
      </c>
      <c r="AA520" s="147">
        <f t="shared" si="243"/>
        <v>72031.75</v>
      </c>
      <c r="AB520" s="147">
        <f t="shared" si="244"/>
        <v>5188573008.0625</v>
      </c>
      <c r="AD520" s="583">
        <f t="shared" si="245"/>
        <v>18.380115078087229</v>
      </c>
      <c r="AE520" s="584">
        <f t="shared" si="246"/>
        <v>-70.191038367846502</v>
      </c>
      <c r="AG520" s="583">
        <f t="shared" si="247"/>
        <v>13.346947438606973</v>
      </c>
      <c r="AH520" s="584">
        <f t="shared" si="248"/>
        <v>-25.943468324747858</v>
      </c>
      <c r="AJ520" s="147">
        <f t="shared" si="249"/>
        <v>0</v>
      </c>
      <c r="AK520" s="147">
        <f t="shared" si="261"/>
        <v>0</v>
      </c>
      <c r="AM520" s="147" t="str">
        <f t="shared" si="253"/>
        <v>1.53608674748437+0.844162898480873i</v>
      </c>
      <c r="AN520" s="147" t="str">
        <f t="shared" si="254"/>
        <v>2.13659091550534i</v>
      </c>
      <c r="AO520" s="147" t="str">
        <f t="shared" si="255"/>
        <v>0.395098047246548-0.718942843169891i</v>
      </c>
      <c r="AP520" s="147" t="str">
        <f t="shared" si="256"/>
        <v>-0.0893477912473952-0.140693816413479i</v>
      </c>
      <c r="AQ520" s="147" t="str">
        <f t="shared" si="257"/>
        <v>1.0893477912474+0.140693816413479i</v>
      </c>
      <c r="AR520" s="147" t="str">
        <f t="shared" si="258"/>
        <v>0.752131576203281-0.0971409340078171i</v>
      </c>
    </row>
    <row r="521" spans="7:44">
      <c r="G521" s="585">
        <v>72444</v>
      </c>
      <c r="H521" s="573">
        <f t="shared" si="250"/>
        <v>72.444000000000003</v>
      </c>
      <c r="I521" s="574">
        <f t="shared" si="230"/>
        <v>500.37826817724681</v>
      </c>
      <c r="J521" s="575">
        <f t="shared" si="231"/>
        <v>1.5687978373934623</v>
      </c>
      <c r="K521" s="575">
        <f t="shared" si="232"/>
        <v>1.0772401683551061</v>
      </c>
      <c r="L521" s="576">
        <f t="shared" si="233"/>
        <v>0.38098696292113515</v>
      </c>
      <c r="M521" s="575">
        <f t="shared" si="234"/>
        <v>1.1171406077091774</v>
      </c>
      <c r="N521" s="576">
        <f t="shared" si="235"/>
        <v>-0.46204563537846799</v>
      </c>
      <c r="O521" s="574">
        <f t="shared" si="236"/>
        <v>1365537.227619966</v>
      </c>
      <c r="P521" s="577">
        <f t="shared" si="237"/>
        <v>1.5707955944823826</v>
      </c>
      <c r="Q521" s="586">
        <f t="shared" si="259"/>
        <v>182.98472099000446</v>
      </c>
      <c r="R521" s="587">
        <f t="shared" si="260"/>
        <v>1.5653313624402432</v>
      </c>
      <c r="S521" s="574">
        <f t="shared" si="238"/>
        <v>2.92122265944462</v>
      </c>
      <c r="T521" s="577">
        <f t="shared" si="239"/>
        <v>1.2214087851336326</v>
      </c>
      <c r="U521" s="578">
        <f t="shared" si="251"/>
        <v>0.61978612148414503</v>
      </c>
      <c r="V521" s="579">
        <f t="shared" si="252"/>
        <v>-1.2016585350287112</v>
      </c>
      <c r="W521" s="580">
        <f t="shared" si="240"/>
        <v>-35.914216983878674</v>
      </c>
      <c r="X521" s="581">
        <f t="shared" si="241"/>
        <v>-233.67442343931828</v>
      </c>
      <c r="Y521" s="584">
        <f t="shared" si="242"/>
        <v>-53.674423439318275</v>
      </c>
      <c r="AA521" s="147">
        <f t="shared" si="243"/>
        <v>72444</v>
      </c>
      <c r="AB521" s="147">
        <f t="shared" si="244"/>
        <v>5248133136</v>
      </c>
      <c r="AD521" s="583">
        <f t="shared" si="245"/>
        <v>18.336382561011085</v>
      </c>
      <c r="AE521" s="584">
        <f t="shared" si="246"/>
        <v>-70.294645962976418</v>
      </c>
      <c r="AG521" s="583">
        <f t="shared" si="247"/>
        <v>13.346919445551563</v>
      </c>
      <c r="AH521" s="584">
        <f t="shared" si="248"/>
        <v>-25.679852372959651</v>
      </c>
      <c r="AJ521" s="147">
        <f t="shared" si="249"/>
        <v>0</v>
      </c>
      <c r="AK521" s="147">
        <f t="shared" si="261"/>
        <v>0</v>
      </c>
      <c r="AM521" s="147" t="str">
        <f t="shared" si="253"/>
        <v>1.5463688981454+0.837544641878501i</v>
      </c>
      <c r="AN521" s="147" t="str">
        <f t="shared" si="254"/>
        <v>2.14881898999912i</v>
      </c>
      <c r="AO521" s="147" t="str">
        <f t="shared" si="255"/>
        <v>0.389769750628853-0.719636649407139i</v>
      </c>
      <c r="AP521" s="147" t="str">
        <f t="shared" si="256"/>
        <v>-0.0910614830242325-0.139590773646417i</v>
      </c>
      <c r="AQ521" s="147" t="str">
        <f t="shared" si="257"/>
        <v>1.09106148302423+0.139590773646417i</v>
      </c>
      <c r="AR521" s="147" t="str">
        <f t="shared" si="258"/>
        <v>0.751180805530367-0.0961063252839566i</v>
      </c>
    </row>
    <row r="522" spans="7:44">
      <c r="G522" s="585">
        <v>72865.75</v>
      </c>
      <c r="H522" s="573">
        <f t="shared" si="250"/>
        <v>72.865750000000006</v>
      </c>
      <c r="I522" s="574">
        <f t="shared" si="230"/>
        <v>503.29132783961586</v>
      </c>
      <c r="J522" s="575">
        <f t="shared" si="231"/>
        <v>1.5688094047029357</v>
      </c>
      <c r="K522" s="575">
        <f t="shared" si="232"/>
        <v>1.0781094433783232</v>
      </c>
      <c r="L522" s="576">
        <f t="shared" si="233"/>
        <v>0.38299486502078112</v>
      </c>
      <c r="M522" s="575">
        <f t="shared" si="234"/>
        <v>1.1184360337253487</v>
      </c>
      <c r="N522" s="576">
        <f t="shared" si="235"/>
        <v>-0.4643660343125105</v>
      </c>
      <c r="O522" s="574">
        <f t="shared" si="236"/>
        <v>1373487.027820789</v>
      </c>
      <c r="P522" s="577">
        <f t="shared" si="237"/>
        <v>1.570795598721038</v>
      </c>
      <c r="Q522" s="586">
        <f t="shared" si="259"/>
        <v>184.04997840138896</v>
      </c>
      <c r="R522" s="587">
        <f t="shared" si="260"/>
        <v>1.5653629932575157</v>
      </c>
      <c r="S522" s="574">
        <f t="shared" si="238"/>
        <v>2.9362414365390905</v>
      </c>
      <c r="T522" s="577">
        <f t="shared" si="239"/>
        <v>1.2232717132550626</v>
      </c>
      <c r="U522" s="578">
        <f t="shared" si="251"/>
        <v>0.61738747694626195</v>
      </c>
      <c r="V522" s="579">
        <f t="shared" si="252"/>
        <v>-1.2066774974795662</v>
      </c>
      <c r="W522" s="580">
        <f t="shared" si="240"/>
        <v>-36.025788838083969</v>
      </c>
      <c r="X522" s="581">
        <f t="shared" si="241"/>
        <v>-234.08548216291084</v>
      </c>
      <c r="Y522" s="584">
        <f t="shared" si="242"/>
        <v>-54.085482162910836</v>
      </c>
      <c r="AA522" s="147">
        <f t="shared" si="243"/>
        <v>72865.75</v>
      </c>
      <c r="AB522" s="147">
        <f t="shared" si="244"/>
        <v>5309417523.0625</v>
      </c>
      <c r="AD522" s="583">
        <f t="shared" si="245"/>
        <v>18.291839014945843</v>
      </c>
      <c r="AE522" s="584">
        <f t="shared" si="246"/>
        <v>-70.399571812515305</v>
      </c>
      <c r="AG522" s="583">
        <f t="shared" si="247"/>
        <v>13.347252380389335</v>
      </c>
      <c r="AH522" s="584">
        <f t="shared" si="248"/>
        <v>-25.410854514418919</v>
      </c>
      <c r="AJ522" s="147">
        <f t="shared" si="249"/>
        <v>0</v>
      </c>
      <c r="AK522" s="147">
        <f t="shared" si="261"/>
        <v>0</v>
      </c>
      <c r="AM522" s="147" t="str">
        <f t="shared" si="253"/>
        <v>1.55680344047306+0.830644285285443i</v>
      </c>
      <c r="AN522" s="147" t="str">
        <f t="shared" si="254"/>
        <v>2.16132885153399i</v>
      </c>
      <c r="AO522" s="147" t="str">
        <f t="shared" si="255"/>
        <v>0.384321101666643-0.7202991989711i</v>
      </c>
      <c r="AP522" s="147" t="str">
        <f t="shared" si="256"/>
        <v>-0.0928005734121767-0.138440714214241i</v>
      </c>
      <c r="AQ522" s="147" t="str">
        <f t="shared" si="257"/>
        <v>1.09280057341218+0.138440714214241i</v>
      </c>
      <c r="AR522" s="147" t="str">
        <f t="shared" si="258"/>
        <v>0.750221434702132-0.0950413037528866i</v>
      </c>
    </row>
    <row r="523" spans="7:44">
      <c r="G523" s="585">
        <v>73287.5</v>
      </c>
      <c r="H523" s="573">
        <f t="shared" si="250"/>
        <v>73.287499999999994</v>
      </c>
      <c r="I523" s="574">
        <f t="shared" si="230"/>
        <v>506.20438756855145</v>
      </c>
      <c r="J523" s="575">
        <f t="shared" si="231"/>
        <v>1.568820838879375</v>
      </c>
      <c r="K523" s="575">
        <f t="shared" si="232"/>
        <v>1.078983057970148</v>
      </c>
      <c r="L523" s="576">
        <f t="shared" si="233"/>
        <v>0.38499952373640611</v>
      </c>
      <c r="M523" s="575">
        <f t="shared" si="234"/>
        <v>1.1197374677296181</v>
      </c>
      <c r="N523" s="576">
        <f t="shared" si="235"/>
        <v>-0.46668105184048764</v>
      </c>
      <c r="O523" s="574">
        <f t="shared" si="236"/>
        <v>1381436.828021612</v>
      </c>
      <c r="P523" s="577">
        <f t="shared" si="237"/>
        <v>1.5707956029109087</v>
      </c>
      <c r="Q523" s="586">
        <f t="shared" si="259"/>
        <v>185.11523599479773</v>
      </c>
      <c r="R523" s="587">
        <f t="shared" si="260"/>
        <v>1.5653942600316533</v>
      </c>
      <c r="S523" s="574">
        <f t="shared" si="238"/>
        <v>2.9512703001279248</v>
      </c>
      <c r="T523" s="577">
        <f t="shared" si="239"/>
        <v>1.225115674405362</v>
      </c>
      <c r="U523" s="578">
        <f t="shared" si="251"/>
        <v>0.61499767419540263</v>
      </c>
      <c r="V523" s="579">
        <f t="shared" si="252"/>
        <v>-1.2116821531210922</v>
      </c>
      <c r="W523" s="580">
        <f t="shared" si="240"/>
        <v>-36.136814102870801</v>
      </c>
      <c r="X523" s="581">
        <f t="shared" si="241"/>
        <v>-234.49452516705173</v>
      </c>
      <c r="Y523" s="584">
        <f t="shared" si="242"/>
        <v>-54.494525167051734</v>
      </c>
      <c r="AA523" s="147">
        <f t="shared" si="243"/>
        <v>73287.5</v>
      </c>
      <c r="AB523" s="147">
        <f t="shared" si="244"/>
        <v>5371057656.25</v>
      </c>
      <c r="AD523" s="583">
        <f t="shared" si="245"/>
        <v>18.247493059915914</v>
      </c>
      <c r="AE523" s="584">
        <f t="shared" si="246"/>
        <v>-70.503431789997052</v>
      </c>
      <c r="AG523" s="583">
        <f t="shared" si="247"/>
        <v>13.347946777465157</v>
      </c>
      <c r="AH523" s="584">
        <f t="shared" si="248"/>
        <v>-25.142546248071202</v>
      </c>
      <c r="AJ523" s="147">
        <f t="shared" si="249"/>
        <v>0</v>
      </c>
      <c r="AK523" s="147">
        <f t="shared" si="261"/>
        <v>0</v>
      </c>
      <c r="AM523" s="147" t="str">
        <f t="shared" si="253"/>
        <v>1.56715084607198+0.823613937351619i</v>
      </c>
      <c r="AN523" s="147" t="str">
        <f t="shared" si="254"/>
        <v>2.17383871306886i</v>
      </c>
      <c r="AO523" s="147" t="str">
        <f t="shared" si="255"/>
        <v>0.378875365683825-0.720914038677504i</v>
      </c>
      <c r="AP523" s="147" t="str">
        <f t="shared" si="256"/>
        <v>-0.0945251410119967-0.137268989558603i</v>
      </c>
      <c r="AQ523" s="147" t="str">
        <f t="shared" si="257"/>
        <v>1.094525141012+0.137268989558603i</v>
      </c>
      <c r="AR523" s="147" t="str">
        <f t="shared" si="258"/>
        <v>0.749275491404692-0.0939697826502646i</v>
      </c>
    </row>
    <row r="524" spans="7:44">
      <c r="G524" s="585">
        <v>73709.25</v>
      </c>
      <c r="H524" s="573">
        <f t="shared" si="250"/>
        <v>73.709249999999997</v>
      </c>
      <c r="I524" s="574">
        <f t="shared" si="230"/>
        <v>509.11744736291115</v>
      </c>
      <c r="J524" s="575">
        <f t="shared" si="231"/>
        <v>1.5688321422080522</v>
      </c>
      <c r="K524" s="575">
        <f t="shared" si="232"/>
        <v>1.079861001598363</v>
      </c>
      <c r="L524" s="576">
        <f t="shared" si="233"/>
        <v>0.38700093084729814</v>
      </c>
      <c r="M524" s="575">
        <f t="shared" si="234"/>
        <v>1.1210448887977564</v>
      </c>
      <c r="N524" s="576">
        <f t="shared" si="235"/>
        <v>-0.46899068193390925</v>
      </c>
      <c r="O524" s="574">
        <f t="shared" si="236"/>
        <v>1389386.628222435</v>
      </c>
      <c r="P524" s="577">
        <f t="shared" si="237"/>
        <v>1.5707956070528322</v>
      </c>
      <c r="Q524" s="586">
        <f t="shared" si="259"/>
        <v>186.1804937671063</v>
      </c>
      <c r="R524" s="587">
        <f t="shared" si="260"/>
        <v>1.5654251690113656</v>
      </c>
      <c r="S524" s="574">
        <f t="shared" si="238"/>
        <v>2.9663090969008588</v>
      </c>
      <c r="T524" s="577">
        <f t="shared" si="239"/>
        <v>1.2269409444288553</v>
      </c>
      <c r="U524" s="578">
        <f t="shared" si="251"/>
        <v>0.61261670932872425</v>
      </c>
      <c r="V524" s="579">
        <f t="shared" si="252"/>
        <v>-1.2166727033465932</v>
      </c>
      <c r="W524" s="580">
        <f t="shared" si="240"/>
        <v>-36.247297601807176</v>
      </c>
      <c r="X524" s="581">
        <f t="shared" si="241"/>
        <v>-234.90157969400775</v>
      </c>
      <c r="Y524" s="584">
        <f t="shared" si="242"/>
        <v>-54.901579694007751</v>
      </c>
      <c r="AA524" s="147">
        <f t="shared" si="243"/>
        <v>73709.25</v>
      </c>
      <c r="AB524" s="147">
        <f t="shared" si="244"/>
        <v>5433053535.5625</v>
      </c>
      <c r="AD524" s="583">
        <f t="shared" si="245"/>
        <v>18.203343288388499</v>
      </c>
      <c r="AE524" s="584">
        <f t="shared" si="246"/>
        <v>-70.606241342160601</v>
      </c>
      <c r="AG524" s="583">
        <f t="shared" si="247"/>
        <v>13.348998457960251</v>
      </c>
      <c r="AH524" s="584">
        <f t="shared" si="248"/>
        <v>-24.87491629147166</v>
      </c>
      <c r="AJ524" s="147">
        <f t="shared" si="249"/>
        <v>0</v>
      </c>
      <c r="AK524" s="147">
        <f t="shared" si="261"/>
        <v>0</v>
      </c>
      <c r="AM524" s="147" t="str">
        <f t="shared" si="253"/>
        <v>1.57740949562911+0.816454698288482i</v>
      </c>
      <c r="AN524" s="147" t="str">
        <f t="shared" si="254"/>
        <v>2.18634857460373i</v>
      </c>
      <c r="AO524" s="147" t="str">
        <f t="shared" si="255"/>
        <v>0.373432995896577-0.721481246838698i</v>
      </c>
      <c r="AP524" s="147" t="str">
        <f t="shared" si="256"/>
        <v>-0.0962349159381852-0.13607578304808i</v>
      </c>
      <c r="AQ524" s="147" t="str">
        <f t="shared" si="257"/>
        <v>1.09623491593819+0.13607578304808i</v>
      </c>
      <c r="AR524" s="147" t="str">
        <f t="shared" si="258"/>
        <v>0.748342941016144-0.0928919068410849i</v>
      </c>
    </row>
    <row r="525" spans="7:44">
      <c r="G525" s="585">
        <v>74131</v>
      </c>
      <c r="H525" s="573">
        <f t="shared" si="250"/>
        <v>74.131</v>
      </c>
      <c r="I525" s="574">
        <f t="shared" ref="I525:I588" si="262">SQRT(1+(G525/pole1)^2)</f>
        <v>512.0305072215782</v>
      </c>
      <c r="J525" s="575">
        <f t="shared" ref="J525:J588" si="263">ATAN(G525/pole1)</f>
        <v>1.568843316922234</v>
      </c>
      <c r="K525" s="575">
        <f t="shared" ref="K525:K588" si="264">SQRT(1+(G525/Zero1)^2)</f>
        <v>1.0807432637128678</v>
      </c>
      <c r="L525" s="576">
        <f t="shared" ref="L525:L588" si="265">ATAN(G525/Zero1)</f>
        <v>0.38899907826358848</v>
      </c>
      <c r="M525" s="575">
        <f t="shared" ref="M525:M588" si="266">SQRT(1+(G525/z_RHP)^2)</f>
        <v>1.1223582760069977</v>
      </c>
      <c r="N525" s="576">
        <f t="shared" ref="N525:N588" si="267">-ATAN(G525/z_RHP)</f>
        <v>-0.47129491882221852</v>
      </c>
      <c r="O525" s="574">
        <f t="shared" ref="O525:O588" si="268">SQRT(1+(G525/Pole2)^2)</f>
        <v>1397336.428423258</v>
      </c>
      <c r="P525" s="577">
        <f t="shared" ref="P525:P588" si="269">ATAN(G525/Pole2)</f>
        <v>1.5707956111476269</v>
      </c>
      <c r="Q525" s="586">
        <f t="shared" si="259"/>
        <v>187.24575171526141</v>
      </c>
      <c r="R525" s="587">
        <f t="shared" si="260"/>
        <v>1.5654557263031672</v>
      </c>
      <c r="S525" s="574">
        <f t="shared" ref="S525:S588" si="270">SQRT(1+(G525/pole4)^2)</f>
        <v>2.981357676540672</v>
      </c>
      <c r="T525" s="577">
        <f t="shared" ref="T525:T588" si="271">ATAN(G525/pole4)</f>
        <v>1.2287477941042129</v>
      </c>
      <c r="U525" s="578">
        <f t="shared" si="251"/>
        <v>0.61024457646681352</v>
      </c>
      <c r="V525" s="579">
        <f t="shared" si="252"/>
        <v>-1.2216493490250255</v>
      </c>
      <c r="W525" s="580">
        <f t="shared" ref="W525:W588" si="272">20*LOG10(((K525*Q525*M525*U525)/(I525*O525*S525))*Adc)</f>
        <v>-36.357244115895391</v>
      </c>
      <c r="X525" s="581">
        <f t="shared" ref="X525:X588" si="273">((L525+R525+N525+V525)-(J525+P525+T525))*radconv</f>
        <v>-235.30667267821022</v>
      </c>
      <c r="Y525" s="584">
        <f t="shared" ref="Y525:Y588" si="274">IF(X525&gt;0,X525,X525+180)</f>
        <v>-55.306672678210219</v>
      </c>
      <c r="AA525" s="147">
        <f t="shared" ref="AA525:AA588" si="275">IF(W525&lt;0,G525,1000000000)</f>
        <v>74131</v>
      </c>
      <c r="AB525" s="147">
        <f t="shared" ref="AB525:AB588" si="276">G525^2</f>
        <v>5495405161</v>
      </c>
      <c r="AD525" s="583">
        <f t="shared" ref="AD525:AD588" si="277">20*LOG10((Q525/(O525*S525))*Aea)</f>
        <v>18.159388301218794</v>
      </c>
      <c r="AE525" s="584">
        <f t="shared" ref="AE525:AE588" si="278">(R525-(P525+T525))*radconv</f>
        <v>-70.708015633650362</v>
      </c>
      <c r="AG525" s="583">
        <f t="shared" ref="AG525:AG588" si="279">20*LOG10((K525*M525/(I525*U525))*Acs*Am)</f>
        <v>13.350403324495479</v>
      </c>
      <c r="AH525" s="584">
        <f t="shared" ref="AH525:AH588" si="280">(L525+N525-(J525+V525))*radconv</f>
        <v>-24.607953396520369</v>
      </c>
      <c r="AJ525" s="147">
        <f t="shared" ref="AJ525:AJ588" si="281">SUM((W526&lt;0)*(W525&gt;0))*G525</f>
        <v>0</v>
      </c>
      <c r="AK525" s="147">
        <f t="shared" si="261"/>
        <v>0</v>
      </c>
      <c r="AM525" s="147" t="str">
        <f t="shared" si="253"/>
        <v>1.58757778372125+0.809167688478245i</v>
      </c>
      <c r="AN525" s="147" t="str">
        <f t="shared" si="254"/>
        <v>2.1988584361386i</v>
      </c>
      <c r="AO525" s="147" t="str">
        <f t="shared" si="255"/>
        <v>0.367994444380521-0.722000906301719i</v>
      </c>
      <c r="AP525" s="147" t="str">
        <f t="shared" si="256"/>
        <v>-0.097929630620208-0.134861281413041i</v>
      </c>
      <c r="AQ525" s="147" t="str">
        <f t="shared" si="257"/>
        <v>1.09792963062021+0.134861281413041i</v>
      </c>
      <c r="AR525" s="147" t="str">
        <f t="shared" si="258"/>
        <v>0.747423748336727-0.0918078186871494i</v>
      </c>
    </row>
    <row r="526" spans="7:44">
      <c r="G526" s="585">
        <v>74562.75</v>
      </c>
      <c r="H526" s="573">
        <f t="shared" ref="H526:H589" si="282">G526/1000</f>
        <v>74.562749999999994</v>
      </c>
      <c r="I526" s="574">
        <f t="shared" si="262"/>
        <v>515.0126379188938</v>
      </c>
      <c r="J526" s="575">
        <f t="shared" si="263"/>
        <v>1.5688546256506133</v>
      </c>
      <c r="K526" s="575">
        <f t="shared" si="264"/>
        <v>1.0816509071643474</v>
      </c>
      <c r="L526" s="576">
        <f t="shared" si="265"/>
        <v>0.39104121835737249</v>
      </c>
      <c r="M526" s="575">
        <f t="shared" si="266"/>
        <v>1.1237089627537007</v>
      </c>
      <c r="N526" s="576">
        <f t="shared" si="267"/>
        <v>-0.47364819855499052</v>
      </c>
      <c r="O526" s="574">
        <f t="shared" si="268"/>
        <v>1405474.724183081</v>
      </c>
      <c r="P526" s="577">
        <f t="shared" si="269"/>
        <v>1.5707956152915286</v>
      </c>
      <c r="Q526" s="586">
        <f t="shared" si="259"/>
        <v>188.33626788508687</v>
      </c>
      <c r="R526" s="587">
        <f t="shared" si="260"/>
        <v>1.5654866500660181</v>
      </c>
      <c r="S526" s="574">
        <f t="shared" si="270"/>
        <v>2.9967730486639663</v>
      </c>
      <c r="T526" s="577">
        <f t="shared" si="271"/>
        <v>1.2305786823339273</v>
      </c>
      <c r="U526" s="578">
        <f t="shared" ref="U526:U589" si="283">IMABS(IMPRODUCT(AO526, AR526))</f>
        <v>0.60782533905602998</v>
      </c>
      <c r="V526" s="579">
        <f t="shared" ref="V526:V589" si="284">IMARGUMENT(IMPRODUCT(AO526, AR526))</f>
        <v>-1.2267298007695493</v>
      </c>
      <c r="W526" s="580">
        <f t="shared" si="272"/>
        <v>-36.469246255475525</v>
      </c>
      <c r="X526" s="581">
        <f t="shared" si="273"/>
        <v>-235.71936665687682</v>
      </c>
      <c r="Y526" s="584">
        <f t="shared" si="274"/>
        <v>-55.719366656876815</v>
      </c>
      <c r="AA526" s="147">
        <f t="shared" si="275"/>
        <v>74562.75</v>
      </c>
      <c r="AB526" s="147">
        <f t="shared" si="276"/>
        <v>5559603687.5625</v>
      </c>
      <c r="AD526" s="583">
        <f t="shared" si="277"/>
        <v>18.114591424293604</v>
      </c>
      <c r="AE526" s="584">
        <f t="shared" si="278"/>
        <v>-70.811146238421074</v>
      </c>
      <c r="AG526" s="583">
        <f t="shared" si="279"/>
        <v>13.352203154309601</v>
      </c>
      <c r="AH526" s="584">
        <f t="shared" si="280"/>
        <v>-24.335339883788802</v>
      </c>
      <c r="AJ526" s="147">
        <f t="shared" si="281"/>
        <v>0</v>
      </c>
      <c r="AK526" s="147">
        <f t="shared" si="261"/>
        <v>0</v>
      </c>
      <c r="AM526" s="147" t="str">
        <f t="shared" ref="AM526:AM589" si="285">IMSUB(1,IMEXP(COMPLEX(0,-2*Pi*G526*Tsw)))</f>
        <v>1.5978919074039+0.801576738098684i</v>
      </c>
      <c r="AN526" s="147" t="str">
        <f t="shared" ref="AN526:AN589" si="286">COMPLEX(0, 2*Pi*G526*Tsw)</f>
        <v>2.21166491561146i</v>
      </c>
      <c r="AO526" s="147" t="str">
        <f t="shared" ref="AO526:AO589" si="287">IMDIV(AM526, AN526)</f>
        <v>0.362431366723142-0.722483725326054i</v>
      </c>
      <c r="AP526" s="147" t="str">
        <f t="shared" ref="AP526:AP589" si="288">IMDIV(IMEXP(COMPLEX(0,-2*Pi*G526*Tsw)),6)</f>
        <v>-0.0996486512339833-0.133596123016447i</v>
      </c>
      <c r="AQ526" s="147" t="str">
        <f t="shared" ref="AQ526:AQ589" si="289">IMSUB(1, AP526)</f>
        <v>1.09964865123398+0.133596123016447i</v>
      </c>
      <c r="AR526" s="147" t="str">
        <f t="shared" ref="AR526:AR589" si="290">IMDIV(0.833, AQ526)</f>
        <v>0.74649656017337-0.0906917370128762i</v>
      </c>
    </row>
    <row r="527" spans="7:44">
      <c r="G527" s="585">
        <v>74994.5</v>
      </c>
      <c r="H527" s="573">
        <f t="shared" si="282"/>
        <v>74.994500000000002</v>
      </c>
      <c r="I527" s="574">
        <f t="shared" si="262"/>
        <v>517.99476868131467</v>
      </c>
      <c r="J527" s="575">
        <f t="shared" si="263"/>
        <v>1.5688658041687724</v>
      </c>
      <c r="K527" s="575">
        <f t="shared" si="264"/>
        <v>1.0825630538887798</v>
      </c>
      <c r="L527" s="576">
        <f t="shared" si="265"/>
        <v>0.39307992560572536</v>
      </c>
      <c r="M527" s="575">
        <f t="shared" si="266"/>
        <v>1.125065857554886</v>
      </c>
      <c r="N527" s="576">
        <f t="shared" si="267"/>
        <v>-0.47599581487840892</v>
      </c>
      <c r="O527" s="574">
        <f t="shared" si="268"/>
        <v>1413613.0199429039</v>
      </c>
      <c r="P527" s="577">
        <f t="shared" si="269"/>
        <v>1.5707956193877166</v>
      </c>
      <c r="Q527" s="586">
        <f t="shared" si="259"/>
        <v>189.42678423294078</v>
      </c>
      <c r="R527" s="587">
        <f t="shared" si="260"/>
        <v>1.5655172177771488</v>
      </c>
      <c r="S527" s="574">
        <f t="shared" si="270"/>
        <v>3.0121983635855472</v>
      </c>
      <c r="T527" s="577">
        <f t="shared" si="271"/>
        <v>1.2323908248151152</v>
      </c>
      <c r="U527" s="578">
        <f t="shared" si="283"/>
        <v>0.60541533886106025</v>
      </c>
      <c r="V527" s="579">
        <f t="shared" si="284"/>
        <v>-1.2317961050637325</v>
      </c>
      <c r="W527" s="580">
        <f t="shared" si="272"/>
        <v>-36.580695650342932</v>
      </c>
      <c r="X527" s="581">
        <f t="shared" si="273"/>
        <v>-236.13006112920363</v>
      </c>
      <c r="Y527" s="584">
        <f t="shared" si="274"/>
        <v>-56.130061129203625</v>
      </c>
      <c r="AA527" s="147">
        <f t="shared" si="275"/>
        <v>74994.5</v>
      </c>
      <c r="AB527" s="147">
        <f t="shared" si="276"/>
        <v>5624175030.25</v>
      </c>
      <c r="AD527" s="583">
        <f t="shared" si="277"/>
        <v>18.069995738408117</v>
      </c>
      <c r="AE527" s="584">
        <f t="shared" si="278"/>
        <v>-70.913223188443268</v>
      </c>
      <c r="AG527" s="583">
        <f t="shared" si="279"/>
        <v>13.354364682403396</v>
      </c>
      <c r="AH527" s="584">
        <f t="shared" si="280"/>
        <v>-24.063401697858637</v>
      </c>
      <c r="AJ527" s="147">
        <f t="shared" si="281"/>
        <v>0</v>
      </c>
      <c r="AK527" s="147">
        <f t="shared" si="261"/>
        <v>0</v>
      </c>
      <c r="AM527" s="147" t="str">
        <f t="shared" si="285"/>
        <v>1.60810797461649+0.79385432618827i</v>
      </c>
      <c r="AN527" s="147" t="str">
        <f t="shared" si="286"/>
        <v>2.22447139508433i</v>
      </c>
      <c r="AO527" s="147" t="str">
        <f t="shared" si="287"/>
        <v>0.35687324545622-0.722916904290211i</v>
      </c>
      <c r="AP527" s="147" t="str">
        <f t="shared" si="288"/>
        <v>-0.101351329102748-0.132309054364712i</v>
      </c>
      <c r="AQ527" s="147" t="str">
        <f t="shared" si="289"/>
        <v>1.10135132910275+0.132309054364712i</v>
      </c>
      <c r="AR527" s="147" t="str">
        <f t="shared" si="290"/>
        <v>0.745583294389784-0.0895694389466123i</v>
      </c>
    </row>
    <row r="528" spans="7:44">
      <c r="G528" s="585">
        <v>75426.25</v>
      </c>
      <c r="H528" s="573">
        <f t="shared" si="282"/>
        <v>75.426249999999996</v>
      </c>
      <c r="I528" s="574">
        <f t="shared" si="262"/>
        <v>520.97689950772292</v>
      </c>
      <c r="J528" s="575">
        <f t="shared" si="263"/>
        <v>1.568876854712723</v>
      </c>
      <c r="K528" s="575">
        <f t="shared" si="264"/>
        <v>1.0834796925126824</v>
      </c>
      <c r="L528" s="576">
        <f t="shared" si="265"/>
        <v>0.39511519175303728</v>
      </c>
      <c r="M528" s="575">
        <f t="shared" si="266"/>
        <v>1.1264289379759114</v>
      </c>
      <c r="N528" s="576">
        <f t="shared" si="267"/>
        <v>-0.47833776242885467</v>
      </c>
      <c r="O528" s="574">
        <f t="shared" si="268"/>
        <v>1421751.3157027268</v>
      </c>
      <c r="P528" s="577">
        <f t="shared" si="269"/>
        <v>1.5707956234370104</v>
      </c>
      <c r="Q528" s="586">
        <f t="shared" si="259"/>
        <v>190.51730075576594</v>
      </c>
      <c r="R528" s="587">
        <f t="shared" si="260"/>
        <v>1.5655474355505965</v>
      </c>
      <c r="S528" s="574">
        <f t="shared" si="270"/>
        <v>3.0276334693344515</v>
      </c>
      <c r="T528" s="577">
        <f t="shared" si="271"/>
        <v>1.2341844962560888</v>
      </c>
      <c r="U528" s="578">
        <f t="shared" si="283"/>
        <v>0.60301456349114868</v>
      </c>
      <c r="V528" s="579">
        <f t="shared" si="284"/>
        <v>-1.2368484756476146</v>
      </c>
      <c r="W528" s="580">
        <f t="shared" si="272"/>
        <v>-36.691597296628885</v>
      </c>
      <c r="X528" s="581">
        <f t="shared" si="273"/>
        <v>-236.53878402477108</v>
      </c>
      <c r="Y528" s="584">
        <f t="shared" si="274"/>
        <v>-56.538784024771076</v>
      </c>
      <c r="AA528" s="147">
        <f t="shared" si="275"/>
        <v>75426.25</v>
      </c>
      <c r="AB528" s="147">
        <f t="shared" si="276"/>
        <v>5689119189.0625</v>
      </c>
      <c r="AD528" s="583">
        <f t="shared" si="277"/>
        <v>18.025599770735905</v>
      </c>
      <c r="AE528" s="584">
        <f t="shared" si="278"/>
        <v>-71.014261873082276</v>
      </c>
      <c r="AG528" s="583">
        <f t="shared" si="279"/>
        <v>13.356883768249048</v>
      </c>
      <c r="AH528" s="584">
        <f t="shared" si="280"/>
        <v>-23.792126886140579</v>
      </c>
      <c r="AJ528" s="147">
        <f t="shared" si="281"/>
        <v>0</v>
      </c>
      <c r="AK528" s="147">
        <f t="shared" si="261"/>
        <v>0</v>
      </c>
      <c r="AM528" s="147" t="str">
        <f t="shared" si="285"/>
        <v>1.61822430988643+0.786001719250947i</v>
      </c>
      <c r="AN528" s="147" t="str">
        <f t="shared" si="286"/>
        <v>2.23727787455719i</v>
      </c>
      <c r="AO528" s="147" t="str">
        <f t="shared" si="287"/>
        <v>0.351320561558101-0.723300546744429i</v>
      </c>
      <c r="AP528" s="147" t="str">
        <f t="shared" si="288"/>
        <v>-0.103037384981072-0.131000286541824i</v>
      </c>
      <c r="AQ528" s="147" t="str">
        <f t="shared" si="289"/>
        <v>1.10303738498107+0.131000286541824i</v>
      </c>
      <c r="AR528" s="147" t="str">
        <f t="shared" si="290"/>
        <v>0.744683911681569-0.0884410693070445i</v>
      </c>
    </row>
    <row r="529" spans="7:44">
      <c r="G529" s="585">
        <v>75858</v>
      </c>
      <c r="H529" s="573">
        <f t="shared" si="282"/>
        <v>75.858000000000004</v>
      </c>
      <c r="I529" s="574">
        <f t="shared" si="262"/>
        <v>523.95903039702569</v>
      </c>
      <c r="J529" s="575">
        <f t="shared" si="263"/>
        <v>1.5688877794675709</v>
      </c>
      <c r="K529" s="575">
        <f t="shared" si="264"/>
        <v>1.0844008116451145</v>
      </c>
      <c r="L529" s="576">
        <f t="shared" si="265"/>
        <v>0.39714700868557584</v>
      </c>
      <c r="M529" s="575">
        <f t="shared" si="266"/>
        <v>1.1277981815885691</v>
      </c>
      <c r="N529" s="576">
        <f t="shared" si="267"/>
        <v>-0.48067403611731119</v>
      </c>
      <c r="O529" s="574">
        <f t="shared" si="268"/>
        <v>1429889.6114625498</v>
      </c>
      <c r="P529" s="577">
        <f t="shared" si="269"/>
        <v>1.5707956274402108</v>
      </c>
      <c r="Q529" s="586">
        <f t="shared" si="259"/>
        <v>191.60781745057488</v>
      </c>
      <c r="R529" s="587">
        <f t="shared" si="260"/>
        <v>1.5655773093612113</v>
      </c>
      <c r="S529" s="574">
        <f t="shared" si="270"/>
        <v>3.0430782169275381</v>
      </c>
      <c r="T529" s="577">
        <f t="shared" si="271"/>
        <v>1.235959966268906</v>
      </c>
      <c r="U529" s="578">
        <f t="shared" si="283"/>
        <v>0.60062299861938051</v>
      </c>
      <c r="V529" s="579">
        <f t="shared" si="284"/>
        <v>-1.2418871256537707</v>
      </c>
      <c r="W529" s="580">
        <f t="shared" si="272"/>
        <v>-36.801956147393199</v>
      </c>
      <c r="X529" s="581">
        <f t="shared" si="273"/>
        <v>-236.94556295902234</v>
      </c>
      <c r="Y529" s="584">
        <f t="shared" si="274"/>
        <v>-56.94556295902234</v>
      </c>
      <c r="AA529" s="147">
        <f t="shared" si="275"/>
        <v>75858</v>
      </c>
      <c r="AB529" s="147">
        <f t="shared" si="276"/>
        <v>5754436164</v>
      </c>
      <c r="AD529" s="583">
        <f t="shared" si="277"/>
        <v>17.981402058230994</v>
      </c>
      <c r="AE529" s="584">
        <f t="shared" si="278"/>
        <v>-71.114277397683296</v>
      </c>
      <c r="AG529" s="583">
        <f t="shared" si="279"/>
        <v>13.359756354191193</v>
      </c>
      <c r="AH529" s="584">
        <f t="shared" si="280"/>
        <v>-23.521503535538379</v>
      </c>
      <c r="AJ529" s="147">
        <f t="shared" si="281"/>
        <v>0</v>
      </c>
      <c r="AK529" s="147">
        <f t="shared" si="261"/>
        <v>0</v>
      </c>
      <c r="AM529" s="147" t="str">
        <f t="shared" si="285"/>
        <v>1.62823925409758+0.778020205143107i</v>
      </c>
      <c r="AN529" s="147" t="str">
        <f t="shared" si="286"/>
        <v>2.25008435403005i</v>
      </c>
      <c r="AO529" s="147" t="str">
        <f t="shared" si="287"/>
        <v>0.345773794546689-0.723634761150752i</v>
      </c>
      <c r="AP529" s="147" t="str">
        <f t="shared" si="288"/>
        <v>-0.104706542349596-0.129670034190518i</v>
      </c>
      <c r="AQ529" s="147" t="str">
        <f t="shared" si="289"/>
        <v>1.1047065423496+0.129670034190518i</v>
      </c>
      <c r="AR529" s="147" t="str">
        <f t="shared" si="290"/>
        <v>0.743798372334277-0.0873067703268067i</v>
      </c>
    </row>
    <row r="530" spans="7:44">
      <c r="G530" s="585">
        <v>76299.75</v>
      </c>
      <c r="H530" s="573">
        <f t="shared" si="282"/>
        <v>76.299750000000003</v>
      </c>
      <c r="I530" s="574">
        <f t="shared" si="262"/>
        <v>527.01023212944983</v>
      </c>
      <c r="J530" s="575">
        <f t="shared" si="263"/>
        <v>1.5688988292908304</v>
      </c>
      <c r="K530" s="575">
        <f t="shared" si="264"/>
        <v>1.0853478908011869</v>
      </c>
      <c r="L530" s="576">
        <f t="shared" si="265"/>
        <v>0.39922230736328068</v>
      </c>
      <c r="M530" s="575">
        <f t="shared" si="266"/>
        <v>1.129205494591873</v>
      </c>
      <c r="N530" s="576">
        <f t="shared" si="267"/>
        <v>-0.48305854400069631</v>
      </c>
      <c r="O530" s="574">
        <f t="shared" si="268"/>
        <v>1438216.4027813727</v>
      </c>
      <c r="P530" s="577">
        <f t="shared" si="269"/>
        <v>1.5707956314892402</v>
      </c>
      <c r="Q530" s="586">
        <f t="shared" si="259"/>
        <v>192.72359237928555</v>
      </c>
      <c r="R530" s="587">
        <f t="shared" si="260"/>
        <v>1.56560752518039</v>
      </c>
      <c r="S530" s="574">
        <f t="shared" si="270"/>
        <v>3.0588905159231881</v>
      </c>
      <c r="T530" s="577">
        <f t="shared" si="271"/>
        <v>1.2377579962288692</v>
      </c>
      <c r="U530" s="578">
        <f t="shared" si="283"/>
        <v>0.59818555744165447</v>
      </c>
      <c r="V530" s="579">
        <f t="shared" si="284"/>
        <v>-1.2470284993244516</v>
      </c>
      <c r="W530" s="580">
        <f t="shared" si="272"/>
        <v>-36.914314403096064</v>
      </c>
      <c r="X530" s="581">
        <f t="shared" si="273"/>
        <v>-237.35977998365732</v>
      </c>
      <c r="Y530" s="584">
        <f t="shared" si="274"/>
        <v>-57.359779983657319</v>
      </c>
      <c r="AA530" s="147">
        <f t="shared" si="275"/>
        <v>76299.75</v>
      </c>
      <c r="AB530" s="147">
        <f t="shared" si="276"/>
        <v>5821651850.0625</v>
      </c>
      <c r="AD530" s="583">
        <f t="shared" si="277"/>
        <v>17.936384338728445</v>
      </c>
      <c r="AE530" s="584">
        <f t="shared" si="278"/>
        <v>-71.215565919021827</v>
      </c>
      <c r="AG530" s="583">
        <f t="shared" si="279"/>
        <v>13.363057203176281</v>
      </c>
      <c r="AH530" s="584">
        <f t="shared" si="280"/>
        <v>-23.245274013702247</v>
      </c>
      <c r="AJ530" s="147">
        <f t="shared" si="281"/>
        <v>0</v>
      </c>
      <c r="AK530" s="147">
        <f t="shared" si="261"/>
        <v>0</v>
      </c>
      <c r="AM530" s="147" t="str">
        <f t="shared" si="285"/>
        <v>1.63837950612675+0.769721771913309i</v>
      </c>
      <c r="AN530" s="147" t="str">
        <f t="shared" si="286"/>
        <v>2.26318745144091i</v>
      </c>
      <c r="AO530" s="147" t="str">
        <f t="shared" si="287"/>
        <v>0.340105178394855-0.723925676188969i</v>
      </c>
      <c r="AP530" s="147" t="str">
        <f t="shared" si="288"/>
        <v>-0.106396584354459-0.128286961985552i</v>
      </c>
      <c r="AQ530" s="147" t="str">
        <f t="shared" si="289"/>
        <v>1.10639658435446+0.128286961985552i</v>
      </c>
      <c r="AR530" s="147" t="str">
        <f t="shared" si="290"/>
        <v>0.742906608749238-0.0861402079716612i</v>
      </c>
    </row>
    <row r="531" spans="7:44">
      <c r="G531" s="585">
        <v>76741.5</v>
      </c>
      <c r="H531" s="573">
        <f t="shared" si="282"/>
        <v>76.741500000000002</v>
      </c>
      <c r="I531" s="574">
        <f t="shared" si="262"/>
        <v>530.06143392548063</v>
      </c>
      <c r="J531" s="575">
        <f t="shared" si="263"/>
        <v>1.5689097519015136</v>
      </c>
      <c r="K531" s="575">
        <f t="shared" si="264"/>
        <v>1.0862996362412027</v>
      </c>
      <c r="L531" s="576">
        <f t="shared" si="265"/>
        <v>0.40129397846560544</v>
      </c>
      <c r="M531" s="575">
        <f t="shared" si="266"/>
        <v>1.1306192121148082</v>
      </c>
      <c r="N531" s="576">
        <f t="shared" si="267"/>
        <v>-0.48543710223971093</v>
      </c>
      <c r="O531" s="574">
        <f t="shared" si="268"/>
        <v>1446543.1941001958</v>
      </c>
      <c r="P531" s="577">
        <f t="shared" si="269"/>
        <v>1.5707956354916546</v>
      </c>
      <c r="Q531" s="586">
        <f t="shared" si="259"/>
        <v>193.83936748192639</v>
      </c>
      <c r="R531" s="587">
        <f t="shared" si="260"/>
        <v>1.5656373931439544</v>
      </c>
      <c r="S531" s="574">
        <f t="shared" si="270"/>
        <v>3.0747126023099285</v>
      </c>
      <c r="T531" s="577">
        <f t="shared" si="271"/>
        <v>1.2395375270182132</v>
      </c>
      <c r="U531" s="578">
        <f t="shared" si="283"/>
        <v>0.59575772205133559</v>
      </c>
      <c r="V531" s="579">
        <f t="shared" si="284"/>
        <v>-1.2521559589128453</v>
      </c>
      <c r="W531" s="580">
        <f t="shared" si="272"/>
        <v>-37.026114784232441</v>
      </c>
      <c r="X531" s="581">
        <f t="shared" si="273"/>
        <v>-237.7720194601894</v>
      </c>
      <c r="Y531" s="584">
        <f t="shared" si="274"/>
        <v>-57.772019460189398</v>
      </c>
      <c r="AA531" s="147">
        <f t="shared" si="275"/>
        <v>76741.5</v>
      </c>
      <c r="AB531" s="147">
        <f t="shared" si="276"/>
        <v>5889257822.25</v>
      </c>
      <c r="AD531" s="583">
        <f t="shared" si="277"/>
        <v>17.891571097686871</v>
      </c>
      <c r="AE531" s="584">
        <f t="shared" si="278"/>
        <v>-71.315814443945925</v>
      </c>
      <c r="AG531" s="583">
        <f t="shared" si="279"/>
        <v>13.366719782168966</v>
      </c>
      <c r="AH531" s="584">
        <f t="shared" si="280"/>
        <v>-22.969701376561115</v>
      </c>
      <c r="AJ531" s="147">
        <f t="shared" si="281"/>
        <v>0</v>
      </c>
      <c r="AK531" s="147">
        <f t="shared" si="261"/>
        <v>0</v>
      </c>
      <c r="AM531" s="147" t="str">
        <f t="shared" si="285"/>
        <v>1.64841015560504+0.761291186149062i</v>
      </c>
      <c r="AN531" s="147" t="str">
        <f t="shared" si="286"/>
        <v>2.27629054885177i</v>
      </c>
      <c r="AO531" s="147" t="str">
        <f t="shared" si="287"/>
        <v>0.334443767089874-0.724165092385305i</v>
      </c>
      <c r="AP531" s="147" t="str">
        <f t="shared" si="288"/>
        <v>-0.108068359267507-0.126881864358177i</v>
      </c>
      <c r="AQ531" s="147" t="str">
        <f t="shared" si="289"/>
        <v>1.10806835926751+0.126881864358177i</v>
      </c>
      <c r="AR531" s="147" t="str">
        <f t="shared" si="290"/>
        <v>0.742029252015189-0.0849677315632663i</v>
      </c>
    </row>
    <row r="532" spans="7:44">
      <c r="G532" s="585">
        <v>77183.25</v>
      </c>
      <c r="H532" s="573">
        <f t="shared" si="282"/>
        <v>77.183250000000001</v>
      </c>
      <c r="I532" s="574">
        <f t="shared" si="262"/>
        <v>533.11263578402554</v>
      </c>
      <c r="J532" s="575">
        <f t="shared" si="263"/>
        <v>1.5689205494838729</v>
      </c>
      <c r="K532" s="575">
        <f t="shared" si="264"/>
        <v>1.0872560357110628</v>
      </c>
      <c r="L532" s="576">
        <f t="shared" si="265"/>
        <v>0.403362013759823</v>
      </c>
      <c r="M532" s="575">
        <f t="shared" si="266"/>
        <v>1.1320393101630277</v>
      </c>
      <c r="N532" s="576">
        <f t="shared" si="267"/>
        <v>-0.48780970626143116</v>
      </c>
      <c r="O532" s="574">
        <f t="shared" si="268"/>
        <v>1454869.9854190189</v>
      </c>
      <c r="P532" s="577">
        <f t="shared" si="269"/>
        <v>1.5707956394482538</v>
      </c>
      <c r="Q532" s="586">
        <f t="shared" si="259"/>
        <v>194.95514275551102</v>
      </c>
      <c r="R532" s="587">
        <f t="shared" si="260"/>
        <v>1.5656669192244355</v>
      </c>
      <c r="S532" s="574">
        <f t="shared" si="270"/>
        <v>3.0905443257676919</v>
      </c>
      <c r="T532" s="577">
        <f t="shared" si="271"/>
        <v>1.2412988315723603</v>
      </c>
      <c r="U532" s="578">
        <f t="shared" si="283"/>
        <v>0.59333947117104058</v>
      </c>
      <c r="V532" s="579">
        <f t="shared" si="284"/>
        <v>-1.2572697306967884</v>
      </c>
      <c r="W532" s="580">
        <f t="shared" si="272"/>
        <v>-37.137362461750854</v>
      </c>
      <c r="X532" s="581">
        <f t="shared" si="273"/>
        <v>-238.18230998411602</v>
      </c>
      <c r="Y532" s="584">
        <f t="shared" si="274"/>
        <v>-58.182309984116017</v>
      </c>
      <c r="AA532" s="147">
        <f t="shared" si="275"/>
        <v>77183.25</v>
      </c>
      <c r="AB532" s="147">
        <f t="shared" si="276"/>
        <v>5957254080.5625</v>
      </c>
      <c r="AD532" s="583">
        <f t="shared" si="277"/>
        <v>17.84696080051096</v>
      </c>
      <c r="AE532" s="584">
        <f t="shared" si="278"/>
        <v>-71.415038268348425</v>
      </c>
      <c r="AG532" s="583">
        <f t="shared" si="279"/>
        <v>13.370740004386723</v>
      </c>
      <c r="AH532" s="584">
        <f t="shared" si="280"/>
        <v>-22.694772994189645</v>
      </c>
      <c r="AJ532" s="147">
        <f t="shared" si="281"/>
        <v>0</v>
      </c>
      <c r="AK532" s="147">
        <f t="shared" si="261"/>
        <v>0</v>
      </c>
      <c r="AM532" s="147" t="str">
        <f t="shared" si="285"/>
        <v>1.65832948038321+0.752729895286727i</v>
      </c>
      <c r="AN532" s="147" t="str">
        <f t="shared" si="286"/>
        <v>2.28939364626262i</v>
      </c>
      <c r="AO532" s="147" t="str">
        <f t="shared" si="287"/>
        <v>0.328790069158941-0.72435314175454i</v>
      </c>
      <c r="AP532" s="147" t="str">
        <f t="shared" si="288"/>
        <v>-0.109721580063869-0.125454982547788i</v>
      </c>
      <c r="AQ532" s="147" t="str">
        <f t="shared" si="289"/>
        <v>1.10972158006387+0.125454982547788i</v>
      </c>
      <c r="AR532" s="147" t="str">
        <f t="shared" si="290"/>
        <v>0.741166258598547-0.083789485315892i</v>
      </c>
    </row>
    <row r="533" spans="7:44">
      <c r="G533" s="585">
        <v>77625</v>
      </c>
      <c r="H533" s="573">
        <f t="shared" si="282"/>
        <v>77.625</v>
      </c>
      <c r="I533" s="574">
        <f t="shared" si="262"/>
        <v>536.16383770401751</v>
      </c>
      <c r="J533" s="575">
        <f t="shared" si="263"/>
        <v>1.56893122417244</v>
      </c>
      <c r="K533" s="575">
        <f t="shared" si="264"/>
        <v>1.0882170769399295</v>
      </c>
      <c r="L533" s="576">
        <f t="shared" si="265"/>
        <v>0.40542640516647294</v>
      </c>
      <c r="M533" s="575">
        <f t="shared" si="266"/>
        <v>1.1334657647544091</v>
      </c>
      <c r="N533" s="576">
        <f t="shared" si="267"/>
        <v>-0.4901763517839397</v>
      </c>
      <c r="O533" s="574">
        <f t="shared" si="268"/>
        <v>1463196.776737842</v>
      </c>
      <c r="P533" s="577">
        <f t="shared" si="269"/>
        <v>1.5707956433598209</v>
      </c>
      <c r="Q533" s="586">
        <f t="shared" si="259"/>
        <v>196.07091819712113</v>
      </c>
      <c r="R533" s="587">
        <f t="shared" si="260"/>
        <v>1.5656961092584152</v>
      </c>
      <c r="S533" s="574">
        <f t="shared" si="270"/>
        <v>3.1063855389502102</v>
      </c>
      <c r="T533" s="577">
        <f t="shared" si="271"/>
        <v>1.243042177716756</v>
      </c>
      <c r="U533" s="578">
        <f t="shared" si="283"/>
        <v>0.59093078164104462</v>
      </c>
      <c r="V533" s="579">
        <f t="shared" si="284"/>
        <v>-1.2623700402674813</v>
      </c>
      <c r="W533" s="580">
        <f t="shared" si="272"/>
        <v>-37.248062563182003</v>
      </c>
      <c r="X533" s="581">
        <f t="shared" si="273"/>
        <v>-238.59067983164493</v>
      </c>
      <c r="Y533" s="584">
        <f t="shared" si="274"/>
        <v>-58.590679831644934</v>
      </c>
      <c r="AA533" s="147">
        <f t="shared" si="275"/>
        <v>77625</v>
      </c>
      <c r="AB533" s="147">
        <f t="shared" si="276"/>
        <v>6025640625</v>
      </c>
      <c r="AD533" s="583">
        <f t="shared" si="277"/>
        <v>17.802551923750837</v>
      </c>
      <c r="AE533" s="584">
        <f t="shared" si="278"/>
        <v>-71.513252403130323</v>
      </c>
      <c r="AG533" s="583">
        <f t="shared" si="279"/>
        <v>13.375113867281671</v>
      </c>
      <c r="AH533" s="584">
        <f t="shared" si="280"/>
        <v>-22.420476281046994</v>
      </c>
      <c r="AJ533" s="147">
        <f t="shared" si="281"/>
        <v>0</v>
      </c>
      <c r="AK533" s="147">
        <f t="shared" si="261"/>
        <v>0</v>
      </c>
      <c r="AM533" s="147" t="str">
        <f t="shared" si="285"/>
        <v>1.66813577742526+0.744039369203235i</v>
      </c>
      <c r="AN533" s="147" t="str">
        <f t="shared" si="286"/>
        <v>2.30249674367348i</v>
      </c>
      <c r="AO533" s="147" t="str">
        <f t="shared" si="287"/>
        <v>0.323144591299691-0.724489961607442i</v>
      </c>
      <c r="AP533" s="147" t="str">
        <f t="shared" si="288"/>
        <v>-0.111355962904209-0.124006561533873i</v>
      </c>
      <c r="AQ533" s="147" t="str">
        <f t="shared" si="289"/>
        <v>1.11135596290421+0.124006561533873i</v>
      </c>
      <c r="AR533" s="147" t="str">
        <f t="shared" si="290"/>
        <v>0.740317584738428-0.0826056107950958i</v>
      </c>
    </row>
    <row r="534" spans="7:44">
      <c r="G534" s="585">
        <v>78077</v>
      </c>
      <c r="H534" s="573">
        <f t="shared" si="282"/>
        <v>78.076999999999998</v>
      </c>
      <c r="I534" s="574">
        <f t="shared" si="262"/>
        <v>539.28583724097746</v>
      </c>
      <c r="J534" s="575">
        <f t="shared" si="263"/>
        <v>1.5689420215192547</v>
      </c>
      <c r="K534" s="575">
        <f t="shared" si="264"/>
        <v>1.0892052091184765</v>
      </c>
      <c r="L534" s="576">
        <f t="shared" si="265"/>
        <v>0.40753491703582273</v>
      </c>
      <c r="M534" s="575">
        <f t="shared" si="266"/>
        <v>1.134931872104173</v>
      </c>
      <c r="N534" s="576">
        <f t="shared" si="267"/>
        <v>-0.49259173933192141</v>
      </c>
      <c r="O534" s="574">
        <f t="shared" si="268"/>
        <v>1471716.7760046399</v>
      </c>
      <c r="P534" s="577">
        <f t="shared" si="269"/>
        <v>1.5707956473163336</v>
      </c>
      <c r="Q534" s="586">
        <f t="shared" si="259"/>
        <v>197.21258333605101</v>
      </c>
      <c r="R534" s="587">
        <f t="shared" si="260"/>
        <v>1.56572563471016</v>
      </c>
      <c r="S534" s="574">
        <f t="shared" si="270"/>
        <v>3.1226039904009193</v>
      </c>
      <c r="T534" s="577">
        <f t="shared" si="271"/>
        <v>1.2448076608558583</v>
      </c>
      <c r="U534" s="578">
        <f t="shared" si="283"/>
        <v>0.58847607351264419</v>
      </c>
      <c r="V534" s="579">
        <f t="shared" si="284"/>
        <v>-1.2675749933838305</v>
      </c>
      <c r="W534" s="580">
        <f t="shared" si="272"/>
        <v>-37.360769779885807</v>
      </c>
      <c r="X534" s="581">
        <f t="shared" si="273"/>
        <v>-239.006566277464</v>
      </c>
      <c r="Y534" s="584">
        <f t="shared" si="274"/>
        <v>-59.006566277464003</v>
      </c>
      <c r="AA534" s="147">
        <f t="shared" si="275"/>
        <v>78077</v>
      </c>
      <c r="AB534" s="147">
        <f t="shared" si="276"/>
        <v>6096017929</v>
      </c>
      <c r="AD534" s="583">
        <f t="shared" si="277"/>
        <v>17.757319528030546</v>
      </c>
      <c r="AE534" s="584">
        <f t="shared" si="278"/>
        <v>-71.612715678834348</v>
      </c>
      <c r="AG534" s="583">
        <f t="shared" si="279"/>
        <v>13.379951173672065</v>
      </c>
      <c r="AH534" s="584">
        <f t="shared" si="280"/>
        <v>-22.140455758219993</v>
      </c>
      <c r="AJ534" s="147">
        <f t="shared" si="281"/>
        <v>0</v>
      </c>
      <c r="AK534" s="147">
        <f t="shared" si="261"/>
        <v>0</v>
      </c>
      <c r="AM534" s="147" t="str">
        <f t="shared" si="285"/>
        <v>1.67805086353015+0.735014983837755i</v>
      </c>
      <c r="AN534" s="147" t="str">
        <f t="shared" si="286"/>
        <v>2.31590387447078i</v>
      </c>
      <c r="AO534" s="147" t="str">
        <f t="shared" si="287"/>
        <v>0.317377155390665-0.724577078534234i</v>
      </c>
      <c r="AP534" s="147" t="str">
        <f t="shared" si="288"/>
        <v>-0.113008477255025-0.122502497306292i</v>
      </c>
      <c r="AQ534" s="147" t="str">
        <f t="shared" si="289"/>
        <v>1.11300847725503+0.122502497306292i</v>
      </c>
      <c r="AR534" s="147" t="str">
        <f t="shared" si="290"/>
        <v>0.739463994924963-0.081388585889125i</v>
      </c>
    </row>
    <row r="535" spans="7:44">
      <c r="G535" s="585">
        <v>78529</v>
      </c>
      <c r="H535" s="573">
        <f t="shared" si="282"/>
        <v>78.528999999999996</v>
      </c>
      <c r="I535" s="574">
        <f t="shared" si="262"/>
        <v>542.40783684008511</v>
      </c>
      <c r="J535" s="575">
        <f t="shared" si="263"/>
        <v>1.568952694570992</v>
      </c>
      <c r="K535" s="575">
        <f t="shared" si="264"/>
        <v>1.090198174919172</v>
      </c>
      <c r="L535" s="576">
        <f t="shared" si="265"/>
        <v>0.40963959733136046</v>
      </c>
      <c r="M535" s="575">
        <f t="shared" si="266"/>
        <v>1.1364045836494194</v>
      </c>
      <c r="N535" s="576">
        <f t="shared" si="267"/>
        <v>-0.49500088051270469</v>
      </c>
      <c r="O535" s="574">
        <f t="shared" si="268"/>
        <v>1480236.7752714381</v>
      </c>
      <c r="P535" s="577">
        <f t="shared" si="269"/>
        <v>1.5707956512273005</v>
      </c>
      <c r="Q535" s="586">
        <f t="shared" ref="Q535:Q598" si="291">SQRT(1+(G535/Zero2)^2)</f>
        <v>198.35424864492236</v>
      </c>
      <c r="R535" s="587">
        <f t="shared" ref="R535:R598" si="292">ATAN(G535/Zero2)</f>
        <v>1.5657548202833118</v>
      </c>
      <c r="S535" s="574">
        <f t="shared" si="270"/>
        <v>3.1388320741934619</v>
      </c>
      <c r="T535" s="577">
        <f t="shared" si="271"/>
        <v>1.2465548939362965</v>
      </c>
      <c r="U535" s="578">
        <f t="shared" si="283"/>
        <v>0.58603132074190822</v>
      </c>
      <c r="V535" s="579">
        <f t="shared" si="284"/>
        <v>-1.2727663279361265</v>
      </c>
      <c r="W535" s="580">
        <f t="shared" si="272"/>
        <v>-37.472914440433456</v>
      </c>
      <c r="X535" s="581">
        <f t="shared" si="273"/>
        <v>-239.42050077764677</v>
      </c>
      <c r="Y535" s="584">
        <f t="shared" si="274"/>
        <v>-59.420500777646765</v>
      </c>
      <c r="AA535" s="147">
        <f t="shared" si="275"/>
        <v>78529</v>
      </c>
      <c r="AB535" s="147">
        <f t="shared" si="276"/>
        <v>6166803841</v>
      </c>
      <c r="AD535" s="583">
        <f t="shared" si="277"/>
        <v>17.71229481746974</v>
      </c>
      <c r="AE535" s="584">
        <f t="shared" si="278"/>
        <v>-71.711152774199206</v>
      </c>
      <c r="AG535" s="583">
        <f t="shared" si="279"/>
        <v>13.385150507602857</v>
      </c>
      <c r="AH535" s="584">
        <f t="shared" si="280"/>
        <v>-21.861070042584206</v>
      </c>
      <c r="AJ535" s="147">
        <f t="shared" si="281"/>
        <v>0</v>
      </c>
      <c r="AK535" s="147">
        <f t="shared" ref="AK535:AK598" si="293">IF(AJ535&gt;0,Y535,0)</f>
        <v>0</v>
      </c>
      <c r="AM535" s="147" t="str">
        <f t="shared" si="285"/>
        <v>1.68784407103402+0.725858480658139i</v>
      </c>
      <c r="AN535" s="147" t="str">
        <f t="shared" si="286"/>
        <v>2.32931100526808i</v>
      </c>
      <c r="AO535" s="147" t="str">
        <f t="shared" si="287"/>
        <v>0.311619392608588-0.724610868714702i</v>
      </c>
      <c r="AP535" s="147" t="str">
        <f t="shared" si="288"/>
        <v>-0.114640678505671-0.120976413443023i</v>
      </c>
      <c r="AQ535" s="147" t="str">
        <f t="shared" si="289"/>
        <v>1.11464067850567+0.120976413443023i</v>
      </c>
      <c r="AR535" s="147" t="str">
        <f t="shared" si="290"/>
        <v>0.738625303694234-0.0801659600643559i</v>
      </c>
    </row>
    <row r="536" spans="7:44">
      <c r="G536" s="585">
        <v>78981</v>
      </c>
      <c r="H536" s="573">
        <f t="shared" si="282"/>
        <v>78.980999999999995</v>
      </c>
      <c r="I536" s="574">
        <f t="shared" si="262"/>
        <v>545.52983650027329</v>
      </c>
      <c r="J536" s="575">
        <f t="shared" si="263"/>
        <v>1.5689632454616249</v>
      </c>
      <c r="K536" s="575">
        <f t="shared" si="264"/>
        <v>1.0911959611465272</v>
      </c>
      <c r="L536" s="576">
        <f t="shared" si="265"/>
        <v>0.41174043789243647</v>
      </c>
      <c r="M536" s="575">
        <f t="shared" si="266"/>
        <v>1.1378838737476153</v>
      </c>
      <c r="N536" s="576">
        <f t="shared" si="267"/>
        <v>-0.49740377166868799</v>
      </c>
      <c r="O536" s="574">
        <f t="shared" si="268"/>
        <v>1488756.774538236</v>
      </c>
      <c r="P536" s="577">
        <f t="shared" si="269"/>
        <v>1.5707956550935032</v>
      </c>
      <c r="Q536" s="586">
        <f t="shared" si="291"/>
        <v>199.49591412081759</v>
      </c>
      <c r="R536" s="587">
        <f t="shared" si="292"/>
        <v>1.5657836718129421</v>
      </c>
      <c r="S536" s="574">
        <f t="shared" si="270"/>
        <v>3.1550696416961452</v>
      </c>
      <c r="T536" s="577">
        <f t="shared" si="271"/>
        <v>1.2482841479788054</v>
      </c>
      <c r="U536" s="578">
        <f t="shared" si="283"/>
        <v>0.58359649276717185</v>
      </c>
      <c r="V536" s="579">
        <f t="shared" si="284"/>
        <v>-1.2779442833365291</v>
      </c>
      <c r="W536" s="580">
        <f t="shared" si="272"/>
        <v>-37.584501902360749</v>
      </c>
      <c r="X536" s="581">
        <f t="shared" si="273"/>
        <v>-239.83251262383709</v>
      </c>
      <c r="Y536" s="584">
        <f t="shared" si="274"/>
        <v>-59.83251262383709</v>
      </c>
      <c r="AA536" s="147">
        <f t="shared" si="275"/>
        <v>78981</v>
      </c>
      <c r="AB536" s="147">
        <f t="shared" si="276"/>
        <v>6237998361</v>
      </c>
      <c r="AD536" s="583">
        <f t="shared" si="277"/>
        <v>17.667476196800777</v>
      </c>
      <c r="AE536" s="584">
        <f t="shared" si="278"/>
        <v>-71.808578883289002</v>
      </c>
      <c r="AG536" s="583">
        <f t="shared" si="279"/>
        <v>13.390707845258657</v>
      </c>
      <c r="AH536" s="584">
        <f t="shared" si="280"/>
        <v>-21.582305797106606</v>
      </c>
      <c r="AJ536" s="147">
        <f t="shared" si="281"/>
        <v>0</v>
      </c>
      <c r="AK536" s="147">
        <f t="shared" si="293"/>
        <v>0</v>
      </c>
      <c r="AM536" s="147" t="str">
        <f t="shared" si="285"/>
        <v>1.69751363962287+0.716571505531767i</v>
      </c>
      <c r="AN536" s="147" t="str">
        <f t="shared" si="286"/>
        <v>2.34271813606538i</v>
      </c>
      <c r="AO536" s="147" t="str">
        <f t="shared" si="287"/>
        <v>0.305871839424634-0.7245914963009i</v>
      </c>
      <c r="AP536" s="147" t="str">
        <f t="shared" si="288"/>
        <v>-0.116252273270478-0.119428584255294i</v>
      </c>
      <c r="AQ536" s="147" t="str">
        <f t="shared" si="289"/>
        <v>1.11625227327048+0.119428584255294i</v>
      </c>
      <c r="AR536" s="147" t="str">
        <f t="shared" si="290"/>
        <v>0.737801463760865-0.0789378766685768i</v>
      </c>
    </row>
    <row r="537" spans="7:44">
      <c r="G537" s="585">
        <v>79433</v>
      </c>
      <c r="H537" s="573">
        <f t="shared" si="282"/>
        <v>79.433000000000007</v>
      </c>
      <c r="I537" s="574">
        <f t="shared" si="262"/>
        <v>548.65183622049949</v>
      </c>
      <c r="J537" s="575">
        <f t="shared" si="263"/>
        <v>1.5689736762765556</v>
      </c>
      <c r="K537" s="575">
        <f t="shared" si="264"/>
        <v>1.0921985545893307</v>
      </c>
      <c r="L537" s="576">
        <f t="shared" si="265"/>
        <v>0.41383743072372325</v>
      </c>
      <c r="M537" s="575">
        <f t="shared" si="266"/>
        <v>1.1393697167751513</v>
      </c>
      <c r="N537" s="576">
        <f t="shared" si="267"/>
        <v>-0.49980040944991633</v>
      </c>
      <c r="O537" s="574">
        <f t="shared" si="268"/>
        <v>1497276.7738050341</v>
      </c>
      <c r="P537" s="577">
        <f t="shared" si="269"/>
        <v>1.5707956589157059</v>
      </c>
      <c r="Q537" s="586">
        <f t="shared" si="291"/>
        <v>200.63757976088556</v>
      </c>
      <c r="R537" s="587">
        <f t="shared" si="292"/>
        <v>1.5658121950013144</v>
      </c>
      <c r="S537" s="574">
        <f t="shared" si="270"/>
        <v>3.1713165472353566</v>
      </c>
      <c r="T537" s="577">
        <f t="shared" si="271"/>
        <v>1.2499956888852635</v>
      </c>
      <c r="U537" s="578">
        <f t="shared" si="283"/>
        <v>0.58117155720648273</v>
      </c>
      <c r="V537" s="579">
        <f t="shared" si="284"/>
        <v>-1.2831090982358202</v>
      </c>
      <c r="W537" s="580">
        <f t="shared" si="272"/>
        <v>-37.695537479524987</v>
      </c>
      <c r="X537" s="581">
        <f t="shared" si="273"/>
        <v>-240.24263078374602</v>
      </c>
      <c r="Y537" s="584">
        <f t="shared" si="274"/>
        <v>-60.242630783746023</v>
      </c>
      <c r="AA537" s="147">
        <f t="shared" si="275"/>
        <v>79433</v>
      </c>
      <c r="AB537" s="147">
        <f t="shared" si="276"/>
        <v>6309601489</v>
      </c>
      <c r="AD537" s="583">
        <f t="shared" si="277"/>
        <v>17.622862083256418</v>
      </c>
      <c r="AE537" s="584">
        <f t="shared" si="278"/>
        <v>-71.905008914487311</v>
      </c>
      <c r="AG537" s="583">
        <f t="shared" si="279"/>
        <v>13.396619248568014</v>
      </c>
      <c r="AH537" s="584">
        <f t="shared" si="280"/>
        <v>-21.304149733749572</v>
      </c>
      <c r="AJ537" s="147">
        <f t="shared" si="281"/>
        <v>0</v>
      </c>
      <c r="AK537" s="147">
        <f t="shared" si="293"/>
        <v>0</v>
      </c>
      <c r="AM537" s="147" t="str">
        <f t="shared" si="285"/>
        <v>1.70705783120658+0.707155727778149i</v>
      </c>
      <c r="AN537" s="147" t="str">
        <f t="shared" si="286"/>
        <v>2.35612526686268i</v>
      </c>
      <c r="AO537" s="147" t="str">
        <f t="shared" si="287"/>
        <v>0.300135030052867-0.724519131140947i</v>
      </c>
      <c r="AP537" s="147" t="str">
        <f t="shared" si="288"/>
        <v>-0.117842971867764-0.117859287963025i</v>
      </c>
      <c r="AQ537" s="147" t="str">
        <f t="shared" si="289"/>
        <v>1.11784297186776+0.117859287963025i</v>
      </c>
      <c r="AR537" s="147" t="str">
        <f t="shared" si="290"/>
        <v>0.736992427808339-0.0777044763545801i</v>
      </c>
    </row>
    <row r="538" spans="7:44">
      <c r="G538" s="585">
        <v>79895.5</v>
      </c>
      <c r="H538" s="573">
        <f t="shared" si="282"/>
        <v>79.895499999999998</v>
      </c>
      <c r="I538" s="574">
        <f t="shared" si="262"/>
        <v>551.84636033159302</v>
      </c>
      <c r="J538" s="575">
        <f t="shared" si="263"/>
        <v>1.5689842272339183</v>
      </c>
      <c r="K538" s="575">
        <f t="shared" si="264"/>
        <v>1.0932294005902992</v>
      </c>
      <c r="L538" s="576">
        <f t="shared" si="265"/>
        <v>0.41597914587396673</v>
      </c>
      <c r="M538" s="575">
        <f t="shared" si="266"/>
        <v>1.1408968323953605</v>
      </c>
      <c r="N538" s="576">
        <f t="shared" si="267"/>
        <v>-0.50224624520248695</v>
      </c>
      <c r="O538" s="574">
        <f t="shared" si="268"/>
        <v>1505994.6934087821</v>
      </c>
      <c r="P538" s="577">
        <f t="shared" si="269"/>
        <v>1.5707956627819326</v>
      </c>
      <c r="Q538" s="586">
        <f t="shared" si="291"/>
        <v>201.80576656183572</v>
      </c>
      <c r="R538" s="587">
        <f t="shared" si="292"/>
        <v>1.565841046727753</v>
      </c>
      <c r="S538" s="574">
        <f t="shared" si="270"/>
        <v>3.1879503868414081</v>
      </c>
      <c r="T538" s="577">
        <f t="shared" si="271"/>
        <v>1.2517289260267284</v>
      </c>
      <c r="U538" s="578">
        <f t="shared" si="283"/>
        <v>0.57870049433599291</v>
      </c>
      <c r="V538" s="579">
        <f t="shared" si="284"/>
        <v>-1.288380538458042</v>
      </c>
      <c r="W538" s="580">
        <f t="shared" si="272"/>
        <v>-37.808586657014096</v>
      </c>
      <c r="X538" s="581">
        <f t="shared" si="273"/>
        <v>-240.6603457256783</v>
      </c>
      <c r="Y538" s="584">
        <f t="shared" si="274"/>
        <v>-60.660345725678297</v>
      </c>
      <c r="AA538" s="147">
        <f t="shared" si="275"/>
        <v>79895.5</v>
      </c>
      <c r="AB538" s="147">
        <f t="shared" si="276"/>
        <v>6383290920.25</v>
      </c>
      <c r="AD538" s="583">
        <f t="shared" si="277"/>
        <v>17.577421630419366</v>
      </c>
      <c r="AE538" s="584">
        <f t="shared" si="278"/>
        <v>-72.002663227062044</v>
      </c>
      <c r="AG538" s="583">
        <f t="shared" si="279"/>
        <v>13.403030453360678</v>
      </c>
      <c r="AH538" s="584">
        <f t="shared" si="280"/>
        <v>-21.020147809039265</v>
      </c>
      <c r="AJ538" s="147">
        <f t="shared" si="281"/>
        <v>0</v>
      </c>
      <c r="AK538" s="147">
        <f t="shared" si="293"/>
        <v>0</v>
      </c>
      <c r="AM538" s="147" t="str">
        <f t="shared" si="285"/>
        <v>1.7166921661849+0.697389660755878i</v>
      </c>
      <c r="AN538" s="147" t="str">
        <f t="shared" si="286"/>
        <v>2.36984384649487i</v>
      </c>
      <c r="AO538" s="147" t="str">
        <f t="shared" si="287"/>
        <v>0.294276629992882-0.724390414467174i</v>
      </c>
      <c r="AP538" s="147" t="str">
        <f t="shared" si="288"/>
        <v>-0.11944869436415-0.11623161012598i</v>
      </c>
      <c r="AQ538" s="147" t="str">
        <f t="shared" si="289"/>
        <v>1.11944869436415+0.11623161012598i</v>
      </c>
      <c r="AR538" s="147" t="str">
        <f t="shared" si="290"/>
        <v>0.736179872364193-0.076437064367502i</v>
      </c>
    </row>
    <row r="539" spans="7:44">
      <c r="G539" s="585">
        <v>80358</v>
      </c>
      <c r="H539" s="573">
        <f t="shared" si="282"/>
        <v>80.358000000000004</v>
      </c>
      <c r="I539" s="574">
        <f t="shared" si="262"/>
        <v>555.04088450341237</v>
      </c>
      <c r="J539" s="575">
        <f t="shared" si="263"/>
        <v>1.5689946567397306</v>
      </c>
      <c r="K539" s="575">
        <f t="shared" si="264"/>
        <v>1.0942652517117557</v>
      </c>
      <c r="L539" s="576">
        <f t="shared" si="265"/>
        <v>0.41811681604217338</v>
      </c>
      <c r="M539" s="575">
        <f t="shared" si="266"/>
        <v>1.1424307547188017</v>
      </c>
      <c r="N539" s="576">
        <f t="shared" si="267"/>
        <v>-0.50468552755050256</v>
      </c>
      <c r="O539" s="574">
        <f t="shared" si="268"/>
        <v>1514712.6130125304</v>
      </c>
      <c r="P539" s="577">
        <f t="shared" si="269"/>
        <v>1.5707956666036555</v>
      </c>
      <c r="Q539" s="586">
        <f t="shared" si="291"/>
        <v>202.9739535288399</v>
      </c>
      <c r="R539" s="587">
        <f t="shared" si="292"/>
        <v>1.5658695663504136</v>
      </c>
      <c r="S539" s="574">
        <f t="shared" si="270"/>
        <v>3.2045937039668102</v>
      </c>
      <c r="T539" s="577">
        <f t="shared" si="271"/>
        <v>1.2534441648613257</v>
      </c>
      <c r="U539" s="578">
        <f t="shared" si="283"/>
        <v>0.57623971463553914</v>
      </c>
      <c r="V539" s="579">
        <f t="shared" si="284"/>
        <v>-1.293638723676511</v>
      </c>
      <c r="W539" s="580">
        <f t="shared" si="272"/>
        <v>-37.921069131712173</v>
      </c>
      <c r="X539" s="581">
        <f t="shared" si="273"/>
        <v>-241.07613832972422</v>
      </c>
      <c r="Y539" s="584">
        <f t="shared" si="274"/>
        <v>-61.076138329724216</v>
      </c>
      <c r="AA539" s="147">
        <f t="shared" si="275"/>
        <v>80358</v>
      </c>
      <c r="AB539" s="147">
        <f t="shared" si="276"/>
        <v>6457408164</v>
      </c>
      <c r="AD539" s="583">
        <f t="shared" si="277"/>
        <v>17.532191983957624</v>
      </c>
      <c r="AE539" s="584">
        <f t="shared" si="278"/>
        <v>-72.09930533820868</v>
      </c>
      <c r="AG539" s="583">
        <f t="shared" si="279"/>
        <v>13.409804291023333</v>
      </c>
      <c r="AH539" s="584">
        <f t="shared" si="280"/>
        <v>-20.73675465941734</v>
      </c>
      <c r="AJ539" s="147">
        <f t="shared" si="281"/>
        <v>0</v>
      </c>
      <c r="AK539" s="147">
        <f t="shared" si="293"/>
        <v>0</v>
      </c>
      <c r="AM539" s="147" t="str">
        <f t="shared" si="285"/>
        <v>1.72619162222348+0.687492347457354i</v>
      </c>
      <c r="AN539" s="147" t="str">
        <f t="shared" si="286"/>
        <v>2.38356242612707i</v>
      </c>
      <c r="AO539" s="147" t="str">
        <f t="shared" si="287"/>
        <v>0.288430602832763-0.724206592326714i</v>
      </c>
      <c r="AP539" s="147" t="str">
        <f t="shared" si="288"/>
        <v>-0.121031937037248-0.114582057909559i</v>
      </c>
      <c r="AQ539" s="147" t="str">
        <f t="shared" si="289"/>
        <v>1.12103193703725+0.114582057909559i</v>
      </c>
      <c r="AR539" s="147" t="str">
        <f t="shared" si="290"/>
        <v>0.735382716569342-0.0751643751009721i</v>
      </c>
    </row>
    <row r="540" spans="7:44">
      <c r="G540" s="585">
        <v>80820.5</v>
      </c>
      <c r="H540" s="573">
        <f t="shared" si="282"/>
        <v>80.820499999999996</v>
      </c>
      <c r="I540" s="574">
        <f t="shared" si="262"/>
        <v>558.23540873491504</v>
      </c>
      <c r="J540" s="575">
        <f t="shared" si="263"/>
        <v>1.5690049668790238</v>
      </c>
      <c r="K540" s="575">
        <f t="shared" si="264"/>
        <v>1.0953060937533969</v>
      </c>
      <c r="L540" s="576">
        <f t="shared" si="265"/>
        <v>0.42025043319561889</v>
      </c>
      <c r="M540" s="575">
        <f t="shared" si="266"/>
        <v>1.1439714563646681</v>
      </c>
      <c r="N540" s="576">
        <f t="shared" si="267"/>
        <v>-0.50711825388634801</v>
      </c>
      <c r="O540" s="574">
        <f t="shared" si="268"/>
        <v>1523430.5326162784</v>
      </c>
      <c r="P540" s="577">
        <f t="shared" si="269"/>
        <v>1.5707956703816381</v>
      </c>
      <c r="Q540" s="586">
        <f t="shared" si="291"/>
        <v>204.14214065904727</v>
      </c>
      <c r="R540" s="587">
        <f t="shared" si="292"/>
        <v>1.5658977595705617</v>
      </c>
      <c r="S540" s="574">
        <f t="shared" si="270"/>
        <v>3.2212463517081558</v>
      </c>
      <c r="T540" s="577">
        <f t="shared" si="271"/>
        <v>1.2551416743511661</v>
      </c>
      <c r="U540" s="578">
        <f t="shared" si="283"/>
        <v>0.57378917786608297</v>
      </c>
      <c r="V540" s="579">
        <f t="shared" si="284"/>
        <v>-1.2988839070904541</v>
      </c>
      <c r="W540" s="580">
        <f t="shared" si="272"/>
        <v>-38.032990460563305</v>
      </c>
      <c r="X540" s="581">
        <f t="shared" si="273"/>
        <v>-241.49003861720928</v>
      </c>
      <c r="Y540" s="584">
        <f t="shared" si="274"/>
        <v>-61.490038617209279</v>
      </c>
      <c r="AA540" s="147">
        <f t="shared" si="275"/>
        <v>80820.5</v>
      </c>
      <c r="AB540" s="147">
        <f t="shared" si="276"/>
        <v>6531953220.25</v>
      </c>
      <c r="AD540" s="583">
        <f t="shared" si="277"/>
        <v>17.487171489117394</v>
      </c>
      <c r="AE540" s="584">
        <f t="shared" si="278"/>
        <v>-72.194950331706323</v>
      </c>
      <c r="AG540" s="583">
        <f t="shared" si="279"/>
        <v>13.416936811434979</v>
      </c>
      <c r="AH540" s="584">
        <f t="shared" si="280"/>
        <v>-20.453956207936056</v>
      </c>
      <c r="AJ540" s="147">
        <f t="shared" si="281"/>
        <v>0</v>
      </c>
      <c r="AK540" s="147">
        <f t="shared" si="293"/>
        <v>0</v>
      </c>
      <c r="AM540" s="147" t="str">
        <f t="shared" si="285"/>
        <v>1.73555441155818+0.677465650522074i</v>
      </c>
      <c r="AN540" s="147" t="str">
        <f t="shared" si="286"/>
        <v>2.39728100575926i</v>
      </c>
      <c r="AO540" s="147" t="str">
        <f t="shared" si="287"/>
        <v>0.282597513138644-0.723967865005671i</v>
      </c>
      <c r="AP540" s="147" t="str">
        <f t="shared" si="288"/>
        <v>-0.122592401926364-0.112910941753679i</v>
      </c>
      <c r="AQ540" s="147" t="str">
        <f t="shared" si="289"/>
        <v>1.12259240192636+0.112910941753679i</v>
      </c>
      <c r="AR540" s="147" t="str">
        <f t="shared" si="290"/>
        <v>0.73460090995518-0.0738865508209541i</v>
      </c>
    </row>
    <row r="541" spans="7:44">
      <c r="G541" s="585">
        <v>81283</v>
      </c>
      <c r="H541" s="573">
        <f t="shared" si="282"/>
        <v>81.283000000000001</v>
      </c>
      <c r="I541" s="574">
        <f t="shared" si="262"/>
        <v>561.42993302508228</v>
      </c>
      <c r="J541" s="575">
        <f t="shared" si="263"/>
        <v>1.5690151596893749</v>
      </c>
      <c r="K541" s="575">
        <f t="shared" si="264"/>
        <v>1.0963519125005545</v>
      </c>
      <c r="L541" s="576">
        <f t="shared" si="265"/>
        <v>0.42237998947961336</v>
      </c>
      <c r="M541" s="575">
        <f t="shared" si="266"/>
        <v>1.1455189099787719</v>
      </c>
      <c r="N541" s="576">
        <f t="shared" si="267"/>
        <v>-0.50954442192680005</v>
      </c>
      <c r="O541" s="574">
        <f t="shared" si="268"/>
        <v>1532148.4522200266</v>
      </c>
      <c r="P541" s="577">
        <f t="shared" si="269"/>
        <v>1.5707956741166273</v>
      </c>
      <c r="Q541" s="586">
        <f t="shared" si="291"/>
        <v>205.31032794967206</v>
      </c>
      <c r="R541" s="587">
        <f t="shared" si="292"/>
        <v>1.5659256319597066</v>
      </c>
      <c r="S541" s="574">
        <f t="shared" si="270"/>
        <v>3.2379081861026302</v>
      </c>
      <c r="T541" s="577">
        <f t="shared" si="271"/>
        <v>1.2568217183355606</v>
      </c>
      <c r="U541" s="578">
        <f t="shared" si="283"/>
        <v>0.57134884203797509</v>
      </c>
      <c r="V541" s="579">
        <f t="shared" si="284"/>
        <v>-1.3041163410693468</v>
      </c>
      <c r="W541" s="580">
        <f t="shared" si="272"/>
        <v>-38.144356156692822</v>
      </c>
      <c r="X541" s="581">
        <f t="shared" si="273"/>
        <v>-241.9020762815033</v>
      </c>
      <c r="Y541" s="584">
        <f t="shared" si="274"/>
        <v>-61.902076281503298</v>
      </c>
      <c r="AA541" s="147">
        <f t="shared" si="275"/>
        <v>81283</v>
      </c>
      <c r="AB541" s="147">
        <f t="shared" si="276"/>
        <v>6606926089</v>
      </c>
      <c r="AD541" s="583">
        <f t="shared" si="277"/>
        <v>17.442358504987805</v>
      </c>
      <c r="AE541" s="584">
        <f t="shared" si="278"/>
        <v>-72.289613005252818</v>
      </c>
      <c r="AG541" s="583">
        <f t="shared" si="279"/>
        <v>13.424424151904557</v>
      </c>
      <c r="AH541" s="584">
        <f t="shared" si="280"/>
        <v>-20.171738430855651</v>
      </c>
      <c r="AJ541" s="147">
        <f t="shared" si="281"/>
        <v>0</v>
      </c>
      <c r="AK541" s="147">
        <f t="shared" si="293"/>
        <v>0</v>
      </c>
      <c r="AM541" s="147" t="str">
        <f t="shared" si="285"/>
        <v>1.74477877214504+0.667311456939053i</v>
      </c>
      <c r="AN541" s="147" t="str">
        <f t="shared" si="286"/>
        <v>2.41099958539145i</v>
      </c>
      <c r="AO541" s="147" t="str">
        <f t="shared" si="287"/>
        <v>0.276777922726481-0.723674438899481i</v>
      </c>
      <c r="AP541" s="147" t="str">
        <f t="shared" si="288"/>
        <v>-0.124129795357507-0.111218576156509i</v>
      </c>
      <c r="AQ541" s="147" t="str">
        <f t="shared" si="289"/>
        <v>1.12412979535751+0.111218576156509i</v>
      </c>
      <c r="AR541" s="147" t="str">
        <f t="shared" si="290"/>
        <v>0.733834402231372-0.0726037310708231i</v>
      </c>
    </row>
    <row r="542" spans="7:44">
      <c r="G542" s="585">
        <v>81756.25</v>
      </c>
      <c r="H542" s="573">
        <f t="shared" si="282"/>
        <v>81.756249999999994</v>
      </c>
      <c r="I542" s="574">
        <f t="shared" si="262"/>
        <v>564.69870848005962</v>
      </c>
      <c r="J542" s="575">
        <f t="shared" si="263"/>
        <v>1.5690254700395352</v>
      </c>
      <c r="K542" s="575">
        <f t="shared" si="264"/>
        <v>1.0974271761868302</v>
      </c>
      <c r="L542" s="576">
        <f t="shared" si="265"/>
        <v>0.42455483200251881</v>
      </c>
      <c r="M542" s="575">
        <f t="shared" si="266"/>
        <v>1.1471092921269888</v>
      </c>
      <c r="N542" s="576">
        <f t="shared" si="267"/>
        <v>-0.51202019121529152</v>
      </c>
      <c r="O542" s="574">
        <f t="shared" si="268"/>
        <v>1541069.0045496996</v>
      </c>
      <c r="P542" s="577">
        <f t="shared" si="269"/>
        <v>1.570795677894687</v>
      </c>
      <c r="Q542" s="586">
        <f t="shared" si="291"/>
        <v>206.50566786486033</v>
      </c>
      <c r="R542" s="587">
        <f t="shared" si="292"/>
        <v>1.5659538257698506</v>
      </c>
      <c r="S542" s="574">
        <f t="shared" si="270"/>
        <v>3.2549666578277265</v>
      </c>
      <c r="T542" s="577">
        <f t="shared" si="271"/>
        <v>1.2585230028075893</v>
      </c>
      <c r="U542" s="578">
        <f t="shared" si="283"/>
        <v>0.56886229866435201</v>
      </c>
      <c r="V542" s="579">
        <f t="shared" si="284"/>
        <v>-1.3094574587910461</v>
      </c>
      <c r="W542" s="580">
        <f t="shared" si="272"/>
        <v>-38.257740904016693</v>
      </c>
      <c r="X542" s="581">
        <f t="shared" si="273"/>
        <v>-242.32179360861451</v>
      </c>
      <c r="Y542" s="584">
        <f t="shared" si="274"/>
        <v>-62.321793608614513</v>
      </c>
      <c r="AA542" s="147">
        <f t="shared" si="275"/>
        <v>81756.25</v>
      </c>
      <c r="AB542" s="147">
        <f t="shared" si="276"/>
        <v>6684084414.0625</v>
      </c>
      <c r="AD542" s="583">
        <f t="shared" si="277"/>
        <v>17.39671702617677</v>
      </c>
      <c r="AE542" s="584">
        <f t="shared" si="278"/>
        <v>-72.385474255497968</v>
      </c>
      <c r="AG542" s="583">
        <f t="shared" si="279"/>
        <v>13.432448869831571</v>
      </c>
      <c r="AH542" s="584">
        <f t="shared" si="280"/>
        <v>-19.883547500350534</v>
      </c>
      <c r="AJ542" s="147">
        <f t="shared" si="281"/>
        <v>0</v>
      </c>
      <c r="AK542" s="147">
        <f t="shared" si="293"/>
        <v>0</v>
      </c>
      <c r="AM542" s="147" t="str">
        <f t="shared" si="285"/>
        <v>1.75407243359912+0.656791264319117i</v>
      </c>
      <c r="AN542" s="147" t="str">
        <f t="shared" si="286"/>
        <v>2.42503702930699i</v>
      </c>
      <c r="AO542" s="147" t="str">
        <f t="shared" si="287"/>
        <v>0.270837622841087-0.723317793667005i</v>
      </c>
      <c r="AP542" s="147" t="str">
        <f t="shared" si="288"/>
        <v>-0.125678738933186-0.109465210719853i</v>
      </c>
      <c r="AQ542" s="147" t="str">
        <f t="shared" si="289"/>
        <v>1.12567873893319+0.109465210719853i</v>
      </c>
      <c r="AR542" s="147" t="str">
        <f t="shared" si="290"/>
        <v>0.73306586257693-0.0712860662133169i</v>
      </c>
    </row>
    <row r="543" spans="7:44">
      <c r="G543" s="585">
        <v>82229.5</v>
      </c>
      <c r="H543" s="573">
        <f t="shared" si="282"/>
        <v>82.229500000000002</v>
      </c>
      <c r="I543" s="574">
        <f t="shared" si="262"/>
        <v>567.96748399437513</v>
      </c>
      <c r="J543" s="575">
        <f t="shared" si="263"/>
        <v>1.5690356617131136</v>
      </c>
      <c r="K543" s="575">
        <f t="shared" si="264"/>
        <v>1.0985076204616362</v>
      </c>
      <c r="L543" s="576">
        <f t="shared" si="265"/>
        <v>0.42672540661446628</v>
      </c>
      <c r="M543" s="575">
        <f t="shared" si="266"/>
        <v>1.1487066859111374</v>
      </c>
      <c r="N543" s="576">
        <f t="shared" si="267"/>
        <v>-0.51448908998243359</v>
      </c>
      <c r="O543" s="574">
        <f t="shared" si="268"/>
        <v>1549989.5568793728</v>
      </c>
      <c r="P543" s="577">
        <f t="shared" si="269"/>
        <v>1.5707956816292594</v>
      </c>
      <c r="Q543" s="586">
        <f t="shared" si="291"/>
        <v>207.70100794230865</v>
      </c>
      <c r="R543" s="587">
        <f t="shared" si="292"/>
        <v>1.5659816950636214</v>
      </c>
      <c r="S543" s="574">
        <f t="shared" si="270"/>
        <v>3.2720344523792022</v>
      </c>
      <c r="T543" s="577">
        <f t="shared" si="271"/>
        <v>1.2602065434132588</v>
      </c>
      <c r="U543" s="578">
        <f t="shared" si="283"/>
        <v>0.56638634163252932</v>
      </c>
      <c r="V543" s="579">
        <f t="shared" si="284"/>
        <v>-1.3147857594851</v>
      </c>
      <c r="W543" s="580">
        <f t="shared" si="272"/>
        <v>-38.370555431681296</v>
      </c>
      <c r="X543" s="581">
        <f t="shared" si="273"/>
        <v>-242.73962259814743</v>
      </c>
      <c r="Y543" s="584">
        <f t="shared" si="274"/>
        <v>-62.739622598147434</v>
      </c>
      <c r="AA543" s="147">
        <f t="shared" si="275"/>
        <v>82229.5</v>
      </c>
      <c r="AB543" s="147">
        <f t="shared" si="276"/>
        <v>6761690670.25</v>
      </c>
      <c r="AD543" s="583">
        <f t="shared" si="277"/>
        <v>17.351289384963135</v>
      </c>
      <c r="AE543" s="584">
        <f t="shared" si="278"/>
        <v>-72.480337448014268</v>
      </c>
      <c r="AG543" s="583">
        <f t="shared" si="279"/>
        <v>13.44083718490959</v>
      </c>
      <c r="AH543" s="584">
        <f t="shared" si="280"/>
        <v>-19.595935013177648</v>
      </c>
      <c r="AJ543" s="147">
        <f t="shared" si="281"/>
        <v>0</v>
      </c>
      <c r="AK543" s="147">
        <f t="shared" si="293"/>
        <v>0</v>
      </c>
      <c r="AM543" s="147" t="str">
        <f t="shared" si="285"/>
        <v>1.76321750764703+0.646141653216276i</v>
      </c>
      <c r="AN543" s="147" t="str">
        <f t="shared" si="286"/>
        <v>2.43907447322253i</v>
      </c>
      <c r="AO543" s="147" t="str">
        <f t="shared" si="287"/>
        <v>0.264912638096936-0.722904334002335i</v>
      </c>
      <c r="AP543" s="147" t="str">
        <f t="shared" si="288"/>
        <v>-0.127202917941171-0.107690275536046i</v>
      </c>
      <c r="AQ543" s="147" t="str">
        <f t="shared" si="289"/>
        <v>1.12720291794117+0.107690275536046i</v>
      </c>
      <c r="AR543" s="147" t="str">
        <f t="shared" si="290"/>
        <v>0.732313235515966-0.0699634580927546i</v>
      </c>
    </row>
    <row r="544" spans="7:44">
      <c r="G544" s="585">
        <v>82702.75</v>
      </c>
      <c r="H544" s="573">
        <f t="shared" si="282"/>
        <v>82.702749999999995</v>
      </c>
      <c r="I544" s="574">
        <f t="shared" si="262"/>
        <v>571.23625956701062</v>
      </c>
      <c r="J544" s="575">
        <f t="shared" si="263"/>
        <v>1.5690457367474107</v>
      </c>
      <c r="K544" s="575">
        <f t="shared" si="264"/>
        <v>1.0995932300538607</v>
      </c>
      <c r="L544" s="576">
        <f t="shared" si="265"/>
        <v>0.42889170547355776</v>
      </c>
      <c r="M544" s="575">
        <f t="shared" si="266"/>
        <v>1.1503110621208315</v>
      </c>
      <c r="N544" s="576">
        <f t="shared" si="267"/>
        <v>-0.51695111681532679</v>
      </c>
      <c r="O544" s="574">
        <f t="shared" si="268"/>
        <v>1558910.1092090458</v>
      </c>
      <c r="P544" s="577">
        <f t="shared" si="269"/>
        <v>1.5707956853210912</v>
      </c>
      <c r="Q544" s="586">
        <f t="shared" si="291"/>
        <v>208.89634817923167</v>
      </c>
      <c r="R544" s="587">
        <f t="shared" si="292"/>
        <v>1.5660092454117878</v>
      </c>
      <c r="S544" s="574">
        <f t="shared" si="270"/>
        <v>3.28911142462356</v>
      </c>
      <c r="T544" s="577">
        <f t="shared" si="271"/>
        <v>1.2618726069111574</v>
      </c>
      <c r="U544" s="578">
        <f t="shared" si="283"/>
        <v>0.56392092063617383</v>
      </c>
      <c r="V544" s="579">
        <f t="shared" si="284"/>
        <v>-1.3201015108583523</v>
      </c>
      <c r="W544" s="580">
        <f t="shared" si="272"/>
        <v>-38.482805510134177</v>
      </c>
      <c r="X544" s="581">
        <f t="shared" si="273"/>
        <v>-243.15559403866018</v>
      </c>
      <c r="Y544" s="584">
        <f t="shared" si="274"/>
        <v>-63.155594038660183</v>
      </c>
      <c r="AA544" s="147">
        <f t="shared" si="275"/>
        <v>82702.75</v>
      </c>
      <c r="AB544" s="147">
        <f t="shared" si="276"/>
        <v>6839744857.5625</v>
      </c>
      <c r="AD544" s="583">
        <f t="shared" si="277"/>
        <v>17.306073868382459</v>
      </c>
      <c r="AE544" s="584">
        <f t="shared" si="278"/>
        <v>-72.574217547804267</v>
      </c>
      <c r="AG544" s="583">
        <f t="shared" si="279"/>
        <v>13.4495852331686</v>
      </c>
      <c r="AH544" s="584">
        <f t="shared" si="280"/>
        <v>-19.308886115947889</v>
      </c>
      <c r="AJ544" s="147">
        <f t="shared" si="281"/>
        <v>0</v>
      </c>
      <c r="AK544" s="147">
        <f t="shared" si="293"/>
        <v>0</v>
      </c>
      <c r="AM544" s="147" t="str">
        <f t="shared" si="285"/>
        <v>1.77221219228305+0.635364722100152i</v>
      </c>
      <c r="AN544" s="147" t="str">
        <f t="shared" si="286"/>
        <v>2.45311191713806i</v>
      </c>
      <c r="AO544" s="147" t="str">
        <f t="shared" si="287"/>
        <v>0.259003561012171-0.722434300653765i</v>
      </c>
      <c r="AP544" s="147" t="str">
        <f t="shared" si="288"/>
        <v>-0.128702032047175-0.105894120350025i</v>
      </c>
      <c r="AQ544" s="147" t="str">
        <f t="shared" si="289"/>
        <v>1.12870203204718+0.105894120350025i</v>
      </c>
      <c r="AR544" s="147" t="str">
        <f t="shared" si="290"/>
        <v>0.731576468062829-0.0686360477386411i</v>
      </c>
    </row>
    <row r="545" spans="7:44">
      <c r="G545" s="585">
        <v>83176</v>
      </c>
      <c r="H545" s="573">
        <f t="shared" si="282"/>
        <v>83.176000000000002</v>
      </c>
      <c r="I545" s="574">
        <f t="shared" si="262"/>
        <v>574.5050351969702</v>
      </c>
      <c r="J545" s="575">
        <f t="shared" si="263"/>
        <v>1.5690556971333609</v>
      </c>
      <c r="K545" s="575">
        <f t="shared" si="264"/>
        <v>1.1006839896797755</v>
      </c>
      <c r="L545" s="576">
        <f t="shared" si="265"/>
        <v>0.43105372092928224</v>
      </c>
      <c r="M545" s="575">
        <f t="shared" si="266"/>
        <v>1.1519223915810919</v>
      </c>
      <c r="N545" s="576">
        <f t="shared" si="267"/>
        <v>-0.5194062706421616</v>
      </c>
      <c r="O545" s="574">
        <f t="shared" si="268"/>
        <v>1567830.661538719</v>
      </c>
      <c r="P545" s="577">
        <f t="shared" si="269"/>
        <v>1.5707956889709118</v>
      </c>
      <c r="Q545" s="586">
        <f t="shared" si="291"/>
        <v>210.09168857290723</v>
      </c>
      <c r="R545" s="587">
        <f t="shared" si="292"/>
        <v>1.5660364822583386</v>
      </c>
      <c r="S545" s="574">
        <f t="shared" si="270"/>
        <v>3.3061974323486001</v>
      </c>
      <c r="T545" s="577">
        <f t="shared" si="271"/>
        <v>1.2635214549381351</v>
      </c>
      <c r="U545" s="578">
        <f t="shared" si="283"/>
        <v>0.56146598369501111</v>
      </c>
      <c r="V545" s="579">
        <f t="shared" si="284"/>
        <v>-1.3254049797280816</v>
      </c>
      <c r="W545" s="580">
        <f t="shared" si="272"/>
        <v>-38.594496866024038</v>
      </c>
      <c r="X545" s="581">
        <f t="shared" si="273"/>
        <v>-243.56973838747217</v>
      </c>
      <c r="Y545" s="584">
        <f t="shared" si="274"/>
        <v>-63.569738387472171</v>
      </c>
      <c r="AA545" s="147">
        <f t="shared" si="275"/>
        <v>83176</v>
      </c>
      <c r="AB545" s="147">
        <f t="shared" si="276"/>
        <v>6918246976</v>
      </c>
      <c r="AD545" s="583">
        <f t="shared" si="277"/>
        <v>17.26106877864089</v>
      </c>
      <c r="AE545" s="584">
        <f t="shared" si="278"/>
        <v>-72.667129233679447</v>
      </c>
      <c r="AG545" s="583">
        <f t="shared" si="279"/>
        <v>13.458689239966418</v>
      </c>
      <c r="AH545" s="584">
        <f t="shared" si="280"/>
        <v>-19.022386012161238</v>
      </c>
      <c r="AJ545" s="147">
        <f t="shared" si="281"/>
        <v>0</v>
      </c>
      <c r="AK545" s="147">
        <f t="shared" si="293"/>
        <v>0</v>
      </c>
      <c r="AM545" s="147" t="str">
        <f t="shared" si="285"/>
        <v>1.78105471513522+0.624462594528323i</v>
      </c>
      <c r="AN545" s="147" t="str">
        <f t="shared" si="286"/>
        <v>2.4671493610536i</v>
      </c>
      <c r="AO545" s="147" t="str">
        <f t="shared" si="287"/>
        <v>0.253110980788632-0.721907940901729i</v>
      </c>
      <c r="AP545" s="147" t="str">
        <f t="shared" si="288"/>
        <v>-0.13017578585587-0.104077099088054i</v>
      </c>
      <c r="AQ545" s="147" t="str">
        <f t="shared" si="289"/>
        <v>1.13017578585587+0.104077099088054i</v>
      </c>
      <c r="AR545" s="147" t="str">
        <f t="shared" si="290"/>
        <v>0.730855507632854-0.0673039734516618i</v>
      </c>
    </row>
    <row r="546" spans="7:44">
      <c r="G546" s="585">
        <v>83660.5</v>
      </c>
      <c r="H546" s="573">
        <f t="shared" si="282"/>
        <v>83.660499999999999</v>
      </c>
      <c r="I546" s="574">
        <f t="shared" si="262"/>
        <v>577.85151553577305</v>
      </c>
      <c r="J546" s="575">
        <f t="shared" si="263"/>
        <v>1.5690657775582013</v>
      </c>
      <c r="K546" s="575">
        <f t="shared" si="264"/>
        <v>1.1018059977715347</v>
      </c>
      <c r="L546" s="576">
        <f t="shared" si="265"/>
        <v>0.4332626862259607</v>
      </c>
      <c r="M546" s="575">
        <f t="shared" si="266"/>
        <v>1.1535791979559977</v>
      </c>
      <c r="N546" s="576">
        <f t="shared" si="267"/>
        <v>-0.52191266708390538</v>
      </c>
      <c r="O546" s="574">
        <f t="shared" si="268"/>
        <v>1576963.2713722673</v>
      </c>
      <c r="P546" s="577">
        <f t="shared" si="269"/>
        <v>1.5707956926647186</v>
      </c>
      <c r="Q546" s="586">
        <f t="shared" si="291"/>
        <v>211.31544450797475</v>
      </c>
      <c r="R546" s="587">
        <f t="shared" si="292"/>
        <v>1.5660640473595264</v>
      </c>
      <c r="S546" s="574">
        <f t="shared" si="270"/>
        <v>3.3236988197955997</v>
      </c>
      <c r="T546" s="577">
        <f t="shared" si="271"/>
        <v>1.2651919327682049</v>
      </c>
      <c r="U546" s="578">
        <f t="shared" si="283"/>
        <v>0.55896349338833162</v>
      </c>
      <c r="V546" s="579">
        <f t="shared" si="284"/>
        <v>-1.3308220752808835</v>
      </c>
      <c r="W546" s="580">
        <f t="shared" si="272"/>
        <v>-38.708270456832537</v>
      </c>
      <c r="X546" s="581">
        <f t="shared" si="273"/>
        <v>-243.99186639256894</v>
      </c>
      <c r="Y546" s="584">
        <f t="shared" si="274"/>
        <v>-63.991866392568937</v>
      </c>
      <c r="AA546" s="147">
        <f t="shared" si="275"/>
        <v>83660.5</v>
      </c>
      <c r="AB546" s="147">
        <f t="shared" si="276"/>
        <v>6999079260.25</v>
      </c>
      <c r="AD546" s="583">
        <f t="shared" si="277"/>
        <v>17.215210070110668</v>
      </c>
      <c r="AE546" s="584">
        <f t="shared" si="278"/>
        <v>-72.761261410899806</v>
      </c>
      <c r="AG546" s="583">
        <f t="shared" si="279"/>
        <v>13.468374568011964</v>
      </c>
      <c r="AH546" s="584">
        <f t="shared" si="280"/>
        <v>-18.729628414539118</v>
      </c>
      <c r="AJ546" s="147">
        <f t="shared" si="281"/>
        <v>0</v>
      </c>
      <c r="AK546" s="147">
        <f t="shared" si="293"/>
        <v>0</v>
      </c>
      <c r="AM546" s="147" t="str">
        <f t="shared" si="285"/>
        <v>1.78994799095076+0.613173851034807i</v>
      </c>
      <c r="AN546" s="147" t="str">
        <f t="shared" si="286"/>
        <v>2.48152050014938i</v>
      </c>
      <c r="AO546" s="147" t="str">
        <f t="shared" si="287"/>
        <v>0.24709602479524-0.721310982860311i</v>
      </c>
      <c r="AP546" s="147" t="str">
        <f t="shared" si="288"/>
        <v>-0.131657998491793-0.102195641839135i</v>
      </c>
      <c r="AQ546" s="147" t="str">
        <f t="shared" si="289"/>
        <v>1.13165799849179+0.102195641839135i</v>
      </c>
      <c r="AR546" s="147" t="str">
        <f t="shared" si="290"/>
        <v>0.730133729378335-0.0659355434253678i</v>
      </c>
    </row>
    <row r="547" spans="7:44">
      <c r="G547" s="585">
        <v>84145</v>
      </c>
      <c r="H547" s="573">
        <f t="shared" si="282"/>
        <v>84.144999999999996</v>
      </c>
      <c r="I547" s="574">
        <f t="shared" si="262"/>
        <v>581.19799593261814</v>
      </c>
      <c r="J547" s="575">
        <f t="shared" si="263"/>
        <v>1.5690757418988706</v>
      </c>
      <c r="K547" s="575">
        <f t="shared" si="264"/>
        <v>1.1029333712023279</v>
      </c>
      <c r="L547" s="576">
        <f t="shared" si="265"/>
        <v>0.435467146432931</v>
      </c>
      <c r="M547" s="575">
        <f t="shared" si="266"/>
        <v>1.1552432303293796</v>
      </c>
      <c r="N547" s="576">
        <f t="shared" si="267"/>
        <v>-0.52441185867427431</v>
      </c>
      <c r="O547" s="574">
        <f t="shared" si="268"/>
        <v>1586095.8812058154</v>
      </c>
      <c r="P547" s="577">
        <f t="shared" si="269"/>
        <v>1.5707956963159881</v>
      </c>
      <c r="Q547" s="586">
        <f t="shared" si="291"/>
        <v>212.53920060175807</v>
      </c>
      <c r="R547" s="587">
        <f t="shared" si="292"/>
        <v>1.5660912950326042</v>
      </c>
      <c r="S547" s="574">
        <f t="shared" si="270"/>
        <v>3.3412093848332414</v>
      </c>
      <c r="T547" s="577">
        <f t="shared" si="271"/>
        <v>1.2668449059353737</v>
      </c>
      <c r="U547" s="578">
        <f t="shared" si="283"/>
        <v>0.55647187612481164</v>
      </c>
      <c r="V547" s="579">
        <f t="shared" si="284"/>
        <v>-1.3362268605651504</v>
      </c>
      <c r="W547" s="580">
        <f t="shared" si="272"/>
        <v>-38.821470456427697</v>
      </c>
      <c r="X547" s="581">
        <f t="shared" si="273"/>
        <v>-244.4121429766974</v>
      </c>
      <c r="Y547" s="584">
        <f t="shared" si="274"/>
        <v>-64.412142976697396</v>
      </c>
      <c r="AA547" s="147">
        <f t="shared" si="275"/>
        <v>84145</v>
      </c>
      <c r="AB547" s="147">
        <f t="shared" si="276"/>
        <v>7080381025</v>
      </c>
      <c r="AD547" s="583">
        <f t="shared" si="277"/>
        <v>17.16956835913863</v>
      </c>
      <c r="AE547" s="584">
        <f t="shared" si="278"/>
        <v>-72.854408829666824</v>
      </c>
      <c r="AG547" s="583">
        <f t="shared" si="279"/>
        <v>13.478425253098486</v>
      </c>
      <c r="AH547" s="584">
        <f t="shared" si="280"/>
        <v>-18.437414807267078</v>
      </c>
      <c r="AJ547" s="147">
        <f t="shared" si="281"/>
        <v>0</v>
      </c>
      <c r="AK547" s="147">
        <f t="shared" si="293"/>
        <v>0</v>
      </c>
      <c r="AM547" s="147" t="str">
        <f t="shared" si="285"/>
        <v>1.79867812190085+0.601758471146792i</v>
      </c>
      <c r="AN547" s="147" t="str">
        <f t="shared" si="286"/>
        <v>2.49589163924515i</v>
      </c>
      <c r="AO547" s="147" t="str">
        <f t="shared" si="287"/>
        <v>0.24109959810947-0.720655533925678i</v>
      </c>
      <c r="AP547" s="147" t="str">
        <f t="shared" si="288"/>
        <v>-0.133113020316809-0.100293078524465i</v>
      </c>
      <c r="AQ547" s="147" t="str">
        <f t="shared" si="289"/>
        <v>1.13311302031681+0.100293078524465i</v>
      </c>
      <c r="AR547" s="147" t="str">
        <f t="shared" si="290"/>
        <v>0.729428408551896-0.0645625099572299i</v>
      </c>
    </row>
    <row r="548" spans="7:44">
      <c r="G548" s="585">
        <v>84629.5</v>
      </c>
      <c r="H548" s="573">
        <f t="shared" si="282"/>
        <v>84.629499999999993</v>
      </c>
      <c r="I548" s="574">
        <f t="shared" si="262"/>
        <v>584.54447638650834</v>
      </c>
      <c r="J548" s="575">
        <f t="shared" si="263"/>
        <v>1.5690855921490905</v>
      </c>
      <c r="K548" s="575">
        <f t="shared" si="264"/>
        <v>1.1040660935363444</v>
      </c>
      <c r="L548" s="576">
        <f t="shared" si="265"/>
        <v>0.4376670939578684</v>
      </c>
      <c r="M548" s="575">
        <f t="shared" si="266"/>
        <v>1.1569144575209838</v>
      </c>
      <c r="N548" s="576">
        <f t="shared" si="267"/>
        <v>-0.52690384534998258</v>
      </c>
      <c r="O548" s="574">
        <f t="shared" si="268"/>
        <v>1595228.4910393634</v>
      </c>
      <c r="P548" s="577">
        <f t="shared" si="269"/>
        <v>1.5707956999254509</v>
      </c>
      <c r="Q548" s="586">
        <f t="shared" si="291"/>
        <v>213.76295685153136</v>
      </c>
      <c r="R548" s="587">
        <f t="shared" si="292"/>
        <v>1.5661182307291954</v>
      </c>
      <c r="S548" s="574">
        <f t="shared" si="270"/>
        <v>3.3587289839208032</v>
      </c>
      <c r="T548" s="577">
        <f t="shared" si="271"/>
        <v>1.2684806392557035</v>
      </c>
      <c r="U548" s="578">
        <f t="shared" si="283"/>
        <v>0.55399107104653722</v>
      </c>
      <c r="V548" s="579">
        <f t="shared" si="284"/>
        <v>-1.3416196190351137</v>
      </c>
      <c r="W548" s="580">
        <f t="shared" si="272"/>
        <v>-38.934102873661949</v>
      </c>
      <c r="X548" s="581">
        <f t="shared" si="273"/>
        <v>-244.83059978673234</v>
      </c>
      <c r="Y548" s="584">
        <f t="shared" si="274"/>
        <v>-64.830599786732336</v>
      </c>
      <c r="AA548" s="147">
        <f t="shared" si="275"/>
        <v>84629.5</v>
      </c>
      <c r="AB548" s="147">
        <f t="shared" si="276"/>
        <v>7162152270.25</v>
      </c>
      <c r="AD548" s="583">
        <f t="shared" si="277"/>
        <v>17.124141873183579</v>
      </c>
      <c r="AE548" s="584">
        <f t="shared" si="278"/>
        <v>-72.946586350510003</v>
      </c>
      <c r="AG548" s="583">
        <f t="shared" si="279"/>
        <v>13.488837526105229</v>
      </c>
      <c r="AH548" s="584">
        <f t="shared" si="280"/>
        <v>-18.145729495227958</v>
      </c>
      <c r="AJ548" s="147">
        <f t="shared" si="281"/>
        <v>0</v>
      </c>
      <c r="AK548" s="147">
        <f t="shared" si="293"/>
        <v>0</v>
      </c>
      <c r="AM548" s="147" t="str">
        <f t="shared" si="285"/>
        <v>1.80724330498575+0.590218812437972i</v>
      </c>
      <c r="AN548" s="147" t="str">
        <f t="shared" si="286"/>
        <v>2.51026277834093i</v>
      </c>
      <c r="AO548" s="147" t="str">
        <f t="shared" si="287"/>
        <v>0.235122321667079-0.719941880419461i</v>
      </c>
      <c r="AP548" s="147" t="str">
        <f t="shared" si="288"/>
        <v>-0.134540550830958-0.0983698020729953i</v>
      </c>
      <c r="AQ548" s="147" t="str">
        <f t="shared" si="289"/>
        <v>1.13454055083096+0.0983698020729953i</v>
      </c>
      <c r="AR548" s="147" t="str">
        <f t="shared" si="290"/>
        <v>0.728739490337224-0.063185012977054i</v>
      </c>
    </row>
    <row r="549" spans="7:44">
      <c r="G549" s="585">
        <v>85114</v>
      </c>
      <c r="H549" s="573">
        <f t="shared" si="282"/>
        <v>85.114000000000004</v>
      </c>
      <c r="I549" s="574">
        <f t="shared" si="262"/>
        <v>587.8909568964699</v>
      </c>
      <c r="J549" s="575">
        <f t="shared" si="263"/>
        <v>1.5690953302571871</v>
      </c>
      <c r="K549" s="575">
        <f t="shared" si="264"/>
        <v>1.105204148327332</v>
      </c>
      <c r="L549" s="576">
        <f t="shared" si="265"/>
        <v>0.43986252141422139</v>
      </c>
      <c r="M549" s="575">
        <f t="shared" si="266"/>
        <v>1.1585928483960366</v>
      </c>
      <c r="N549" s="576">
        <f t="shared" si="267"/>
        <v>-0.5293886274060472</v>
      </c>
      <c r="O549" s="574">
        <f t="shared" si="268"/>
        <v>1604361.1008729117</v>
      </c>
      <c r="P549" s="577">
        <f t="shared" si="269"/>
        <v>1.5707957034938209</v>
      </c>
      <c r="Q549" s="586">
        <f t="shared" si="291"/>
        <v>214.98671325463084</v>
      </c>
      <c r="R549" s="587">
        <f t="shared" si="292"/>
        <v>1.566144859776798</v>
      </c>
      <c r="S549" s="574">
        <f t="shared" si="270"/>
        <v>3.3762574764236351</v>
      </c>
      <c r="T549" s="577">
        <f t="shared" si="271"/>
        <v>1.2700993924191688</v>
      </c>
      <c r="U549" s="578">
        <f t="shared" si="283"/>
        <v>0.55152101570094636</v>
      </c>
      <c r="V549" s="579">
        <f t="shared" si="284"/>
        <v>-1.3470006332047191</v>
      </c>
      <c r="W549" s="580">
        <f t="shared" si="272"/>
        <v>-39.046173673733946</v>
      </c>
      <c r="X549" s="581">
        <f t="shared" si="273"/>
        <v>-245.24726813521994</v>
      </c>
      <c r="Y549" s="584">
        <f t="shared" si="274"/>
        <v>-65.24726813521994</v>
      </c>
      <c r="AA549" s="147">
        <f t="shared" si="275"/>
        <v>85114</v>
      </c>
      <c r="AB549" s="147">
        <f t="shared" si="276"/>
        <v>7244392996</v>
      </c>
      <c r="AD549" s="583">
        <f t="shared" si="277"/>
        <v>17.07892885621909</v>
      </c>
      <c r="AE549" s="584">
        <f t="shared" si="278"/>
        <v>-73.037808547366723</v>
      </c>
      <c r="AG549" s="583">
        <f t="shared" si="279"/>
        <v>13.499607709586172</v>
      </c>
      <c r="AH549" s="584">
        <f t="shared" si="280"/>
        <v>-17.854556843317315</v>
      </c>
      <c r="AJ549" s="147">
        <f t="shared" si="281"/>
        <v>0</v>
      </c>
      <c r="AK549" s="147">
        <f t="shared" si="293"/>
        <v>0</v>
      </c>
      <c r="AM549" s="147" t="str">
        <f t="shared" si="285"/>
        <v>1.81564177127171+0.578557258148885i</v>
      </c>
      <c r="AN549" s="147" t="str">
        <f t="shared" si="286"/>
        <v>2.52463391743671i</v>
      </c>
      <c r="AO549" s="147" t="str">
        <f t="shared" si="287"/>
        <v>0.229164812432014-0.719170315637347i</v>
      </c>
      <c r="AP549" s="147" t="str">
        <f t="shared" si="288"/>
        <v>-0.135940295211951-0.0964262096914808i</v>
      </c>
      <c r="AQ549" s="147" t="str">
        <f t="shared" si="289"/>
        <v>1.13594029521195+0.0964262096914808i</v>
      </c>
      <c r="AR549" s="147" t="str">
        <f t="shared" si="290"/>
        <v>0.728066920556095-0.0618031896983402i</v>
      </c>
    </row>
    <row r="550" spans="7:44">
      <c r="G550" s="585">
        <v>85609.5</v>
      </c>
      <c r="H550" s="573">
        <f t="shared" si="282"/>
        <v>85.609499999999997</v>
      </c>
      <c r="I550" s="574">
        <f t="shared" si="262"/>
        <v>591.3134153491095</v>
      </c>
      <c r="J550" s="575">
        <f t="shared" si="263"/>
        <v>1.5691051754516192</v>
      </c>
      <c r="K550" s="575">
        <f t="shared" si="264"/>
        <v>1.1063735395902383</v>
      </c>
      <c r="L550" s="576">
        <f t="shared" si="265"/>
        <v>0.44210311080562231</v>
      </c>
      <c r="M550" s="575">
        <f t="shared" si="266"/>
        <v>1.1603167222493977</v>
      </c>
      <c r="N550" s="576">
        <f t="shared" si="267"/>
        <v>-0.53192237234613593</v>
      </c>
      <c r="O550" s="574">
        <f t="shared" si="268"/>
        <v>1613701.0558213601</v>
      </c>
      <c r="P550" s="577">
        <f t="shared" si="269"/>
        <v>1.5707957071014309</v>
      </c>
      <c r="Q550" s="586">
        <f t="shared" si="291"/>
        <v>216.23825375670921</v>
      </c>
      <c r="R550" s="587">
        <f t="shared" si="292"/>
        <v>1.566171781659895</v>
      </c>
      <c r="S550" s="574">
        <f t="shared" si="270"/>
        <v>3.3941929876251828</v>
      </c>
      <c r="T550" s="577">
        <f t="shared" si="271"/>
        <v>1.2717376000414651</v>
      </c>
      <c r="U550" s="578">
        <f t="shared" si="283"/>
        <v>0.54900593256503949</v>
      </c>
      <c r="V550" s="579">
        <f t="shared" si="284"/>
        <v>-1.3524919631006891</v>
      </c>
      <c r="W550" s="580">
        <f t="shared" si="272"/>
        <v>-39.160214192675255</v>
      </c>
      <c r="X550" s="581">
        <f t="shared" si="273"/>
        <v>-245.67157890557456</v>
      </c>
      <c r="Y550" s="584">
        <f t="shared" si="274"/>
        <v>-65.671578905574563</v>
      </c>
      <c r="AA550" s="147">
        <f t="shared" si="275"/>
        <v>85609.5</v>
      </c>
      <c r="AB550" s="147">
        <f t="shared" si="276"/>
        <v>7328986490.25</v>
      </c>
      <c r="AD550" s="583">
        <f t="shared" si="277"/>
        <v>17.032908312200657</v>
      </c>
      <c r="AE550" s="584">
        <f t="shared" si="278"/>
        <v>-73.130128626618784</v>
      </c>
      <c r="AG550" s="583">
        <f t="shared" si="279"/>
        <v>13.510988871057268</v>
      </c>
      <c r="AH550" s="584">
        <f t="shared" si="280"/>
        <v>-17.557287479794642</v>
      </c>
      <c r="AJ550" s="147">
        <f t="shared" si="281"/>
        <v>0</v>
      </c>
      <c r="AK550" s="147">
        <f t="shared" si="293"/>
        <v>0</v>
      </c>
      <c r="AM550" s="147" t="str">
        <f t="shared" si="285"/>
        <v>1.824056669991+0.566507373864932i</v>
      </c>
      <c r="AN550" s="147" t="str">
        <f t="shared" si="286"/>
        <v>2.53933133626428i</v>
      </c>
      <c r="AO550" s="147" t="str">
        <f t="shared" si="287"/>
        <v>0.223093129192957-0.718321647884852i</v>
      </c>
      <c r="AP550" s="147" t="str">
        <f t="shared" si="288"/>
        <v>-0.137342778331834-0.0944178956441553i</v>
      </c>
      <c r="AQ550" s="147" t="str">
        <f t="shared" si="289"/>
        <v>1.13734277833183+0.0944178956441553i</v>
      </c>
      <c r="AR550" s="147" t="str">
        <f t="shared" si="290"/>
        <v>0.727395934532553-0.0603856592287955i</v>
      </c>
    </row>
    <row r="551" spans="7:44">
      <c r="G551" s="585">
        <v>86105</v>
      </c>
      <c r="H551" s="573">
        <f t="shared" si="282"/>
        <v>86.105000000000004</v>
      </c>
      <c r="I551" s="574">
        <f t="shared" si="262"/>
        <v>594.73587385840415</v>
      </c>
      <c r="J551" s="575">
        <f t="shared" si="263"/>
        <v>1.5691149073360235</v>
      </c>
      <c r="K551" s="575">
        <f t="shared" si="264"/>
        <v>1.1075484733697096</v>
      </c>
      <c r="L551" s="576">
        <f t="shared" si="265"/>
        <v>0.44433895757969477</v>
      </c>
      <c r="M551" s="575">
        <f t="shared" si="266"/>
        <v>1.1620480230487</v>
      </c>
      <c r="N551" s="576">
        <f t="shared" si="267"/>
        <v>-0.53444858356148117</v>
      </c>
      <c r="O551" s="574">
        <f t="shared" si="268"/>
        <v>1623041.0107698082</v>
      </c>
      <c r="P551" s="577">
        <f t="shared" si="269"/>
        <v>1.5707957106675201</v>
      </c>
      <c r="Q551" s="586">
        <f t="shared" si="291"/>
        <v>217.48979441371063</v>
      </c>
      <c r="R551" s="587">
        <f t="shared" si="292"/>
        <v>1.5661983937001391</v>
      </c>
      <c r="S551" s="574">
        <f t="shared" si="270"/>
        <v>3.4121375121288087</v>
      </c>
      <c r="T551" s="577">
        <f t="shared" si="271"/>
        <v>1.2733585812185999</v>
      </c>
      <c r="U551" s="578">
        <f t="shared" si="283"/>
        <v>0.54650195583691885</v>
      </c>
      <c r="V551" s="579">
        <f t="shared" si="284"/>
        <v>-1.3579716040857417</v>
      </c>
      <c r="W551" s="580">
        <f t="shared" si="272"/>
        <v>-39.273679788080116</v>
      </c>
      <c r="X551" s="581">
        <f t="shared" si="273"/>
        <v>-246.09408428750808</v>
      </c>
      <c r="Y551" s="584">
        <f t="shared" si="274"/>
        <v>-66.094084287508082</v>
      </c>
      <c r="AA551" s="147">
        <f t="shared" si="275"/>
        <v>86105</v>
      </c>
      <c r="AB551" s="147">
        <f t="shared" si="276"/>
        <v>7414071025</v>
      </c>
      <c r="AD551" s="583">
        <f t="shared" si="277"/>
        <v>16.987107377911872</v>
      </c>
      <c r="AE551" s="584">
        <f t="shared" si="278"/>
        <v>-73.221479453574787</v>
      </c>
      <c r="AG551" s="583">
        <f t="shared" si="279"/>
        <v>13.522736886461875</v>
      </c>
      <c r="AH551" s="584">
        <f t="shared" si="280"/>
        <v>-17.260521430673794</v>
      </c>
      <c r="AJ551" s="147">
        <f t="shared" si="281"/>
        <v>0</v>
      </c>
      <c r="AK551" s="147">
        <f t="shared" si="293"/>
        <v>0</v>
      </c>
      <c r="AM551" s="147" t="str">
        <f t="shared" si="285"/>
        <v>1.83229356403807+0.554335118191883i</v>
      </c>
      <c r="AN551" s="147" t="str">
        <f t="shared" si="286"/>
        <v>2.55402875509185i</v>
      </c>
      <c r="AO551" s="147" t="str">
        <f t="shared" si="287"/>
        <v>0.217043413112217-0.717413051981153i</v>
      </c>
      <c r="AP551" s="147" t="str">
        <f t="shared" si="288"/>
        <v>-0.138715594006345-0.0923891863653138i</v>
      </c>
      <c r="AQ551" s="147" t="str">
        <f t="shared" si="289"/>
        <v>1.13871559400634+0.0923891863653138i</v>
      </c>
      <c r="AR551" s="147" t="str">
        <f t="shared" si="290"/>
        <v>0.726741935328971-0.0589638856761132i</v>
      </c>
    </row>
    <row r="552" spans="7:44">
      <c r="G552" s="585">
        <v>86600.5</v>
      </c>
      <c r="H552" s="573">
        <f t="shared" si="282"/>
        <v>86.600499999999997</v>
      </c>
      <c r="I552" s="574">
        <f t="shared" si="262"/>
        <v>598.15833242338147</v>
      </c>
      <c r="J552" s="575">
        <f t="shared" si="263"/>
        <v>1.5691245278553627</v>
      </c>
      <c r="K552" s="575">
        <f t="shared" si="264"/>
        <v>1.1087289320453255</v>
      </c>
      <c r="L552" s="576">
        <f t="shared" si="265"/>
        <v>0.44657005449542247</v>
      </c>
      <c r="M552" s="575">
        <f t="shared" si="266"/>
        <v>1.1637867176479808</v>
      </c>
      <c r="N552" s="576">
        <f t="shared" si="267"/>
        <v>-0.53696726250332294</v>
      </c>
      <c r="O552" s="574">
        <f t="shared" si="268"/>
        <v>1632380.9657182565</v>
      </c>
      <c r="P552" s="577">
        <f t="shared" si="269"/>
        <v>1.5707957141928013</v>
      </c>
      <c r="Q552" s="586">
        <f t="shared" si="291"/>
        <v>218.74133522297595</v>
      </c>
      <c r="R552" s="587">
        <f t="shared" si="292"/>
        <v>1.5662247012158421</v>
      </c>
      <c r="S552" s="574">
        <f t="shared" si="270"/>
        <v>3.4300909084752154</v>
      </c>
      <c r="T552" s="577">
        <f t="shared" si="271"/>
        <v>1.2749625978587247</v>
      </c>
      <c r="U552" s="578">
        <f t="shared" si="283"/>
        <v>0.5440090139034921</v>
      </c>
      <c r="V552" s="579">
        <f t="shared" si="284"/>
        <v>-1.3634398553829274</v>
      </c>
      <c r="W552" s="580">
        <f t="shared" si="272"/>
        <v>-39.386576706108791</v>
      </c>
      <c r="X552" s="581">
        <f t="shared" si="273"/>
        <v>-246.51481673626188</v>
      </c>
      <c r="Y552" s="584">
        <f t="shared" si="274"/>
        <v>-66.514816736261878</v>
      </c>
      <c r="AA552" s="147">
        <f t="shared" si="275"/>
        <v>86600.5</v>
      </c>
      <c r="AB552" s="147">
        <f t="shared" si="276"/>
        <v>7499646600.25</v>
      </c>
      <c r="AD552" s="583">
        <f t="shared" si="277"/>
        <v>16.941524228179293</v>
      </c>
      <c r="AE552" s="584">
        <f t="shared" si="278"/>
        <v>-73.311875729790444</v>
      </c>
      <c r="AG552" s="583">
        <f t="shared" si="279"/>
        <v>13.534848110040658</v>
      </c>
      <c r="AH552" s="584">
        <f t="shared" si="280"/>
        <v>-16.964242161204581</v>
      </c>
      <c r="AJ552" s="147">
        <f t="shared" si="281"/>
        <v>0</v>
      </c>
      <c r="AK552" s="147">
        <f t="shared" si="293"/>
        <v>0</v>
      </c>
      <c r="AM552" s="147" t="str">
        <f t="shared" si="285"/>
        <v>1.84035067415952+0.542043120461508i</v>
      </c>
      <c r="AN552" s="147" t="str">
        <f t="shared" si="286"/>
        <v>2.56872617391942i</v>
      </c>
      <c r="AO552" s="147" t="str">
        <f t="shared" si="287"/>
        <v>0.211016310716547-0.716444863934824i</v>
      </c>
      <c r="AP552" s="147" t="str">
        <f t="shared" si="288"/>
        <v>-0.140058445693253-0.090340520076918i</v>
      </c>
      <c r="AQ552" s="147" t="str">
        <f t="shared" si="289"/>
        <v>1.14005844569325+0.090340520076918i</v>
      </c>
      <c r="AR552" s="147" t="str">
        <f t="shared" si="290"/>
        <v>0.7261048673509-0.0575380074544982i</v>
      </c>
    </row>
    <row r="553" spans="7:44">
      <c r="G553" s="585">
        <v>87096</v>
      </c>
      <c r="H553" s="573">
        <f t="shared" si="282"/>
        <v>87.096000000000004</v>
      </c>
      <c r="I553" s="574">
        <f t="shared" si="262"/>
        <v>601.58079104309104</v>
      </c>
      <c r="J553" s="575">
        <f t="shared" si="263"/>
        <v>1.5691340389103388</v>
      </c>
      <c r="K553" s="575">
        <f t="shared" si="264"/>
        <v>1.1099148979889468</v>
      </c>
      <c r="L553" s="576">
        <f t="shared" si="265"/>
        <v>0.44879639453167114</v>
      </c>
      <c r="M553" s="575">
        <f t="shared" si="266"/>
        <v>1.1655327729579257</v>
      </c>
      <c r="N553" s="576">
        <f t="shared" si="267"/>
        <v>-0.53947841099652005</v>
      </c>
      <c r="O553" s="574">
        <f t="shared" si="268"/>
        <v>1641720.9206667047</v>
      </c>
      <c r="P553" s="577">
        <f t="shared" si="269"/>
        <v>1.570795717677971</v>
      </c>
      <c r="Q553" s="586">
        <f t="shared" si="291"/>
        <v>219.99287618190647</v>
      </c>
      <c r="R553" s="587">
        <f t="shared" si="292"/>
        <v>1.5662507094042937</v>
      </c>
      <c r="S553" s="574">
        <f t="shared" si="270"/>
        <v>3.4480530380821026</v>
      </c>
      <c r="T553" s="577">
        <f t="shared" si="271"/>
        <v>1.2765499067657404</v>
      </c>
      <c r="U553" s="578">
        <f t="shared" si="283"/>
        <v>0.54152703364762633</v>
      </c>
      <c r="V553" s="579">
        <f t="shared" si="284"/>
        <v>-1.3688970152421436</v>
      </c>
      <c r="W553" s="580">
        <f t="shared" si="272"/>
        <v>-39.498911149868967</v>
      </c>
      <c r="X553" s="581">
        <f t="shared" si="273"/>
        <v>-246.93380837207351</v>
      </c>
      <c r="Y553" s="584">
        <f t="shared" si="274"/>
        <v>-66.933808372073514</v>
      </c>
      <c r="AA553" s="147">
        <f t="shared" si="275"/>
        <v>87096</v>
      </c>
      <c r="AB553" s="147">
        <f t="shared" si="276"/>
        <v>7585713216</v>
      </c>
      <c r="AD553" s="583">
        <f t="shared" si="277"/>
        <v>16.896157055600348</v>
      </c>
      <c r="AE553" s="584">
        <f t="shared" si="278"/>
        <v>-73.401331871302673</v>
      </c>
      <c r="AG553" s="583">
        <f t="shared" si="279"/>
        <v>13.547318989997578</v>
      </c>
      <c r="AH553" s="584">
        <f t="shared" si="280"/>
        <v>-16.668433198666904</v>
      </c>
      <c r="AJ553" s="147">
        <f t="shared" si="281"/>
        <v>0</v>
      </c>
      <c r="AK553" s="147">
        <f t="shared" si="293"/>
        <v>0</v>
      </c>
      <c r="AM553" s="147" t="str">
        <f t="shared" si="285"/>
        <v>1.84822625993712+0.529634035871075i</v>
      </c>
      <c r="AN553" s="147" t="str">
        <f t="shared" si="286"/>
        <v>2.583423592747i</v>
      </c>
      <c r="AO553" s="147" t="str">
        <f t="shared" si="287"/>
        <v>0.205012463832114-0.715417427140498i</v>
      </c>
      <c r="AP553" s="147" t="str">
        <f t="shared" si="288"/>
        <v>-0.141371043322853-0.0882723393118458i</v>
      </c>
      <c r="AQ553" s="147" t="str">
        <f t="shared" si="289"/>
        <v>1.14137104332285+0.0882723393118458i</v>
      </c>
      <c r="AR553" s="147" t="str">
        <f t="shared" si="290"/>
        <v>0.725484675889436-0.0561081603132473i</v>
      </c>
    </row>
    <row r="554" spans="7:44">
      <c r="G554" s="585">
        <v>87603.25</v>
      </c>
      <c r="H554" s="573">
        <f t="shared" si="282"/>
        <v>87.603250000000003</v>
      </c>
      <c r="I554" s="574">
        <f t="shared" si="262"/>
        <v>605.08440791990097</v>
      </c>
      <c r="J554" s="575">
        <f t="shared" si="263"/>
        <v>1.5691436640554062</v>
      </c>
      <c r="K554" s="575">
        <f t="shared" si="264"/>
        <v>1.1111346735411121</v>
      </c>
      <c r="L554" s="576">
        <f t="shared" si="265"/>
        <v>0.45107059418540818</v>
      </c>
      <c r="M554" s="575">
        <f t="shared" si="266"/>
        <v>1.1673278233285389</v>
      </c>
      <c r="N554" s="576">
        <f t="shared" si="267"/>
        <v>-0.54204130927834482</v>
      </c>
      <c r="O554" s="574">
        <f t="shared" si="268"/>
        <v>1651282.357896978</v>
      </c>
      <c r="P554" s="577">
        <f t="shared" si="269"/>
        <v>1.570795721204947</v>
      </c>
      <c r="Q554" s="586">
        <f t="shared" si="291"/>
        <v>221.27409561060787</v>
      </c>
      <c r="R554" s="587">
        <f t="shared" si="292"/>
        <v>1.5662770295800261</v>
      </c>
      <c r="S554" s="574">
        <f t="shared" si="270"/>
        <v>3.4664500158470188</v>
      </c>
      <c r="T554" s="577">
        <f t="shared" si="271"/>
        <v>1.2781578123480568</v>
      </c>
      <c r="U554" s="578">
        <f t="shared" si="283"/>
        <v>0.5389974739596548</v>
      </c>
      <c r="V554" s="579">
        <f t="shared" si="284"/>
        <v>-1.3744724043284371</v>
      </c>
      <c r="W554" s="580">
        <f t="shared" si="272"/>
        <v>-39.613333220148462</v>
      </c>
      <c r="X554" s="581">
        <f t="shared" si="273"/>
        <v>-247.36096570029736</v>
      </c>
      <c r="Y554" s="584">
        <f t="shared" si="274"/>
        <v>-67.360965700297356</v>
      </c>
      <c r="AA554" s="147">
        <f t="shared" si="275"/>
        <v>87603.25</v>
      </c>
      <c r="AB554" s="147">
        <f t="shared" si="276"/>
        <v>7674329410.5625</v>
      </c>
      <c r="AD554" s="583">
        <f t="shared" si="277"/>
        <v>16.84993592395055</v>
      </c>
      <c r="AE554" s="584">
        <f t="shared" si="278"/>
        <v>-73.49195024222378</v>
      </c>
      <c r="AG554" s="583">
        <f t="shared" si="279"/>
        <v>13.560454536626025</v>
      </c>
      <c r="AH554" s="584">
        <f t="shared" si="280"/>
        <v>-16.366079627663702</v>
      </c>
      <c r="AJ554" s="147">
        <f t="shared" si="281"/>
        <v>0</v>
      </c>
      <c r="AK554" s="147">
        <f t="shared" si="293"/>
        <v>0</v>
      </c>
      <c r="AM554" s="147" t="str">
        <f t="shared" si="285"/>
        <v>1.85609879468539+0.516812203550023i</v>
      </c>
      <c r="AN554" s="147" t="str">
        <f t="shared" si="286"/>
        <v>2.59846953765171i</v>
      </c>
      <c r="AO554" s="147" t="str">
        <f t="shared" si="287"/>
        <v>0.19889099951392-0.714304619619587i</v>
      </c>
      <c r="AP554" s="147" t="str">
        <f t="shared" si="288"/>
        <v>-0.142683132447564-0.0861353672583372i</v>
      </c>
      <c r="AQ554" s="147" t="str">
        <f t="shared" si="289"/>
        <v>1.14268313244756+0.0861353672583372i</v>
      </c>
      <c r="AR554" s="147" t="str">
        <f t="shared" si="290"/>
        <v>0.724867202985076-0.0546404344036368i</v>
      </c>
    </row>
    <row r="555" spans="7:44">
      <c r="G555" s="585">
        <v>88110.5</v>
      </c>
      <c r="H555" s="573">
        <f t="shared" si="282"/>
        <v>88.110500000000002</v>
      </c>
      <c r="I555" s="574">
        <f t="shared" si="262"/>
        <v>608.58802485212254</v>
      </c>
      <c r="J555" s="575">
        <f t="shared" si="263"/>
        <v>1.5691531783773236</v>
      </c>
      <c r="K555" s="575">
        <f t="shared" si="264"/>
        <v>1.1123601832433678</v>
      </c>
      <c r="L555" s="576">
        <f t="shared" si="265"/>
        <v>0.45333979449044659</v>
      </c>
      <c r="M555" s="575">
        <f t="shared" si="266"/>
        <v>1.1691305176564402</v>
      </c>
      <c r="N555" s="576">
        <f t="shared" si="267"/>
        <v>-0.54459632078135201</v>
      </c>
      <c r="O555" s="574">
        <f t="shared" si="268"/>
        <v>1660843.7951272512</v>
      </c>
      <c r="P555" s="577">
        <f t="shared" si="269"/>
        <v>1.5707957246913136</v>
      </c>
      <c r="Q555" s="586">
        <f t="shared" si="291"/>
        <v>222.55531519083235</v>
      </c>
      <c r="R555" s="587">
        <f t="shared" si="292"/>
        <v>1.5663030467126928</v>
      </c>
      <c r="S555" s="574">
        <f t="shared" si="270"/>
        <v>3.4848558609977562</v>
      </c>
      <c r="T555" s="577">
        <f t="shared" si="271"/>
        <v>1.2797487371664726</v>
      </c>
      <c r="U555" s="578">
        <f t="shared" si="283"/>
        <v>0.53647924233196453</v>
      </c>
      <c r="V555" s="579">
        <f t="shared" si="284"/>
        <v>-1.3800367991905593</v>
      </c>
      <c r="W555" s="580">
        <f t="shared" si="272"/>
        <v>-39.727178845939264</v>
      </c>
      <c r="X555" s="581">
        <f t="shared" si="273"/>
        <v>-247.78636575327442</v>
      </c>
      <c r="Y555" s="584">
        <f t="shared" si="274"/>
        <v>-67.786365753274424</v>
      </c>
      <c r="AA555" s="147">
        <f t="shared" si="275"/>
        <v>88110.5</v>
      </c>
      <c r="AB555" s="147">
        <f t="shared" si="276"/>
        <v>7763460210.25</v>
      </c>
      <c r="AD555" s="583">
        <f t="shared" si="277"/>
        <v>16.803937357480795</v>
      </c>
      <c r="AE555" s="584">
        <f t="shared" si="278"/>
        <v>-73.581613047801326</v>
      </c>
      <c r="AG555" s="583">
        <f t="shared" si="279"/>
        <v>13.573959761902259</v>
      </c>
      <c r="AH555" s="584">
        <f t="shared" si="280"/>
        <v>-16.064184192046838</v>
      </c>
      <c r="AJ555" s="147">
        <f t="shared" si="281"/>
        <v>0</v>
      </c>
      <c r="AK555" s="147">
        <f t="shared" si="293"/>
        <v>0</v>
      </c>
      <c r="AM555" s="147" t="str">
        <f t="shared" si="285"/>
        <v>1.86377752905244+0.503873377252712i</v>
      </c>
      <c r="AN555" s="147" t="str">
        <f t="shared" si="286"/>
        <v>2.61351548255642i</v>
      </c>
      <c r="AO555" s="147" t="str">
        <f t="shared" si="287"/>
        <v>0.19279525245431-0.713130471769534i</v>
      </c>
      <c r="AP555" s="147" t="str">
        <f t="shared" si="288"/>
        <v>-0.143962921508741-0.0839788962087853i</v>
      </c>
      <c r="AQ555" s="147" t="str">
        <f t="shared" si="289"/>
        <v>1.14396292150874+0.0839788962087853i</v>
      </c>
      <c r="AR555" s="147" t="str">
        <f t="shared" si="290"/>
        <v>0.724267303483441-0.0531688287819982i</v>
      </c>
    </row>
    <row r="556" spans="7:44">
      <c r="G556" s="585">
        <v>88617.75</v>
      </c>
      <c r="H556" s="573">
        <f t="shared" si="282"/>
        <v>88.617750000000001</v>
      </c>
      <c r="I556" s="574">
        <f t="shared" si="262"/>
        <v>612.09164183880443</v>
      </c>
      <c r="J556" s="575">
        <f t="shared" si="263"/>
        <v>1.569162583779147</v>
      </c>
      <c r="K556" s="575">
        <f t="shared" si="264"/>
        <v>1.1135914081643821</v>
      </c>
      <c r="L556" s="576">
        <f t="shared" si="265"/>
        <v>0.45560398862135976</v>
      </c>
      <c r="M556" s="575">
        <f t="shared" si="266"/>
        <v>1.170940820637407</v>
      </c>
      <c r="N556" s="576">
        <f t="shared" si="267"/>
        <v>-0.54714344864966447</v>
      </c>
      <c r="O556" s="574">
        <f t="shared" si="268"/>
        <v>1670405.2323575246</v>
      </c>
      <c r="P556" s="577">
        <f t="shared" si="269"/>
        <v>1.570795728137768</v>
      </c>
      <c r="Q556" s="586">
        <f t="shared" si="291"/>
        <v>223.83653491997799</v>
      </c>
      <c r="R556" s="587">
        <f t="shared" si="292"/>
        <v>1.5663287660060299</v>
      </c>
      <c r="S556" s="574">
        <f t="shared" si="270"/>
        <v>3.5032704337691469</v>
      </c>
      <c r="T556" s="577">
        <f t="shared" si="271"/>
        <v>1.2813229408762989</v>
      </c>
      <c r="U556" s="578">
        <f t="shared" si="283"/>
        <v>0.53397225578225604</v>
      </c>
      <c r="V556" s="579">
        <f t="shared" si="284"/>
        <v>-1.3855905167423423</v>
      </c>
      <c r="W556" s="580">
        <f t="shared" si="272"/>
        <v>-39.840454549473407</v>
      </c>
      <c r="X556" s="581">
        <f t="shared" si="273"/>
        <v>-248.21004194812133</v>
      </c>
      <c r="Y556" s="584">
        <f t="shared" si="274"/>
        <v>-68.210041948121329</v>
      </c>
      <c r="AA556" s="147">
        <f t="shared" si="275"/>
        <v>88617.75</v>
      </c>
      <c r="AB556" s="147">
        <f t="shared" si="276"/>
        <v>7853105615.0625</v>
      </c>
      <c r="AD556" s="583">
        <f t="shared" si="277"/>
        <v>16.758159474386314</v>
      </c>
      <c r="AE556" s="584">
        <f t="shared" si="278"/>
        <v>-73.670334867076633</v>
      </c>
      <c r="AG556" s="583">
        <f t="shared" si="279"/>
        <v>13.587831151914349</v>
      </c>
      <c r="AH556" s="584">
        <f t="shared" si="280"/>
        <v>-15.762729414241427</v>
      </c>
      <c r="AJ556" s="147">
        <f t="shared" si="281"/>
        <v>0</v>
      </c>
      <c r="AK556" s="147">
        <f t="shared" si="293"/>
        <v>0</v>
      </c>
      <c r="AM556" s="147" t="str">
        <f t="shared" si="285"/>
        <v>1.87126072475569+0.490820486021302i</v>
      </c>
      <c r="AN556" s="147" t="str">
        <f t="shared" si="286"/>
        <v>2.62856142746114i</v>
      </c>
      <c r="AO556" s="147" t="str">
        <f t="shared" si="287"/>
        <v>0.186725895348534-0.711895375624945i</v>
      </c>
      <c r="AP556" s="147" t="str">
        <f t="shared" si="288"/>
        <v>-0.145210120792615-0.0818034143368837i</v>
      </c>
      <c r="AQ556" s="147" t="str">
        <f t="shared" si="289"/>
        <v>1.14521012079262+0.0818034143368837i</v>
      </c>
      <c r="AR556" s="147" t="str">
        <f t="shared" si="290"/>
        <v>0.72368492184598-0.051693480904752i</v>
      </c>
    </row>
    <row r="557" spans="7:44">
      <c r="G557" s="585">
        <v>89125</v>
      </c>
      <c r="H557" s="573">
        <f t="shared" si="282"/>
        <v>89.125</v>
      </c>
      <c r="I557" s="574">
        <f t="shared" si="262"/>
        <v>615.59525887901634</v>
      </c>
      <c r="J557" s="575">
        <f t="shared" si="263"/>
        <v>1.5691718821206078</v>
      </c>
      <c r="K557" s="575">
        <f t="shared" si="264"/>
        <v>1.114828329368361</v>
      </c>
      <c r="L557" s="576">
        <f t="shared" si="265"/>
        <v>0.45786316998811782</v>
      </c>
      <c r="M557" s="575">
        <f t="shared" si="266"/>
        <v>1.1727586970366541</v>
      </c>
      <c r="N557" s="576">
        <f t="shared" si="267"/>
        <v>-0.54968269641721346</v>
      </c>
      <c r="O557" s="574">
        <f t="shared" si="268"/>
        <v>1679966.6695877977</v>
      </c>
      <c r="P557" s="577">
        <f t="shared" si="269"/>
        <v>1.5707957315449919</v>
      </c>
      <c r="Q557" s="586">
        <f t="shared" si="291"/>
        <v>225.11775479550212</v>
      </c>
      <c r="R557" s="587">
        <f t="shared" si="292"/>
        <v>1.5663541925453106</v>
      </c>
      <c r="S557" s="574">
        <f t="shared" si="270"/>
        <v>3.5216935972537078</v>
      </c>
      <c r="T557" s="577">
        <f t="shared" si="271"/>
        <v>1.2828806780348403</v>
      </c>
      <c r="U557" s="578">
        <f t="shared" si="283"/>
        <v>0.53147642991195976</v>
      </c>
      <c r="V557" s="579">
        <f t="shared" si="284"/>
        <v>-1.391133872904768</v>
      </c>
      <c r="W557" s="580">
        <f t="shared" si="272"/>
        <v>-39.953166810713199</v>
      </c>
      <c r="X557" s="581">
        <f t="shared" si="273"/>
        <v>-248.63202736612547</v>
      </c>
      <c r="Y557" s="584">
        <f t="shared" si="274"/>
        <v>-68.63202736612547</v>
      </c>
      <c r="AA557" s="147">
        <f t="shared" si="275"/>
        <v>89125</v>
      </c>
      <c r="AB557" s="147">
        <f t="shared" si="276"/>
        <v>7943265625</v>
      </c>
      <c r="AD557" s="583">
        <f t="shared" si="277"/>
        <v>16.712600411938332</v>
      </c>
      <c r="AE557" s="584">
        <f t="shared" si="278"/>
        <v>-73.758129993783214</v>
      </c>
      <c r="AG557" s="583">
        <f t="shared" si="279"/>
        <v>13.602065289777794</v>
      </c>
      <c r="AH557" s="584">
        <f t="shared" si="280"/>
        <v>-15.461697879923538</v>
      </c>
      <c r="AJ557" s="147">
        <f t="shared" si="281"/>
        <v>0</v>
      </c>
      <c r="AK557" s="147">
        <f t="shared" si="293"/>
        <v>0</v>
      </c>
      <c r="AM557" s="147" t="str">
        <f t="shared" si="285"/>
        <v>1.8785466877778+0.477656484719563i</v>
      </c>
      <c r="AN557" s="147" t="str">
        <f t="shared" si="286"/>
        <v>2.64360737236585i</v>
      </c>
      <c r="AO557" s="147" t="str">
        <f t="shared" si="287"/>
        <v>0.180683595344982-0.710599731039722i</v>
      </c>
      <c r="AP557" s="147" t="str">
        <f t="shared" si="288"/>
        <v>-0.146424447962967-0.0796094141199272i</v>
      </c>
      <c r="AQ557" s="147" t="str">
        <f t="shared" si="289"/>
        <v>1.14642444796297+0.0796094141199272i</v>
      </c>
      <c r="AR557" s="147" t="str">
        <f t="shared" si="290"/>
        <v>0.723120003683494-0.0502145256357112i</v>
      </c>
    </row>
    <row r="558" spans="7:44">
      <c r="G558" s="585">
        <v>89644</v>
      </c>
      <c r="H558" s="573">
        <f t="shared" si="282"/>
        <v>89.644000000000005</v>
      </c>
      <c r="I558" s="574">
        <f t="shared" si="262"/>
        <v>619.18003418013666</v>
      </c>
      <c r="J558" s="575">
        <f t="shared" si="263"/>
        <v>1.5691812869364976</v>
      </c>
      <c r="K558" s="575">
        <f t="shared" si="264"/>
        <v>1.1160997787453584</v>
      </c>
      <c r="L558" s="576">
        <f t="shared" si="265"/>
        <v>0.46016948839214922</v>
      </c>
      <c r="M558" s="575">
        <f t="shared" si="266"/>
        <v>1.1746264848654993</v>
      </c>
      <c r="N558" s="576">
        <f t="shared" si="267"/>
        <v>-0.55227261169649811</v>
      </c>
      <c r="O558" s="574">
        <f t="shared" si="268"/>
        <v>1689749.5890998961</v>
      </c>
      <c r="P558" s="577">
        <f t="shared" si="269"/>
        <v>1.5707957349912314</v>
      </c>
      <c r="Q558" s="586">
        <f t="shared" si="291"/>
        <v>226.42865315120983</v>
      </c>
      <c r="R558" s="587">
        <f t="shared" si="292"/>
        <v>1.5663799102465512</v>
      </c>
      <c r="S558" s="574">
        <f t="shared" si="270"/>
        <v>3.5405522687528497</v>
      </c>
      <c r="T558" s="577">
        <f t="shared" si="271"/>
        <v>1.2844577159686628</v>
      </c>
      <c r="U558" s="578">
        <f t="shared" si="283"/>
        <v>0.52893425243912695</v>
      </c>
      <c r="V558" s="579">
        <f t="shared" si="284"/>
        <v>-1.3967952403363491</v>
      </c>
      <c r="W558" s="580">
        <f t="shared" si="272"/>
        <v>-40.067913496996148</v>
      </c>
      <c r="X558" s="581">
        <f t="shared" si="273"/>
        <v>-249.06207188646712</v>
      </c>
      <c r="Y558" s="584">
        <f t="shared" si="274"/>
        <v>-69.062071886467123</v>
      </c>
      <c r="AA558" s="147">
        <f t="shared" si="275"/>
        <v>89644</v>
      </c>
      <c r="AB558" s="147">
        <f t="shared" si="276"/>
        <v>8036046736</v>
      </c>
      <c r="AD558" s="583">
        <f t="shared" si="277"/>
        <v>16.666210573465946</v>
      </c>
      <c r="AE558" s="584">
        <f t="shared" si="278"/>
        <v>-73.847014293339939</v>
      </c>
      <c r="AG558" s="583">
        <f t="shared" si="279"/>
        <v>13.617001134653965</v>
      </c>
      <c r="AH558" s="584">
        <f t="shared" si="280"/>
        <v>-15.154113179762351</v>
      </c>
      <c r="AJ558" s="147">
        <f t="shared" si="281"/>
        <v>0</v>
      </c>
      <c r="AK558" s="147">
        <f t="shared" si="293"/>
        <v>0</v>
      </c>
      <c r="AM558" s="147" t="str">
        <f t="shared" si="285"/>
        <v>1.88579556501479+0.464075658702471i</v>
      </c>
      <c r="AN558" s="147" t="str">
        <f t="shared" si="286"/>
        <v>2.6590018433477i</v>
      </c>
      <c r="AO558" s="147" t="str">
        <f t="shared" si="287"/>
        <v>0.174530025191031-0.709211830647158i</v>
      </c>
      <c r="AP558" s="147" t="str">
        <f t="shared" si="288"/>
        <v>-0.147632594169131-0.0773459431170785i</v>
      </c>
      <c r="AQ558" s="147" t="str">
        <f t="shared" si="289"/>
        <v>1.14763259416913+0.0773459431170785i</v>
      </c>
      <c r="AR558" s="147" t="str">
        <f t="shared" si="290"/>
        <v>0.722560019157414-0.0486977159975889i</v>
      </c>
    </row>
    <row r="559" spans="7:44">
      <c r="G559" s="585">
        <v>90163</v>
      </c>
      <c r="H559" s="573">
        <f t="shared" si="282"/>
        <v>90.162999999999997</v>
      </c>
      <c r="I559" s="574">
        <f t="shared" si="262"/>
        <v>622.76480953539317</v>
      </c>
      <c r="J559" s="575">
        <f t="shared" si="263"/>
        <v>1.5691905834798858</v>
      </c>
      <c r="K559" s="575">
        <f t="shared" si="264"/>
        <v>1.1173771512449235</v>
      </c>
      <c r="L559" s="576">
        <f t="shared" si="265"/>
        <v>0.46247054589999803</v>
      </c>
      <c r="M559" s="575">
        <f t="shared" si="266"/>
        <v>1.176502126642986</v>
      </c>
      <c r="N559" s="576">
        <f t="shared" si="267"/>
        <v>-0.5548542862876541</v>
      </c>
      <c r="O559" s="574">
        <f t="shared" si="268"/>
        <v>1699532.5086119946</v>
      </c>
      <c r="P559" s="577">
        <f t="shared" si="269"/>
        <v>1.5707957383977962</v>
      </c>
      <c r="Q559" s="586">
        <f t="shared" si="291"/>
        <v>227.73955165495343</v>
      </c>
      <c r="R559" s="587">
        <f t="shared" si="292"/>
        <v>1.5664053318789364</v>
      </c>
      <c r="S559" s="574">
        <f t="shared" si="270"/>
        <v>3.5594196524573802</v>
      </c>
      <c r="T559" s="577">
        <f t="shared" si="271"/>
        <v>1.286018038967327</v>
      </c>
      <c r="U559" s="578">
        <f t="shared" si="283"/>
        <v>0.5264035756266684</v>
      </c>
      <c r="V559" s="579">
        <f t="shared" si="284"/>
        <v>-1.402446426817187</v>
      </c>
      <c r="W559" s="580">
        <f t="shared" si="272"/>
        <v>-40.182083929581637</v>
      </c>
      <c r="X559" s="581">
        <f t="shared" si="273"/>
        <v>-249.49041541422147</v>
      </c>
      <c r="Y559" s="584">
        <f t="shared" si="274"/>
        <v>-69.490415414221474</v>
      </c>
      <c r="AA559" s="147">
        <f t="shared" si="275"/>
        <v>90163</v>
      </c>
      <c r="AB559" s="147">
        <f t="shared" si="276"/>
        <v>8129366569</v>
      </c>
      <c r="AD559" s="583">
        <f t="shared" si="277"/>
        <v>16.620045926013113</v>
      </c>
      <c r="AE559" s="584">
        <f t="shared" si="278"/>
        <v>-73.934957858878875</v>
      </c>
      <c r="AG559" s="583">
        <f t="shared" si="279"/>
        <v>13.632309795572526</v>
      </c>
      <c r="AH559" s="584">
        <f t="shared" si="280"/>
        <v>-14.846934872050923</v>
      </c>
      <c r="AJ559" s="147">
        <f t="shared" si="281"/>
        <v>0</v>
      </c>
      <c r="AK559" s="147">
        <f t="shared" si="293"/>
        <v>0</v>
      </c>
      <c r="AM559" s="147" t="str">
        <f t="shared" si="285"/>
        <v>1.89283452193975+0.450384853689171i</v>
      </c>
      <c r="AN559" s="147" t="str">
        <f t="shared" si="286"/>
        <v>2.67439631432956i</v>
      </c>
      <c r="AO559" s="147" t="str">
        <f t="shared" si="287"/>
        <v>0.168406174984607-0.707761415837227i</v>
      </c>
      <c r="AP559" s="147" t="str">
        <f t="shared" si="288"/>
        <v>-0.148805753656625-0.0750641422815285i</v>
      </c>
      <c r="AQ559" s="147" t="str">
        <f t="shared" si="289"/>
        <v>1.14880575365662+0.0750641422815285i</v>
      </c>
      <c r="AR559" s="147" t="str">
        <f t="shared" si="290"/>
        <v>0.722018205187353-0.0471774075917773i</v>
      </c>
    </row>
    <row r="560" spans="7:44">
      <c r="G560" s="585">
        <v>90682</v>
      </c>
      <c r="H560" s="573">
        <f t="shared" si="282"/>
        <v>90.682000000000002</v>
      </c>
      <c r="I560" s="574">
        <f t="shared" si="262"/>
        <v>626.34958494385648</v>
      </c>
      <c r="J560" s="575">
        <f t="shared" si="263"/>
        <v>1.5691997736097929</v>
      </c>
      <c r="K560" s="575">
        <f t="shared" si="264"/>
        <v>1.1186604265766262</v>
      </c>
      <c r="L560" s="576">
        <f t="shared" si="265"/>
        <v>0.46476633620777347</v>
      </c>
      <c r="M560" s="575">
        <f t="shared" si="266"/>
        <v>1.1783855848656162</v>
      </c>
      <c r="N560" s="576">
        <f t="shared" si="267"/>
        <v>-0.55742772520914596</v>
      </c>
      <c r="O560" s="574">
        <f t="shared" si="268"/>
        <v>1709315.4281240925</v>
      </c>
      <c r="P560" s="577">
        <f t="shared" si="269"/>
        <v>1.5707957417653675</v>
      </c>
      <c r="Q560" s="586">
        <f t="shared" si="291"/>
        <v>229.05045030419117</v>
      </c>
      <c r="R560" s="587">
        <f t="shared" si="292"/>
        <v>1.5664304625258059</v>
      </c>
      <c r="S560" s="574">
        <f t="shared" si="270"/>
        <v>3.5782956105560042</v>
      </c>
      <c r="T560" s="577">
        <f t="shared" si="271"/>
        <v>1.2875619038927324</v>
      </c>
      <c r="U560" s="578">
        <f t="shared" si="283"/>
        <v>0.52388430481890824</v>
      </c>
      <c r="V560" s="579">
        <f t="shared" si="284"/>
        <v>-1.408087767649298</v>
      </c>
      <c r="W560" s="580">
        <f t="shared" si="272"/>
        <v>-40.295684919879662</v>
      </c>
      <c r="X560" s="581">
        <f t="shared" si="273"/>
        <v>-249.91709234190378</v>
      </c>
      <c r="Y560" s="584">
        <f t="shared" si="274"/>
        <v>-69.917092341903782</v>
      </c>
      <c r="AA560" s="147">
        <f t="shared" si="275"/>
        <v>90682</v>
      </c>
      <c r="AB560" s="147">
        <f t="shared" si="276"/>
        <v>8223225124</v>
      </c>
      <c r="AD560" s="583">
        <f t="shared" si="277"/>
        <v>16.574104535547988</v>
      </c>
      <c r="AE560" s="584">
        <f t="shared" si="278"/>
        <v>-74.021975116287891</v>
      </c>
      <c r="AG560" s="583">
        <f t="shared" si="279"/>
        <v>13.647987918961897</v>
      </c>
      <c r="AH560" s="584">
        <f t="shared" si="280"/>
        <v>-14.540144500636048</v>
      </c>
      <c r="AJ560" s="147">
        <f t="shared" si="281"/>
        <v>0</v>
      </c>
      <c r="AK560" s="147">
        <f t="shared" si="293"/>
        <v>0</v>
      </c>
      <c r="AM560" s="147" t="str">
        <f t="shared" si="285"/>
        <v>1.89966189042508+0.436587314195871i</v>
      </c>
      <c r="AN560" s="147" t="str">
        <f t="shared" si="286"/>
        <v>2.68979078531142i</v>
      </c>
      <c r="AO560" s="147" t="str">
        <f t="shared" si="287"/>
        <v>0.162312740671139-0.706248939805607i</v>
      </c>
      <c r="AP560" s="147" t="str">
        <f t="shared" si="288"/>
        <v>-0.149943648404181-0.0727645523659785i</v>
      </c>
      <c r="AQ560" s="147" t="str">
        <f t="shared" si="289"/>
        <v>1.14994364840418+0.0727645523659785i</v>
      </c>
      <c r="AR560" s="147" t="str">
        <f t="shared" si="290"/>
        <v>0.721494507505427-0.0456537369861555i</v>
      </c>
    </row>
    <row r="561" spans="7:44">
      <c r="G561" s="585">
        <v>91201</v>
      </c>
      <c r="H561" s="573">
        <f t="shared" si="282"/>
        <v>91.200999999999993</v>
      </c>
      <c r="I561" s="574">
        <f t="shared" si="262"/>
        <v>629.93436040461836</v>
      </c>
      <c r="J561" s="575">
        <f t="shared" si="263"/>
        <v>1.569208859142923</v>
      </c>
      <c r="K561" s="575">
        <f t="shared" si="264"/>
        <v>1.1199495844494849</v>
      </c>
      <c r="L561" s="576">
        <f t="shared" si="265"/>
        <v>0.46705685326250218</v>
      </c>
      <c r="M561" s="575">
        <f t="shared" si="266"/>
        <v>1.1802768221134876</v>
      </c>
      <c r="N561" s="576">
        <f t="shared" si="267"/>
        <v>-0.55999293388380122</v>
      </c>
      <c r="O561" s="574">
        <f t="shared" si="268"/>
        <v>1719098.3476361909</v>
      </c>
      <c r="P561" s="577">
        <f t="shared" si="269"/>
        <v>1.5707957450946108</v>
      </c>
      <c r="Q561" s="586">
        <f t="shared" si="291"/>
        <v>230.3613490964392</v>
      </c>
      <c r="R561" s="587">
        <f t="shared" si="292"/>
        <v>1.5664553071547911</v>
      </c>
      <c r="S561" s="574">
        <f t="shared" si="270"/>
        <v>3.5971800080680691</v>
      </c>
      <c r="T561" s="577">
        <f t="shared" si="271"/>
        <v>1.2890895625304182</v>
      </c>
      <c r="U561" s="578">
        <f t="shared" si="283"/>
        <v>0.5213763440362934</v>
      </c>
      <c r="V561" s="579">
        <f t="shared" si="284"/>
        <v>-1.4137195971448877</v>
      </c>
      <c r="W561" s="580">
        <f t="shared" si="272"/>
        <v>-40.408723238354298</v>
      </c>
      <c r="X561" s="581">
        <f t="shared" si="273"/>
        <v>-250.34213672745975</v>
      </c>
      <c r="Y561" s="584">
        <f t="shared" si="274"/>
        <v>-70.342136727459746</v>
      </c>
      <c r="AA561" s="147">
        <f t="shared" si="275"/>
        <v>91201</v>
      </c>
      <c r="AB561" s="147">
        <f t="shared" si="276"/>
        <v>8317622401</v>
      </c>
      <c r="AD561" s="583">
        <f t="shared" si="277"/>
        <v>16.528384488358533</v>
      </c>
      <c r="AE561" s="584">
        <f t="shared" si="278"/>
        <v>-74.10808020722952</v>
      </c>
      <c r="AG561" s="583">
        <f t="shared" si="279"/>
        <v>13.664032251640648</v>
      </c>
      <c r="AH561" s="584">
        <f t="shared" si="280"/>
        <v>-14.233723672443711</v>
      </c>
      <c r="AJ561" s="147">
        <f t="shared" si="281"/>
        <v>0</v>
      </c>
      <c r="AK561" s="147">
        <f t="shared" si="293"/>
        <v>0</v>
      </c>
      <c r="AM561" s="147" t="str">
        <f t="shared" si="285"/>
        <v>1.90627605248648+0.422686310033256i</v>
      </c>
      <c r="AN561" s="147" t="str">
        <f t="shared" si="286"/>
        <v>2.70518525629327i</v>
      </c>
      <c r="AO561" s="147" t="str">
        <f t="shared" si="287"/>
        <v>0.156250411704681-0.704674863967919i</v>
      </c>
      <c r="AP561" s="147" t="str">
        <f t="shared" si="288"/>
        <v>-0.151046008747746-0.070447718338876i</v>
      </c>
      <c r="AQ561" s="147" t="str">
        <f t="shared" si="289"/>
        <v>1.15104600874775+0.070447718338876i</v>
      </c>
      <c r="AR561" s="147" t="str">
        <f t="shared" si="290"/>
        <v>0.720988873267736-0.0441268382700765i</v>
      </c>
    </row>
    <row r="562" spans="7:44">
      <c r="G562" s="585">
        <v>91732</v>
      </c>
      <c r="H562" s="573">
        <f t="shared" si="282"/>
        <v>91.731999999999999</v>
      </c>
      <c r="I562" s="574">
        <f t="shared" si="262"/>
        <v>633.60202090033226</v>
      </c>
      <c r="J562" s="575">
        <f t="shared" si="263"/>
        <v>1.5692180483453746</v>
      </c>
      <c r="K562" s="575">
        <f t="shared" si="264"/>
        <v>1.1212746164116738</v>
      </c>
      <c r="L562" s="576">
        <f t="shared" si="265"/>
        <v>0.46939486664764274</v>
      </c>
      <c r="M562" s="575">
        <f t="shared" si="266"/>
        <v>1.1822197993509682</v>
      </c>
      <c r="N562" s="576">
        <f t="shared" si="267"/>
        <v>-0.56260894192654398</v>
      </c>
      <c r="O562" s="574">
        <f t="shared" si="268"/>
        <v>1729107.4618190893</v>
      </c>
      <c r="P562" s="577">
        <f t="shared" si="269"/>
        <v>1.570795748461842</v>
      </c>
      <c r="Q562" s="586">
        <f t="shared" si="291"/>
        <v>231.70255783282886</v>
      </c>
      <c r="R562" s="587">
        <f t="shared" si="292"/>
        <v>1.5664804352749815</v>
      </c>
      <c r="S562" s="574">
        <f t="shared" si="270"/>
        <v>3.6165096355342352</v>
      </c>
      <c r="T562" s="577">
        <f t="shared" si="271"/>
        <v>1.290636027463433</v>
      </c>
      <c r="U562" s="578">
        <f t="shared" si="283"/>
        <v>0.51882199959157727</v>
      </c>
      <c r="V562" s="579">
        <f t="shared" si="284"/>
        <v>-1.4194721462522029</v>
      </c>
      <c r="W562" s="580">
        <f t="shared" si="272"/>
        <v>-40.523799842254711</v>
      </c>
      <c r="X562" s="581">
        <f t="shared" si="273"/>
        <v>-250.7753543078918</v>
      </c>
      <c r="Y562" s="584">
        <f t="shared" si="274"/>
        <v>-70.775354307891803</v>
      </c>
      <c r="AA562" s="147">
        <f t="shared" si="275"/>
        <v>91732</v>
      </c>
      <c r="AB562" s="147">
        <f t="shared" si="276"/>
        <v>8414759824</v>
      </c>
      <c r="AD562" s="583">
        <f t="shared" si="277"/>
        <v>16.481834434624304</v>
      </c>
      <c r="AE562" s="584">
        <f t="shared" si="278"/>
        <v>-74.195246578849989</v>
      </c>
      <c r="AG562" s="583">
        <f t="shared" si="279"/>
        <v>13.680823270673885</v>
      </c>
      <c r="AH562" s="584">
        <f t="shared" si="280"/>
        <v>-13.920581309920346</v>
      </c>
      <c r="AJ562" s="147">
        <f t="shared" si="281"/>
        <v>0</v>
      </c>
      <c r="AK562" s="147">
        <f t="shared" si="293"/>
        <v>0</v>
      </c>
      <c r="AM562" s="147" t="str">
        <f t="shared" si="285"/>
        <v>1.9128208508585+0.408360250560654i</v>
      </c>
      <c r="AN562" s="147" t="str">
        <f t="shared" si="286"/>
        <v>2.72093566880072i</v>
      </c>
      <c r="AO562" s="147" t="str">
        <f t="shared" si="287"/>
        <v>0.150080817875655-0.703001130380122i</v>
      </c>
      <c r="AP562" s="147" t="str">
        <f t="shared" si="288"/>
        <v>-0.152136808476417-0.068060041760109i</v>
      </c>
      <c r="AQ562" s="147" t="str">
        <f t="shared" si="289"/>
        <v>1.15213680847642+0.068060041760109i</v>
      </c>
      <c r="AR562" s="147" t="str">
        <f t="shared" si="290"/>
        <v>0.720490189235487-0.0425614319465774i</v>
      </c>
    </row>
    <row r="563" spans="7:44">
      <c r="G563" s="585">
        <v>92263</v>
      </c>
      <c r="H563" s="573">
        <f t="shared" si="282"/>
        <v>92.263000000000005</v>
      </c>
      <c r="I563" s="574">
        <f t="shared" si="262"/>
        <v>637.26968144893272</v>
      </c>
      <c r="J563" s="575">
        <f t="shared" si="263"/>
        <v>1.5692271317751023</v>
      </c>
      <c r="K563" s="575">
        <f t="shared" si="264"/>
        <v>1.122605763116284</v>
      </c>
      <c r="L563" s="576">
        <f t="shared" si="265"/>
        <v>0.47172734808848393</v>
      </c>
      <c r="M563" s="575">
        <f t="shared" si="266"/>
        <v>1.1841708405254323</v>
      </c>
      <c r="N563" s="576">
        <f t="shared" si="267"/>
        <v>-0.56521634748875027</v>
      </c>
      <c r="O563" s="574">
        <f t="shared" si="268"/>
        <v>1739116.5760019878</v>
      </c>
      <c r="P563" s="577">
        <f t="shared" si="269"/>
        <v>1.5707957517903146</v>
      </c>
      <c r="Q563" s="586">
        <f t="shared" si="291"/>
        <v>233.0437667138367</v>
      </c>
      <c r="R563" s="587">
        <f t="shared" si="292"/>
        <v>1.5665052741614658</v>
      </c>
      <c r="S563" s="574">
        <f t="shared" si="270"/>
        <v>3.6358478201017927</v>
      </c>
      <c r="T563" s="577">
        <f t="shared" si="271"/>
        <v>1.2921660454863411</v>
      </c>
      <c r="U563" s="578">
        <f t="shared" si="283"/>
        <v>0.51627928694376046</v>
      </c>
      <c r="V563" s="579">
        <f t="shared" si="284"/>
        <v>-1.4252154440428704</v>
      </c>
      <c r="W563" s="580">
        <f t="shared" si="272"/>
        <v>-40.638301666689898</v>
      </c>
      <c r="X563" s="581">
        <f t="shared" si="273"/>
        <v>-251.2069340689402</v>
      </c>
      <c r="Y563" s="584">
        <f t="shared" si="274"/>
        <v>-71.2069340689402</v>
      </c>
      <c r="AA563" s="147">
        <f t="shared" si="275"/>
        <v>92263</v>
      </c>
      <c r="AB563" s="147">
        <f t="shared" si="276"/>
        <v>8512461169</v>
      </c>
      <c r="AD563" s="583">
        <f t="shared" si="277"/>
        <v>16.435512089683684</v>
      </c>
      <c r="AE563" s="584">
        <f t="shared" si="278"/>
        <v>-74.281487181584211</v>
      </c>
      <c r="AG563" s="583">
        <f t="shared" si="279"/>
        <v>13.697991055845533</v>
      </c>
      <c r="AH563" s="584">
        <f t="shared" si="280"/>
        <v>-13.607787019698332</v>
      </c>
      <c r="AJ563" s="147">
        <f t="shared" si="281"/>
        <v>0</v>
      </c>
      <c r="AK563" s="147">
        <f t="shared" si="293"/>
        <v>0</v>
      </c>
      <c r="AM563" s="147" t="str">
        <f t="shared" si="285"/>
        <v>1.9191392054282+0.39393288901134i</v>
      </c>
      <c r="AN563" s="147" t="str">
        <f t="shared" si="286"/>
        <v>2.73668608130817i</v>
      </c>
      <c r="AO563" s="147" t="str">
        <f t="shared" si="287"/>
        <v>0.143945223276407-0.701263918626292i</v>
      </c>
      <c r="AP563" s="147" t="str">
        <f t="shared" si="288"/>
        <v>-0.153189867571366-0.06565548150189i</v>
      </c>
      <c r="AQ563" s="147" t="str">
        <f t="shared" si="289"/>
        <v>1.15318986757137+0.06565548150189i</v>
      </c>
      <c r="AR563" s="147" t="str">
        <f t="shared" si="290"/>
        <v>0.720010306417379-0.0409929229205881i</v>
      </c>
    </row>
    <row r="564" spans="7:44">
      <c r="G564" s="585">
        <v>92794</v>
      </c>
      <c r="H564" s="573">
        <f t="shared" si="282"/>
        <v>92.793999999999997</v>
      </c>
      <c r="I564" s="574">
        <f t="shared" si="262"/>
        <v>640.9373420495117</v>
      </c>
      <c r="J564" s="575">
        <f t="shared" si="263"/>
        <v>1.5692361112479065</v>
      </c>
      <c r="K564" s="575">
        <f t="shared" si="264"/>
        <v>1.1239430028372519</v>
      </c>
      <c r="L564" s="576">
        <f t="shared" si="265"/>
        <v>0.47405429190593512</v>
      </c>
      <c r="M564" s="575">
        <f t="shared" si="266"/>
        <v>1.1861299058442585</v>
      </c>
      <c r="N564" s="576">
        <f t="shared" si="267"/>
        <v>-0.56781515765482049</v>
      </c>
      <c r="O564" s="574">
        <f t="shared" si="268"/>
        <v>1749125.6901848861</v>
      </c>
      <c r="P564" s="577">
        <f t="shared" si="269"/>
        <v>1.5707957550806935</v>
      </c>
      <c r="Q564" s="586">
        <f t="shared" si="291"/>
        <v>234.38497573698015</v>
      </c>
      <c r="R564" s="587">
        <f t="shared" si="292"/>
        <v>1.5665298287794145</v>
      </c>
      <c r="S564" s="574">
        <f t="shared" si="270"/>
        <v>3.6551944259540523</v>
      </c>
      <c r="T564" s="577">
        <f t="shared" si="271"/>
        <v>1.2936798705342352</v>
      </c>
      <c r="U564" s="578">
        <f t="shared" si="283"/>
        <v>0.51374809933260834</v>
      </c>
      <c r="V564" s="579">
        <f t="shared" si="284"/>
        <v>-1.4309498455195726</v>
      </c>
      <c r="W564" s="580">
        <f t="shared" si="272"/>
        <v>-40.752235838283404</v>
      </c>
      <c r="X564" s="581">
        <f t="shared" si="273"/>
        <v>-251.63691145105591</v>
      </c>
      <c r="Y564" s="584">
        <f t="shared" si="274"/>
        <v>-71.636911451055909</v>
      </c>
      <c r="AA564" s="147">
        <f t="shared" si="275"/>
        <v>92794</v>
      </c>
      <c r="AB564" s="147">
        <f t="shared" si="276"/>
        <v>8610726436</v>
      </c>
      <c r="AD564" s="583">
        <f t="shared" si="277"/>
        <v>16.389415468968597</v>
      </c>
      <c r="AE564" s="584">
        <f t="shared" si="278"/>
        <v>-74.366816280396023</v>
      </c>
      <c r="AG564" s="583">
        <f t="shared" si="279"/>
        <v>13.715532440682496</v>
      </c>
      <c r="AH564" s="584">
        <f t="shared" si="280"/>
        <v>-13.2953212969541</v>
      </c>
      <c r="AJ564" s="147">
        <f t="shared" si="281"/>
        <v>0</v>
      </c>
      <c r="AK564" s="147">
        <f t="shared" si="293"/>
        <v>0</v>
      </c>
      <c r="AM564" s="147" t="str">
        <f t="shared" si="285"/>
        <v>1.92522954879903+0.37940780438618i</v>
      </c>
      <c r="AN564" s="147" t="str">
        <f t="shared" si="286"/>
        <v>2.75243649381561i</v>
      </c>
      <c r="AO564" s="147" t="str">
        <f t="shared" si="287"/>
        <v>0.137844344542976-0.699463748981961i</v>
      </c>
      <c r="AP564" s="147" t="str">
        <f t="shared" si="288"/>
        <v>-0.154204924799838-0.0632346340643633i</v>
      </c>
      <c r="AQ564" s="147" t="str">
        <f t="shared" si="289"/>
        <v>1.15420492479984+0.0632346340643633i</v>
      </c>
      <c r="AR564" s="147" t="str">
        <f t="shared" si="290"/>
        <v>0.719549173079319-0.0394214473299674i</v>
      </c>
    </row>
    <row r="565" spans="7:44">
      <c r="G565" s="585">
        <v>93325</v>
      </c>
      <c r="H565" s="573">
        <f t="shared" si="282"/>
        <v>93.325000000000003</v>
      </c>
      <c r="I565" s="574">
        <f t="shared" si="262"/>
        <v>644.60500270118189</v>
      </c>
      <c r="J565" s="575">
        <f t="shared" si="263"/>
        <v>1.5692449885382618</v>
      </c>
      <c r="K565" s="575">
        <f t="shared" si="264"/>
        <v>1.1252863138525766</v>
      </c>
      <c r="L565" s="576">
        <f t="shared" si="265"/>
        <v>0.4763756926877124</v>
      </c>
      <c r="M565" s="575">
        <f t="shared" si="266"/>
        <v>1.1880969556141641</v>
      </c>
      <c r="N565" s="576">
        <f t="shared" si="267"/>
        <v>-0.5704053799269363</v>
      </c>
      <c r="O565" s="574">
        <f t="shared" si="268"/>
        <v>1759134.8043677844</v>
      </c>
      <c r="P565" s="577">
        <f t="shared" si="269"/>
        <v>1.5707957583336294</v>
      </c>
      <c r="Q565" s="586">
        <f t="shared" si="291"/>
        <v>235.72618489983304</v>
      </c>
      <c r="R565" s="587">
        <f t="shared" si="292"/>
        <v>1.566554103980998</v>
      </c>
      <c r="S565" s="574">
        <f t="shared" si="270"/>
        <v>3.6745493200761112</v>
      </c>
      <c r="T565" s="577">
        <f t="shared" si="271"/>
        <v>1.2951777514923926</v>
      </c>
      <c r="U565" s="578">
        <f t="shared" si="283"/>
        <v>0.51122832876592461</v>
      </c>
      <c r="V565" s="579">
        <f t="shared" si="284"/>
        <v>-1.4366757047229335</v>
      </c>
      <c r="W565" s="580">
        <f t="shared" si="272"/>
        <v>-40.865609444610207</v>
      </c>
      <c r="X565" s="581">
        <f t="shared" si="273"/>
        <v>-252.06532156299119</v>
      </c>
      <c r="Y565" s="584">
        <f t="shared" si="274"/>
        <v>-72.065321562991187</v>
      </c>
      <c r="AA565" s="147">
        <f t="shared" si="275"/>
        <v>93325</v>
      </c>
      <c r="AB565" s="147">
        <f t="shared" si="276"/>
        <v>8709555625</v>
      </c>
      <c r="AD565" s="583">
        <f t="shared" si="277"/>
        <v>16.343542609446899</v>
      </c>
      <c r="AE565" s="584">
        <f t="shared" si="278"/>
        <v>-74.451247857389859</v>
      </c>
      <c r="AG565" s="583">
        <f t="shared" si="279"/>
        <v>13.733444363072348</v>
      </c>
      <c r="AH565" s="584">
        <f t="shared" si="280"/>
        <v>-12.983164698268373</v>
      </c>
      <c r="AJ565" s="147">
        <f t="shared" si="281"/>
        <v>0</v>
      </c>
      <c r="AK565" s="147">
        <f t="shared" si="293"/>
        <v>0</v>
      </c>
      <c r="AM565" s="147" t="str">
        <f t="shared" si="285"/>
        <v>1.9310903701373+0.364788599928211i</v>
      </c>
      <c r="AN565" s="147" t="str">
        <f t="shared" si="286"/>
        <v>2.76818690632306i</v>
      </c>
      <c r="AO565" s="147" t="str">
        <f t="shared" si="287"/>
        <v>0.131778890758773-0.697601150314788i</v>
      </c>
      <c r="AP565" s="147" t="str">
        <f t="shared" si="288"/>
        <v>-0.155181728356217-0.0607980999880352i</v>
      </c>
      <c r="AQ565" s="147" t="str">
        <f t="shared" si="289"/>
        <v>1.15518172835622+0.0607980999880352i</v>
      </c>
      <c r="AR565" s="147" t="str">
        <f t="shared" si="290"/>
        <v>0.719106739198063-0.0378471389900238i</v>
      </c>
    </row>
    <row r="566" spans="7:44">
      <c r="G566" s="585">
        <v>93868.5</v>
      </c>
      <c r="H566" s="573">
        <f t="shared" si="282"/>
        <v>93.868499999999997</v>
      </c>
      <c r="I566" s="574">
        <f t="shared" si="262"/>
        <v>648.35900193243845</v>
      </c>
      <c r="J566" s="575">
        <f t="shared" si="263"/>
        <v>1.5692539707953708</v>
      </c>
      <c r="K566" s="575">
        <f t="shared" si="264"/>
        <v>1.1266675117593044</v>
      </c>
      <c r="L566" s="576">
        <f t="shared" si="265"/>
        <v>0.47874599470939549</v>
      </c>
      <c r="M566" s="575">
        <f t="shared" si="266"/>
        <v>1.1901185379768406</v>
      </c>
      <c r="N566" s="576">
        <f t="shared" si="267"/>
        <v>-0.57304769204336969</v>
      </c>
      <c r="O566" s="574">
        <f t="shared" si="268"/>
        <v>1769379.5379994328</v>
      </c>
      <c r="P566" s="577">
        <f t="shared" si="269"/>
        <v>1.5707957616250285</v>
      </c>
      <c r="Q566" s="586">
        <f t="shared" si="291"/>
        <v>237.09896692529892</v>
      </c>
      <c r="R566" s="587">
        <f t="shared" si="292"/>
        <v>1.5665786662215462</v>
      </c>
      <c r="S566" s="574">
        <f t="shared" si="270"/>
        <v>3.6943682851517257</v>
      </c>
      <c r="T566" s="577">
        <f t="shared" si="271"/>
        <v>1.2966946363876326</v>
      </c>
      <c r="U566" s="578">
        <f t="shared" si="283"/>
        <v>0.50866095096461961</v>
      </c>
      <c r="V566" s="579">
        <f t="shared" si="284"/>
        <v>-1.4425278757229381</v>
      </c>
      <c r="W566" s="580">
        <f t="shared" si="272"/>
        <v>-40.981078764513171</v>
      </c>
      <c r="X566" s="581">
        <f t="shared" si="273"/>
        <v>-252.50222991698544</v>
      </c>
      <c r="Y566" s="584">
        <f t="shared" si="274"/>
        <v>-72.502229916985442</v>
      </c>
      <c r="AA566" s="147">
        <f t="shared" si="275"/>
        <v>93868.5</v>
      </c>
      <c r="AB566" s="147">
        <f t="shared" si="276"/>
        <v>8811295292.25</v>
      </c>
      <c r="AD566" s="583">
        <f t="shared" si="277"/>
        <v>16.296819578277699</v>
      </c>
      <c r="AE566" s="584">
        <f t="shared" si="278"/>
        <v>-74.536751835856464</v>
      </c>
      <c r="AG566" s="583">
        <f t="shared" si="279"/>
        <v>13.752158577311086</v>
      </c>
      <c r="AH566" s="584">
        <f t="shared" si="280"/>
        <v>-12.663959674451505</v>
      </c>
      <c r="AJ566" s="147">
        <f t="shared" si="281"/>
        <v>0</v>
      </c>
      <c r="AK566" s="147">
        <f t="shared" si="293"/>
        <v>0</v>
      </c>
      <c r="AM566" s="147" t="str">
        <f t="shared" si="285"/>
        <v>1.93684995076009+0.349731568150227i</v>
      </c>
      <c r="AN566" s="147" t="str">
        <f t="shared" si="286"/>
        <v>2.784308091253i</v>
      </c>
      <c r="AO566" s="147" t="str">
        <f t="shared" si="287"/>
        <v>0.125608070905989-0.695630615320471i</v>
      </c>
      <c r="AP566" s="147" t="str">
        <f t="shared" si="288"/>
        <v>-0.156141658460015-0.0582885946917045i</v>
      </c>
      <c r="AQ566" s="147" t="str">
        <f t="shared" si="289"/>
        <v>1.15614165846002+0.0582885946917045i</v>
      </c>
      <c r="AR566" s="147" t="str">
        <f t="shared" si="290"/>
        <v>0.718673204757404-0.0362329744295269i</v>
      </c>
    </row>
    <row r="567" spans="7:44">
      <c r="G567" s="585">
        <v>94412</v>
      </c>
      <c r="H567" s="573">
        <f t="shared" si="282"/>
        <v>94.412000000000006</v>
      </c>
      <c r="I567" s="574">
        <f t="shared" si="262"/>
        <v>652.11300121540296</v>
      </c>
      <c r="J567" s="575">
        <f t="shared" si="263"/>
        <v>1.569262849636702</v>
      </c>
      <c r="K567" s="575">
        <f t="shared" si="264"/>
        <v>1.1280550241361171</v>
      </c>
      <c r="L567" s="576">
        <f t="shared" si="265"/>
        <v>0.48111047902565884</v>
      </c>
      <c r="M567" s="575">
        <f t="shared" si="266"/>
        <v>1.1921484013106474</v>
      </c>
      <c r="N567" s="576">
        <f t="shared" si="267"/>
        <v>-0.57568102439786395</v>
      </c>
      <c r="O567" s="574">
        <f t="shared" si="268"/>
        <v>1779624.2716310809</v>
      </c>
      <c r="P567" s="577">
        <f t="shared" si="269"/>
        <v>1.5707957648785327</v>
      </c>
      <c r="Q567" s="586">
        <f t="shared" si="291"/>
        <v>238.47174909216062</v>
      </c>
      <c r="R567" s="587">
        <f t="shared" si="292"/>
        <v>1.5666029456730077</v>
      </c>
      <c r="S567" s="574">
        <f t="shared" si="270"/>
        <v>3.7141956600173529</v>
      </c>
      <c r="T567" s="577">
        <f t="shared" si="271"/>
        <v>1.2981953296265616</v>
      </c>
      <c r="U567" s="578">
        <f t="shared" si="283"/>
        <v>0.50610530138314003</v>
      </c>
      <c r="V567" s="579">
        <f t="shared" si="284"/>
        <v>-1.4483718451335374</v>
      </c>
      <c r="W567" s="580">
        <f t="shared" si="272"/>
        <v>-41.095975722636254</v>
      </c>
      <c r="X567" s="581">
        <f t="shared" si="273"/>
        <v>-252.93756974361892</v>
      </c>
      <c r="Y567" s="584">
        <f t="shared" si="274"/>
        <v>-72.937569743618923</v>
      </c>
      <c r="AA567" s="147">
        <f t="shared" si="275"/>
        <v>94412</v>
      </c>
      <c r="AB567" s="147">
        <f t="shared" si="276"/>
        <v>8913625744</v>
      </c>
      <c r="AD567" s="583">
        <f t="shared" si="277"/>
        <v>16.250326873976235</v>
      </c>
      <c r="AE567" s="584">
        <f t="shared" si="278"/>
        <v>-74.621344301201987</v>
      </c>
      <c r="AG567" s="583">
        <f t="shared" si="279"/>
        <v>13.771254817711371</v>
      </c>
      <c r="AH567" s="584">
        <f t="shared" si="280"/>
        <v>-12.345037469312434</v>
      </c>
      <c r="AJ567" s="147">
        <f t="shared" si="281"/>
        <v>0</v>
      </c>
      <c r="AK567" s="147">
        <f t="shared" si="293"/>
        <v>0</v>
      </c>
      <c r="AM567" s="147" t="str">
        <f t="shared" si="285"/>
        <v>1.94236605628323+0.334583645692965i</v>
      </c>
      <c r="AN567" s="147" t="str">
        <f t="shared" si="286"/>
        <v>2.80042927618294i</v>
      </c>
      <c r="AO567" s="147" t="str">
        <f t="shared" si="287"/>
        <v>0.119475841985559-0.693595825755231i</v>
      </c>
      <c r="AP567" s="147" t="str">
        <f t="shared" si="288"/>
        <v>-0.157061009380538-0.0557639409488275i</v>
      </c>
      <c r="AQ567" s="147" t="str">
        <f t="shared" si="289"/>
        <v>1.15706100938054+0.0557639409488275i</v>
      </c>
      <c r="AR567" s="147" t="str">
        <f t="shared" si="290"/>
        <v>0.718259160110156-0.0346161188265954i</v>
      </c>
    </row>
    <row r="568" spans="7:44">
      <c r="G568" s="585">
        <v>94955.5</v>
      </c>
      <c r="H568" s="573">
        <f t="shared" si="282"/>
        <v>94.955500000000001</v>
      </c>
      <c r="I568" s="574">
        <f t="shared" si="262"/>
        <v>655.86700054918742</v>
      </c>
      <c r="J568" s="575">
        <f t="shared" si="263"/>
        <v>1.5692716268380236</v>
      </c>
      <c r="K568" s="575">
        <f t="shared" si="264"/>
        <v>1.1294488277112953</v>
      </c>
      <c r="L568" s="576">
        <f t="shared" si="265"/>
        <v>0.48346914068754765</v>
      </c>
      <c r="M568" s="575">
        <f t="shared" si="266"/>
        <v>1.1941865033879102</v>
      </c>
      <c r="N568" s="576">
        <f t="shared" si="267"/>
        <v>-0.57830538635323003</v>
      </c>
      <c r="O568" s="574">
        <f t="shared" si="268"/>
        <v>1789869.0052627295</v>
      </c>
      <c r="P568" s="577">
        <f t="shared" si="269"/>
        <v>1.5707957680947924</v>
      </c>
      <c r="Q568" s="586">
        <f t="shared" si="291"/>
        <v>239.84453139799024</v>
      </c>
      <c r="R568" s="587">
        <f t="shared" si="292"/>
        <v>1.5666269471910972</v>
      </c>
      <c r="S568" s="574">
        <f t="shared" si="270"/>
        <v>3.7340313107072816</v>
      </c>
      <c r="T568" s="577">
        <f t="shared" si="271"/>
        <v>1.2996800824318664</v>
      </c>
      <c r="U568" s="578">
        <f t="shared" si="283"/>
        <v>0.50356126053015404</v>
      </c>
      <c r="V568" s="579">
        <f t="shared" si="284"/>
        <v>-1.4542079896775355</v>
      </c>
      <c r="W568" s="580">
        <f t="shared" si="272"/>
        <v>-41.210307801330252</v>
      </c>
      <c r="X568" s="581">
        <f t="shared" si="273"/>
        <v>-253.37137766509113</v>
      </c>
      <c r="Y568" s="584">
        <f t="shared" si="274"/>
        <v>-73.371377665091131</v>
      </c>
      <c r="AA568" s="147">
        <f t="shared" si="275"/>
        <v>94955.5</v>
      </c>
      <c r="AB568" s="147">
        <f t="shared" si="276"/>
        <v>9016546980.25</v>
      </c>
      <c r="AD568" s="583">
        <f t="shared" si="277"/>
        <v>16.204062460404224</v>
      </c>
      <c r="AE568" s="584">
        <f t="shared" si="278"/>
        <v>-74.705039369251466</v>
      </c>
      <c r="AG568" s="583">
        <f t="shared" si="279"/>
        <v>13.790730132346273</v>
      </c>
      <c r="AH568" s="584">
        <f t="shared" si="280"/>
        <v>-12.026377419972215</v>
      </c>
      <c r="AJ568" s="147">
        <f t="shared" si="281"/>
        <v>0</v>
      </c>
      <c r="AK568" s="147">
        <f t="shared" si="293"/>
        <v>0</v>
      </c>
      <c r="AM568" s="147" t="str">
        <f t="shared" si="285"/>
        <v>1.94763725314274+0.319348769304167i</v>
      </c>
      <c r="AN568" s="147" t="str">
        <f t="shared" si="286"/>
        <v>2.81655046111288i</v>
      </c>
      <c r="AO568" s="147" t="str">
        <f t="shared" si="287"/>
        <v>0.113382939064399-0.691497375968612i</v>
      </c>
      <c r="AP568" s="147" t="str">
        <f t="shared" si="288"/>
        <v>-0.157939542190456-0.0532247948840278i</v>
      </c>
      <c r="AQ568" s="147" t="str">
        <f t="shared" si="289"/>
        <v>1.15793954219046+0.0532247948840278i</v>
      </c>
      <c r="AR568" s="147" t="str">
        <f t="shared" si="290"/>
        <v>0.717864557395256-0.0329967087483669i</v>
      </c>
    </row>
    <row r="569" spans="7:44">
      <c r="G569" s="585">
        <v>95499</v>
      </c>
      <c r="H569" s="573">
        <f t="shared" si="282"/>
        <v>95.498999999999995</v>
      </c>
      <c r="I569" s="574">
        <f t="shared" si="262"/>
        <v>659.62099993292429</v>
      </c>
      <c r="J569" s="575">
        <f t="shared" si="263"/>
        <v>1.5692803041346783</v>
      </c>
      <c r="K569" s="575">
        <f t="shared" si="264"/>
        <v>1.1308488992225942</v>
      </c>
      <c r="L569" s="576">
        <f t="shared" si="265"/>
        <v>0.48582197502959357</v>
      </c>
      <c r="M569" s="575">
        <f t="shared" si="266"/>
        <v>1.1962328020979303</v>
      </c>
      <c r="N569" s="576">
        <f t="shared" si="267"/>
        <v>-0.58092078770285094</v>
      </c>
      <c r="O569" s="574">
        <f t="shared" si="268"/>
        <v>1800113.7388943778</v>
      </c>
      <c r="P569" s="577">
        <f t="shared" si="269"/>
        <v>1.5707957712744434</v>
      </c>
      <c r="Q569" s="586">
        <f t="shared" si="291"/>
        <v>241.2173138404151</v>
      </c>
      <c r="R569" s="587">
        <f t="shared" si="292"/>
        <v>1.5666506755209944</v>
      </c>
      <c r="S569" s="574">
        <f t="shared" si="270"/>
        <v>3.7538751060319915</v>
      </c>
      <c r="T569" s="577">
        <f t="shared" si="271"/>
        <v>1.3011491409986236</v>
      </c>
      <c r="U569" s="578">
        <f t="shared" si="283"/>
        <v>0.50102870776951969</v>
      </c>
      <c r="V569" s="579">
        <f t="shared" si="284"/>
        <v>-1.460036685170897</v>
      </c>
      <c r="W569" s="580">
        <f t="shared" si="272"/>
        <v>-41.324082446451925</v>
      </c>
      <c r="X569" s="581">
        <f t="shared" si="273"/>
        <v>-253.80368997602625</v>
      </c>
      <c r="Y569" s="584">
        <f t="shared" si="274"/>
        <v>-73.803689976026249</v>
      </c>
      <c r="AA569" s="147">
        <f t="shared" si="275"/>
        <v>95499</v>
      </c>
      <c r="AB569" s="147">
        <f t="shared" si="276"/>
        <v>9120059001</v>
      </c>
      <c r="AD569" s="583">
        <f t="shared" si="277"/>
        <v>16.158024324186997</v>
      </c>
      <c r="AE569" s="584">
        <f t="shared" si="278"/>
        <v>-74.787850874101395</v>
      </c>
      <c r="AG569" s="583">
        <f t="shared" si="279"/>
        <v>13.810581678573964</v>
      </c>
      <c r="AH569" s="584">
        <f t="shared" si="280"/>
        <v>-11.707958921621159</v>
      </c>
      <c r="AJ569" s="147">
        <f t="shared" si="281"/>
        <v>0</v>
      </c>
      <c r="AK569" s="147">
        <f t="shared" si="293"/>
        <v>0</v>
      </c>
      <c r="AM569" s="147" t="str">
        <f t="shared" si="285"/>
        <v>1.95266217142321+0.304030898329773i</v>
      </c>
      <c r="AN569" s="147" t="str">
        <f t="shared" si="286"/>
        <v>2.83267164604282i</v>
      </c>
      <c r="AO569" s="147" t="str">
        <f t="shared" si="287"/>
        <v>0.107330088453597-0.689335869249454i</v>
      </c>
      <c r="AP569" s="147" t="str">
        <f t="shared" si="288"/>
        <v>-0.158777028570535-0.0506718163882955i</v>
      </c>
      <c r="AQ569" s="147" t="str">
        <f t="shared" si="289"/>
        <v>1.15877702857053+0.0506718163882955i</v>
      </c>
      <c r="AR569" s="147" t="str">
        <f t="shared" si="290"/>
        <v>0.717489350764888-0.0313748786402551i</v>
      </c>
    </row>
    <row r="570" spans="7:44">
      <c r="G570" s="585">
        <v>96611.5</v>
      </c>
      <c r="H570" s="573">
        <f t="shared" si="282"/>
        <v>96.611500000000007</v>
      </c>
      <c r="I570" s="574">
        <f t="shared" si="262"/>
        <v>667.30512945848386</v>
      </c>
      <c r="J570" s="575">
        <f t="shared" si="263"/>
        <v>1.5692977614008397</v>
      </c>
      <c r="K570" s="575">
        <f t="shared" si="264"/>
        <v>1.1337341790821456</v>
      </c>
      <c r="L570" s="576">
        <f t="shared" si="265"/>
        <v>0.49061984425809108</v>
      </c>
      <c r="M570" s="575">
        <f t="shared" si="266"/>
        <v>1.2004467918483925</v>
      </c>
      <c r="N570" s="576">
        <f t="shared" si="267"/>
        <v>-0.58624640084589574</v>
      </c>
      <c r="O570" s="574">
        <f t="shared" si="268"/>
        <v>1821083.8698331246</v>
      </c>
      <c r="P570" s="577">
        <f t="shared" si="269"/>
        <v>1.5707957776713684</v>
      </c>
      <c r="Q570" s="586">
        <f t="shared" si="291"/>
        <v>244.0272875173892</v>
      </c>
      <c r="R570" s="587">
        <f t="shared" si="292"/>
        <v>1.5666984129550334</v>
      </c>
      <c r="S570" s="574">
        <f t="shared" si="270"/>
        <v>3.7945185909343322</v>
      </c>
      <c r="T570" s="577">
        <f t="shared" si="271"/>
        <v>1.3041082524949683</v>
      </c>
      <c r="U570" s="578">
        <f t="shared" si="283"/>
        <v>0.49588009079637796</v>
      </c>
      <c r="V570" s="579">
        <f t="shared" si="284"/>
        <v>-1.4719458948804349</v>
      </c>
      <c r="W570" s="580">
        <f t="shared" si="272"/>
        <v>-41.555262669400143</v>
      </c>
      <c r="X570" s="581">
        <f t="shared" si="273"/>
        <v>-254.68408497023594</v>
      </c>
      <c r="Y570" s="584">
        <f t="shared" si="274"/>
        <v>-74.684084970235944</v>
      </c>
      <c r="AA570" s="147">
        <f t="shared" si="275"/>
        <v>96611.5</v>
      </c>
      <c r="AB570" s="147">
        <f t="shared" si="276"/>
        <v>9333781932.25</v>
      </c>
      <c r="AD570" s="583">
        <f t="shared" si="277"/>
        <v>16.064485301032651</v>
      </c>
      <c r="AE570" s="584">
        <f t="shared" si="278"/>
        <v>-74.9546606871628</v>
      </c>
      <c r="AG570" s="583">
        <f t="shared" si="279"/>
        <v>13.852378022094008</v>
      </c>
      <c r="AH570" s="584">
        <f t="shared" si="280"/>
        <v>-11.056849193824567</v>
      </c>
      <c r="AJ570" s="147">
        <f t="shared" si="281"/>
        <v>0</v>
      </c>
      <c r="AK570" s="147">
        <f t="shared" si="293"/>
        <v>0</v>
      </c>
      <c r="AM570" s="147" t="str">
        <f t="shared" si="285"/>
        <v>1.96217435095387+0.272434429480735i</v>
      </c>
      <c r="AN570" s="147" t="str">
        <f t="shared" si="286"/>
        <v>2.86567039164458i</v>
      </c>
      <c r="AO570" s="147" t="str">
        <f t="shared" si="287"/>
        <v>0.0950683059276708-0.684717389925573i</v>
      </c>
      <c r="AP570" s="147" t="str">
        <f t="shared" si="288"/>
        <v>-0.160362391825646-0.0454057382467892i</v>
      </c>
      <c r="AQ570" s="147" t="str">
        <f t="shared" si="289"/>
        <v>1.16036239182565+0.0454057382467892i</v>
      </c>
      <c r="AR570" s="147" t="str">
        <f t="shared" si="290"/>
        <v>0.716781636192392-0.0280481335678683i</v>
      </c>
    </row>
    <row r="571" spans="7:44">
      <c r="G571" s="585">
        <v>97724</v>
      </c>
      <c r="H571" s="573">
        <f t="shared" si="282"/>
        <v>97.724000000000004</v>
      </c>
      <c r="I571" s="574">
        <f t="shared" si="262"/>
        <v>674.98925918277848</v>
      </c>
      <c r="J571" s="575">
        <f t="shared" si="263"/>
        <v>1.5693148211972807</v>
      </c>
      <c r="K571" s="575">
        <f t="shared" si="264"/>
        <v>1.1366454241464663</v>
      </c>
      <c r="L571" s="576">
        <f t="shared" si="265"/>
        <v>0.49539324571524618</v>
      </c>
      <c r="M571" s="575">
        <f t="shared" si="266"/>
        <v>1.2046945901034321</v>
      </c>
      <c r="N571" s="576">
        <f t="shared" si="267"/>
        <v>-0.5915346064739142</v>
      </c>
      <c r="O571" s="574">
        <f t="shared" si="268"/>
        <v>1842054.0007718715</v>
      </c>
      <c r="P571" s="577">
        <f t="shared" si="269"/>
        <v>1.5707957839226467</v>
      </c>
      <c r="Q571" s="586">
        <f t="shared" si="291"/>
        <v>246.83726173780667</v>
      </c>
      <c r="R571" s="587">
        <f t="shared" si="292"/>
        <v>1.5667450635114659</v>
      </c>
      <c r="S571" s="574">
        <f t="shared" si="270"/>
        <v>3.83519459753989</v>
      </c>
      <c r="T571" s="577">
        <f t="shared" si="271"/>
        <v>1.3070046203374368</v>
      </c>
      <c r="U571" s="578">
        <f t="shared" si="283"/>
        <v>0.49077803874991854</v>
      </c>
      <c r="V571" s="579">
        <f t="shared" si="284"/>
        <v>-1.483828669213795</v>
      </c>
      <c r="W571" s="580">
        <f t="shared" si="272"/>
        <v>-41.78420146413778</v>
      </c>
      <c r="X571" s="581">
        <f t="shared" si="273"/>
        <v>-255.55866848151203</v>
      </c>
      <c r="Y571" s="584">
        <f t="shared" si="274"/>
        <v>-75.558668481512029</v>
      </c>
      <c r="AA571" s="147">
        <f t="shared" si="275"/>
        <v>97724</v>
      </c>
      <c r="AB571" s="147">
        <f t="shared" si="276"/>
        <v>9549980176</v>
      </c>
      <c r="AD571" s="583">
        <f t="shared" si="277"/>
        <v>15.971869250763138</v>
      </c>
      <c r="AE571" s="584">
        <f t="shared" si="278"/>
        <v>-75.117937818816571</v>
      </c>
      <c r="AG571" s="583">
        <f t="shared" si="279"/>
        <v>13.895717329475154</v>
      </c>
      <c r="AH571" s="584">
        <f t="shared" si="280"/>
        <v>-10.40648993547514</v>
      </c>
      <c r="AJ571" s="147">
        <f t="shared" si="281"/>
        <v>0</v>
      </c>
      <c r="AK571" s="147">
        <f t="shared" si="293"/>
        <v>0</v>
      </c>
      <c r="AM571" s="147" t="str">
        <f t="shared" si="285"/>
        <v>1.97063889734417+0.240541329011225i</v>
      </c>
      <c r="AN571" s="147" t="str">
        <f t="shared" si="286"/>
        <v>2.89866913724634i</v>
      </c>
      <c r="AO571" s="147" t="str">
        <f t="shared" si="287"/>
        <v>0.0829833684432618-0.679842646414011i</v>
      </c>
      <c r="AP571" s="147" t="str">
        <f t="shared" si="288"/>
        <v>-0.161773149557362-0.0400902215018708i</v>
      </c>
      <c r="AQ571" s="147" t="str">
        <f t="shared" si="289"/>
        <v>1.16177314955736+0.0400902215018708i</v>
      </c>
      <c r="AR571" s="147" t="str">
        <f t="shared" si="290"/>
        <v>0.716154659070927-0.024712913121369i</v>
      </c>
    </row>
    <row r="572" spans="7:44">
      <c r="G572" s="585">
        <v>98862</v>
      </c>
      <c r="H572" s="573">
        <f t="shared" si="282"/>
        <v>98.861999999999995</v>
      </c>
      <c r="I572" s="574">
        <f t="shared" si="262"/>
        <v>682.84951971960379</v>
      </c>
      <c r="J572" s="575">
        <f t="shared" si="263"/>
        <v>1.5693318747764675</v>
      </c>
      <c r="K572" s="575">
        <f t="shared" si="264"/>
        <v>1.1396500561725367</v>
      </c>
      <c r="L572" s="576">
        <f t="shared" si="265"/>
        <v>0.50025071413510769</v>
      </c>
      <c r="M572" s="575">
        <f t="shared" si="266"/>
        <v>1.209074361898927</v>
      </c>
      <c r="N572" s="576">
        <f t="shared" si="267"/>
        <v>-0.59690542580409756</v>
      </c>
      <c r="O572" s="574">
        <f t="shared" si="268"/>
        <v>1863504.7953860683</v>
      </c>
      <c r="P572" s="577">
        <f t="shared" si="269"/>
        <v>1.5707957901716465</v>
      </c>
      <c r="Q572" s="586">
        <f t="shared" si="291"/>
        <v>249.71164489922967</v>
      </c>
      <c r="R572" s="587">
        <f t="shared" si="292"/>
        <v>1.566791697081886</v>
      </c>
      <c r="S572" s="574">
        <f t="shared" si="270"/>
        <v>3.8768355342486185</v>
      </c>
      <c r="T572" s="577">
        <f t="shared" si="271"/>
        <v>1.3099044685649297</v>
      </c>
      <c r="U572" s="578">
        <f t="shared" si="283"/>
        <v>0.48560609860621423</v>
      </c>
      <c r="V572" s="579">
        <f t="shared" si="284"/>
        <v>-1.4959597893574899</v>
      </c>
      <c r="W572" s="580">
        <f t="shared" si="272"/>
        <v>-42.016134029959879</v>
      </c>
      <c r="X572" s="581">
        <f t="shared" si="273"/>
        <v>-256.44759792214774</v>
      </c>
      <c r="Y572" s="584">
        <f t="shared" si="274"/>
        <v>-76.447597922147736</v>
      </c>
      <c r="AA572" s="147">
        <f t="shared" si="275"/>
        <v>98862</v>
      </c>
      <c r="AB572" s="147">
        <f t="shared" si="276"/>
        <v>9773695044</v>
      </c>
      <c r="AD572" s="583">
        <f t="shared" si="277"/>
        <v>15.878068168362544</v>
      </c>
      <c r="AE572" s="584">
        <f t="shared" si="278"/>
        <v>-75.281415334939808</v>
      </c>
      <c r="AG572" s="583">
        <f t="shared" si="279"/>
        <v>13.941625384381599</v>
      </c>
      <c r="AH572" s="584">
        <f t="shared" si="280"/>
        <v>-9.7418178883994244</v>
      </c>
      <c r="AJ572" s="147">
        <f t="shared" si="281"/>
        <v>0</v>
      </c>
      <c r="AK572" s="147">
        <f t="shared" si="293"/>
        <v>0</v>
      </c>
      <c r="AM572" s="147" t="str">
        <f t="shared" si="285"/>
        <v>1.97820393281235+0.207646492458837i</v>
      </c>
      <c r="AN572" s="147" t="str">
        <f t="shared" si="286"/>
        <v>2.93242425858999i</v>
      </c>
      <c r="AO572" s="147" t="str">
        <f t="shared" si="287"/>
        <v>0.0708105219940721-0.674596769896979i</v>
      </c>
      <c r="AP572" s="147" t="str">
        <f t="shared" si="288"/>
        <v>-0.163033988802058-0.0346077487431395i</v>
      </c>
      <c r="AQ572" s="147" t="str">
        <f t="shared" si="289"/>
        <v>1.16303398880206+0.0346077487431395i</v>
      </c>
      <c r="AR572" s="147" t="str">
        <f t="shared" si="290"/>
        <v>0.715596521110952-0.0212936034909702i</v>
      </c>
    </row>
    <row r="573" spans="7:44">
      <c r="G573" s="585">
        <v>100000</v>
      </c>
      <c r="H573" s="573">
        <f t="shared" si="282"/>
        <v>100</v>
      </c>
      <c r="I573" s="574">
        <f t="shared" si="262"/>
        <v>690.70978045049878</v>
      </c>
      <c r="J573" s="575">
        <f t="shared" si="263"/>
        <v>1.5693485402170151</v>
      </c>
      <c r="K573" s="575">
        <f t="shared" si="264"/>
        <v>1.1426814364596416</v>
      </c>
      <c r="L573" s="576">
        <f t="shared" si="265"/>
        <v>0.50508252363811312</v>
      </c>
      <c r="M573" s="575">
        <f t="shared" si="266"/>
        <v>1.2134887579506914</v>
      </c>
      <c r="N573" s="576">
        <f t="shared" si="267"/>
        <v>-0.60223732237081617</v>
      </c>
      <c r="O573" s="574">
        <f t="shared" si="268"/>
        <v>1884955.5900002653</v>
      </c>
      <c r="P573" s="577">
        <f t="shared" si="269"/>
        <v>1.5707957962784191</v>
      </c>
      <c r="Q573" s="586">
        <f t="shared" si="291"/>
        <v>252.58602859133856</v>
      </c>
      <c r="R573" s="587">
        <f t="shared" si="292"/>
        <v>1.5668372692890726</v>
      </c>
      <c r="S573" s="574">
        <f t="shared" si="270"/>
        <v>3.9185083786943107</v>
      </c>
      <c r="T573" s="577">
        <f t="shared" si="271"/>
        <v>1.3127426611946742</v>
      </c>
      <c r="U573" s="578">
        <f t="shared" si="283"/>
        <v>0.48048059103635993</v>
      </c>
      <c r="V573" s="579">
        <f t="shared" si="284"/>
        <v>-1.5080699925269003</v>
      </c>
      <c r="W573" s="580">
        <f t="shared" si="272"/>
        <v>-42.245853244683985</v>
      </c>
      <c r="X573" s="581">
        <f t="shared" si="273"/>
        <v>-257.33107490524435</v>
      </c>
      <c r="Y573" s="584">
        <f t="shared" si="274"/>
        <v>-77.33107490524435</v>
      </c>
      <c r="AA573" s="147">
        <f t="shared" si="275"/>
        <v>100000</v>
      </c>
      <c r="AB573" s="147">
        <f t="shared" si="276"/>
        <v>10000000000</v>
      </c>
      <c r="AD573" s="583">
        <f t="shared" si="277"/>
        <v>15.785198546870514</v>
      </c>
      <c r="AE573" s="584">
        <f t="shared" si="278"/>
        <v>-75.441421049009548</v>
      </c>
      <c r="AG573" s="583">
        <f t="shared" si="279"/>
        <v>13.989107119929541</v>
      </c>
      <c r="AH573" s="584">
        <f t="shared" si="280"/>
        <v>-9.0775620945341853</v>
      </c>
      <c r="AJ573" s="147">
        <f t="shared" si="281"/>
        <v>0</v>
      </c>
      <c r="AK573" s="147">
        <f t="shared" si="293"/>
        <v>0</v>
      </c>
      <c r="AM573" s="147" t="str">
        <f t="shared" si="285"/>
        <v>1.98465450050715+0.174515084250656i</v>
      </c>
      <c r="AN573" s="147" t="str">
        <f t="shared" si="286"/>
        <v>2.96617937993363i</v>
      </c>
      <c r="AO573" s="147" t="str">
        <f t="shared" si="287"/>
        <v>0.0588349731750077-0.66909456452076i</v>
      </c>
      <c r="AP573" s="147" t="str">
        <f t="shared" si="288"/>
        <v>-0.164109083417858-0.0290858473751093i</v>
      </c>
      <c r="AQ573" s="147" t="str">
        <f t="shared" si="289"/>
        <v>1.16410908341786+0.0290858473751093i</v>
      </c>
      <c r="AR573" s="147" t="str">
        <f t="shared" si="290"/>
        <v>0.715122246743498-0.0178676868169926i</v>
      </c>
    </row>
    <row r="574" spans="7:44">
      <c r="G574" s="585">
        <v>101165</v>
      </c>
      <c r="H574" s="573">
        <f t="shared" si="282"/>
        <v>101.16500000000001</v>
      </c>
      <c r="I574" s="574">
        <f t="shared" si="262"/>
        <v>698.75653262315632</v>
      </c>
      <c r="J574" s="575">
        <f t="shared" si="263"/>
        <v>1.569365212673367</v>
      </c>
      <c r="K574" s="575">
        <f t="shared" si="264"/>
        <v>1.1458122248385412</v>
      </c>
      <c r="L574" s="576">
        <f t="shared" si="265"/>
        <v>0.5100023706015302</v>
      </c>
      <c r="M574" s="575">
        <f t="shared" si="266"/>
        <v>1.2180433624112956</v>
      </c>
      <c r="N574" s="576">
        <f t="shared" si="267"/>
        <v>-0.60765553081907064</v>
      </c>
      <c r="O574" s="574">
        <f t="shared" si="268"/>
        <v>1906915.3226237623</v>
      </c>
      <c r="P574" s="577">
        <f t="shared" si="269"/>
        <v>1.5707958023877622</v>
      </c>
      <c r="Q574" s="586">
        <f t="shared" si="291"/>
        <v>255.52860996709612</v>
      </c>
      <c r="R574" s="587">
        <f t="shared" si="292"/>
        <v>1.5668828606954666</v>
      </c>
      <c r="S574" s="574">
        <f t="shared" si="270"/>
        <v>3.9612019470277167</v>
      </c>
      <c r="T574" s="577">
        <f t="shared" si="271"/>
        <v>1.3155863097886169</v>
      </c>
      <c r="U574" s="578">
        <f t="shared" si="283"/>
        <v>0.47528033956290311</v>
      </c>
      <c r="V574" s="579">
        <f t="shared" si="284"/>
        <v>-1.5204493957049579</v>
      </c>
      <c r="W574" s="580">
        <f t="shared" si="272"/>
        <v>-42.47879895066287</v>
      </c>
      <c r="X574" s="581">
        <f t="shared" si="273"/>
        <v>-258.2301889501237</v>
      </c>
      <c r="Y574" s="584">
        <f t="shared" si="274"/>
        <v>-78.230188950123704</v>
      </c>
      <c r="AA574" s="147">
        <f t="shared" si="275"/>
        <v>101165</v>
      </c>
      <c r="AB574" s="147">
        <f t="shared" si="276"/>
        <v>10234357225</v>
      </c>
      <c r="AD574" s="583">
        <f t="shared" si="277"/>
        <v>15.691072905785655</v>
      </c>
      <c r="AE574" s="584">
        <f t="shared" si="278"/>
        <v>-75.601738266915106</v>
      </c>
      <c r="AG574" s="583">
        <f t="shared" si="279"/>
        <v>14.039327032192945</v>
      </c>
      <c r="AH574" s="584">
        <f t="shared" si="280"/>
        <v>-8.3977838099000301</v>
      </c>
      <c r="AJ574" s="147">
        <f t="shared" si="281"/>
        <v>0</v>
      </c>
      <c r="AK574" s="147">
        <f t="shared" si="293"/>
        <v>0</v>
      </c>
      <c r="AM574" s="147" t="str">
        <f t="shared" si="285"/>
        <v>1.99009600429205+0.140391959473859i</v>
      </c>
      <c r="AN574" s="147" t="str">
        <f t="shared" si="286"/>
        <v>3.00073536970986i</v>
      </c>
      <c r="AO574" s="147" t="str">
        <f t="shared" si="287"/>
        <v>0.0467858515252658-0.663202768354902i</v>
      </c>
      <c r="AP574" s="147" t="str">
        <f t="shared" si="288"/>
        <v>-0.165016000715342-0.0233986599123098i</v>
      </c>
      <c r="AQ574" s="147" t="str">
        <f t="shared" si="289"/>
        <v>1.16501600071534+0.0233986599123098i</v>
      </c>
      <c r="AR574" s="147" t="str">
        <f t="shared" si="290"/>
        <v>0.714723331247189-0.0143547969718678i</v>
      </c>
    </row>
    <row r="575" spans="7:44">
      <c r="G575" s="585">
        <v>102330</v>
      </c>
      <c r="H575" s="573">
        <f t="shared" si="282"/>
        <v>102.33</v>
      </c>
      <c r="I575" s="574">
        <f t="shared" si="262"/>
        <v>706.80328498562517</v>
      </c>
      <c r="J575" s="575">
        <f t="shared" si="263"/>
        <v>1.5693815055074711</v>
      </c>
      <c r="K575" s="575">
        <f t="shared" si="264"/>
        <v>1.148970595946514</v>
      </c>
      <c r="L575" s="576">
        <f t="shared" si="265"/>
        <v>0.51489528741554536</v>
      </c>
      <c r="M575" s="575">
        <f t="shared" si="266"/>
        <v>1.2226334579252991</v>
      </c>
      <c r="N575" s="576">
        <f t="shared" si="267"/>
        <v>-0.61303321332737459</v>
      </c>
      <c r="O575" s="574">
        <f t="shared" si="268"/>
        <v>1928875.0552472593</v>
      </c>
      <c r="P575" s="577">
        <f t="shared" si="269"/>
        <v>1.5707958083579987</v>
      </c>
      <c r="Q575" s="586">
        <f t="shared" si="291"/>
        <v>258.47119186189582</v>
      </c>
      <c r="R575" s="587">
        <f t="shared" si="292"/>
        <v>1.5669274140253593</v>
      </c>
      <c r="S575" s="574">
        <f t="shared" si="270"/>
        <v>4.0039268637257246</v>
      </c>
      <c r="T575" s="577">
        <f t="shared" si="271"/>
        <v>1.3183692927417905</v>
      </c>
      <c r="U575" s="578">
        <f t="shared" si="283"/>
        <v>0.47012622548997085</v>
      </c>
      <c r="V575" s="579">
        <f t="shared" si="284"/>
        <v>-1.5328140640420358</v>
      </c>
      <c r="W575" s="580">
        <f t="shared" si="272"/>
        <v>-42.709564689427481</v>
      </c>
      <c r="X575" s="581">
        <f t="shared" si="273"/>
        <v>-259.12424160288185</v>
      </c>
      <c r="Y575" s="584">
        <f t="shared" si="274"/>
        <v>-79.124241602881852</v>
      </c>
      <c r="AA575" s="147">
        <f t="shared" si="275"/>
        <v>102330</v>
      </c>
      <c r="AB575" s="147">
        <f t="shared" si="276"/>
        <v>10471428900</v>
      </c>
      <c r="AD575" s="583">
        <f t="shared" si="277"/>
        <v>15.597888356882436</v>
      </c>
      <c r="AE575" s="584">
        <f t="shared" si="278"/>
        <v>-75.758639069071336</v>
      </c>
      <c r="AG575" s="583">
        <f t="shared" si="279"/>
        <v>14.091160687571975</v>
      </c>
      <c r="AH575" s="584">
        <f t="shared" si="280"/>
        <v>-7.7180490372956596</v>
      </c>
      <c r="AJ575" s="147">
        <f t="shared" si="281"/>
        <v>0</v>
      </c>
      <c r="AK575" s="147">
        <f t="shared" si="293"/>
        <v>0</v>
      </c>
      <c r="AM575" s="147" t="str">
        <f t="shared" si="285"/>
        <v>1.99435533581617+0.106101207033282i</v>
      </c>
      <c r="AN575" s="147" t="str">
        <f t="shared" si="286"/>
        <v>3.03529135948608i</v>
      </c>
      <c r="AO575" s="147" t="str">
        <f t="shared" si="287"/>
        <v>0.0349558557868548-0.657055649561709i</v>
      </c>
      <c r="AP575" s="147" t="str">
        <f t="shared" si="288"/>
        <v>-0.165725889302694-0.017683534505547i</v>
      </c>
      <c r="AQ575" s="147" t="str">
        <f t="shared" si="289"/>
        <v>1.16572588930269+0.017683534505547i</v>
      </c>
      <c r="AR575" s="147" t="str">
        <f t="shared" si="290"/>
        <v>0.714411823395789-0.0108373042463243i</v>
      </c>
    </row>
    <row r="576" spans="7:44">
      <c r="G576" s="585">
        <v>103520</v>
      </c>
      <c r="H576" s="573">
        <f t="shared" si="282"/>
        <v>103.52</v>
      </c>
      <c r="I576" s="574">
        <f t="shared" si="262"/>
        <v>715.02271462671888</v>
      </c>
      <c r="J576" s="575">
        <f t="shared" si="263"/>
        <v>1.5693977693707231</v>
      </c>
      <c r="K576" s="575">
        <f t="shared" si="264"/>
        <v>1.1522249843335626</v>
      </c>
      <c r="L576" s="576">
        <f t="shared" si="265"/>
        <v>0.51986538695623241</v>
      </c>
      <c r="M576" s="575">
        <f t="shared" si="266"/>
        <v>1.2273582809272678</v>
      </c>
      <c r="N576" s="576">
        <f t="shared" si="267"/>
        <v>-0.61848460824084728</v>
      </c>
      <c r="O576" s="574">
        <f t="shared" si="268"/>
        <v>1951306.0267682564</v>
      </c>
      <c r="P576" s="577">
        <f t="shared" si="269"/>
        <v>1.5707958143176193</v>
      </c>
      <c r="Q576" s="586">
        <f t="shared" si="291"/>
        <v>261.47691980856689</v>
      </c>
      <c r="R576" s="587">
        <f t="shared" si="292"/>
        <v>1.566971888146705</v>
      </c>
      <c r="S576" s="574">
        <f t="shared" si="270"/>
        <v>4.04759995655815</v>
      </c>
      <c r="T576" s="577">
        <f t="shared" si="271"/>
        <v>1.3211513174514788</v>
      </c>
      <c r="U576" s="578">
        <f t="shared" si="283"/>
        <v>0.46490778973056185</v>
      </c>
      <c r="V576" s="579">
        <f t="shared" si="284"/>
        <v>-1.5454326224578145</v>
      </c>
      <c r="W576" s="580">
        <f t="shared" si="272"/>
        <v>-42.943104714733742</v>
      </c>
      <c r="X576" s="581">
        <f t="shared" si="273"/>
        <v>-260.03259022534257</v>
      </c>
      <c r="Y576" s="584">
        <f t="shared" si="274"/>
        <v>-80.032590225342574</v>
      </c>
      <c r="AA576" s="147">
        <f t="shared" si="275"/>
        <v>103520</v>
      </c>
      <c r="AB576" s="147">
        <f t="shared" si="276"/>
        <v>10716390400</v>
      </c>
      <c r="AD576" s="583">
        <f t="shared" si="277"/>
        <v>15.503657939351198</v>
      </c>
      <c r="AE576" s="584">
        <f t="shared" si="278"/>
        <v>-75.915489505627249</v>
      </c>
      <c r="AG576" s="583">
        <f t="shared" si="279"/>
        <v>14.14575729911501</v>
      </c>
      <c r="AH576" s="584">
        <f t="shared" si="280"/>
        <v>-7.0235669400213956</v>
      </c>
      <c r="AJ576" s="147">
        <f t="shared" si="281"/>
        <v>0</v>
      </c>
      <c r="AK576" s="147">
        <f t="shared" si="293"/>
        <v>0</v>
      </c>
      <c r="AM576" s="147" t="str">
        <f t="shared" si="285"/>
        <v>1.99748029193604+0.070944113210303i</v>
      </c>
      <c r="AN576" s="147" t="str">
        <f t="shared" si="286"/>
        <v>3.0705888941073i</v>
      </c>
      <c r="AO576" s="147" t="str">
        <f t="shared" si="287"/>
        <v>0.0231043997281597-0.650520262015329i</v>
      </c>
      <c r="AP576" s="147" t="str">
        <f t="shared" si="288"/>
        <v>-0.166246715322673-0.0118240188683838i</v>
      </c>
      <c r="AQ576" s="147" t="str">
        <f t="shared" si="289"/>
        <v>1.16624671532267+0.0118240188683838i</v>
      </c>
      <c r="AR576" s="147" t="str">
        <f t="shared" si="290"/>
        <v>0.714183692081499-0.00724076761779112i</v>
      </c>
    </row>
    <row r="577" spans="7:44">
      <c r="G577" s="585">
        <v>104710</v>
      </c>
      <c r="H577" s="573">
        <f t="shared" si="282"/>
        <v>104.71</v>
      </c>
      <c r="I577" s="574">
        <f t="shared" si="262"/>
        <v>723.24214445264658</v>
      </c>
      <c r="J577" s="575">
        <f t="shared" si="263"/>
        <v>1.5694136635661338</v>
      </c>
      <c r="K577" s="575">
        <f t="shared" si="264"/>
        <v>1.1555076741236812</v>
      </c>
      <c r="L577" s="576">
        <f t="shared" si="265"/>
        <v>0.52480736881736523</v>
      </c>
      <c r="M577" s="575">
        <f t="shared" si="266"/>
        <v>1.2321192978362441</v>
      </c>
      <c r="N577" s="576">
        <f t="shared" si="267"/>
        <v>-0.62389403354481721</v>
      </c>
      <c r="O577" s="574">
        <f t="shared" si="268"/>
        <v>1973736.9982892536</v>
      </c>
      <c r="P577" s="577">
        <f t="shared" si="269"/>
        <v>1.5707958201417809</v>
      </c>
      <c r="Q577" s="586">
        <f t="shared" si="291"/>
        <v>264.48264826067032</v>
      </c>
      <c r="R577" s="587">
        <f t="shared" si="292"/>
        <v>1.5670153514106531</v>
      </c>
      <c r="S577" s="574">
        <f t="shared" si="270"/>
        <v>4.0913037074959284</v>
      </c>
      <c r="T577" s="577">
        <f t="shared" si="271"/>
        <v>1.323873927079084</v>
      </c>
      <c r="U577" s="578">
        <f t="shared" si="283"/>
        <v>0.45973473665219311</v>
      </c>
      <c r="V577" s="579">
        <f t="shared" si="284"/>
        <v>-1.5580434400082899</v>
      </c>
      <c r="W577" s="580">
        <f t="shared" si="272"/>
        <v>-43.174517720152494</v>
      </c>
      <c r="X577" s="581">
        <f t="shared" si="273"/>
        <v>-260.93633416801367</v>
      </c>
      <c r="Y577" s="584">
        <f t="shared" si="274"/>
        <v>-80.936334168013673</v>
      </c>
      <c r="AA577" s="147">
        <f t="shared" si="275"/>
        <v>104710</v>
      </c>
      <c r="AB577" s="147">
        <f t="shared" si="276"/>
        <v>10964184100</v>
      </c>
      <c r="AD577" s="583">
        <f t="shared" si="277"/>
        <v>15.410373766506089</v>
      </c>
      <c r="AE577" s="584">
        <f t="shared" si="278"/>
        <v>-76.068993618837922</v>
      </c>
      <c r="AG577" s="583">
        <f t="shared" si="279"/>
        <v>14.202008610892102</v>
      </c>
      <c r="AH577" s="584">
        <f t="shared" si="280"/>
        <v>-6.3287135241270871</v>
      </c>
      <c r="AJ577" s="147">
        <f t="shared" si="281"/>
        <v>0</v>
      </c>
      <c r="AK577" s="147">
        <f t="shared" si="293"/>
        <v>0</v>
      </c>
      <c r="AM577" s="147" t="str">
        <f t="shared" si="285"/>
        <v>1.99936260047762+0.0356986381619732i</v>
      </c>
      <c r="AN577" s="147" t="str">
        <f t="shared" si="286"/>
        <v>3.10588642872851i</v>
      </c>
      <c r="AO577" s="147" t="str">
        <f t="shared" si="287"/>
        <v>0.0114938646280726-0.643733325849948i</v>
      </c>
      <c r="AP577" s="147" t="str">
        <f t="shared" si="288"/>
        <v>-0.166560433412936-0.00594977302699553i</v>
      </c>
      <c r="AQ577" s="147" t="str">
        <f t="shared" si="289"/>
        <v>1.16656043341294+0.00594977302699553i</v>
      </c>
      <c r="AR577" s="147" t="str">
        <f t="shared" si="290"/>
        <v>0.714046446358233-0.0036418295742595i</v>
      </c>
    </row>
    <row r="578" spans="7:44">
      <c r="G578" s="585">
        <v>105930</v>
      </c>
      <c r="H578" s="573">
        <f t="shared" si="282"/>
        <v>105.93</v>
      </c>
      <c r="I578" s="574">
        <f t="shared" si="262"/>
        <v>731.66878698055564</v>
      </c>
      <c r="J578" s="575">
        <f t="shared" si="263"/>
        <v>1.5694295877332836</v>
      </c>
      <c r="K578" s="575">
        <f t="shared" si="264"/>
        <v>1.1589022496358594</v>
      </c>
      <c r="L578" s="576">
        <f t="shared" si="265"/>
        <v>0.52984474712186735</v>
      </c>
      <c r="M578" s="575">
        <f t="shared" si="266"/>
        <v>1.2370374769637069</v>
      </c>
      <c r="N578" s="576">
        <f t="shared" si="267"/>
        <v>-0.62939643877078677</v>
      </c>
      <c r="O578" s="574">
        <f t="shared" si="268"/>
        <v>1996733.4564872507</v>
      </c>
      <c r="P578" s="577">
        <f t="shared" si="269"/>
        <v>1.5707958259769248</v>
      </c>
      <c r="Q578" s="586">
        <f t="shared" si="291"/>
        <v>267.56415188650783</v>
      </c>
      <c r="R578" s="587">
        <f t="shared" si="292"/>
        <v>1.5670588966458385</v>
      </c>
      <c r="S578" s="574">
        <f t="shared" si="270"/>
        <v>4.1361400434847342</v>
      </c>
      <c r="T578" s="577">
        <f t="shared" si="271"/>
        <v>1.3266054232522035</v>
      </c>
      <c r="U578" s="578">
        <f t="shared" si="283"/>
        <v>0.45447690347527198</v>
      </c>
      <c r="V578" s="579">
        <f t="shared" si="284"/>
        <v>-1.5709681709300585</v>
      </c>
      <c r="W578" s="580">
        <f t="shared" si="272"/>
        <v>-43.409634173956007</v>
      </c>
      <c r="X578" s="581">
        <f t="shared" si="273"/>
        <v>-261.85843174836788</v>
      </c>
      <c r="Y578" s="584">
        <f t="shared" si="274"/>
        <v>-81.858431748367877</v>
      </c>
      <c r="AA578" s="147">
        <f t="shared" si="275"/>
        <v>105930</v>
      </c>
      <c r="AB578" s="147">
        <f t="shared" si="276"/>
        <v>11221164900</v>
      </c>
      <c r="AD578" s="583">
        <f t="shared" si="277"/>
        <v>15.315702035560117</v>
      </c>
      <c r="AE578" s="584">
        <f t="shared" si="278"/>
        <v>-76.223002197624865</v>
      </c>
      <c r="AG578" s="583">
        <f t="shared" si="279"/>
        <v>14.261383974497148</v>
      </c>
      <c r="AH578" s="584">
        <f t="shared" si="280"/>
        <v>-5.6157374576828119</v>
      </c>
      <c r="AJ578" s="147">
        <f t="shared" si="281"/>
        <v>0</v>
      </c>
      <c r="AK578" s="147">
        <f t="shared" si="293"/>
        <v>0</v>
      </c>
      <c r="AM578" s="147" t="str">
        <f t="shared" si="285"/>
        <v>1.99999988424081-0.000481163555340548i</v>
      </c>
      <c r="AN578" s="147" t="str">
        <f t="shared" si="286"/>
        <v>3.1420738171637i</v>
      </c>
      <c r="AO578" s="147" t="str">
        <f t="shared" si="287"/>
        <v>-0.000153135662412568-0.636522246331621i</v>
      </c>
      <c r="AP578" s="147" t="str">
        <f t="shared" si="288"/>
        <v>-0.166666647373468+0.0000801939258900913i</v>
      </c>
      <c r="AQ578" s="147" t="str">
        <f t="shared" si="289"/>
        <v>1.16666664737347-0.0000801939258900913i</v>
      </c>
      <c r="AR578" s="147" t="str">
        <f t="shared" si="290"/>
        <v>0.714000008433883+0.0000490786840360766i</v>
      </c>
    </row>
    <row r="579" spans="7:44">
      <c r="G579" s="585">
        <v>107150</v>
      </c>
      <c r="H579" s="573">
        <f t="shared" si="282"/>
        <v>107.15</v>
      </c>
      <c r="I579" s="574">
        <f t="shared" si="262"/>
        <v>740.09542968977564</v>
      </c>
      <c r="J579" s="575">
        <f t="shared" si="263"/>
        <v>1.5694451492789114</v>
      </c>
      <c r="K579" s="575">
        <f t="shared" si="264"/>
        <v>1.1623260602991543</v>
      </c>
      <c r="L579" s="576">
        <f t="shared" si="265"/>
        <v>0.53485257513085804</v>
      </c>
      <c r="M579" s="575">
        <f t="shared" si="266"/>
        <v>1.2419928119305563</v>
      </c>
      <c r="N579" s="576">
        <f t="shared" si="267"/>
        <v>-0.63485510089550623</v>
      </c>
      <c r="O579" s="574">
        <f t="shared" si="268"/>
        <v>2019729.9146852477</v>
      </c>
      <c r="P579" s="577">
        <f t="shared" si="269"/>
        <v>1.5707958316791919</v>
      </c>
      <c r="Q579" s="586">
        <f t="shared" si="291"/>
        <v>270.64565600814399</v>
      </c>
      <c r="R579" s="587">
        <f t="shared" si="292"/>
        <v>1.5671014502906693</v>
      </c>
      <c r="S579" s="574">
        <f t="shared" si="270"/>
        <v>4.1810065775023224</v>
      </c>
      <c r="T579" s="577">
        <f t="shared" si="271"/>
        <v>1.3292783154428833</v>
      </c>
      <c r="U579" s="578">
        <f t="shared" si="283"/>
        <v>0.44926374607779579</v>
      </c>
      <c r="V579" s="579">
        <f t="shared" si="284"/>
        <v>-1.5838929569651521</v>
      </c>
      <c r="W579" s="580">
        <f t="shared" si="272"/>
        <v>-43.642672717791058</v>
      </c>
      <c r="X579" s="581">
        <f t="shared" si="273"/>
        <v>-262.77639756739984</v>
      </c>
      <c r="Y579" s="584">
        <f t="shared" si="274"/>
        <v>-82.77639756739984</v>
      </c>
      <c r="AA579" s="147">
        <f t="shared" si="275"/>
        <v>107150</v>
      </c>
      <c r="AB579" s="147">
        <f t="shared" si="276"/>
        <v>11481122500</v>
      </c>
      <c r="AD579" s="583">
        <f t="shared" si="277"/>
        <v>15.221988344325116</v>
      </c>
      <c r="AE579" s="584">
        <f t="shared" si="278"/>
        <v>-76.373709821880652</v>
      </c>
      <c r="AG579" s="583">
        <f t="shared" si="279"/>
        <v>14.322476850540234</v>
      </c>
      <c r="AH579" s="584">
        <f t="shared" si="280"/>
        <v>-4.9019242689256206</v>
      </c>
      <c r="AJ579" s="147">
        <f t="shared" si="281"/>
        <v>0</v>
      </c>
      <c r="AK579" s="147">
        <f t="shared" si="293"/>
        <v>0</v>
      </c>
      <c r="AM579" s="147" t="str">
        <f t="shared" si="285"/>
        <v>1.99932778397268-0.0366603352447051i</v>
      </c>
      <c r="AN579" s="147" t="str">
        <f t="shared" si="286"/>
        <v>3.17826120559889i</v>
      </c>
      <c r="AO579" s="147" t="str">
        <f t="shared" si="287"/>
        <v>-0.0115347143841178-0.629063394931362i</v>
      </c>
      <c r="AP579" s="147" t="str">
        <f t="shared" si="288"/>
        <v>-0.166554630662113+0.00611005587411752i</v>
      </c>
      <c r="AQ579" s="147" t="str">
        <f t="shared" si="289"/>
        <v>1.16655463066211-0.00611005587411752i</v>
      </c>
      <c r="AR579" s="147" t="str">
        <f t="shared" si="290"/>
        <v>0.714048983803061+0.00373996988500853i</v>
      </c>
    </row>
    <row r="580" spans="7:44">
      <c r="G580" s="585">
        <v>108400</v>
      </c>
      <c r="H580" s="573">
        <f t="shared" si="282"/>
        <v>108.4</v>
      </c>
      <c r="I580" s="574">
        <f t="shared" si="262"/>
        <v>748.72928510628412</v>
      </c>
      <c r="J580" s="575">
        <f t="shared" si="263"/>
        <v>1.5694607301818149</v>
      </c>
      <c r="K580" s="575">
        <f t="shared" si="264"/>
        <v>1.1658641160157044</v>
      </c>
      <c r="L580" s="576">
        <f t="shared" si="265"/>
        <v>0.5399529080524762</v>
      </c>
      <c r="M580" s="575">
        <f t="shared" si="266"/>
        <v>1.2471080738025531</v>
      </c>
      <c r="N580" s="576">
        <f t="shared" si="267"/>
        <v>-0.64040282983101948</v>
      </c>
      <c r="O580" s="574">
        <f t="shared" si="268"/>
        <v>2043291.8595602449</v>
      </c>
      <c r="P580" s="577">
        <f t="shared" si="269"/>
        <v>1.570795837388552</v>
      </c>
      <c r="Q580" s="586">
        <f t="shared" si="291"/>
        <v>273.80293531802727</v>
      </c>
      <c r="R580" s="587">
        <f t="shared" si="292"/>
        <v>1.5671440568803277</v>
      </c>
      <c r="S580" s="574">
        <f t="shared" si="270"/>
        <v>4.2270067024400086</v>
      </c>
      <c r="T580" s="577">
        <f t="shared" si="271"/>
        <v>1.3319580632583548</v>
      </c>
      <c r="U580" s="578">
        <f t="shared" si="283"/>
        <v>0.44396711113757914</v>
      </c>
      <c r="V580" s="579">
        <f t="shared" si="284"/>
        <v>-1.5971399575928831</v>
      </c>
      <c r="W580" s="580">
        <f t="shared" si="272"/>
        <v>-43.879369871376916</v>
      </c>
      <c r="X580" s="581">
        <f t="shared" si="273"/>
        <v>-263.71301880833204</v>
      </c>
      <c r="Y580" s="584">
        <f t="shared" si="274"/>
        <v>-83.713018808332038</v>
      </c>
      <c r="AA580" s="147">
        <f t="shared" si="275"/>
        <v>108400</v>
      </c>
      <c r="AB580" s="147">
        <f t="shared" si="276"/>
        <v>11750560000</v>
      </c>
      <c r="AD580" s="583">
        <f t="shared" si="277"/>
        <v>15.126945271219331</v>
      </c>
      <c r="AE580" s="584">
        <f t="shared" si="278"/>
        <v>-76.524807211394588</v>
      </c>
      <c r="AG580" s="583">
        <f t="shared" si="279"/>
        <v>14.386845772527085</v>
      </c>
      <c r="AH580" s="584">
        <f t="shared" si="280"/>
        <v>-4.1694536642570483</v>
      </c>
      <c r="AJ580" s="147">
        <f t="shared" si="281"/>
        <v>0</v>
      </c>
      <c r="AK580" s="147">
        <f t="shared" si="293"/>
        <v>0</v>
      </c>
      <c r="AM580" s="147" t="str">
        <f t="shared" si="285"/>
        <v>1.99728201105178-0.0736789687259596i</v>
      </c>
      <c r="AN580" s="147" t="str">
        <f t="shared" si="286"/>
        <v>3.21533844784806i</v>
      </c>
      <c r="AO580" s="147" t="str">
        <f t="shared" si="287"/>
        <v>-0.0229148408234508-0.621173180816628i</v>
      </c>
      <c r="AP580" s="147" t="str">
        <f t="shared" si="288"/>
        <v>-0.16621366850863+0.0122798281209933i</v>
      </c>
      <c r="AQ580" s="147" t="str">
        <f t="shared" si="289"/>
        <v>1.16621366850863-0.0122798281209933i</v>
      </c>
      <c r="AR580" s="147" t="str">
        <f t="shared" si="290"/>
        <v>0.71419815680819+0.00752026052065595i</v>
      </c>
    </row>
    <row r="581" spans="7:44">
      <c r="G581" s="585">
        <v>109650</v>
      </c>
      <c r="H581" s="573">
        <f t="shared" si="282"/>
        <v>109.65</v>
      </c>
      <c r="I581" s="574">
        <f t="shared" si="262"/>
        <v>757.36314070041351</v>
      </c>
      <c r="J581" s="575">
        <f t="shared" si="263"/>
        <v>1.5694759558436004</v>
      </c>
      <c r="K581" s="575">
        <f t="shared" si="264"/>
        <v>1.1694323158464497</v>
      </c>
      <c r="L581" s="576">
        <f t="shared" si="265"/>
        <v>0.54502224766216911</v>
      </c>
      <c r="M581" s="575">
        <f t="shared" si="266"/>
        <v>1.2522614040313753</v>
      </c>
      <c r="N581" s="576">
        <f t="shared" si="267"/>
        <v>-0.64590506671302583</v>
      </c>
      <c r="O581" s="574">
        <f t="shared" si="268"/>
        <v>2066853.8044352422</v>
      </c>
      <c r="P581" s="577">
        <f t="shared" si="269"/>
        <v>1.5707958429677398</v>
      </c>
      <c r="Q581" s="586">
        <f t="shared" si="291"/>
        <v>276.96021511361863</v>
      </c>
      <c r="R581" s="587">
        <f t="shared" si="292"/>
        <v>1.5671856920603244</v>
      </c>
      <c r="S581" s="574">
        <f t="shared" si="270"/>
        <v>4.2730365280501559</v>
      </c>
      <c r="T581" s="577">
        <f t="shared" si="271"/>
        <v>1.3345800962312993</v>
      </c>
      <c r="U581" s="578">
        <f t="shared" si="283"/>
        <v>0.43871406491109594</v>
      </c>
      <c r="V581" s="579">
        <f t="shared" si="284"/>
        <v>-1.610395829518678</v>
      </c>
      <c r="W581" s="580">
        <f t="shared" si="272"/>
        <v>-44.11405508719313</v>
      </c>
      <c r="X581" s="581">
        <f t="shared" si="273"/>
        <v>-264.64604610000367</v>
      </c>
      <c r="Y581" s="584">
        <f t="shared" si="274"/>
        <v>-84.646046100003673</v>
      </c>
      <c r="AA581" s="147">
        <f t="shared" si="275"/>
        <v>109650</v>
      </c>
      <c r="AB581" s="147">
        <f t="shared" si="276"/>
        <v>12023122500</v>
      </c>
      <c r="AD581" s="583">
        <f t="shared" si="277"/>
        <v>15.032870579096398</v>
      </c>
      <c r="AE581" s="584">
        <f t="shared" si="278"/>
        <v>-76.672653434228195</v>
      </c>
      <c r="AG581" s="583">
        <f t="shared" si="279"/>
        <v>14.453004894326302</v>
      </c>
      <c r="AH581" s="584">
        <f t="shared" si="280"/>
        <v>-3.4356237011314152</v>
      </c>
      <c r="AJ581" s="147">
        <f t="shared" si="281"/>
        <v>0</v>
      </c>
      <c r="AK581" s="147">
        <f t="shared" si="293"/>
        <v>0</v>
      </c>
      <c r="AM581" s="147" t="str">
        <f t="shared" si="285"/>
        <v>1.99386540977009-0.110596325718915i</v>
      </c>
      <c r="AN581" s="147" t="str">
        <f t="shared" si="286"/>
        <v>3.25241569009723i</v>
      </c>
      <c r="AO581" s="147" t="str">
        <f t="shared" si="287"/>
        <v>-0.0340043636044594-0.613041382084368i</v>
      </c>
      <c r="AP581" s="147" t="str">
        <f t="shared" si="288"/>
        <v>-0.165644234961682+0.0184327209531525i</v>
      </c>
      <c r="AQ581" s="147" t="str">
        <f t="shared" si="289"/>
        <v>1.16564423496168-0.0184327209531525i</v>
      </c>
      <c r="AR581" s="147" t="str">
        <f t="shared" si="290"/>
        <v>0.714447621199847+0.0112977984553351i</v>
      </c>
    </row>
    <row r="582" spans="7:44">
      <c r="G582" s="585">
        <v>110925</v>
      </c>
      <c r="H582" s="573">
        <f t="shared" si="282"/>
        <v>110.925</v>
      </c>
      <c r="I582" s="574">
        <f t="shared" si="262"/>
        <v>766.16967358318288</v>
      </c>
      <c r="J582" s="575">
        <f t="shared" si="263"/>
        <v>1.5694911325038654</v>
      </c>
      <c r="K582" s="575">
        <f t="shared" si="264"/>
        <v>1.1731026488660783</v>
      </c>
      <c r="L582" s="576">
        <f t="shared" si="265"/>
        <v>0.55016106913201923</v>
      </c>
      <c r="M582" s="575">
        <f t="shared" si="266"/>
        <v>1.2575565335203309</v>
      </c>
      <c r="N582" s="576">
        <f t="shared" si="267"/>
        <v>-0.65147071911314203</v>
      </c>
      <c r="O582" s="574">
        <f t="shared" si="268"/>
        <v>2090886.9882077393</v>
      </c>
      <c r="P582" s="577">
        <f t="shared" si="269"/>
        <v>1.5707958485289715</v>
      </c>
      <c r="Q582" s="586">
        <f t="shared" si="291"/>
        <v>280.18064098846969</v>
      </c>
      <c r="R582" s="587">
        <f t="shared" si="292"/>
        <v>1.5672271932544986</v>
      </c>
      <c r="S582" s="574">
        <f t="shared" si="270"/>
        <v>4.3200165632274707</v>
      </c>
      <c r="T582" s="577">
        <f t="shared" si="271"/>
        <v>1.337196988493971</v>
      </c>
      <c r="U582" s="578">
        <f t="shared" si="283"/>
        <v>0.43339910379342367</v>
      </c>
      <c r="V582" s="579">
        <f t="shared" si="284"/>
        <v>-1.6239305910816155</v>
      </c>
      <c r="W582" s="580">
        <f t="shared" si="272"/>
        <v>-44.35145040350362</v>
      </c>
      <c r="X582" s="581">
        <f t="shared" si="273"/>
        <v>-265.59441534226545</v>
      </c>
      <c r="Y582" s="584">
        <f t="shared" si="274"/>
        <v>-85.594415342265449</v>
      </c>
      <c r="AA582" s="147">
        <f t="shared" si="275"/>
        <v>110925</v>
      </c>
      <c r="AB582" s="147">
        <f t="shared" si="276"/>
        <v>12304355625</v>
      </c>
      <c r="AD582" s="583">
        <f t="shared" si="277"/>
        <v>14.937893154377797</v>
      </c>
      <c r="AE582" s="584">
        <f t="shared" si="278"/>
        <v>-76.820212791852541</v>
      </c>
      <c r="AG582" s="583">
        <f t="shared" si="279"/>
        <v>14.522328959670347</v>
      </c>
      <c r="AH582" s="584">
        <f t="shared" si="280"/>
        <v>-2.6854641554521974</v>
      </c>
      <c r="AJ582" s="147">
        <f t="shared" si="281"/>
        <v>0</v>
      </c>
      <c r="AK582" s="147">
        <f t="shared" si="293"/>
        <v>0</v>
      </c>
      <c r="AM582" s="147" t="str">
        <f t="shared" si="285"/>
        <v>1.98897312925344-0.148095069514992i</v>
      </c>
      <c r="AN582" s="147" t="str">
        <f t="shared" si="286"/>
        <v>3.29023447719138i</v>
      </c>
      <c r="AO582" s="147" t="str">
        <f t="shared" si="287"/>
        <v>-0.0450104910581964-0.604508020033658i</v>
      </c>
      <c r="AP582" s="147" t="str">
        <f t="shared" si="288"/>
        <v>-0.164828854875574+0.024682511585832i</v>
      </c>
      <c r="AQ582" s="147" t="str">
        <f t="shared" si="289"/>
        <v>1.16482885487557-0.024682511585832i</v>
      </c>
      <c r="AR582" s="147" t="str">
        <f t="shared" si="290"/>
        <v>0.714805561682857+0.0151465998494165i</v>
      </c>
    </row>
    <row r="583" spans="7:44">
      <c r="G583" s="585">
        <v>112200</v>
      </c>
      <c r="H583" s="573">
        <f t="shared" si="282"/>
        <v>112.2</v>
      </c>
      <c r="I583" s="574">
        <f t="shared" si="262"/>
        <v>774.97620663841428</v>
      </c>
      <c r="J583" s="575">
        <f t="shared" si="263"/>
        <v>1.5695059642406144</v>
      </c>
      <c r="K583" s="575">
        <f t="shared" si="264"/>
        <v>1.1768037668632507</v>
      </c>
      <c r="L583" s="576">
        <f t="shared" si="265"/>
        <v>0.55526770095212818</v>
      </c>
      <c r="M583" s="575">
        <f t="shared" si="266"/>
        <v>1.2628902903284698</v>
      </c>
      <c r="N583" s="576">
        <f t="shared" si="267"/>
        <v>-0.65698952873513028</v>
      </c>
      <c r="O583" s="574">
        <f t="shared" si="268"/>
        <v>2114920.1719802367</v>
      </c>
      <c r="P583" s="577">
        <f t="shared" si="269"/>
        <v>1.5707958539638114</v>
      </c>
      <c r="Q583" s="586">
        <f t="shared" si="291"/>
        <v>283.40106733492223</v>
      </c>
      <c r="R583" s="587">
        <f t="shared" si="292"/>
        <v>1.5672677512515938</v>
      </c>
      <c r="S583" s="574">
        <f t="shared" si="270"/>
        <v>4.3670255457781506</v>
      </c>
      <c r="T583" s="577">
        <f t="shared" si="271"/>
        <v>1.3397575587420016</v>
      </c>
      <c r="U583" s="578">
        <f t="shared" si="283"/>
        <v>0.42812591382483867</v>
      </c>
      <c r="V583" s="579">
        <f t="shared" si="284"/>
        <v>-1.6374839801953986</v>
      </c>
      <c r="W583" s="580">
        <f t="shared" si="272"/>
        <v>-44.586933333865922</v>
      </c>
      <c r="X583" s="581">
        <f t="shared" si="273"/>
        <v>-266.53981955973256</v>
      </c>
      <c r="Y583" s="584">
        <f t="shared" si="274"/>
        <v>-86.539819559732564</v>
      </c>
      <c r="AA583" s="147">
        <f t="shared" si="275"/>
        <v>112200</v>
      </c>
      <c r="AB583" s="147">
        <f t="shared" si="276"/>
        <v>12588840000</v>
      </c>
      <c r="AD583" s="583">
        <f t="shared" si="277"/>
        <v>14.843885494406097</v>
      </c>
      <c r="AE583" s="584">
        <f t="shared" si="278"/>
        <v>-76.964599169710752</v>
      </c>
      <c r="AG583" s="583">
        <f t="shared" si="279"/>
        <v>14.59351341318553</v>
      </c>
      <c r="AH583" s="584">
        <f t="shared" si="280"/>
        <v>-1.9333780046497151</v>
      </c>
      <c r="AJ583" s="147">
        <f t="shared" si="281"/>
        <v>0</v>
      </c>
      <c r="AK583" s="147">
        <f t="shared" si="293"/>
        <v>0</v>
      </c>
      <c r="AM583" s="147" t="str">
        <f t="shared" si="285"/>
        <v>1.98266652796159-0.185382024004236i</v>
      </c>
      <c r="AN583" s="147" t="str">
        <f t="shared" si="286"/>
        <v>3.32805326428553i</v>
      </c>
      <c r="AO583" s="147" t="str">
        <f t="shared" si="287"/>
        <v>-0.055702841656302-0.595743628636674i</v>
      </c>
      <c r="AP583" s="147" t="str">
        <f t="shared" si="288"/>
        <v>-0.163777754660266+0.030897004000706i</v>
      </c>
      <c r="AQ583" s="147" t="str">
        <f t="shared" si="289"/>
        <v>1.16377775466027-0.030897004000706i</v>
      </c>
      <c r="AR583" s="147" t="str">
        <f t="shared" si="290"/>
        <v>0.715268250887193+0.018989575905488i</v>
      </c>
    </row>
    <row r="584" spans="7:44">
      <c r="G584" s="585">
        <v>113510</v>
      </c>
      <c r="H584" s="573">
        <f t="shared" si="282"/>
        <v>113.51</v>
      </c>
      <c r="I584" s="574">
        <f t="shared" si="262"/>
        <v>784.02448783338741</v>
      </c>
      <c r="J584" s="575">
        <f t="shared" si="263"/>
        <v>1.5695208560836422</v>
      </c>
      <c r="K584" s="575">
        <f t="shared" si="264"/>
        <v>1.1806382440459269</v>
      </c>
      <c r="L584" s="576">
        <f t="shared" si="265"/>
        <v>0.56048102722685145</v>
      </c>
      <c r="M584" s="575">
        <f t="shared" si="266"/>
        <v>1.2684101841898332</v>
      </c>
      <c r="N584" s="576">
        <f t="shared" si="267"/>
        <v>-0.66261131596000422</v>
      </c>
      <c r="O584" s="574">
        <f t="shared" si="268"/>
        <v>2139613.090209234</v>
      </c>
      <c r="P584" s="577">
        <f t="shared" si="269"/>
        <v>1.5707958594206761</v>
      </c>
      <c r="Q584" s="586">
        <f t="shared" si="291"/>
        <v>286.70989801636046</v>
      </c>
      <c r="R584" s="587">
        <f t="shared" si="292"/>
        <v>1.5673084736219107</v>
      </c>
      <c r="S584" s="574">
        <f t="shared" si="270"/>
        <v>4.4153541494000415</v>
      </c>
      <c r="T584" s="577">
        <f t="shared" si="271"/>
        <v>1.342331612895004</v>
      </c>
      <c r="U584" s="578">
        <f t="shared" si="283"/>
        <v>0.4227495555440518</v>
      </c>
      <c r="V584" s="579">
        <f t="shared" si="284"/>
        <v>-1.6514338304760341</v>
      </c>
      <c r="W584" s="580">
        <f t="shared" si="272"/>
        <v>-44.826985220586053</v>
      </c>
      <c r="X584" s="581">
        <f t="shared" si="273"/>
        <v>-267.50849296696299</v>
      </c>
      <c r="Y584" s="584">
        <f t="shared" si="274"/>
        <v>-87.50849296696299</v>
      </c>
      <c r="AA584" s="147">
        <f t="shared" si="275"/>
        <v>113510</v>
      </c>
      <c r="AB584" s="147">
        <f t="shared" si="276"/>
        <v>12884520100</v>
      </c>
      <c r="AD584" s="583">
        <f t="shared" si="277"/>
        <v>14.748288032601804</v>
      </c>
      <c r="AE584" s="584">
        <f t="shared" si="278"/>
        <v>-77.109748701786174</v>
      </c>
      <c r="AG584" s="583">
        <f t="shared" si="279"/>
        <v>14.668593234374994</v>
      </c>
      <c r="AH584" s="584">
        <f t="shared" si="280"/>
        <v>-1.1583667861385412</v>
      </c>
      <c r="AJ584" s="147">
        <f t="shared" si="281"/>
        <v>0</v>
      </c>
      <c r="AK584" s="147">
        <f t="shared" si="293"/>
        <v>0</v>
      </c>
      <c r="AM584" s="147" t="str">
        <f t="shared" si="285"/>
        <v>1.97472320813455-0.223415907052062i</v>
      </c>
      <c r="AN584" s="147" t="str">
        <f t="shared" si="286"/>
        <v>3.36691021416266i</v>
      </c>
      <c r="AO584" s="147" t="str">
        <f t="shared" si="287"/>
        <v>-0.0663563602356485-0.586509019405395i</v>
      </c>
      <c r="AP584" s="147" t="str">
        <f t="shared" si="288"/>
        <v>-0.162453868022425+0.037235984508677i</v>
      </c>
      <c r="AQ584" s="147" t="str">
        <f t="shared" si="289"/>
        <v>1.16245386802243-0.037235984508677i</v>
      </c>
      <c r="AR584" s="147" t="str">
        <f t="shared" si="290"/>
        <v>0.715853065747881+0.0229303668729869i</v>
      </c>
    </row>
    <row r="585" spans="7:44">
      <c r="G585" s="585">
        <v>114820</v>
      </c>
      <c r="H585" s="573">
        <f t="shared" si="282"/>
        <v>114.82</v>
      </c>
      <c r="I585" s="574">
        <f t="shared" si="262"/>
        <v>793.07276919826393</v>
      </c>
      <c r="J585" s="575">
        <f t="shared" si="263"/>
        <v>1.5695354081203128</v>
      </c>
      <c r="K585" s="575">
        <f t="shared" si="264"/>
        <v>1.1845046012656628</v>
      </c>
      <c r="L585" s="576">
        <f t="shared" si="265"/>
        <v>0.56566045973496204</v>
      </c>
      <c r="M585" s="575">
        <f t="shared" si="266"/>
        <v>1.2739698173906497</v>
      </c>
      <c r="N585" s="576">
        <f t="shared" si="267"/>
        <v>-0.66818421082455814</v>
      </c>
      <c r="O585" s="574">
        <f t="shared" si="268"/>
        <v>2164306.008438231</v>
      </c>
      <c r="P585" s="577">
        <f t="shared" si="269"/>
        <v>1.5707958647530245</v>
      </c>
      <c r="Q585" s="586">
        <f t="shared" si="291"/>
        <v>290.01872916240399</v>
      </c>
      <c r="R585" s="587">
        <f t="shared" si="292"/>
        <v>1.5673482667871499</v>
      </c>
      <c r="S585" s="574">
        <f t="shared" si="270"/>
        <v>4.4637113744752321</v>
      </c>
      <c r="T585" s="577">
        <f t="shared" si="271"/>
        <v>1.3448499118546375</v>
      </c>
      <c r="U585" s="578">
        <f t="shared" si="283"/>
        <v>0.41741336708849103</v>
      </c>
      <c r="V585" s="579">
        <f t="shared" si="284"/>
        <v>-1.6654135550209015</v>
      </c>
      <c r="W585" s="580">
        <f t="shared" si="272"/>
        <v>-45.065215539495007</v>
      </c>
      <c r="X585" s="581">
        <f t="shared" si="273"/>
        <v>-268.47485791298811</v>
      </c>
      <c r="Y585" s="584">
        <f t="shared" si="274"/>
        <v>-88.474857912988114</v>
      </c>
      <c r="AA585" s="147">
        <f t="shared" si="275"/>
        <v>114820</v>
      </c>
      <c r="AB585" s="147">
        <f t="shared" si="276"/>
        <v>13183632400</v>
      </c>
      <c r="AD585" s="583">
        <f t="shared" si="277"/>
        <v>14.653675599912109</v>
      </c>
      <c r="AE585" s="584">
        <f t="shared" si="278"/>
        <v>-77.251756928987021</v>
      </c>
      <c r="AG585" s="583">
        <f t="shared" si="279"/>
        <v>14.745647629806911</v>
      </c>
      <c r="AH585" s="584">
        <f t="shared" si="280"/>
        <v>-0.38076507277967131</v>
      </c>
      <c r="AJ585" s="147">
        <f t="shared" si="281"/>
        <v>0</v>
      </c>
      <c r="AK585" s="147">
        <f t="shared" si="293"/>
        <v>0</v>
      </c>
      <c r="AM585" s="147" t="str">
        <f t="shared" si="285"/>
        <v>1.96530837539776-0.261112505228946i</v>
      </c>
      <c r="AN585" s="147" t="str">
        <f t="shared" si="286"/>
        <v>3.4057671640398i</v>
      </c>
      <c r="AO585" s="147" t="str">
        <f t="shared" si="287"/>
        <v>-0.0766677499231109-0.577053063447409i</v>
      </c>
      <c r="AP585" s="147" t="str">
        <f t="shared" si="288"/>
        <v>-0.16088472923296+0.043518750871491i</v>
      </c>
      <c r="AQ585" s="147" t="str">
        <f t="shared" si="289"/>
        <v>1.16088472923296-0.043518750871491i</v>
      </c>
      <c r="AR585" s="147" t="str">
        <f t="shared" si="290"/>
        <v>0.716549190336331+0.0268616899819325i</v>
      </c>
    </row>
    <row r="586" spans="7:44">
      <c r="G586" s="585">
        <v>116155</v>
      </c>
      <c r="H586" s="573">
        <f t="shared" si="282"/>
        <v>116.155</v>
      </c>
      <c r="I586" s="574">
        <f t="shared" si="262"/>
        <v>802.2937278572706</v>
      </c>
      <c r="J586" s="575">
        <f t="shared" si="263"/>
        <v>1.5695499001755577</v>
      </c>
      <c r="K586" s="575">
        <f t="shared" si="264"/>
        <v>1.1884772202185947</v>
      </c>
      <c r="L586" s="576">
        <f t="shared" si="265"/>
        <v>0.57090392242058585</v>
      </c>
      <c r="M586" s="575">
        <f t="shared" si="266"/>
        <v>1.2796758983348342</v>
      </c>
      <c r="N586" s="576">
        <f t="shared" si="267"/>
        <v>-0.67381346159088895</v>
      </c>
      <c r="O586" s="574">
        <f t="shared" si="268"/>
        <v>2189470.1655647284</v>
      </c>
      <c r="P586" s="577">
        <f t="shared" si="269"/>
        <v>1.5707958700633935</v>
      </c>
      <c r="Q586" s="586">
        <f t="shared" si="291"/>
        <v>293.39070640272035</v>
      </c>
      <c r="R586" s="587">
        <f t="shared" si="292"/>
        <v>1.5673878959400234</v>
      </c>
      <c r="S586" s="574">
        <f t="shared" si="270"/>
        <v>4.5130199407696656</v>
      </c>
      <c r="T586" s="577">
        <f t="shared" si="271"/>
        <v>1.3473607316524083</v>
      </c>
      <c r="U586" s="578">
        <f t="shared" si="283"/>
        <v>0.41201458732023616</v>
      </c>
      <c r="V586" s="579">
        <f t="shared" si="284"/>
        <v>-1.6796961903397356</v>
      </c>
      <c r="W586" s="580">
        <f t="shared" si="272"/>
        <v>-45.306222816476833</v>
      </c>
      <c r="X586" s="581">
        <f t="shared" si="273"/>
        <v>-269.4577160992045</v>
      </c>
      <c r="Y586" s="584">
        <f t="shared" si="274"/>
        <v>-89.457716099204504</v>
      </c>
      <c r="AA586" s="147">
        <f t="shared" si="275"/>
        <v>116155</v>
      </c>
      <c r="AB586" s="147">
        <f t="shared" si="276"/>
        <v>13491984025</v>
      </c>
      <c r="AD586" s="583">
        <f t="shared" si="277"/>
        <v>14.558251474116215</v>
      </c>
      <c r="AE586" s="584">
        <f t="shared" si="278"/>
        <v>-77.393346027735362</v>
      </c>
      <c r="AG586" s="583">
        <f t="shared" si="279"/>
        <v>14.826214886336306</v>
      </c>
      <c r="AH586" s="584">
        <f t="shared" si="280"/>
        <v>0.41463528980991832</v>
      </c>
      <c r="AJ586" s="147">
        <f t="shared" si="281"/>
        <v>0</v>
      </c>
      <c r="AK586" s="147">
        <f t="shared" si="293"/>
        <v>0</v>
      </c>
      <c r="AM586" s="147" t="str">
        <f t="shared" si="285"/>
        <v>1.95421469263212-0.299122584177428i</v>
      </c>
      <c r="AN586" s="147" t="str">
        <f t="shared" si="286"/>
        <v>3.44536565876191i</v>
      </c>
      <c r="AO586" s="147" t="str">
        <f t="shared" si="287"/>
        <v>-0.0868188209331945-0.567200955191028i</v>
      </c>
      <c r="AP586" s="147" t="str">
        <f t="shared" si="288"/>
        <v>-0.159035782105354+0.0498537640295713i</v>
      </c>
      <c r="AQ586" s="147" t="str">
        <f t="shared" si="289"/>
        <v>1.15903578210535-0.0498537640295713i</v>
      </c>
      <c r="AR586" s="147" t="str">
        <f t="shared" si="290"/>
        <v>0.71737361409805+0.0308564890147923i</v>
      </c>
    </row>
    <row r="587" spans="7:44">
      <c r="G587" s="585">
        <v>117490</v>
      </c>
      <c r="H587" s="573">
        <f t="shared" si="282"/>
        <v>117.49</v>
      </c>
      <c r="I587" s="574">
        <f t="shared" si="262"/>
        <v>811.51468668094549</v>
      </c>
      <c r="J587" s="575">
        <f t="shared" si="263"/>
        <v>1.5695640628944501</v>
      </c>
      <c r="K587" s="575">
        <f t="shared" si="264"/>
        <v>1.1924822968125424</v>
      </c>
      <c r="L587" s="576">
        <f t="shared" si="265"/>
        <v>0.57611230607102548</v>
      </c>
      <c r="M587" s="575">
        <f t="shared" si="266"/>
        <v>1.2854221694799357</v>
      </c>
      <c r="N587" s="576">
        <f t="shared" si="267"/>
        <v>-0.67939255853600355</v>
      </c>
      <c r="O587" s="574">
        <f t="shared" si="268"/>
        <v>2214634.3226912259</v>
      </c>
      <c r="P587" s="577">
        <f t="shared" si="269"/>
        <v>1.5707958752530824</v>
      </c>
      <c r="Q587" s="586">
        <f t="shared" si="291"/>
        <v>296.7626840933271</v>
      </c>
      <c r="R587" s="587">
        <f t="shared" si="292"/>
        <v>1.5674266245173345</v>
      </c>
      <c r="S587" s="574">
        <f t="shared" si="270"/>
        <v>4.5623563430328486</v>
      </c>
      <c r="T587" s="577">
        <f t="shared" si="271"/>
        <v>1.3498172636600327</v>
      </c>
      <c r="U587" s="578">
        <f t="shared" si="283"/>
        <v>0.40665329166940106</v>
      </c>
      <c r="V587" s="579">
        <f t="shared" si="284"/>
        <v>-1.6940207874040665</v>
      </c>
      <c r="W587" s="580">
        <f t="shared" si="272"/>
        <v>-45.545551235798534</v>
      </c>
      <c r="X587" s="581">
        <f t="shared" si="273"/>
        <v>-270.43903705614713</v>
      </c>
      <c r="Y587" s="584">
        <f t="shared" si="274"/>
        <v>-90.439037056147129</v>
      </c>
      <c r="AA587" s="147">
        <f t="shared" si="275"/>
        <v>117490</v>
      </c>
      <c r="AB587" s="147">
        <f t="shared" si="276"/>
        <v>13803900100</v>
      </c>
      <c r="AD587" s="583">
        <f t="shared" si="277"/>
        <v>14.463811326049488</v>
      </c>
      <c r="AE587" s="584">
        <f t="shared" si="278"/>
        <v>-77.531876257490126</v>
      </c>
      <c r="AG587" s="583">
        <f t="shared" si="279"/>
        <v>14.908858630273929</v>
      </c>
      <c r="AH587" s="584">
        <f t="shared" si="280"/>
        <v>1.2133224745209734</v>
      </c>
      <c r="AJ587" s="147">
        <f t="shared" si="281"/>
        <v>0</v>
      </c>
      <c r="AK587" s="147">
        <f t="shared" si="293"/>
        <v>0</v>
      </c>
      <c r="AM587" s="147" t="str">
        <f t="shared" si="285"/>
        <v>1.94162495781605-0.336663688000243i</v>
      </c>
      <c r="AN587" s="147" t="str">
        <f t="shared" si="286"/>
        <v>3.48496415348402i</v>
      </c>
      <c r="AO587" s="147" t="str">
        <f t="shared" si="287"/>
        <v>-0.0966046344160156-0.557143451784131i</v>
      </c>
      <c r="AP587" s="147" t="str">
        <f t="shared" si="288"/>
        <v>-0.156937492969342+0.0561106146667072i</v>
      </c>
      <c r="AQ587" s="147" t="str">
        <f t="shared" si="289"/>
        <v>1.15693749296934-0.0561106146667072i</v>
      </c>
      <c r="AR587" s="147" t="str">
        <f t="shared" si="290"/>
        <v>0.718314721742066+0.0348377339363832i</v>
      </c>
    </row>
    <row r="588" spans="7:44">
      <c r="G588" s="585">
        <v>118860</v>
      </c>
      <c r="H588" s="573">
        <f t="shared" si="282"/>
        <v>118.86</v>
      </c>
      <c r="I588" s="574">
        <f t="shared" si="262"/>
        <v>820.97739365414327</v>
      </c>
      <c r="J588" s="575">
        <f t="shared" si="263"/>
        <v>1.5695782661576509</v>
      </c>
      <c r="K588" s="575">
        <f t="shared" si="264"/>
        <v>1.1966257788220189</v>
      </c>
      <c r="L588" s="576">
        <f t="shared" si="265"/>
        <v>0.58142084311136044</v>
      </c>
      <c r="M588" s="575">
        <f t="shared" si="266"/>
        <v>1.2913603137588048</v>
      </c>
      <c r="N588" s="576">
        <f t="shared" si="267"/>
        <v>-0.68506612100889763</v>
      </c>
      <c r="O588" s="574">
        <f t="shared" si="268"/>
        <v>2240458.2142742234</v>
      </c>
      <c r="P588" s="577">
        <f t="shared" si="269"/>
        <v>1.5707958804576279</v>
      </c>
      <c r="Q588" s="586">
        <f t="shared" si="291"/>
        <v>300.22306614566645</v>
      </c>
      <c r="R588" s="587">
        <f t="shared" si="292"/>
        <v>1.5674654639736334</v>
      </c>
      <c r="S588" s="574">
        <f t="shared" si="270"/>
        <v>4.6130142125652149</v>
      </c>
      <c r="T588" s="577">
        <f t="shared" si="271"/>
        <v>1.3522835539434719</v>
      </c>
      <c r="U588" s="578">
        <f t="shared" si="283"/>
        <v>0.40118814313859674</v>
      </c>
      <c r="V588" s="579">
        <f t="shared" si="284"/>
        <v>-1.7087703957129663</v>
      </c>
      <c r="W588" s="580">
        <f t="shared" si="272"/>
        <v>-45.789523232955588</v>
      </c>
      <c r="X588" s="581">
        <f t="shared" si="273"/>
        <v>-271.44493855217399</v>
      </c>
      <c r="Y588" s="584">
        <f t="shared" si="274"/>
        <v>-91.444938552173994</v>
      </c>
      <c r="AA588" s="147">
        <f t="shared" si="275"/>
        <v>118860</v>
      </c>
      <c r="AB588" s="147">
        <f t="shared" si="276"/>
        <v>14127699600</v>
      </c>
      <c r="AD588" s="583">
        <f t="shared" si="277"/>
        <v>14.367898399706</v>
      </c>
      <c r="AE588" s="584">
        <f t="shared" si="278"/>
        <v>-77.670959243218206</v>
      </c>
      <c r="AG588" s="583">
        <f t="shared" si="279"/>
        <v>14.995847672364736</v>
      </c>
      <c r="AH588" s="584">
        <f t="shared" si="280"/>
        <v>2.0366845772955533</v>
      </c>
      <c r="AJ588" s="147">
        <f t="shared" si="281"/>
        <v>0</v>
      </c>
      <c r="AK588" s="147">
        <f t="shared" si="293"/>
        <v>0</v>
      </c>
      <c r="AM588" s="147" t="str">
        <f t="shared" si="285"/>
        <v>1.92717047229326-0.374639714001984i</v>
      </c>
      <c r="AN588" s="147" t="str">
        <f t="shared" si="286"/>
        <v>3.52560081098911i</v>
      </c>
      <c r="AO588" s="147" t="str">
        <f t="shared" si="287"/>
        <v>-0.106262658221048-0.546621859822125i</v>
      </c>
      <c r="AP588" s="147" t="str">
        <f t="shared" si="288"/>
        <v>-0.154528412048877+0.062439952333664i</v>
      </c>
      <c r="AQ588" s="147" t="str">
        <f t="shared" si="289"/>
        <v>1.15452841204888-0.062439952333664i</v>
      </c>
      <c r="AR588" s="147" t="str">
        <f t="shared" si="290"/>
        <v>0.719402509396039+0.0389071918253538i</v>
      </c>
    </row>
    <row r="589" spans="7:44">
      <c r="G589" s="585">
        <v>120230</v>
      </c>
      <c r="H589" s="573">
        <f t="shared" si="282"/>
        <v>120.23</v>
      </c>
      <c r="I589" s="574">
        <f t="shared" ref="I589:I613" si="294">SQRT(1+(G589/pole1)^2)</f>
        <v>830.44010078918461</v>
      </c>
      <c r="J589" s="575">
        <f t="shared" ref="J589:J613" si="295">ATAN(G589/pole1)</f>
        <v>1.5695921457338844</v>
      </c>
      <c r="K589" s="575">
        <f t="shared" ref="K589:K613" si="296">SQRT(1+(G589/Zero1)^2)</f>
        <v>1.2008027491515334</v>
      </c>
      <c r="L589" s="576">
        <f t="shared" ref="L589:L613" si="297">ATAN(G589/Zero1)</f>
        <v>0.58669259655832529</v>
      </c>
      <c r="M589" s="575">
        <f t="shared" ref="M589:M613" si="298">SQRT(1+(G589/z_RHP)^2)</f>
        <v>1.2973396447326302</v>
      </c>
      <c r="N589" s="576">
        <f t="shared" ref="N589:N613" si="299">-ATAN(G589/z_RHP)</f>
        <v>-0.69068756508999563</v>
      </c>
      <c r="O589" s="574">
        <f t="shared" ref="O589:O613" si="300">SQRT(1+(G589/Pole2)^2)</f>
        <v>2266282.1058572209</v>
      </c>
      <c r="P589" s="577">
        <f t="shared" ref="P589:P613" si="301">ATAN(G589/Pole2)</f>
        <v>1.5707958855435638</v>
      </c>
      <c r="Q589" s="586">
        <f t="shared" si="291"/>
        <v>303.68344864057229</v>
      </c>
      <c r="R589" s="587">
        <f t="shared" si="292"/>
        <v>1.5675034183019034</v>
      </c>
      <c r="S589" s="574">
        <f t="shared" ref="S589:S613" si="302">SQRT(1+(G589/pole4)^2)</f>
        <v>4.6636995314987866</v>
      </c>
      <c r="T589" s="577">
        <f t="shared" ref="T589:T613" si="303">ATAN(G589/pole4)</f>
        <v>1.3546962511063241</v>
      </c>
      <c r="U589" s="578">
        <f t="shared" si="283"/>
        <v>0.39575784286215565</v>
      </c>
      <c r="V589" s="579">
        <f t="shared" si="284"/>
        <v>-1.7235761004187999</v>
      </c>
      <c r="W589" s="580">
        <f t="shared" ref="W589:W613" si="304">20*LOG10(((K589*Q589*M589*U589)/(I589*O589*S589))*Adc)</f>
        <v>-46.031961714648205</v>
      </c>
      <c r="X589" s="581">
        <f t="shared" ref="X589:X613" si="305">((L589+R589+N589+V589)-(J589+P589+T589))*radconv</f>
        <v>-272.45013701754777</v>
      </c>
      <c r="Y589" s="584">
        <f t="shared" ref="Y589:Y613" si="306">IF(X589&gt;0,X589,X589+180)</f>
        <v>-92.450137017547775</v>
      </c>
      <c r="AA589" s="147">
        <f t="shared" ref="AA589:AA613" si="307">IF(W589&lt;0,G589,1000000000)</f>
        <v>120230</v>
      </c>
      <c r="AB589" s="147">
        <f t="shared" ref="AB589:AB613" si="308">G589^2</f>
        <v>14455252900</v>
      </c>
      <c r="AD589" s="583">
        <f t="shared" ref="AD589:AD613" si="309">20*LOG10((Q589/(O589*S589))*Aea)</f>
        <v>14.272981914450886</v>
      </c>
      <c r="AE589" s="584">
        <f t="shared" ref="AE589:AE613" si="310">(R589-(P589+T589))*radconv</f>
        <v>-77.807022276626853</v>
      </c>
      <c r="AG589" s="583">
        <f t="shared" ref="AG589:AG613" si="311">20*LOG10((K589*M589/(I589*U589))*Acs*Am)</f>
        <v>15.085068038519619</v>
      </c>
      <c r="AH589" s="584">
        <f t="shared" ref="AH589:AH613" si="312">(L589+N589-(J589+V589))*radconv</f>
        <v>2.8641579319916399</v>
      </c>
      <c r="AJ589" s="147">
        <f t="shared" ref="AJ589:AJ613" si="313">SUM((W590&lt;0)*(W589&gt;0))*G589</f>
        <v>0</v>
      </c>
      <c r="AK589" s="147">
        <f t="shared" si="293"/>
        <v>0</v>
      </c>
      <c r="AM589" s="147" t="str">
        <f t="shared" si="285"/>
        <v>1.91118512568053-0.411997168362312i</v>
      </c>
      <c r="AN589" s="147" t="str">
        <f t="shared" si="286"/>
        <v>3.5662374684942i</v>
      </c>
      <c r="AO589" s="147" t="str">
        <f t="shared" si="287"/>
        <v>-0.115527126839445-0.53591078624596i</v>
      </c>
      <c r="AP589" s="147" t="str">
        <f t="shared" si="288"/>
        <v>-0.151864187613421+0.068666194727052i</v>
      </c>
      <c r="AQ589" s="147" t="str">
        <f t="shared" si="289"/>
        <v>1.15186418761342-0.068666194727052i</v>
      </c>
      <c r="AR589" s="147" t="str">
        <f t="shared" si="290"/>
        <v>0.720614670924958+0.0429580742669208i</v>
      </c>
    </row>
    <row r="590" spans="7:44">
      <c r="G590" s="585">
        <v>126030</v>
      </c>
      <c r="H590" s="573">
        <f t="shared" ref="H590:H613" si="314">G590/1000</f>
        <v>126.03</v>
      </c>
      <c r="I590" s="574">
        <f t="shared" si="294"/>
        <v>870.50119836082979</v>
      </c>
      <c r="J590" s="575">
        <f t="shared" si="295"/>
        <v>1.5696475630461206</v>
      </c>
      <c r="K590" s="575">
        <f t="shared" si="296"/>
        <v>1.2188492926228811</v>
      </c>
      <c r="L590" s="576">
        <f t="shared" si="297"/>
        <v>0.60860568582128505</v>
      </c>
      <c r="M590" s="575">
        <f t="shared" si="298"/>
        <v>1.3230969569861435</v>
      </c>
      <c r="N590" s="576">
        <f t="shared" si="299"/>
        <v>-0.71391749285103856</v>
      </c>
      <c r="O590" s="574">
        <f t="shared" si="300"/>
        <v>2375609.5300772106</v>
      </c>
      <c r="P590" s="577">
        <f t="shared" si="301"/>
        <v>1.570795905850298</v>
      </c>
      <c r="Q590" s="586">
        <f t="shared" si="291"/>
        <v>318.33324771524377</v>
      </c>
      <c r="R590" s="587">
        <f t="shared" si="292"/>
        <v>1.5676549595268616</v>
      </c>
      <c r="S590" s="574">
        <f t="shared" si="302"/>
        <v>4.8785641058830329</v>
      </c>
      <c r="T590" s="577">
        <f t="shared" si="303"/>
        <v>1.3643547436177641</v>
      </c>
      <c r="U590" s="578">
        <f t="shared" ref="U590:U613" si="315">IMABS(IMPRODUCT(AO590, AR590))</f>
        <v>0.37309941741723956</v>
      </c>
      <c r="V590" s="579">
        <f t="shared" ref="V590:V613" si="316">IMARGUMENT(IMPRODUCT(AO590, AR590))</f>
        <v>-1.7870196471169657</v>
      </c>
      <c r="W590" s="580">
        <f t="shared" si="304"/>
        <v>-47.044189087023227</v>
      </c>
      <c r="X590" s="581">
        <f t="shared" si="305"/>
        <v>-276.70851830014544</v>
      </c>
      <c r="Y590" s="584">
        <f t="shared" si="306"/>
        <v>-96.708518300145442</v>
      </c>
      <c r="AA590" s="147">
        <f t="shared" si="307"/>
        <v>126030</v>
      </c>
      <c r="AB590" s="147">
        <f t="shared" si="308"/>
        <v>15883560900</v>
      </c>
      <c r="AD590" s="583">
        <f t="shared" si="309"/>
        <v>13.881748603809292</v>
      </c>
      <c r="AE590" s="584">
        <f t="shared" si="310"/>
        <v>-78.351731625491311</v>
      </c>
      <c r="AG590" s="583">
        <f t="shared" si="311"/>
        <v>15.488272347606014</v>
      </c>
      <c r="AH590" s="584">
        <f t="shared" si="312"/>
        <v>6.4205809328578862</v>
      </c>
      <c r="AJ590" s="147">
        <f t="shared" si="313"/>
        <v>0</v>
      </c>
      <c r="AK590" s="147">
        <f t="shared" si="293"/>
        <v>0</v>
      </c>
      <c r="AM590" s="147" t="str">
        <f t="shared" ref="AM590:AM613" si="317">IMSUB(1,IMEXP(COMPLEX(0,-2*Pi*G590*Tsw)))</f>
        <v>1.82720386716752-0.56190191505556i</v>
      </c>
      <c r="AN590" s="147" t="str">
        <f t="shared" ref="AN590:AN613" si="318">COMPLEX(0, 2*Pi*G590*Tsw)</f>
        <v>3.73827587253036i</v>
      </c>
      <c r="AO590" s="147" t="str">
        <f t="shared" ref="AO590:AO613" si="319">IMDIV(AM590, AN590)</f>
        <v>-0.150310446370353-0.488782510834527i</v>
      </c>
      <c r="AP590" s="147" t="str">
        <f t="shared" ref="AP590:AP613" si="320">IMDIV(IMEXP(COMPLEX(0,-2*Pi*G590*Tsw)),6)</f>
        <v>-0.137867311194586+0.0936503191759267i</v>
      </c>
      <c r="AQ590" s="147" t="str">
        <f t="shared" ref="AQ590:AQ613" si="321">IMSUB(1, AP590)</f>
        <v>1.13786731119459-0.0936503191759267i</v>
      </c>
      <c r="AR590" s="147" t="str">
        <f t="shared" ref="AR590:AR613" si="322">IMDIV(0.833, AQ590)</f>
        <v>0.727145725735858+0.0598465468096468i</v>
      </c>
    </row>
    <row r="591" spans="7:44">
      <c r="G591" s="585">
        <v>131830</v>
      </c>
      <c r="H591" s="573">
        <f t="shared" si="314"/>
        <v>131.83000000000001</v>
      </c>
      <c r="I591" s="574">
        <f t="shared" si="294"/>
        <v>910.56229837061653</v>
      </c>
      <c r="J591" s="575">
        <f t="shared" si="295"/>
        <v>1.5696981040782247</v>
      </c>
      <c r="K591" s="575">
        <f t="shared" si="296"/>
        <v>1.2374638757822303</v>
      </c>
      <c r="L591" s="576">
        <f t="shared" si="297"/>
        <v>0.62986947815784577</v>
      </c>
      <c r="M591" s="575">
        <f t="shared" si="298"/>
        <v>1.3495407778892956</v>
      </c>
      <c r="N591" s="576">
        <f t="shared" si="299"/>
        <v>-0.73624871918446377</v>
      </c>
      <c r="O591" s="574">
        <f t="shared" si="300"/>
        <v>2484936.9542972012</v>
      </c>
      <c r="P591" s="577">
        <f t="shared" si="301"/>
        <v>1.5707959243701999</v>
      </c>
      <c r="Q591" s="586">
        <f t="shared" si="291"/>
        <v>332.98305345710133</v>
      </c>
      <c r="R591" s="587">
        <f t="shared" si="292"/>
        <v>1.5677931664454994</v>
      </c>
      <c r="S591" s="574">
        <f t="shared" si="302"/>
        <v>5.0938453672214399</v>
      </c>
      <c r="T591" s="577">
        <f t="shared" si="303"/>
        <v>1.3731976099525098</v>
      </c>
      <c r="U591" s="578">
        <f t="shared" si="315"/>
        <v>0.35083908092590166</v>
      </c>
      <c r="V591" s="579">
        <f t="shared" si="316"/>
        <v>-1.852050696888375</v>
      </c>
      <c r="W591" s="580">
        <f t="shared" si="304"/>
        <v>-48.040868314275258</v>
      </c>
      <c r="X591" s="581">
        <f t="shared" si="305"/>
        <v>-280.99731955276792</v>
      </c>
      <c r="Y591" s="584">
        <f t="shared" si="306"/>
        <v>-100.99731955276792</v>
      </c>
      <c r="AA591" s="147">
        <f t="shared" si="307"/>
        <v>131830</v>
      </c>
      <c r="AB591" s="147">
        <f t="shared" si="308"/>
        <v>17379148900</v>
      </c>
      <c r="AD591" s="583">
        <f t="shared" si="309"/>
        <v>13.506670097465713</v>
      </c>
      <c r="AE591" s="584">
        <f t="shared" si="310"/>
        <v>-78.850472933815212</v>
      </c>
      <c r="AG591" s="583">
        <f t="shared" si="311"/>
        <v>15.93533587726929</v>
      </c>
      <c r="AH591" s="584">
        <f t="shared" si="312"/>
        <v>10.082530375488306</v>
      </c>
      <c r="AJ591" s="147">
        <f t="shared" si="313"/>
        <v>0</v>
      </c>
      <c r="AK591" s="147">
        <f t="shared" si="293"/>
        <v>0</v>
      </c>
      <c r="AM591" s="147" t="str">
        <f t="shared" si="317"/>
        <v>1.71880000604082-0.695216909543863i</v>
      </c>
      <c r="AN591" s="147" t="str">
        <f t="shared" si="318"/>
        <v>3.91031427656651i</v>
      </c>
      <c r="AO591" s="147" t="str">
        <f t="shared" si="319"/>
        <v>-0.177790545816257-0.439555463953662i</v>
      </c>
      <c r="AP591" s="147" t="str">
        <f t="shared" si="320"/>
        <v>-0.119800001006803+0.115869484923977i</v>
      </c>
      <c r="AQ591" s="147" t="str">
        <f t="shared" si="321"/>
        <v>1.1198000010068-0.115869484923977i</v>
      </c>
      <c r="AR591" s="147" t="str">
        <f t="shared" si="322"/>
        <v>0.736002647128792+0.0761566775753011i</v>
      </c>
    </row>
    <row r="592" spans="7:44">
      <c r="G592" s="585">
        <v>144540</v>
      </c>
      <c r="H592" s="573">
        <f t="shared" si="314"/>
        <v>144.54</v>
      </c>
      <c r="I592" s="574">
        <f t="shared" si="294"/>
        <v>998.35137117340969</v>
      </c>
      <c r="J592" s="575">
        <f t="shared" si="295"/>
        <v>1.5697946752761109</v>
      </c>
      <c r="K592" s="575">
        <f t="shared" si="296"/>
        <v>1.2801196318533308</v>
      </c>
      <c r="L592" s="576">
        <f t="shared" si="297"/>
        <v>0.67424746146731807</v>
      </c>
      <c r="M592" s="575">
        <f t="shared" si="298"/>
        <v>1.4096995890429551</v>
      </c>
      <c r="N592" s="576">
        <f t="shared" si="299"/>
        <v>-0.78219093298778575</v>
      </c>
      <c r="O592" s="574">
        <f t="shared" si="300"/>
        <v>2724514.8097861838</v>
      </c>
      <c r="P592" s="577">
        <f t="shared" si="301"/>
        <v>1.570795959757068</v>
      </c>
      <c r="Q592" s="586">
        <f t="shared" si="291"/>
        <v>365.08635405289215</v>
      </c>
      <c r="R592" s="587">
        <f t="shared" si="292"/>
        <v>1.5680572453712067</v>
      </c>
      <c r="S592" s="574">
        <f t="shared" si="302"/>
        <v>5.5668290193805658</v>
      </c>
      <c r="T592" s="577">
        <f t="shared" si="303"/>
        <v>1.3901804362449266</v>
      </c>
      <c r="U592" s="578">
        <f t="shared" si="315"/>
        <v>0.30251278362515804</v>
      </c>
      <c r="V592" s="579">
        <f t="shared" si="316"/>
        <v>-2.0025321757683332</v>
      </c>
      <c r="W592" s="580">
        <f t="shared" si="304"/>
        <v>-50.225705360615962</v>
      </c>
      <c r="X592" s="581">
        <f t="shared" si="305"/>
        <v>-290.67234581645261</v>
      </c>
      <c r="Y592" s="584">
        <f t="shared" si="306"/>
        <v>-110.67234581645261</v>
      </c>
      <c r="AA592" s="147">
        <f t="shared" si="307"/>
        <v>144540</v>
      </c>
      <c r="AB592" s="147">
        <f t="shared" si="308"/>
        <v>20891811600</v>
      </c>
      <c r="AD592" s="583">
        <f t="shared" si="309"/>
        <v>12.735421002427483</v>
      </c>
      <c r="AE592" s="584">
        <f t="shared" si="310"/>
        <v>-79.808388625285886</v>
      </c>
      <c r="AG592" s="583">
        <f t="shared" si="311"/>
        <v>17.096317237580472</v>
      </c>
      <c r="AH592" s="584">
        <f t="shared" si="312"/>
        <v>18.609327092395578</v>
      </c>
      <c r="AJ592" s="147">
        <f t="shared" si="313"/>
        <v>0</v>
      </c>
      <c r="AK592" s="147">
        <f t="shared" si="293"/>
        <v>0</v>
      </c>
      <c r="AM592" s="147" t="str">
        <f t="shared" si="317"/>
        <v>1.41238756399152-0.911008505484518i</v>
      </c>
      <c r="AN592" s="147" t="str">
        <f t="shared" si="318"/>
        <v>4.28731567575607i</v>
      </c>
      <c r="AO592" s="147" t="str">
        <f t="shared" si="319"/>
        <v>-0.212489253039167-0.329434002720699i</v>
      </c>
      <c r="AP592" s="147" t="str">
        <f t="shared" si="320"/>
        <v>-0.0687312606652542+0.151834750914086i</v>
      </c>
      <c r="AQ592" s="147" t="str">
        <f t="shared" si="321"/>
        <v>1.06873126066525-0.151834750914086i</v>
      </c>
      <c r="AR592" s="147" t="str">
        <f t="shared" si="322"/>
        <v>0.764008197120746+0.108542716560888i</v>
      </c>
    </row>
    <row r="593" spans="7:44">
      <c r="G593" s="585">
        <v>158490</v>
      </c>
      <c r="H593" s="573">
        <f t="shared" si="314"/>
        <v>158.49</v>
      </c>
      <c r="I593" s="574">
        <f t="shared" si="294"/>
        <v>1094.7052404813708</v>
      </c>
      <c r="J593" s="575">
        <f t="shared" si="295"/>
        <v>1.5698828387598553</v>
      </c>
      <c r="K593" s="575">
        <f t="shared" si="296"/>
        <v>1.3296400603900425</v>
      </c>
      <c r="L593" s="576">
        <f t="shared" si="297"/>
        <v>0.71957904089537994</v>
      </c>
      <c r="M593" s="575">
        <f t="shared" si="298"/>
        <v>1.4788558426833092</v>
      </c>
      <c r="N593" s="576">
        <f t="shared" si="299"/>
        <v>-0.82820612427455698</v>
      </c>
      <c r="O593" s="574">
        <f t="shared" si="300"/>
        <v>2987466.1145911678</v>
      </c>
      <c r="P593" s="577">
        <f t="shared" si="301"/>
        <v>1.5707959920630665</v>
      </c>
      <c r="Q593" s="586">
        <f t="shared" si="291"/>
        <v>400.32170835261184</v>
      </c>
      <c r="R593" s="587">
        <f t="shared" si="292"/>
        <v>1.5682983332583702</v>
      </c>
      <c r="S593" s="574">
        <f t="shared" si="302"/>
        <v>6.0875040690031215</v>
      </c>
      <c r="T593" s="577">
        <f t="shared" si="303"/>
        <v>1.4057774641442944</v>
      </c>
      <c r="U593" s="578">
        <f t="shared" si="315"/>
        <v>0.24811639286611548</v>
      </c>
      <c r="V593" s="579">
        <f t="shared" si="316"/>
        <v>-2.1857150965644268</v>
      </c>
      <c r="W593" s="580">
        <f t="shared" si="304"/>
        <v>-52.778723477792191</v>
      </c>
      <c r="X593" s="581">
        <f t="shared" si="305"/>
        <v>-302.09200594400448</v>
      </c>
      <c r="Y593" s="584">
        <f t="shared" si="306"/>
        <v>-122.09200594400448</v>
      </c>
      <c r="AA593" s="147">
        <f t="shared" si="307"/>
        <v>158490</v>
      </c>
      <c r="AB593" s="147">
        <f t="shared" si="308"/>
        <v>25119080100</v>
      </c>
      <c r="AD593" s="583">
        <f t="shared" si="309"/>
        <v>11.958787878973725</v>
      </c>
      <c r="AE593" s="584">
        <f t="shared" si="310"/>
        <v>-80.688221030443998</v>
      </c>
      <c r="AG593" s="583">
        <f t="shared" si="311"/>
        <v>18.763463168469389</v>
      </c>
      <c r="AH593" s="584">
        <f t="shared" si="312"/>
        <v>29.060715874978563</v>
      </c>
      <c r="AJ593" s="147">
        <f t="shared" si="313"/>
        <v>0</v>
      </c>
      <c r="AK593" s="147">
        <f t="shared" si="293"/>
        <v>0</v>
      </c>
      <c r="AM593" s="147" t="str">
        <f t="shared" si="317"/>
        <v>1.0112910412028-0.999936254162512i</v>
      </c>
      <c r="AN593" s="147" t="str">
        <f t="shared" si="318"/>
        <v>4.70109769925681i</v>
      </c>
      <c r="AO593" s="147" t="str">
        <f t="shared" si="319"/>
        <v>-0.21270271713787-0.215118065162244i</v>
      </c>
      <c r="AP593" s="147" t="str">
        <f t="shared" si="320"/>
        <v>-0.00188184020046722+0.166656042360419i</v>
      </c>
      <c r="AQ593" s="147" t="str">
        <f t="shared" si="321"/>
        <v>1.00188184020047-0.166656042360419i</v>
      </c>
      <c r="AR593" s="147" t="str">
        <f t="shared" si="322"/>
        <v>0.809048988065393+0.134579645040478i</v>
      </c>
    </row>
    <row r="594" spans="7:44">
      <c r="G594" s="585">
        <v>173780</v>
      </c>
      <c r="H594" s="573">
        <f t="shared" si="314"/>
        <v>173.78</v>
      </c>
      <c r="I594" s="574">
        <f t="shared" si="294"/>
        <v>1200.3146150424259</v>
      </c>
      <c r="J594" s="575">
        <f t="shared" si="295"/>
        <v>1.5699632117905902</v>
      </c>
      <c r="K594" s="575">
        <f t="shared" si="296"/>
        <v>1.3868169930865188</v>
      </c>
      <c r="L594" s="576">
        <f t="shared" si="297"/>
        <v>0.765442736355328</v>
      </c>
      <c r="M594" s="575">
        <f t="shared" si="298"/>
        <v>1.5579126485203034</v>
      </c>
      <c r="N594" s="576">
        <f t="shared" si="299"/>
        <v>-0.87384295415826119</v>
      </c>
      <c r="O594" s="574">
        <f t="shared" si="300"/>
        <v>3275675.8243021532</v>
      </c>
      <c r="P594" s="577">
        <f t="shared" si="301"/>
        <v>1.5707960215143824</v>
      </c>
      <c r="Q594" s="586">
        <f t="shared" si="291"/>
        <v>438.94169956138626</v>
      </c>
      <c r="R594" s="587">
        <f t="shared" si="292"/>
        <v>1.5685181179438372</v>
      </c>
      <c r="S594" s="574">
        <f t="shared" si="302"/>
        <v>6.6596158682850186</v>
      </c>
      <c r="T594" s="577">
        <f t="shared" si="303"/>
        <v>1.4200674237862327</v>
      </c>
      <c r="U594" s="578">
        <f t="shared" si="315"/>
        <v>0.18372700114721927</v>
      </c>
      <c r="V594" s="579">
        <f t="shared" si="316"/>
        <v>-2.4165115719167938</v>
      </c>
      <c r="W594" s="580">
        <f t="shared" si="304"/>
        <v>-56.150487222314631</v>
      </c>
      <c r="X594" s="581">
        <f t="shared" si="305"/>
        <v>-316.11343984907688</v>
      </c>
      <c r="Y594" s="584">
        <f t="shared" si="306"/>
        <v>-136.11343984907688</v>
      </c>
      <c r="AA594" s="147">
        <f t="shared" si="307"/>
        <v>173780</v>
      </c>
      <c r="AB594" s="147">
        <f t="shared" si="308"/>
        <v>30199488400</v>
      </c>
      <c r="AD594" s="583">
        <f t="shared" si="309"/>
        <v>11.178585021162444</v>
      </c>
      <c r="AE594" s="584">
        <f t="shared" si="310"/>
        <v>-81.494384360817747</v>
      </c>
      <c r="AG594" s="583">
        <f t="shared" si="311"/>
        <v>21.391201175310606</v>
      </c>
      <c r="AH594" s="584">
        <f t="shared" si="312"/>
        <v>42.292773258871946</v>
      </c>
      <c r="AJ594" s="147">
        <f t="shared" si="313"/>
        <v>0</v>
      </c>
      <c r="AK594" s="147">
        <f t="shared" si="293"/>
        <v>0</v>
      </c>
      <c r="AM594" s="147" t="str">
        <f t="shared" si="317"/>
        <v>0.572037179356799-0.903796339972184i</v>
      </c>
      <c r="AN594" s="147" t="str">
        <f t="shared" si="318"/>
        <v>5.15462652644866i</v>
      </c>
      <c r="AO594" s="147" t="str">
        <f t="shared" si="319"/>
        <v>-0.17533692020843-0.110975485114517i</v>
      </c>
      <c r="AP594" s="147" t="str">
        <f t="shared" si="320"/>
        <v>0.0713271367738668+0.150632723328697i</v>
      </c>
      <c r="AQ594" s="147" t="str">
        <f t="shared" si="321"/>
        <v>0.928672863226133-0.150632723328697i</v>
      </c>
      <c r="AR594" s="147" t="str">
        <f t="shared" si="322"/>
        <v>0.873984807058422+0.141762203729925i</v>
      </c>
    </row>
    <row r="595" spans="7:44">
      <c r="G595" s="585">
        <v>190550</v>
      </c>
      <c r="H595" s="573">
        <f t="shared" si="314"/>
        <v>190.55</v>
      </c>
      <c r="I595" s="574">
        <f t="shared" si="294"/>
        <v>1316.1464871664996</v>
      </c>
      <c r="J595" s="575">
        <f t="shared" si="295"/>
        <v>1.5700365328768446</v>
      </c>
      <c r="K595" s="575">
        <f t="shared" si="296"/>
        <v>1.4526015068207301</v>
      </c>
      <c r="L595" s="576">
        <f t="shared" si="297"/>
        <v>0.81148783738866925</v>
      </c>
      <c r="M595" s="575">
        <f t="shared" si="298"/>
        <v>1.6479727302503404</v>
      </c>
      <c r="N595" s="576">
        <f t="shared" si="299"/>
        <v>-0.91876009965472849</v>
      </c>
      <c r="O595" s="574">
        <f t="shared" si="300"/>
        <v>3591782.8767451397</v>
      </c>
      <c r="P595" s="577">
        <f t="shared" si="301"/>
        <v>1.570796048381631</v>
      </c>
      <c r="Q595" s="586">
        <f t="shared" si="291"/>
        <v>481.29994433817751</v>
      </c>
      <c r="R595" s="587">
        <f t="shared" si="292"/>
        <v>1.5687186188474049</v>
      </c>
      <c r="S595" s="574">
        <f t="shared" si="302"/>
        <v>7.2884115686811271</v>
      </c>
      <c r="T595" s="577">
        <f t="shared" si="303"/>
        <v>1.4331580546992795</v>
      </c>
      <c r="U595" s="578">
        <f t="shared" si="315"/>
        <v>0.10502747310046255</v>
      </c>
      <c r="V595" s="579">
        <f t="shared" si="316"/>
        <v>-2.7128792293286494</v>
      </c>
      <c r="W595" s="580">
        <f t="shared" si="304"/>
        <v>-61.701064224236845</v>
      </c>
      <c r="X595" s="581">
        <f t="shared" si="305"/>
        <v>-333.7721813064818</v>
      </c>
      <c r="Y595" s="584">
        <f t="shared" si="306"/>
        <v>-153.7721813064818</v>
      </c>
      <c r="AA595" s="147">
        <f t="shared" si="307"/>
        <v>190550</v>
      </c>
      <c r="AB595" s="147">
        <f t="shared" si="308"/>
        <v>36309302500</v>
      </c>
      <c r="AD595" s="583">
        <f t="shared" si="309"/>
        <v>10.394907041408025</v>
      </c>
      <c r="AE595" s="584">
        <f t="shared" si="310"/>
        <v>-82.232935947959689</v>
      </c>
      <c r="AG595" s="583">
        <f t="shared" si="311"/>
        <v>26.339104939399736</v>
      </c>
      <c r="AH595" s="584">
        <f t="shared" si="312"/>
        <v>59.333815335172162</v>
      </c>
      <c r="AJ595" s="147">
        <f t="shared" si="313"/>
        <v>0</v>
      </c>
      <c r="AK595" s="147">
        <f t="shared" si="293"/>
        <v>0</v>
      </c>
      <c r="AM595" s="147" t="str">
        <f t="shared" si="317"/>
        <v>0.192639035278978-0.590057855336865i</v>
      </c>
      <c r="AN595" s="147" t="str">
        <f t="shared" si="318"/>
        <v>5.65205480846353i</v>
      </c>
      <c r="AO595" s="147" t="str">
        <f t="shared" si="319"/>
        <v>-0.104397051219903-0.0340830090661038i</v>
      </c>
      <c r="AP595" s="147" t="str">
        <f t="shared" si="320"/>
        <v>0.134560160786837+0.0983429758894775i</v>
      </c>
      <c r="AQ595" s="147" t="str">
        <f t="shared" si="321"/>
        <v>0.865439839213163-0.0983429758894775i</v>
      </c>
      <c r="AR595" s="147" t="str">
        <f t="shared" si="322"/>
        <v>0.950246227950623+0.107979824420121i</v>
      </c>
    </row>
    <row r="596" spans="7:44">
      <c r="G596" s="585">
        <v>208930</v>
      </c>
      <c r="H596" s="573">
        <f t="shared" si="314"/>
        <v>208.93</v>
      </c>
      <c r="I596" s="574">
        <f t="shared" si="294"/>
        <v>1443.0987783413848</v>
      </c>
      <c r="J596" s="575">
        <f t="shared" si="295"/>
        <v>1.5701033734814858</v>
      </c>
      <c r="K596" s="575">
        <f t="shared" si="296"/>
        <v>1.5279152208026496</v>
      </c>
      <c r="L596" s="576">
        <f t="shared" si="297"/>
        <v>0.85729297332908228</v>
      </c>
      <c r="M596" s="575">
        <f t="shared" si="298"/>
        <v>1.7500813927578762</v>
      </c>
      <c r="N596" s="576">
        <f t="shared" si="299"/>
        <v>-0.96258313152311825</v>
      </c>
      <c r="O596" s="574">
        <f t="shared" si="300"/>
        <v>3938237.7141871275</v>
      </c>
      <c r="P596" s="577">
        <f t="shared" si="301"/>
        <v>1.5707960728742163</v>
      </c>
      <c r="Q596" s="586">
        <f t="shared" si="291"/>
        <v>527.72480116543306</v>
      </c>
      <c r="R596" s="587">
        <f t="shared" si="292"/>
        <v>1.5689013986121569</v>
      </c>
      <c r="S596" s="574">
        <f t="shared" si="302"/>
        <v>7.9787721359333572</v>
      </c>
      <c r="T596" s="577">
        <f t="shared" si="303"/>
        <v>1.4451332916675932</v>
      </c>
      <c r="U596" s="578">
        <f t="shared" si="315"/>
        <v>1.3846477840166174E-2</v>
      </c>
      <c r="V596" s="579">
        <f t="shared" si="316"/>
        <v>-3.0814654456309145</v>
      </c>
      <c r="W596" s="580">
        <f t="shared" si="304"/>
        <v>-79.925019618743306</v>
      </c>
      <c r="X596" s="581">
        <f t="shared" si="305"/>
        <v>-355.45653882991348</v>
      </c>
      <c r="Y596" s="584">
        <f t="shared" si="306"/>
        <v>-175.45653882991348</v>
      </c>
      <c r="AA596" s="147">
        <f t="shared" si="307"/>
        <v>208930</v>
      </c>
      <c r="AB596" s="147">
        <f t="shared" si="308"/>
        <v>43651744900</v>
      </c>
      <c r="AD596" s="583">
        <f t="shared" si="309"/>
        <v>9.6088404172948305</v>
      </c>
      <c r="AE596" s="584">
        <f t="shared" si="310"/>
        <v>-82.908595379906245</v>
      </c>
      <c r="AG596" s="583">
        <f t="shared" si="311"/>
        <v>44.099760239353465</v>
      </c>
      <c r="AH596" s="584">
        <f t="shared" si="312"/>
        <v>80.561986453581326</v>
      </c>
      <c r="AJ596" s="147">
        <f t="shared" si="313"/>
        <v>0</v>
      </c>
      <c r="AK596" s="147">
        <f t="shared" si="293"/>
        <v>0</v>
      </c>
      <c r="AM596" s="147" t="str">
        <f t="shared" si="317"/>
        <v>0.00369114708684704-0.0858409553003501i</v>
      </c>
      <c r="AN596" s="147" t="str">
        <f t="shared" si="318"/>
        <v>6.19723857849534i</v>
      </c>
      <c r="AO596" s="147" t="str">
        <f t="shared" si="319"/>
        <v>-0.0138514846916208-0.000595611584110295i</v>
      </c>
      <c r="AP596" s="147" t="str">
        <f t="shared" si="320"/>
        <v>0.166051475485525+0.0143068258833917i</v>
      </c>
      <c r="AQ596" s="147" t="str">
        <f t="shared" si="321"/>
        <v>0.833948524514475-0.0143068258833917i</v>
      </c>
      <c r="AR596" s="147" t="str">
        <f t="shared" si="322"/>
        <v>0.998568719396186+0.017130971973744i</v>
      </c>
    </row>
    <row r="597" spans="7:44">
      <c r="G597" s="585">
        <v>229090</v>
      </c>
      <c r="H597" s="573">
        <f t="shared" si="314"/>
        <v>229.09</v>
      </c>
      <c r="I597" s="574">
        <f t="shared" si="294"/>
        <v>1582.3456936532314</v>
      </c>
      <c r="J597" s="575">
        <f t="shared" si="295"/>
        <v>1.5701643535980307</v>
      </c>
      <c r="K597" s="575">
        <f t="shared" si="296"/>
        <v>1.6138436164604797</v>
      </c>
      <c r="L597" s="576">
        <f t="shared" si="297"/>
        <v>0.90251399703827673</v>
      </c>
      <c r="M597" s="575">
        <f t="shared" si="298"/>
        <v>1.8654955775402668</v>
      </c>
      <c r="N597" s="576">
        <f t="shared" si="299"/>
        <v>-1.0050445730203317</v>
      </c>
      <c r="O597" s="574">
        <f t="shared" si="300"/>
        <v>4318244.7611311162</v>
      </c>
      <c r="P597" s="577">
        <f t="shared" si="301"/>
        <v>1.5707960952193247</v>
      </c>
      <c r="Q597" s="586">
        <f t="shared" si="291"/>
        <v>578.64566207886367</v>
      </c>
      <c r="R597" s="587">
        <f t="shared" si="292"/>
        <v>1.569068152605926</v>
      </c>
      <c r="S597" s="574">
        <f t="shared" si="302"/>
        <v>8.737087930460838</v>
      </c>
      <c r="T597" s="577">
        <f t="shared" si="303"/>
        <v>1.4560903413028781</v>
      </c>
      <c r="U597" s="578">
        <f t="shared" si="315"/>
        <v>7.2309493892786722E-2</v>
      </c>
      <c r="V597" s="579">
        <f t="shared" si="316"/>
        <v>-0.3512682557467609</v>
      </c>
      <c r="W597" s="580">
        <f t="shared" si="304"/>
        <v>-66.126657838300261</v>
      </c>
      <c r="X597" s="581">
        <f t="shared" si="305"/>
        <v>-199.49138360244197</v>
      </c>
      <c r="Y597" s="584">
        <f t="shared" si="306"/>
        <v>-19.491383602441971</v>
      </c>
      <c r="AA597" s="147">
        <f t="shared" si="307"/>
        <v>229090</v>
      </c>
      <c r="AB597" s="147">
        <f t="shared" si="308"/>
        <v>52482228100</v>
      </c>
      <c r="AD597" s="583">
        <f t="shared" si="309"/>
        <v>8.8202249100728753</v>
      </c>
      <c r="AE597" s="584">
        <f t="shared" si="310"/>
        <v>-83.526835060850345</v>
      </c>
      <c r="AG597" s="583">
        <f t="shared" si="311"/>
        <v>29.972497252685628</v>
      </c>
      <c r="AH597" s="584">
        <f t="shared" si="312"/>
        <v>-75.71217143317368</v>
      </c>
      <c r="AJ597" s="147">
        <f t="shared" si="313"/>
        <v>0</v>
      </c>
      <c r="AK597" s="147">
        <f t="shared" si="293"/>
        <v>0</v>
      </c>
      <c r="AM597" s="147" t="str">
        <f t="shared" si="317"/>
        <v>0.128250756291488+0.489952299814622i</v>
      </c>
      <c r="AN597" s="147" t="str">
        <f t="shared" si="318"/>
        <v>6.79522034148996i</v>
      </c>
      <c r="AO597" s="147" t="str">
        <f t="shared" si="319"/>
        <v>0.0721024889837777-0.0188736714699919i</v>
      </c>
      <c r="AP597" s="147" t="str">
        <f t="shared" si="320"/>
        <v>0.145291540618085-0.0816587166357703i</v>
      </c>
      <c r="AQ597" s="147" t="str">
        <f t="shared" si="321"/>
        <v>0.854708459381915+0.0816587166357703i</v>
      </c>
      <c r="AR597" s="147" t="str">
        <f t="shared" si="322"/>
        <v>0.96578576867848-0.0922710259266732i</v>
      </c>
    </row>
    <row r="598" spans="7:44">
      <c r="G598" s="585">
        <v>251190</v>
      </c>
      <c r="H598" s="573">
        <f t="shared" si="314"/>
        <v>251.19</v>
      </c>
      <c r="I598" s="574">
        <f t="shared" si="294"/>
        <v>1734.9923673514675</v>
      </c>
      <c r="J598" s="575">
        <f t="shared" si="295"/>
        <v>1.5702199553513185</v>
      </c>
      <c r="K598" s="575">
        <f t="shared" si="296"/>
        <v>1.7114289620948526</v>
      </c>
      <c r="L598" s="576">
        <f t="shared" si="297"/>
        <v>0.94677041576396626</v>
      </c>
      <c r="M598" s="575">
        <f t="shared" si="298"/>
        <v>1.9954078466370391</v>
      </c>
      <c r="N598" s="576">
        <f t="shared" si="299"/>
        <v>-1.0458683495134828</v>
      </c>
      <c r="O598" s="574">
        <f t="shared" si="300"/>
        <v>4734819.9465211052</v>
      </c>
      <c r="P598" s="577">
        <f t="shared" si="301"/>
        <v>1.5707961155936236</v>
      </c>
      <c r="Q598" s="586">
        <f t="shared" si="291"/>
        <v>634.46666089777614</v>
      </c>
      <c r="R598" s="587">
        <f t="shared" si="292"/>
        <v>1.5692201991972465</v>
      </c>
      <c r="S598" s="574">
        <f t="shared" si="302"/>
        <v>9.5693815031549487</v>
      </c>
      <c r="T598" s="577">
        <f t="shared" si="303"/>
        <v>1.4661052302544784</v>
      </c>
      <c r="U598" s="578">
        <f t="shared" si="315"/>
        <v>0.13013054327388718</v>
      </c>
      <c r="V598" s="579">
        <f t="shared" si="316"/>
        <v>-0.74635921182631693</v>
      </c>
      <c r="W598" s="580">
        <f t="shared" si="304"/>
        <v>-61.518551224450981</v>
      </c>
      <c r="X598" s="581">
        <f t="shared" si="305"/>
        <v>-222.50003817778261</v>
      </c>
      <c r="Y598" s="584">
        <f t="shared" si="306"/>
        <v>-42.500038177782614</v>
      </c>
      <c r="AA598" s="147">
        <f t="shared" si="307"/>
        <v>251190</v>
      </c>
      <c r="AB598" s="147">
        <f t="shared" si="308"/>
        <v>63096416100</v>
      </c>
      <c r="AD598" s="583">
        <f t="shared" si="309"/>
        <v>8.0298794785437568</v>
      </c>
      <c r="AE598" s="584">
        <f t="shared" si="310"/>
        <v>-84.091935470104303</v>
      </c>
      <c r="AG598" s="583">
        <f t="shared" si="311"/>
        <v>25.163592455667384</v>
      </c>
      <c r="AH598" s="584">
        <f t="shared" si="312"/>
        <v>-52.881636933232976</v>
      </c>
      <c r="AJ598" s="147">
        <f t="shared" si="313"/>
        <v>0</v>
      </c>
      <c r="AK598" s="147">
        <f t="shared" si="293"/>
        <v>0</v>
      </c>
      <c r="AM598" s="147" t="str">
        <f t="shared" si="317"/>
        <v>0.607603470821005+0.919796153442858i</v>
      </c>
      <c r="AN598" s="147" t="str">
        <f t="shared" si="318"/>
        <v>7.45074598445529i</v>
      </c>
      <c r="AO598" s="147" t="str">
        <f t="shared" si="319"/>
        <v>0.123450209598053-0.0815493471510995i</v>
      </c>
      <c r="AP598" s="147" t="str">
        <f t="shared" si="320"/>
        <v>0.0653994215298325-0.153299358907143i</v>
      </c>
      <c r="AQ598" s="147" t="str">
        <f t="shared" si="321"/>
        <v>0.934600578470168+0.153299358907143i</v>
      </c>
      <c r="AR598" s="147" t="str">
        <f t="shared" si="322"/>
        <v>0.867938199808795-0.142364955326159i</v>
      </c>
    </row>
    <row r="599" spans="7:44">
      <c r="G599" s="585">
        <v>275420</v>
      </c>
      <c r="H599" s="573">
        <f t="shared" si="314"/>
        <v>275.42</v>
      </c>
      <c r="I599" s="574">
        <f t="shared" si="294"/>
        <v>1902.3511464021908</v>
      </c>
      <c r="J599" s="575">
        <f t="shared" si="295"/>
        <v>1.5702706614633697</v>
      </c>
      <c r="K599" s="575">
        <f t="shared" si="296"/>
        <v>1.821834676418453</v>
      </c>
      <c r="L599" s="576">
        <f t="shared" si="297"/>
        <v>0.98975194283086432</v>
      </c>
      <c r="M599" s="575">
        <f t="shared" si="298"/>
        <v>2.1411728756633632</v>
      </c>
      <c r="N599" s="576">
        <f t="shared" si="299"/>
        <v>-1.0848631085093414</v>
      </c>
      <c r="O599" s="574">
        <f t="shared" si="300"/>
        <v>5191544.685978096</v>
      </c>
      <c r="P599" s="577">
        <f t="shared" si="301"/>
        <v>1.5707961341739984</v>
      </c>
      <c r="Q599" s="586">
        <f t="shared" ref="Q599:Q613" si="323">SQRT(1+(G599/Zero2)^2)</f>
        <v>695.66770665537535</v>
      </c>
      <c r="R599" s="587">
        <f t="shared" ref="R599:R613" si="324">ATAN(G599/Zero2)</f>
        <v>1.569358858396092</v>
      </c>
      <c r="S599" s="574">
        <f t="shared" si="302"/>
        <v>10.482810957405871</v>
      </c>
      <c r="T599" s="577">
        <f t="shared" si="303"/>
        <v>1.4752567881871885</v>
      </c>
      <c r="U599" s="578">
        <f t="shared" si="315"/>
        <v>0.15519469910108016</v>
      </c>
      <c r="V599" s="579">
        <f t="shared" si="316"/>
        <v>-1.0926600522421932</v>
      </c>
      <c r="W599" s="580">
        <f t="shared" si="304"/>
        <v>-60.424937363957397</v>
      </c>
      <c r="X599" s="581">
        <f t="shared" si="305"/>
        <v>-242.63249718350471</v>
      </c>
      <c r="Y599" s="584">
        <f t="shared" si="306"/>
        <v>-62.632497183504711</v>
      </c>
      <c r="AA599" s="147">
        <f t="shared" si="307"/>
        <v>275420</v>
      </c>
      <c r="AB599" s="147">
        <f t="shared" si="308"/>
        <v>75856176400</v>
      </c>
      <c r="AD599" s="583">
        <f t="shared" si="309"/>
        <v>7.2379999635880621</v>
      </c>
      <c r="AE599" s="584">
        <f t="shared" si="310"/>
        <v>-84.608337593900686</v>
      </c>
      <c r="AG599" s="583">
        <f t="shared" si="311"/>
        <v>23.989180218243384</v>
      </c>
      <c r="AH599" s="584">
        <f t="shared" si="312"/>
        <v>-32.814540574487793</v>
      </c>
      <c r="AJ599" s="147">
        <f t="shared" si="313"/>
        <v>0</v>
      </c>
      <c r="AK599" s="147">
        <f t="shared" ref="AK599:AK613" si="325">IF(AJ599&gt;0,Y599,0)</f>
        <v>0</v>
      </c>
      <c r="AM599" s="147" t="str">
        <f t="shared" si="317"/>
        <v>1.31026294456578+0.950650779849978i</v>
      </c>
      <c r="AN599" s="147" t="str">
        <f t="shared" si="318"/>
        <v>8.16945124821321i</v>
      </c>
      <c r="AO599" s="147" t="str">
        <f t="shared" si="319"/>
        <v>0.116366540538191-0.160385673989101i</v>
      </c>
      <c r="AP599" s="147" t="str">
        <f t="shared" si="320"/>
        <v>-0.0517104907609633-0.158441796641663i</v>
      </c>
      <c r="AQ599" s="147" t="str">
        <f t="shared" si="321"/>
        <v>1.05171049076096+0.158441796641663i</v>
      </c>
      <c r="AR599" s="147" t="str">
        <f t="shared" si="322"/>
        <v>0.774465876665423-0.116674470792571i</v>
      </c>
    </row>
    <row r="600" spans="7:44">
      <c r="G600" s="585">
        <v>302000</v>
      </c>
      <c r="H600" s="573">
        <f t="shared" si="314"/>
        <v>302</v>
      </c>
      <c r="I600" s="574">
        <f t="shared" si="294"/>
        <v>2085.9415905023102</v>
      </c>
      <c r="J600" s="575">
        <f t="shared" si="295"/>
        <v>1.5703169269675681</v>
      </c>
      <c r="K600" s="575">
        <f t="shared" si="296"/>
        <v>1.9463546899881472</v>
      </c>
      <c r="L600" s="576">
        <f t="shared" si="297"/>
        <v>1.0312101945099432</v>
      </c>
      <c r="M600" s="575">
        <f t="shared" si="298"/>
        <v>2.304319923300886</v>
      </c>
      <c r="N600" s="576">
        <f t="shared" si="299"/>
        <v>-1.1219043855924464</v>
      </c>
      <c r="O600" s="574">
        <f t="shared" si="300"/>
        <v>5692565.8818000881</v>
      </c>
      <c r="P600" s="577">
        <f t="shared" si="301"/>
        <v>1.5707961511271888</v>
      </c>
      <c r="Q600" s="586">
        <f t="shared" si="323"/>
        <v>762.80448363744017</v>
      </c>
      <c r="R600" s="587">
        <f t="shared" si="324"/>
        <v>1.5694853745025554</v>
      </c>
      <c r="S600" s="574">
        <f t="shared" si="302"/>
        <v>11.485672729880079</v>
      </c>
      <c r="T600" s="577">
        <f t="shared" si="303"/>
        <v>1.4836209616125022</v>
      </c>
      <c r="U600" s="578">
        <f t="shared" si="315"/>
        <v>0.1571620994685545</v>
      </c>
      <c r="V600" s="579">
        <f t="shared" si="316"/>
        <v>-1.402549159220055</v>
      </c>
      <c r="W600" s="580">
        <f t="shared" si="304"/>
        <v>-60.697241680545432</v>
      </c>
      <c r="X600" s="581">
        <f t="shared" si="305"/>
        <v>-260.60939593530918</v>
      </c>
      <c r="Y600" s="584">
        <f t="shared" si="306"/>
        <v>-80.60939593530918</v>
      </c>
      <c r="AA600" s="147">
        <f t="shared" si="307"/>
        <v>302000</v>
      </c>
      <c r="AB600" s="147">
        <f t="shared" si="308"/>
        <v>91204000000</v>
      </c>
      <c r="AD600" s="583">
        <f t="shared" si="309"/>
        <v>6.4444247844463467</v>
      </c>
      <c r="AE600" s="584">
        <f t="shared" si="310"/>
        <v>-85.08032156323145</v>
      </c>
      <c r="AG600" s="583">
        <f t="shared" si="311"/>
        <v>24.291613539509985</v>
      </c>
      <c r="AH600" s="584">
        <f t="shared" si="312"/>
        <v>-14.808779422565472</v>
      </c>
      <c r="AJ600" s="147">
        <f t="shared" si="313"/>
        <v>0</v>
      </c>
      <c r="AK600" s="147">
        <f t="shared" si="325"/>
        <v>0</v>
      </c>
      <c r="AM600" s="147" t="str">
        <f t="shared" si="317"/>
        <v>1.89296064236299+0.45013474781523i</v>
      </c>
      <c r="AN600" s="147" t="str">
        <f t="shared" si="318"/>
        <v>8.95786172739957i</v>
      </c>
      <c r="AO600" s="147" t="str">
        <f t="shared" si="319"/>
        <v>0.0502502451492855-0.211318359221036i</v>
      </c>
      <c r="AP600" s="147" t="str">
        <f t="shared" si="320"/>
        <v>-0.148826773727164-0.075022457969205i</v>
      </c>
      <c r="AQ600" s="147" t="str">
        <f t="shared" si="321"/>
        <v>1.14882677372716+0.075022457969205i</v>
      </c>
      <c r="AR600" s="147" t="str">
        <f t="shared" si="322"/>
        <v>0.722008514735495-0.0471497136808687i</v>
      </c>
    </row>
    <row r="601" spans="7:44">
      <c r="G601" s="585">
        <v>331130</v>
      </c>
      <c r="H601" s="573">
        <f t="shared" si="314"/>
        <v>331.13</v>
      </c>
      <c r="I601" s="574">
        <f t="shared" si="294"/>
        <v>2287.1451175906313</v>
      </c>
      <c r="J601" s="575">
        <f t="shared" si="295"/>
        <v>1.5703591004797974</v>
      </c>
      <c r="K601" s="575">
        <f t="shared" si="296"/>
        <v>2.0861783054127998</v>
      </c>
      <c r="L601" s="576">
        <f t="shared" si="297"/>
        <v>1.0708876279220285</v>
      </c>
      <c r="M601" s="575">
        <f t="shared" si="298"/>
        <v>2.4862475874416186</v>
      </c>
      <c r="N601" s="576">
        <f t="shared" si="299"/>
        <v>-1.1568641074591344</v>
      </c>
      <c r="O601" s="574">
        <f t="shared" si="300"/>
        <v>6241653.4451670805</v>
      </c>
      <c r="P601" s="577">
        <f t="shared" si="301"/>
        <v>1.5707961665809391</v>
      </c>
      <c r="Q601" s="586">
        <f t="shared" si="323"/>
        <v>836.38215946543892</v>
      </c>
      <c r="R601" s="587">
        <f t="shared" si="324"/>
        <v>1.5696007008158672</v>
      </c>
      <c r="S601" s="574">
        <f t="shared" si="302"/>
        <v>12.585514540582595</v>
      </c>
      <c r="T601" s="577">
        <f t="shared" si="303"/>
        <v>1.4912560570662465</v>
      </c>
      <c r="U601" s="578">
        <f t="shared" si="315"/>
        <v>0.14391043206199752</v>
      </c>
      <c r="V601" s="579">
        <f t="shared" si="316"/>
        <v>-1.7135454922306812</v>
      </c>
      <c r="W601" s="580">
        <f t="shared" si="304"/>
        <v>-61.793855375646473</v>
      </c>
      <c r="X601" s="581">
        <f t="shared" si="305"/>
        <v>-278.59113660525099</v>
      </c>
      <c r="Y601" s="584">
        <f t="shared" si="306"/>
        <v>-98.591136605250995</v>
      </c>
      <c r="AA601" s="147">
        <f t="shared" si="307"/>
        <v>331130</v>
      </c>
      <c r="AB601" s="147">
        <f t="shared" si="308"/>
        <v>109647076900</v>
      </c>
      <c r="AD601" s="583">
        <f t="shared" si="309"/>
        <v>5.6501327626982984</v>
      </c>
      <c r="AE601" s="584">
        <f t="shared" si="310"/>
        <v>-85.511173483817927</v>
      </c>
      <c r="AG601" s="583">
        <f t="shared" si="311"/>
        <v>25.519513653514288</v>
      </c>
      <c r="AH601" s="584">
        <f t="shared" si="312"/>
        <v>3.2778865199089458</v>
      </c>
      <c r="AJ601" s="147">
        <f t="shared" si="313"/>
        <v>0</v>
      </c>
      <c r="AK601" s="147">
        <f t="shared" si="325"/>
        <v>0</v>
      </c>
      <c r="AM601" s="147" t="str">
        <f t="shared" si="317"/>
        <v>1.92217412583916-0.386774975447978i</v>
      </c>
      <c r="AN601" s="147" t="str">
        <f t="shared" si="318"/>
        <v>9.82190978077423i</v>
      </c>
      <c r="AO601" s="147" t="str">
        <f t="shared" si="319"/>
        <v>-0.0393787953749143-0.195702686009364i</v>
      </c>
      <c r="AP601" s="147" t="str">
        <f t="shared" si="320"/>
        <v>-0.15369568763986+0.0644624959079963i</v>
      </c>
      <c r="AQ601" s="147" t="str">
        <f t="shared" si="321"/>
        <v>1.15369568763986-0.0644624959079963i</v>
      </c>
      <c r="AR601" s="147" t="str">
        <f t="shared" si="322"/>
        <v>0.719780340643189+0.0402175701620995i</v>
      </c>
    </row>
    <row r="602" spans="7:44">
      <c r="G602" s="585">
        <v>363080</v>
      </c>
      <c r="H602" s="573">
        <f t="shared" si="314"/>
        <v>363.08</v>
      </c>
      <c r="I602" s="574">
        <f t="shared" si="294"/>
        <v>2507.8266419232891</v>
      </c>
      <c r="J602" s="575">
        <f t="shared" si="295"/>
        <v>1.5703975751388677</v>
      </c>
      <c r="K602" s="575">
        <f t="shared" si="296"/>
        <v>2.2428172220421367</v>
      </c>
      <c r="L602" s="576">
        <f t="shared" si="297"/>
        <v>1.1086527882413892</v>
      </c>
      <c r="M602" s="575">
        <f t="shared" si="298"/>
        <v>2.688783075826044</v>
      </c>
      <c r="N602" s="576">
        <f t="shared" si="299"/>
        <v>-1.1897246742522254</v>
      </c>
      <c r="O602" s="574">
        <f t="shared" si="300"/>
        <v>6843896.756172074</v>
      </c>
      <c r="P602" s="577">
        <f t="shared" si="301"/>
        <v>1.5707961806793085</v>
      </c>
      <c r="Q602" s="586">
        <f t="shared" si="323"/>
        <v>917.08271053430474</v>
      </c>
      <c r="R602" s="587">
        <f t="shared" si="324"/>
        <v>1.5697059123898702</v>
      </c>
      <c r="S602" s="574">
        <f t="shared" si="302"/>
        <v>13.792531748783947</v>
      </c>
      <c r="T602" s="577">
        <f t="shared" si="303"/>
        <v>1.4982296500247676</v>
      </c>
      <c r="U602" s="578">
        <f t="shared" si="315"/>
        <v>0.11525994920878935</v>
      </c>
      <c r="V602" s="579">
        <f t="shared" si="316"/>
        <v>-2.0878881589657059</v>
      </c>
      <c r="W602" s="580">
        <f t="shared" si="304"/>
        <v>-64.008592656011587</v>
      </c>
      <c r="X602" s="581">
        <f t="shared" si="305"/>
        <v>-300.15411352497614</v>
      </c>
      <c r="Y602" s="584">
        <f t="shared" si="306"/>
        <v>-120.15411352497614</v>
      </c>
      <c r="AA602" s="147">
        <f t="shared" si="307"/>
        <v>363080</v>
      </c>
      <c r="AB602" s="147">
        <f t="shared" si="308"/>
        <v>131827086400</v>
      </c>
      <c r="AD602" s="583">
        <f t="shared" si="309"/>
        <v>4.8546713866264151</v>
      </c>
      <c r="AE602" s="584">
        <f t="shared" si="310"/>
        <v>-85.904703557463762</v>
      </c>
      <c r="AG602" s="583">
        <f t="shared" si="311"/>
        <v>27.956791877327156</v>
      </c>
      <c r="AH602" s="584">
        <f t="shared" si="312"/>
        <v>25.004949514024474</v>
      </c>
      <c r="AJ602" s="147">
        <f t="shared" si="313"/>
        <v>0</v>
      </c>
      <c r="AK602" s="147">
        <f t="shared" si="325"/>
        <v>0</v>
      </c>
      <c r="AM602" s="147" t="str">
        <f t="shared" si="317"/>
        <v>1.22405199725329-0.974577191671759i</v>
      </c>
      <c r="AN602" s="147" t="str">
        <f t="shared" si="318"/>
        <v>10.769604092663i</v>
      </c>
      <c r="AO602" s="147" t="str">
        <f t="shared" si="319"/>
        <v>-0.0904933164939376-0.113658031132936i</v>
      </c>
      <c r="AP602" s="147" t="str">
        <f t="shared" si="320"/>
        <v>-0.0373419995422145+0.162429531945293i</v>
      </c>
      <c r="AQ602" s="147" t="str">
        <f t="shared" si="321"/>
        <v>1.03734199954221-0.162429531945293i</v>
      </c>
      <c r="AR602" s="147" t="str">
        <f t="shared" si="322"/>
        <v>0.783796684614373+0.122728790194911i</v>
      </c>
    </row>
    <row r="603" spans="7:44">
      <c r="G603" s="585">
        <v>398110</v>
      </c>
      <c r="H603" s="573">
        <f t="shared" si="314"/>
        <v>398.11</v>
      </c>
      <c r="I603" s="574">
        <f t="shared" si="294"/>
        <v>2749.7820068920064</v>
      </c>
      <c r="J603" s="575">
        <f t="shared" si="295"/>
        <v>1.5704326615954243</v>
      </c>
      <c r="K603" s="575">
        <f t="shared" si="296"/>
        <v>2.4177299384751576</v>
      </c>
      <c r="L603" s="576">
        <f t="shared" si="297"/>
        <v>1.1443795290739762</v>
      </c>
      <c r="M603" s="575">
        <f t="shared" si="298"/>
        <v>2.9136914629577659</v>
      </c>
      <c r="N603" s="576">
        <f t="shared" si="299"/>
        <v>-1.2204669055097883</v>
      </c>
      <c r="O603" s="574">
        <f t="shared" si="300"/>
        <v>7504196.6993490681</v>
      </c>
      <c r="P603" s="577">
        <f t="shared" si="301"/>
        <v>1.5707961935361296</v>
      </c>
      <c r="Q603" s="586">
        <f t="shared" si="323"/>
        <v>1005.5628549468488</v>
      </c>
      <c r="R603" s="587">
        <f t="shared" si="324"/>
        <v>1.5698018587117646</v>
      </c>
      <c r="S603" s="574">
        <f t="shared" si="302"/>
        <v>15.116547966747993</v>
      </c>
      <c r="T603" s="577">
        <f t="shared" si="303"/>
        <v>1.5045953128541665</v>
      </c>
      <c r="U603" s="578">
        <f t="shared" si="315"/>
        <v>5.8870559513946027E-2</v>
      </c>
      <c r="V603" s="579">
        <f t="shared" si="316"/>
        <v>-2.633144505860507</v>
      </c>
      <c r="W603" s="580">
        <f t="shared" si="304"/>
        <v>-70.090352463491769</v>
      </c>
      <c r="X603" s="581">
        <f t="shared" si="305"/>
        <v>-331.47064896610624</v>
      </c>
      <c r="Y603" s="584">
        <f t="shared" si="306"/>
        <v>-151.47064896610624</v>
      </c>
      <c r="AA603" s="147">
        <f t="shared" si="307"/>
        <v>398110</v>
      </c>
      <c r="AB603" s="147">
        <f t="shared" si="308"/>
        <v>158491572100</v>
      </c>
      <c r="AD603" s="583">
        <f t="shared" si="309"/>
        <v>4.0584978349485175</v>
      </c>
      <c r="AE603" s="584">
        <f t="shared" si="310"/>
        <v>-86.263932589139344</v>
      </c>
      <c r="AG603" s="583">
        <f t="shared" si="311"/>
        <v>34.342416039110979</v>
      </c>
      <c r="AH603" s="584">
        <f t="shared" si="312"/>
        <v>56.529418035552347</v>
      </c>
      <c r="AJ603" s="147">
        <f t="shared" si="313"/>
        <v>0</v>
      </c>
      <c r="AK603" s="147">
        <f t="shared" si="325"/>
        <v>0</v>
      </c>
      <c r="AM603" s="147" t="str">
        <f t="shared" si="317"/>
        <v>0.273590931028736-0.687262587746708i</v>
      </c>
      <c r="AN603" s="147" t="str">
        <f t="shared" si="318"/>
        <v>11.8086567294538i</v>
      </c>
      <c r="AO603" s="147" t="str">
        <f t="shared" si="319"/>
        <v>-0.0581998955082249-0.0231686750912431i</v>
      </c>
      <c r="AP603" s="147" t="str">
        <f t="shared" si="320"/>
        <v>0.121068178161877+0.114543764624451i</v>
      </c>
      <c r="AQ603" s="147" t="str">
        <f t="shared" si="321"/>
        <v>0.878931821838123-0.114543764624451i</v>
      </c>
      <c r="AR603" s="147" t="str">
        <f t="shared" si="322"/>
        <v>0.931913959215811+0.121448479327349i</v>
      </c>
    </row>
    <row r="604" spans="7:44">
      <c r="G604" s="585">
        <v>436520</v>
      </c>
      <c r="H604" s="573">
        <f t="shared" si="314"/>
        <v>436.52</v>
      </c>
      <c r="I604" s="574">
        <f t="shared" si="294"/>
        <v>3015.0833395158807</v>
      </c>
      <c r="J604" s="575">
        <f t="shared" si="295"/>
        <v>1.5704646609980586</v>
      </c>
      <c r="K604" s="575">
        <f t="shared" si="296"/>
        <v>2.6125662160548755</v>
      </c>
      <c r="L604" s="576">
        <f t="shared" si="297"/>
        <v>1.1780085027459486</v>
      </c>
      <c r="M604" s="575">
        <f t="shared" si="298"/>
        <v>3.162992441613119</v>
      </c>
      <c r="N604" s="576">
        <f t="shared" si="299"/>
        <v>-1.2491210990058943</v>
      </c>
      <c r="O604" s="574">
        <f t="shared" si="300"/>
        <v>8228208.1414680611</v>
      </c>
      <c r="P604" s="577">
        <f t="shared" si="301"/>
        <v>1.5707962052617532</v>
      </c>
      <c r="Q604" s="586">
        <f t="shared" si="323"/>
        <v>1102.5803444384974</v>
      </c>
      <c r="R604" s="587">
        <f t="shared" si="324"/>
        <v>1.5698893632868482</v>
      </c>
      <c r="S604" s="574">
        <f t="shared" si="302"/>
        <v>16.56890290836952</v>
      </c>
      <c r="T604" s="577">
        <f t="shared" si="303"/>
        <v>1.5104055994030934</v>
      </c>
      <c r="U604" s="578">
        <f t="shared" si="315"/>
        <v>2.8788513317915477E-2</v>
      </c>
      <c r="V604" s="579">
        <f t="shared" si="316"/>
        <v>-0.26409038912202398</v>
      </c>
      <c r="W604" s="580">
        <f t="shared" si="304"/>
        <v>-76.514493114270721</v>
      </c>
      <c r="X604" s="581">
        <f t="shared" si="305"/>
        <v>-195.77853793248616</v>
      </c>
      <c r="Y604" s="584">
        <f t="shared" si="306"/>
        <v>-15.778537932486159</v>
      </c>
      <c r="AA604" s="147">
        <f t="shared" si="307"/>
        <v>436520</v>
      </c>
      <c r="AB604" s="147">
        <f t="shared" si="308"/>
        <v>190549710400</v>
      </c>
      <c r="AD604" s="583">
        <f t="shared" si="309"/>
        <v>3.261674580969645</v>
      </c>
      <c r="AE604" s="584">
        <f t="shared" si="310"/>
        <v>-86.591824515517544</v>
      </c>
      <c r="AG604" s="583">
        <f t="shared" si="311"/>
        <v>41.142255665874707</v>
      </c>
      <c r="AH604" s="584">
        <f t="shared" si="312"/>
        <v>-78.924183969069446</v>
      </c>
      <c r="AJ604" s="147">
        <f t="shared" si="313"/>
        <v>0</v>
      </c>
      <c r="AK604" s="147">
        <f t="shared" si="325"/>
        <v>0</v>
      </c>
      <c r="AM604" s="147" t="str">
        <f t="shared" si="317"/>
        <v>0.071928392593915+0.372401787759787i</v>
      </c>
      <c r="AN604" s="147" t="str">
        <f t="shared" si="318"/>
        <v>12.9479662292863i</v>
      </c>
      <c r="AO604" s="147" t="str">
        <f t="shared" si="319"/>
        <v>0.0287614117279262-0.00555518846127542i</v>
      </c>
      <c r="AP604" s="147" t="str">
        <f t="shared" si="320"/>
        <v>0.154678601234347-0.0620669646266312i</v>
      </c>
      <c r="AQ604" s="147" t="str">
        <f t="shared" si="321"/>
        <v>0.845321398765653+0.0620669646266312i</v>
      </c>
      <c r="AR604" s="147" t="str">
        <f t="shared" si="322"/>
        <v>0.980139975624784-0.0719658975687609i</v>
      </c>
    </row>
    <row r="605" spans="7:44">
      <c r="G605" s="585">
        <v>478630</v>
      </c>
      <c r="H605" s="573">
        <f t="shared" si="314"/>
        <v>478.63</v>
      </c>
      <c r="I605" s="574">
        <f t="shared" si="294"/>
        <v>3305.9409086420446</v>
      </c>
      <c r="J605" s="575">
        <f t="shared" si="295"/>
        <v>1.5704938410448834</v>
      </c>
      <c r="K605" s="575">
        <f t="shared" si="296"/>
        <v>2.8290736482886407</v>
      </c>
      <c r="L605" s="576">
        <f t="shared" si="297"/>
        <v>1.2095155770770492</v>
      </c>
      <c r="M605" s="575">
        <f t="shared" si="298"/>
        <v>3.4388376922814365</v>
      </c>
      <c r="N605" s="576">
        <f t="shared" si="299"/>
        <v>-1.2757377159660943</v>
      </c>
      <c r="O605" s="574">
        <f t="shared" si="300"/>
        <v>9021962.9404170569</v>
      </c>
      <c r="P605" s="577">
        <f t="shared" si="301"/>
        <v>1.5707962159542728</v>
      </c>
      <c r="Q605" s="586">
        <f t="shared" si="323"/>
        <v>1208.9434476002245</v>
      </c>
      <c r="R605" s="587">
        <f t="shared" si="324"/>
        <v>1.5699691581493991</v>
      </c>
      <c r="S605" s="574">
        <f t="shared" si="302"/>
        <v>18.161696875195648</v>
      </c>
      <c r="T605" s="577">
        <f t="shared" si="303"/>
        <v>1.515707532951396</v>
      </c>
      <c r="U605" s="578">
        <f t="shared" si="315"/>
        <v>8.3455852839151815E-2</v>
      </c>
      <c r="V605" s="579">
        <f t="shared" si="316"/>
        <v>-0.97858656690503709</v>
      </c>
      <c r="W605" s="580">
        <f t="shared" si="304"/>
        <v>-67.449101769449925</v>
      </c>
      <c r="X605" s="581">
        <f t="shared" si="305"/>
        <v>-236.73682989013307</v>
      </c>
      <c r="Y605" s="584">
        <f t="shared" si="306"/>
        <v>-56.736829890133066</v>
      </c>
      <c r="AA605" s="147">
        <f t="shared" si="307"/>
        <v>478630</v>
      </c>
      <c r="AB605" s="147">
        <f t="shared" si="308"/>
        <v>229086676900</v>
      </c>
      <c r="AD605" s="583">
        <f t="shared" si="309"/>
        <v>2.4644205832334021</v>
      </c>
      <c r="AE605" s="584">
        <f t="shared" si="310"/>
        <v>-86.891031635221225</v>
      </c>
      <c r="AG605" s="583">
        <f t="shared" si="311"/>
        <v>32.515398539028062</v>
      </c>
      <c r="AH605" s="584">
        <f t="shared" si="312"/>
        <v>-37.708037783065365</v>
      </c>
      <c r="AJ605" s="147">
        <f t="shared" si="313"/>
        <v>0</v>
      </c>
      <c r="AK605" s="147">
        <f t="shared" si="325"/>
        <v>0</v>
      </c>
      <c r="AM605" s="147" t="str">
        <f t="shared" si="317"/>
        <v>1.05982168745067+0.998209079156543i</v>
      </c>
      <c r="AN605" s="147" t="str">
        <f t="shared" si="318"/>
        <v>14.1970243661763i</v>
      </c>
      <c r="AO605" s="147" t="str">
        <f t="shared" si="319"/>
        <v>0.0703111478441022-0.0746509733388668i</v>
      </c>
      <c r="AP605" s="147" t="str">
        <f t="shared" si="320"/>
        <v>-0.00997028124177895-0.166368179859424i</v>
      </c>
      <c r="AQ605" s="147" t="str">
        <f t="shared" si="321"/>
        <v>1.00997028124178+0.166368179859424i</v>
      </c>
      <c r="AR605" s="147" t="str">
        <f t="shared" si="322"/>
        <v>0.802987990135356-0.132272852824484i</v>
      </c>
    </row>
    <row r="606" spans="7:44">
      <c r="G606" s="585">
        <v>524810</v>
      </c>
      <c r="H606" s="573">
        <f t="shared" si="314"/>
        <v>524.80999999999995</v>
      </c>
      <c r="I606" s="574">
        <f t="shared" si="294"/>
        <v>3624.9103376516782</v>
      </c>
      <c r="J606" s="575">
        <f t="shared" si="295"/>
        <v>1.5705204578989691</v>
      </c>
      <c r="K606" s="575">
        <f t="shared" si="296"/>
        <v>3.069256150971805</v>
      </c>
      <c r="L606" s="576">
        <f t="shared" si="297"/>
        <v>1.2389260285318471</v>
      </c>
      <c r="M606" s="575">
        <f t="shared" si="298"/>
        <v>3.7437107895392208</v>
      </c>
      <c r="N606" s="576">
        <f t="shared" si="299"/>
        <v>-1.3003986854621359</v>
      </c>
      <c r="O606" s="574">
        <f t="shared" si="300"/>
        <v>9892435.431879051</v>
      </c>
      <c r="P606" s="577">
        <f t="shared" si="301"/>
        <v>1.5707962257075549</v>
      </c>
      <c r="Q606" s="586">
        <f t="shared" si="323"/>
        <v>1325.5867250633059</v>
      </c>
      <c r="R606" s="587">
        <f t="shared" si="324"/>
        <v>1.5700419437915505</v>
      </c>
      <c r="S606" s="574">
        <f t="shared" si="302"/>
        <v>19.908925442484676</v>
      </c>
      <c r="T606" s="577">
        <f t="shared" si="303"/>
        <v>1.5205464542684592</v>
      </c>
      <c r="U606" s="578">
        <f t="shared" si="315"/>
        <v>9.1616918640804693E-2</v>
      </c>
      <c r="V606" s="579">
        <f t="shared" si="316"/>
        <v>-1.5203419988633295</v>
      </c>
      <c r="W606" s="580">
        <f t="shared" si="304"/>
        <v>-66.791006345059799</v>
      </c>
      <c r="X606" s="581">
        <f t="shared" si="305"/>
        <v>-267.77960948497537</v>
      </c>
      <c r="Y606" s="584">
        <f t="shared" si="306"/>
        <v>-87.779609484975367</v>
      </c>
      <c r="AA606" s="147">
        <f t="shared" si="307"/>
        <v>524810</v>
      </c>
      <c r="AB606" s="147">
        <f t="shared" si="308"/>
        <v>275425536100</v>
      </c>
      <c r="AD606" s="583">
        <f t="shared" si="309"/>
        <v>1.6665921369347068</v>
      </c>
      <c r="AE606" s="584">
        <f t="shared" si="310"/>
        <v>-87.164111653114361</v>
      </c>
      <c r="AG606" s="583">
        <f t="shared" si="311"/>
        <v>32.35056715164508</v>
      </c>
      <c r="AH606" s="584">
        <f t="shared" si="312"/>
        <v>-6.3971377300832115</v>
      </c>
      <c r="AJ606" s="147">
        <f t="shared" si="313"/>
        <v>0</v>
      </c>
      <c r="AK606" s="147">
        <f t="shared" si="325"/>
        <v>0</v>
      </c>
      <c r="AM606" s="147" t="str">
        <f t="shared" si="317"/>
        <v>1.99005384493063+0.140688962388928i</v>
      </c>
      <c r="AN606" s="147" t="str">
        <f t="shared" si="318"/>
        <v>15.5668060038297i</v>
      </c>
      <c r="AO606" s="147" t="str">
        <f t="shared" si="319"/>
        <v>0.00903775394607706-0.127839573798314i</v>
      </c>
      <c r="AP606" s="147" t="str">
        <f t="shared" si="320"/>
        <v>-0.165008974155105-0.0234481603981547i</v>
      </c>
      <c r="AQ606" s="147" t="str">
        <f t="shared" si="321"/>
        <v>1.16500897415511+0.0234481603981547i</v>
      </c>
      <c r="AR606" s="147" t="str">
        <f t="shared" si="322"/>
        <v>0.714726417844323-0.0143853138114805i</v>
      </c>
    </row>
    <row r="607" spans="7:44">
      <c r="G607" s="585">
        <v>575440</v>
      </c>
      <c r="H607" s="573">
        <f t="shared" si="314"/>
        <v>575.44000000000005</v>
      </c>
      <c r="I607" s="574">
        <f t="shared" si="294"/>
        <v>3974.616320850389</v>
      </c>
      <c r="J607" s="575">
        <f t="shared" si="295"/>
        <v>1.5705447301803241</v>
      </c>
      <c r="K607" s="575">
        <f t="shared" si="296"/>
        <v>3.3351718848038265</v>
      </c>
      <c r="L607" s="576">
        <f t="shared" si="297"/>
        <v>1.2662770317398071</v>
      </c>
      <c r="M607" s="575">
        <f t="shared" si="298"/>
        <v>4.0801677640118195</v>
      </c>
      <c r="N607" s="576">
        <f t="shared" si="299"/>
        <v>-1.3231859066189937</v>
      </c>
      <c r="O607" s="574">
        <f t="shared" si="300"/>
        <v>10846788.447096048</v>
      </c>
      <c r="P607" s="577">
        <f t="shared" si="301"/>
        <v>1.5707962346017093</v>
      </c>
      <c r="Q607" s="586">
        <f t="shared" si="323"/>
        <v>1453.4699959152542</v>
      </c>
      <c r="R607" s="587">
        <f t="shared" si="324"/>
        <v>1.5701083180422544</v>
      </c>
      <c r="S607" s="574">
        <f t="shared" si="302"/>
        <v>21.824966358068572</v>
      </c>
      <c r="T607" s="577">
        <f t="shared" si="303"/>
        <v>1.5249611941005956</v>
      </c>
      <c r="U607" s="578">
        <f t="shared" si="315"/>
        <v>7.2434038048464933E-2</v>
      </c>
      <c r="V607" s="579">
        <f t="shared" si="316"/>
        <v>-2.0948681766509569</v>
      </c>
      <c r="W607" s="580">
        <f t="shared" si="304"/>
        <v>-68.960524245501546</v>
      </c>
      <c r="X607" s="581">
        <f t="shared" si="305"/>
        <v>-300.68658348391955</v>
      </c>
      <c r="Y607" s="584">
        <f t="shared" si="306"/>
        <v>-120.68658348391955</v>
      </c>
      <c r="AA607" s="147">
        <f t="shared" si="307"/>
        <v>575440</v>
      </c>
      <c r="AB607" s="147">
        <f t="shared" si="308"/>
        <v>331131193600</v>
      </c>
      <c r="AD607" s="583">
        <f t="shared" si="309"/>
        <v>0.86847646635883469</v>
      </c>
      <c r="AE607" s="584">
        <f t="shared" si="310"/>
        <v>-87.413255158592577</v>
      </c>
      <c r="AG607" s="583">
        <f t="shared" si="311"/>
        <v>35.060484286810365</v>
      </c>
      <c r="AH607" s="584">
        <f t="shared" si="312"/>
        <v>26.78088226570695</v>
      </c>
      <c r="AJ607" s="147">
        <f t="shared" si="313"/>
        <v>0</v>
      </c>
      <c r="AK607" s="147">
        <f t="shared" si="325"/>
        <v>0</v>
      </c>
      <c r="AM607" s="147" t="str">
        <f t="shared" si="317"/>
        <v>1.20863297954683-0.97799400808257i</v>
      </c>
      <c r="AN607" s="147" t="str">
        <f t="shared" si="318"/>
        <v>17.0685826238901i</v>
      </c>
      <c r="AO607" s="147" t="str">
        <f t="shared" si="319"/>
        <v>-0.0572979039697015-0.0708103892501983i</v>
      </c>
      <c r="AP607" s="147" t="str">
        <f t="shared" si="320"/>
        <v>-0.0347721632578058+0.162999001347095i</v>
      </c>
      <c r="AQ607" s="147" t="str">
        <f t="shared" si="321"/>
        <v>1.03477216325781-0.162999001347095i</v>
      </c>
      <c r="AR607" s="147" t="str">
        <f t="shared" si="322"/>
        <v>0.785517040640317+0.123735927300546i</v>
      </c>
    </row>
    <row r="608" spans="7:44">
      <c r="G608" s="585">
        <v>630960</v>
      </c>
      <c r="H608" s="573">
        <f t="shared" si="314"/>
        <v>630.96</v>
      </c>
      <c r="I608" s="574">
        <f t="shared" si="294"/>
        <v>4358.0979779815234</v>
      </c>
      <c r="J608" s="575">
        <f t="shared" si="295"/>
        <v>1.5705668688951826</v>
      </c>
      <c r="K608" s="575">
        <f t="shared" si="296"/>
        <v>3.6291967860741243</v>
      </c>
      <c r="L608" s="576">
        <f t="shared" si="297"/>
        <v>1.2916417374779985</v>
      </c>
      <c r="M608" s="575">
        <f t="shared" si="298"/>
        <v>4.451169552697734</v>
      </c>
      <c r="N608" s="576">
        <f t="shared" si="299"/>
        <v>-1.3442021667651722</v>
      </c>
      <c r="O608" s="574">
        <f t="shared" si="300"/>
        <v>11893315.790664043</v>
      </c>
      <c r="P608" s="577">
        <f t="shared" si="301"/>
        <v>1.5707962427140552</v>
      </c>
      <c r="Q608" s="586">
        <f t="shared" si="323"/>
        <v>1593.7046296834287</v>
      </c>
      <c r="R608" s="587">
        <f t="shared" si="324"/>
        <v>1.5701688579107671</v>
      </c>
      <c r="S608" s="574">
        <f t="shared" si="302"/>
        <v>23.92647122961802</v>
      </c>
      <c r="T608" s="577">
        <f t="shared" si="303"/>
        <v>1.5289894363222798</v>
      </c>
      <c r="U608" s="578">
        <f t="shared" si="315"/>
        <v>7.1442912682181947E-3</v>
      </c>
      <c r="V608" s="579">
        <f t="shared" si="316"/>
        <v>-3.0478220256698716</v>
      </c>
      <c r="W608" s="580">
        <f t="shared" si="304"/>
        <v>-89.188964152484147</v>
      </c>
      <c r="X608" s="581">
        <f t="shared" si="305"/>
        <v>-355.26627110488147</v>
      </c>
      <c r="Y608" s="584">
        <f t="shared" si="306"/>
        <v>-175.26627110488147</v>
      </c>
      <c r="AA608" s="147">
        <f t="shared" si="307"/>
        <v>630960</v>
      </c>
      <c r="AB608" s="147">
        <f t="shared" si="308"/>
        <v>398110521600</v>
      </c>
      <c r="AD608" s="583">
        <f t="shared" si="309"/>
        <v>6.9974741804486262E-2</v>
      </c>
      <c r="AE608" s="584">
        <f t="shared" si="310"/>
        <v>-87.64058822285638</v>
      </c>
      <c r="AG608" s="583">
        <f t="shared" si="311"/>
        <v>55.869887894261971</v>
      </c>
      <c r="AH608" s="584">
        <f t="shared" si="312"/>
        <v>81.628995072850302</v>
      </c>
      <c r="AJ608" s="147">
        <f t="shared" si="313"/>
        <v>0</v>
      </c>
      <c r="AK608" s="147">
        <f t="shared" si="325"/>
        <v>0</v>
      </c>
      <c r="AM608" s="147" t="str">
        <f t="shared" si="317"/>
        <v>0.00898469267247304-0.133748497720636i</v>
      </c>
      <c r="AN608" s="147" t="str">
        <f t="shared" si="318"/>
        <v>18.7154054156292i</v>
      </c>
      <c r="AO608" s="147" t="str">
        <f t="shared" si="319"/>
        <v>-0.00714643870920065-0.000480069358528025i</v>
      </c>
      <c r="AP608" s="147" t="str">
        <f t="shared" si="320"/>
        <v>0.165169217887921+0.0222914162867727i</v>
      </c>
      <c r="AQ608" s="147" t="str">
        <f t="shared" si="321"/>
        <v>0.834830782112079-0.0222914162867727i</v>
      </c>
      <c r="AR608" s="147" t="str">
        <f t="shared" si="322"/>
        <v>0.997096090827397+0.0266241788333617i</v>
      </c>
    </row>
    <row r="609" spans="7:44">
      <c r="G609" s="585">
        <v>691830</v>
      </c>
      <c r="H609" s="573">
        <f t="shared" si="314"/>
        <v>691.83</v>
      </c>
      <c r="I609" s="574">
        <f t="shared" si="294"/>
        <v>4778.5325706135045</v>
      </c>
      <c r="J609" s="575">
        <f t="shared" si="295"/>
        <v>1.5705870575281244</v>
      </c>
      <c r="K609" s="575">
        <f t="shared" si="296"/>
        <v>3.9538183473372501</v>
      </c>
      <c r="L609" s="576">
        <f t="shared" si="297"/>
        <v>1.3150990600810357</v>
      </c>
      <c r="M609" s="575">
        <f t="shared" si="298"/>
        <v>4.8598188444263286</v>
      </c>
      <c r="N609" s="576">
        <f t="shared" si="299"/>
        <v>-1.3635468817812171</v>
      </c>
      <c r="O609" s="574">
        <f t="shared" si="300"/>
        <v>13040688.258297039</v>
      </c>
      <c r="P609" s="577">
        <f t="shared" si="301"/>
        <v>1.5707962501118273</v>
      </c>
      <c r="Q609" s="586">
        <f t="shared" si="323"/>
        <v>1747.45251274263</v>
      </c>
      <c r="R609" s="587">
        <f t="shared" si="324"/>
        <v>1.5702240651469901</v>
      </c>
      <c r="S609" s="574">
        <f t="shared" si="302"/>
        <v>26.230851853597315</v>
      </c>
      <c r="T609" s="577">
        <f t="shared" si="303"/>
        <v>1.5326640392151096</v>
      </c>
      <c r="U609" s="578">
        <f t="shared" si="315"/>
        <v>5.8456176027641589E-2</v>
      </c>
      <c r="V609" s="579">
        <f t="shared" si="316"/>
        <v>-0.9973534906841246</v>
      </c>
      <c r="W609" s="580">
        <f t="shared" si="304"/>
        <v>-71.023122754078145</v>
      </c>
      <c r="X609" s="581">
        <f t="shared" si="305"/>
        <v>-237.75597607685643</v>
      </c>
      <c r="Y609" s="584">
        <f t="shared" si="306"/>
        <v>-57.755976076856427</v>
      </c>
      <c r="AA609" s="147">
        <f t="shared" si="307"/>
        <v>691830</v>
      </c>
      <c r="AB609" s="147">
        <f t="shared" si="308"/>
        <v>478628748900</v>
      </c>
      <c r="AD609" s="583">
        <f t="shared" si="309"/>
        <v>-0.72870040126186808</v>
      </c>
      <c r="AE609" s="584">
        <f t="shared" si="310"/>
        <v>-87.847964742466004</v>
      </c>
      <c r="AG609" s="583">
        <f t="shared" si="311"/>
        <v>38.319554437025232</v>
      </c>
      <c r="AH609" s="584">
        <f t="shared" si="312"/>
        <v>-35.619719806115732</v>
      </c>
      <c r="AJ609" s="147">
        <f t="shared" si="313"/>
        <v>0</v>
      </c>
      <c r="AK609" s="147">
        <f t="shared" si="325"/>
        <v>0</v>
      </c>
      <c r="AM609" s="147" t="str">
        <f t="shared" si="317"/>
        <v>1.10039712603583+0.99494744438274i</v>
      </c>
      <c r="AN609" s="147" t="str">
        <f t="shared" si="318"/>
        <v>20.5209188041948i</v>
      </c>
      <c r="AO609" s="147" t="str">
        <f t="shared" si="319"/>
        <v>0.048484546616858-0.0536231899037041i</v>
      </c>
      <c r="AP609" s="147" t="str">
        <f t="shared" si="320"/>
        <v>-0.0167328543393048-0.16582457406379i</v>
      </c>
      <c r="AQ609" s="147" t="str">
        <f t="shared" si="321"/>
        <v>1.0167328543393+0.16582457406379i</v>
      </c>
      <c r="AR609" s="147" t="str">
        <f t="shared" si="322"/>
        <v>0.798062347117595-0.130160393875657i</v>
      </c>
    </row>
    <row r="610" spans="7:44">
      <c r="G610" s="585">
        <v>758580</v>
      </c>
      <c r="H610" s="573">
        <f t="shared" si="314"/>
        <v>758.58</v>
      </c>
      <c r="I610" s="574">
        <f t="shared" si="294"/>
        <v>5239.5808566582045</v>
      </c>
      <c r="J610" s="575">
        <f t="shared" si="295"/>
        <v>1.5706054718327482</v>
      </c>
      <c r="K610" s="575">
        <f t="shared" si="296"/>
        <v>4.3119035274062334</v>
      </c>
      <c r="L610" s="576">
        <f t="shared" si="297"/>
        <v>1.3367492639641849</v>
      </c>
      <c r="M610" s="575">
        <f t="shared" si="298"/>
        <v>5.309696209713727</v>
      </c>
      <c r="N610" s="576">
        <f t="shared" si="299"/>
        <v>-1.3813301087566845</v>
      </c>
      <c r="O610" s="574">
        <f t="shared" si="300"/>
        <v>14298896.114622036</v>
      </c>
      <c r="P610" s="577">
        <f t="shared" si="301"/>
        <v>1.570796256859428</v>
      </c>
      <c r="Q610" s="586">
        <f t="shared" si="323"/>
        <v>1916.0523403125717</v>
      </c>
      <c r="R610" s="587">
        <f t="shared" si="324"/>
        <v>1.5702744203603185</v>
      </c>
      <c r="S610" s="574">
        <f t="shared" si="302"/>
        <v>28.758172811113862</v>
      </c>
      <c r="T610" s="577">
        <f t="shared" si="303"/>
        <v>1.5360165916559398</v>
      </c>
      <c r="U610" s="578">
        <f t="shared" si="315"/>
        <v>6.2393273024134062E-2</v>
      </c>
      <c r="V610" s="579">
        <f t="shared" si="316"/>
        <v>-1.7547720799980557</v>
      </c>
      <c r="W610" s="580">
        <f t="shared" si="304"/>
        <v>-70.533955151897231</v>
      </c>
      <c r="X610" s="581">
        <f t="shared" si="305"/>
        <v>-281.12156057536714</v>
      </c>
      <c r="Y610" s="584">
        <f t="shared" si="306"/>
        <v>-101.12156057536714</v>
      </c>
      <c r="AA610" s="147">
        <f t="shared" si="307"/>
        <v>758580</v>
      </c>
      <c r="AB610" s="147">
        <f t="shared" si="308"/>
        <v>575443616400</v>
      </c>
      <c r="AD610" s="583">
        <f t="shared" si="309"/>
        <v>-1.5276785298378401</v>
      </c>
      <c r="AE610" s="584">
        <f t="shared" si="310"/>
        <v>-88.037167093546913</v>
      </c>
      <c r="AG610" s="583">
        <f t="shared" si="311"/>
        <v>38.475405515250728</v>
      </c>
      <c r="AH610" s="584">
        <f t="shared" si="312"/>
        <v>7.997675130512361</v>
      </c>
      <c r="AJ610" s="147">
        <f t="shared" si="313"/>
        <v>0</v>
      </c>
      <c r="AK610" s="147">
        <f t="shared" si="325"/>
        <v>0</v>
      </c>
      <c r="AM610" s="147" t="str">
        <f t="shared" si="317"/>
        <v>1.8728933781032-0.487911006704683i</v>
      </c>
      <c r="AN610" s="147" t="str">
        <f t="shared" si="318"/>
        <v>22.5008435403005i</v>
      </c>
      <c r="AO610" s="147" t="str">
        <f t="shared" si="319"/>
        <v>-0.0216841206788893-0.0832365850972975i</v>
      </c>
      <c r="AP610" s="147" t="str">
        <f t="shared" si="320"/>
        <v>-0.145482229683867+0.0813185011174472i</v>
      </c>
      <c r="AQ610" s="147" t="str">
        <f t="shared" si="321"/>
        <v>1.14548222968387-0.0813185011174472i</v>
      </c>
      <c r="AR610" s="147" t="str">
        <f t="shared" si="322"/>
        <v>0.72355815295038+0.0513658465792802i</v>
      </c>
    </row>
    <row r="611" spans="7:44">
      <c r="G611" s="585">
        <v>831760</v>
      </c>
      <c r="H611" s="573">
        <f t="shared" si="314"/>
        <v>831.76</v>
      </c>
      <c r="I611" s="574">
        <f t="shared" si="294"/>
        <v>5745.0417358507675</v>
      </c>
      <c r="J611" s="575">
        <f t="shared" si="295"/>
        <v>1.5706222636547094</v>
      </c>
      <c r="K611" s="575">
        <f t="shared" si="296"/>
        <v>4.7064343736781069</v>
      </c>
      <c r="L611" s="576">
        <f t="shared" si="297"/>
        <v>1.3566891504611254</v>
      </c>
      <c r="M611" s="575">
        <f t="shared" si="298"/>
        <v>5.8045257879167211</v>
      </c>
      <c r="N611" s="576">
        <f t="shared" si="299"/>
        <v>-1.397653163520129</v>
      </c>
      <c r="O611" s="574">
        <f t="shared" si="300"/>
        <v>15678306.615384033</v>
      </c>
      <c r="P611" s="577">
        <f t="shared" si="301"/>
        <v>1.5707962630124981</v>
      </c>
      <c r="Q611" s="586">
        <f t="shared" si="323"/>
        <v>2100.8933244554669</v>
      </c>
      <c r="R611" s="587">
        <f t="shared" si="324"/>
        <v>1.570320338782502</v>
      </c>
      <c r="S611" s="574">
        <f t="shared" si="302"/>
        <v>31.529258573059526</v>
      </c>
      <c r="T611" s="577">
        <f t="shared" si="303"/>
        <v>1.5390744348752043</v>
      </c>
      <c r="U611" s="578">
        <f t="shared" si="315"/>
        <v>1.8075083929017945E-2</v>
      </c>
      <c r="V611" s="579">
        <f t="shared" si="316"/>
        <v>-2.8239979762955234</v>
      </c>
      <c r="W611" s="580">
        <f t="shared" si="304"/>
        <v>-81.359685622027257</v>
      </c>
      <c r="X611" s="581">
        <f t="shared" si="305"/>
        <v>-342.34999568788731</v>
      </c>
      <c r="Y611" s="584">
        <f t="shared" si="306"/>
        <v>-162.34999568788731</v>
      </c>
      <c r="AA611" s="147">
        <f t="shared" si="307"/>
        <v>831760</v>
      </c>
      <c r="AB611" s="147">
        <f t="shared" si="308"/>
        <v>691824697600</v>
      </c>
      <c r="AD611" s="583">
        <f t="shared" si="309"/>
        <v>-2.3267281108200768</v>
      </c>
      <c r="AE611" s="584">
        <f t="shared" si="310"/>
        <v>-88.209738025372573</v>
      </c>
      <c r="AG611" s="583">
        <f t="shared" si="311"/>
        <v>49.971022461234838</v>
      </c>
      <c r="AH611" s="584">
        <f t="shared" si="312"/>
        <v>69.466073497697366</v>
      </c>
      <c r="AJ611" s="147">
        <f t="shared" si="313"/>
        <v>0</v>
      </c>
      <c r="AK611" s="147">
        <f t="shared" si="325"/>
        <v>0</v>
      </c>
      <c r="AM611" s="147" t="str">
        <f t="shared" si="317"/>
        <v>0.104502077436726-0.445065692549831i</v>
      </c>
      <c r="AN611" s="147" t="str">
        <f t="shared" si="318"/>
        <v>24.671493610536i</v>
      </c>
      <c r="AO611" s="147" t="str">
        <f t="shared" si="319"/>
        <v>-0.018039673623966-0.00423574182764915i</v>
      </c>
      <c r="AP611" s="147" t="str">
        <f t="shared" si="320"/>
        <v>0.149249653760546+0.0741776154249718i</v>
      </c>
      <c r="AQ611" s="147" t="str">
        <f t="shared" si="321"/>
        <v>0.850750346239454-0.0741776154249718i</v>
      </c>
      <c r="AR611" s="147" t="str">
        <f t="shared" si="322"/>
        <v>0.971748196773218+0.0847275165373429i</v>
      </c>
    </row>
    <row r="612" spans="7:44">
      <c r="G612" s="585">
        <v>912010</v>
      </c>
      <c r="H612" s="573">
        <f t="shared" si="314"/>
        <v>912.01</v>
      </c>
      <c r="I612" s="574">
        <f t="shared" si="294"/>
        <v>6299.3357460797051</v>
      </c>
      <c r="J612" s="575">
        <f t="shared" si="295"/>
        <v>1.5706375798976826</v>
      </c>
      <c r="K612" s="575">
        <f t="shared" si="296"/>
        <v>5.1408858352289251</v>
      </c>
      <c r="L612" s="576">
        <f t="shared" si="297"/>
        <v>1.3750292615150379</v>
      </c>
      <c r="M612" s="575">
        <f t="shared" si="298"/>
        <v>6.3486484925400735</v>
      </c>
      <c r="N612" s="576">
        <f t="shared" si="299"/>
        <v>-1.4126237702574271</v>
      </c>
      <c r="O612" s="574">
        <f t="shared" si="300"/>
        <v>17190983.476359032</v>
      </c>
      <c r="P612" s="577">
        <f t="shared" si="301"/>
        <v>1.570796268624868</v>
      </c>
      <c r="Q612" s="586">
        <f t="shared" si="323"/>
        <v>2303.5920028844416</v>
      </c>
      <c r="R612" s="587">
        <f t="shared" si="324"/>
        <v>1.5703622221313296</v>
      </c>
      <c r="S612" s="574">
        <f t="shared" si="302"/>
        <v>34.568343915271086</v>
      </c>
      <c r="T612" s="577">
        <f t="shared" si="303"/>
        <v>1.5418640895876752</v>
      </c>
      <c r="U612" s="578">
        <f t="shared" si="315"/>
        <v>4.7204235017723889E-2</v>
      </c>
      <c r="V612" s="579">
        <f t="shared" si="316"/>
        <v>-1.1067104296260137</v>
      </c>
      <c r="W612" s="580">
        <f t="shared" si="304"/>
        <v>-73.075790856236821</v>
      </c>
      <c r="X612" s="581">
        <f t="shared" si="305"/>
        <v>-243.92192214433459</v>
      </c>
      <c r="Y612" s="584">
        <f t="shared" si="306"/>
        <v>-63.921922144334587</v>
      </c>
      <c r="AA612" s="147">
        <f t="shared" si="307"/>
        <v>912010</v>
      </c>
      <c r="AB612" s="147">
        <f t="shared" si="308"/>
        <v>831762240100</v>
      </c>
      <c r="AD612" s="583">
        <f t="shared" si="309"/>
        <v>-3.1260245933305586</v>
      </c>
      <c r="AE612" s="584">
        <f t="shared" si="310"/>
        <v>-88.367174049321264</v>
      </c>
      <c r="AG612" s="583">
        <f t="shared" si="311"/>
        <v>42.378188054211876</v>
      </c>
      <c r="AH612" s="584">
        <f t="shared" si="312"/>
        <v>-28.735074428739335</v>
      </c>
      <c r="AJ612" s="147">
        <f t="shared" si="313"/>
        <v>0</v>
      </c>
      <c r="AK612" s="147">
        <f t="shared" si="325"/>
        <v>0</v>
      </c>
      <c r="AM612" s="147" t="str">
        <f t="shared" si="317"/>
        <v>1.34131448537533+0.939949159302234i</v>
      </c>
      <c r="AN612" s="147" t="str">
        <f t="shared" si="318"/>
        <v>27.0518525629327i</v>
      </c>
      <c r="AO612" s="147" t="str">
        <f t="shared" si="319"/>
        <v>0.0347462029491534-0.0495830916664555i</v>
      </c>
      <c r="AP612" s="147" t="str">
        <f t="shared" si="320"/>
        <v>-0.0568857475625545-0.156658193217039i</v>
      </c>
      <c r="AQ612" s="147" t="str">
        <f t="shared" si="321"/>
        <v>1.05688574756255+0.156658193217039i</v>
      </c>
      <c r="AR612" s="147" t="str">
        <f t="shared" si="322"/>
        <v>0.771220172985478-0.114315061160655i</v>
      </c>
    </row>
    <row r="613" spans="7:44">
      <c r="G613" s="585">
        <v>1000000</v>
      </c>
      <c r="H613" s="573">
        <f t="shared" si="314"/>
        <v>1000</v>
      </c>
      <c r="I613" s="574">
        <f t="shared" si="294"/>
        <v>6907.0906379602129</v>
      </c>
      <c r="J613" s="575">
        <f t="shared" si="295"/>
        <v>1.5706515480369638</v>
      </c>
      <c r="K613" s="575">
        <f t="shared" si="296"/>
        <v>5.6189043881300362</v>
      </c>
      <c r="L613" s="576">
        <f t="shared" si="297"/>
        <v>1.3918725462665587</v>
      </c>
      <c r="M613" s="575">
        <f t="shared" si="298"/>
        <v>6.9466176350272217</v>
      </c>
      <c r="N613" s="576">
        <f t="shared" si="299"/>
        <v>-1.426339484346494</v>
      </c>
      <c r="O613" s="574">
        <f t="shared" si="300"/>
        <v>18849555.900000028</v>
      </c>
      <c r="P613" s="577">
        <f t="shared" si="301"/>
        <v>1.5707962737432488</v>
      </c>
      <c r="Q613" s="586">
        <f t="shared" si="323"/>
        <v>2525.8406885539025</v>
      </c>
      <c r="R613" s="587">
        <f t="shared" si="324"/>
        <v>1.5704004189964929</v>
      </c>
      <c r="S613" s="574">
        <f t="shared" si="302"/>
        <v>37.900801988740973</v>
      </c>
      <c r="T613" s="577">
        <f t="shared" si="303"/>
        <v>1.5444085985943508</v>
      </c>
      <c r="U613" s="578">
        <f t="shared" si="315"/>
        <v>4.1390878823229497E-2</v>
      </c>
      <c r="V613" s="579">
        <f t="shared" si="316"/>
        <v>-2.1068062305226163</v>
      </c>
      <c r="W613" s="580">
        <f t="shared" si="304"/>
        <v>-74.262605909467339</v>
      </c>
      <c r="X613" s="581">
        <f t="shared" si="305"/>
        <v>-301.18839582735586</v>
      </c>
      <c r="Y613" s="584">
        <f t="shared" si="306"/>
        <v>-121.18839582735586</v>
      </c>
      <c r="AA613" s="147">
        <f t="shared" si="307"/>
        <v>1000000</v>
      </c>
      <c r="AB613" s="147">
        <f t="shared" si="308"/>
        <v>1000000000000</v>
      </c>
      <c r="AD613" s="583">
        <f t="shared" si="309"/>
        <v>-3.9254212464232618</v>
      </c>
      <c r="AE613" s="584">
        <f t="shared" si="310"/>
        <v>-88.510775450598032</v>
      </c>
      <c r="AG613" s="583">
        <f t="shared" si="311"/>
        <v>44.273822308935202</v>
      </c>
      <c r="AH613" s="584">
        <f t="shared" si="312"/>
        <v>28.744590420731047</v>
      </c>
      <c r="AJ613" s="147">
        <f t="shared" si="313"/>
        <v>0</v>
      </c>
      <c r="AK613" s="147">
        <f t="shared" si="325"/>
        <v>0</v>
      </c>
      <c r="AM613" s="147" t="str">
        <f t="shared" si="317"/>
        <v>1.18231107659687-0.983240901992024i</v>
      </c>
      <c r="AN613" s="147" t="str">
        <f t="shared" si="318"/>
        <v>29.6617937993363i</v>
      </c>
      <c r="AO613" s="147" t="str">
        <f t="shared" si="319"/>
        <v>-0.033148396507767-0.0398597294754077i</v>
      </c>
      <c r="AP613" s="147" t="str">
        <f t="shared" si="320"/>
        <v>-0.0303851794328122+0.163873483665337i</v>
      </c>
      <c r="AQ613" s="147" t="str">
        <f t="shared" si="321"/>
        <v>1.03038517943281-0.163873483665337i</v>
      </c>
      <c r="AR613" s="147" t="str">
        <f t="shared" si="322"/>
        <v>0.78849140940536+0.125402457914403i</v>
      </c>
    </row>
    <row r="614" spans="7:44">
      <c r="G614" s="588"/>
      <c r="H614" s="588"/>
      <c r="I614" s="589"/>
      <c r="J614" s="589"/>
      <c r="K614" s="589"/>
      <c r="L614" s="589"/>
      <c r="M614" s="575"/>
      <c r="N614" s="576"/>
      <c r="O614" s="589"/>
      <c r="P614" s="589"/>
      <c r="Q614" s="589"/>
      <c r="R614" s="589"/>
      <c r="S614" s="589"/>
      <c r="T614" s="589"/>
      <c r="U614" s="589"/>
      <c r="V614" s="590"/>
      <c r="W614" s="591"/>
      <c r="X614" s="581"/>
      <c r="Y614" s="592"/>
      <c r="AG614" s="583"/>
      <c r="AH614" s="584"/>
    </row>
    <row r="615" spans="7:44">
      <c r="G615" s="588"/>
      <c r="H615" s="588"/>
      <c r="I615" s="589"/>
      <c r="J615" s="589"/>
      <c r="K615" s="589"/>
      <c r="L615" s="589"/>
      <c r="M615" s="575"/>
      <c r="N615" s="576"/>
      <c r="O615" s="589"/>
      <c r="P615" s="589"/>
      <c r="Q615" s="589"/>
      <c r="R615" s="589"/>
      <c r="S615" s="589"/>
      <c r="T615" s="589"/>
      <c r="U615" s="589"/>
      <c r="V615" s="590"/>
      <c r="W615" s="592"/>
      <c r="X615" s="581"/>
      <c r="Y615" s="592"/>
      <c r="AG615" s="583"/>
      <c r="AH615" s="584"/>
    </row>
    <row r="616" spans="7:44">
      <c r="G616" s="147" t="s">
        <v>724</v>
      </c>
      <c r="M616" s="575"/>
      <c r="N616" s="576"/>
      <c r="W616" s="580"/>
      <c r="X616" s="581"/>
      <c r="Y616" s="592"/>
      <c r="AG616" s="583"/>
      <c r="AH616" s="584"/>
    </row>
    <row r="617" spans="7:44">
      <c r="G617" s="593">
        <f>W4*1000</f>
        <v>4365.2</v>
      </c>
      <c r="H617" s="593"/>
      <c r="I617" s="594">
        <f t="shared" ref="I617:I626" si="326">SQRT(1+(G617/pole1)^2)</f>
        <v>30.167410469289926</v>
      </c>
      <c r="J617" s="586">
        <f t="shared" ref="J617:J626" si="327">ATAN(G617/pole1)</f>
        <v>1.5376418991984888</v>
      </c>
      <c r="K617" s="586">
        <f t="shared" ref="K617:K626" si="328">SQRT(1+(G617/Zero1)^2)</f>
        <v>1.0002912327034199</v>
      </c>
      <c r="L617" s="587">
        <f t="shared" ref="L617:L626" si="329">ATAN(G617/Zero1)</f>
        <v>2.4131392026754326E-2</v>
      </c>
      <c r="M617" s="575">
        <v>1</v>
      </c>
      <c r="N617" s="576">
        <v>0</v>
      </c>
      <c r="O617" s="594">
        <f t="shared" ref="O617:O626" si="330">SQRT(1+(G617/Pole2)^2)</f>
        <v>82282.081420756658</v>
      </c>
      <c r="P617" s="595">
        <f t="shared" ref="P617:P626" si="331">ATAN(G617/Pole2)</f>
        <v>1.570784173480557</v>
      </c>
      <c r="Q617" s="586">
        <f t="shared" ref="Q617:Q626" si="332">SQRT(1+(G617/Zero2)^2)</f>
        <v>11.0710542223499</v>
      </c>
      <c r="R617" s="587">
        <f t="shared" ref="R617:R626" si="333">ATAN(G617/Zero2)</f>
        <v>1.4803474153056926</v>
      </c>
      <c r="S617" s="594">
        <f t="shared" ref="S617:S626" si="334">SQRT(1+(G617/pole4)^2)</f>
        <v>1.0135841624446871</v>
      </c>
      <c r="T617" s="595">
        <f t="shared" ref="T617:T626" si="335">ATAN(G617/pole4)</f>
        <v>0.16390332263154742</v>
      </c>
      <c r="U617" s="594" t="e">
        <v>#DIV/0!</v>
      </c>
      <c r="V617" s="596" t="e">
        <v>#DIV/0!</v>
      </c>
      <c r="W617" s="580" t="e">
        <f>20*LOG10(((K617*Q617*M617)/(I617*O617*U617*S617))*Adc)</f>
        <v>#DIV/0!</v>
      </c>
      <c r="X617" s="581" t="e">
        <f>((L617+R617+N617)-(J617+P617+V617+T617))*radconv</f>
        <v>#DIV/0!</v>
      </c>
      <c r="Y617" s="584" t="e">
        <f t="shared" ref="Y617:Y626" si="336">IF(X617&gt;0,X617,X617+180)</f>
        <v>#DIV/0!</v>
      </c>
      <c r="Z617" s="147" t="s">
        <v>725</v>
      </c>
      <c r="AD617" s="583">
        <f>20*LOG10((Q617/(O617*S617))*Aea)</f>
        <v>27.56592795628184</v>
      </c>
      <c r="AE617" s="584">
        <f>(R617-(P617+T617))*radconv</f>
        <v>-14.572613207875349</v>
      </c>
      <c r="AG617" s="583" t="e">
        <f>20*LOG10((K617*M617/(I617*U617))*Acs*Am)</f>
        <v>#DIV/0!</v>
      </c>
      <c r="AH617" s="584" t="e">
        <f>(L617+N617-(J617+V617))*radconv</f>
        <v>#DIV/0!</v>
      </c>
    </row>
    <row r="618" spans="7:44">
      <c r="G618" s="593">
        <f>G617</f>
        <v>4365.2</v>
      </c>
      <c r="H618" s="593"/>
      <c r="I618" s="594"/>
      <c r="J618" s="586"/>
      <c r="K618" s="586"/>
      <c r="L618" s="587"/>
      <c r="M618" s="575"/>
      <c r="N618" s="576"/>
      <c r="O618" s="594"/>
      <c r="P618" s="595"/>
      <c r="Q618" s="586"/>
      <c r="R618" s="587"/>
      <c r="S618" s="574"/>
      <c r="T618" s="577"/>
      <c r="U618" s="594"/>
      <c r="V618" s="579"/>
      <c r="W618" s="580"/>
      <c r="X618" s="581">
        <v>-135</v>
      </c>
      <c r="Y618" s="584"/>
      <c r="AD618" s="583"/>
      <c r="AE618" s="584"/>
      <c r="AG618" s="583"/>
      <c r="AH618" s="584"/>
    </row>
    <row r="619" spans="7:44">
      <c r="G619" s="147">
        <f>G618</f>
        <v>4365.2</v>
      </c>
      <c r="H619" s="593"/>
      <c r="I619" s="594"/>
      <c r="J619" s="586"/>
      <c r="K619" s="586"/>
      <c r="L619" s="587"/>
      <c r="M619" s="575"/>
      <c r="N619" s="576"/>
      <c r="O619" s="594"/>
      <c r="P619" s="595"/>
      <c r="Q619" s="586"/>
      <c r="R619" s="587"/>
      <c r="S619" s="574"/>
      <c r="T619" s="577"/>
      <c r="U619" s="594"/>
      <c r="V619" s="579"/>
      <c r="W619" s="580"/>
      <c r="X619" s="581"/>
      <c r="Y619" s="584"/>
      <c r="AD619" s="583"/>
      <c r="AE619" s="584"/>
      <c r="AG619" s="583"/>
      <c r="AH619" s="584"/>
    </row>
    <row r="620" spans="7:44">
      <c r="G620" s="593">
        <v>1000000</v>
      </c>
      <c r="H620" s="593"/>
      <c r="I620" s="594"/>
      <c r="J620" s="586"/>
      <c r="K620" s="586"/>
      <c r="L620" s="587"/>
      <c r="M620" s="575"/>
      <c r="N620" s="576"/>
      <c r="O620" s="594"/>
      <c r="P620" s="595"/>
      <c r="Q620" s="586"/>
      <c r="R620" s="587"/>
      <c r="S620" s="574"/>
      <c r="T620" s="577"/>
      <c r="U620" s="594"/>
      <c r="V620" s="579"/>
      <c r="W620" s="580"/>
      <c r="X620" s="581" t="e">
        <f>X617</f>
        <v>#DIV/0!</v>
      </c>
      <c r="Y620" s="584"/>
      <c r="AD620" s="583"/>
      <c r="AE620" s="584"/>
      <c r="AG620" s="583"/>
      <c r="AH620" s="584"/>
    </row>
    <row r="621" spans="7:44">
      <c r="G621" s="593"/>
      <c r="H621" s="593"/>
      <c r="I621" s="594"/>
      <c r="J621" s="586"/>
      <c r="K621" s="586"/>
      <c r="L621" s="587"/>
      <c r="M621" s="575"/>
      <c r="N621" s="576"/>
      <c r="O621" s="594"/>
      <c r="P621" s="595"/>
      <c r="Q621" s="586"/>
      <c r="R621" s="587"/>
      <c r="S621" s="574"/>
      <c r="T621" s="577"/>
      <c r="U621" s="594"/>
      <c r="V621" s="579"/>
      <c r="W621" s="580"/>
      <c r="X621" s="581"/>
      <c r="Y621" s="584"/>
      <c r="AD621" s="583"/>
      <c r="AE621" s="584"/>
      <c r="AG621" s="583"/>
      <c r="AH621" s="584"/>
    </row>
    <row r="622" spans="7:44">
      <c r="G622" s="597">
        <f>pole1</f>
        <v>144.77875894441169</v>
      </c>
      <c r="H622" s="593"/>
      <c r="I622" s="594">
        <f t="shared" si="326"/>
        <v>1.4142135623730951</v>
      </c>
      <c r="J622" s="586">
        <f t="shared" si="327"/>
        <v>0.78539816339744828</v>
      </c>
      <c r="K622" s="586">
        <f t="shared" si="328"/>
        <v>1.0000003204090053</v>
      </c>
      <c r="L622" s="587">
        <f t="shared" si="329"/>
        <v>8.0051098656360755E-4</v>
      </c>
      <c r="M622" s="575">
        <v>1</v>
      </c>
      <c r="N622" s="576">
        <v>0</v>
      </c>
      <c r="O622" s="594">
        <f t="shared" si="330"/>
        <v>2729.0154930715748</v>
      </c>
      <c r="P622" s="595">
        <f t="shared" si="331"/>
        <v>1.5704298942755806</v>
      </c>
      <c r="Q622" s="586">
        <f t="shared" si="332"/>
        <v>1.0647665241849698</v>
      </c>
      <c r="R622" s="587">
        <f t="shared" si="333"/>
        <v>0.35058188304969057</v>
      </c>
      <c r="S622" s="574">
        <f t="shared" si="334"/>
        <v>1.0000150442588254</v>
      </c>
      <c r="T622" s="577">
        <f t="shared" si="335"/>
        <v>5.4852657583315725E-3</v>
      </c>
      <c r="U622" s="594" t="e">
        <f>SQRT((1-(G622^2/(pole3^2)))^2+(G622/(Q*pole3))^2)</f>
        <v>#DIV/0!</v>
      </c>
      <c r="V622" s="579" t="e">
        <f>ATAN((G622/(Q*pole3))/(1-G622^2/pole3^2))</f>
        <v>#NAME?</v>
      </c>
      <c r="W622" s="580" t="e">
        <f t="shared" ref="W622:W628" si="337">20*LOG10(((K622*Q622*M622)/(I622*O622*U622*S622))*Adc)</f>
        <v>#DIV/0!</v>
      </c>
      <c r="X622" s="581" t="e">
        <f t="shared" ref="X622:X628" si="338">((L622+R622+N622)-(J622+P622+V622+T622))*radconv</f>
        <v>#NAME?</v>
      </c>
      <c r="Y622" s="584" t="e">
        <f t="shared" si="336"/>
        <v>#NAME?</v>
      </c>
      <c r="Z622" s="147" t="s">
        <v>713</v>
      </c>
      <c r="AD622" s="583">
        <f>20*LOG10((Q622/(O622*S622))*Aea)</f>
        <v>36.93028717839038</v>
      </c>
      <c r="AE622" s="584">
        <f>(R622-(P622+T622))*radconv</f>
        <v>-70.206425348353122</v>
      </c>
      <c r="AG622" s="583" t="e">
        <f t="shared" ref="AG622:AG628" si="339">20*LOG10((K622*M622/(I622*U622))*Acs*Am)</f>
        <v>#DIV/0!</v>
      </c>
      <c r="AH622" s="584" t="e">
        <f t="shared" ref="AH622:AH628" si="340">(L622+N622-(J622+V622))*radconv</f>
        <v>#NAME?</v>
      </c>
    </row>
    <row r="623" spans="7:44">
      <c r="G623" s="597">
        <f>Zero1</f>
        <v>180857.8900838141</v>
      </c>
      <c r="H623" s="593"/>
      <c r="I623" s="594">
        <f t="shared" si="326"/>
        <v>1249.2022265624739</v>
      </c>
      <c r="J623" s="586">
        <f t="shared" si="327"/>
        <v>1.5699958158083329</v>
      </c>
      <c r="K623" s="586">
        <f t="shared" si="328"/>
        <v>1.4142135623730951</v>
      </c>
      <c r="L623" s="587">
        <f t="shared" si="329"/>
        <v>0.78539816339744828</v>
      </c>
      <c r="M623" s="575">
        <v>1</v>
      </c>
      <c r="N623" s="576">
        <v>0</v>
      </c>
      <c r="O623" s="594">
        <f t="shared" si="330"/>
        <v>3409090.9090910563</v>
      </c>
      <c r="P623" s="595">
        <f t="shared" si="331"/>
        <v>1.5707960334615634</v>
      </c>
      <c r="Q623" s="586">
        <f t="shared" si="332"/>
        <v>456.81927634423391</v>
      </c>
      <c r="R623" s="587">
        <f t="shared" si="333"/>
        <v>1.5686072755651397</v>
      </c>
      <c r="S623" s="574">
        <f t="shared" si="334"/>
        <v>6.9248567876112537</v>
      </c>
      <c r="T623" s="577">
        <f t="shared" si="335"/>
        <v>1.4258823400583358</v>
      </c>
      <c r="U623" s="594" t="e">
        <f>SQRT((1-(G623^2/(pole3^2)))^2+(G623/(Q*pole3))^2)</f>
        <v>#DIV/0!</v>
      </c>
      <c r="V623" s="579" t="e">
        <f>ATAN((G623/(Q*pole3))/(1-G623^2/pole3^2))</f>
        <v>#NAME?</v>
      </c>
      <c r="W623" s="580" t="e">
        <f t="shared" si="337"/>
        <v>#DIV/0!</v>
      </c>
      <c r="X623" s="581" t="e">
        <f t="shared" si="338"/>
        <v>#NAME?</v>
      </c>
      <c r="Y623" s="584" t="e">
        <f t="shared" si="336"/>
        <v>#NAME?</v>
      </c>
      <c r="Z623" s="147" t="s">
        <v>714</v>
      </c>
      <c r="AD623" s="583">
        <f>20*LOG10((Q623/(O623*S623))*Aea)</f>
        <v>10.839350956108333</v>
      </c>
      <c r="AE623" s="584">
        <f>(R623-(P623+T623))*radconv</f>
        <v>-81.822446850917061</v>
      </c>
      <c r="AG623" s="583" t="e">
        <f t="shared" si="339"/>
        <v>#DIV/0!</v>
      </c>
      <c r="AH623" s="584" t="e">
        <f t="shared" si="340"/>
        <v>#NAME?</v>
      </c>
    </row>
    <row r="624" spans="7:44">
      <c r="G624" s="597">
        <f>Pole2</f>
        <v>5.3051647757918791E-2</v>
      </c>
      <c r="H624" s="593"/>
      <c r="I624" s="594">
        <f t="shared" si="326"/>
        <v>1.0000000671363993</v>
      </c>
      <c r="J624" s="586">
        <f t="shared" si="327"/>
        <v>3.6643251931606799E-4</v>
      </c>
      <c r="K624" s="586">
        <f t="shared" si="328"/>
        <v>1.0000000000000431</v>
      </c>
      <c r="L624" s="587">
        <f t="shared" si="329"/>
        <v>2.9333333333332484E-7</v>
      </c>
      <c r="M624" s="575">
        <v>1</v>
      </c>
      <c r="N624" s="576">
        <v>0</v>
      </c>
      <c r="O624" s="594">
        <f t="shared" si="330"/>
        <v>1.4142135623730951</v>
      </c>
      <c r="P624" s="595">
        <f t="shared" si="331"/>
        <v>0.78539816339744828</v>
      </c>
      <c r="Q624" s="586">
        <f t="shared" si="332"/>
        <v>1.0000000089779999</v>
      </c>
      <c r="R624" s="587">
        <f t="shared" si="333"/>
        <v>1.3399999919796535E-4</v>
      </c>
      <c r="S624" s="574">
        <f t="shared" si="334"/>
        <v>1.0000000000020202</v>
      </c>
      <c r="T624" s="577">
        <f t="shared" si="335"/>
        <v>2.0099999999972935E-6</v>
      </c>
      <c r="U624" s="594" t="e">
        <f>SQRT((1-(G624^2/(pole3^2)))^2+(G624/(Q*pole3))^2)</f>
        <v>#DIV/0!</v>
      </c>
      <c r="V624" s="579" t="e">
        <f>ATAN((G624/(Q*pole3))/(1-G624^2/pole3^2))</f>
        <v>#NAME?</v>
      </c>
      <c r="W624" s="580" t="e">
        <f t="shared" si="337"/>
        <v>#DIV/0!</v>
      </c>
      <c r="X624" s="581" t="e">
        <f t="shared" si="338"/>
        <v>#NAME?</v>
      </c>
      <c r="Y624" s="584" t="e">
        <f t="shared" si="336"/>
        <v>#NAME?</v>
      </c>
      <c r="Z624" s="147" t="s">
        <v>715</v>
      </c>
      <c r="AC624" s="147">
        <f>Pole2</f>
        <v>5.3051647757918791E-2</v>
      </c>
      <c r="AD624" s="583">
        <f>20*LOG10((Q624/(O624*S624))*Aea)</f>
        <v>102.09515022339068</v>
      </c>
      <c r="AE624" s="584">
        <f>(R624-(P624+T624))*radconv</f>
        <v>-44.992437581519376</v>
      </c>
      <c r="AG624" s="583" t="e">
        <f t="shared" si="339"/>
        <v>#DIV/0!</v>
      </c>
      <c r="AH624" s="584" t="e">
        <f t="shared" si="340"/>
        <v>#NAME?</v>
      </c>
    </row>
    <row r="625" spans="7:34">
      <c r="G625" s="597">
        <f>Zero2</f>
        <v>395.90781908894616</v>
      </c>
      <c r="H625" s="593"/>
      <c r="I625" s="594">
        <f t="shared" si="326"/>
        <v>2.9116798313683869</v>
      </c>
      <c r="J625" s="586">
        <f t="shared" si="327"/>
        <v>1.220214443745206</v>
      </c>
      <c r="K625" s="586">
        <f t="shared" si="328"/>
        <v>1.0000023959774271</v>
      </c>
      <c r="L625" s="587">
        <f t="shared" si="329"/>
        <v>2.1890512297568824E-3</v>
      </c>
      <c r="M625" s="575">
        <v>1</v>
      </c>
      <c r="N625" s="576">
        <v>0</v>
      </c>
      <c r="O625" s="594">
        <f t="shared" si="330"/>
        <v>7462.686634164178</v>
      </c>
      <c r="P625" s="595">
        <f t="shared" si="331"/>
        <v>1.5706623267956987</v>
      </c>
      <c r="Q625" s="586">
        <f t="shared" si="332"/>
        <v>1.4142135623730951</v>
      </c>
      <c r="R625" s="587">
        <f t="shared" si="333"/>
        <v>0.78539816339744828</v>
      </c>
      <c r="S625" s="574">
        <f t="shared" si="334"/>
        <v>1.0001124936725867</v>
      </c>
      <c r="T625" s="577">
        <f t="shared" si="335"/>
        <v>1.4998875151850595E-2</v>
      </c>
      <c r="U625" s="594" t="e">
        <f>SQRT((1-(G625^2/(pole3^2)))^2+(G625/(Q*pole3))^2)</f>
        <v>#DIV/0!</v>
      </c>
      <c r="V625" s="579" t="e">
        <f>ATAN((G625/(Q*pole3))/(1-G625^2/pole3^2))</f>
        <v>#NAME?</v>
      </c>
      <c r="W625" s="580" t="e">
        <f t="shared" si="337"/>
        <v>#DIV/0!</v>
      </c>
      <c r="X625" s="581" t="e">
        <f t="shared" si="338"/>
        <v>#NAME?</v>
      </c>
      <c r="Y625" s="584" t="e">
        <f t="shared" si="336"/>
        <v>#NAME?</v>
      </c>
      <c r="Z625" s="147" t="s">
        <v>726</v>
      </c>
      <c r="AC625" s="147">
        <f>Zero2</f>
        <v>395.90781908894616</v>
      </c>
      <c r="AD625" s="583">
        <f>20*LOG10((Q625/(O625*S625))*Aea)</f>
        <v>30.656868895350193</v>
      </c>
      <c r="AE625" s="584">
        <f>(R625-(P625+T625))*radconv</f>
        <v>-45.851694661629082</v>
      </c>
      <c r="AG625" s="583" t="e">
        <f t="shared" si="339"/>
        <v>#DIV/0!</v>
      </c>
      <c r="AH625" s="584" t="e">
        <f t="shared" si="340"/>
        <v>#NAME?</v>
      </c>
    </row>
    <row r="626" spans="7:34">
      <c r="G626" s="597">
        <f>pole3</f>
        <v>0</v>
      </c>
      <c r="H626" s="593"/>
      <c r="I626" s="594">
        <f t="shared" si="326"/>
        <v>1</v>
      </c>
      <c r="J626" s="586">
        <f t="shared" si="327"/>
        <v>0</v>
      </c>
      <c r="K626" s="586">
        <f t="shared" si="328"/>
        <v>1</v>
      </c>
      <c r="L626" s="587">
        <f t="shared" si="329"/>
        <v>0</v>
      </c>
      <c r="M626" s="575">
        <v>1</v>
      </c>
      <c r="N626" s="576">
        <v>0</v>
      </c>
      <c r="O626" s="594">
        <f t="shared" si="330"/>
        <v>1</v>
      </c>
      <c r="P626" s="595">
        <f t="shared" si="331"/>
        <v>0</v>
      </c>
      <c r="Q626" s="586">
        <f t="shared" si="332"/>
        <v>1</v>
      </c>
      <c r="R626" s="587">
        <f t="shared" si="333"/>
        <v>0</v>
      </c>
      <c r="S626" s="574">
        <f t="shared" si="334"/>
        <v>1</v>
      </c>
      <c r="T626" s="577">
        <f t="shared" si="335"/>
        <v>0</v>
      </c>
      <c r="U626" s="594" t="e">
        <f>SQRT((1-(G626^2/(pole3^2)))^2+(G626/(Q*pole3))^2)</f>
        <v>#DIV/0!</v>
      </c>
      <c r="V626" s="579" t="e">
        <f>ATAN((G626/(Q*pole3))/(1-G626^2/pole3^2))</f>
        <v>#NAME?</v>
      </c>
      <c r="W626" s="580" t="e">
        <f t="shared" si="337"/>
        <v>#DIV/0!</v>
      </c>
      <c r="X626" s="581" t="e">
        <f t="shared" si="338"/>
        <v>#NAME?</v>
      </c>
      <c r="Y626" s="584" t="e">
        <f t="shared" si="336"/>
        <v>#NAME?</v>
      </c>
      <c r="Z626" s="147" t="s">
        <v>691</v>
      </c>
      <c r="AD626" s="583">
        <f>20*LOG10((Q626/(O626*S626))*Aea)</f>
        <v>105.10545010206611</v>
      </c>
      <c r="AE626" s="584">
        <f>(R626-(P626+T626))*radconv</f>
        <v>0</v>
      </c>
      <c r="AG626" s="583" t="e">
        <f t="shared" si="339"/>
        <v>#DIV/0!</v>
      </c>
      <c r="AH626" s="584" t="e">
        <f t="shared" si="340"/>
        <v>#NAME?</v>
      </c>
    </row>
    <row r="627" spans="7:34" ht="13.8" thickBot="1">
      <c r="G627" s="172">
        <v>195034.73926858415</v>
      </c>
      <c r="I627" s="594">
        <f>SQRT(1+(G627/pole1)^2)</f>
        <v>1347.1229787220186</v>
      </c>
      <c r="J627" s="586">
        <f>ATAN(G627/pole1)</f>
        <v>1.5700540040020738</v>
      </c>
      <c r="K627" s="586">
        <f>SQRT(1+(G627/Zero1)^2)</f>
        <v>1.4706861756271037</v>
      </c>
      <c r="L627" s="587">
        <f>ATAN(G627/Zero1)</f>
        <v>0.82309545229484571</v>
      </c>
      <c r="M627" s="575">
        <v>1</v>
      </c>
      <c r="N627" s="576">
        <v>0</v>
      </c>
      <c r="O627" s="594">
        <f>SQRT(1+(G627/Pole2)^2)</f>
        <v>3676318.2202852382</v>
      </c>
      <c r="P627" s="595">
        <f>ATAN(G627/Pole2)</f>
        <v>1.5707960547836233</v>
      </c>
      <c r="Q627" s="586">
        <f>SQRT(1+(G627/Zero2)^2)</f>
        <v>492.62765648459572</v>
      </c>
      <c r="R627" s="587">
        <f>ATAN(G627/Zero2)</f>
        <v>1.5687663947080401</v>
      </c>
      <c r="S627" s="574">
        <f>SQRT(1+(G627/pole4)^2)</f>
        <v>7.456757122572693</v>
      </c>
      <c r="T627" s="577">
        <f>ATAN(G627/pole4)</f>
        <v>1.4362845098303387</v>
      </c>
      <c r="U627" s="594" t="e">
        <v>#DIV/0!</v>
      </c>
      <c r="V627" s="579" t="e">
        <v>#DIV/0!</v>
      </c>
      <c r="W627" s="580" t="e">
        <f t="shared" si="337"/>
        <v>#DIV/0!</v>
      </c>
      <c r="X627" s="581" t="e">
        <f t="shared" si="338"/>
        <v>#DIV/0!</v>
      </c>
      <c r="Y627" s="584" t="e">
        <f>IF(X627&gt;0,X627,X627+180)</f>
        <v>#DIV/0!</v>
      </c>
      <c r="Z627" s="147" t="s">
        <v>727</v>
      </c>
      <c r="AD627" s="598"/>
      <c r="AE627" s="599"/>
      <c r="AG627" s="583" t="e">
        <f t="shared" si="339"/>
        <v>#DIV/0!</v>
      </c>
      <c r="AH627" s="584" t="e">
        <f t="shared" si="340"/>
        <v>#DIV/0!</v>
      </c>
    </row>
    <row r="628" spans="7:34">
      <c r="G628" s="172">
        <f>z_RHP</f>
        <v>145470.13250529912</v>
      </c>
      <c r="I628" s="594">
        <f>SQRT(1+(G628/pole1)^2)</f>
        <v>1004.7758774232254</v>
      </c>
      <c r="J628" s="586">
        <f>ATAN(G628/pole1)</f>
        <v>1.5698010798074284</v>
      </c>
      <c r="K628" s="586">
        <f>SQRT(1+(G628/Zero1)^2)</f>
        <v>1.2833366769869079</v>
      </c>
      <c r="L628" s="587">
        <f>ATAN(G628/Zero1)</f>
        <v>0.67737798452581033</v>
      </c>
      <c r="M628" s="575">
        <v>1</v>
      </c>
      <c r="N628" s="576">
        <v>0</v>
      </c>
      <c r="O628" s="594">
        <f>SQRT(1+(G628/Pole2)^2)</f>
        <v>2742047.3944392251</v>
      </c>
      <c r="P628" s="595">
        <f>ATAN(G628/Pole2)</f>
        <v>1.5707959621038989</v>
      </c>
      <c r="Q628" s="586">
        <f>SQRT(1+(G628/Zero2)^2)</f>
        <v>367.43571163961678</v>
      </c>
      <c r="R628" s="587">
        <f>ATAN(G628/Zero2)</f>
        <v>1.568074758904755</v>
      </c>
      <c r="S628" s="574">
        <f>SQRT(1+(G628/pole4)^2)</f>
        <v>5.6014998431067653</v>
      </c>
      <c r="T628" s="577">
        <f>ATAN(G628/pole4)</f>
        <v>1.3913105700962525</v>
      </c>
      <c r="U628" s="594" t="e">
        <v>#DIV/0!</v>
      </c>
      <c r="V628" s="579" t="e">
        <v>#DIV/0!</v>
      </c>
      <c r="W628" s="580" t="e">
        <f t="shared" si="337"/>
        <v>#DIV/0!</v>
      </c>
      <c r="X628" s="581" t="e">
        <f t="shared" si="338"/>
        <v>#DIV/0!</v>
      </c>
      <c r="Y628" s="584" t="e">
        <f>IF(X628&gt;0,X628,X628+180)</f>
        <v>#DIV/0!</v>
      </c>
      <c r="Z628" s="147" t="s">
        <v>712</v>
      </c>
      <c r="AD628" s="592"/>
      <c r="AE628" s="592"/>
      <c r="AG628" s="583" t="e">
        <f t="shared" si="339"/>
        <v>#DIV/0!</v>
      </c>
      <c r="AH628" s="584" t="e">
        <f t="shared" si="340"/>
        <v>#DIV/0!</v>
      </c>
    </row>
    <row r="629" spans="7:34">
      <c r="G629" s="172">
        <v>195034.73926858415</v>
      </c>
      <c r="W629" s="580">
        <v>-25</v>
      </c>
    </row>
    <row r="631" spans="7:34">
      <c r="J631" s="147" t="s">
        <v>728</v>
      </c>
      <c r="K631" s="147" t="s">
        <v>729</v>
      </c>
    </row>
    <row r="632" spans="7:34">
      <c r="G632" s="147" t="s">
        <v>713</v>
      </c>
      <c r="H632" s="147" t="s">
        <v>730</v>
      </c>
      <c r="I632" s="149">
        <f>pole1</f>
        <v>144.77875894441169</v>
      </c>
      <c r="J632" s="149" t="e">
        <f>W622</f>
        <v>#DIV/0!</v>
      </c>
      <c r="K632" s="149" t="e">
        <f>AG622</f>
        <v>#DIV/0!</v>
      </c>
    </row>
    <row r="633" spans="7:34">
      <c r="G633" s="147" t="s">
        <v>714</v>
      </c>
      <c r="H633" s="147" t="s">
        <v>731</v>
      </c>
      <c r="I633" s="149">
        <f>Zero1</f>
        <v>180857.8900838141</v>
      </c>
      <c r="J633" s="149" t="e">
        <f>W623</f>
        <v>#DIV/0!</v>
      </c>
      <c r="K633" s="149" t="e">
        <f>AG623</f>
        <v>#DIV/0!</v>
      </c>
    </row>
    <row r="634" spans="7:34">
      <c r="G634" s="147" t="s">
        <v>715</v>
      </c>
      <c r="H634" s="147" t="s">
        <v>732</v>
      </c>
      <c r="I634" s="149">
        <f>Pole2</f>
        <v>5.3051647757918791E-2</v>
      </c>
      <c r="J634" s="149" t="e">
        <f>W624</f>
        <v>#DIV/0!</v>
      </c>
      <c r="K634" s="149" t="e">
        <f>AG624</f>
        <v>#DIV/0!</v>
      </c>
    </row>
    <row r="635" spans="7:34">
      <c r="G635" s="147" t="s">
        <v>726</v>
      </c>
      <c r="H635" s="147" t="s">
        <v>733</v>
      </c>
      <c r="I635" s="149">
        <f>Zero2</f>
        <v>395.90781908894616</v>
      </c>
      <c r="J635" s="149" t="e">
        <f>W625</f>
        <v>#DIV/0!</v>
      </c>
      <c r="K635" s="149" t="e">
        <f>AG625</f>
        <v>#DIV/0!</v>
      </c>
    </row>
    <row r="636" spans="7:34">
      <c r="G636" s="147" t="s">
        <v>691</v>
      </c>
      <c r="H636" s="147" t="s">
        <v>734</v>
      </c>
      <c r="I636" s="147">
        <f>pole3</f>
        <v>0</v>
      </c>
      <c r="J636" s="149" t="e">
        <f>W626</f>
        <v>#DIV/0!</v>
      </c>
      <c r="K636" s="149" t="e">
        <f>AG626</f>
        <v>#DIV/0!</v>
      </c>
    </row>
    <row r="637" spans="7:34">
      <c r="I637" s="172"/>
      <c r="J637" s="149"/>
      <c r="K637" s="149"/>
    </row>
    <row r="639" spans="7:34">
      <c r="G639" s="149">
        <f>W4*1000</f>
        <v>4365.2</v>
      </c>
    </row>
    <row r="640" spans="7:34">
      <c r="G640" s="149">
        <f>W4*1000</f>
        <v>4365.2</v>
      </c>
    </row>
    <row r="687" spans="36:37">
      <c r="AJ687" s="147" t="s">
        <v>705</v>
      </c>
      <c r="AK687" s="149">
        <f>SUM(AK689:AK1306)</f>
        <v>0</v>
      </c>
    </row>
  </sheetData>
  <sheetProtection algorithmName="SHA-512" hashValue="3wRbkLafQbWEivON440wq1tRtzjKSQuX0+eAYjdySUS0l8YP+HdKBoadk1H5JN48H/8nnVQKvlUIHNGXSS7ncQ==" saltValue="FWF0zQLVZY8DG1HaDs4a7Q==" spinCount="100000" sheet="1" selectLockedCells="1" selectUnlockedCells="1"/>
  <mergeCells count="20">
    <mergeCell ref="W10:Y10"/>
    <mergeCell ref="AD10:AE10"/>
    <mergeCell ref="AG10:AH10"/>
    <mergeCell ref="I11:J11"/>
    <mergeCell ref="K11:L11"/>
    <mergeCell ref="M11:N11"/>
    <mergeCell ref="O11:P11"/>
    <mergeCell ref="Q11:R11"/>
    <mergeCell ref="S11:T11"/>
    <mergeCell ref="U11:V11"/>
    <mergeCell ref="G2:J2"/>
    <mergeCell ref="K2:M2"/>
    <mergeCell ref="P2:R2"/>
    <mergeCell ref="S2:U2"/>
    <mergeCell ref="V2:X2"/>
    <mergeCell ref="G10:G12"/>
    <mergeCell ref="H10:H11"/>
    <mergeCell ref="I10:N10"/>
    <mergeCell ref="O10:T10"/>
    <mergeCell ref="U10:V10"/>
  </mergeCells>
  <phoneticPr fontId="83"/>
  <hyperlinks>
    <hyperlink ref="C50" r:id="rId1" display="Gpwr_@Fco" xr:uid="{4F4202D4-BC5C-4B6D-9289-7BEBC6947453}"/>
  </hyperlinks>
  <pageMargins left="0.75" right="0.75" top="1" bottom="1" header="0.5" footer="0.5"/>
  <pageSetup scale="48" orientation="portrait" horizontalDpi="300" verticalDpi="300" r:id="rId2"/>
  <headerFooter alignWithMargins="0"/>
  <colBreaks count="1" manualBreakCount="1">
    <brk id="25"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40353" r:id="rId5" name="Drop Down 1">
              <controlPr locked="0" defaultSize="0" autoLine="0" autoPict="0">
                <anchor moveWithCells="1">
                  <from>
                    <xdr:col>0</xdr:col>
                    <xdr:colOff>38100</xdr:colOff>
                    <xdr:row>2</xdr:row>
                    <xdr:rowOff>129540</xdr:rowOff>
                  </from>
                  <to>
                    <xdr:col>1</xdr:col>
                    <xdr:colOff>106680</xdr:colOff>
                    <xdr:row>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sheetPr>
  <dimension ref="A1:Z299"/>
  <sheetViews>
    <sheetView zoomScale="70" zoomScaleNormal="70" workbookViewId="0">
      <pane ySplit="5" topLeftCell="A39" activePane="bottomLeft" state="frozenSplit"/>
      <selection pane="bottomLeft" activeCell="B72" sqref="B72"/>
    </sheetView>
  </sheetViews>
  <sheetFormatPr defaultRowHeight="13.2"/>
  <cols>
    <col min="1" max="1" width="40.44140625" customWidth="1"/>
    <col min="2" max="2" width="11.77734375" customWidth="1"/>
    <col min="3" max="3" width="9.44140625" style="3" customWidth="1"/>
    <col min="4" max="4" width="10.21875" customWidth="1"/>
    <col min="5" max="5" width="11.5546875" customWidth="1"/>
    <col min="6" max="6" width="14.77734375" customWidth="1"/>
    <col min="7" max="7" width="12.44140625" bestFit="1" customWidth="1"/>
    <col min="8" max="8" width="20.21875" customWidth="1"/>
    <col min="9" max="9" width="14.44140625" customWidth="1"/>
    <col min="10" max="10" width="12.44140625" bestFit="1" customWidth="1"/>
    <col min="11" max="11" width="12" customWidth="1"/>
    <col min="12" max="12" width="8.77734375" customWidth="1"/>
    <col min="13" max="13" width="7" customWidth="1"/>
    <col min="14" max="14" width="9.21875" customWidth="1"/>
    <col min="16" max="16" width="7.21875" customWidth="1"/>
    <col min="17" max="17" width="11" customWidth="1"/>
    <col min="18" max="18" width="13.77734375" customWidth="1"/>
    <col min="19" max="19" width="5.44140625" customWidth="1"/>
    <col min="20" max="20" width="16.21875" customWidth="1"/>
    <col min="22" max="22" width="9.77734375" customWidth="1"/>
    <col min="23" max="23" width="11.21875" customWidth="1"/>
    <col min="24" max="24" width="5.77734375" customWidth="1"/>
    <col min="25" max="25" width="12" bestFit="1" customWidth="1"/>
    <col min="26" max="26" width="7.77734375" customWidth="1"/>
  </cols>
  <sheetData>
    <row r="1" spans="1:26" ht="30.75" customHeight="1">
      <c r="A1" s="809" t="s">
        <v>171</v>
      </c>
      <c r="B1" s="809"/>
      <c r="C1" s="809"/>
      <c r="D1" s="809"/>
      <c r="E1" s="809"/>
      <c r="F1" s="809"/>
      <c r="G1" s="809"/>
      <c r="H1" s="809"/>
      <c r="I1" s="809"/>
    </row>
    <row r="2" spans="1:26" ht="12" customHeight="1">
      <c r="A2" s="14"/>
      <c r="B2" s="14" t="s">
        <v>81</v>
      </c>
      <c r="C2" s="15"/>
      <c r="E2" s="14"/>
      <c r="F2" s="14"/>
      <c r="G2" s="14"/>
      <c r="H2" s="14"/>
      <c r="I2" s="14"/>
    </row>
    <row r="3" spans="1:26" ht="11.25" customHeight="1">
      <c r="A3" s="14"/>
      <c r="B3" s="14" t="s">
        <v>100</v>
      </c>
      <c r="C3" s="16"/>
      <c r="E3" s="14"/>
      <c r="F3" s="14"/>
      <c r="G3" s="14"/>
      <c r="H3" s="14"/>
      <c r="I3" s="14"/>
    </row>
    <row r="4" spans="1:26" ht="11.25" customHeight="1">
      <c r="A4" s="14"/>
      <c r="B4" s="14" t="s">
        <v>82</v>
      </c>
      <c r="C4" s="17"/>
      <c r="E4" s="14"/>
      <c r="F4" s="14"/>
      <c r="G4" s="14"/>
      <c r="H4" s="14"/>
      <c r="I4" s="14"/>
    </row>
    <row r="5" spans="1:26">
      <c r="A5" s="3" t="s">
        <v>19</v>
      </c>
      <c r="B5" s="3" t="s">
        <v>6</v>
      </c>
      <c r="C5" s="3" t="s">
        <v>7</v>
      </c>
      <c r="E5" s="808" t="s">
        <v>9</v>
      </c>
      <c r="F5" s="808"/>
      <c r="G5" s="808"/>
      <c r="H5" s="808"/>
      <c r="I5" s="3" t="s">
        <v>173</v>
      </c>
    </row>
    <row r="6" spans="1:26" ht="16.2" thickBot="1">
      <c r="A6" s="39" t="s">
        <v>61</v>
      </c>
      <c r="B6" s="3"/>
      <c r="D6" s="3"/>
      <c r="E6" s="14"/>
      <c r="F6" s="14"/>
      <c r="G6" s="14"/>
      <c r="H6" s="14"/>
      <c r="I6" s="3"/>
    </row>
    <row r="7" spans="1:26">
      <c r="A7" s="88" t="s">
        <v>145</v>
      </c>
      <c r="B7" s="7">
        <f>'Design Converter'!E6</f>
        <v>20</v>
      </c>
      <c r="C7" s="26" t="s">
        <v>0</v>
      </c>
      <c r="D7" s="61" t="s">
        <v>146</v>
      </c>
      <c r="E7" s="26"/>
      <c r="F7" s="26"/>
      <c r="G7" s="26"/>
      <c r="H7" s="26"/>
      <c r="I7" s="27">
        <v>1</v>
      </c>
    </row>
    <row r="8" spans="1:26">
      <c r="A8" s="89" t="s">
        <v>143</v>
      </c>
      <c r="B8" s="8">
        <f>'Design Converter'!E7</f>
        <v>34</v>
      </c>
      <c r="C8" t="s">
        <v>0</v>
      </c>
      <c r="D8" t="s">
        <v>10</v>
      </c>
      <c r="I8" s="20"/>
    </row>
    <row r="9" spans="1:26">
      <c r="A9" s="89" t="s">
        <v>144</v>
      </c>
      <c r="B9" s="8">
        <f>'Design Converter'!E8</f>
        <v>48</v>
      </c>
      <c r="C9" t="s">
        <v>0</v>
      </c>
      <c r="D9" s="59" t="s">
        <v>147</v>
      </c>
      <c r="I9" s="20"/>
    </row>
    <row r="10" spans="1:26" ht="13.8" thickBot="1">
      <c r="A10" s="89"/>
      <c r="B10" s="177"/>
      <c r="C10"/>
      <c r="D10" s="59"/>
      <c r="I10" s="20"/>
    </row>
    <row r="11" spans="1:26">
      <c r="A11" s="19" t="s">
        <v>4</v>
      </c>
      <c r="B11" s="8">
        <f>'Design Converter'!E10</f>
        <v>30</v>
      </c>
      <c r="C11" t="s">
        <v>0</v>
      </c>
      <c r="D11" s="59" t="s">
        <v>563</v>
      </c>
      <c r="G11">
        <f>(Vout+Vfwd2)*Nps</f>
        <v>30.7</v>
      </c>
      <c r="I11" s="20">
        <v>1</v>
      </c>
      <c r="K11" t="str">
        <f>'Variable Mgmt'!B57&amp;" Output PSR Flyback Converter, "&amp;"VIN = "&amp;Vin&amp;" V, VOUT = "&amp;Vout&amp;" V, IOUT = "&amp;Iout&amp;" A"</f>
        <v>DUAL Output PSR Flyback Converter, VIN = 34 V, VOUT = 30 V, IOUT = 4 A</v>
      </c>
      <c r="W11" s="640" t="s">
        <v>788</v>
      </c>
      <c r="X11" s="129"/>
      <c r="Y11" s="129"/>
      <c r="Z11" s="627"/>
    </row>
    <row r="12" spans="1:26">
      <c r="A12" s="19" t="s">
        <v>5</v>
      </c>
      <c r="B12" s="8">
        <f>'Design Converter'!E11</f>
        <v>4</v>
      </c>
      <c r="C12" s="59" t="s">
        <v>1</v>
      </c>
      <c r="D12" s="59" t="s">
        <v>648</v>
      </c>
      <c r="I12" s="20">
        <v>1</v>
      </c>
      <c r="K12" t="str">
        <f>'Variable Mgmt'!B57&amp;" Output PSR Flyback Converter, "&amp;"VIN = "&amp;Vin&amp;" V, VOUT1 = "&amp;Vout&amp;" V, IOUT1 = "&amp;Iout&amp;" A"&amp;", VOUT2 = "&amp;Vout2_actual&amp;" V, IOUT2 = "&amp;Iout2_actual&amp;" A"</f>
        <v>DUAL Output PSR Flyback Converter, VIN = 34 V, VOUT1 = 30 V, IOUT1 = 4 A, VOUT2 = 6 V, IOUT2 = 0.85 A</v>
      </c>
      <c r="L12" s="59"/>
      <c r="W12" s="19"/>
      <c r="X12" t="s">
        <v>787</v>
      </c>
      <c r="Y12">
        <f>'Calculations - Single'!AQ105*1000</f>
        <v>214527.92731460568</v>
      </c>
      <c r="Z12" s="20" t="s">
        <v>8</v>
      </c>
    </row>
    <row r="13" spans="1:26">
      <c r="A13" s="89" t="s">
        <v>168</v>
      </c>
      <c r="B13" s="130">
        <f>Vout/Iout</f>
        <v>7.5</v>
      </c>
      <c r="C13" s="91" t="s">
        <v>45</v>
      </c>
      <c r="D13" s="59" t="s">
        <v>169</v>
      </c>
      <c r="I13" s="20"/>
      <c r="W13" s="19"/>
      <c r="X13" t="s">
        <v>789</v>
      </c>
      <c r="Y13">
        <f>Lmag</f>
        <v>4.6999999999999999E-6</v>
      </c>
      <c r="Z13" s="20" t="s">
        <v>11</v>
      </c>
    </row>
    <row r="14" spans="1:26">
      <c r="A14" s="89" t="s">
        <v>152</v>
      </c>
      <c r="B14" s="130">
        <f>Vout*Iout</f>
        <v>120</v>
      </c>
      <c r="C14" t="s">
        <v>45</v>
      </c>
      <c r="D14" s="59" t="s">
        <v>158</v>
      </c>
      <c r="I14" s="20"/>
      <c r="L14" s="59"/>
      <c r="W14" s="19"/>
      <c r="X14" t="s">
        <v>791</v>
      </c>
      <c r="Y14">
        <f>G11/(G11+VIN_nom/Npri_sec)</f>
        <v>0.47449768160741884</v>
      </c>
      <c r="Z14" s="20"/>
    </row>
    <row r="15" spans="1:26">
      <c r="B15" s="5"/>
      <c r="C15"/>
      <c r="D15" s="59"/>
      <c r="I15" s="20"/>
      <c r="L15" s="59"/>
      <c r="W15" s="19"/>
      <c r="X15" t="s">
        <v>790</v>
      </c>
      <c r="Y15">
        <f>VIN_nom/Lmag*Y14/Y12</f>
        <v>16.00041758248544</v>
      </c>
      <c r="Z15" s="20" t="s">
        <v>1</v>
      </c>
    </row>
    <row r="16" spans="1:26">
      <c r="A16" s="89" t="s">
        <v>608</v>
      </c>
      <c r="B16" s="492">
        <f>ABS('Design Converter'!E12)</f>
        <v>6</v>
      </c>
      <c r="C16" t="s">
        <v>0</v>
      </c>
      <c r="D16" s="59" t="s">
        <v>565</v>
      </c>
      <c r="I16" s="20"/>
      <c r="L16" s="59"/>
      <c r="W16" s="19"/>
      <c r="X16" t="s">
        <v>792</v>
      </c>
      <c r="Y16">
        <f>0.5*Y15^2*Y13*Y12</f>
        <v>129.0667378098787</v>
      </c>
      <c r="Z16" s="20"/>
    </row>
    <row r="17" spans="1:26">
      <c r="A17" s="89" t="s">
        <v>609</v>
      </c>
      <c r="B17" s="525">
        <f>'Design Converter'!E12</f>
        <v>6</v>
      </c>
      <c r="C17" t="s">
        <v>0</v>
      </c>
      <c r="D17" s="59"/>
      <c r="I17" s="20"/>
      <c r="L17" s="59"/>
      <c r="P17" s="3" t="s">
        <v>769</v>
      </c>
      <c r="W17" s="19"/>
      <c r="X17" t="s">
        <v>769</v>
      </c>
      <c r="Y17" s="3" t="str">
        <f>IF((Y16/(G11*Iout))&lt;1.01, "BCM", "DCM")</f>
        <v>DCM</v>
      </c>
      <c r="Z17" s="20"/>
    </row>
    <row r="18" spans="1:26">
      <c r="A18" s="89" t="s">
        <v>498</v>
      </c>
      <c r="B18" s="492">
        <f>ABS('Design Converter'!E13)</f>
        <v>0.85</v>
      </c>
      <c r="C18" s="59" t="s">
        <v>1</v>
      </c>
      <c r="D18" s="59" t="s">
        <v>564</v>
      </c>
      <c r="I18" s="20"/>
      <c r="L18" s="59"/>
      <c r="P18" s="3" t="s">
        <v>768</v>
      </c>
      <c r="Q18">
        <v>1</v>
      </c>
      <c r="W18" s="19"/>
      <c r="Z18" s="20"/>
    </row>
    <row r="19" spans="1:26" ht="13.8" thickBot="1">
      <c r="A19" s="59" t="s">
        <v>647</v>
      </c>
      <c r="B19">
        <f>Iout2*SIGN(Vout2_actual)</f>
        <v>0.85</v>
      </c>
      <c r="C19" s="59" t="s">
        <v>1</v>
      </c>
      <c r="I19" s="20"/>
      <c r="L19" s="59"/>
      <c r="P19" s="3" t="s">
        <v>767</v>
      </c>
      <c r="Q19">
        <v>2</v>
      </c>
      <c r="W19" s="637"/>
      <c r="X19" s="157" t="s">
        <v>793</v>
      </c>
      <c r="Y19" s="157">
        <f>Vout*Iout</f>
        <v>120</v>
      </c>
      <c r="Z19" s="639"/>
    </row>
    <row r="20" spans="1:26">
      <c r="A20" s="89" t="s">
        <v>499</v>
      </c>
      <c r="B20" s="130">
        <f>ABS(Vout2/Iout2)</f>
        <v>7.0588235294117645</v>
      </c>
      <c r="C20" s="91" t="s">
        <v>45</v>
      </c>
      <c r="D20" s="59" t="s">
        <v>501</v>
      </c>
      <c r="I20" s="20"/>
      <c r="K20" s="59" t="s">
        <v>530</v>
      </c>
      <c r="L20" s="59" t="s">
        <v>531</v>
      </c>
      <c r="Q20" s="3">
        <v>2</v>
      </c>
    </row>
    <row r="21" spans="1:26">
      <c r="A21" s="89" t="s">
        <v>500</v>
      </c>
      <c r="B21" s="130">
        <f>ABS(Vout2*Iout2)</f>
        <v>5.0999999999999996</v>
      </c>
      <c r="C21" t="s">
        <v>45</v>
      </c>
      <c r="D21" s="59" t="s">
        <v>502</v>
      </c>
      <c r="I21" s="20"/>
      <c r="K21">
        <v>5</v>
      </c>
      <c r="L21" s="59">
        <v>-5</v>
      </c>
    </row>
    <row r="22" spans="1:26">
      <c r="A22" s="89" t="s">
        <v>503</v>
      </c>
      <c r="B22" s="130">
        <f>CHOOSE(MODE, Pout, Pout + Pout2)</f>
        <v>125.1</v>
      </c>
      <c r="C22" t="s">
        <v>45</v>
      </c>
      <c r="D22" s="59" t="s">
        <v>504</v>
      </c>
      <c r="I22" s="20"/>
      <c r="K22">
        <v>0.2</v>
      </c>
      <c r="L22" s="59">
        <v>0.2</v>
      </c>
    </row>
    <row r="23" spans="1:26">
      <c r="A23" s="89"/>
      <c r="B23" s="5"/>
      <c r="C23"/>
      <c r="D23" s="59"/>
      <c r="I23" s="20"/>
      <c r="L23" s="59"/>
    </row>
    <row r="24" spans="1:26">
      <c r="A24" s="29" t="str">
        <f>CHOOSE(MODE, "Turns Ratio, PRI : SEC", "Turns Ratio, PRI : SEC1")</f>
        <v>Turns Ratio, PRI : SEC1</v>
      </c>
      <c r="B24" s="90" t="str">
        <f>Nps</f>
        <v>1</v>
      </c>
      <c r="C24"/>
      <c r="D24" s="59" t="str">
        <f>CHOOSE(MODE, "TR primary-secondary (single output) = Np/Ns", "TR primary-secondary1 (dual output) = Np/Nsec1")</f>
        <v>TR primary-secondary1 (dual output) = Np/Nsec1</v>
      </c>
      <c r="I24" s="20"/>
      <c r="L24" s="59"/>
    </row>
    <row r="25" spans="1:26">
      <c r="A25" s="29" t="s">
        <v>576</v>
      </c>
      <c r="B25" s="150">
        <f>Npri_sec2</f>
        <v>4.7230769230769232</v>
      </c>
      <c r="D25" s="59" t="s">
        <v>577</v>
      </c>
      <c r="I25" s="20"/>
      <c r="L25" s="59"/>
    </row>
    <row r="26" spans="1:26" ht="13.8" thickBot="1">
      <c r="A26" s="29" t="s">
        <v>589</v>
      </c>
      <c r="B26" s="524">
        <f>Nsec1sec2</f>
        <v>0.21172638436482086</v>
      </c>
      <c r="D26" s="59" t="s">
        <v>578</v>
      </c>
      <c r="I26" s="20"/>
      <c r="L26" s="59"/>
      <c r="R26" s="134" t="s">
        <v>389</v>
      </c>
      <c r="V26" s="134" t="s">
        <v>389</v>
      </c>
    </row>
    <row r="27" spans="1:26">
      <c r="I27" s="20"/>
      <c r="K27" s="134" t="s">
        <v>529</v>
      </c>
      <c r="P27" s="626"/>
      <c r="Q27" s="129"/>
      <c r="R27" s="132" t="s">
        <v>571</v>
      </c>
      <c r="S27" s="129"/>
      <c r="T27" s="129"/>
      <c r="U27" s="129"/>
      <c r="V27" s="132" t="s">
        <v>572</v>
      </c>
      <c r="W27" s="627"/>
    </row>
    <row r="28" spans="1:26">
      <c r="A28" s="59" t="s">
        <v>610</v>
      </c>
      <c r="B28" s="5">
        <f>Vout+VIN_max/Nps</f>
        <v>78</v>
      </c>
      <c r="C28" s="59" t="s">
        <v>0</v>
      </c>
      <c r="I28" s="20"/>
      <c r="K28" s="59" t="s">
        <v>526</v>
      </c>
      <c r="L28">
        <v>1</v>
      </c>
      <c r="P28" s="19"/>
      <c r="R28" t="str">
        <f>"5 : 1"</f>
        <v>5 : 1</v>
      </c>
      <c r="S28">
        <v>1</v>
      </c>
      <c r="T28">
        <f>5</f>
        <v>5</v>
      </c>
      <c r="V28" t="str">
        <f>"5 : 1"</f>
        <v>5 : 1</v>
      </c>
      <c r="W28" s="20">
        <v>1</v>
      </c>
    </row>
    <row r="29" spans="1:26">
      <c r="I29" s="20"/>
      <c r="K29" s="59" t="s">
        <v>527</v>
      </c>
      <c r="L29">
        <v>2</v>
      </c>
      <c r="P29" s="19"/>
      <c r="R29" t="str">
        <f>"4 : 1"</f>
        <v>4 : 1</v>
      </c>
      <c r="S29">
        <v>2</v>
      </c>
      <c r="T29">
        <v>4</v>
      </c>
      <c r="V29" t="str">
        <f>"4 : 1"</f>
        <v>4 : 1</v>
      </c>
      <c r="W29" s="20">
        <v>2</v>
      </c>
    </row>
    <row r="30" spans="1:26">
      <c r="A30" s="89" t="s">
        <v>436</v>
      </c>
      <c r="B30" s="314">
        <f>1%*Vout*1000</f>
        <v>300</v>
      </c>
      <c r="C30" t="s">
        <v>149</v>
      </c>
      <c r="D30" s="59" t="s">
        <v>454</v>
      </c>
      <c r="I30" s="20"/>
      <c r="K30" s="59" t="s">
        <v>528</v>
      </c>
      <c r="L30">
        <v>3</v>
      </c>
      <c r="P30" s="19"/>
      <c r="R30" t="str">
        <f>"3 : 1"</f>
        <v>3 : 1</v>
      </c>
      <c r="S30">
        <v>3</v>
      </c>
      <c r="T30">
        <v>3</v>
      </c>
      <c r="V30" t="str">
        <f>"3 : 1"</f>
        <v>3 : 1</v>
      </c>
      <c r="W30" s="20">
        <v>3</v>
      </c>
    </row>
    <row r="31" spans="1:26">
      <c r="A31" s="89" t="s">
        <v>547</v>
      </c>
      <c r="B31" s="314">
        <f>1%*Vout2*1000</f>
        <v>60</v>
      </c>
      <c r="C31" t="s">
        <v>149</v>
      </c>
      <c r="D31" s="59" t="s">
        <v>546</v>
      </c>
      <c r="I31" s="20"/>
      <c r="P31" s="19"/>
      <c r="R31" t="str">
        <f>"2.5 : 1"</f>
        <v>2.5 : 1</v>
      </c>
      <c r="S31">
        <v>4</v>
      </c>
      <c r="T31">
        <v>2.5</v>
      </c>
      <c r="V31" t="str">
        <f>"2.5 : 1"</f>
        <v>2.5 : 1</v>
      </c>
      <c r="W31" s="20">
        <v>4</v>
      </c>
    </row>
    <row r="32" spans="1:26">
      <c r="I32" s="20"/>
      <c r="P32" s="19"/>
      <c r="Q32" s="628"/>
      <c r="R32" t="str">
        <f>"2 : 1"</f>
        <v>2 : 1</v>
      </c>
      <c r="S32">
        <v>5</v>
      </c>
      <c r="T32">
        <v>2</v>
      </c>
      <c r="V32" t="str">
        <f>"2 : 1"</f>
        <v>2 : 1</v>
      </c>
      <c r="W32" s="20">
        <v>5</v>
      </c>
    </row>
    <row r="33" spans="1:23">
      <c r="I33" s="20"/>
      <c r="P33" s="19"/>
      <c r="Q33" s="628"/>
      <c r="R33" t="str">
        <f>"1.8 :1"</f>
        <v>1.8 :1</v>
      </c>
      <c r="S33">
        <v>6</v>
      </c>
      <c r="T33">
        <v>1.8</v>
      </c>
      <c r="V33" t="str">
        <f>"1.8 : 1"</f>
        <v>1.8 : 1</v>
      </c>
      <c r="W33" s="20">
        <v>6</v>
      </c>
    </row>
    <row r="34" spans="1:23">
      <c r="A34" s="89" t="s">
        <v>47</v>
      </c>
      <c r="B34" s="526">
        <v>1</v>
      </c>
      <c r="C34"/>
      <c r="D34" s="59" t="s">
        <v>175</v>
      </c>
      <c r="I34" s="20"/>
      <c r="P34" s="19"/>
      <c r="R34" t="str">
        <f>"1.5 : 1"</f>
        <v>1.5 : 1</v>
      </c>
      <c r="S34">
        <v>7</v>
      </c>
      <c r="T34">
        <v>1.5</v>
      </c>
      <c r="V34" t="str">
        <f>"1.5 : 1"</f>
        <v>1.5 : 1</v>
      </c>
      <c r="W34" s="20">
        <v>7</v>
      </c>
    </row>
    <row r="35" spans="1:23">
      <c r="A35" s="89"/>
      <c r="B35" s="526"/>
      <c r="C35"/>
      <c r="D35" s="59"/>
      <c r="I35" s="20"/>
      <c r="P35" s="19"/>
      <c r="R35" t="str">
        <f>"1.2 : 1"</f>
        <v>1.2 : 1</v>
      </c>
      <c r="S35">
        <v>8</v>
      </c>
      <c r="T35">
        <v>1.2</v>
      </c>
      <c r="V35" s="629" t="s">
        <v>785</v>
      </c>
      <c r="W35" s="20">
        <v>8</v>
      </c>
    </row>
    <row r="36" spans="1:23">
      <c r="A36" s="89" t="s">
        <v>156</v>
      </c>
      <c r="B36" s="359">
        <f>Pout_total/Efficiency</f>
        <v>125.1</v>
      </c>
      <c r="C36" t="s">
        <v>45</v>
      </c>
      <c r="D36" s="59" t="s">
        <v>455</v>
      </c>
      <c r="I36" s="20"/>
      <c r="P36" s="19"/>
      <c r="R36" t="str">
        <f>"1 : 1"</f>
        <v>1 : 1</v>
      </c>
      <c r="S36">
        <v>9</v>
      </c>
      <c r="T36">
        <v>1</v>
      </c>
      <c r="V36" t="str">
        <f>"1 : 1"</f>
        <v>1 : 1</v>
      </c>
      <c r="W36" s="20">
        <v>9</v>
      </c>
    </row>
    <row r="37" spans="1:23">
      <c r="A37" s="89"/>
      <c r="B37" s="359"/>
      <c r="C37"/>
      <c r="D37" s="59"/>
      <c r="I37" s="20"/>
      <c r="P37" s="19"/>
      <c r="R37" t="str">
        <f>"1 : 1.2"</f>
        <v>1 : 1.2</v>
      </c>
      <c r="S37">
        <v>10</v>
      </c>
      <c r="T37">
        <f>1/1.2</f>
        <v>0.83333333333333337</v>
      </c>
      <c r="V37" s="629" t="s">
        <v>786</v>
      </c>
      <c r="W37" s="20">
        <v>10</v>
      </c>
    </row>
    <row r="38" spans="1:23">
      <c r="A38" s="89" t="s">
        <v>153</v>
      </c>
      <c r="B38" s="139">
        <f>Pin/VIN_min</f>
        <v>6.2549999999999999</v>
      </c>
      <c r="C38" t="s">
        <v>1</v>
      </c>
      <c r="D38" s="59"/>
      <c r="I38" s="20"/>
      <c r="P38" s="19"/>
      <c r="R38" t="str">
        <f>"1 : 1.5"</f>
        <v>1 : 1.5</v>
      </c>
      <c r="S38">
        <v>11</v>
      </c>
      <c r="T38">
        <f>1/1.5</f>
        <v>0.66666666666666663</v>
      </c>
      <c r="V38" t="str">
        <f>"1 : 1.5"</f>
        <v>1 : 1.5</v>
      </c>
      <c r="W38" s="20">
        <v>11</v>
      </c>
    </row>
    <row r="39" spans="1:23">
      <c r="A39" s="89"/>
      <c r="B39" s="139"/>
      <c r="C39"/>
      <c r="D39" s="59"/>
      <c r="I39" s="20"/>
      <c r="P39" s="19"/>
      <c r="R39" t="str">
        <f>"1 : 1.8"</f>
        <v>1 : 1.8</v>
      </c>
      <c r="S39">
        <v>12</v>
      </c>
      <c r="T39">
        <f>1/1.8</f>
        <v>0.55555555555555558</v>
      </c>
      <c r="V39" t="str">
        <f>"1 : 1.8"</f>
        <v>1 : 1.8</v>
      </c>
      <c r="W39" s="20">
        <v>12</v>
      </c>
    </row>
    <row r="40" spans="1:23">
      <c r="A40" s="89" t="s">
        <v>154</v>
      </c>
      <c r="B40" s="139">
        <f>Pin/VIN_nom</f>
        <v>3.6794117647058822</v>
      </c>
      <c r="C40" t="s">
        <v>1</v>
      </c>
      <c r="D40" s="59" t="s">
        <v>159</v>
      </c>
      <c r="I40" s="20">
        <v>1</v>
      </c>
      <c r="K40" s="59"/>
      <c r="P40" s="19"/>
      <c r="R40" t="str">
        <f>"1 : 2"</f>
        <v>1 : 2</v>
      </c>
      <c r="S40">
        <v>13</v>
      </c>
      <c r="T40">
        <f>1/2</f>
        <v>0.5</v>
      </c>
      <c r="V40" t="str">
        <f>"1 : 2"</f>
        <v>1 : 2</v>
      </c>
      <c r="W40" s="20">
        <v>13</v>
      </c>
    </row>
    <row r="41" spans="1:23">
      <c r="A41" s="89"/>
      <c r="B41" s="139"/>
      <c r="C41"/>
      <c r="D41" s="59"/>
      <c r="I41" s="20"/>
      <c r="K41" s="59"/>
      <c r="P41" s="19"/>
      <c r="R41" t="str">
        <f>"1 : 2.5"</f>
        <v>1 : 2.5</v>
      </c>
      <c r="S41">
        <v>14</v>
      </c>
      <c r="T41">
        <f>1/2.5</f>
        <v>0.4</v>
      </c>
      <c r="V41" t="str">
        <f>"1 : 2.5"</f>
        <v>1 : 2.5</v>
      </c>
      <c r="W41" s="20">
        <v>14</v>
      </c>
    </row>
    <row r="42" spans="1:23">
      <c r="A42" s="89" t="s">
        <v>155</v>
      </c>
      <c r="B42" s="139">
        <f>Pin/VIN_max</f>
        <v>2.6062499999999997</v>
      </c>
      <c r="C42" t="s">
        <v>1</v>
      </c>
      <c r="D42" s="59"/>
      <c r="I42" s="20"/>
      <c r="P42" s="19"/>
      <c r="R42" t="str">
        <f>"1 : 3"</f>
        <v>1 : 3</v>
      </c>
      <c r="S42">
        <v>15</v>
      </c>
      <c r="T42">
        <f>1/3</f>
        <v>0.33333333333333331</v>
      </c>
      <c r="V42" t="str">
        <f>"1 : 3"</f>
        <v>1 : 3</v>
      </c>
      <c r="W42" s="20">
        <v>15</v>
      </c>
    </row>
    <row r="43" spans="1:23">
      <c r="A43" s="89" t="s">
        <v>607</v>
      </c>
      <c r="B43" s="139">
        <f>CHOOSE(MODE,'Calculations - Single'!H212,'Calculations - Dual'!H212+'Calculations - Dual'!I212)*0+CHOOSE(MODE,'Calculations - Single'!H212,'Calculations - Dual'!O212+'Calculations - Dual'!P212)</f>
        <v>181.62225725036262</v>
      </c>
      <c r="C43" t="s">
        <v>45</v>
      </c>
      <c r="D43" s="59" t="b">
        <f>B43&lt;Pout_total</f>
        <v>0</v>
      </c>
      <c r="I43" s="20"/>
      <c r="P43" s="19"/>
      <c r="R43" t="str">
        <f>"1 : 4"</f>
        <v>1 : 4</v>
      </c>
      <c r="S43">
        <v>16</v>
      </c>
      <c r="T43">
        <f>1/4</f>
        <v>0.25</v>
      </c>
      <c r="V43" t="str">
        <f>R43</f>
        <v>1 : 4</v>
      </c>
      <c r="W43" s="20">
        <v>16</v>
      </c>
    </row>
    <row r="44" spans="1:23">
      <c r="A44" s="89"/>
      <c r="B44" s="150"/>
      <c r="C44" s="59"/>
      <c r="D44" s="59"/>
      <c r="I44" s="20"/>
      <c r="P44" s="19"/>
      <c r="R44" t="str">
        <f>"1 : 5"</f>
        <v>1 : 5</v>
      </c>
      <c r="S44">
        <v>17</v>
      </c>
      <c r="T44">
        <f>1/5</f>
        <v>0.2</v>
      </c>
      <c r="U44" s="630"/>
      <c r="V44" t="str">
        <f>"1 : 5"</f>
        <v>1 : 5</v>
      </c>
      <c r="W44" s="20">
        <v>17</v>
      </c>
    </row>
    <row r="45" spans="1:23">
      <c r="A45" s="89" t="s">
        <v>428</v>
      </c>
      <c r="B45" s="110">
        <v>350000</v>
      </c>
      <c r="C45" s="59" t="s">
        <v>8</v>
      </c>
      <c r="D45" s="59" t="s">
        <v>566</v>
      </c>
      <c r="I45" s="20"/>
      <c r="P45" s="19"/>
      <c r="Q45" s="630" t="s">
        <v>388</v>
      </c>
      <c r="R45" s="316" t="str">
        <f>CHOOSE(Turns_Ratio, "5 : 1", "4 : 1", "3 : 1", "2.5 : 1", "2 : 1", "1.8 : 1", "1.5 : 1", "1.2 : 1", "1 : 1", "1 : 1.2", "1 : 1.5", "1 : 1.8", "1 : 2",  "1 : 2.5","1 : 3", "1 : 4", "1 : 5")</f>
        <v>1 : 1</v>
      </c>
      <c r="S45" s="3">
        <v>9</v>
      </c>
      <c r="U45" s="630" t="s">
        <v>570</v>
      </c>
      <c r="V45" s="159" t="str">
        <f>CHOOSE(Turns_Ratio2, "5 : 1", "4 : 1", "3 : 1", "2.5 : 1", "2 : 1", "1.8 : 1","1.5 : 1", "1.2 : 1", "1 : 1", "1 : 1.2", "1 : 1.5", "1 : 2",  "1 : 2.5","1 : 3", "1 : 4", "1 : 5")</f>
        <v>1 : 1</v>
      </c>
      <c r="W45" s="20">
        <v>9</v>
      </c>
    </row>
    <row r="46" spans="1:23">
      <c r="A46" s="21" t="s">
        <v>18</v>
      </c>
      <c r="B46" s="620">
        <v>1</v>
      </c>
      <c r="C46" t="s">
        <v>0</v>
      </c>
      <c r="D46" s="621" t="s">
        <v>782</v>
      </c>
      <c r="I46" s="20"/>
      <c r="P46" s="19"/>
      <c r="W46" s="20"/>
    </row>
    <row r="47" spans="1:23">
      <c r="A47" s="89" t="s">
        <v>386</v>
      </c>
      <c r="B47" s="140">
        <f>'Design Converter'!E40*1000</f>
        <v>300000</v>
      </c>
      <c r="C47" s="91" t="s">
        <v>45</v>
      </c>
      <c r="D47" s="59" t="s">
        <v>567</v>
      </c>
      <c r="I47" s="20"/>
      <c r="P47" s="19"/>
      <c r="Q47" s="59" t="s">
        <v>447</v>
      </c>
      <c r="R47" s="316" t="str">
        <f>CHOOSE(Turns_Ratio, "5", "4 ", "3", "2.5", "2", "1.8", "1.5", "1.2", "1", "0.833",  "0.667", "0.556", "0.5", "0.4", "0.33", "0.25", "0.2")</f>
        <v>1</v>
      </c>
      <c r="V47" s="59" t="s">
        <v>574</v>
      </c>
      <c r="W47" s="631" t="str">
        <f>CHOOSE(Turns_Ratio, "1", "1", "1", "1", "1", "1", "1", "1", "1", "1.2", "1.5", "1.8",  "2", "2.5", "3", "4", "5")</f>
        <v>1</v>
      </c>
    </row>
    <row r="48" spans="1:23">
      <c r="A48" s="89"/>
      <c r="B48" s="314"/>
      <c r="C48" s="91"/>
      <c r="I48" s="20"/>
      <c r="K48" s="59" t="s">
        <v>390</v>
      </c>
      <c r="P48" s="19"/>
      <c r="Q48" s="59" t="s">
        <v>494</v>
      </c>
      <c r="R48" s="316" t="str">
        <f>CHOOSE(Turns_Ratio, "5", "4 ", "3", "2.5", "2", "1.8", "1.5", "1.2", "1", "0.833",  "0.667","0.556", "0.5", "0.4", "0.333", "0.25", "0.2")</f>
        <v>1</v>
      </c>
      <c r="V48" s="59" t="s">
        <v>573</v>
      </c>
      <c r="W48" s="632">
        <f>Nsec1sec2</f>
        <v>0.21172638436482086</v>
      </c>
    </row>
    <row r="49" spans="1:23" ht="15.6">
      <c r="A49" s="89" t="s">
        <v>387</v>
      </c>
      <c r="B49" s="150">
        <v>0.1</v>
      </c>
      <c r="C49" s="59" t="s">
        <v>45</v>
      </c>
      <c r="D49" s="59" t="s">
        <v>568</v>
      </c>
      <c r="F49" s="159" t="s">
        <v>569</v>
      </c>
      <c r="I49" s="20"/>
      <c r="P49" s="19"/>
      <c r="Q49" s="59" t="s">
        <v>573</v>
      </c>
      <c r="R49" s="633">
        <f>ABS((Vout2+Vfwd22)/(Vout+Vfwd2))</f>
        <v>0.21172638436482086</v>
      </c>
      <c r="V49" s="3"/>
      <c r="W49" s="634">
        <f>W47*W48</f>
        <v>0.21172638436482086</v>
      </c>
    </row>
    <row r="50" spans="1:23" ht="13.8" thickBot="1">
      <c r="A50" s="23"/>
      <c r="B50" s="24"/>
      <c r="C50" s="62"/>
      <c r="D50" s="24"/>
      <c r="E50" s="24"/>
      <c r="F50" s="24"/>
      <c r="G50" s="24"/>
      <c r="H50" s="24"/>
      <c r="I50" s="25"/>
      <c r="K50" s="377" t="str">
        <f>"SCH_"&amp;B57&amp;"_"&amp;F62&amp;"_"&amp;I62&amp;"_"&amp;F56</f>
        <v>SCH_DUAL_UVLOadj_SSint_TCyes</v>
      </c>
      <c r="P50" s="19"/>
      <c r="Q50" s="327" t="s">
        <v>495</v>
      </c>
      <c r="R50" s="635">
        <f>Nps/Nsec1sec2</f>
        <v>4.7230769230769232</v>
      </c>
      <c r="V50" s="134" t="s">
        <v>575</v>
      </c>
      <c r="W50" s="636" t="str">
        <f>CHOOSE(MODE, R45, R45&amp;" : "&amp;ROUND(W49,2))</f>
        <v>1 : 1 : 0.21</v>
      </c>
    </row>
    <row r="51" spans="1:23" ht="13.8" thickBot="1">
      <c r="P51" s="637"/>
      <c r="Q51" s="157"/>
      <c r="R51" s="638">
        <f>ROUND(Nsec1sec2,1)</f>
        <v>0.2</v>
      </c>
      <c r="S51" s="157"/>
      <c r="T51" s="157"/>
      <c r="U51" s="157"/>
      <c r="V51" s="157"/>
      <c r="W51" s="639"/>
    </row>
    <row r="52" spans="1:23" ht="16.2" thickBot="1">
      <c r="A52" s="39" t="s">
        <v>557</v>
      </c>
    </row>
    <row r="53" spans="1:23" ht="15.6">
      <c r="A53" s="321"/>
      <c r="B53" s="322"/>
      <c r="C53" s="323"/>
      <c r="D53" s="322"/>
      <c r="E53" s="322"/>
      <c r="F53" s="322"/>
      <c r="G53" s="322"/>
      <c r="H53" s="322"/>
      <c r="I53" s="371"/>
      <c r="J53" s="371"/>
      <c r="K53" s="371"/>
      <c r="L53" s="371"/>
      <c r="M53" s="371"/>
      <c r="N53" s="371"/>
      <c r="O53" s="19"/>
    </row>
    <row r="54" spans="1:23">
      <c r="A54" s="134" t="s">
        <v>361</v>
      </c>
      <c r="B54" s="59" t="s">
        <v>362</v>
      </c>
      <c r="C54" s="372">
        <v>1</v>
      </c>
      <c r="E54" s="134" t="s">
        <v>375</v>
      </c>
      <c r="F54" s="59" t="s">
        <v>364</v>
      </c>
      <c r="G54" s="137" t="b">
        <v>1</v>
      </c>
      <c r="I54" s="131" t="s">
        <v>300</v>
      </c>
      <c r="J54" s="137">
        <v>1</v>
      </c>
      <c r="K54" t="str">
        <f>B57&amp;", "&amp;F56&amp;", "&amp;I56&amp;", "&amp;F62&amp;", "&amp;I62</f>
        <v>DUAL, TCyes, IlimRes, UVLOadj, SSint</v>
      </c>
      <c r="O54" s="19"/>
    </row>
    <row r="55" spans="1:23">
      <c r="A55" s="318"/>
      <c r="B55" s="59" t="s">
        <v>363</v>
      </c>
      <c r="C55" s="372">
        <v>2</v>
      </c>
      <c r="E55" s="11"/>
      <c r="F55" s="59" t="s">
        <v>365</v>
      </c>
      <c r="G55" s="137" t="b">
        <v>0</v>
      </c>
      <c r="I55" s="131" t="s">
        <v>301</v>
      </c>
      <c r="J55" s="137">
        <v>2</v>
      </c>
      <c r="K55" t="str">
        <f>C57&amp;", "&amp;G56&amp;", "&amp;J56&amp;", "&amp;G62&amp;", "&amp;J62</f>
        <v>2, 1, 2, 1, 2</v>
      </c>
      <c r="O55" s="19"/>
      <c r="Q55" s="131" t="s">
        <v>333</v>
      </c>
      <c r="R55" s="3" t="s">
        <v>328</v>
      </c>
      <c r="S55" s="60">
        <v>1</v>
      </c>
    </row>
    <row r="56" spans="1:23">
      <c r="B56" s="59" t="s">
        <v>506</v>
      </c>
      <c r="C56" s="137">
        <v>3</v>
      </c>
      <c r="E56" s="376" t="s">
        <v>376</v>
      </c>
      <c r="F56" s="320" t="str">
        <f>CHOOSE(G56, "TCyes", "TCno")</f>
        <v>TCyes</v>
      </c>
      <c r="G56" s="316">
        <v>1</v>
      </c>
      <c r="H56" s="376" t="s">
        <v>299</v>
      </c>
      <c r="I56" s="320" t="str">
        <f>CHOOSE(J56, "IlimGND", "IlimRes")</f>
        <v>IlimRes</v>
      </c>
      <c r="J56" s="316">
        <f>IF(C62=4, 1, 2)</f>
        <v>2</v>
      </c>
      <c r="K56" t="str">
        <f>C57&amp;G56&amp;J56&amp;G62&amp;J62</f>
        <v>21212</v>
      </c>
      <c r="O56" s="19"/>
      <c r="Q56" s="131" t="s">
        <v>335</v>
      </c>
      <c r="R56" s="3" t="s">
        <v>329</v>
      </c>
      <c r="S56" s="60">
        <v>2</v>
      </c>
    </row>
    <row r="57" spans="1:23">
      <c r="A57" s="374" t="s">
        <v>286</v>
      </c>
      <c r="B57" s="373" t="str">
        <f>CHOOSE(C57,"SINGLE", IF(Vout2_actual&gt;0, "DUAL", "BIPOLAR"))</f>
        <v>DUAL</v>
      </c>
      <c r="C57" s="319">
        <v>2</v>
      </c>
      <c r="G57" s="60">
        <f>TC</f>
        <v>1</v>
      </c>
      <c r="I57" s="316"/>
      <c r="O57" s="19"/>
      <c r="Q57" s="131" t="s">
        <v>336</v>
      </c>
      <c r="R57" s="3" t="s">
        <v>330</v>
      </c>
      <c r="S57" s="60">
        <v>3</v>
      </c>
    </row>
    <row r="58" spans="1:23">
      <c r="A58" s="318"/>
      <c r="B58" s="3" t="b">
        <f>CHOOSE(C57, TRUE, FALSE)</f>
        <v>0</v>
      </c>
      <c r="C58" s="60" t="str">
        <f>CHOOSE(C57,"1", IF(Vout2&gt;0, "2", "3"))</f>
        <v>2</v>
      </c>
      <c r="O58" s="19"/>
      <c r="Q58" s="131" t="s">
        <v>334</v>
      </c>
      <c r="R58" s="3" t="s">
        <v>331</v>
      </c>
      <c r="S58" s="60">
        <v>4</v>
      </c>
    </row>
    <row r="59" spans="1:23">
      <c r="O59" s="19"/>
      <c r="Q59" s="131" t="s">
        <v>338</v>
      </c>
      <c r="R59" s="3" t="s">
        <v>337</v>
      </c>
      <c r="S59" s="60">
        <v>5</v>
      </c>
    </row>
    <row r="60" spans="1:23">
      <c r="A60" s="324" t="s">
        <v>188</v>
      </c>
      <c r="B60" s="59" t="s">
        <v>364</v>
      </c>
      <c r="C60" s="372">
        <v>1</v>
      </c>
      <c r="E60" s="134" t="s">
        <v>318</v>
      </c>
      <c r="F60" s="327" t="s">
        <v>534</v>
      </c>
      <c r="G60" s="137">
        <v>1</v>
      </c>
      <c r="H60" s="134" t="s">
        <v>296</v>
      </c>
      <c r="I60" s="59" t="s">
        <v>534</v>
      </c>
      <c r="J60" s="137">
        <v>1</v>
      </c>
      <c r="L60" s="131" t="s">
        <v>316</v>
      </c>
      <c r="M60" s="137">
        <v>1</v>
      </c>
      <c r="O60" s="19"/>
      <c r="Q60" s="376" t="s">
        <v>332</v>
      </c>
      <c r="R60" s="159" t="str">
        <f>CHOOSE(S60,"6.3V","10V","16V","25V","50V")</f>
        <v>50V</v>
      </c>
      <c r="S60" s="316">
        <f>IF(Vout&lt;=5, 1, IF(Vout&lt;=8, 2, IF(Vout&lt;=12, 3, IF(Vout&lt;=20, 4, 5))))</f>
        <v>5</v>
      </c>
    </row>
    <row r="61" spans="1:23">
      <c r="A61" s="325"/>
      <c r="B61" s="59" t="s">
        <v>365</v>
      </c>
      <c r="C61" s="372">
        <v>2</v>
      </c>
      <c r="F61" s="327" t="s">
        <v>535</v>
      </c>
      <c r="G61" s="137">
        <v>2</v>
      </c>
      <c r="H61" s="11"/>
      <c r="I61" s="59" t="s">
        <v>649</v>
      </c>
      <c r="J61" s="137">
        <v>2</v>
      </c>
      <c r="L61" s="131" t="s">
        <v>317</v>
      </c>
      <c r="M61" s="137">
        <v>2</v>
      </c>
      <c r="O61" s="19"/>
      <c r="T61" s="3" t="s">
        <v>116</v>
      </c>
      <c r="U61" s="3" t="s">
        <v>634</v>
      </c>
    </row>
    <row r="62" spans="1:23">
      <c r="A62" s="375" t="s">
        <v>287</v>
      </c>
      <c r="B62" s="373" t="str">
        <f>CHOOSE(C62, "YES", "NO")</f>
        <v>YES</v>
      </c>
      <c r="C62" s="319">
        <v>1</v>
      </c>
      <c r="E62" s="376" t="s">
        <v>304</v>
      </c>
      <c r="F62" s="320" t="str">
        <f>CHOOSE(G62, "UVLOadj", "UVLOint")</f>
        <v>UVLOadj</v>
      </c>
      <c r="G62" s="316">
        <v>1</v>
      </c>
      <c r="H62" s="376" t="s">
        <v>288</v>
      </c>
      <c r="I62" s="320" t="str">
        <f>CHOOSE(J62, "SSadj", "SSint")</f>
        <v>SSint</v>
      </c>
      <c r="J62" s="316">
        <v>2</v>
      </c>
      <c r="L62" s="317" t="s">
        <v>297</v>
      </c>
      <c r="M62" s="316">
        <v>1</v>
      </c>
      <c r="O62" s="19"/>
      <c r="R62" s="3" t="s">
        <v>633</v>
      </c>
      <c r="S62" s="3"/>
      <c r="T62" s="59" t="s">
        <v>347</v>
      </c>
      <c r="U62" s="144">
        <v>0.5</v>
      </c>
    </row>
    <row r="63" spans="1:23" ht="13.8" thickBot="1">
      <c r="A63" s="23"/>
      <c r="B63" s="24"/>
      <c r="C63" s="136"/>
      <c r="D63" s="24"/>
      <c r="E63" s="24"/>
      <c r="F63" s="24"/>
      <c r="G63" s="24"/>
      <c r="H63" s="24"/>
      <c r="I63" s="24"/>
      <c r="J63" s="24"/>
      <c r="K63" s="24"/>
      <c r="L63" s="24"/>
      <c r="M63" s="24"/>
      <c r="N63" s="24"/>
      <c r="O63" s="19"/>
      <c r="R63" s="390" t="s">
        <v>341</v>
      </c>
      <c r="S63" s="60">
        <v>1</v>
      </c>
      <c r="T63" s="59" t="s">
        <v>351</v>
      </c>
      <c r="U63" s="144">
        <v>1.3</v>
      </c>
    </row>
    <row r="64" spans="1:23">
      <c r="B64" t="b">
        <f>(CONFIG="2")</f>
        <v>1</v>
      </c>
      <c r="C64" s="3" t="str">
        <f>CONFIG</f>
        <v>2</v>
      </c>
      <c r="R64" s="390" t="s">
        <v>119</v>
      </c>
      <c r="S64" s="60">
        <v>2</v>
      </c>
      <c r="T64" s="59" t="s">
        <v>352</v>
      </c>
      <c r="U64" s="144">
        <v>2.5</v>
      </c>
    </row>
    <row r="65" spans="1:26" ht="16.2" thickBot="1">
      <c r="A65" s="39" t="s">
        <v>558</v>
      </c>
      <c r="B65" s="3"/>
      <c r="R65" s="390" t="s">
        <v>342</v>
      </c>
      <c r="S65" s="60">
        <v>3</v>
      </c>
      <c r="T65" s="59" t="s">
        <v>350</v>
      </c>
      <c r="U65" s="144">
        <v>5.0999999999999996</v>
      </c>
    </row>
    <row r="66" spans="1:26">
      <c r="A66" s="88"/>
      <c r="B66" s="509"/>
      <c r="C66" s="510"/>
      <c r="D66" s="129"/>
      <c r="E66" s="61"/>
      <c r="F66" s="26"/>
      <c r="G66" s="26"/>
      <c r="H66" s="26"/>
      <c r="I66" s="27">
        <v>1</v>
      </c>
      <c r="K66" s="59"/>
      <c r="R66" s="390" t="s">
        <v>343</v>
      </c>
      <c r="S66" s="60">
        <v>4</v>
      </c>
      <c r="T66" s="59" t="s">
        <v>353</v>
      </c>
      <c r="U66" s="144">
        <v>8</v>
      </c>
    </row>
    <row r="67" spans="1:26">
      <c r="A67" s="89" t="s">
        <v>150</v>
      </c>
      <c r="B67" s="138">
        <f>Nps*(Vout+Vfwd2)/(VIN_min+Nps*(Vout+Vfwd2))*0+IF(H67="BAD",'Calculations - Single'!CQ210,CHOOSE(MODE,'Calculations - Single'!M210,'Calculations - Dual'!N210))</f>
        <v>0.61126333799134258</v>
      </c>
      <c r="C67"/>
      <c r="D67" t="b">
        <f>B67&gt;0.75</f>
        <v>0</v>
      </c>
      <c r="E67" s="59"/>
      <c r="G67">
        <f>Vfwd2</f>
        <v>0.7</v>
      </c>
      <c r="H67">
        <f>'Calculations - Single'!DT210</f>
        <v>4000</v>
      </c>
      <c r="I67" s="20">
        <v>1</v>
      </c>
      <c r="R67" s="390" t="s">
        <v>344</v>
      </c>
      <c r="S67" s="60">
        <v>5</v>
      </c>
      <c r="T67" s="159" t="str">
        <f>CHOOSE(S69,T62,T63, T64,T65,T66)</f>
        <v>3.2 x 2.5</v>
      </c>
      <c r="U67" s="144">
        <v>8</v>
      </c>
    </row>
    <row r="68" spans="1:26">
      <c r="A68" s="89"/>
      <c r="B68" s="138"/>
      <c r="C68"/>
      <c r="E68" s="59"/>
      <c r="I68" s="722"/>
      <c r="R68" s="390" t="s">
        <v>943</v>
      </c>
      <c r="S68" s="60">
        <v>6</v>
      </c>
      <c r="T68" s="159" t="s">
        <v>944</v>
      </c>
      <c r="U68" s="144">
        <v>25.1</v>
      </c>
    </row>
    <row r="69" spans="1:26">
      <c r="A69" s="89" t="s">
        <v>157</v>
      </c>
      <c r="B69" s="138">
        <f>Nps*(Vout+Vfwd1)/(VIN_nom+Nps*(Vout+Vfwd1))</f>
        <v>0.47204968944099374</v>
      </c>
      <c r="C69"/>
      <c r="I69" s="20"/>
      <c r="Q69" s="376" t="s">
        <v>345</v>
      </c>
      <c r="R69" s="159" t="str">
        <f>CHOOSE(S69,"0402","0603","0805","1206","1210")</f>
        <v>1210</v>
      </c>
      <c r="S69" s="316">
        <v>5</v>
      </c>
    </row>
    <row r="70" spans="1:26">
      <c r="A70" s="89" t="s">
        <v>151</v>
      </c>
      <c r="B70" s="138">
        <f>Nps*(Vout+Vfwd1)/(VIN_max+Nps*(Vout+Vfwd1))*0+CHOOSE(MODE, 'Calculations - Single'!M316, 'Calculations - Dual'!N316)</f>
        <v>0.39228023192875233</v>
      </c>
      <c r="C70"/>
      <c r="E70" s="59"/>
      <c r="I70" s="20"/>
    </row>
    <row r="71" spans="1:26">
      <c r="A71" s="59"/>
      <c r="C71"/>
      <c r="E71" s="59"/>
      <c r="I71" s="20"/>
      <c r="T71" s="3" t="s">
        <v>116</v>
      </c>
      <c r="U71" s="3" t="s">
        <v>634</v>
      </c>
      <c r="W71" s="3" t="s">
        <v>633</v>
      </c>
      <c r="X71" s="3"/>
      <c r="Y71" s="3" t="s">
        <v>116</v>
      </c>
      <c r="Z71" s="3" t="s">
        <v>634</v>
      </c>
    </row>
    <row r="72" spans="1:26">
      <c r="A72" s="89" t="s">
        <v>832</v>
      </c>
      <c r="B72" s="670">
        <f>MIN(0.667*VIN_nom/Vout, 1.857*VIN_min/Vout*1+0*3.33*VIN_min/Vout)</f>
        <v>0.75593333333333335</v>
      </c>
      <c r="C72" s="59"/>
      <c r="D72" s="59" t="s">
        <v>834</v>
      </c>
      <c r="I72" s="20"/>
      <c r="R72" s="3" t="s">
        <v>633</v>
      </c>
      <c r="S72" s="3"/>
      <c r="T72" s="327" t="s">
        <v>621</v>
      </c>
      <c r="U72" s="144">
        <v>36</v>
      </c>
      <c r="W72" s="59" t="s">
        <v>639</v>
      </c>
      <c r="X72" s="60">
        <v>1</v>
      </c>
      <c r="Y72" s="59" t="s">
        <v>351</v>
      </c>
      <c r="Z72">
        <v>1.3</v>
      </c>
    </row>
    <row r="73" spans="1:26">
      <c r="A73" s="89"/>
      <c r="B73" s="542"/>
      <c r="C73"/>
      <c r="D73" s="59"/>
      <c r="I73" s="20"/>
      <c r="R73" s="59" t="s">
        <v>348</v>
      </c>
      <c r="S73" s="60">
        <v>1</v>
      </c>
      <c r="T73" s="327" t="s">
        <v>620</v>
      </c>
      <c r="U73" s="144">
        <v>49</v>
      </c>
      <c r="W73" s="59" t="s">
        <v>630</v>
      </c>
      <c r="X73" s="60">
        <v>2</v>
      </c>
      <c r="Y73" s="59" t="s">
        <v>638</v>
      </c>
      <c r="Z73">
        <v>3.2</v>
      </c>
    </row>
    <row r="74" spans="1:26">
      <c r="A74" s="89"/>
      <c r="B74" s="542"/>
      <c r="C74" s="59"/>
      <c r="D74" s="59"/>
      <c r="I74" s="20"/>
      <c r="R74" s="59" t="s">
        <v>349</v>
      </c>
      <c r="S74" s="60">
        <v>2</v>
      </c>
      <c r="T74" s="327" t="s">
        <v>619</v>
      </c>
      <c r="U74" s="144">
        <v>64</v>
      </c>
      <c r="W74" s="59" t="s">
        <v>631</v>
      </c>
      <c r="X74" s="60">
        <v>3</v>
      </c>
      <c r="Y74" s="59" t="s">
        <v>637</v>
      </c>
      <c r="Z74">
        <v>6.5</v>
      </c>
    </row>
    <row r="75" spans="1:26">
      <c r="A75" s="59"/>
      <c r="C75"/>
      <c r="I75" s="20">
        <v>1</v>
      </c>
      <c r="R75" s="59" t="s">
        <v>611</v>
      </c>
      <c r="S75" s="60">
        <v>3</v>
      </c>
      <c r="T75" s="327" t="s">
        <v>618</v>
      </c>
      <c r="U75" s="144">
        <v>81</v>
      </c>
      <c r="W75" s="59" t="s">
        <v>632</v>
      </c>
      <c r="X75" s="60">
        <v>4</v>
      </c>
      <c r="Y75" s="59" t="s">
        <v>636</v>
      </c>
      <c r="Z75">
        <v>12.5</v>
      </c>
    </row>
    <row r="76" spans="1:26">
      <c r="A76" s="59" t="s">
        <v>850</v>
      </c>
      <c r="B76" s="13">
        <f>VIN_max+Nps*(Vout+Vfwd2)*1.5</f>
        <v>94.05</v>
      </c>
      <c r="C76" s="59"/>
      <c r="D76" s="59"/>
      <c r="E76" s="59"/>
      <c r="I76" s="20"/>
      <c r="R76" s="59" t="s">
        <v>612</v>
      </c>
      <c r="S76" s="60">
        <v>4</v>
      </c>
      <c r="T76" s="327" t="s">
        <v>617</v>
      </c>
      <c r="U76" s="144">
        <v>100</v>
      </c>
      <c r="W76" s="376" t="s">
        <v>635</v>
      </c>
    </row>
    <row r="77" spans="1:26">
      <c r="A77" s="59"/>
      <c r="B77" s="13"/>
      <c r="C77"/>
      <c r="D77" s="59">
        <f>Isw_min</f>
        <v>6.0606060606060606</v>
      </c>
      <c r="E77" s="59"/>
      <c r="I77" s="20"/>
      <c r="R77" s="59" t="s">
        <v>613</v>
      </c>
      <c r="S77" s="60">
        <v>5</v>
      </c>
      <c r="T77" s="327" t="s">
        <v>616</v>
      </c>
      <c r="U77" s="144">
        <v>120</v>
      </c>
    </row>
    <row r="78" spans="1:26">
      <c r="A78" s="59"/>
      <c r="B78" s="13"/>
      <c r="C78" s="59"/>
      <c r="D78" s="59"/>
      <c r="E78" s="59"/>
      <c r="I78" s="20"/>
      <c r="R78" s="59" t="s">
        <v>614</v>
      </c>
      <c r="S78" s="60">
        <v>6</v>
      </c>
      <c r="T78" s="327" t="s">
        <v>622</v>
      </c>
      <c r="U78" s="144">
        <v>143</v>
      </c>
    </row>
    <row r="79" spans="1:26" ht="15.6">
      <c r="A79" s="59"/>
      <c r="C79" s="59"/>
      <c r="E79" s="59"/>
      <c r="I79" s="20"/>
      <c r="K79" s="59" t="s">
        <v>320</v>
      </c>
      <c r="R79" s="59" t="s">
        <v>615</v>
      </c>
      <c r="S79" s="60">
        <v>7</v>
      </c>
      <c r="T79" s="327" t="s">
        <v>955</v>
      </c>
      <c r="U79">
        <f>11*14</f>
        <v>154</v>
      </c>
    </row>
    <row r="80" spans="1:26">
      <c r="A80" s="89" t="s">
        <v>680</v>
      </c>
      <c r="B80" s="34">
        <f>'Design Converter'!L7/1000000</f>
        <v>4.6999999999999999E-6</v>
      </c>
      <c r="C80" t="s">
        <v>11</v>
      </c>
      <c r="D80" s="59" t="s">
        <v>452</v>
      </c>
      <c r="I80" s="20"/>
      <c r="Q80" s="376" t="s">
        <v>453</v>
      </c>
      <c r="R80" s="59" t="s">
        <v>954</v>
      </c>
      <c r="S80" s="60">
        <v>8</v>
      </c>
      <c r="T80" s="327" t="s">
        <v>956</v>
      </c>
      <c r="U80">
        <f>23*17</f>
        <v>391</v>
      </c>
    </row>
    <row r="81" spans="1:17">
      <c r="A81" s="89" t="s">
        <v>661</v>
      </c>
      <c r="B81" s="110">
        <f>'Design Converter'!L11</f>
        <v>200</v>
      </c>
      <c r="C81" t="s">
        <v>662</v>
      </c>
      <c r="D81" s="59"/>
      <c r="I81" s="20"/>
    </row>
    <row r="82" spans="1:17">
      <c r="A82" s="89" t="s">
        <v>826</v>
      </c>
      <c r="B82" s="34">
        <f>Lmag/(Nps)^2</f>
        <v>4.6999999999999999E-6</v>
      </c>
      <c r="C82" t="s">
        <v>11</v>
      </c>
      <c r="D82" s="59"/>
      <c r="I82" s="20"/>
    </row>
    <row r="83" spans="1:17">
      <c r="A83" s="89" t="s">
        <v>827</v>
      </c>
      <c r="B83" s="34">
        <f>Lmag/(Nps/Nsec1sec2)^2</f>
        <v>2.106918906301393E-7</v>
      </c>
      <c r="C83" t="s">
        <v>11</v>
      </c>
      <c r="D83" s="59"/>
      <c r="I83" s="20"/>
    </row>
    <row r="84" spans="1:17">
      <c r="A84" s="89"/>
      <c r="B84" s="110"/>
      <c r="C84"/>
      <c r="D84" s="59"/>
      <c r="I84" s="20"/>
    </row>
    <row r="85" spans="1:17">
      <c r="A85" s="89" t="s">
        <v>385</v>
      </c>
      <c r="B85" s="8">
        <f>'Design Converter'!L8/1000</f>
        <v>1.4E-2</v>
      </c>
      <c r="C85" s="91" t="s">
        <v>45</v>
      </c>
      <c r="D85" s="59" t="s">
        <v>450</v>
      </c>
      <c r="I85" s="20"/>
    </row>
    <row r="86" spans="1:17" ht="13.8" thickBot="1">
      <c r="A86" s="89" t="s">
        <v>448</v>
      </c>
      <c r="B86" s="8">
        <f>'Design Converter'!L9/1000</f>
        <v>1.4E-2</v>
      </c>
      <c r="C86" s="91" t="s">
        <v>45</v>
      </c>
      <c r="D86" s="59" t="s">
        <v>451</v>
      </c>
      <c r="I86" s="20">
        <v>2</v>
      </c>
    </row>
    <row r="87" spans="1:17">
      <c r="A87" s="89" t="s">
        <v>449</v>
      </c>
      <c r="B87" s="8">
        <f>'Design Converter'!L10/1000</f>
        <v>5.0000000000000001E-3</v>
      </c>
      <c r="C87" s="91" t="s">
        <v>45</v>
      </c>
      <c r="D87" s="59" t="s">
        <v>540</v>
      </c>
      <c r="E87" s="59"/>
      <c r="I87" s="20">
        <v>1</v>
      </c>
      <c r="K87" s="721" t="s">
        <v>880</v>
      </c>
      <c r="L87" s="627"/>
    </row>
    <row r="88" spans="1:17">
      <c r="A88" s="89"/>
      <c r="C88"/>
      <c r="I88" s="20"/>
      <c r="K88" s="89" t="s">
        <v>644</v>
      </c>
      <c r="L88" s="722">
        <f>Vfwd1</f>
        <v>0.4</v>
      </c>
      <c r="Q88">
        <f>ktr_rcmd</f>
        <v>0.75593333333333335</v>
      </c>
    </row>
    <row r="89" spans="1:17" ht="15.75" customHeight="1">
      <c r="A89" s="59" t="s">
        <v>539</v>
      </c>
      <c r="B89" s="166">
        <v>100</v>
      </c>
      <c r="C89" s="59" t="s">
        <v>102</v>
      </c>
      <c r="D89" s="59"/>
      <c r="I89" s="20"/>
      <c r="K89" s="89" t="s">
        <v>645</v>
      </c>
      <c r="L89" s="722">
        <f>Vfwd2</f>
        <v>0.7</v>
      </c>
      <c r="M89" s="59"/>
      <c r="Q89" t="str">
        <f>Nps</f>
        <v>1</v>
      </c>
    </row>
    <row r="90" spans="1:17" ht="13.8" thickBot="1">
      <c r="A90" s="89" t="s">
        <v>536</v>
      </c>
      <c r="B90" s="160">
        <f>Rdcr_pri*(1+0.0039*(B89-25))</f>
        <v>1.8095E-2</v>
      </c>
      <c r="C90" s="91" t="s">
        <v>45</v>
      </c>
      <c r="I90" s="20"/>
      <c r="K90" s="723" t="s">
        <v>881</v>
      </c>
      <c r="L90" s="639">
        <f>'Design Converter'!S31</f>
        <v>0.5</v>
      </c>
      <c r="M90" s="59"/>
    </row>
    <row r="91" spans="1:17">
      <c r="A91" s="89" t="s">
        <v>537</v>
      </c>
      <c r="B91" s="160">
        <f>Rdcr_sec*(1+0.0039*(B89-25))</f>
        <v>1.8095E-2</v>
      </c>
      <c r="C91" s="91" t="s">
        <v>45</v>
      </c>
      <c r="I91" s="20"/>
    </row>
    <row r="92" spans="1:17">
      <c r="A92" s="89" t="s">
        <v>538</v>
      </c>
      <c r="B92" s="160">
        <f>Rdcr_sec2*(1+0.0039*(B89-25))</f>
        <v>6.4625000000000004E-3</v>
      </c>
      <c r="C92" s="91" t="s">
        <v>45</v>
      </c>
      <c r="I92" s="20"/>
    </row>
    <row r="93" spans="1:17">
      <c r="A93" s="621" t="s">
        <v>957</v>
      </c>
      <c r="B93" s="780">
        <v>3.9999999999999998E-7</v>
      </c>
      <c r="C93" s="3" t="s">
        <v>51</v>
      </c>
      <c r="I93" s="20"/>
      <c r="K93" t="s">
        <v>883</v>
      </c>
    </row>
    <row r="94" spans="1:17">
      <c r="A94" s="377" t="s">
        <v>660</v>
      </c>
      <c r="B94" s="536">
        <f>(Vout+Vfwd1)*Nps*0.00000045/Isw_min*1000000*0+0.32*VIN_nom^2/Pin*0+MAX(2*(Vout+Vfwd2)^2*VIN_nom^2/(Pin*(Vout+Vfwd2+VIN_nom/ktr_rcmd)^2),B95)</f>
        <v>3.0414003280853148</v>
      </c>
      <c r="C94" s="3" t="s">
        <v>833</v>
      </c>
      <c r="I94" s="20"/>
      <c r="K94" t="s">
        <v>884</v>
      </c>
      <c r="L94">
        <f>MAX('Calculations - Single'!BM316,'Calculations - Single'!BM210,'Calculations - Single'!BM105)</f>
        <v>6.9672181128790189</v>
      </c>
    </row>
    <row r="95" spans="1:17">
      <c r="A95" s="621" t="s">
        <v>846</v>
      </c>
      <c r="B95" s="536">
        <f>(Vout+Vfwd1)*Nps*toff_max/(0.02/RCS/1000)</f>
        <v>2.0063999999999993</v>
      </c>
      <c r="C95" s="3" t="s">
        <v>833</v>
      </c>
      <c r="I95" s="20"/>
      <c r="K95" t="s">
        <v>885</v>
      </c>
      <c r="L95">
        <f>MAX('Calculations - Dual'!BK316,'Calculations - Dual'!BK210,'Calculations - Dual'!BK105)</f>
        <v>7.0839242340725184</v>
      </c>
    </row>
    <row r="96" spans="1:17">
      <c r="A96" t="s">
        <v>837</v>
      </c>
      <c r="B96" s="536">
        <f>MIN(350000,('Calculations - Single'!CQ210*VIN_min)^2/(2*Pin*Lmag))</f>
        <v>123754.47792058779</v>
      </c>
      <c r="C96" s="3" t="s">
        <v>8</v>
      </c>
      <c r="D96" s="59" t="s">
        <v>845</v>
      </c>
      <c r="I96" s="20"/>
      <c r="K96" t="s">
        <v>886</v>
      </c>
      <c r="L96">
        <f>CHOOSE(MODE,L94,L95)</f>
        <v>7.0839242340725184</v>
      </c>
    </row>
    <row r="97" spans="1:12">
      <c r="A97" t="s">
        <v>838</v>
      </c>
      <c r="B97" s="536">
        <f>VIN_min/Lmag*'Calculations - Single'!CQ210/B96*1.2</f>
        <v>24.88831578947368</v>
      </c>
      <c r="C97" s="3" t="s">
        <v>1</v>
      </c>
      <c r="I97" s="20"/>
    </row>
    <row r="98" spans="1:12">
      <c r="A98" t="s">
        <v>839</v>
      </c>
      <c r="B98" s="160">
        <f>0.1/B97</f>
        <v>4.0179496614348746E-3</v>
      </c>
      <c r="C98" s="91" t="s">
        <v>45</v>
      </c>
      <c r="D98" t="s">
        <v>841</v>
      </c>
      <c r="I98" s="20"/>
    </row>
    <row r="99" spans="1:12">
      <c r="A99" t="s">
        <v>840</v>
      </c>
      <c r="B99" s="160">
        <f>0.02*Lmag/((Vout+Vfwd1)*0.00000045*Nps)</f>
        <v>6.871345029239766E-3</v>
      </c>
      <c r="C99" s="91"/>
      <c r="D99" t="s">
        <v>842</v>
      </c>
      <c r="I99" s="20"/>
    </row>
    <row r="100" spans="1:12">
      <c r="B100" s="160"/>
      <c r="C100" s="91"/>
      <c r="I100" s="20"/>
    </row>
    <row r="101" spans="1:12" ht="13.8" thickBot="1">
      <c r="A101" s="142" t="s">
        <v>773</v>
      </c>
      <c r="B101" s="143">
        <f>Iout*((Vout+Parameters!B49)/VIN_min+1/'Variable Mgmt'!B24)*0+CHOOSE(MODE, 'Calculations - Single'!U210,'Calculations - Dual'!T210)*1.1</f>
        <v>22.88061159232533</v>
      </c>
      <c r="C101" s="24" t="s">
        <v>1</v>
      </c>
      <c r="D101" s="24"/>
      <c r="E101" s="24"/>
      <c r="F101" s="24"/>
      <c r="G101" s="24"/>
      <c r="H101" s="24"/>
      <c r="I101" s="25"/>
    </row>
    <row r="102" spans="1:12">
      <c r="A102" s="3" t="s">
        <v>774</v>
      </c>
      <c r="B102" s="616">
        <f>MIN(B98,B99)</f>
        <v>4.0179496614348746E-3</v>
      </c>
      <c r="C102" s="91" t="s">
        <v>45</v>
      </c>
    </row>
    <row r="104" spans="1:12" ht="16.2" thickBot="1">
      <c r="A104" s="39" t="s">
        <v>559</v>
      </c>
      <c r="D104" s="3"/>
    </row>
    <row r="105" spans="1:12">
      <c r="A105" s="88" t="s">
        <v>164</v>
      </c>
      <c r="B105" s="358"/>
      <c r="C105" s="141" t="s">
        <v>1</v>
      </c>
      <c r="D105" s="61" t="s">
        <v>163</v>
      </c>
      <c r="E105" s="26"/>
      <c r="F105" s="26"/>
      <c r="G105" s="26"/>
      <c r="H105" s="26"/>
      <c r="I105" s="27"/>
      <c r="L105" s="5"/>
    </row>
    <row r="106" spans="1:12">
      <c r="A106" s="89" t="s">
        <v>165</v>
      </c>
      <c r="B106" s="359"/>
      <c r="C106" s="59" t="s">
        <v>1</v>
      </c>
      <c r="E106" s="59"/>
      <c r="I106" s="20"/>
      <c r="L106" s="5"/>
    </row>
    <row r="107" spans="1:12">
      <c r="A107" s="89" t="s">
        <v>166</v>
      </c>
      <c r="B107" s="359"/>
      <c r="C107" s="59" t="s">
        <v>1</v>
      </c>
      <c r="E107" s="59"/>
      <c r="I107" s="20"/>
      <c r="L107" s="5"/>
    </row>
    <row r="108" spans="1:12">
      <c r="A108" s="89"/>
      <c r="B108" s="144"/>
      <c r="C108" s="59"/>
      <c r="E108" s="59"/>
      <c r="I108" s="20"/>
      <c r="L108" s="5"/>
    </row>
    <row r="109" spans="1:12">
      <c r="A109" s="89" t="s">
        <v>174</v>
      </c>
      <c r="B109" s="472">
        <f>Vout_ripple</f>
        <v>300</v>
      </c>
      <c r="C109" s="59" t="s">
        <v>149</v>
      </c>
      <c r="D109" s="59" t="s">
        <v>594</v>
      </c>
      <c r="I109" s="20"/>
      <c r="L109" s="5"/>
    </row>
    <row r="110" spans="1:12">
      <c r="A110" s="429" t="s">
        <v>12</v>
      </c>
      <c r="B110" s="167">
        <f>MAX(4.7, CHOOSE(MODE, 'Calculations - Single'!EE212, 'Calculations - Dual'!AW105))</f>
        <v>28.797863257259404</v>
      </c>
      <c r="C110" s="9" t="s">
        <v>97</v>
      </c>
      <c r="D110" s="59" t="s">
        <v>593</v>
      </c>
      <c r="E110" s="59"/>
      <c r="I110" s="20"/>
    </row>
    <row r="111" spans="1:12">
      <c r="A111" s="89" t="s">
        <v>14</v>
      </c>
      <c r="B111" s="508">
        <f>'Design Converter'!E34</f>
        <v>220</v>
      </c>
      <c r="C111" s="9" t="s">
        <v>97</v>
      </c>
      <c r="D111" s="59" t="s">
        <v>167</v>
      </c>
      <c r="I111" s="20"/>
    </row>
    <row r="112" spans="1:12">
      <c r="A112" s="173" t="s">
        <v>181</v>
      </c>
      <c r="B112" s="473">
        <f>(Vripple1_spec-Iout*B114/Cout*1000)/Iout</f>
        <v>53.541722229403504</v>
      </c>
      <c r="C112" s="91" t="s">
        <v>258</v>
      </c>
      <c r="D112" s="59" t="s">
        <v>107</v>
      </c>
      <c r="I112" s="20"/>
    </row>
    <row r="113" spans="1:9">
      <c r="A113" s="89" t="s">
        <v>54</v>
      </c>
      <c r="B113" s="168">
        <f>'Design Converter'!E35</f>
        <v>2</v>
      </c>
      <c r="C113" s="91" t="s">
        <v>258</v>
      </c>
      <c r="D113" s="59" t="s">
        <v>108</v>
      </c>
      <c r="I113" s="20"/>
    </row>
    <row r="114" spans="1:9">
      <c r="A114" s="89" t="s">
        <v>438</v>
      </c>
      <c r="B114" s="167">
        <f>CHOOSE(MODE, 'Calculations - Single'!AT105, 'Calculations - Dual'!AR105)</f>
        <v>4.7208211095312294</v>
      </c>
      <c r="C114" s="9" t="s">
        <v>247</v>
      </c>
      <c r="D114" s="59"/>
      <c r="I114" s="20"/>
    </row>
    <row r="115" spans="1:9">
      <c r="A115" s="29" t="s">
        <v>437</v>
      </c>
      <c r="B115" s="506">
        <f>Iout*B114/Cout*1000+Iout*CoutEsr</f>
        <v>93.833111082385997</v>
      </c>
      <c r="C115" s="59" t="s">
        <v>443</v>
      </c>
      <c r="D115" s="59" t="s">
        <v>596</v>
      </c>
      <c r="H115" s="159" t="s">
        <v>562</v>
      </c>
      <c r="I115" s="20"/>
    </row>
    <row r="116" spans="1:9">
      <c r="A116" s="29"/>
      <c r="B116" s="167"/>
      <c r="C116" s="59"/>
      <c r="D116" s="59"/>
      <c r="I116" s="20"/>
    </row>
    <row r="117" spans="1:9">
      <c r="A117" s="29"/>
      <c r="B117" s="167"/>
      <c r="C117" s="59"/>
      <c r="D117" s="59"/>
      <c r="I117" s="20"/>
    </row>
    <row r="118" spans="1:9" ht="15.6">
      <c r="A118" s="545" t="s">
        <v>560</v>
      </c>
      <c r="B118" s="167"/>
      <c r="C118" s="9"/>
      <c r="D118" s="59"/>
      <c r="I118" s="20"/>
    </row>
    <row r="119" spans="1:9">
      <c r="A119" s="89" t="s">
        <v>541</v>
      </c>
      <c r="B119" s="472">
        <f>Vout_ripple2</f>
        <v>60</v>
      </c>
      <c r="C119" s="59" t="s">
        <v>149</v>
      </c>
      <c r="D119" s="59" t="s">
        <v>597</v>
      </c>
      <c r="I119" s="20"/>
    </row>
    <row r="120" spans="1:9">
      <c r="A120" s="429" t="s">
        <v>543</v>
      </c>
      <c r="B120" s="167">
        <f>MAX(4.7, 'Calculations - Dual'!AX105)</f>
        <v>30.597729710838113</v>
      </c>
      <c r="C120" s="9" t="s">
        <v>97</v>
      </c>
      <c r="D120" s="59" t="s">
        <v>593</v>
      </c>
      <c r="I120" s="20"/>
    </row>
    <row r="121" spans="1:9">
      <c r="A121" s="89" t="s">
        <v>542</v>
      </c>
      <c r="B121" s="508">
        <f>MAX(4.7,'Design Converter'!L34)</f>
        <v>55</v>
      </c>
      <c r="C121" s="9" t="s">
        <v>97</v>
      </c>
      <c r="D121" s="59" t="s">
        <v>167</v>
      </c>
      <c r="I121" s="20"/>
    </row>
    <row r="122" spans="1:9">
      <c r="A122" s="173" t="s">
        <v>544</v>
      </c>
      <c r="B122" s="473">
        <f>(Vout_ripple2-Iout2*B124/Cout2*1000)/Iout2</f>
        <v>-15.244875788268343</v>
      </c>
      <c r="C122" s="91" t="s">
        <v>258</v>
      </c>
      <c r="D122" s="59" t="s">
        <v>107</v>
      </c>
      <c r="H122" s="159" t="s">
        <v>561</v>
      </c>
      <c r="I122" s="20"/>
    </row>
    <row r="123" spans="1:9">
      <c r="A123" s="89" t="s">
        <v>545</v>
      </c>
      <c r="B123" s="168">
        <f>'Design Converter'!L35</f>
        <v>8</v>
      </c>
      <c r="C123" s="91" t="s">
        <v>258</v>
      </c>
      <c r="D123" s="59" t="s">
        <v>108</v>
      </c>
      <c r="I123" s="20"/>
    </row>
    <row r="124" spans="1:9">
      <c r="A124" s="89" t="s">
        <v>438</v>
      </c>
      <c r="B124" s="167">
        <f>'Calculations - Dual'!AR105</f>
        <v>4.7208211095312294</v>
      </c>
      <c r="C124" s="9" t="s">
        <v>247</v>
      </c>
      <c r="D124" s="59"/>
      <c r="H124" s="159" t="s">
        <v>561</v>
      </c>
      <c r="I124" s="20"/>
    </row>
    <row r="125" spans="1:9">
      <c r="A125" s="29" t="s">
        <v>437</v>
      </c>
      <c r="B125" s="506">
        <f>Iout2*B124/Cout2*1000+Iout2*CoutEsr2</f>
        <v>79.758144420028088</v>
      </c>
      <c r="C125" s="59" t="s">
        <v>443</v>
      </c>
      <c r="D125" s="59" t="s">
        <v>595</v>
      </c>
      <c r="I125" s="20"/>
    </row>
    <row r="126" spans="1:9">
      <c r="A126" s="3"/>
      <c r="B126" s="167"/>
      <c r="C126" s="59"/>
      <c r="D126" s="59"/>
      <c r="I126" s="20"/>
    </row>
    <row r="127" spans="1:9" ht="13.8" thickBot="1">
      <c r="A127" s="24"/>
      <c r="B127" s="24"/>
      <c r="C127" s="24"/>
      <c r="D127" s="24"/>
      <c r="E127" s="24"/>
      <c r="F127" s="24"/>
      <c r="G127" s="24"/>
      <c r="H127" s="24"/>
      <c r="I127" s="25"/>
    </row>
    <row r="129" spans="1:9" ht="13.8" thickBot="1"/>
    <row r="130" spans="1:9" ht="15.6">
      <c r="A130" s="45" t="s">
        <v>55</v>
      </c>
      <c r="B130" s="46"/>
      <c r="C130" s="145"/>
      <c r="D130" s="46"/>
      <c r="E130" s="46"/>
      <c r="F130" s="46"/>
      <c r="G130" s="46"/>
      <c r="H130" s="46"/>
      <c r="I130" s="47"/>
    </row>
    <row r="131" spans="1:9">
      <c r="A131" s="475" t="s">
        <v>507</v>
      </c>
      <c r="B131" s="478">
        <f>0.05*VIN_nom</f>
        <v>1.7000000000000002</v>
      </c>
      <c r="C131" s="59" t="s">
        <v>444</v>
      </c>
      <c r="D131" s="59" t="s">
        <v>439</v>
      </c>
      <c r="I131" s="49"/>
    </row>
    <row r="132" spans="1:9">
      <c r="A132" s="48"/>
      <c r="C132"/>
      <c r="I132" s="49"/>
    </row>
    <row r="133" spans="1:9">
      <c r="A133" s="50" t="s">
        <v>58</v>
      </c>
      <c r="B133" s="360"/>
      <c r="C133" s="9" t="s">
        <v>30</v>
      </c>
      <c r="I133" s="49"/>
    </row>
    <row r="134" spans="1:9">
      <c r="A134" s="50" t="s">
        <v>98</v>
      </c>
      <c r="B134" s="162">
        <f>'Calculations - Single'!BB105</f>
        <v>5.3148611223086144</v>
      </c>
      <c r="C134" s="9" t="s">
        <v>97</v>
      </c>
      <c r="I134" s="49"/>
    </row>
    <row r="135" spans="1:9">
      <c r="A135" s="173" t="s">
        <v>180</v>
      </c>
      <c r="B135" s="511">
        <f>MAX(2.2,Cinmin)</f>
        <v>5.3148611223086144</v>
      </c>
      <c r="C135" s="9" t="s">
        <v>97</v>
      </c>
      <c r="I135" s="49"/>
    </row>
    <row r="136" spans="1:9">
      <c r="A136" s="50" t="s">
        <v>28</v>
      </c>
      <c r="B136" s="476">
        <f>'Design Converter'!E30</f>
        <v>100</v>
      </c>
      <c r="C136" s="9" t="s">
        <v>97</v>
      </c>
      <c r="D136" t="s">
        <v>60</v>
      </c>
      <c r="I136" s="49"/>
    </row>
    <row r="137" spans="1:9">
      <c r="A137" s="50"/>
      <c r="B137" s="474"/>
      <c r="C137" s="43"/>
      <c r="I137" s="49"/>
    </row>
    <row r="138" spans="1:9">
      <c r="A138" s="50" t="s">
        <v>99</v>
      </c>
      <c r="B138" s="359">
        <f>(Vinripple1-B141*B143/Cin)/B142</f>
        <v>0.10375712521668434</v>
      </c>
      <c r="C138" s="91" t="s">
        <v>45</v>
      </c>
      <c r="I138" s="49"/>
    </row>
    <row r="139" spans="1:9">
      <c r="A139" s="50" t="s">
        <v>37</v>
      </c>
      <c r="B139" s="44">
        <f>'Design Converter'!E31/1000</f>
        <v>3.0000000000000001E-3</v>
      </c>
      <c r="C139" s="91" t="s">
        <v>45</v>
      </c>
      <c r="D139" s="59" t="s">
        <v>109</v>
      </c>
      <c r="I139" s="49"/>
    </row>
    <row r="140" spans="1:9" ht="13.8">
      <c r="A140" s="173" t="s">
        <v>182</v>
      </c>
      <c r="B140" s="312">
        <f>'Design Converter'!E31</f>
        <v>3</v>
      </c>
      <c r="C140" s="12" t="s">
        <v>161</v>
      </c>
      <c r="D140" s="59"/>
      <c r="I140" s="49"/>
    </row>
    <row r="141" spans="1:9">
      <c r="A141" s="173" t="s">
        <v>441</v>
      </c>
      <c r="B141" s="365">
        <f>Vout*Iout/VIN_nom/Efficiency</f>
        <v>3.5294117647058822</v>
      </c>
      <c r="C141" s="59" t="s">
        <v>1</v>
      </c>
      <c r="D141" s="59"/>
      <c r="I141" s="49"/>
    </row>
    <row r="142" spans="1:9">
      <c r="A142" s="173" t="s">
        <v>445</v>
      </c>
      <c r="B142" s="365">
        <f>CHOOSE(MODE, 'Calculations - Single'!AJ105, 'Calculations - Dual'!$AI$105)</f>
        <v>15.513271199851818</v>
      </c>
      <c r="C142" s="59" t="s">
        <v>1</v>
      </c>
      <c r="D142" s="59"/>
      <c r="I142" s="49"/>
    </row>
    <row r="143" spans="1:9">
      <c r="A143" s="173" t="s">
        <v>442</v>
      </c>
      <c r="B143" s="365">
        <f>CHOOSE(MODE, 'Calculations - Single'!AU105, 'Calculations - Dual'!$AT$105)</f>
        <v>2.5609813652367741</v>
      </c>
      <c r="C143" s="9" t="s">
        <v>247</v>
      </c>
      <c r="D143" s="59"/>
      <c r="I143" s="49"/>
    </row>
    <row r="144" spans="1:9">
      <c r="A144" s="173" t="s">
        <v>440</v>
      </c>
      <c r="B144" s="162">
        <f>B141*B143/Cin+B142*RCinEsr</f>
        <v>0.13692739119614747</v>
      </c>
      <c r="C144" s="9" t="s">
        <v>444</v>
      </c>
      <c r="D144" s="59" t="s">
        <v>446</v>
      </c>
      <c r="E144" s="477"/>
      <c r="F144" s="9"/>
      <c r="I144" s="49"/>
    </row>
    <row r="145" spans="1:9" ht="13.8" thickBot="1">
      <c r="A145" s="51"/>
      <c r="B145" s="52"/>
      <c r="C145" s="52"/>
      <c r="D145" s="52"/>
      <c r="E145" s="53"/>
      <c r="F145" s="53"/>
      <c r="G145" s="53"/>
      <c r="H145" s="53"/>
      <c r="I145" s="54"/>
    </row>
    <row r="147" spans="1:9" ht="16.2" thickBot="1">
      <c r="A147" s="39" t="s">
        <v>62</v>
      </c>
    </row>
    <row r="148" spans="1:9">
      <c r="A148" s="40" t="s">
        <v>64</v>
      </c>
      <c r="B148" s="7">
        <f>'Design Converter'!E42/1000</f>
        <v>3.3500000000000002E-2</v>
      </c>
      <c r="C148" s="26" t="s">
        <v>51</v>
      </c>
      <c r="D148" s="61" t="s">
        <v>176</v>
      </c>
      <c r="E148" s="26"/>
      <c r="F148" s="26"/>
      <c r="G148" s="26"/>
      <c r="H148" s="26"/>
      <c r="I148" s="27"/>
    </row>
    <row r="149" spans="1:9">
      <c r="A149" s="19" t="s">
        <v>65</v>
      </c>
      <c r="B149" s="170">
        <v>5.0000000000000004E-6</v>
      </c>
      <c r="C149" t="s">
        <v>1</v>
      </c>
      <c r="D149" s="59" t="s">
        <v>306</v>
      </c>
      <c r="I149" s="20"/>
    </row>
    <row r="150" spans="1:9">
      <c r="A150" s="19" t="s">
        <v>66</v>
      </c>
      <c r="B150" s="170">
        <f>0.000005*Tss/1</f>
        <v>1.6750000000000001E-7</v>
      </c>
      <c r="C150" t="s">
        <v>13</v>
      </c>
      <c r="D150" s="59" t="s">
        <v>308</v>
      </c>
      <c r="I150" s="20"/>
    </row>
    <row r="151" spans="1:9" ht="13.8" thickBot="1">
      <c r="A151" s="23" t="s">
        <v>72</v>
      </c>
      <c r="B151" s="171">
        <f>'Standard Value Calculator'!B4</f>
        <v>1.8E-7</v>
      </c>
      <c r="C151" s="24" t="s">
        <v>13</v>
      </c>
      <c r="D151" s="62" t="s">
        <v>309</v>
      </c>
      <c r="E151" s="24"/>
      <c r="F151" s="24"/>
      <c r="G151" s="24"/>
      <c r="H151" s="24"/>
      <c r="I151" s="25"/>
    </row>
    <row r="153" spans="1:9" ht="16.2" thickBot="1">
      <c r="A153" s="39" t="s">
        <v>556</v>
      </c>
    </row>
    <row r="154" spans="1:9" ht="12.75" customHeight="1">
      <c r="A154" s="88"/>
      <c r="B154" s="41"/>
      <c r="C154" s="132"/>
      <c r="D154" s="61"/>
      <c r="E154" s="26"/>
      <c r="F154" s="26"/>
      <c r="G154" s="26"/>
      <c r="H154" s="26"/>
      <c r="I154" s="27"/>
    </row>
    <row r="155" spans="1:9" ht="12.75" customHeight="1">
      <c r="A155" s="89" t="s">
        <v>111</v>
      </c>
      <c r="B155" s="163">
        <v>1.5</v>
      </c>
      <c r="C155" s="59" t="s">
        <v>0</v>
      </c>
      <c r="D155" s="59"/>
      <c r="I155" s="20"/>
    </row>
    <row r="156" spans="1:9" ht="12.75" customHeight="1">
      <c r="A156" s="89" t="s">
        <v>112</v>
      </c>
      <c r="B156" s="163">
        <v>1.45</v>
      </c>
      <c r="C156" s="59" t="s">
        <v>0</v>
      </c>
      <c r="D156" s="59"/>
      <c r="I156" s="20"/>
    </row>
    <row r="157" spans="1:9" ht="12.75" customHeight="1">
      <c r="A157" s="89" t="s">
        <v>148</v>
      </c>
      <c r="B157" s="11">
        <f>B155-B156</f>
        <v>5.0000000000000044E-2</v>
      </c>
      <c r="C157" s="59" t="s">
        <v>0</v>
      </c>
      <c r="D157" s="59"/>
      <c r="I157" s="20"/>
    </row>
    <row r="158" spans="1:9" ht="12.75" customHeight="1">
      <c r="A158" s="89" t="s">
        <v>373</v>
      </c>
      <c r="B158">
        <v>0</v>
      </c>
      <c r="C158" s="59" t="s">
        <v>1</v>
      </c>
      <c r="D158" s="59"/>
      <c r="I158" s="20"/>
    </row>
    <row r="159" spans="1:9" ht="12.75" customHeight="1">
      <c r="A159" s="89" t="s">
        <v>372</v>
      </c>
      <c r="B159" s="447">
        <v>5.0000000000000001E-3</v>
      </c>
      <c r="C159" s="59" t="s">
        <v>30</v>
      </c>
      <c r="D159" s="59"/>
      <c r="I159" s="20"/>
    </row>
    <row r="160" spans="1:9" ht="12.75" customHeight="1">
      <c r="A160" s="89" t="s">
        <v>371</v>
      </c>
      <c r="B160" s="448">
        <f>Iuvlo2-Iuvlo1</f>
        <v>5.0000000000000001E-3</v>
      </c>
      <c r="C160" s="59" t="s">
        <v>30</v>
      </c>
      <c r="D160" s="59"/>
      <c r="I160" s="20"/>
    </row>
    <row r="161" spans="1:9" ht="12.75" customHeight="1">
      <c r="A161" s="89"/>
      <c r="B161" s="11"/>
      <c r="C161" s="134"/>
      <c r="D161" s="59"/>
      <c r="I161" s="20"/>
    </row>
    <row r="162" spans="1:9" ht="12.75" customHeight="1">
      <c r="A162" s="89" t="s">
        <v>110</v>
      </c>
      <c r="B162" s="161">
        <f>'Design Converter'!E48</f>
        <v>19</v>
      </c>
      <c r="C162" s="59" t="s">
        <v>0</v>
      </c>
      <c r="I162" s="20"/>
    </row>
    <row r="163" spans="1:9" ht="12.75" customHeight="1">
      <c r="A163" s="89" t="s">
        <v>294</v>
      </c>
      <c r="B163" s="161">
        <f>'Design Converter'!E49</f>
        <v>18</v>
      </c>
      <c r="C163" s="59" t="s">
        <v>0</v>
      </c>
      <c r="I163" s="20"/>
    </row>
    <row r="164" spans="1:9" ht="12.75" customHeight="1">
      <c r="A164" s="89"/>
      <c r="B164" s="11"/>
      <c r="C164" s="59"/>
      <c r="I164" s="20"/>
    </row>
    <row r="165" spans="1:9" ht="12.75" customHeight="1">
      <c r="A165" s="89" t="s">
        <v>126</v>
      </c>
      <c r="B165" s="130">
        <f>(VINuvlo_off-VINuvlo_on*Vuvlo_off/Vuvlo_on)/(Iuvlo1*Vuvlo_off/Vuvlo_on-Iuvlo2)</f>
        <v>73.333333333333428</v>
      </c>
      <c r="C165" s="12" t="s">
        <v>113</v>
      </c>
      <c r="D165">
        <f>'Standard Value Calculator'!J16</f>
        <v>73.2</v>
      </c>
      <c r="E165" s="12" t="s">
        <v>113</v>
      </c>
      <c r="F165" s="11">
        <f>IF(Ruvlo1&lt;0,"N/A",D165)</f>
        <v>73.2</v>
      </c>
      <c r="G165" s="11" t="str">
        <f>IF(Ruvlo1&lt;0,"N/A",D165&amp;"kΩ")</f>
        <v>73.2kΩ</v>
      </c>
      <c r="I165" s="20"/>
    </row>
    <row r="166" spans="1:9" ht="12.75" customHeight="1">
      <c r="A166" s="89" t="s">
        <v>127</v>
      </c>
      <c r="B166" s="164">
        <f>D165*Vuvlo_on/(VINuvlo_on-Vuvlo_on+Ruvlo1*Iuvlo1)</f>
        <v>6.2742857142857149</v>
      </c>
      <c r="C166" s="12" t="s">
        <v>113</v>
      </c>
      <c r="D166">
        <f>'Standard Value Calculator'!J17</f>
        <v>6.34</v>
      </c>
      <c r="E166" s="12" t="s">
        <v>113</v>
      </c>
      <c r="F166" s="11">
        <f>IF(F165="N/A","N/A",D166)</f>
        <v>6.34</v>
      </c>
      <c r="G166" s="11" t="str">
        <f>IF(G165="N/A","N/A",D166&amp;"kΩ")</f>
        <v>6.34kΩ</v>
      </c>
      <c r="I166" s="20"/>
    </row>
    <row r="167" spans="1:9" ht="12.75" customHeight="1">
      <c r="A167" s="89"/>
      <c r="B167" s="90"/>
      <c r="C167" s="12"/>
      <c r="D167" s="11"/>
      <c r="E167" s="12"/>
      <c r="F167" s="11"/>
      <c r="G167" s="11"/>
      <c r="I167" s="20"/>
    </row>
    <row r="168" spans="1:9" ht="12.75" customHeight="1">
      <c r="A168" s="89" t="s">
        <v>114</v>
      </c>
      <c r="B168" s="507">
        <f>(D165+D166)/D166*Vuvlo_on</f>
        <v>18.818611987381704</v>
      </c>
      <c r="C168" s="3" t="s">
        <v>0</v>
      </c>
      <c r="F168" s="12"/>
      <c r="I168" s="20"/>
    </row>
    <row r="169" spans="1:9" ht="12.75" customHeight="1">
      <c r="A169" s="89" t="s">
        <v>115</v>
      </c>
      <c r="B169" s="507">
        <f>(D165+D166)/D166*Vuvlo_off-Iuvlo2*D165</f>
        <v>17.82532492113565</v>
      </c>
      <c r="C169" s="3" t="s">
        <v>0</v>
      </c>
      <c r="F169" s="12"/>
      <c r="I169" s="20"/>
    </row>
    <row r="170" spans="1:9" ht="12.75" customHeight="1" thickBot="1">
      <c r="A170" s="23"/>
      <c r="B170" s="32"/>
      <c r="C170" s="133"/>
      <c r="D170" s="24"/>
      <c r="E170" s="24"/>
      <c r="F170" s="24"/>
      <c r="G170" s="24"/>
      <c r="H170" s="24"/>
      <c r="I170" s="25"/>
    </row>
    <row r="171" spans="1:9">
      <c r="B171" s="11"/>
      <c r="C171" s="134"/>
    </row>
    <row r="172" spans="1:9" ht="16.2" thickBot="1">
      <c r="A172" s="39" t="s">
        <v>518</v>
      </c>
    </row>
    <row r="173" spans="1:9">
      <c r="A173" s="152" t="s">
        <v>16</v>
      </c>
      <c r="B173" s="153">
        <v>3.1415926500000002</v>
      </c>
      <c r="C173" s="154"/>
      <c r="D173" s="155" t="s">
        <v>170</v>
      </c>
      <c r="E173" s="26"/>
      <c r="F173" s="26"/>
      <c r="G173" s="26"/>
      <c r="H173" s="26"/>
      <c r="I173" s="27"/>
    </row>
    <row r="174" spans="1:9">
      <c r="A174" s="59" t="s">
        <v>185</v>
      </c>
      <c r="B174" s="176"/>
      <c r="C174" s="156" t="s">
        <v>184</v>
      </c>
      <c r="D174" s="158" t="s">
        <v>548</v>
      </c>
      <c r="I174" s="20"/>
    </row>
    <row r="175" spans="1:9">
      <c r="A175" s="59" t="s">
        <v>186</v>
      </c>
      <c r="B175" s="176"/>
      <c r="C175" s="156" t="s">
        <v>184</v>
      </c>
      <c r="D175" s="158"/>
      <c r="I175" s="20"/>
    </row>
    <row r="176" spans="1:9">
      <c r="C176"/>
      <c r="I176" s="20"/>
    </row>
    <row r="177" spans="1:9" ht="13.8">
      <c r="A177" s="89" t="s">
        <v>386</v>
      </c>
      <c r="B177" s="146">
        <f>(Vout+Vfwd1)*Nps*10</f>
        <v>304</v>
      </c>
      <c r="C177" s="12" t="s">
        <v>113</v>
      </c>
      <c r="D177" s="59" t="s">
        <v>520</v>
      </c>
      <c r="I177" s="20">
        <v>1</v>
      </c>
    </row>
    <row r="178" spans="1:9" ht="13.8">
      <c r="A178" s="29" t="s">
        <v>519</v>
      </c>
      <c r="B178" s="151">
        <f>Rfb/1000</f>
        <v>300</v>
      </c>
      <c r="C178" s="12" t="s">
        <v>113</v>
      </c>
      <c r="D178" s="59" t="s">
        <v>517</v>
      </c>
      <c r="I178" s="20"/>
    </row>
    <row r="179" spans="1:9" ht="13.8">
      <c r="A179" s="89" t="s">
        <v>53</v>
      </c>
      <c r="B179" s="31">
        <f>'Standard Value Calculator'!J10/1000</f>
        <v>301</v>
      </c>
      <c r="C179" s="12" t="s">
        <v>113</v>
      </c>
      <c r="D179" s="59" t="s">
        <v>359</v>
      </c>
      <c r="I179" s="20"/>
    </row>
    <row r="180" spans="1:9" ht="13.8">
      <c r="A180" s="59"/>
      <c r="C180" s="12"/>
      <c r="D180" s="59"/>
      <c r="I180" s="20"/>
    </row>
    <row r="181" spans="1:9">
      <c r="A181" s="59" t="s">
        <v>521</v>
      </c>
      <c r="B181" s="458">
        <f>'Design Converter'!E45</f>
        <v>-0.7</v>
      </c>
      <c r="C181" s="59" t="s">
        <v>380</v>
      </c>
      <c r="D181" s="59"/>
      <c r="I181" s="20"/>
    </row>
    <row r="182" spans="1:9" ht="15.6">
      <c r="A182" s="19" t="s">
        <v>516</v>
      </c>
      <c r="B182" s="314">
        <f>4*B178/Nps/ABS(Diode_TC)*1000</f>
        <v>1714285.7142857146</v>
      </c>
      <c r="C182" s="12" t="s">
        <v>136</v>
      </c>
      <c r="D182" s="59"/>
      <c r="I182" s="20"/>
    </row>
    <row r="183" spans="1:9" ht="13.8">
      <c r="A183" t="s">
        <v>522</v>
      </c>
      <c r="B183" s="144">
        <f>'Standard Value Calculator'!J9/1000</f>
        <v>1690</v>
      </c>
      <c r="C183" s="12" t="s">
        <v>113</v>
      </c>
      <c r="D183" s="59"/>
      <c r="I183" s="20"/>
    </row>
    <row r="184" spans="1:9" ht="13.8" thickBot="1">
      <c r="A184" s="157"/>
      <c r="B184" s="157"/>
      <c r="C184" s="33"/>
      <c r="D184" s="24"/>
      <c r="E184" s="33"/>
      <c r="F184" s="24"/>
      <c r="G184" s="24"/>
      <c r="H184" s="24"/>
      <c r="I184" s="25"/>
    </row>
    <row r="185" spans="1:9">
      <c r="A185" s="2"/>
      <c r="B185" s="13"/>
      <c r="C185" s="13"/>
      <c r="E185" s="13"/>
    </row>
    <row r="186" spans="1:9">
      <c r="A186" s="2"/>
      <c r="B186" s="13"/>
      <c r="C186" s="13"/>
      <c r="E186" s="13"/>
    </row>
    <row r="187" spans="1:9" ht="16.2" thickBot="1">
      <c r="A187" s="42" t="s">
        <v>83</v>
      </c>
    </row>
    <row r="188" spans="1:9">
      <c r="A188" s="40"/>
      <c r="B188" s="26"/>
      <c r="C188" s="135"/>
      <c r="D188" s="26"/>
      <c r="E188" s="26"/>
      <c r="F188" s="26"/>
      <c r="G188" s="26"/>
      <c r="H188" s="26"/>
      <c r="I188" s="27"/>
    </row>
    <row r="189" spans="1:9">
      <c r="A189" s="29" t="s">
        <v>26</v>
      </c>
      <c r="I189" s="20"/>
    </row>
    <row r="190" spans="1:9">
      <c r="A190" s="19" t="s">
        <v>36</v>
      </c>
      <c r="B190" s="110">
        <f>'Design Converter'!E83</f>
        <v>85</v>
      </c>
      <c r="C190" s="59" t="s">
        <v>102</v>
      </c>
      <c r="D190" t="s">
        <v>40</v>
      </c>
      <c r="I190" s="20"/>
    </row>
    <row r="191" spans="1:9">
      <c r="A191" s="29" t="s">
        <v>29</v>
      </c>
      <c r="C191"/>
      <c r="I191" s="20"/>
    </row>
    <row r="192" spans="1:9">
      <c r="A192" s="19" t="s">
        <v>35</v>
      </c>
      <c r="B192" s="22">
        <f>4000/1000000</f>
        <v>4.0000000000000001E-3</v>
      </c>
      <c r="C192" s="59" t="s">
        <v>138</v>
      </c>
      <c r="D192" s="59" t="s">
        <v>549</v>
      </c>
      <c r="I192" s="20"/>
    </row>
    <row r="193" spans="1:9" ht="15.6">
      <c r="A193" s="89" t="s">
        <v>177</v>
      </c>
      <c r="B193" s="22">
        <v>20</v>
      </c>
      <c r="C193" s="59" t="s">
        <v>84</v>
      </c>
      <c r="D193" s="59" t="s">
        <v>550</v>
      </c>
      <c r="I193" s="20"/>
    </row>
    <row r="194" spans="1:9">
      <c r="A194" s="19" t="s">
        <v>37</v>
      </c>
      <c r="B194" s="8">
        <f>RCinEsr</f>
        <v>3.0000000000000001E-3</v>
      </c>
      <c r="C194" s="91" t="s">
        <v>45</v>
      </c>
      <c r="D194" s="59" t="s">
        <v>178</v>
      </c>
      <c r="I194" s="20"/>
    </row>
    <row r="195" spans="1:9">
      <c r="A195" s="19"/>
      <c r="B195" s="8"/>
      <c r="C195" s="91"/>
      <c r="D195" s="59"/>
      <c r="I195" s="20"/>
    </row>
    <row r="196" spans="1:9">
      <c r="A196" s="28" t="s">
        <v>52</v>
      </c>
      <c r="C196"/>
      <c r="I196" s="20"/>
    </row>
    <row r="197" spans="1:9">
      <c r="A197" s="89" t="s">
        <v>285</v>
      </c>
      <c r="B197" s="22">
        <f>Vdd</f>
        <v>5</v>
      </c>
      <c r="C197" t="s">
        <v>0</v>
      </c>
      <c r="D197" s="159"/>
      <c r="I197" s="20"/>
    </row>
    <row r="198" spans="1:9">
      <c r="A198" s="19" t="s">
        <v>49</v>
      </c>
      <c r="B198" s="30">
        <f>IQ</f>
        <v>4.4999999999999999E-4</v>
      </c>
      <c r="C198" t="s">
        <v>1</v>
      </c>
      <c r="D198" t="s">
        <v>50</v>
      </c>
      <c r="I198" s="20"/>
    </row>
    <row r="199" spans="1:9">
      <c r="A199" s="19"/>
      <c r="C199"/>
      <c r="I199" s="20"/>
    </row>
    <row r="200" spans="1:9">
      <c r="A200" s="29" t="s">
        <v>172</v>
      </c>
      <c r="B200" s="3" t="s">
        <v>6</v>
      </c>
      <c r="C200" s="3" t="s">
        <v>33</v>
      </c>
      <c r="I200" s="20"/>
    </row>
    <row r="201" spans="1:9">
      <c r="A201" s="21" t="s">
        <v>44</v>
      </c>
      <c r="B201" s="4"/>
      <c r="C201" s="4" t="s">
        <v>45</v>
      </c>
      <c r="I201" s="20"/>
    </row>
    <row r="202" spans="1:9">
      <c r="A202" s="21" t="s">
        <v>46</v>
      </c>
      <c r="B202" s="9">
        <v>0</v>
      </c>
      <c r="C202" s="59" t="s">
        <v>102</v>
      </c>
      <c r="I202" s="20"/>
    </row>
    <row r="203" spans="1:9">
      <c r="A203" s="21" t="s">
        <v>87</v>
      </c>
      <c r="B203" s="9" t="e">
        <v>#NAME?</v>
      </c>
      <c r="C203" t="s">
        <v>1</v>
      </c>
      <c r="I203" s="20"/>
    </row>
    <row r="204" spans="1:9">
      <c r="A204" s="21" t="s">
        <v>88</v>
      </c>
      <c r="B204" t="e">
        <v>#NAME?</v>
      </c>
      <c r="C204" t="s">
        <v>1</v>
      </c>
      <c r="I204" s="20"/>
    </row>
    <row r="205" spans="1:9">
      <c r="A205" s="21" t="s">
        <v>89</v>
      </c>
      <c r="B205" t="e">
        <f>C205/Vin</f>
        <v>#NAME?</v>
      </c>
      <c r="C205" t="e">
        <v>#NAME?</v>
      </c>
      <c r="I205" s="20"/>
    </row>
    <row r="206" spans="1:9">
      <c r="A206" s="21" t="s">
        <v>91</v>
      </c>
      <c r="B206" t="e">
        <f>SUM(B203:B205)</f>
        <v>#NAME?</v>
      </c>
      <c r="C206" t="s">
        <v>1</v>
      </c>
      <c r="I206" s="20"/>
    </row>
    <row r="207" spans="1:9" ht="13.8" thickBot="1">
      <c r="A207" s="23"/>
      <c r="B207" s="24"/>
      <c r="C207" s="136"/>
      <c r="D207" s="24"/>
      <c r="E207" s="24"/>
      <c r="F207" s="24"/>
      <c r="G207" s="24"/>
      <c r="H207" s="24"/>
      <c r="I207" s="25"/>
    </row>
    <row r="208" spans="1:9">
      <c r="A208" s="2"/>
      <c r="B208" s="2"/>
      <c r="C208" s="2"/>
    </row>
    <row r="209" spans="1:9" ht="21.75" customHeight="1" thickBot="1">
      <c r="A209" s="39" t="s">
        <v>85</v>
      </c>
    </row>
    <row r="210" spans="1:9">
      <c r="A210" s="40"/>
      <c r="B210" s="26"/>
      <c r="C210" s="135"/>
      <c r="D210" s="26"/>
      <c r="E210" s="26"/>
      <c r="F210" s="26"/>
      <c r="G210" s="26"/>
      <c r="H210" s="26"/>
      <c r="I210" s="27"/>
    </row>
    <row r="211" spans="1:9">
      <c r="A211" s="19"/>
      <c r="B211" s="59"/>
      <c r="I211" s="20"/>
    </row>
    <row r="212" spans="1:9">
      <c r="A212" s="19" t="str">
        <f>"RUV1 = "&amp;'Design Converter'!E50&amp;"MΩ"</f>
        <v>RUV1 = 73.2MΩ</v>
      </c>
      <c r="B212" t="str">
        <f>C253</f>
        <v>73.2kΩ</v>
      </c>
      <c r="I212" s="20"/>
    </row>
    <row r="213" spans="1:9">
      <c r="A213" s="19" t="str">
        <f>"RUV2 = "&amp;'Design Converter'!E51&amp;"kΩ"</f>
        <v>RUV2 = 6.34kΩ</v>
      </c>
      <c r="B213" t="str">
        <f>C254</f>
        <v>6.34kΩ</v>
      </c>
      <c r="I213" s="20"/>
    </row>
    <row r="214" spans="1:9">
      <c r="A214" s="19"/>
      <c r="I214" s="20"/>
    </row>
    <row r="215" spans="1:9">
      <c r="A215" s="19" t="str">
        <f>"Lmag = "&amp;'Design Converter'!L7&amp;"µH"</f>
        <v>Lmag = 4.7µH</v>
      </c>
      <c r="B215" t="str">
        <f>'Design Converter'!L7&amp;"µH"</f>
        <v>4.7µH</v>
      </c>
      <c r="I215" s="20"/>
    </row>
    <row r="216" spans="1:9">
      <c r="A216" s="19" t="str">
        <f>"Rdcr = "&amp;Rdcr_pri*1000&amp;"mΩ"</f>
        <v>Rdcr = 14mΩ</v>
      </c>
      <c r="B216" t="str">
        <f>Rdcr_pri*1000&amp;"mΩ"</f>
        <v>14mΩ</v>
      </c>
      <c r="I216" s="20"/>
    </row>
    <row r="217" spans="1:9">
      <c r="A217" s="89" t="s">
        <v>384</v>
      </c>
      <c r="B217" t="str">
        <f>W50</f>
        <v>1 : 1 : 0.21</v>
      </c>
      <c r="I217" s="20"/>
    </row>
    <row r="218" spans="1:9">
      <c r="A218" s="19"/>
      <c r="I218" s="20"/>
    </row>
    <row r="219" spans="1:9">
      <c r="A219" s="19" t="str">
        <f>"Css = "&amp;ROUND(Css_u*1000000000,1)&amp;"nF"</f>
        <v>Css = 180nF</v>
      </c>
      <c r="B219" t="str">
        <f>ROUND(Css_u*1000000000,1)&amp;"nF"</f>
        <v>180nF</v>
      </c>
      <c r="I219" s="20"/>
    </row>
    <row r="220" spans="1:9">
      <c r="A220" s="19"/>
      <c r="I220" s="20"/>
    </row>
    <row r="221" spans="1:9">
      <c r="A221" s="19" t="s">
        <v>57</v>
      </c>
      <c r="B221" t="str">
        <f>VIN_nom&amp;"V"</f>
        <v>34V</v>
      </c>
      <c r="I221" s="20"/>
    </row>
    <row r="222" spans="1:9">
      <c r="A222" s="89" t="s">
        <v>187</v>
      </c>
      <c r="B222" t="str">
        <f>VIN_min&amp;"V..."&amp;VIN_max&amp;"V"</f>
        <v>20V...48V</v>
      </c>
      <c r="I222" s="20"/>
    </row>
    <row r="223" spans="1:9">
      <c r="A223" s="89"/>
      <c r="I223" s="20"/>
    </row>
    <row r="224" spans="1:9">
      <c r="A224" s="19" t="str">
        <f>"VOUT = "&amp;'Design Converter'!E10&amp;"V"</f>
        <v>VOUT = 30V</v>
      </c>
      <c r="B224" t="str">
        <f>'Design Converter'!E10&amp;"V"</f>
        <v>30V</v>
      </c>
      <c r="D224">
        <f>MODE</f>
        <v>2</v>
      </c>
      <c r="I224" s="20"/>
    </row>
    <row r="225" spans="1:9">
      <c r="A225" s="19" t="str">
        <f>"VOUT2 = "&amp;'Design Converter'!E12&amp;"V"</f>
        <v>VOUT2 = 6V</v>
      </c>
      <c r="B225" t="str">
        <f>IF(MODE_TOP="DUAL", 'Design Converter'!E12&amp;"V", "")</f>
        <v>6V</v>
      </c>
      <c r="D225" s="59" t="b">
        <f>MODE=2</f>
        <v>1</v>
      </c>
      <c r="I225" s="20"/>
    </row>
    <row r="226" spans="1:9">
      <c r="A226" s="19" t="str">
        <f>"VOUT2 = "&amp;'Design Converter'!E12&amp;"V"</f>
        <v>VOUT2 = 6V</v>
      </c>
      <c r="B226" t="str">
        <f>IF(MODE_TOP="BIPOLAR", 'Design Converter'!E12&amp;"V", "")</f>
        <v/>
      </c>
      <c r="I226" s="20"/>
    </row>
    <row r="227" spans="1:9">
      <c r="A227" s="19"/>
      <c r="I227" s="20"/>
    </row>
    <row r="228" spans="1:9">
      <c r="A228" s="335" t="s">
        <v>510</v>
      </c>
      <c r="B228" s="59" t="str">
        <f>IF(MODE=1, "", "Co1")</f>
        <v>Co1</v>
      </c>
      <c r="C228" s="59" t="str">
        <f>IF(MODE_TOP="DUAL", "Co2", "")</f>
        <v>Co2</v>
      </c>
      <c r="D228" s="59" t="str">
        <f>IF(MODE_TOP="BIPOLAR", "Co2", "")</f>
        <v/>
      </c>
      <c r="F228" s="59" t="str">
        <f>MODE_TOP</f>
        <v>DUAL</v>
      </c>
      <c r="I228" s="20"/>
    </row>
    <row r="229" spans="1:9">
      <c r="A229" s="19" t="str">
        <f>"COUT = "&amp;'Design Converter'!$E$34&amp;"µF"</f>
        <v>COUT = 220µF</v>
      </c>
      <c r="B229" t="str">
        <f>'Design Converter'!$E$34&amp;"µF"</f>
        <v>220µF</v>
      </c>
      <c r="C229" t="str">
        <f>IF(MODE_TOP="DUAL", 'Design Converter'!$L$34&amp;"µF", "")</f>
        <v>55µF</v>
      </c>
      <c r="D229" t="str">
        <f>IF(MODE_TOP="BIPOLAR", 'Design Converter'!$L$34&amp;"µF", "")</f>
        <v/>
      </c>
      <c r="F229" t="str">
        <f>'Design Converter'!$L$34&amp;"µF"</f>
        <v>55µF</v>
      </c>
      <c r="I229" s="20"/>
    </row>
    <row r="230" spans="1:9">
      <c r="A230" s="89" t="s">
        <v>134</v>
      </c>
      <c r="B230" t="str">
        <f>"22µF"</f>
        <v>22µF</v>
      </c>
      <c r="I230" s="20"/>
    </row>
    <row r="231" spans="1:9">
      <c r="A231" s="89" t="s">
        <v>135</v>
      </c>
      <c r="B231" s="60" t="str">
        <f>ROUNDUP(Cout/22,0)&amp;" x"</f>
        <v>10 x</v>
      </c>
      <c r="C231" s="137"/>
      <c r="I231" s="20"/>
    </row>
    <row r="232" spans="1:9">
      <c r="A232" s="89"/>
      <c r="B232" s="60">
        <f>Cout</f>
        <v>220</v>
      </c>
      <c r="C232" s="137"/>
      <c r="I232" s="20"/>
    </row>
    <row r="233" spans="1:9">
      <c r="A233" s="335" t="s">
        <v>511</v>
      </c>
      <c r="I233" s="20"/>
    </row>
    <row r="234" spans="1:9">
      <c r="A234" s="19" t="s">
        <v>95</v>
      </c>
      <c r="B234" t="str">
        <f>Cin&amp;"µF"</f>
        <v>100µF</v>
      </c>
      <c r="I234" s="20"/>
    </row>
    <row r="235" spans="1:9">
      <c r="A235" s="89" t="s">
        <v>133</v>
      </c>
      <c r="B235" t="str">
        <f>"4.7µF"</f>
        <v>4.7µF</v>
      </c>
      <c r="I235" s="20"/>
    </row>
    <row r="236" spans="1:9">
      <c r="A236" s="89" t="s">
        <v>132</v>
      </c>
      <c r="B236" s="60" t="str">
        <f>ROUNDUP(Cin/4.7,0)&amp;" x"</f>
        <v>22 x</v>
      </c>
      <c r="C236" s="137"/>
      <c r="I236" s="20"/>
    </row>
    <row r="237" spans="1:9">
      <c r="A237" s="89"/>
      <c r="B237" s="60"/>
      <c r="I237" s="20"/>
    </row>
    <row r="238" spans="1:9" ht="15.6">
      <c r="A238" s="89" t="s">
        <v>512</v>
      </c>
      <c r="B238" s="495" t="s">
        <v>513</v>
      </c>
      <c r="C238" s="495" t="s">
        <v>551</v>
      </c>
      <c r="I238" s="20"/>
    </row>
    <row r="239" spans="1:9">
      <c r="A239" s="89"/>
      <c r="B239" s="60"/>
      <c r="I239" s="20"/>
    </row>
    <row r="240" spans="1:9">
      <c r="A240" s="335" t="s">
        <v>383</v>
      </c>
      <c r="B240" s="137" t="str">
        <f>IF(MODE_TC=1, "YES", "NO")</f>
        <v>YES</v>
      </c>
      <c r="I240" s="20"/>
    </row>
    <row r="241" spans="1:9">
      <c r="A241" s="89" t="s">
        <v>298</v>
      </c>
      <c r="B241" s="137" t="str">
        <f>IF(MODE_TC=2, "YES", "NO")</f>
        <v>NO</v>
      </c>
      <c r="C241" s="327" t="str">
        <f>IF(MODE_TC=2, "R1", "")</f>
        <v/>
      </c>
      <c r="D241" s="327" t="str">
        <f>IF(MODE_TC=2, "R2", "")</f>
        <v/>
      </c>
      <c r="E241" s="327"/>
      <c r="I241" s="20"/>
    </row>
    <row r="242" spans="1:9">
      <c r="A242" s="19" t="str">
        <f>"RFB = "&amp;'Design Converter'!E39&amp;"kΩ"</f>
        <v>RFB = 304kΩ</v>
      </c>
      <c r="B242" t="str">
        <f>IF(MODE_TC=1, "", 'Design Converter'!E39&amp;"kΩ")</f>
        <v/>
      </c>
      <c r="C242" s="59" t="str">
        <f>'Design Converter'!E39&amp;"kΩ"</f>
        <v>304kΩ</v>
      </c>
      <c r="I242" s="20"/>
    </row>
    <row r="243" spans="1:9">
      <c r="A243" s="19" t="str">
        <f>"RFB2 = "&amp;IF(Vout=Vref,"OPEN",'Design Converter'!E40&amp;"kΩ")</f>
        <v>RFB2 = 300kΩ</v>
      </c>
      <c r="B243" t="str">
        <f>IF(MODE_TC=1, "", IF(Vout=Vref,"OPEN",Rfb2_u/1000&amp;"kΩ"))</f>
        <v/>
      </c>
      <c r="C243" s="59" t="str">
        <f>'Design Converter'!E40&amp;"kΩ"</f>
        <v>300kΩ</v>
      </c>
      <c r="I243" s="20"/>
    </row>
    <row r="244" spans="1:9">
      <c r="A244" s="19"/>
      <c r="C244" s="59"/>
      <c r="I244" s="20"/>
    </row>
    <row r="245" spans="1:9">
      <c r="A245" s="89" t="s">
        <v>302</v>
      </c>
      <c r="B245" s="3" t="str">
        <f>IF(MODE=1, "YES", "NO")</f>
        <v>NO</v>
      </c>
      <c r="C245" t="str">
        <f>IF(MODE=1,"Rt", "")</f>
        <v/>
      </c>
      <c r="I245" s="20"/>
    </row>
    <row r="246" spans="1:9">
      <c r="A246" s="89" t="s">
        <v>139</v>
      </c>
      <c r="B246" t="str">
        <f>IF(MODE=2, "", 'Standard Value Calculator'!J4/1000&amp;"kΩ")</f>
        <v/>
      </c>
      <c r="I246" s="20"/>
    </row>
    <row r="247" spans="1:9">
      <c r="A247" s="89"/>
      <c r="I247" s="20"/>
    </row>
    <row r="248" spans="1:9">
      <c r="A248" s="335" t="s">
        <v>374</v>
      </c>
      <c r="B248" s="137" t="str">
        <f>IF(MODE=1, "YES", "NO")</f>
        <v>NO</v>
      </c>
      <c r="C248" s="59" t="str">
        <f>IF(TC=1,"Rtc", "")</f>
        <v>Rtc</v>
      </c>
      <c r="I248" s="20"/>
    </row>
    <row r="249" spans="1:9">
      <c r="A249" s="449" t="str">
        <f>"RTC = "&amp;RTC&amp;"kΩ"</f>
        <v>RTC = 1690kΩ</v>
      </c>
      <c r="B249" t="str">
        <f>IF(TC=1, RTC&amp;"kΩ", "")</f>
        <v>1690kΩ</v>
      </c>
      <c r="C249" s="59" t="str">
        <f>CHOOSE(TC,"Rtc","")</f>
        <v>Rtc</v>
      </c>
      <c r="F249" s="5"/>
      <c r="I249" s="20"/>
    </row>
    <row r="250" spans="1:9">
      <c r="A250" s="89" t="s">
        <v>377</v>
      </c>
      <c r="B250" s="60"/>
      <c r="C250"/>
      <c r="F250" s="5"/>
      <c r="I250" s="20"/>
    </row>
    <row r="251" spans="1:9">
      <c r="A251" s="19"/>
      <c r="B251" s="60"/>
      <c r="C251" s="137"/>
      <c r="E251" s="91"/>
      <c r="I251" s="20"/>
    </row>
    <row r="252" spans="1:9">
      <c r="A252" s="335" t="s">
        <v>305</v>
      </c>
      <c r="B252" s="137" t="str">
        <f>IF(MODE_UVLO=1, "YES", "NO")</f>
        <v>YES</v>
      </c>
      <c r="C252" s="327" t="str">
        <f>IF(MODE_UVLO=1, "Ruv1", "")</f>
        <v>Ruv1</v>
      </c>
      <c r="D252" s="327" t="str">
        <f>IF(MODE_UVLO=1, "Ruv2", "")</f>
        <v>Ruv2</v>
      </c>
      <c r="E252" s="327"/>
      <c r="F252" s="327" t="s">
        <v>6</v>
      </c>
      <c r="G252" s="327" t="s">
        <v>33</v>
      </c>
      <c r="H252" s="59" t="s">
        <v>339</v>
      </c>
      <c r="I252" s="20"/>
    </row>
    <row r="253" spans="1:9">
      <c r="A253" s="19" t="str">
        <f>"RUV1 = "&amp;C253</f>
        <v>RUV1 = 73.2kΩ</v>
      </c>
      <c r="B253" t="str">
        <f>'Design Converter'!E50&amp;" kΩ"</f>
        <v>73.2 kΩ</v>
      </c>
      <c r="C253" s="327" t="str">
        <f>IF(MODE_UVLO=1,'Design Converter'!E50&amp;"kΩ", "")</f>
        <v>73.2kΩ</v>
      </c>
      <c r="F253">
        <f>IF(MODE_UVLO=1,'Design Converter'!E50, "")</f>
        <v>73.2</v>
      </c>
      <c r="G253" s="59" t="str">
        <f>IF(MODE_UVLO=1,"kΩ", "")</f>
        <v>kΩ</v>
      </c>
      <c r="H253" s="327" t="str">
        <f>IF(MODE_UVLO=1,'Design Converter'!E50&amp;"k", "")</f>
        <v>73.2k</v>
      </c>
      <c r="I253" s="20"/>
    </row>
    <row r="254" spans="1:9">
      <c r="A254" s="19" t="str">
        <f>"RUV2 = "&amp;C254</f>
        <v>RUV2 = 6.34kΩ</v>
      </c>
      <c r="B254" t="str">
        <f>IF(D166&gt;=1000, D166/1000&amp;" MΩ", D166&amp;" kΩ")</f>
        <v>6.34 kΩ</v>
      </c>
      <c r="C254" s="327" t="str">
        <f>IF(MODE_UVLO=1, IF(D166&lt;1, D166*1000&amp;"Ω", IF(D166&lt;1000, D166&amp;"kΩ", D166/1000&amp;"MΩ")), "")</f>
        <v>6.34kΩ</v>
      </c>
      <c r="F254">
        <f>IF(MODE_UVLO=1, IF(D166&lt;1, D166*1000, IF(D166&lt;1000, D166, D166/1000)), "")</f>
        <v>6.34</v>
      </c>
      <c r="G254" s="59" t="str">
        <f>IF(MODE_UVLO=1, IF(D166&lt;1, "Ω", IF(D166&lt;1000,"kΩ", "MΩ")), "")</f>
        <v>kΩ</v>
      </c>
      <c r="H254" s="327" t="str">
        <f>IF(MODE_UVLO=1, IF(D166&lt;1, D166*1000, IF(D166&lt;1000, D166&amp;"k", D166/1000&amp;"M")), "")</f>
        <v>6.34k</v>
      </c>
      <c r="I254" s="20"/>
    </row>
    <row r="255" spans="1:9">
      <c r="A255" s="19"/>
      <c r="C255" s="327"/>
      <c r="G255" s="59"/>
      <c r="H255" s="327"/>
      <c r="I255" s="20"/>
    </row>
    <row r="256" spans="1:9">
      <c r="A256" s="335" t="s">
        <v>378</v>
      </c>
      <c r="C256" s="327"/>
      <c r="G256" s="59"/>
      <c r="H256" s="327"/>
      <c r="I256" s="20"/>
    </row>
    <row r="257" spans="1:9">
      <c r="A257" s="19" t="str">
        <f>"RSET = "&amp;C257</f>
        <v>RSET = 10kΩ</v>
      </c>
      <c r="B257" s="59" t="s">
        <v>783</v>
      </c>
      <c r="C257" s="59" t="s">
        <v>784</v>
      </c>
      <c r="F257">
        <f>IF(MODE_UVLO=1, IF(D167&lt;1, D167*1000, IF(D167&lt;1000, D167, D167/1000)), "")</f>
        <v>0</v>
      </c>
      <c r="G257" s="59" t="str">
        <f>IF(MODE_UVLO=1, IF(D167&lt;1, "Ω", IF(D167&lt;1000,"kΩ", "MΩ")), "")</f>
        <v>Ω</v>
      </c>
      <c r="H257" s="327">
        <f>IF(MODE_UVLO=1, IF(D167&lt;1, D167*1000, IF(D167&lt;1000, D167&amp;"k", D167&amp;"M")), "")</f>
        <v>0</v>
      </c>
      <c r="I257" s="20"/>
    </row>
    <row r="258" spans="1:9">
      <c r="A258" s="19"/>
      <c r="B258" s="59"/>
      <c r="C258" s="59"/>
      <c r="G258" s="59"/>
      <c r="H258" s="327"/>
      <c r="I258" s="20"/>
    </row>
    <row r="259" spans="1:9">
      <c r="A259" s="335" t="s">
        <v>379</v>
      </c>
      <c r="B259" s="60"/>
      <c r="C259" s="137"/>
      <c r="E259" s="91"/>
      <c r="I259" s="20"/>
    </row>
    <row r="260" spans="1:9">
      <c r="A260" s="19" t="str">
        <f>"Css = "&amp;Css*1000000000&amp;"nF"</f>
        <v>Css = 167.5nF</v>
      </c>
      <c r="B260" t="str">
        <f>Css*1000000000&amp;"nF"</f>
        <v>167.5nF</v>
      </c>
      <c r="I260" s="20"/>
    </row>
    <row r="261" spans="1:9">
      <c r="A261" s="19" t="s">
        <v>66</v>
      </c>
      <c r="B261" t="str">
        <f>CHOOSE(MODE_SS,'Standard Value Calculator'!B4*1000000000&amp;"nF","")</f>
        <v/>
      </c>
      <c r="C261" t="str">
        <f>CHOOSE(MODE_SS,"Css","")</f>
        <v/>
      </c>
      <c r="D261" s="336" t="str">
        <f>B261</f>
        <v/>
      </c>
      <c r="I261" s="20"/>
    </row>
    <row r="262" spans="1:9">
      <c r="A262" s="19"/>
      <c r="C262" s="59" t="str">
        <f>C261</f>
        <v/>
      </c>
      <c r="D262" s="3"/>
      <c r="I262" s="20"/>
    </row>
    <row r="263" spans="1:9">
      <c r="A263" s="19"/>
      <c r="C263" s="59"/>
      <c r="D263" s="3"/>
      <c r="I263" s="20"/>
    </row>
    <row r="264" spans="1:9">
      <c r="A264" s="89" t="s">
        <v>640</v>
      </c>
      <c r="B264" s="59">
        <f>ROUND(Iout*2,1)</f>
        <v>8</v>
      </c>
      <c r="C264" s="59" t="s">
        <v>1</v>
      </c>
      <c r="I264" s="20"/>
    </row>
    <row r="265" spans="1:9">
      <c r="A265" s="89" t="s">
        <v>641</v>
      </c>
      <c r="B265">
        <f>ROUND(VRRM_DIODE,0)</f>
        <v>78</v>
      </c>
      <c r="C265" s="59" t="s">
        <v>0</v>
      </c>
      <c r="I265" s="20"/>
    </row>
    <row r="266" spans="1:9">
      <c r="I266" s="20"/>
    </row>
    <row r="267" spans="1:9">
      <c r="A267" s="89"/>
      <c r="B267" s="60"/>
      <c r="C267"/>
      <c r="I267" s="20"/>
    </row>
    <row r="268" spans="1:9">
      <c r="A268" s="89" t="s">
        <v>129</v>
      </c>
      <c r="B268" s="59" t="s">
        <v>310</v>
      </c>
      <c r="C268"/>
      <c r="I268" s="20"/>
    </row>
    <row r="269" spans="1:9">
      <c r="A269" s="89"/>
      <c r="B269" s="59"/>
      <c r="C269"/>
      <c r="I269" s="20"/>
    </row>
    <row r="270" spans="1:9">
      <c r="A270" s="89" t="s">
        <v>183</v>
      </c>
      <c r="B270" s="60" t="str">
        <f>CHOOSE(MODE, ROUND('Calculations - Single'!$CB$105,1)&amp;"%", ROUND('Calculations - Dual'!CB105,1)&amp;"%")</f>
        <v>71.8%</v>
      </c>
      <c r="C270"/>
      <c r="I270" s="20"/>
    </row>
    <row r="271" spans="1:9">
      <c r="A271" s="89" t="s">
        <v>492</v>
      </c>
      <c r="B271" s="60" t="str">
        <f>ROUND('Calculations - Single'!$CB$55,1)&amp;"%"</f>
        <v>63.4%</v>
      </c>
      <c r="C271"/>
      <c r="I271" s="20"/>
    </row>
    <row r="272" spans="1:9">
      <c r="A272" s="89" t="s">
        <v>307</v>
      </c>
      <c r="B272" s="60" t="str">
        <f>ROUND('Calculations - Single'!$CB$15,1)&amp;"%"</f>
        <v>77.7%</v>
      </c>
      <c r="C272" s="59" t="s">
        <v>312</v>
      </c>
      <c r="I272" s="20"/>
    </row>
    <row r="273" spans="1:9">
      <c r="A273" s="89" t="s">
        <v>311</v>
      </c>
      <c r="B273" s="60" t="str">
        <f>ROUND(Parameters!BZ56,1)&amp;"%"</f>
        <v>0%</v>
      </c>
      <c r="C273" s="59" t="s">
        <v>313</v>
      </c>
      <c r="I273" s="20"/>
    </row>
    <row r="274" spans="1:9">
      <c r="A274" s="19"/>
      <c r="I274" s="20"/>
    </row>
    <row r="275" spans="1:9">
      <c r="A275" s="19"/>
      <c r="I275" s="20"/>
    </row>
    <row r="276" spans="1:9">
      <c r="A276" s="19"/>
      <c r="I276" s="20"/>
    </row>
    <row r="277" spans="1:9">
      <c r="A277" s="19" t="s">
        <v>80</v>
      </c>
      <c r="B277" t="str">
        <f>IF(C277="y","","|")</f>
        <v>|</v>
      </c>
      <c r="C277" s="3" t="s">
        <v>319</v>
      </c>
      <c r="I277" s="20"/>
    </row>
    <row r="278" spans="1:9">
      <c r="A278" s="19"/>
      <c r="I278" s="20"/>
    </row>
    <row r="279" spans="1:9">
      <c r="A279" s="429" t="s">
        <v>86</v>
      </c>
      <c r="B279" t="str">
        <f>'Design Converter'!$E$11&amp;"A"</f>
        <v>4A</v>
      </c>
      <c r="I279" s="20"/>
    </row>
    <row r="280" spans="1:9">
      <c r="A280" s="429" t="s">
        <v>509</v>
      </c>
      <c r="B280" t="str">
        <f>IF(MODE_TOP="DUAL", 'Design Converter'!$E$13&amp;"A", "")</f>
        <v>0.85A</v>
      </c>
      <c r="D280" s="59">
        <f>MODE</f>
        <v>2</v>
      </c>
      <c r="I280" s="20"/>
    </row>
    <row r="281" spans="1:9">
      <c r="A281" s="429" t="s">
        <v>508</v>
      </c>
      <c r="B281" t="str">
        <f>IF(MODE_TOP="BIPOLAR", Iout2_actual&amp;"A", "")</f>
        <v/>
      </c>
      <c r="I281" s="20"/>
    </row>
    <row r="282" spans="1:9">
      <c r="A282" s="19"/>
      <c r="I282" s="20"/>
    </row>
    <row r="283" spans="1:9">
      <c r="A283" s="89" t="s">
        <v>94</v>
      </c>
      <c r="B283">
        <v>1</v>
      </c>
      <c r="I283" s="20"/>
    </row>
    <row r="284" spans="1:9">
      <c r="A284" s="89" t="s">
        <v>93</v>
      </c>
      <c r="B284">
        <v>2</v>
      </c>
      <c r="I284" s="20"/>
    </row>
    <row r="285" spans="1:9">
      <c r="A285" s="89" t="s">
        <v>57</v>
      </c>
      <c r="B285">
        <v>3</v>
      </c>
      <c r="I285" s="20"/>
    </row>
    <row r="286" spans="1:9">
      <c r="A286" s="89" t="s">
        <v>552</v>
      </c>
      <c r="B286">
        <v>4</v>
      </c>
      <c r="I286" s="20"/>
    </row>
    <row r="287" spans="1:9">
      <c r="A287" s="89" t="s">
        <v>553</v>
      </c>
      <c r="B287">
        <v>5</v>
      </c>
      <c r="I287" s="20"/>
    </row>
    <row r="288" spans="1:9">
      <c r="A288" s="89" t="s">
        <v>554</v>
      </c>
      <c r="B288">
        <v>6</v>
      </c>
      <c r="I288" s="20"/>
    </row>
    <row r="289" spans="1:9">
      <c r="A289" s="89" t="s">
        <v>555</v>
      </c>
      <c r="B289">
        <v>7</v>
      </c>
      <c r="I289" s="20"/>
    </row>
    <row r="290" spans="1:9">
      <c r="A290" s="89" t="s">
        <v>92</v>
      </c>
      <c r="B290">
        <v>8</v>
      </c>
      <c r="I290" s="20"/>
    </row>
    <row r="291" spans="1:9" ht="13.8" thickBot="1">
      <c r="A291" s="142"/>
      <c r="B291" s="24"/>
      <c r="C291" s="136"/>
      <c r="D291" s="24"/>
      <c r="E291" s="24"/>
      <c r="F291" s="24"/>
      <c r="G291" s="24"/>
      <c r="H291" s="24"/>
      <c r="I291" s="25"/>
    </row>
    <row r="293" spans="1:9">
      <c r="A293" t="s">
        <v>743</v>
      </c>
      <c r="B293">
        <f>'Design Converter'!$E$60</f>
        <v>40.200000000000003</v>
      </c>
      <c r="C293" s="3" t="s">
        <v>866</v>
      </c>
      <c r="D293" t="str">
        <f>B293&amp;"kΩ"</f>
        <v>40.2kΩ</v>
      </c>
    </row>
    <row r="294" spans="1:9">
      <c r="A294" t="s">
        <v>865</v>
      </c>
      <c r="B294">
        <f>'Design Converter'!$E$62</f>
        <v>10</v>
      </c>
      <c r="C294" s="3" t="s">
        <v>319</v>
      </c>
      <c r="D294" t="str">
        <f>B294&amp;"nF"</f>
        <v>10nF</v>
      </c>
    </row>
    <row r="295" spans="1:9">
      <c r="A295" t="s">
        <v>750</v>
      </c>
      <c r="B295">
        <f>'Design Converter'!$E$64</f>
        <v>150</v>
      </c>
      <c r="C295" s="3" t="s">
        <v>170</v>
      </c>
      <c r="D295" t="str">
        <f>B295&amp;"pF"</f>
        <v>150pF</v>
      </c>
    </row>
    <row r="297" spans="1:9">
      <c r="A297" t="s">
        <v>771</v>
      </c>
      <c r="B297">
        <f>RCS</f>
        <v>3.3</v>
      </c>
      <c r="C297" s="3" t="s">
        <v>867</v>
      </c>
      <c r="D297" t="str">
        <f>B297&amp;"mΩ"</f>
        <v>3.3mΩ</v>
      </c>
    </row>
    <row r="298" spans="1:9">
      <c r="A298" t="s">
        <v>868</v>
      </c>
      <c r="B298">
        <v>100</v>
      </c>
      <c r="D298" t="s">
        <v>869</v>
      </c>
    </row>
    <row r="299" spans="1:9">
      <c r="A299" t="s">
        <v>870</v>
      </c>
      <c r="B299">
        <v>100</v>
      </c>
      <c r="D299" t="str">
        <f>100&amp;"Ω"</f>
        <v>100Ω</v>
      </c>
    </row>
  </sheetData>
  <sheetProtection selectLockedCells="1" selectUnlockedCells="1"/>
  <mergeCells count="2">
    <mergeCell ref="E5:H5"/>
    <mergeCell ref="A1:I1"/>
  </mergeCells>
  <phoneticPr fontId="6" type="noConversion"/>
  <pageMargins left="0.75" right="0.75" top="1" bottom="1" header="0.5" footer="0.5"/>
  <pageSetup orientation="portrait" r:id="rId1"/>
  <headerFooter alignWithMargins="0"/>
  <ignoredErrors>
    <ignoredError sqref="R63:R67"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CC133"/>
  <sheetViews>
    <sheetView showWhiteSpace="0" zoomScale="70" zoomScaleNormal="70" workbookViewId="0">
      <pane ySplit="5" topLeftCell="A6" activePane="bottomLeft" state="frozen"/>
      <selection pane="bottomLeft" activeCell="F12" sqref="F12"/>
    </sheetView>
  </sheetViews>
  <sheetFormatPr defaultColWidth="9.21875" defaultRowHeight="13.2"/>
  <cols>
    <col min="1" max="1" width="15.77734375" style="147" customWidth="1"/>
    <col min="2" max="2" width="11.5546875" style="147" customWidth="1"/>
    <col min="3" max="3" width="9.21875" style="147"/>
    <col min="4" max="4" width="12.44140625" style="147" bestFit="1" customWidth="1"/>
    <col min="5" max="5" width="51.44140625" style="147" customWidth="1"/>
    <col min="6" max="6" width="13.44140625" style="147" customWidth="1"/>
    <col min="7" max="7" width="10" style="147" customWidth="1"/>
    <col min="8" max="8" width="6.77734375" style="147" customWidth="1"/>
    <col min="9" max="9" width="12.44140625" style="147" bestFit="1" customWidth="1"/>
    <col min="10" max="10" width="9.21875" style="187" customWidth="1"/>
    <col min="11" max="11" width="8.77734375"/>
    <col min="13" max="13" width="10.77734375" customWidth="1"/>
    <col min="14" max="14" width="12" style="147" customWidth="1"/>
    <col min="15" max="15" width="12.77734375" style="187" customWidth="1"/>
    <col min="16" max="16" width="11.44140625" style="187" customWidth="1"/>
    <col min="17" max="17" width="12.44140625" style="187" customWidth="1"/>
    <col min="18" max="19" width="10.5546875" style="172" customWidth="1"/>
    <col min="20" max="20" width="10" style="172" customWidth="1"/>
    <col min="21" max="21" width="10.5546875" style="172" customWidth="1"/>
    <col min="22" max="22" width="8.44140625" style="187" customWidth="1"/>
    <col min="23" max="23" width="9.21875" style="187" customWidth="1"/>
    <col min="24" max="24" width="9.44140625" style="147" customWidth="1"/>
    <col min="25" max="25" width="9.44140625" style="187" customWidth="1"/>
    <col min="26" max="26" width="8.21875" style="188" customWidth="1"/>
    <col min="27" max="27" width="9.5546875" style="187" customWidth="1"/>
    <col min="28" max="28" width="9.44140625" style="187" bestFit="1" customWidth="1"/>
    <col min="29" max="29" width="8.5546875" style="187" customWidth="1"/>
    <col min="30" max="30" width="9.77734375" style="189" customWidth="1"/>
    <col min="31" max="31" width="9.21875" style="189" customWidth="1"/>
    <col min="32" max="32" width="8.21875" style="187" customWidth="1"/>
    <col min="33" max="33" width="10.21875" style="187" customWidth="1"/>
    <col min="34" max="34" width="9.44140625" style="187" customWidth="1"/>
    <col min="35" max="35" width="8.77734375"/>
    <col min="36" max="36" width="9.77734375" style="187" customWidth="1"/>
    <col min="37" max="37" width="11.5546875" style="187" customWidth="1"/>
    <col min="38" max="38" width="10.21875" style="187" customWidth="1"/>
    <col min="39" max="39" width="11.21875" style="187" customWidth="1"/>
    <col min="40" max="40" width="9.21875" style="187"/>
    <col min="41" max="41" width="10.21875" style="187" customWidth="1"/>
    <col min="42" max="43" width="9.77734375" style="187" customWidth="1"/>
    <col min="44" max="45" width="10.21875" style="187" customWidth="1"/>
    <col min="46" max="46" width="10.44140625" style="187" customWidth="1"/>
    <col min="47" max="47" width="11.21875" style="187" customWidth="1"/>
    <col min="48" max="48" width="11.77734375" style="187" customWidth="1"/>
    <col min="49" max="49" width="10.44140625" style="187" customWidth="1"/>
    <col min="50" max="50" width="11.44140625" style="187" customWidth="1"/>
    <col min="51" max="51" width="10.21875" style="187" customWidth="1"/>
    <col min="52" max="52" width="10" style="149" bestFit="1" customWidth="1"/>
    <col min="53" max="55" width="12.77734375" style="296" customWidth="1"/>
    <col min="56" max="56" width="14" style="296" customWidth="1"/>
    <col min="57" max="57" width="12.77734375" style="296" customWidth="1"/>
    <col min="58" max="58" width="10.44140625" style="296" customWidth="1"/>
    <col min="59" max="59" width="9" style="296" customWidth="1"/>
    <col min="60" max="60" width="8.77734375" style="296" customWidth="1"/>
    <col min="61" max="61" width="10.77734375" style="296" customWidth="1"/>
    <col min="62" max="62" width="11.21875" style="296" customWidth="1"/>
    <col min="63" max="64" width="9.21875" style="296"/>
    <col min="65" max="65" width="8.77734375" style="149" customWidth="1"/>
    <col min="66" max="66" width="9.21875" style="188"/>
    <col min="67" max="67" width="12.5546875" style="147" customWidth="1"/>
    <col min="68" max="68" width="13.5546875" style="149" customWidth="1"/>
    <col min="69" max="69" width="12.77734375" style="172" customWidth="1"/>
    <col min="70" max="70" width="3.77734375" style="147" customWidth="1"/>
    <col min="71" max="71" width="12.44140625" style="147" bestFit="1" customWidth="1"/>
    <col min="72" max="72" width="3.5546875" style="147" customWidth="1"/>
    <col min="73" max="73" width="9.21875" style="149"/>
    <col min="74" max="74" width="11.21875" style="149" customWidth="1"/>
    <col min="75" max="75" width="9.21875" style="149"/>
    <col min="76" max="76" width="4.77734375" style="147" customWidth="1"/>
    <col min="77" max="77" width="3.77734375" style="147" customWidth="1"/>
    <col min="78" max="78" width="12.44140625" style="147" customWidth="1"/>
    <col min="79" max="79" width="11.77734375" style="147" customWidth="1"/>
    <col min="80" max="80" width="11.5546875" style="147" customWidth="1"/>
    <col min="81" max="81" width="11.77734375" style="147" customWidth="1"/>
    <col min="82" max="82" width="9.21875" style="147"/>
    <col min="83" max="83" width="9.21875" style="147" customWidth="1"/>
    <col min="84" max="16384" width="9.21875" style="147"/>
  </cols>
  <sheetData>
    <row r="1" spans="1:81">
      <c r="A1" s="810" t="s">
        <v>794</v>
      </c>
      <c r="B1" s="810"/>
      <c r="C1" s="810"/>
      <c r="D1" s="810"/>
      <c r="E1" s="810"/>
    </row>
    <row r="2" spans="1:81" ht="15.6">
      <c r="A2" s="810"/>
      <c r="B2" s="810"/>
      <c r="C2" s="810"/>
      <c r="D2" s="810"/>
      <c r="E2" s="810"/>
      <c r="G2" s="811" t="s">
        <v>22</v>
      </c>
      <c r="H2" s="811"/>
      <c r="AF2" s="187">
        <v>1.9257738538542499E-2</v>
      </c>
      <c r="AG2" s="187">
        <v>7.417209872377299E-4</v>
      </c>
      <c r="AH2" s="187">
        <v>1.2403450565440797E-3</v>
      </c>
      <c r="AI2">
        <v>20</v>
      </c>
      <c r="AJ2" s="187">
        <v>7.1523178807947021</v>
      </c>
      <c r="AK2" s="187">
        <v>0</v>
      </c>
      <c r="AL2" s="187">
        <v>8.3629954314142624E-4</v>
      </c>
      <c r="AM2" s="187">
        <v>1.5780205303791562E-3</v>
      </c>
      <c r="AO2" s="237" t="e">
        <f>Ifb</f>
        <v>#NAME?</v>
      </c>
    </row>
    <row r="3" spans="1:81" ht="13.8" thickBot="1">
      <c r="A3" s="810"/>
      <c r="B3" s="810"/>
      <c r="C3" s="810"/>
      <c r="D3" s="810"/>
      <c r="E3" s="810"/>
    </row>
    <row r="4" spans="1:81" ht="13.8" thickBot="1">
      <c r="A4" s="812"/>
      <c r="B4" s="812"/>
      <c r="C4" s="812"/>
      <c r="D4" s="812"/>
      <c r="E4" s="812"/>
      <c r="H4" s="191" t="s">
        <v>23</v>
      </c>
      <c r="I4" s="192"/>
      <c r="J4" s="193"/>
      <c r="K4" s="813" t="s">
        <v>189</v>
      </c>
      <c r="L4" s="814"/>
      <c r="M4" s="815"/>
      <c r="N4" s="815"/>
      <c r="O4" s="815"/>
      <c r="P4" s="814"/>
      <c r="Q4" s="814"/>
      <c r="R4" s="815"/>
      <c r="S4" s="815"/>
      <c r="T4" s="815"/>
      <c r="U4" s="816"/>
      <c r="V4" s="194" t="s">
        <v>190</v>
      </c>
      <c r="W4" s="195"/>
      <c r="X4" s="196"/>
      <c r="Y4" s="197"/>
      <c r="Z4" s="198" t="s">
        <v>14</v>
      </c>
      <c r="AA4" s="199"/>
      <c r="AB4" s="193"/>
      <c r="AC4" s="194" t="s">
        <v>28</v>
      </c>
      <c r="AD4" s="200"/>
      <c r="AE4" s="201"/>
      <c r="AF4" s="194" t="s">
        <v>191</v>
      </c>
      <c r="AG4" s="195"/>
      <c r="AH4" s="195"/>
      <c r="AI4" s="378"/>
      <c r="AJ4" s="378"/>
      <c r="AK4" s="195"/>
      <c r="AL4" s="195"/>
      <c r="AM4" s="193"/>
      <c r="AN4" s="202" t="s">
        <v>192</v>
      </c>
      <c r="AO4" s="203"/>
      <c r="AP4" s="203"/>
      <c r="AQ4" s="202" t="s">
        <v>193</v>
      </c>
      <c r="AR4" s="386"/>
      <c r="AS4" s="386"/>
      <c r="AT4" s="203"/>
      <c r="AU4" s="204"/>
      <c r="AV4" s="205"/>
      <c r="AW4" s="206"/>
      <c r="AX4" s="194" t="s">
        <v>179</v>
      </c>
      <c r="AY4" s="195"/>
      <c r="AZ4" s="196"/>
      <c r="BA4" s="297"/>
      <c r="BB4" s="297"/>
      <c r="BC4" s="297"/>
      <c r="BD4" s="297"/>
      <c r="BE4" s="297"/>
      <c r="BF4" s="297"/>
      <c r="BG4" s="297"/>
      <c r="BH4" s="297"/>
      <c r="BI4" s="297"/>
      <c r="BJ4" s="297"/>
      <c r="BK4" s="297"/>
      <c r="BL4" s="297"/>
      <c r="BM4" s="290"/>
      <c r="BN4" s="294"/>
      <c r="BO4" s="196"/>
      <c r="BP4" s="292"/>
      <c r="BQ4" s="383"/>
      <c r="BR4" s="384"/>
      <c r="BS4" s="384"/>
      <c r="BT4" s="384"/>
      <c r="BU4" s="384"/>
      <c r="BV4" s="384"/>
      <c r="BW4" s="384"/>
      <c r="BX4" s="384"/>
      <c r="BY4" s="384"/>
      <c r="BZ4" s="384"/>
      <c r="CA4" s="384"/>
      <c r="CB4" s="384"/>
      <c r="CC4" s="385"/>
    </row>
    <row r="5" spans="1:81" ht="78" customHeight="1" thickBot="1">
      <c r="A5" s="207" t="s">
        <v>42</v>
      </c>
      <c r="B5" s="208"/>
      <c r="C5" s="208"/>
      <c r="D5" s="209"/>
      <c r="E5" s="210"/>
      <c r="H5" s="211" t="s">
        <v>25</v>
      </c>
      <c r="I5" s="212" t="s">
        <v>194</v>
      </c>
      <c r="J5" s="213" t="s">
        <v>195</v>
      </c>
      <c r="K5" s="221" t="s">
        <v>322</v>
      </c>
      <c r="L5" s="214" t="s">
        <v>48</v>
      </c>
      <c r="M5" s="214" t="s">
        <v>323</v>
      </c>
      <c r="N5" s="380" t="s">
        <v>196</v>
      </c>
      <c r="O5" s="453" t="s">
        <v>404</v>
      </c>
      <c r="P5" s="453" t="s">
        <v>405</v>
      </c>
      <c r="Q5" s="453" t="s">
        <v>406</v>
      </c>
      <c r="R5" s="215" t="s">
        <v>197</v>
      </c>
      <c r="S5" s="216" t="s">
        <v>198</v>
      </c>
      <c r="T5" s="216" t="s">
        <v>199</v>
      </c>
      <c r="U5" s="215" t="s">
        <v>327</v>
      </c>
      <c r="V5" s="217" t="s">
        <v>200</v>
      </c>
      <c r="W5" s="214" t="s">
        <v>201</v>
      </c>
      <c r="X5" s="212" t="s">
        <v>202</v>
      </c>
      <c r="Y5" s="213" t="s">
        <v>203</v>
      </c>
      <c r="Z5" s="218" t="s">
        <v>200</v>
      </c>
      <c r="AA5" s="214" t="s">
        <v>204</v>
      </c>
      <c r="AB5" s="213" t="s">
        <v>205</v>
      </c>
      <c r="AC5" s="217" t="s">
        <v>200</v>
      </c>
      <c r="AD5" s="219" t="s">
        <v>206</v>
      </c>
      <c r="AE5" s="220" t="s">
        <v>207</v>
      </c>
      <c r="AF5" s="217" t="s">
        <v>200</v>
      </c>
      <c r="AG5" s="214" t="s">
        <v>208</v>
      </c>
      <c r="AH5" s="214" t="s">
        <v>209</v>
      </c>
      <c r="AI5" s="214" t="s">
        <v>324</v>
      </c>
      <c r="AJ5" s="214" t="s">
        <v>321</v>
      </c>
      <c r="AK5" s="214" t="s">
        <v>210</v>
      </c>
      <c r="AL5" s="221" t="s">
        <v>211</v>
      </c>
      <c r="AM5" s="213" t="s">
        <v>212</v>
      </c>
      <c r="AN5" s="222" t="s">
        <v>200</v>
      </c>
      <c r="AO5" s="223" t="s">
        <v>213</v>
      </c>
      <c r="AP5" s="223" t="s">
        <v>214</v>
      </c>
      <c r="AQ5" s="223" t="s">
        <v>215</v>
      </c>
      <c r="AR5" s="223" t="s">
        <v>216</v>
      </c>
      <c r="AS5" s="224" t="s">
        <v>217</v>
      </c>
      <c r="AT5" s="222" t="s">
        <v>218</v>
      </c>
      <c r="AU5" s="222" t="s">
        <v>219</v>
      </c>
      <c r="AV5" s="222" t="s">
        <v>220</v>
      </c>
      <c r="AW5" s="225" t="s">
        <v>221</v>
      </c>
      <c r="AX5" s="217" t="s">
        <v>222</v>
      </c>
      <c r="AY5" s="214" t="s">
        <v>223</v>
      </c>
      <c r="AZ5" s="226" t="s">
        <v>224</v>
      </c>
      <c r="BA5" s="298" t="s">
        <v>225</v>
      </c>
      <c r="BB5" s="298" t="s">
        <v>226</v>
      </c>
      <c r="BC5" s="298" t="s">
        <v>227</v>
      </c>
      <c r="BD5" s="298" t="s">
        <v>228</v>
      </c>
      <c r="BE5" s="298" t="s">
        <v>229</v>
      </c>
      <c r="BF5" s="298" t="s">
        <v>230</v>
      </c>
      <c r="BG5" s="298" t="s">
        <v>231</v>
      </c>
      <c r="BH5" s="299" t="s">
        <v>232</v>
      </c>
      <c r="BI5" s="300" t="s">
        <v>233</v>
      </c>
      <c r="BJ5" s="301" t="s">
        <v>234</v>
      </c>
      <c r="BK5" s="302" t="s">
        <v>235</v>
      </c>
      <c r="BL5" s="301" t="s">
        <v>281</v>
      </c>
      <c r="BM5" s="291" t="s">
        <v>236</v>
      </c>
      <c r="BN5" s="295" t="s">
        <v>237</v>
      </c>
      <c r="BO5" s="227" t="s">
        <v>238</v>
      </c>
      <c r="BP5" s="293" t="s">
        <v>238</v>
      </c>
      <c r="BQ5" s="228" t="s">
        <v>239</v>
      </c>
      <c r="BR5" s="229"/>
      <c r="BS5" s="230" t="s">
        <v>240</v>
      </c>
      <c r="BT5" s="229"/>
      <c r="BU5" s="304" t="s">
        <v>283</v>
      </c>
      <c r="BV5" s="305" t="s">
        <v>284</v>
      </c>
      <c r="BW5" s="382" t="s">
        <v>282</v>
      </c>
      <c r="BX5" s="229"/>
      <c r="BY5" s="229"/>
      <c r="BZ5" s="381" t="s">
        <v>289</v>
      </c>
      <c r="CA5" s="225" t="s">
        <v>340</v>
      </c>
      <c r="CB5" s="305" t="s">
        <v>291</v>
      </c>
      <c r="CC5" s="382" t="s">
        <v>290</v>
      </c>
    </row>
    <row r="6" spans="1:81">
      <c r="A6" s="231" t="s">
        <v>26</v>
      </c>
      <c r="B6" s="232" t="s">
        <v>43</v>
      </c>
      <c r="C6" s="233" t="s">
        <v>33</v>
      </c>
      <c r="D6" s="233" t="s">
        <v>90</v>
      </c>
      <c r="E6" s="234" t="s">
        <v>41</v>
      </c>
      <c r="F6" s="235"/>
      <c r="G6" s="235"/>
      <c r="H6" s="147">
        <v>0.1</v>
      </c>
      <c r="I6" s="389">
        <f t="shared" ref="I6:I37" si="0">IF(PLOT_TYPE=1, H6/100*Iout_max, min_I*EXP(H6*rr/100))</f>
        <v>4.0000000000000001E-3</v>
      </c>
      <c r="J6" s="188"/>
      <c r="K6" s="188"/>
      <c r="L6" s="188"/>
      <c r="M6" s="188"/>
      <c r="N6" s="236"/>
      <c r="O6" s="149"/>
      <c r="P6" s="188"/>
      <c r="Q6" s="379"/>
      <c r="S6" s="237"/>
      <c r="T6" s="237"/>
      <c r="U6" s="237"/>
      <c r="AJ6" s="379"/>
      <c r="AY6" s="187">
        <f>Vout*I6</f>
        <v>0.12</v>
      </c>
      <c r="AZ6" s="238">
        <f>AY6/(AY6+AX6)</f>
        <v>1</v>
      </c>
      <c r="BA6" s="296">
        <f>AG6/($AY6+$AX6)</f>
        <v>0</v>
      </c>
      <c r="BB6" s="296">
        <f>AO6/($AY6+$AX6)</f>
        <v>0</v>
      </c>
      <c r="BC6" s="296" t="e">
        <f>Vin*R6*(QgBot+Qg)/($AY6+$AX6)</f>
        <v>#NAME?</v>
      </c>
      <c r="BD6" s="296">
        <f>AK6/($AY6+$AX6)</f>
        <v>0</v>
      </c>
      <c r="BE6" s="296">
        <f>AQ6/(AX6+AY6)</f>
        <v>0</v>
      </c>
      <c r="BF6" s="296">
        <f>AR6/($AY6+$AX6)</f>
        <v>0</v>
      </c>
      <c r="BG6" s="296">
        <f t="shared" ref="BG6:BH9" si="1">W6/($AY6+$AX6)</f>
        <v>0</v>
      </c>
      <c r="BH6" s="296">
        <f t="shared" si="1"/>
        <v>0</v>
      </c>
      <c r="BI6" s="296">
        <f>(AB6+AE6)/($AY6+$AX6)</f>
        <v>0</v>
      </c>
      <c r="BJ6" s="190">
        <f>AT6/($AY6+$AX6)</f>
        <v>0</v>
      </c>
      <c r="BK6" s="190">
        <f>AX6/($AY6+$AX6)</f>
        <v>0</v>
      </c>
      <c r="BL6" s="190">
        <f>AZ6</f>
        <v>1</v>
      </c>
      <c r="BM6" s="149">
        <f>100*BL6</f>
        <v>100</v>
      </c>
      <c r="BN6" s="188" t="e">
        <f xml:space="preserve"> CHOOSE(MODE, I6*1000,#REF!)</f>
        <v>#REF!</v>
      </c>
      <c r="BO6" s="149">
        <v>59.702372085750142</v>
      </c>
      <c r="BP6" s="190">
        <f>BO6/100</f>
        <v>0.59702372085750144</v>
      </c>
      <c r="BQ6" s="239">
        <f>R6/1000</f>
        <v>0</v>
      </c>
      <c r="BR6" s="240"/>
      <c r="BS6" s="190">
        <f>AL6/($AY6+$AX6)</f>
        <v>0</v>
      </c>
      <c r="BT6" s="240"/>
      <c r="BU6" s="149">
        <f>1000*AW6</f>
        <v>0</v>
      </c>
      <c r="BV6" s="149">
        <f>1000*AU6</f>
        <v>0</v>
      </c>
      <c r="BW6" s="149">
        <f>1000*Y6</f>
        <v>0</v>
      </c>
      <c r="BX6" s="190"/>
      <c r="BY6" s="190"/>
      <c r="BZ6" s="149" t="e">
        <f xml:space="preserve"> IF(MODE=1, BM6,#REF!)</f>
        <v>#REF!</v>
      </c>
      <c r="CA6" s="149" t="e">
        <f xml:space="preserve"> IF(MODE=1, BU6,#REF!)</f>
        <v>#REF!</v>
      </c>
      <c r="CB6" s="149" t="e">
        <f xml:space="preserve"> IF(MODE=1, BV6,#REF!)</f>
        <v>#REF!</v>
      </c>
      <c r="CC6" s="149" t="e">
        <f xml:space="preserve"> IF(MODE=1, BW6,#REF!)</f>
        <v>#REF!</v>
      </c>
    </row>
    <row r="7" spans="1:81">
      <c r="A7" s="357"/>
      <c r="B7" s="232"/>
      <c r="C7" s="233"/>
      <c r="D7" s="233"/>
      <c r="E7" s="234"/>
      <c r="F7" s="235"/>
      <c r="G7" s="235"/>
      <c r="H7" s="147">
        <v>1</v>
      </c>
      <c r="I7" s="389">
        <f t="shared" si="0"/>
        <v>0.04</v>
      </c>
      <c r="J7" s="188"/>
      <c r="K7" s="188"/>
      <c r="L7" s="188"/>
      <c r="M7" s="188"/>
      <c r="N7" s="236"/>
      <c r="O7" s="149"/>
      <c r="P7" s="188"/>
      <c r="Q7" s="379"/>
      <c r="S7" s="237"/>
      <c r="T7" s="237"/>
      <c r="U7" s="237"/>
      <c r="AJ7" s="379"/>
      <c r="AY7" s="187">
        <f>Vout*I7</f>
        <v>1.2</v>
      </c>
      <c r="AZ7" s="238">
        <f>AY7/(AY7+AX7)</f>
        <v>1</v>
      </c>
      <c r="BA7" s="296">
        <f>AG7/($AY7+$AX7)</f>
        <v>0</v>
      </c>
      <c r="BB7" s="296">
        <f>AO7/($AY7+$AX7)</f>
        <v>0</v>
      </c>
      <c r="BC7" s="296" t="e">
        <f>Vin*R7*(QgBot+Qg)/($AY7+$AX7)</f>
        <v>#NAME?</v>
      </c>
      <c r="BD7" s="296">
        <f>AK7/($AY7+$AX7)</f>
        <v>0</v>
      </c>
      <c r="BE7" s="296">
        <f>AQ7/(AX7+AY7)</f>
        <v>0</v>
      </c>
      <c r="BF7" s="296">
        <f>AR7/($AY7+$AX7)</f>
        <v>0</v>
      </c>
      <c r="BG7" s="296">
        <f t="shared" si="1"/>
        <v>0</v>
      </c>
      <c r="BH7" s="296">
        <f t="shared" si="1"/>
        <v>0</v>
      </c>
      <c r="BI7" s="296">
        <f>(AB7+AE7)/($AY7+$AX7)</f>
        <v>0</v>
      </c>
      <c r="BJ7" s="190">
        <f>AT7/($AY7+$AX7)</f>
        <v>0</v>
      </c>
      <c r="BK7" s="190">
        <f>AX7/($AY7+$AX7)</f>
        <v>0</v>
      </c>
      <c r="BL7" s="190">
        <f>AZ7</f>
        <v>1</v>
      </c>
      <c r="BM7" s="149">
        <f>100*BL7</f>
        <v>100</v>
      </c>
      <c r="BN7" s="188" t="e">
        <f xml:space="preserve"> CHOOSE(MODE, I7*1000,#REF!)</f>
        <v>#REF!</v>
      </c>
      <c r="BO7" s="149">
        <v>83.682599061581868</v>
      </c>
      <c r="BP7" s="190">
        <f>BO7/100</f>
        <v>0.83682599061581864</v>
      </c>
      <c r="BQ7" s="239">
        <f>R7/1000</f>
        <v>0</v>
      </c>
      <c r="BR7" s="240"/>
      <c r="BS7" s="190">
        <f>AL7/($AY7+$AX7)</f>
        <v>0</v>
      </c>
      <c r="BT7" s="240"/>
      <c r="BU7" s="149">
        <f>1000*AW7</f>
        <v>0</v>
      </c>
      <c r="BV7" s="149">
        <f>1000*AU7</f>
        <v>0</v>
      </c>
      <c r="BW7" s="149">
        <f>1000*Y7</f>
        <v>0</v>
      </c>
      <c r="BX7" s="190"/>
      <c r="BY7" s="190"/>
      <c r="BZ7" s="149" t="e">
        <f xml:space="preserve"> IF(MODE=1, BM7,#REF!)</f>
        <v>#REF!</v>
      </c>
      <c r="CA7" s="149" t="e">
        <f xml:space="preserve"> IF(MODE=1, BU7,#REF!)</f>
        <v>#REF!</v>
      </c>
      <c r="CB7" s="149" t="e">
        <f xml:space="preserve"> IF(MODE=1, BV7,#REF!)</f>
        <v>#REF!</v>
      </c>
      <c r="CC7" s="149" t="e">
        <f xml:space="preserve"> IF(MODE=1, BW7,#REF!)</f>
        <v>#REF!</v>
      </c>
    </row>
    <row r="8" spans="1:81">
      <c r="A8" s="241" t="s">
        <v>3</v>
      </c>
      <c r="B8" s="242">
        <f>Vin</f>
        <v>34</v>
      </c>
      <c r="C8" s="148" t="s">
        <v>0</v>
      </c>
      <c r="D8" s="169">
        <f>B8</f>
        <v>34</v>
      </c>
      <c r="E8" s="148" t="s">
        <v>3</v>
      </c>
      <c r="F8" s="235"/>
      <c r="G8" s="235"/>
      <c r="H8" s="147">
        <v>2</v>
      </c>
      <c r="I8" s="389">
        <f t="shared" si="0"/>
        <v>0.08</v>
      </c>
      <c r="J8" s="188"/>
      <c r="K8" s="188"/>
      <c r="L8" s="188"/>
      <c r="M8" s="188"/>
      <c r="N8" s="236"/>
      <c r="O8" s="149"/>
      <c r="P8" s="188"/>
      <c r="Q8" s="379"/>
      <c r="S8" s="237"/>
      <c r="T8" s="237"/>
      <c r="U8" s="237"/>
      <c r="AJ8" s="379"/>
      <c r="AY8" s="187">
        <f>Vout*I8</f>
        <v>2.4</v>
      </c>
      <c r="AZ8" s="238">
        <f>AY8/(AY8+AX8)</f>
        <v>1</v>
      </c>
      <c r="BA8" s="296">
        <f>AG8/($AY8+$AX8)</f>
        <v>0</v>
      </c>
      <c r="BB8" s="296">
        <f>AO8/($AY8+$AX8)</f>
        <v>0</v>
      </c>
      <c r="BC8" s="296" t="e">
        <f>Vin*R8*(QgBot+Qg)/($AY8+$AX8)</f>
        <v>#NAME?</v>
      </c>
      <c r="BD8" s="296">
        <f>AK8/($AY8+$AX8)</f>
        <v>0</v>
      </c>
      <c r="BE8" s="296">
        <f>AQ8/(AX8+AY8)</f>
        <v>0</v>
      </c>
      <c r="BF8" s="296">
        <f>AR8/($AY8+$AX8)</f>
        <v>0</v>
      </c>
      <c r="BG8" s="296">
        <f t="shared" si="1"/>
        <v>0</v>
      </c>
      <c r="BH8" s="296">
        <f t="shared" si="1"/>
        <v>0</v>
      </c>
      <c r="BI8" s="296">
        <f>(AB8+AE8)/($AY8+$AX8)</f>
        <v>0</v>
      </c>
      <c r="BJ8" s="190">
        <f>AT8/($AY8+$AX8)</f>
        <v>0</v>
      </c>
      <c r="BK8" s="190">
        <f>AX8/($AY8+$AX8)</f>
        <v>0</v>
      </c>
      <c r="BL8" s="190">
        <f>AZ8</f>
        <v>1</v>
      </c>
      <c r="BM8" s="149">
        <f>100*BL8</f>
        <v>100</v>
      </c>
      <c r="BN8" s="188" t="e">
        <f xml:space="preserve"> CHOOSE(MODE, I8*1000,#REF!)</f>
        <v>#REF!</v>
      </c>
      <c r="BO8" s="149">
        <v>85.591306536493136</v>
      </c>
      <c r="BP8" s="190">
        <f>BO8/100</f>
        <v>0.85591306536493139</v>
      </c>
      <c r="BQ8" s="239">
        <f>R8/1000</f>
        <v>0</v>
      </c>
      <c r="BR8" s="240"/>
      <c r="BS8" s="190">
        <f>AL8/($AY8+$AX8)</f>
        <v>0</v>
      </c>
      <c r="BT8" s="240"/>
      <c r="BU8" s="149">
        <f>1000*AW8</f>
        <v>0</v>
      </c>
      <c r="BV8" s="149">
        <f>1000*AU8</f>
        <v>0</v>
      </c>
      <c r="BW8" s="149">
        <f>1000*Y8</f>
        <v>0</v>
      </c>
      <c r="BX8" s="190"/>
      <c r="BY8" s="190"/>
      <c r="BZ8" s="149" t="e">
        <f xml:space="preserve"> IF(MODE=1, BM8,#REF!)</f>
        <v>#REF!</v>
      </c>
      <c r="CA8" s="149" t="e">
        <f xml:space="preserve"> IF(MODE=1, BU8,#REF!)</f>
        <v>#REF!</v>
      </c>
      <c r="CB8" s="149" t="e">
        <f xml:space="preserve"> IF(MODE=1, BV8,#REF!)</f>
        <v>#REF!</v>
      </c>
      <c r="CC8" s="149" t="e">
        <f xml:space="preserve"> IF(MODE=1, BW8,#REF!)</f>
        <v>#REF!</v>
      </c>
    </row>
    <row r="9" spans="1:81">
      <c r="A9" s="243" t="s">
        <v>4</v>
      </c>
      <c r="B9" s="242">
        <f>Vout</f>
        <v>30</v>
      </c>
      <c r="C9" s="148" t="s">
        <v>0</v>
      </c>
      <c r="D9" s="169">
        <f>B9</f>
        <v>30</v>
      </c>
      <c r="E9" s="148" t="s">
        <v>4</v>
      </c>
      <c r="F9" s="235"/>
      <c r="G9" s="235"/>
      <c r="H9" s="147">
        <v>3</v>
      </c>
      <c r="I9" s="389">
        <f t="shared" si="0"/>
        <v>0.12</v>
      </c>
      <c r="J9" s="188"/>
      <c r="K9" s="188"/>
      <c r="L9" s="188"/>
      <c r="M9" s="188"/>
      <c r="N9" s="236"/>
      <c r="O9" s="149"/>
      <c r="P9" s="188"/>
      <c r="Q9" s="379"/>
      <c r="S9" s="237"/>
      <c r="T9" s="237"/>
      <c r="U9" s="237"/>
      <c r="AJ9" s="379"/>
      <c r="AY9" s="187">
        <f>Vout*I9</f>
        <v>3.5999999999999996</v>
      </c>
      <c r="AZ9" s="238">
        <f>AY9/(AY9+AX9)</f>
        <v>1</v>
      </c>
      <c r="BA9" s="296">
        <f>AG9/($AY9+$AX9)</f>
        <v>0</v>
      </c>
      <c r="BB9" s="296">
        <f>AO9/($AY9+$AX9)</f>
        <v>0</v>
      </c>
      <c r="BC9" s="296" t="e">
        <f>Vin*R9*(QgBot+Qg)/($AY9+$AX9)</f>
        <v>#NAME?</v>
      </c>
      <c r="BD9" s="296">
        <f>AK9/($AY9+$AX9)</f>
        <v>0</v>
      </c>
      <c r="BE9" s="296">
        <f>AQ9/(AX9+AY9)</f>
        <v>0</v>
      </c>
      <c r="BF9" s="296">
        <f>AR9/($AY9+$AX9)</f>
        <v>0</v>
      </c>
      <c r="BG9" s="296">
        <f t="shared" si="1"/>
        <v>0</v>
      </c>
      <c r="BH9" s="296">
        <f t="shared" si="1"/>
        <v>0</v>
      </c>
      <c r="BI9" s="296">
        <f>(AB9+AE9)/($AY9+$AX9)</f>
        <v>0</v>
      </c>
      <c r="BJ9" s="190">
        <f>AT9/($AY9+$AX9)</f>
        <v>0</v>
      </c>
      <c r="BK9" s="190">
        <f>AX9/($AY9+$AX9)</f>
        <v>0</v>
      </c>
      <c r="BL9" s="190">
        <f>AZ9</f>
        <v>1</v>
      </c>
      <c r="BM9" s="149">
        <f>100*BL9</f>
        <v>100</v>
      </c>
      <c r="BN9" s="188" t="e">
        <f xml:space="preserve"> CHOOSE(MODE, I9*1000,#REF!)</f>
        <v>#REF!</v>
      </c>
      <c r="BO9" s="149">
        <v>86.246143423411425</v>
      </c>
      <c r="BP9" s="190">
        <f>BO9/100</f>
        <v>0.86246143423411425</v>
      </c>
      <c r="BQ9" s="239">
        <f>R9/1000</f>
        <v>0</v>
      </c>
      <c r="BR9" s="240"/>
      <c r="BS9" s="190">
        <f>AL9/($AY9+$AX9)</f>
        <v>0</v>
      </c>
      <c r="BT9" s="240"/>
      <c r="BU9" s="149">
        <f>1000*AW9</f>
        <v>0</v>
      </c>
      <c r="BV9" s="149">
        <f>1000*AU9</f>
        <v>0</v>
      </c>
      <c r="BW9" s="149">
        <f>1000*Y9</f>
        <v>0</v>
      </c>
      <c r="BX9" s="190"/>
      <c r="BY9" s="190"/>
      <c r="BZ9" s="149" t="e">
        <f xml:space="preserve"> IF(MODE=1, BM9,#REF!)</f>
        <v>#REF!</v>
      </c>
      <c r="CA9" s="149" t="e">
        <f xml:space="preserve"> IF(MODE=1, BU9,#REF!)</f>
        <v>#REF!</v>
      </c>
      <c r="CB9" s="149" t="e">
        <f xml:space="preserve"> IF(MODE=1, BV9,#REF!)</f>
        <v>#REF!</v>
      </c>
      <c r="CC9" s="149" t="e">
        <f xml:space="preserve"> IF(MODE=1, BW9,#REF!)</f>
        <v>#REF!</v>
      </c>
    </row>
    <row r="10" spans="1:81">
      <c r="A10" s="243" t="s">
        <v>5</v>
      </c>
      <c r="B10" s="242">
        <f>Iout</f>
        <v>4</v>
      </c>
      <c r="C10" s="148" t="s">
        <v>1</v>
      </c>
      <c r="D10" s="169">
        <f>B10</f>
        <v>4</v>
      </c>
      <c r="E10" s="148" t="s">
        <v>241</v>
      </c>
      <c r="F10" s="235"/>
      <c r="G10" s="235"/>
      <c r="H10" s="147">
        <v>4</v>
      </c>
      <c r="I10" s="389">
        <f t="shared" si="0"/>
        <v>0.16</v>
      </c>
      <c r="J10" s="188"/>
      <c r="K10" s="188"/>
      <c r="L10" s="188"/>
      <c r="M10" s="188"/>
      <c r="N10" s="236"/>
      <c r="O10" s="149"/>
      <c r="P10" s="188"/>
      <c r="Q10" s="379"/>
      <c r="S10" s="237"/>
      <c r="T10" s="237"/>
      <c r="U10" s="237"/>
      <c r="AJ10" s="379"/>
      <c r="AZ10" s="238"/>
      <c r="BJ10" s="190"/>
      <c r="BK10" s="190"/>
      <c r="BL10" s="190"/>
      <c r="BO10" s="149"/>
      <c r="BP10" s="190"/>
      <c r="BQ10" s="239"/>
      <c r="BR10" s="240"/>
      <c r="BS10" s="190"/>
      <c r="BT10" s="240"/>
      <c r="BX10" s="190"/>
      <c r="BY10" s="190"/>
      <c r="BZ10" s="149"/>
      <c r="CA10" s="149"/>
      <c r="CB10" s="149"/>
      <c r="CC10" s="149"/>
    </row>
    <row r="11" spans="1:81">
      <c r="A11" s="243" t="s">
        <v>139</v>
      </c>
      <c r="B11" s="307">
        <f>Vout/(Fsw/1000)*100000/16</f>
        <v>15625</v>
      </c>
      <c r="C11" s="244" t="s">
        <v>242</v>
      </c>
      <c r="D11" s="255">
        <f>B11*1000</f>
        <v>15625000</v>
      </c>
      <c r="E11" s="148"/>
      <c r="F11" s="235"/>
      <c r="G11" s="235"/>
      <c r="H11" s="147">
        <v>5</v>
      </c>
      <c r="I11" s="389">
        <f t="shared" si="0"/>
        <v>0.2</v>
      </c>
      <c r="J11" s="188"/>
      <c r="K11" s="188"/>
      <c r="L11" s="188"/>
      <c r="M11" s="188"/>
      <c r="N11" s="236"/>
      <c r="O11" s="149"/>
      <c r="P11" s="188"/>
      <c r="Q11" s="379"/>
      <c r="S11" s="237"/>
      <c r="T11" s="237"/>
      <c r="U11" s="237"/>
      <c r="AJ11" s="379"/>
      <c r="AZ11" s="238"/>
      <c r="BJ11" s="190"/>
      <c r="BK11" s="190"/>
      <c r="BL11" s="190"/>
      <c r="BO11" s="149"/>
      <c r="BP11" s="190"/>
      <c r="BQ11" s="239"/>
      <c r="BR11" s="240"/>
      <c r="BS11" s="190"/>
      <c r="BT11" s="240"/>
      <c r="BX11" s="190"/>
      <c r="BY11" s="190"/>
      <c r="BZ11" s="149"/>
      <c r="CA11" s="149"/>
      <c r="CB11" s="149"/>
      <c r="CC11" s="149"/>
    </row>
    <row r="12" spans="1:81">
      <c r="A12" s="243" t="s">
        <v>243</v>
      </c>
      <c r="B12" s="242">
        <v>25</v>
      </c>
      <c r="C12" s="148" t="s">
        <v>102</v>
      </c>
      <c r="D12" s="169">
        <f>B12</f>
        <v>25</v>
      </c>
      <c r="E12" s="148" t="s">
        <v>244</v>
      </c>
      <c r="F12" s="235">
        <f>Turns_Ratio</f>
        <v>9</v>
      </c>
      <c r="H12" s="147">
        <v>6</v>
      </c>
      <c r="I12" s="389">
        <f t="shared" si="0"/>
        <v>0.24</v>
      </c>
      <c r="J12" s="188"/>
      <c r="K12" s="188"/>
      <c r="L12" s="188"/>
      <c r="M12" s="188"/>
      <c r="N12" s="236"/>
      <c r="O12" s="149"/>
      <c r="P12" s="188"/>
      <c r="Q12" s="379"/>
      <c r="S12" s="237"/>
      <c r="T12" s="237"/>
      <c r="U12" s="237"/>
      <c r="AJ12" s="379"/>
      <c r="AZ12" s="238"/>
      <c r="BJ12" s="190"/>
      <c r="BK12" s="190"/>
      <c r="BL12" s="190"/>
      <c r="BO12" s="149"/>
      <c r="BP12" s="190"/>
      <c r="BQ12" s="239"/>
      <c r="BR12" s="240"/>
      <c r="BS12" s="190"/>
      <c r="BT12" s="240"/>
      <c r="BX12" s="190"/>
      <c r="BY12" s="190"/>
      <c r="BZ12" s="149"/>
      <c r="CA12" s="149"/>
      <c r="CB12" s="149"/>
      <c r="CC12" s="149"/>
    </row>
    <row r="13" spans="1:81">
      <c r="A13" s="245" t="s">
        <v>245</v>
      </c>
      <c r="B13" s="246">
        <v>5</v>
      </c>
      <c r="C13" s="148" t="s">
        <v>0</v>
      </c>
      <c r="D13" s="169">
        <f>B13</f>
        <v>5</v>
      </c>
      <c r="E13" s="148"/>
      <c r="F13" s="235"/>
      <c r="G13" s="235"/>
      <c r="H13" s="147">
        <v>7</v>
      </c>
      <c r="I13" s="389">
        <f t="shared" si="0"/>
        <v>0.28000000000000003</v>
      </c>
      <c r="J13" s="188"/>
      <c r="K13" s="188"/>
      <c r="L13" s="188"/>
      <c r="M13" s="188"/>
      <c r="N13" s="236"/>
      <c r="O13" s="149"/>
      <c r="P13" s="188"/>
      <c r="Q13" s="379"/>
      <c r="S13" s="237"/>
      <c r="T13" s="237"/>
      <c r="U13" s="237"/>
      <c r="AJ13" s="379"/>
      <c r="AZ13" s="238"/>
      <c r="BJ13" s="190"/>
      <c r="BK13" s="190"/>
      <c r="BL13" s="190"/>
      <c r="BO13" s="149"/>
      <c r="BP13" s="190"/>
      <c r="BQ13" s="239"/>
      <c r="BR13" s="240"/>
      <c r="BS13" s="190"/>
      <c r="BT13" s="240"/>
      <c r="BX13" s="190"/>
      <c r="BY13" s="190"/>
      <c r="BZ13" s="149"/>
      <c r="CA13" s="149"/>
      <c r="CB13" s="149"/>
      <c r="CC13" s="149"/>
    </row>
    <row r="14" spans="1:81">
      <c r="F14" s="235"/>
      <c r="G14" s="235"/>
      <c r="H14" s="147">
        <v>8</v>
      </c>
      <c r="I14" s="389">
        <f t="shared" si="0"/>
        <v>0.32</v>
      </c>
      <c r="J14" s="188"/>
      <c r="K14" s="188"/>
      <c r="L14" s="188"/>
      <c r="M14" s="188"/>
      <c r="N14" s="236"/>
      <c r="O14" s="149"/>
      <c r="P14" s="188"/>
      <c r="Q14" s="379"/>
      <c r="S14" s="237"/>
      <c r="T14" s="237"/>
      <c r="U14" s="237"/>
      <c r="AJ14" s="379"/>
      <c r="AZ14" s="238"/>
      <c r="BJ14" s="190"/>
      <c r="BK14" s="190"/>
      <c r="BL14" s="190"/>
      <c r="BO14" s="149"/>
      <c r="BP14" s="190"/>
      <c r="BQ14" s="239"/>
      <c r="BR14" s="240"/>
      <c r="BS14" s="190"/>
      <c r="BT14" s="240"/>
      <c r="BX14" s="190"/>
      <c r="BY14" s="190"/>
      <c r="BZ14" s="149"/>
      <c r="CA14" s="149"/>
      <c r="CB14" s="149"/>
      <c r="CC14" s="149"/>
    </row>
    <row r="15" spans="1:81">
      <c r="A15" s="247" t="s">
        <v>34</v>
      </c>
      <c r="B15" s="209"/>
      <c r="C15" s="209"/>
      <c r="D15" s="209"/>
      <c r="E15" s="210"/>
      <c r="F15" s="235"/>
      <c r="G15" s="235"/>
      <c r="H15" s="147">
        <v>9</v>
      </c>
      <c r="I15" s="389">
        <f t="shared" si="0"/>
        <v>0.36</v>
      </c>
      <c r="J15" s="188"/>
      <c r="K15" s="188"/>
      <c r="L15" s="188"/>
      <c r="M15" s="188"/>
      <c r="N15" s="236"/>
      <c r="O15" s="149"/>
      <c r="P15" s="188"/>
      <c r="Q15" s="379"/>
      <c r="S15" s="237"/>
      <c r="T15" s="237"/>
      <c r="U15" s="237"/>
      <c r="AJ15" s="379"/>
      <c r="AZ15" s="238"/>
      <c r="BJ15" s="190"/>
      <c r="BK15" s="190"/>
      <c r="BL15" s="190"/>
      <c r="BO15" s="149"/>
      <c r="BP15" s="190"/>
      <c r="BQ15" s="239"/>
      <c r="BR15" s="240"/>
      <c r="BS15" s="190"/>
      <c r="BT15" s="240"/>
      <c r="BX15" s="190"/>
      <c r="BY15" s="190"/>
      <c r="BZ15" s="149"/>
      <c r="CA15" s="149"/>
      <c r="CB15" s="149"/>
      <c r="CC15" s="149"/>
    </row>
    <row r="16" spans="1:81">
      <c r="A16" s="231" t="s">
        <v>26</v>
      </c>
      <c r="B16" s="232" t="s">
        <v>6</v>
      </c>
      <c r="C16" s="232" t="s">
        <v>33</v>
      </c>
      <c r="D16" s="248" t="s">
        <v>90</v>
      </c>
      <c r="E16" s="234" t="s">
        <v>41</v>
      </c>
      <c r="F16" s="235"/>
      <c r="G16" s="235"/>
      <c r="H16" s="147">
        <v>10</v>
      </c>
      <c r="I16" s="389">
        <f t="shared" si="0"/>
        <v>0.4</v>
      </c>
      <c r="J16" s="188"/>
      <c r="K16" s="188"/>
      <c r="L16" s="188"/>
      <c r="M16" s="188"/>
      <c r="N16" s="236"/>
      <c r="O16" s="149"/>
      <c r="P16" s="188"/>
      <c r="Q16" s="379"/>
      <c r="S16" s="237"/>
      <c r="T16" s="237"/>
      <c r="U16" s="237"/>
      <c r="AJ16" s="379"/>
      <c r="AZ16" s="238"/>
      <c r="BJ16" s="190"/>
      <c r="BK16" s="190"/>
      <c r="BL16" s="190"/>
      <c r="BO16" s="149"/>
      <c r="BP16" s="190"/>
      <c r="BQ16" s="239"/>
      <c r="BR16" s="240"/>
      <c r="BS16" s="190"/>
      <c r="BT16" s="240"/>
      <c r="BX16" s="190"/>
      <c r="BY16" s="190"/>
      <c r="BZ16" s="149"/>
      <c r="CA16" s="149"/>
      <c r="CB16" s="149"/>
      <c r="CC16" s="149"/>
    </row>
    <row r="17" spans="1:81">
      <c r="A17" s="245" t="s">
        <v>246</v>
      </c>
      <c r="B17" s="249">
        <f>Vout/Vin/Fsw*1000000</f>
        <v>73.52941176470587</v>
      </c>
      <c r="C17" s="250" t="s">
        <v>247</v>
      </c>
      <c r="D17" s="251">
        <f>B17/1000000</f>
        <v>7.3529411764705876E-5</v>
      </c>
      <c r="E17" s="148" t="s">
        <v>248</v>
      </c>
      <c r="F17" s="235"/>
      <c r="G17" s="235"/>
      <c r="H17" s="147">
        <v>11</v>
      </c>
      <c r="I17" s="389">
        <f t="shared" si="0"/>
        <v>0.44</v>
      </c>
      <c r="J17" s="188"/>
      <c r="K17" s="188"/>
      <c r="L17" s="188"/>
      <c r="M17" s="188"/>
      <c r="N17" s="236"/>
      <c r="O17" s="149"/>
      <c r="P17" s="188"/>
      <c r="Q17" s="379"/>
      <c r="S17" s="237"/>
      <c r="T17" s="237"/>
      <c r="U17" s="237"/>
      <c r="AJ17" s="379"/>
      <c r="AZ17" s="238"/>
      <c r="BJ17" s="190"/>
      <c r="BK17" s="190"/>
      <c r="BL17" s="190"/>
      <c r="BO17" s="149"/>
      <c r="BP17" s="190"/>
      <c r="BQ17" s="239"/>
      <c r="BR17" s="240"/>
      <c r="BS17" s="190"/>
      <c r="BT17" s="240"/>
      <c r="BX17" s="190"/>
      <c r="BY17" s="190"/>
      <c r="BZ17" s="149"/>
      <c r="CA17" s="149"/>
      <c r="CB17" s="149"/>
      <c r="CC17" s="149"/>
    </row>
    <row r="18" spans="1:81">
      <c r="A18" s="245" t="s">
        <v>249</v>
      </c>
      <c r="B18" s="249"/>
      <c r="C18" s="250" t="s">
        <v>247</v>
      </c>
      <c r="D18" s="252">
        <f>B18/1000000</f>
        <v>0</v>
      </c>
      <c r="E18" s="148" t="s">
        <v>250</v>
      </c>
      <c r="F18" s="235"/>
      <c r="G18" s="235"/>
      <c r="H18" s="147">
        <v>12</v>
      </c>
      <c r="I18" s="389">
        <f t="shared" si="0"/>
        <v>0.48</v>
      </c>
      <c r="J18" s="188"/>
      <c r="K18" s="188"/>
      <c r="L18" s="188"/>
      <c r="M18" s="188"/>
      <c r="N18" s="236"/>
      <c r="O18" s="149"/>
      <c r="P18" s="188"/>
      <c r="Q18" s="379"/>
      <c r="S18" s="237"/>
      <c r="T18" s="237"/>
      <c r="U18" s="237"/>
      <c r="AJ18" s="379"/>
      <c r="AZ18" s="238"/>
      <c r="BJ18" s="190"/>
      <c r="BK18" s="190"/>
      <c r="BL18" s="190"/>
      <c r="BO18" s="149"/>
      <c r="BP18" s="190"/>
      <c r="BQ18" s="239"/>
      <c r="BR18" s="240"/>
      <c r="BS18" s="190"/>
      <c r="BT18" s="240"/>
      <c r="BX18" s="190"/>
      <c r="BY18" s="190"/>
      <c r="BZ18" s="149"/>
      <c r="CA18" s="149"/>
      <c r="CB18" s="149"/>
      <c r="CC18" s="149"/>
    </row>
    <row r="19" spans="1:81" ht="15.6">
      <c r="A19" s="245" t="s">
        <v>251</v>
      </c>
      <c r="B19" s="253">
        <f>(Vin-Vout-(Rdcr_pri+Rdson)*Iout)/L*OnTime*1000</f>
        <v>60951.188986232788</v>
      </c>
      <c r="C19" s="148" t="s">
        <v>30</v>
      </c>
      <c r="D19" s="165">
        <f>B19/1000</f>
        <v>60.951188986232786</v>
      </c>
      <c r="E19" s="148" t="s">
        <v>252</v>
      </c>
      <c r="F19" s="235"/>
      <c r="G19" s="235"/>
      <c r="H19" s="147">
        <v>13</v>
      </c>
      <c r="I19" s="389">
        <f t="shared" si="0"/>
        <v>0.52</v>
      </c>
      <c r="J19" s="188"/>
      <c r="K19" s="188"/>
      <c r="L19" s="188"/>
      <c r="M19" s="188"/>
      <c r="N19" s="236"/>
      <c r="O19" s="149"/>
      <c r="P19" s="188"/>
      <c r="Q19" s="379"/>
      <c r="S19" s="237"/>
      <c r="T19" s="237"/>
      <c r="U19" s="237"/>
      <c r="AJ19" s="379"/>
      <c r="AZ19" s="238"/>
      <c r="BJ19" s="190"/>
      <c r="BK19" s="190"/>
      <c r="BL19" s="190"/>
      <c r="BO19" s="149"/>
      <c r="BP19" s="190"/>
      <c r="BQ19" s="239"/>
      <c r="BR19" s="240"/>
      <c r="BS19" s="190"/>
      <c r="BT19" s="240"/>
      <c r="BX19" s="190"/>
      <c r="BY19" s="190"/>
      <c r="BZ19" s="149"/>
      <c r="CA19" s="149"/>
      <c r="CB19" s="149"/>
      <c r="CC19" s="149"/>
    </row>
    <row r="20" spans="1:81">
      <c r="A20" s="245" t="s">
        <v>253</v>
      </c>
      <c r="B20" s="254">
        <v>12</v>
      </c>
      <c r="C20" s="148" t="s">
        <v>2</v>
      </c>
      <c r="D20" s="255">
        <f>B20*1000</f>
        <v>12000</v>
      </c>
      <c r="E20" s="148" t="s">
        <v>254</v>
      </c>
      <c r="F20" s="289"/>
      <c r="G20" s="235"/>
      <c r="H20" s="147">
        <v>14</v>
      </c>
      <c r="I20" s="389">
        <f t="shared" si="0"/>
        <v>0.56000000000000005</v>
      </c>
      <c r="J20" s="188"/>
      <c r="K20" s="188"/>
      <c r="L20" s="188"/>
      <c r="M20" s="188"/>
      <c r="N20" s="236"/>
      <c r="O20" s="149"/>
      <c r="P20" s="188"/>
      <c r="Q20" s="379"/>
      <c r="S20" s="237"/>
      <c r="T20" s="237"/>
      <c r="U20" s="237"/>
      <c r="AJ20" s="379"/>
      <c r="AZ20" s="238"/>
      <c r="BJ20" s="190"/>
      <c r="BK20" s="190"/>
      <c r="BL20" s="190"/>
      <c r="BO20" s="149"/>
      <c r="BP20" s="190"/>
      <c r="BQ20" s="239"/>
      <c r="BR20" s="240"/>
      <c r="BS20" s="190"/>
      <c r="BT20" s="240"/>
      <c r="BX20" s="190"/>
      <c r="BY20" s="190"/>
      <c r="BZ20" s="149"/>
      <c r="CA20" s="149"/>
      <c r="CB20" s="149"/>
      <c r="CC20" s="149"/>
    </row>
    <row r="21" spans="1:81">
      <c r="A21" s="245" t="s">
        <v>410</v>
      </c>
      <c r="B21" s="253">
        <v>350</v>
      </c>
      <c r="C21" s="148" t="s">
        <v>2</v>
      </c>
      <c r="D21" s="255">
        <f>B21*1000</f>
        <v>350000</v>
      </c>
      <c r="E21" s="148" t="s">
        <v>411</v>
      </c>
      <c r="F21" s="235"/>
      <c r="G21" s="235"/>
      <c r="H21" s="147">
        <v>15</v>
      </c>
      <c r="I21" s="389">
        <f t="shared" si="0"/>
        <v>0.6</v>
      </c>
      <c r="J21" s="188"/>
      <c r="K21" s="188"/>
      <c r="L21" s="188"/>
      <c r="M21" s="188"/>
      <c r="N21" s="236"/>
      <c r="O21" s="149"/>
      <c r="P21" s="188"/>
      <c r="Q21" s="379"/>
      <c r="S21" s="237"/>
      <c r="T21" s="237"/>
      <c r="U21" s="237"/>
      <c r="AJ21" s="379"/>
      <c r="AZ21" s="238"/>
      <c r="BJ21" s="190"/>
      <c r="BK21" s="190"/>
      <c r="BL21" s="190"/>
      <c r="BO21" s="149"/>
      <c r="BP21" s="190"/>
      <c r="BQ21" s="239"/>
      <c r="BR21" s="240"/>
      <c r="BS21" s="190"/>
      <c r="BT21" s="240"/>
      <c r="BX21" s="190"/>
      <c r="BY21" s="190"/>
      <c r="BZ21" s="149"/>
      <c r="CA21" s="149"/>
      <c r="CB21" s="149"/>
      <c r="CC21" s="149"/>
    </row>
    <row r="22" spans="1:81">
      <c r="A22" s="256" t="s">
        <v>38</v>
      </c>
      <c r="B22" s="257">
        <f>B44+15</f>
        <v>38</v>
      </c>
      <c r="C22" s="148" t="s">
        <v>32</v>
      </c>
      <c r="D22" s="258">
        <f>B22/1000000000</f>
        <v>3.8000000000000003E-8</v>
      </c>
      <c r="E22" s="148" t="s">
        <v>255</v>
      </c>
      <c r="F22" s="235"/>
      <c r="G22" s="235"/>
      <c r="H22" s="147">
        <v>16</v>
      </c>
      <c r="I22" s="389">
        <f t="shared" si="0"/>
        <v>0.64</v>
      </c>
      <c r="J22" s="188"/>
      <c r="K22" s="188"/>
      <c r="L22" s="188"/>
      <c r="M22" s="188"/>
      <c r="N22" s="236"/>
      <c r="O22" s="149"/>
      <c r="P22" s="188"/>
      <c r="Q22" s="379"/>
      <c r="S22" s="237"/>
      <c r="T22" s="237"/>
      <c r="U22" s="237"/>
      <c r="AJ22" s="379"/>
      <c r="AZ22" s="238"/>
      <c r="BJ22" s="190"/>
      <c r="BK22" s="190"/>
      <c r="BL22" s="190"/>
      <c r="BO22" s="149"/>
      <c r="BP22" s="190"/>
      <c r="BQ22" s="239"/>
      <c r="BR22" s="240"/>
      <c r="BS22" s="190"/>
      <c r="BT22" s="240"/>
      <c r="BX22" s="190"/>
      <c r="BY22" s="190"/>
      <c r="BZ22" s="149"/>
      <c r="CA22" s="149"/>
      <c r="CB22" s="149"/>
      <c r="CC22" s="149"/>
    </row>
    <row r="23" spans="1:81">
      <c r="A23" s="256" t="s">
        <v>39</v>
      </c>
      <c r="B23" s="257">
        <f>B44/2+25</f>
        <v>36.5</v>
      </c>
      <c r="C23" s="148" t="s">
        <v>32</v>
      </c>
      <c r="D23" s="258">
        <f>B23/1000000000</f>
        <v>3.6500000000000003E-8</v>
      </c>
      <c r="E23" s="148" t="s">
        <v>256</v>
      </c>
      <c r="F23" s="235"/>
      <c r="G23" s="235"/>
      <c r="H23" s="147">
        <v>17</v>
      </c>
      <c r="I23" s="389">
        <f t="shared" si="0"/>
        <v>0.68</v>
      </c>
      <c r="J23" s="188"/>
      <c r="K23" s="188"/>
      <c r="L23" s="188"/>
      <c r="M23" s="188"/>
      <c r="N23" s="236"/>
      <c r="O23" s="149"/>
      <c r="P23" s="188"/>
      <c r="Q23" s="379"/>
      <c r="S23" s="237"/>
      <c r="T23" s="237"/>
      <c r="U23" s="237"/>
      <c r="AJ23" s="379"/>
      <c r="AZ23" s="238"/>
      <c r="BJ23" s="190"/>
      <c r="BK23" s="190"/>
      <c r="BL23" s="190"/>
      <c r="BO23" s="149"/>
      <c r="BP23" s="190"/>
      <c r="BQ23" s="239"/>
      <c r="BR23" s="240"/>
      <c r="BS23" s="190"/>
      <c r="BT23" s="240"/>
      <c r="BX23" s="190"/>
      <c r="BY23" s="190"/>
      <c r="BZ23" s="149"/>
      <c r="CA23" s="149"/>
      <c r="CB23" s="149"/>
      <c r="CC23" s="149"/>
    </row>
    <row r="24" spans="1:81">
      <c r="A24" s="210"/>
      <c r="B24" s="210"/>
      <c r="C24" s="210"/>
      <c r="D24" s="210"/>
      <c r="E24" s="210"/>
      <c r="F24" s="235"/>
      <c r="G24" s="235"/>
      <c r="H24" s="147">
        <v>18</v>
      </c>
      <c r="I24" s="389">
        <f t="shared" si="0"/>
        <v>0.72</v>
      </c>
      <c r="J24" s="188"/>
      <c r="K24" s="188"/>
      <c r="L24" s="188"/>
      <c r="M24" s="188"/>
      <c r="N24" s="236"/>
      <c r="O24" s="149"/>
      <c r="P24" s="188"/>
      <c r="Q24" s="379"/>
      <c r="S24" s="237"/>
      <c r="T24" s="237"/>
      <c r="U24" s="237"/>
      <c r="AJ24" s="379"/>
      <c r="AZ24" s="238"/>
      <c r="BJ24" s="190"/>
      <c r="BK24" s="190"/>
      <c r="BL24" s="190"/>
      <c r="BO24" s="149"/>
      <c r="BP24" s="190"/>
      <c r="BQ24" s="239"/>
      <c r="BR24" s="240"/>
      <c r="BS24" s="190"/>
      <c r="BT24" s="240"/>
      <c r="BX24" s="190"/>
      <c r="BY24" s="190"/>
      <c r="BZ24" s="149"/>
      <c r="CA24" s="149"/>
      <c r="CB24" s="149"/>
      <c r="CC24" s="149"/>
    </row>
    <row r="25" spans="1:81">
      <c r="A25" s="231" t="s">
        <v>29</v>
      </c>
      <c r="B25" s="233" t="s">
        <v>43</v>
      </c>
      <c r="C25" s="232" t="s">
        <v>33</v>
      </c>
      <c r="D25" s="248" t="s">
        <v>90</v>
      </c>
      <c r="E25" s="234" t="s">
        <v>41</v>
      </c>
      <c r="F25" s="235"/>
      <c r="G25" s="235"/>
      <c r="H25" s="147">
        <v>19</v>
      </c>
      <c r="I25" s="389">
        <f t="shared" si="0"/>
        <v>0.76</v>
      </c>
      <c r="J25" s="188"/>
      <c r="K25" s="188"/>
      <c r="L25" s="188"/>
      <c r="M25" s="188"/>
      <c r="N25" s="236"/>
      <c r="O25" s="149"/>
      <c r="P25" s="188"/>
      <c r="Q25" s="379"/>
      <c r="S25" s="237"/>
      <c r="T25" s="237"/>
      <c r="U25" s="237"/>
      <c r="AJ25" s="379"/>
      <c r="AZ25" s="238"/>
      <c r="BJ25" s="190"/>
      <c r="BK25" s="190"/>
      <c r="BL25" s="190"/>
      <c r="BO25" s="149"/>
      <c r="BP25" s="190"/>
      <c r="BQ25" s="239"/>
      <c r="BR25" s="240"/>
      <c r="BS25" s="190"/>
      <c r="BT25" s="240"/>
      <c r="BX25" s="190"/>
      <c r="BY25" s="190"/>
      <c r="BZ25" s="149"/>
      <c r="CA25" s="149"/>
      <c r="CB25" s="149"/>
      <c r="CC25" s="149"/>
    </row>
    <row r="26" spans="1:81" ht="13.8" thickBot="1">
      <c r="A26" s="259" t="s">
        <v>27</v>
      </c>
      <c r="B26" s="148">
        <f>'Design Converter'!L7</f>
        <v>4.7</v>
      </c>
      <c r="C26" s="250" t="s">
        <v>96</v>
      </c>
      <c r="D26" s="169">
        <f>B26/1000000</f>
        <v>4.6999999999999999E-6</v>
      </c>
      <c r="E26" s="148" t="s">
        <v>257</v>
      </c>
      <c r="F26" s="260"/>
      <c r="G26" s="235"/>
      <c r="H26" s="147">
        <v>20</v>
      </c>
      <c r="I26" s="389">
        <f t="shared" si="0"/>
        <v>0.8</v>
      </c>
      <c r="J26" s="188"/>
      <c r="K26" s="188"/>
      <c r="L26" s="188"/>
      <c r="M26" s="188"/>
      <c r="N26" s="236"/>
      <c r="O26" s="149"/>
      <c r="P26" s="188"/>
      <c r="Q26" s="379"/>
      <c r="S26" s="237"/>
      <c r="T26" s="237"/>
      <c r="U26" s="237"/>
      <c r="AJ26" s="379"/>
      <c r="AZ26" s="238"/>
      <c r="BJ26" s="190"/>
      <c r="BK26" s="190"/>
      <c r="BL26" s="190"/>
      <c r="BO26" s="149"/>
      <c r="BP26" s="190"/>
      <c r="BQ26" s="239"/>
      <c r="BR26" s="240"/>
      <c r="BS26" s="190"/>
      <c r="BT26" s="240"/>
      <c r="BX26" s="190"/>
      <c r="BY26" s="190"/>
      <c r="BZ26" s="149"/>
      <c r="CA26" s="149"/>
      <c r="CB26" s="149"/>
      <c r="CC26" s="149"/>
    </row>
    <row r="27" spans="1:81" ht="13.8" thickBot="1">
      <c r="A27" s="261" t="s">
        <v>385</v>
      </c>
      <c r="B27" s="262">
        <f>'Design Converter'!L8</f>
        <v>14</v>
      </c>
      <c r="C27" s="263" t="s">
        <v>258</v>
      </c>
      <c r="D27" s="169">
        <f>B27/1000</f>
        <v>1.4E-2</v>
      </c>
      <c r="E27" s="148" t="s">
        <v>480</v>
      </c>
      <c r="F27" s="235"/>
      <c r="G27" s="235"/>
      <c r="H27" s="147">
        <v>21</v>
      </c>
      <c r="I27" s="389">
        <f t="shared" si="0"/>
        <v>0.84</v>
      </c>
      <c r="J27" s="188"/>
      <c r="K27" s="188"/>
      <c r="L27" s="188"/>
      <c r="M27" s="188"/>
      <c r="N27" s="236"/>
      <c r="O27" s="149"/>
      <c r="P27" s="188"/>
      <c r="Q27" s="379"/>
      <c r="S27" s="237"/>
      <c r="T27" s="237"/>
      <c r="U27" s="237"/>
      <c r="AJ27" s="379"/>
      <c r="AZ27" s="238"/>
      <c r="BJ27" s="190"/>
      <c r="BK27" s="190"/>
      <c r="BL27" s="190"/>
      <c r="BO27" s="149"/>
      <c r="BP27" s="190"/>
      <c r="BQ27" s="239"/>
      <c r="BR27" s="240"/>
      <c r="BS27" s="190"/>
      <c r="BT27" s="240"/>
      <c r="BX27" s="190"/>
      <c r="BY27" s="190"/>
      <c r="BZ27" s="149"/>
      <c r="CA27" s="149"/>
      <c r="CB27" s="149"/>
      <c r="CC27" s="149"/>
    </row>
    <row r="28" spans="1:81" ht="13.8" thickBot="1">
      <c r="A28" s="261" t="s">
        <v>448</v>
      </c>
      <c r="B28" s="262">
        <f>'Design Converter'!L9</f>
        <v>14</v>
      </c>
      <c r="C28" s="263" t="s">
        <v>258</v>
      </c>
      <c r="D28" s="169">
        <f>B28/1000</f>
        <v>1.4E-2</v>
      </c>
      <c r="E28" s="148" t="s">
        <v>646</v>
      </c>
      <c r="F28" s="235"/>
      <c r="G28" s="235"/>
      <c r="H28" s="147">
        <v>22</v>
      </c>
      <c r="I28" s="389">
        <f t="shared" si="0"/>
        <v>0.88</v>
      </c>
      <c r="J28" s="188"/>
      <c r="K28" s="188"/>
      <c r="L28" s="188"/>
      <c r="M28" s="188"/>
      <c r="N28" s="236"/>
      <c r="O28" s="149"/>
      <c r="P28" s="188"/>
      <c r="Q28" s="379"/>
      <c r="S28" s="237"/>
      <c r="T28" s="237"/>
      <c r="U28" s="237"/>
      <c r="AJ28" s="379"/>
      <c r="AZ28" s="238"/>
      <c r="BJ28" s="190"/>
      <c r="BK28" s="190"/>
      <c r="BL28" s="190"/>
      <c r="BO28" s="149"/>
      <c r="BP28" s="190"/>
      <c r="BQ28" s="239"/>
      <c r="BR28" s="240"/>
      <c r="BS28" s="190"/>
      <c r="BT28" s="240"/>
      <c r="BX28" s="190"/>
      <c r="BY28" s="190"/>
      <c r="BZ28" s="149"/>
      <c r="CA28" s="149"/>
      <c r="CB28" s="149"/>
      <c r="CC28" s="149"/>
    </row>
    <row r="29" spans="1:81" ht="13.8" thickBot="1">
      <c r="A29" s="261" t="s">
        <v>259</v>
      </c>
      <c r="B29" s="264">
        <f>0.00000005</f>
        <v>4.9999999999999998E-8</v>
      </c>
      <c r="C29" s="263"/>
      <c r="D29" s="258">
        <f>B29</f>
        <v>4.9999999999999998E-8</v>
      </c>
      <c r="E29" s="265" t="s">
        <v>479</v>
      </c>
      <c r="F29" s="235"/>
      <c r="G29" s="235"/>
      <c r="H29" s="147">
        <v>23</v>
      </c>
      <c r="I29" s="389">
        <f t="shared" si="0"/>
        <v>0.92</v>
      </c>
      <c r="J29" s="188"/>
      <c r="K29" s="188"/>
      <c r="L29" s="188"/>
      <c r="M29" s="188"/>
      <c r="N29" s="236"/>
      <c r="O29" s="149"/>
      <c r="P29" s="188"/>
      <c r="Q29" s="379"/>
      <c r="S29" s="237"/>
      <c r="T29" s="237"/>
      <c r="U29" s="237"/>
      <c r="AJ29" s="379"/>
      <c r="AZ29" s="238"/>
      <c r="BJ29" s="190"/>
      <c r="BK29" s="190"/>
      <c r="BL29" s="190"/>
      <c r="BO29" s="149"/>
      <c r="BP29" s="190"/>
      <c r="BQ29" s="239"/>
      <c r="BR29" s="240"/>
      <c r="BS29" s="190"/>
      <c r="BT29" s="240"/>
      <c r="BX29" s="190"/>
      <c r="BY29" s="190"/>
      <c r="BZ29" s="149"/>
      <c r="CA29" s="149"/>
      <c r="CB29" s="149"/>
      <c r="CC29" s="149"/>
    </row>
    <row r="30" spans="1:81" ht="13.8" thickBot="1">
      <c r="A30" s="266" t="s">
        <v>28</v>
      </c>
      <c r="B30" s="262">
        <f>'Design Converter'!E30</f>
        <v>100</v>
      </c>
      <c r="C30" s="267" t="s">
        <v>97</v>
      </c>
      <c r="D30" s="268">
        <f>B30/1000000</f>
        <v>1E-4</v>
      </c>
      <c r="E30" s="269" t="s">
        <v>60</v>
      </c>
      <c r="F30" s="235"/>
      <c r="G30" s="235"/>
      <c r="H30" s="147">
        <v>24</v>
      </c>
      <c r="I30" s="389">
        <f t="shared" si="0"/>
        <v>0.96</v>
      </c>
      <c r="J30" s="188"/>
      <c r="K30" s="188"/>
      <c r="L30" s="188"/>
      <c r="M30" s="188"/>
      <c r="N30" s="236"/>
      <c r="O30" s="149"/>
      <c r="P30" s="188"/>
      <c r="Q30" s="379"/>
      <c r="S30" s="237"/>
      <c r="T30" s="237"/>
      <c r="U30" s="237"/>
      <c r="AJ30" s="379"/>
      <c r="AZ30" s="238"/>
      <c r="BJ30" s="190"/>
      <c r="BK30" s="190"/>
      <c r="BL30" s="190"/>
      <c r="BO30" s="149"/>
      <c r="BP30" s="190"/>
      <c r="BQ30" s="239"/>
      <c r="BR30" s="240"/>
      <c r="BS30" s="190"/>
      <c r="BT30" s="240"/>
      <c r="BX30" s="190"/>
      <c r="BY30" s="190"/>
      <c r="BZ30" s="149"/>
      <c r="CA30" s="149"/>
      <c r="CB30" s="149"/>
      <c r="CC30" s="149"/>
    </row>
    <row r="31" spans="1:81" ht="13.8" thickBot="1">
      <c r="A31" s="261" t="s">
        <v>260</v>
      </c>
      <c r="B31" s="262">
        <f>'Design Converter'!E31</f>
        <v>3</v>
      </c>
      <c r="C31" s="263" t="s">
        <v>258</v>
      </c>
      <c r="D31" s="169">
        <f>B31/1000</f>
        <v>3.0000000000000001E-3</v>
      </c>
      <c r="E31" s="148" t="s">
        <v>261</v>
      </c>
      <c r="F31" s="235"/>
      <c r="G31" s="235"/>
      <c r="H31" s="147">
        <v>25</v>
      </c>
      <c r="I31" s="389">
        <f t="shared" si="0"/>
        <v>1</v>
      </c>
      <c r="J31" s="188"/>
      <c r="K31" s="188"/>
      <c r="L31" s="188"/>
      <c r="M31" s="188"/>
      <c r="N31" s="236"/>
      <c r="O31" s="149"/>
      <c r="P31" s="188"/>
      <c r="Q31" s="379"/>
      <c r="S31" s="237"/>
      <c r="T31" s="237"/>
      <c r="U31" s="237"/>
      <c r="AJ31" s="379"/>
      <c r="AZ31" s="238"/>
      <c r="BJ31" s="190"/>
      <c r="BK31" s="190"/>
      <c r="BL31" s="190"/>
      <c r="BO31" s="149"/>
      <c r="BP31" s="190"/>
      <c r="BQ31" s="239"/>
      <c r="BR31" s="240"/>
      <c r="BS31" s="190"/>
      <c r="BT31" s="240"/>
      <c r="BX31" s="190"/>
      <c r="BY31" s="190"/>
      <c r="BZ31" s="149"/>
      <c r="CA31" s="149"/>
      <c r="CB31" s="149"/>
      <c r="CC31" s="149"/>
    </row>
    <row r="32" spans="1:81" ht="13.8" thickBot="1">
      <c r="A32" s="259" t="s">
        <v>14</v>
      </c>
      <c r="B32" s="308">
        <f>'Design Converter'!E34</f>
        <v>220</v>
      </c>
      <c r="C32" s="250" t="s">
        <v>97</v>
      </c>
      <c r="D32" s="251">
        <f>B32/1000000</f>
        <v>2.2000000000000001E-4</v>
      </c>
      <c r="E32" s="148" t="s">
        <v>262</v>
      </c>
      <c r="F32" s="235"/>
      <c r="G32" s="235"/>
      <c r="H32" s="147">
        <v>26</v>
      </c>
      <c r="I32" s="389">
        <f t="shared" si="0"/>
        <v>1.04</v>
      </c>
      <c r="J32" s="188"/>
      <c r="K32" s="188"/>
      <c r="L32" s="188"/>
      <c r="M32" s="188"/>
      <c r="N32" s="236"/>
      <c r="O32" s="149"/>
      <c r="P32" s="188"/>
      <c r="Q32" s="379"/>
      <c r="S32" s="237"/>
      <c r="T32" s="237"/>
      <c r="U32" s="237"/>
      <c r="AJ32" s="379"/>
      <c r="AZ32" s="238"/>
      <c r="BJ32" s="190"/>
      <c r="BK32" s="190"/>
      <c r="BL32" s="190"/>
      <c r="BO32" s="149"/>
      <c r="BP32" s="190"/>
      <c r="BQ32" s="239"/>
      <c r="BR32" s="240"/>
      <c r="BS32" s="190"/>
      <c r="BT32" s="240"/>
      <c r="BX32" s="190"/>
      <c r="BY32" s="190"/>
      <c r="BZ32" s="149"/>
      <c r="CA32" s="149"/>
      <c r="CB32" s="149"/>
      <c r="CC32" s="149"/>
    </row>
    <row r="33" spans="1:81">
      <c r="A33" s="261" t="s">
        <v>263</v>
      </c>
      <c r="B33" s="308">
        <f>'Design Converter'!E35</f>
        <v>2</v>
      </c>
      <c r="C33" s="263" t="s">
        <v>258</v>
      </c>
      <c r="D33" s="169">
        <f>B33/1000</f>
        <v>2E-3</v>
      </c>
      <c r="E33" s="148" t="s">
        <v>264</v>
      </c>
      <c r="F33" s="235"/>
      <c r="G33" s="235"/>
      <c r="H33" s="147">
        <v>27</v>
      </c>
      <c r="I33" s="389">
        <f t="shared" si="0"/>
        <v>1.08</v>
      </c>
      <c r="J33" s="188"/>
      <c r="K33" s="188"/>
      <c r="L33" s="188"/>
      <c r="M33" s="188"/>
      <c r="N33" s="236"/>
      <c r="O33" s="149"/>
      <c r="P33" s="188"/>
      <c r="Q33" s="379"/>
      <c r="S33" s="237"/>
      <c r="T33" s="237"/>
      <c r="U33" s="237"/>
      <c r="AJ33" s="379"/>
      <c r="AZ33" s="238"/>
      <c r="BJ33" s="190"/>
      <c r="BK33" s="190"/>
      <c r="BL33" s="190"/>
      <c r="BO33" s="149"/>
      <c r="BP33" s="190"/>
      <c r="BQ33" s="239"/>
      <c r="BR33" s="240"/>
      <c r="BS33" s="190"/>
      <c r="BT33" s="240"/>
      <c r="BX33" s="190"/>
      <c r="BY33" s="190"/>
      <c r="BZ33" s="149"/>
      <c r="CA33" s="149"/>
      <c r="CB33" s="149"/>
      <c r="CC33" s="149"/>
    </row>
    <row r="34" spans="1:81">
      <c r="A34" s="270" t="s">
        <v>394</v>
      </c>
      <c r="B34" s="233"/>
      <c r="C34" s="270" t="s">
        <v>33</v>
      </c>
      <c r="D34" s="270" t="s">
        <v>90</v>
      </c>
      <c r="E34" s="271" t="s">
        <v>41</v>
      </c>
      <c r="F34" s="235"/>
      <c r="G34" s="235"/>
      <c r="H34" s="147">
        <v>28</v>
      </c>
      <c r="I34" s="389">
        <f t="shared" si="0"/>
        <v>1.1200000000000001</v>
      </c>
      <c r="J34" s="188"/>
      <c r="K34" s="188"/>
      <c r="L34" s="188"/>
      <c r="M34" s="188"/>
      <c r="N34" s="236"/>
      <c r="O34" s="149"/>
      <c r="P34" s="188"/>
      <c r="Q34" s="379"/>
      <c r="S34" s="237"/>
      <c r="T34" s="237"/>
      <c r="U34" s="237"/>
      <c r="AJ34" s="379"/>
      <c r="AZ34" s="238"/>
      <c r="BJ34" s="190"/>
      <c r="BK34" s="190"/>
      <c r="BL34" s="190"/>
      <c r="BO34" s="149"/>
      <c r="BP34" s="190"/>
      <c r="BQ34" s="239"/>
      <c r="BR34" s="240"/>
      <c r="BS34" s="190"/>
      <c r="BT34" s="240"/>
      <c r="BX34" s="190"/>
      <c r="BY34" s="190"/>
      <c r="BZ34" s="149"/>
      <c r="CA34" s="149"/>
      <c r="CB34" s="149"/>
      <c r="CC34" s="149"/>
    </row>
    <row r="35" spans="1:81">
      <c r="A35" s="261" t="s">
        <v>399</v>
      </c>
      <c r="B35" s="272">
        <f>100/RCS</f>
        <v>30.303030303030305</v>
      </c>
      <c r="C35" s="250" t="s">
        <v>1</v>
      </c>
      <c r="D35" s="238">
        <f>B35</f>
        <v>30.303030303030305</v>
      </c>
      <c r="E35" s="148" t="s">
        <v>398</v>
      </c>
      <c r="F35" s="235"/>
      <c r="G35" s="235"/>
      <c r="H35" s="147">
        <v>29</v>
      </c>
      <c r="I35" s="389">
        <f t="shared" si="0"/>
        <v>1.1599999999999999</v>
      </c>
      <c r="J35" s="188"/>
      <c r="K35" s="188"/>
      <c r="L35" s="188"/>
      <c r="M35" s="188"/>
      <c r="N35" s="236"/>
      <c r="O35" s="149"/>
      <c r="P35" s="188"/>
      <c r="Q35" s="379"/>
      <c r="S35" s="237"/>
      <c r="T35" s="237"/>
      <c r="U35" s="237"/>
      <c r="AJ35" s="379"/>
      <c r="AZ35" s="238"/>
      <c r="BJ35" s="190"/>
      <c r="BK35" s="190"/>
      <c r="BL35" s="190"/>
      <c r="BO35" s="149"/>
      <c r="BP35" s="190"/>
      <c r="BQ35" s="239"/>
      <c r="BR35" s="240"/>
      <c r="BS35" s="190"/>
      <c r="BT35" s="240"/>
      <c r="BX35" s="190"/>
      <c r="BY35" s="190"/>
      <c r="BZ35" s="149"/>
      <c r="CA35" s="149"/>
      <c r="CB35" s="149"/>
      <c r="CC35" s="149"/>
    </row>
    <row r="36" spans="1:81">
      <c r="A36" s="261" t="s">
        <v>407</v>
      </c>
      <c r="B36" s="272">
        <f>B35/5</f>
        <v>6.0606060606060606</v>
      </c>
      <c r="C36" s="250" t="s">
        <v>1</v>
      </c>
      <c r="D36" s="238">
        <f>B36</f>
        <v>6.0606060606060606</v>
      </c>
      <c r="E36" s="148" t="s">
        <v>408</v>
      </c>
      <c r="F36" s="235"/>
      <c r="G36" s="235"/>
      <c r="H36" s="147">
        <v>30</v>
      </c>
      <c r="I36" s="389">
        <f t="shared" si="0"/>
        <v>1.2</v>
      </c>
      <c r="J36" s="188"/>
      <c r="K36" s="188"/>
      <c r="L36" s="188"/>
      <c r="M36" s="188"/>
      <c r="N36" s="236"/>
      <c r="O36" s="149"/>
      <c r="P36" s="188"/>
      <c r="Q36" s="379"/>
      <c r="S36" s="237"/>
      <c r="T36" s="237"/>
      <c r="U36" s="237"/>
      <c r="AJ36" s="379"/>
      <c r="AZ36" s="238"/>
      <c r="BJ36" s="190"/>
      <c r="BK36" s="190"/>
      <c r="BL36" s="190"/>
      <c r="BO36" s="149"/>
      <c r="BP36" s="190"/>
      <c r="BQ36" s="239"/>
      <c r="BR36" s="240"/>
      <c r="BS36" s="190"/>
      <c r="BT36" s="240"/>
      <c r="BX36" s="190"/>
      <c r="BY36" s="190"/>
      <c r="BZ36" s="149"/>
      <c r="CA36" s="149"/>
      <c r="CB36" s="149"/>
      <c r="CC36" s="149"/>
    </row>
    <row r="37" spans="1:81" ht="13.8" thickBot="1">
      <c r="A37" s="261" t="s">
        <v>678</v>
      </c>
      <c r="B37" s="546">
        <v>30</v>
      </c>
      <c r="C37" s="147" t="s">
        <v>32</v>
      </c>
      <c r="D37" s="147">
        <f>B37*0.000000001</f>
        <v>3.0000000000000004E-8</v>
      </c>
      <c r="E37" s="147" t="s">
        <v>679</v>
      </c>
      <c r="F37" s="235"/>
      <c r="G37" s="235"/>
      <c r="H37" s="147">
        <v>31</v>
      </c>
      <c r="I37" s="389">
        <f t="shared" si="0"/>
        <v>1.24</v>
      </c>
      <c r="J37" s="188"/>
      <c r="K37" s="188"/>
      <c r="L37" s="188"/>
      <c r="M37" s="188"/>
      <c r="N37" s="236"/>
      <c r="O37" s="149"/>
      <c r="P37" s="188"/>
      <c r="Q37" s="379"/>
      <c r="S37" s="237"/>
      <c r="T37" s="237"/>
      <c r="U37" s="237"/>
      <c r="AJ37" s="379"/>
      <c r="AZ37" s="238"/>
      <c r="BJ37" s="190"/>
      <c r="BK37" s="190"/>
      <c r="BL37" s="190"/>
      <c r="BO37" s="149"/>
      <c r="BP37" s="190"/>
      <c r="BQ37" s="239"/>
      <c r="BR37" s="240"/>
      <c r="BS37" s="190"/>
      <c r="BT37" s="240"/>
      <c r="BX37" s="190"/>
      <c r="BY37" s="190"/>
      <c r="BZ37" s="149"/>
      <c r="CA37" s="149"/>
      <c r="CB37" s="149"/>
      <c r="CC37" s="149"/>
    </row>
    <row r="38" spans="1:81" ht="13.8" thickBot="1">
      <c r="A38" s="273" t="s">
        <v>47</v>
      </c>
      <c r="B38" s="454">
        <v>1</v>
      </c>
      <c r="C38" s="250"/>
      <c r="D38" s="238">
        <f>B38</f>
        <v>1</v>
      </c>
      <c r="E38" s="148" t="s">
        <v>409</v>
      </c>
      <c r="H38" s="147">
        <v>32</v>
      </c>
      <c r="I38" s="389">
        <f t="shared" ref="I38:I69" si="2">IF(PLOT_TYPE=1, H38/100*Iout_max, min_I*EXP(H38*rr/100))</f>
        <v>1.28</v>
      </c>
      <c r="J38" s="188"/>
      <c r="K38" s="188"/>
      <c r="L38" s="188"/>
      <c r="M38" s="188"/>
      <c r="N38" s="236"/>
      <c r="O38" s="149"/>
      <c r="P38" s="188"/>
      <c r="Q38" s="379"/>
      <c r="S38" s="237"/>
      <c r="T38" s="237"/>
      <c r="U38" s="237"/>
      <c r="AJ38" s="379"/>
      <c r="AZ38" s="238"/>
      <c r="BJ38" s="190"/>
      <c r="BK38" s="190"/>
      <c r="BL38" s="190"/>
      <c r="BO38" s="149"/>
      <c r="BP38" s="190"/>
      <c r="BQ38" s="239"/>
      <c r="BR38" s="240"/>
      <c r="BS38" s="190"/>
      <c r="BT38" s="240"/>
      <c r="BX38" s="190"/>
      <c r="BY38" s="190"/>
      <c r="BZ38" s="149"/>
      <c r="CA38" s="149"/>
      <c r="CB38" s="149"/>
      <c r="CC38" s="149"/>
    </row>
    <row r="39" spans="1:81">
      <c r="A39" s="261" t="s">
        <v>24</v>
      </c>
      <c r="B39" s="274">
        <v>450</v>
      </c>
      <c r="C39" s="250" t="s">
        <v>265</v>
      </c>
      <c r="D39" s="252">
        <f>B39/1000000</f>
        <v>4.4999999999999999E-4</v>
      </c>
      <c r="E39" s="148" t="s">
        <v>775</v>
      </c>
      <c r="H39" s="147">
        <v>33</v>
      </c>
      <c r="I39" s="389">
        <f t="shared" si="2"/>
        <v>1.32</v>
      </c>
      <c r="J39" s="188"/>
      <c r="K39" s="188"/>
      <c r="L39" s="188"/>
      <c r="M39" s="188"/>
      <c r="N39" s="236"/>
      <c r="O39" s="149"/>
      <c r="P39" s="188"/>
      <c r="Q39" s="379"/>
      <c r="S39" s="237"/>
      <c r="T39" s="237"/>
      <c r="U39" s="237"/>
      <c r="AJ39" s="379"/>
      <c r="AZ39" s="238"/>
      <c r="BJ39" s="190"/>
      <c r="BK39" s="190"/>
      <c r="BL39" s="190"/>
      <c r="BO39" s="149"/>
      <c r="BP39" s="190"/>
      <c r="BQ39" s="239"/>
      <c r="BR39" s="240"/>
      <c r="BS39" s="190"/>
      <c r="BT39" s="240"/>
      <c r="BX39" s="190"/>
      <c r="BY39" s="190"/>
      <c r="BZ39" s="149"/>
      <c r="CA39" s="149"/>
      <c r="CB39" s="149"/>
      <c r="CC39" s="149"/>
    </row>
    <row r="40" spans="1:81" ht="13.8" thickBot="1">
      <c r="A40" s="270" t="s">
        <v>391</v>
      </c>
      <c r="B40" s="275"/>
      <c r="C40" s="270" t="s">
        <v>33</v>
      </c>
      <c r="D40" s="270" t="s">
        <v>90</v>
      </c>
      <c r="E40" s="276" t="s">
        <v>41</v>
      </c>
      <c r="H40" s="147">
        <v>34</v>
      </c>
      <c r="I40" s="389">
        <f t="shared" si="2"/>
        <v>1.36</v>
      </c>
      <c r="J40" s="188"/>
      <c r="K40" s="188"/>
      <c r="L40" s="188"/>
      <c r="M40" s="188"/>
      <c r="N40" s="236"/>
      <c r="O40" s="149"/>
      <c r="P40" s="188"/>
      <c r="Q40" s="379"/>
      <c r="S40" s="237"/>
      <c r="T40" s="237"/>
      <c r="U40" s="237"/>
      <c r="AJ40" s="379"/>
      <c r="AZ40" s="238"/>
      <c r="BJ40" s="190"/>
      <c r="BK40" s="190"/>
      <c r="BL40" s="190"/>
      <c r="BO40" s="149"/>
      <c r="BP40" s="190"/>
      <c r="BQ40" s="239"/>
      <c r="BR40" s="240"/>
      <c r="BS40" s="190"/>
      <c r="BT40" s="240"/>
      <c r="BX40" s="190"/>
      <c r="BY40" s="190"/>
      <c r="BZ40" s="149"/>
      <c r="CA40" s="149"/>
      <c r="CB40" s="149"/>
      <c r="CC40" s="149"/>
    </row>
    <row r="41" spans="1:81">
      <c r="A41" s="277" t="s">
        <v>392</v>
      </c>
      <c r="B41" s="278">
        <f>RON</f>
        <v>12</v>
      </c>
      <c r="C41" s="244" t="s">
        <v>258</v>
      </c>
      <c r="D41" s="148">
        <f>B41/1000</f>
        <v>1.2E-2</v>
      </c>
      <c r="E41" s="148" t="s">
        <v>396</v>
      </c>
      <c r="H41" s="147">
        <v>35</v>
      </c>
      <c r="I41" s="389">
        <f t="shared" si="2"/>
        <v>1.4</v>
      </c>
      <c r="J41" s="188"/>
      <c r="K41" s="188"/>
      <c r="L41" s="188"/>
      <c r="M41" s="188"/>
      <c r="N41" s="236"/>
      <c r="O41" s="149"/>
      <c r="P41" s="188"/>
      <c r="Q41" s="379"/>
      <c r="S41" s="237"/>
      <c r="T41" s="237"/>
      <c r="U41" s="237"/>
      <c r="AJ41" s="379"/>
      <c r="AZ41" s="238"/>
      <c r="BJ41" s="190"/>
      <c r="BK41" s="190"/>
      <c r="BL41" s="190"/>
      <c r="BO41" s="149"/>
      <c r="BP41" s="190"/>
      <c r="BQ41" s="239"/>
      <c r="BR41" s="240"/>
      <c r="BS41" s="190"/>
      <c r="BT41" s="240"/>
      <c r="BX41" s="190"/>
      <c r="BY41" s="190"/>
      <c r="BZ41" s="149"/>
      <c r="CA41" s="149"/>
      <c r="CB41" s="149"/>
      <c r="CC41" s="149"/>
    </row>
    <row r="42" spans="1:81" ht="13.8" thickBot="1">
      <c r="A42" s="147" t="s">
        <v>668</v>
      </c>
      <c r="B42" s="147">
        <v>4500</v>
      </c>
      <c r="C42" s="543" t="s">
        <v>669</v>
      </c>
      <c r="D42" s="148">
        <f>B42/1000000</f>
        <v>4.4999999999999997E-3</v>
      </c>
      <c r="E42" s="544" t="s">
        <v>670</v>
      </c>
      <c r="H42" s="147">
        <v>36</v>
      </c>
      <c r="I42" s="389">
        <f t="shared" si="2"/>
        <v>1.44</v>
      </c>
      <c r="J42" s="188"/>
      <c r="K42" s="188"/>
      <c r="L42" s="188"/>
      <c r="M42" s="188"/>
      <c r="N42" s="236"/>
      <c r="O42" s="149"/>
      <c r="P42" s="188"/>
      <c r="Q42" s="379"/>
      <c r="S42" s="237"/>
      <c r="T42" s="237"/>
      <c r="U42" s="237"/>
      <c r="AJ42" s="379"/>
      <c r="AZ42" s="238"/>
      <c r="BJ42" s="190"/>
      <c r="BK42" s="190"/>
      <c r="BL42" s="190"/>
      <c r="BO42" s="149"/>
      <c r="BP42" s="190"/>
      <c r="BQ42" s="239"/>
      <c r="BR42" s="240"/>
      <c r="BS42" s="190"/>
      <c r="BT42" s="240"/>
      <c r="BX42" s="190"/>
      <c r="BY42" s="190"/>
      <c r="BZ42" s="149"/>
      <c r="CA42" s="149"/>
      <c r="CB42" s="149"/>
      <c r="CC42" s="149"/>
    </row>
    <row r="43" spans="1:81" ht="13.8" thickBot="1">
      <c r="A43" s="261" t="s">
        <v>266</v>
      </c>
      <c r="B43" s="279"/>
      <c r="C43" s="147" t="s">
        <v>267</v>
      </c>
      <c r="D43" s="148"/>
      <c r="E43" s="148" t="s">
        <v>266</v>
      </c>
      <c r="H43" s="147">
        <v>37</v>
      </c>
      <c r="I43" s="389">
        <f t="shared" si="2"/>
        <v>1.48</v>
      </c>
      <c r="J43" s="188"/>
      <c r="K43" s="188"/>
      <c r="L43" s="188"/>
      <c r="M43" s="188"/>
      <c r="N43" s="236"/>
      <c r="O43" s="149"/>
      <c r="P43" s="188"/>
      <c r="Q43" s="379"/>
      <c r="S43" s="237"/>
      <c r="T43" s="237"/>
      <c r="U43" s="237"/>
      <c r="AJ43" s="379"/>
      <c r="AZ43" s="238"/>
      <c r="BJ43" s="190"/>
      <c r="BK43" s="190"/>
      <c r="BL43" s="190"/>
      <c r="BO43" s="149"/>
      <c r="BP43" s="190"/>
      <c r="BQ43" s="239"/>
      <c r="BR43" s="240"/>
      <c r="BS43" s="190"/>
      <c r="BT43" s="240"/>
      <c r="BX43" s="190"/>
      <c r="BY43" s="190"/>
      <c r="BZ43" s="149"/>
      <c r="CA43" s="149"/>
      <c r="CB43" s="149"/>
      <c r="CC43" s="149"/>
    </row>
    <row r="44" spans="1:81" ht="13.8" thickBot="1">
      <c r="A44" s="261" t="s">
        <v>393</v>
      </c>
      <c r="B44" s="278">
        <f>'Design Converter'!L24</f>
        <v>23</v>
      </c>
      <c r="C44" s="250" t="s">
        <v>31</v>
      </c>
      <c r="D44" s="148">
        <f>B44/1000000000</f>
        <v>2.3000000000000001E-8</v>
      </c>
      <c r="E44" s="148" t="s">
        <v>395</v>
      </c>
      <c r="H44" s="147">
        <v>38</v>
      </c>
      <c r="I44" s="389">
        <f t="shared" si="2"/>
        <v>1.52</v>
      </c>
      <c r="J44" s="188"/>
      <c r="K44" s="188"/>
      <c r="L44" s="188"/>
      <c r="M44" s="188"/>
      <c r="N44" s="236"/>
      <c r="O44" s="149"/>
      <c r="P44" s="188"/>
      <c r="Q44" s="379"/>
      <c r="S44" s="237"/>
      <c r="T44" s="237"/>
      <c r="U44" s="237"/>
      <c r="AJ44" s="379"/>
      <c r="AZ44" s="238"/>
      <c r="BJ44" s="190"/>
      <c r="BK44" s="190"/>
      <c r="BL44" s="190"/>
      <c r="BO44" s="149"/>
      <c r="BP44" s="190"/>
      <c r="BQ44" s="239"/>
      <c r="BR44" s="240"/>
      <c r="BS44" s="190"/>
      <c r="BT44" s="240"/>
      <c r="BX44" s="190"/>
      <c r="BY44" s="190"/>
      <c r="BZ44" s="149"/>
      <c r="CA44" s="149"/>
      <c r="CB44" s="149"/>
      <c r="CC44" s="149"/>
    </row>
    <row r="45" spans="1:81" ht="13.8" thickBot="1">
      <c r="A45" s="261" t="s">
        <v>240</v>
      </c>
      <c r="B45" s="278">
        <f>'Design Converter'!L25</f>
        <v>935</v>
      </c>
      <c r="C45" s="250" t="s">
        <v>15</v>
      </c>
      <c r="D45" s="280">
        <f>B45/1000000000000</f>
        <v>9.3499999999999998E-10</v>
      </c>
      <c r="E45" s="148" t="s">
        <v>326</v>
      </c>
      <c r="H45" s="147">
        <v>39</v>
      </c>
      <c r="I45" s="389">
        <f t="shared" si="2"/>
        <v>1.56</v>
      </c>
      <c r="J45" s="188"/>
      <c r="K45" s="188"/>
      <c r="L45" s="188"/>
      <c r="M45" s="188"/>
      <c r="N45" s="236"/>
      <c r="O45" s="149"/>
      <c r="P45" s="188"/>
      <c r="Q45" s="379"/>
      <c r="S45" s="237"/>
      <c r="T45" s="237"/>
      <c r="U45" s="237"/>
      <c r="AJ45" s="379"/>
      <c r="AZ45" s="238"/>
      <c r="BJ45" s="190"/>
      <c r="BK45" s="190"/>
      <c r="BL45" s="190"/>
      <c r="BO45" s="149"/>
      <c r="BP45" s="190"/>
      <c r="BQ45" s="239"/>
      <c r="BR45" s="240"/>
      <c r="BS45" s="190"/>
      <c r="BT45" s="240"/>
      <c r="BX45" s="190"/>
      <c r="BY45" s="190"/>
      <c r="BZ45" s="149"/>
      <c r="CA45" s="149"/>
      <c r="CB45" s="149"/>
      <c r="CC45" s="149"/>
    </row>
    <row r="46" spans="1:81">
      <c r="A46" s="277" t="s">
        <v>325</v>
      </c>
      <c r="B46" s="278">
        <f>CHOOSE(MODE, 50, 100)</f>
        <v>100</v>
      </c>
      <c r="C46" s="250" t="s">
        <v>15</v>
      </c>
      <c r="D46" s="252">
        <f>B46/1000000000000</f>
        <v>1E-10</v>
      </c>
      <c r="E46" s="148" t="s">
        <v>472</v>
      </c>
      <c r="H46" s="147">
        <v>40</v>
      </c>
      <c r="I46" s="389">
        <f t="shared" si="2"/>
        <v>1.6</v>
      </c>
      <c r="J46" s="188"/>
      <c r="K46" s="188"/>
      <c r="L46" s="188"/>
      <c r="M46" s="188"/>
      <c r="N46" s="236"/>
      <c r="O46" s="149"/>
      <c r="P46" s="188"/>
      <c r="Q46" s="379"/>
      <c r="S46" s="237"/>
      <c r="T46" s="237"/>
      <c r="U46" s="237"/>
      <c r="AJ46" s="379"/>
      <c r="AZ46" s="238"/>
      <c r="BJ46" s="190"/>
      <c r="BK46" s="190"/>
      <c r="BL46" s="190"/>
      <c r="BO46" s="149"/>
      <c r="BP46" s="190"/>
      <c r="BQ46" s="239"/>
      <c r="BR46" s="240"/>
      <c r="BS46" s="190"/>
      <c r="BT46" s="240"/>
      <c r="BX46" s="190"/>
      <c r="BY46" s="190"/>
      <c r="BZ46" s="149"/>
      <c r="CA46" s="149"/>
      <c r="CB46" s="149"/>
      <c r="CC46" s="149"/>
    </row>
    <row r="47" spans="1:81" ht="13.8" thickBot="1">
      <c r="A47" s="270" t="s">
        <v>397</v>
      </c>
      <c r="B47" s="281"/>
      <c r="C47" s="270" t="s">
        <v>33</v>
      </c>
      <c r="D47" s="270" t="s">
        <v>90</v>
      </c>
      <c r="E47" s="282" t="s">
        <v>41</v>
      </c>
      <c r="H47" s="147">
        <v>41</v>
      </c>
      <c r="I47" s="389">
        <f t="shared" si="2"/>
        <v>1.64</v>
      </c>
      <c r="J47" s="188"/>
      <c r="K47" s="188"/>
      <c r="L47" s="188"/>
      <c r="M47" s="188"/>
      <c r="N47" s="236"/>
      <c r="O47" s="149"/>
      <c r="P47" s="188"/>
      <c r="Q47" s="379"/>
      <c r="S47" s="237"/>
      <c r="T47" s="237"/>
      <c r="U47" s="237"/>
      <c r="AJ47" s="379"/>
      <c r="AZ47" s="238"/>
      <c r="BJ47" s="190"/>
      <c r="BK47" s="190"/>
      <c r="BL47" s="190"/>
      <c r="BO47" s="149"/>
      <c r="BP47" s="190"/>
      <c r="BQ47" s="239"/>
      <c r="BR47" s="240"/>
      <c r="BS47" s="190"/>
      <c r="BT47" s="240"/>
      <c r="BX47" s="190"/>
      <c r="BY47" s="190"/>
      <c r="BZ47" s="149"/>
      <c r="CA47" s="149"/>
      <c r="CB47" s="149"/>
      <c r="CC47" s="149"/>
    </row>
    <row r="48" spans="1:81" ht="13.8" thickBot="1">
      <c r="A48" s="277" t="s">
        <v>644</v>
      </c>
      <c r="B48" s="278">
        <f>'Design Converter'!E80</f>
        <v>0.4</v>
      </c>
      <c r="C48" s="148" t="s">
        <v>0</v>
      </c>
      <c r="D48" s="148">
        <f>B48</f>
        <v>0.4</v>
      </c>
      <c r="E48" s="148" t="s">
        <v>643</v>
      </c>
      <c r="H48" s="147">
        <v>42</v>
      </c>
      <c r="I48" s="389">
        <f t="shared" si="2"/>
        <v>1.68</v>
      </c>
      <c r="J48" s="188"/>
      <c r="K48" s="188"/>
      <c r="L48" s="188"/>
      <c r="M48" s="188"/>
      <c r="N48" s="236"/>
      <c r="O48" s="149"/>
      <c r="P48" s="188"/>
      <c r="Q48" s="379"/>
      <c r="S48" s="237"/>
      <c r="T48" s="237"/>
      <c r="U48" s="237"/>
      <c r="AJ48" s="379"/>
      <c r="AZ48" s="238"/>
      <c r="BJ48" s="190"/>
      <c r="BK48" s="190"/>
      <c r="BL48" s="190"/>
      <c r="BO48" s="149"/>
      <c r="BP48" s="190"/>
      <c r="BQ48" s="239"/>
      <c r="BR48" s="240"/>
      <c r="BS48" s="190"/>
      <c r="BT48" s="240"/>
      <c r="BX48" s="190"/>
      <c r="BY48" s="190"/>
      <c r="BZ48" s="149"/>
      <c r="CA48" s="149"/>
      <c r="CB48" s="149"/>
      <c r="CC48" s="149"/>
    </row>
    <row r="49" spans="1:81" ht="13.8" thickBot="1">
      <c r="A49" s="277" t="s">
        <v>645</v>
      </c>
      <c r="B49" s="278">
        <f>'Design Converter'!E81</f>
        <v>0.7</v>
      </c>
      <c r="C49" s="148" t="s">
        <v>0</v>
      </c>
      <c r="D49" s="148">
        <f>B49</f>
        <v>0.7</v>
      </c>
      <c r="E49" s="148" t="s">
        <v>642</v>
      </c>
      <c r="H49" s="147">
        <v>43</v>
      </c>
      <c r="I49" s="389">
        <f t="shared" si="2"/>
        <v>1.72</v>
      </c>
      <c r="J49" s="188"/>
      <c r="K49" s="188"/>
      <c r="L49" s="188"/>
      <c r="M49" s="188"/>
      <c r="N49" s="236"/>
      <c r="O49" s="149"/>
      <c r="P49" s="188"/>
      <c r="Q49" s="379"/>
      <c r="S49" s="237"/>
      <c r="T49" s="237"/>
      <c r="U49" s="237"/>
      <c r="AJ49" s="379"/>
      <c r="AZ49" s="238"/>
      <c r="BJ49" s="190"/>
      <c r="BK49" s="190"/>
      <c r="BL49" s="190"/>
      <c r="BO49" s="149"/>
      <c r="BP49" s="190"/>
      <c r="BQ49" s="239"/>
      <c r="BR49" s="240"/>
      <c r="BS49" s="190"/>
      <c r="BT49" s="240"/>
      <c r="BX49" s="190"/>
      <c r="BY49" s="190"/>
      <c r="BZ49" s="149"/>
      <c r="CA49" s="149"/>
      <c r="CB49" s="149"/>
      <c r="CC49" s="149"/>
    </row>
    <row r="50" spans="1:81" ht="13.8" thickBot="1">
      <c r="A50" s="277" t="s">
        <v>268</v>
      </c>
      <c r="B50" s="278">
        <v>100</v>
      </c>
      <c r="C50" s="244" t="s">
        <v>258</v>
      </c>
      <c r="D50" s="148">
        <f>B50*0.001</f>
        <v>0.1</v>
      </c>
      <c r="E50" s="148" t="s">
        <v>269</v>
      </c>
      <c r="H50" s="147">
        <v>44</v>
      </c>
      <c r="I50" s="389">
        <f t="shared" si="2"/>
        <v>1.76</v>
      </c>
      <c r="J50" s="188"/>
      <c r="K50" s="188"/>
      <c r="L50" s="188"/>
      <c r="M50" s="188"/>
      <c r="N50" s="236"/>
      <c r="O50" s="149"/>
      <c r="P50" s="188"/>
      <c r="Q50" s="379"/>
      <c r="S50" s="237"/>
      <c r="T50" s="237"/>
      <c r="U50" s="237"/>
      <c r="AJ50" s="379"/>
      <c r="AZ50" s="238"/>
      <c r="BJ50" s="190"/>
      <c r="BK50" s="190"/>
      <c r="BL50" s="190"/>
      <c r="BO50" s="149"/>
      <c r="BP50" s="190"/>
      <c r="BQ50" s="239"/>
      <c r="BR50" s="240"/>
      <c r="BS50" s="190"/>
      <c r="BT50" s="240"/>
      <c r="BX50" s="190"/>
      <c r="BY50" s="190"/>
      <c r="BZ50" s="149"/>
      <c r="CA50" s="149"/>
      <c r="CB50" s="149"/>
      <c r="CC50" s="149"/>
    </row>
    <row r="51" spans="1:81" ht="13.8" thickBot="1">
      <c r="A51" s="261" t="s">
        <v>400</v>
      </c>
      <c r="B51" s="278">
        <v>2</v>
      </c>
      <c r="C51" s="250" t="s">
        <v>31</v>
      </c>
      <c r="D51" s="252">
        <f>B51*0.000000001</f>
        <v>2.0000000000000001E-9</v>
      </c>
      <c r="E51" s="148" t="s">
        <v>270</v>
      </c>
      <c r="H51" s="147">
        <v>45</v>
      </c>
      <c r="I51" s="389">
        <f t="shared" si="2"/>
        <v>1.8</v>
      </c>
      <c r="J51" s="188"/>
      <c r="K51" s="188"/>
      <c r="L51" s="188"/>
      <c r="M51" s="188"/>
      <c r="N51" s="236"/>
      <c r="O51" s="149"/>
      <c r="P51" s="188"/>
      <c r="Q51" s="379"/>
      <c r="S51" s="237"/>
      <c r="T51" s="237"/>
      <c r="U51" s="237"/>
      <c r="AJ51" s="379"/>
      <c r="AZ51" s="238"/>
      <c r="BJ51" s="190"/>
      <c r="BK51" s="190"/>
      <c r="BL51" s="190"/>
      <c r="BO51" s="149"/>
      <c r="BP51" s="190"/>
      <c r="BQ51" s="239"/>
      <c r="BR51" s="240"/>
      <c r="BS51" s="190"/>
      <c r="BT51" s="240"/>
      <c r="BX51" s="190"/>
      <c r="BY51" s="190"/>
      <c r="BZ51" s="149"/>
      <c r="CA51" s="149"/>
      <c r="CB51" s="149"/>
      <c r="CC51" s="149"/>
    </row>
    <row r="52" spans="1:81" ht="13.8" thickBot="1">
      <c r="A52" s="261" t="s">
        <v>401</v>
      </c>
      <c r="B52" s="278">
        <v>10</v>
      </c>
      <c r="C52" s="250" t="s">
        <v>32</v>
      </c>
      <c r="D52" s="252">
        <f>B52*0.000000001</f>
        <v>1E-8</v>
      </c>
      <c r="E52" s="148" t="s">
        <v>271</v>
      </c>
      <c r="H52" s="147">
        <v>46</v>
      </c>
      <c r="I52" s="389">
        <f t="shared" si="2"/>
        <v>1.84</v>
      </c>
      <c r="J52" s="188"/>
      <c r="K52" s="188"/>
      <c r="L52" s="188"/>
      <c r="M52" s="188"/>
      <c r="N52" s="236"/>
      <c r="O52" s="149"/>
      <c r="P52" s="188"/>
      <c r="Q52" s="379"/>
      <c r="S52" s="237"/>
      <c r="T52" s="237"/>
      <c r="U52" s="237"/>
      <c r="AJ52" s="379"/>
      <c r="AZ52" s="238"/>
      <c r="BJ52" s="190"/>
      <c r="BK52" s="190"/>
      <c r="BL52" s="190"/>
      <c r="BO52" s="149"/>
      <c r="BP52" s="190"/>
      <c r="BQ52" s="239"/>
      <c r="BR52" s="240"/>
      <c r="BS52" s="190"/>
      <c r="BT52" s="240"/>
      <c r="BX52" s="190"/>
      <c r="BY52" s="190"/>
      <c r="BZ52" s="149"/>
      <c r="CA52" s="149"/>
      <c r="CB52" s="149"/>
      <c r="CC52" s="149"/>
    </row>
    <row r="53" spans="1:81">
      <c r="A53" s="277" t="s">
        <v>488</v>
      </c>
      <c r="B53" s="278">
        <v>0</v>
      </c>
      <c r="C53" s="148" t="s">
        <v>272</v>
      </c>
      <c r="D53" s="252">
        <f>B53/1000000</f>
        <v>0</v>
      </c>
      <c r="E53" s="148" t="s">
        <v>273</v>
      </c>
      <c r="H53" s="147">
        <v>47</v>
      </c>
      <c r="I53" s="389">
        <f t="shared" si="2"/>
        <v>1.88</v>
      </c>
      <c r="J53" s="188"/>
      <c r="K53" s="188"/>
      <c r="L53" s="188"/>
      <c r="M53" s="188"/>
      <c r="N53" s="236"/>
      <c r="O53" s="149"/>
      <c r="P53" s="188"/>
      <c r="Q53" s="379"/>
      <c r="S53" s="237"/>
      <c r="T53" s="237"/>
      <c r="U53" s="237"/>
      <c r="AJ53" s="379"/>
      <c r="AZ53" s="238"/>
      <c r="BJ53" s="190"/>
      <c r="BK53" s="190"/>
      <c r="BL53" s="190"/>
      <c r="BO53" s="149"/>
      <c r="BP53" s="190"/>
      <c r="BQ53" s="239"/>
      <c r="BR53" s="240"/>
      <c r="BS53" s="190"/>
      <c r="BT53" s="240"/>
      <c r="BX53" s="190"/>
      <c r="BY53" s="190"/>
      <c r="BZ53" s="149"/>
      <c r="CA53" s="149"/>
      <c r="CB53" s="149"/>
      <c r="CC53" s="149"/>
    </row>
    <row r="54" spans="1:81">
      <c r="A54" s="147" t="s">
        <v>672</v>
      </c>
      <c r="B54" s="172">
        <f>'Design Converter'!E82</f>
        <v>52.8</v>
      </c>
      <c r="C54" s="543" t="s">
        <v>84</v>
      </c>
      <c r="D54" s="172">
        <f>B54</f>
        <v>52.8</v>
      </c>
      <c r="E54" s="147" t="s">
        <v>671</v>
      </c>
      <c r="H54" s="147">
        <v>48</v>
      </c>
      <c r="I54" s="389">
        <f t="shared" si="2"/>
        <v>1.92</v>
      </c>
      <c r="J54" s="188"/>
      <c r="K54" s="188"/>
      <c r="L54" s="188"/>
      <c r="M54" s="188"/>
      <c r="N54" s="236"/>
      <c r="O54" s="149"/>
      <c r="P54" s="188"/>
      <c r="Q54" s="379"/>
      <c r="S54" s="237"/>
      <c r="T54" s="237"/>
      <c r="U54" s="237"/>
      <c r="AJ54" s="379"/>
      <c r="AZ54" s="238"/>
      <c r="BJ54" s="190"/>
      <c r="BK54" s="190"/>
      <c r="BL54" s="190"/>
      <c r="BO54" s="149"/>
      <c r="BP54" s="190"/>
      <c r="BQ54" s="239"/>
      <c r="BR54" s="240"/>
      <c r="BS54" s="190"/>
      <c r="BT54" s="240"/>
      <c r="BX54" s="190"/>
      <c r="BY54" s="190"/>
      <c r="BZ54" s="149"/>
      <c r="CA54" s="149"/>
      <c r="CB54" s="149"/>
      <c r="CC54" s="149"/>
    </row>
    <row r="55" spans="1:81">
      <c r="H55" s="147">
        <v>49</v>
      </c>
      <c r="I55" s="389">
        <f t="shared" si="2"/>
        <v>1.96</v>
      </c>
      <c r="J55" s="188"/>
      <c r="K55" s="188"/>
      <c r="L55" s="188"/>
      <c r="M55" s="188"/>
      <c r="N55" s="236"/>
      <c r="O55" s="149"/>
      <c r="P55" s="188"/>
      <c r="Q55" s="379"/>
      <c r="S55" s="237"/>
      <c r="T55" s="237"/>
      <c r="U55" s="237"/>
      <c r="AJ55" s="379"/>
      <c r="AZ55" s="238"/>
      <c r="BJ55" s="190"/>
      <c r="BK55" s="190"/>
      <c r="BL55" s="190"/>
      <c r="BO55" s="149"/>
      <c r="BP55" s="190"/>
      <c r="BQ55" s="239"/>
      <c r="BR55" s="240"/>
      <c r="BS55" s="190"/>
      <c r="BT55" s="240"/>
      <c r="BX55" s="190"/>
      <c r="BY55" s="190"/>
      <c r="BZ55" s="149"/>
      <c r="CA55" s="149"/>
      <c r="CB55" s="149"/>
      <c r="CC55" s="149"/>
    </row>
    <row r="56" spans="1:81">
      <c r="H56" s="147">
        <v>50</v>
      </c>
      <c r="I56" s="389">
        <f t="shared" si="2"/>
        <v>2</v>
      </c>
      <c r="J56" s="188"/>
      <c r="K56" s="188"/>
      <c r="L56" s="188"/>
      <c r="M56" s="188"/>
      <c r="N56" s="236"/>
      <c r="O56" s="149"/>
      <c r="P56" s="188"/>
      <c r="Q56" s="379"/>
      <c r="S56" s="237"/>
      <c r="T56" s="237"/>
      <c r="U56" s="237"/>
      <c r="AJ56" s="379"/>
      <c r="AZ56" s="238"/>
      <c r="BJ56" s="190"/>
      <c r="BK56" s="190"/>
      <c r="BL56" s="190"/>
      <c r="BO56" s="149"/>
      <c r="BP56" s="190"/>
      <c r="BQ56" s="239"/>
      <c r="BR56" s="240"/>
      <c r="BS56" s="190"/>
      <c r="BT56" s="240"/>
      <c r="BX56" s="190"/>
      <c r="BY56" s="190"/>
      <c r="BZ56" s="149"/>
      <c r="CA56" s="149"/>
      <c r="CB56" s="149"/>
      <c r="CC56" s="149"/>
    </row>
    <row r="57" spans="1:81">
      <c r="H57" s="147">
        <v>51</v>
      </c>
      <c r="I57" s="389">
        <f t="shared" si="2"/>
        <v>2.04</v>
      </c>
      <c r="J57" s="188"/>
      <c r="K57" s="188"/>
      <c r="L57" s="188"/>
      <c r="M57" s="188"/>
      <c r="N57" s="236"/>
      <c r="O57" s="149"/>
      <c r="P57" s="188"/>
      <c r="Q57" s="379"/>
      <c r="S57" s="237"/>
      <c r="T57" s="237"/>
      <c r="U57" s="237"/>
      <c r="AJ57" s="379"/>
      <c r="AZ57" s="238"/>
      <c r="BJ57" s="190"/>
      <c r="BK57" s="190"/>
      <c r="BL57" s="190"/>
      <c r="BO57" s="149"/>
      <c r="BP57" s="190"/>
      <c r="BQ57" s="239"/>
      <c r="BR57" s="240"/>
      <c r="BS57" s="190"/>
      <c r="BT57" s="240"/>
      <c r="BX57" s="190"/>
      <c r="BY57" s="190"/>
      <c r="BZ57" s="149"/>
      <c r="CA57" s="149"/>
      <c r="CB57" s="149"/>
      <c r="CC57" s="149"/>
    </row>
    <row r="58" spans="1:81">
      <c r="H58" s="147">
        <v>52</v>
      </c>
      <c r="I58" s="389">
        <f t="shared" si="2"/>
        <v>2.08</v>
      </c>
      <c r="J58" s="188"/>
      <c r="K58" s="188"/>
      <c r="L58" s="188"/>
      <c r="M58" s="188"/>
      <c r="N58" s="236"/>
      <c r="O58" s="149"/>
      <c r="P58" s="188"/>
      <c r="Q58" s="379"/>
      <c r="S58" s="237"/>
      <c r="T58" s="237"/>
      <c r="U58" s="237"/>
      <c r="AJ58" s="379"/>
      <c r="AZ58" s="238"/>
      <c r="BJ58" s="190"/>
      <c r="BK58" s="190"/>
      <c r="BL58" s="190"/>
      <c r="BO58" s="149"/>
      <c r="BP58" s="190"/>
      <c r="BQ58" s="239"/>
      <c r="BR58" s="240"/>
      <c r="BS58" s="190"/>
      <c r="BT58" s="240"/>
      <c r="BX58" s="190"/>
      <c r="BY58" s="190"/>
      <c r="BZ58" s="149"/>
      <c r="CA58" s="149"/>
      <c r="CB58" s="149"/>
      <c r="CC58" s="149"/>
    </row>
    <row r="59" spans="1:81">
      <c r="H59" s="147">
        <v>53</v>
      </c>
      <c r="I59" s="389">
        <f t="shared" si="2"/>
        <v>2.12</v>
      </c>
      <c r="J59" s="188"/>
      <c r="K59" s="188"/>
      <c r="L59" s="188"/>
      <c r="M59" s="188"/>
      <c r="N59" s="236"/>
      <c r="O59" s="149"/>
      <c r="P59" s="188"/>
      <c r="Q59" s="379"/>
      <c r="S59" s="237"/>
      <c r="T59" s="237"/>
      <c r="U59" s="237"/>
      <c r="AJ59" s="379"/>
      <c r="AZ59" s="238"/>
      <c r="BJ59" s="190"/>
      <c r="BK59" s="190"/>
      <c r="BL59" s="190"/>
      <c r="BO59" s="149"/>
      <c r="BP59" s="190"/>
      <c r="BQ59" s="239"/>
      <c r="BR59" s="240"/>
      <c r="BS59" s="190"/>
      <c r="BT59" s="240"/>
      <c r="BX59" s="190"/>
      <c r="BY59" s="190"/>
      <c r="BZ59" s="149"/>
      <c r="CA59" s="149"/>
      <c r="CB59" s="149"/>
      <c r="CC59" s="149"/>
    </row>
    <row r="60" spans="1:81">
      <c r="H60" s="147">
        <v>54</v>
      </c>
      <c r="I60" s="389">
        <f t="shared" si="2"/>
        <v>2.16</v>
      </c>
      <c r="J60" s="188"/>
      <c r="K60" s="188"/>
      <c r="L60" s="188"/>
      <c r="M60" s="188"/>
      <c r="N60" s="236"/>
      <c r="O60" s="149"/>
      <c r="P60" s="188"/>
      <c r="Q60" s="379"/>
      <c r="S60" s="237"/>
      <c r="T60" s="237"/>
      <c r="U60" s="237"/>
      <c r="AJ60" s="379"/>
      <c r="AZ60" s="238"/>
      <c r="BJ60" s="190"/>
      <c r="BK60" s="190"/>
      <c r="BL60" s="190"/>
      <c r="BO60" s="149"/>
      <c r="BP60" s="190"/>
      <c r="BQ60" s="239"/>
      <c r="BR60" s="240"/>
      <c r="BS60" s="190"/>
      <c r="BT60" s="240"/>
      <c r="BX60" s="190"/>
      <c r="BY60" s="190"/>
      <c r="BZ60" s="149"/>
      <c r="CA60" s="149"/>
      <c r="CB60" s="149"/>
      <c r="CC60" s="149"/>
    </row>
    <row r="61" spans="1:81">
      <c r="H61" s="147">
        <v>55</v>
      </c>
      <c r="I61" s="389">
        <f t="shared" si="2"/>
        <v>2.2000000000000002</v>
      </c>
      <c r="J61" s="188"/>
      <c r="K61" s="188"/>
      <c r="L61" s="188"/>
      <c r="M61" s="188"/>
      <c r="N61" s="236"/>
      <c r="O61" s="149"/>
      <c r="P61" s="188"/>
      <c r="Q61" s="379"/>
      <c r="S61" s="237"/>
      <c r="T61" s="237"/>
      <c r="U61" s="237"/>
      <c r="AJ61" s="379"/>
      <c r="AZ61" s="238"/>
      <c r="BJ61" s="190"/>
      <c r="BK61" s="190"/>
      <c r="BL61" s="190"/>
      <c r="BO61" s="149"/>
      <c r="BP61" s="190"/>
      <c r="BQ61" s="239"/>
      <c r="BR61" s="240"/>
      <c r="BS61" s="190"/>
      <c r="BT61" s="240"/>
      <c r="BX61" s="190"/>
      <c r="BY61" s="190"/>
      <c r="BZ61" s="149"/>
      <c r="CA61" s="149"/>
      <c r="CB61" s="149"/>
      <c r="CC61" s="149"/>
    </row>
    <row r="62" spans="1:81">
      <c r="H62" s="147">
        <v>56</v>
      </c>
      <c r="I62" s="389">
        <f t="shared" si="2"/>
        <v>2.2400000000000002</v>
      </c>
      <c r="J62" s="188"/>
      <c r="K62" s="188"/>
      <c r="L62" s="188"/>
      <c r="M62" s="188"/>
      <c r="N62" s="236"/>
      <c r="O62" s="149"/>
      <c r="P62" s="188"/>
      <c r="Q62" s="379"/>
      <c r="S62" s="237"/>
      <c r="T62" s="237"/>
      <c r="U62" s="237"/>
      <c r="AJ62" s="379"/>
      <c r="AZ62" s="238"/>
      <c r="BJ62" s="190"/>
      <c r="BK62" s="190"/>
      <c r="BL62" s="190"/>
      <c r="BO62" s="149"/>
      <c r="BP62" s="190"/>
      <c r="BQ62" s="239"/>
      <c r="BR62" s="240"/>
      <c r="BS62" s="190"/>
      <c r="BT62" s="240"/>
      <c r="BX62" s="190"/>
      <c r="BY62" s="190"/>
      <c r="BZ62" s="149"/>
      <c r="CA62" s="149"/>
      <c r="CB62" s="149"/>
      <c r="CC62" s="149"/>
    </row>
    <row r="63" spans="1:81">
      <c r="F63" s="260" t="s">
        <v>274</v>
      </c>
      <c r="G63" s="260" t="s">
        <v>275</v>
      </c>
      <c r="H63" s="147">
        <v>57</v>
      </c>
      <c r="I63" s="389">
        <f t="shared" si="2"/>
        <v>2.2799999999999998</v>
      </c>
      <c r="J63" s="188"/>
      <c r="K63" s="188"/>
      <c r="L63" s="188"/>
      <c r="M63" s="188"/>
      <c r="N63" s="236"/>
      <c r="O63" s="149"/>
      <c r="P63" s="188"/>
      <c r="Q63" s="379"/>
      <c r="S63" s="237"/>
      <c r="T63" s="237"/>
      <c r="U63" s="237"/>
      <c r="AJ63" s="379"/>
      <c r="AZ63" s="238"/>
      <c r="BJ63" s="190"/>
      <c r="BK63" s="190"/>
      <c r="BL63" s="190"/>
      <c r="BO63" s="149"/>
      <c r="BP63" s="190"/>
      <c r="BQ63" s="239"/>
      <c r="BR63" s="240"/>
      <c r="BS63" s="190"/>
      <c r="BT63" s="240"/>
      <c r="BX63" s="190"/>
      <c r="BY63" s="190"/>
      <c r="BZ63" s="149"/>
      <c r="CA63" s="149"/>
      <c r="CB63" s="149"/>
      <c r="CC63" s="149"/>
    </row>
    <row r="64" spans="1:81">
      <c r="F64" s="283">
        <f>BM56</f>
        <v>0</v>
      </c>
      <c r="G64" s="284">
        <f>I56*1000</f>
        <v>2000</v>
      </c>
      <c r="H64" s="147">
        <v>58</v>
      </c>
      <c r="I64" s="389">
        <f t="shared" si="2"/>
        <v>2.3199999999999998</v>
      </c>
      <c r="J64" s="188"/>
      <c r="K64" s="188"/>
      <c r="L64" s="188"/>
      <c r="M64" s="188"/>
      <c r="N64" s="236"/>
      <c r="O64" s="149"/>
      <c r="P64" s="188"/>
      <c r="Q64" s="379"/>
      <c r="S64" s="237"/>
      <c r="T64" s="237"/>
      <c r="U64" s="237"/>
      <c r="AJ64" s="379"/>
      <c r="AZ64" s="238"/>
      <c r="BJ64" s="190"/>
      <c r="BK64" s="190"/>
      <c r="BL64" s="190"/>
      <c r="BO64" s="149"/>
      <c r="BP64" s="190"/>
      <c r="BQ64" s="239"/>
      <c r="BR64" s="240"/>
      <c r="BS64" s="190"/>
      <c r="BT64" s="240"/>
      <c r="BX64" s="190"/>
      <c r="BY64" s="190"/>
      <c r="BZ64" s="149"/>
      <c r="CA64" s="149"/>
      <c r="CB64" s="149"/>
      <c r="CC64" s="149"/>
    </row>
    <row r="65" spans="6:81">
      <c r="F65" s="283">
        <f>BM81</f>
        <v>0</v>
      </c>
      <c r="G65" s="284">
        <f>I81*1000</f>
        <v>3000</v>
      </c>
      <c r="H65" s="147">
        <v>59</v>
      </c>
      <c r="I65" s="389">
        <f t="shared" si="2"/>
        <v>2.36</v>
      </c>
      <c r="J65" s="188"/>
      <c r="K65" s="188"/>
      <c r="L65" s="188"/>
      <c r="M65" s="188"/>
      <c r="N65" s="236"/>
      <c r="O65" s="149"/>
      <c r="P65" s="188"/>
      <c r="Q65" s="379"/>
      <c r="S65" s="237"/>
      <c r="T65" s="237"/>
      <c r="U65" s="237"/>
      <c r="AJ65" s="379"/>
      <c r="AZ65" s="238"/>
      <c r="BJ65" s="190"/>
      <c r="BK65" s="190"/>
      <c r="BL65" s="190"/>
      <c r="BO65" s="149"/>
      <c r="BP65" s="190"/>
      <c r="BQ65" s="239"/>
      <c r="BR65" s="240"/>
      <c r="BS65" s="190"/>
      <c r="BT65" s="240"/>
      <c r="BX65" s="190"/>
      <c r="BY65" s="190"/>
      <c r="BZ65" s="149"/>
      <c r="CA65" s="149"/>
      <c r="CB65" s="149"/>
      <c r="CC65" s="149"/>
    </row>
    <row r="66" spans="6:81">
      <c r="F66" s="283">
        <f>BM106</f>
        <v>100</v>
      </c>
      <c r="G66" s="284">
        <f>I106*1000</f>
        <v>4000</v>
      </c>
      <c r="H66" s="147">
        <v>60</v>
      </c>
      <c r="I66" s="389">
        <f t="shared" si="2"/>
        <v>2.4</v>
      </c>
      <c r="J66" s="188"/>
      <c r="K66" s="188"/>
      <c r="L66" s="188"/>
      <c r="M66" s="188"/>
      <c r="N66" s="236"/>
      <c r="O66" s="149"/>
      <c r="P66" s="188"/>
      <c r="Q66" s="379"/>
      <c r="S66" s="237"/>
      <c r="T66" s="237"/>
      <c r="U66" s="237"/>
      <c r="AJ66" s="379"/>
      <c r="AZ66" s="238"/>
      <c r="BJ66" s="190"/>
      <c r="BK66" s="190"/>
      <c r="BL66" s="190"/>
      <c r="BO66" s="149"/>
      <c r="BP66" s="190"/>
      <c r="BQ66" s="239"/>
      <c r="BR66" s="240"/>
      <c r="BS66" s="190"/>
      <c r="BT66" s="240"/>
      <c r="BX66" s="190"/>
      <c r="BY66" s="190"/>
      <c r="BZ66" s="149"/>
      <c r="CA66" s="149"/>
      <c r="CB66" s="149"/>
      <c r="CC66" s="149"/>
    </row>
    <row r="67" spans="6:81">
      <c r="H67" s="147">
        <v>61</v>
      </c>
      <c r="I67" s="389">
        <f t="shared" si="2"/>
        <v>2.44</v>
      </c>
      <c r="J67" s="188"/>
      <c r="K67" s="188"/>
      <c r="L67" s="188"/>
      <c r="M67" s="188"/>
      <c r="N67" s="236"/>
      <c r="O67" s="149"/>
      <c r="P67" s="188"/>
      <c r="Q67" s="379"/>
      <c r="S67" s="237"/>
      <c r="T67" s="237"/>
      <c r="U67" s="237"/>
      <c r="AJ67" s="379"/>
      <c r="AZ67" s="238"/>
      <c r="BJ67" s="190"/>
      <c r="BK67" s="190"/>
      <c r="BL67" s="190"/>
      <c r="BO67" s="149"/>
      <c r="BP67" s="190"/>
      <c r="BQ67" s="239"/>
      <c r="BR67" s="240"/>
      <c r="BS67" s="190"/>
      <c r="BT67" s="240"/>
      <c r="BX67" s="190"/>
      <c r="BY67" s="190"/>
      <c r="BZ67" s="149"/>
      <c r="CA67" s="149"/>
      <c r="CB67" s="149"/>
      <c r="CC67" s="149"/>
    </row>
    <row r="68" spans="6:81">
      <c r="H68" s="147">
        <v>62</v>
      </c>
      <c r="I68" s="389">
        <f t="shared" si="2"/>
        <v>2.48</v>
      </c>
      <c r="J68" s="188"/>
      <c r="K68" s="188"/>
      <c r="L68" s="188"/>
      <c r="M68" s="188"/>
      <c r="N68" s="236"/>
      <c r="O68" s="149"/>
      <c r="P68" s="188"/>
      <c r="Q68" s="379"/>
      <c r="S68" s="237"/>
      <c r="T68" s="237"/>
      <c r="U68" s="237"/>
      <c r="AJ68" s="379"/>
      <c r="AZ68" s="238"/>
      <c r="BJ68" s="190"/>
      <c r="BK68" s="190"/>
      <c r="BL68" s="190"/>
      <c r="BO68" s="149"/>
      <c r="BP68" s="190"/>
      <c r="BQ68" s="239"/>
      <c r="BR68" s="240"/>
      <c r="BS68" s="190"/>
      <c r="BT68" s="240"/>
      <c r="BX68" s="190"/>
      <c r="BY68" s="190"/>
      <c r="BZ68" s="149"/>
      <c r="CA68" s="149"/>
      <c r="CB68" s="149"/>
      <c r="CC68" s="149"/>
    </row>
    <row r="69" spans="6:81">
      <c r="H69" s="147">
        <v>63</v>
      </c>
      <c r="I69" s="389">
        <f t="shared" si="2"/>
        <v>2.52</v>
      </c>
      <c r="J69" s="188"/>
      <c r="K69" s="188"/>
      <c r="L69" s="188"/>
      <c r="M69" s="188"/>
      <c r="N69" s="236"/>
      <c r="O69" s="149"/>
      <c r="P69" s="188"/>
      <c r="Q69" s="379"/>
      <c r="S69" s="237"/>
      <c r="T69" s="237"/>
      <c r="U69" s="237"/>
      <c r="AJ69" s="379"/>
      <c r="AZ69" s="238"/>
      <c r="BJ69" s="190"/>
      <c r="BK69" s="190"/>
      <c r="BL69" s="190"/>
      <c r="BO69" s="149"/>
      <c r="BP69" s="190"/>
      <c r="BQ69" s="239"/>
      <c r="BR69" s="240"/>
      <c r="BS69" s="190"/>
      <c r="BT69" s="240"/>
      <c r="BX69" s="190"/>
      <c r="BY69" s="190"/>
      <c r="BZ69" s="149"/>
      <c r="CA69" s="149"/>
      <c r="CB69" s="149"/>
      <c r="CC69" s="149"/>
    </row>
    <row r="70" spans="6:81">
      <c r="H70" s="147">
        <v>64</v>
      </c>
      <c r="I70" s="389">
        <f t="shared" ref="I70:I101" si="3">IF(PLOT_TYPE=1, H70/100*Iout_max, min_I*EXP(H70*rr/100))</f>
        <v>2.56</v>
      </c>
      <c r="J70" s="188"/>
      <c r="K70" s="188"/>
      <c r="L70" s="188"/>
      <c r="M70" s="188"/>
      <c r="N70" s="236"/>
      <c r="O70" s="149"/>
      <c r="P70" s="188"/>
      <c r="Q70" s="379"/>
      <c r="S70" s="237"/>
      <c r="T70" s="237"/>
      <c r="U70" s="237"/>
      <c r="AJ70" s="379"/>
      <c r="AZ70" s="238"/>
      <c r="BJ70" s="190"/>
      <c r="BK70" s="190"/>
      <c r="BL70" s="190"/>
      <c r="BO70" s="149"/>
      <c r="BP70" s="190"/>
      <c r="BQ70" s="239"/>
      <c r="BR70" s="240"/>
      <c r="BS70" s="190"/>
      <c r="BT70" s="240"/>
      <c r="BX70" s="190"/>
      <c r="BY70" s="190"/>
      <c r="BZ70" s="149"/>
      <c r="CA70" s="149"/>
      <c r="CB70" s="149"/>
      <c r="CC70" s="149"/>
    </row>
    <row r="71" spans="6:81">
      <c r="H71" s="147">
        <v>65</v>
      </c>
      <c r="I71" s="389">
        <f t="shared" si="3"/>
        <v>2.6</v>
      </c>
      <c r="J71" s="188"/>
      <c r="K71" s="188"/>
      <c r="L71" s="188"/>
      <c r="M71" s="188"/>
      <c r="N71" s="236"/>
      <c r="O71" s="149"/>
      <c r="P71" s="188"/>
      <c r="Q71" s="379"/>
      <c r="S71" s="237"/>
      <c r="T71" s="237"/>
      <c r="U71" s="237"/>
      <c r="AJ71" s="379"/>
      <c r="AZ71" s="238"/>
      <c r="BJ71" s="190"/>
      <c r="BK71" s="190"/>
      <c r="BL71" s="190"/>
      <c r="BO71" s="149"/>
      <c r="BP71" s="190"/>
      <c r="BQ71" s="239"/>
      <c r="BR71" s="240"/>
      <c r="BS71" s="190"/>
      <c r="BT71" s="240"/>
      <c r="BX71" s="190"/>
      <c r="BY71" s="190"/>
      <c r="BZ71" s="149"/>
      <c r="CA71" s="149"/>
      <c r="CB71" s="149"/>
      <c r="CC71" s="149"/>
    </row>
    <row r="72" spans="6:81">
      <c r="H72" s="147">
        <v>66</v>
      </c>
      <c r="I72" s="389">
        <f t="shared" si="3"/>
        <v>2.64</v>
      </c>
      <c r="J72" s="188"/>
      <c r="K72" s="188"/>
      <c r="L72" s="188"/>
      <c r="M72" s="188"/>
      <c r="N72" s="236"/>
      <c r="O72" s="149"/>
      <c r="P72" s="188"/>
      <c r="Q72" s="379"/>
      <c r="S72" s="237"/>
      <c r="T72" s="237"/>
      <c r="U72" s="237"/>
      <c r="AJ72" s="379"/>
      <c r="AZ72" s="238"/>
      <c r="BJ72" s="190"/>
      <c r="BK72" s="190"/>
      <c r="BL72" s="190"/>
      <c r="BO72" s="149"/>
      <c r="BP72" s="190"/>
      <c r="BQ72" s="239"/>
      <c r="BR72" s="240"/>
      <c r="BS72" s="190"/>
      <c r="BT72" s="240"/>
      <c r="BX72" s="190"/>
      <c r="BY72" s="190"/>
      <c r="BZ72" s="149"/>
      <c r="CA72" s="149"/>
      <c r="CB72" s="149"/>
      <c r="CC72" s="149"/>
    </row>
    <row r="73" spans="6:81">
      <c r="H73" s="147">
        <v>67</v>
      </c>
      <c r="I73" s="389">
        <f t="shared" si="3"/>
        <v>2.68</v>
      </c>
      <c r="J73" s="188"/>
      <c r="K73" s="188"/>
      <c r="L73" s="188"/>
      <c r="M73" s="188"/>
      <c r="N73" s="236"/>
      <c r="O73" s="149"/>
      <c r="P73" s="188"/>
      <c r="Q73" s="379"/>
      <c r="S73" s="237"/>
      <c r="T73" s="237"/>
      <c r="U73" s="237"/>
      <c r="AJ73" s="379"/>
      <c r="AZ73" s="238"/>
      <c r="BJ73" s="190"/>
      <c r="BK73" s="190"/>
      <c r="BL73" s="190"/>
      <c r="BO73" s="149"/>
      <c r="BP73" s="190"/>
      <c r="BQ73" s="239"/>
      <c r="BR73" s="240"/>
      <c r="BS73" s="190"/>
      <c r="BT73" s="240"/>
      <c r="BX73" s="190"/>
      <c r="BY73" s="190"/>
      <c r="BZ73" s="149"/>
      <c r="CA73" s="149"/>
      <c r="CB73" s="149"/>
      <c r="CC73" s="149"/>
    </row>
    <row r="74" spans="6:81">
      <c r="H74" s="147">
        <v>68</v>
      </c>
      <c r="I74" s="389">
        <f t="shared" si="3"/>
        <v>2.72</v>
      </c>
      <c r="J74" s="188"/>
      <c r="K74" s="188"/>
      <c r="L74" s="188"/>
      <c r="M74" s="188"/>
      <c r="N74" s="236"/>
      <c r="O74" s="149"/>
      <c r="P74" s="188"/>
      <c r="Q74" s="379"/>
      <c r="S74" s="237"/>
      <c r="T74" s="237"/>
      <c r="U74" s="237"/>
      <c r="AJ74" s="379"/>
      <c r="AZ74" s="238"/>
      <c r="BJ74" s="190"/>
      <c r="BK74" s="190"/>
      <c r="BL74" s="190"/>
      <c r="BO74" s="149"/>
      <c r="BP74" s="190"/>
      <c r="BQ74" s="239"/>
      <c r="BR74" s="240"/>
      <c r="BS74" s="190"/>
      <c r="BT74" s="240"/>
      <c r="BX74" s="190"/>
      <c r="BY74" s="190"/>
      <c r="BZ74" s="149"/>
      <c r="CA74" s="149"/>
      <c r="CB74" s="149"/>
      <c r="CC74" s="149"/>
    </row>
    <row r="75" spans="6:81">
      <c r="H75" s="147">
        <v>69</v>
      </c>
      <c r="I75" s="389">
        <f t="shared" si="3"/>
        <v>2.76</v>
      </c>
      <c r="J75" s="188"/>
      <c r="K75" s="188"/>
      <c r="L75" s="188"/>
      <c r="M75" s="188"/>
      <c r="N75" s="236"/>
      <c r="O75" s="149"/>
      <c r="P75" s="188"/>
      <c r="Q75" s="379"/>
      <c r="S75" s="237"/>
      <c r="T75" s="237"/>
      <c r="U75" s="237"/>
      <c r="AJ75" s="379"/>
      <c r="AZ75" s="238"/>
      <c r="BJ75" s="190"/>
      <c r="BK75" s="190"/>
      <c r="BL75" s="190"/>
      <c r="BO75" s="149"/>
      <c r="BP75" s="190"/>
      <c r="BQ75" s="239"/>
      <c r="BR75" s="240"/>
      <c r="BS75" s="190"/>
      <c r="BT75" s="240"/>
      <c r="BX75" s="190"/>
      <c r="BY75" s="190"/>
      <c r="BZ75" s="149"/>
      <c r="CA75" s="149"/>
      <c r="CB75" s="149"/>
      <c r="CC75" s="149"/>
    </row>
    <row r="76" spans="6:81">
      <c r="H76" s="147">
        <v>70</v>
      </c>
      <c r="I76" s="389">
        <f t="shared" si="3"/>
        <v>2.8</v>
      </c>
      <c r="J76" s="188"/>
      <c r="K76" s="188"/>
      <c r="L76" s="188"/>
      <c r="M76" s="188"/>
      <c r="N76" s="236"/>
      <c r="O76" s="149"/>
      <c r="P76" s="188"/>
      <c r="Q76" s="379"/>
      <c r="S76" s="237"/>
      <c r="T76" s="237"/>
      <c r="U76" s="237"/>
      <c r="AJ76" s="379"/>
      <c r="AZ76" s="238"/>
      <c r="BJ76" s="190"/>
      <c r="BK76" s="190"/>
      <c r="BL76" s="190"/>
      <c r="BO76" s="149"/>
      <c r="BP76" s="190"/>
      <c r="BQ76" s="239"/>
      <c r="BR76" s="240"/>
      <c r="BS76" s="190"/>
      <c r="BT76" s="240"/>
      <c r="BX76" s="190"/>
      <c r="BY76" s="190"/>
      <c r="BZ76" s="149"/>
      <c r="CA76" s="149"/>
      <c r="CB76" s="149"/>
      <c r="CC76" s="149"/>
    </row>
    <row r="77" spans="6:81">
      <c r="H77" s="147">
        <v>71</v>
      </c>
      <c r="I77" s="389">
        <f t="shared" si="3"/>
        <v>2.84</v>
      </c>
      <c r="J77" s="188"/>
      <c r="K77" s="188"/>
      <c r="L77" s="188"/>
      <c r="M77" s="188"/>
      <c r="N77" s="236"/>
      <c r="O77" s="149"/>
      <c r="P77" s="188"/>
      <c r="Q77" s="379"/>
      <c r="S77" s="237"/>
      <c r="T77" s="237"/>
      <c r="U77" s="237"/>
      <c r="AJ77" s="379"/>
      <c r="AZ77" s="238"/>
      <c r="BJ77" s="190"/>
      <c r="BK77" s="190"/>
      <c r="BL77" s="190"/>
      <c r="BO77" s="149"/>
      <c r="BP77" s="190"/>
      <c r="BQ77" s="239"/>
      <c r="BR77" s="240"/>
      <c r="BS77" s="190"/>
      <c r="BT77" s="240"/>
      <c r="BX77" s="190"/>
      <c r="BY77" s="190"/>
      <c r="BZ77" s="149"/>
      <c r="CA77" s="149"/>
      <c r="CB77" s="149"/>
      <c r="CC77" s="149"/>
    </row>
    <row r="78" spans="6:81">
      <c r="H78" s="147">
        <v>72</v>
      </c>
      <c r="I78" s="389">
        <f t="shared" si="3"/>
        <v>2.88</v>
      </c>
      <c r="J78" s="188"/>
      <c r="K78" s="188"/>
      <c r="L78" s="188"/>
      <c r="M78" s="188"/>
      <c r="N78" s="236"/>
      <c r="O78" s="149"/>
      <c r="P78" s="188"/>
      <c r="Q78" s="379"/>
      <c r="S78" s="237"/>
      <c r="T78" s="237"/>
      <c r="U78" s="237"/>
      <c r="AJ78" s="379"/>
      <c r="AZ78" s="238"/>
      <c r="BJ78" s="190"/>
      <c r="BK78" s="190"/>
      <c r="BL78" s="190"/>
      <c r="BO78" s="149"/>
      <c r="BP78" s="190"/>
      <c r="BQ78" s="239"/>
      <c r="BR78" s="240"/>
      <c r="BS78" s="190"/>
      <c r="BT78" s="240"/>
      <c r="BX78" s="190"/>
      <c r="BY78" s="190"/>
      <c r="BZ78" s="149"/>
      <c r="CA78" s="149"/>
      <c r="CB78" s="149"/>
      <c r="CC78" s="149"/>
    </row>
    <row r="79" spans="6:81">
      <c r="H79" s="147">
        <v>73</v>
      </c>
      <c r="I79" s="389">
        <f t="shared" si="3"/>
        <v>2.92</v>
      </c>
      <c r="J79" s="188"/>
      <c r="K79" s="188"/>
      <c r="L79" s="188"/>
      <c r="M79" s="188"/>
      <c r="N79" s="236"/>
      <c r="O79" s="149"/>
      <c r="P79" s="188"/>
      <c r="Q79" s="379"/>
      <c r="S79" s="237"/>
      <c r="T79" s="237"/>
      <c r="U79" s="237"/>
      <c r="AJ79" s="379"/>
      <c r="AZ79" s="238"/>
      <c r="BJ79" s="190"/>
      <c r="BK79" s="190"/>
      <c r="BL79" s="190"/>
      <c r="BO79" s="149"/>
      <c r="BP79" s="190"/>
      <c r="BQ79" s="239"/>
      <c r="BR79" s="240"/>
      <c r="BS79" s="190"/>
      <c r="BT79" s="240"/>
      <c r="BX79" s="190"/>
      <c r="BY79" s="190"/>
      <c r="BZ79" s="149"/>
      <c r="CA79" s="149"/>
      <c r="CB79" s="149"/>
      <c r="CC79" s="149"/>
    </row>
    <row r="80" spans="6:81">
      <c r="H80" s="147">
        <v>74</v>
      </c>
      <c r="I80" s="389">
        <f t="shared" si="3"/>
        <v>2.96</v>
      </c>
      <c r="J80" s="188"/>
      <c r="K80" s="188"/>
      <c r="L80" s="188"/>
      <c r="M80" s="188"/>
      <c r="N80" s="236"/>
      <c r="O80" s="149"/>
      <c r="P80" s="188"/>
      <c r="Q80" s="379"/>
      <c r="S80" s="237"/>
      <c r="T80" s="237"/>
      <c r="U80" s="237"/>
      <c r="AJ80" s="379"/>
      <c r="AZ80" s="238"/>
      <c r="BJ80" s="190"/>
      <c r="BK80" s="190"/>
      <c r="BL80" s="190"/>
      <c r="BO80" s="149"/>
      <c r="BP80" s="190"/>
      <c r="BQ80" s="239"/>
      <c r="BR80" s="240"/>
      <c r="BS80" s="190"/>
      <c r="BT80" s="240"/>
      <c r="BX80" s="190"/>
      <c r="BY80" s="190"/>
      <c r="BZ80" s="149"/>
      <c r="CA80" s="149"/>
      <c r="CB80" s="149"/>
      <c r="CC80" s="149"/>
    </row>
    <row r="81" spans="6:81">
      <c r="H81" s="147">
        <v>75</v>
      </c>
      <c r="I81" s="389">
        <f t="shared" si="3"/>
        <v>3</v>
      </c>
      <c r="J81" s="188"/>
      <c r="K81" s="188"/>
      <c r="L81" s="188"/>
      <c r="M81" s="188"/>
      <c r="N81" s="236"/>
      <c r="O81" s="149"/>
      <c r="P81" s="188"/>
      <c r="Q81" s="379"/>
      <c r="S81" s="237"/>
      <c r="T81" s="237"/>
      <c r="U81" s="237"/>
      <c r="AJ81" s="379"/>
      <c r="AZ81" s="238"/>
      <c r="BJ81" s="190"/>
      <c r="BK81" s="190"/>
      <c r="BL81" s="190"/>
      <c r="BO81" s="149"/>
      <c r="BP81" s="190"/>
      <c r="BQ81" s="239"/>
      <c r="BR81" s="240"/>
      <c r="BS81" s="190"/>
      <c r="BT81" s="240"/>
      <c r="BX81" s="190"/>
      <c r="BY81" s="190"/>
      <c r="BZ81" s="149"/>
      <c r="CA81" s="149"/>
      <c r="CB81" s="149"/>
      <c r="CC81" s="149"/>
    </row>
    <row r="82" spans="6:81">
      <c r="H82" s="147">
        <v>76</v>
      </c>
      <c r="I82" s="389">
        <f t="shared" si="3"/>
        <v>3.04</v>
      </c>
      <c r="J82" s="188"/>
      <c r="K82" s="188"/>
      <c r="L82" s="188"/>
      <c r="M82" s="188"/>
      <c r="N82" s="236"/>
      <c r="O82" s="149"/>
      <c r="P82" s="188"/>
      <c r="Q82" s="379"/>
      <c r="S82" s="237"/>
      <c r="T82" s="237"/>
      <c r="U82" s="237"/>
      <c r="AJ82" s="379"/>
      <c r="AZ82" s="238"/>
      <c r="BJ82" s="190"/>
      <c r="BK82" s="190"/>
      <c r="BL82" s="190"/>
      <c r="BO82" s="149"/>
      <c r="BP82" s="190"/>
      <c r="BQ82" s="239"/>
      <c r="BR82" s="240"/>
      <c r="BS82" s="190"/>
      <c r="BT82" s="240"/>
      <c r="BX82" s="190"/>
      <c r="BY82" s="190"/>
      <c r="BZ82" s="149"/>
      <c r="CA82" s="149"/>
      <c r="CB82" s="149"/>
      <c r="CC82" s="149"/>
    </row>
    <row r="83" spans="6:81">
      <c r="H83" s="147">
        <v>77</v>
      </c>
      <c r="I83" s="389">
        <f t="shared" si="3"/>
        <v>3.08</v>
      </c>
      <c r="J83" s="188"/>
      <c r="K83" s="188"/>
      <c r="L83" s="188"/>
      <c r="M83" s="188"/>
      <c r="N83" s="236"/>
      <c r="O83" s="149"/>
      <c r="P83" s="188"/>
      <c r="Q83" s="379"/>
      <c r="S83" s="237"/>
      <c r="T83" s="237"/>
      <c r="U83" s="237"/>
      <c r="AJ83" s="379"/>
      <c r="AZ83" s="238"/>
      <c r="BJ83" s="190"/>
      <c r="BK83" s="190"/>
      <c r="BL83" s="190"/>
      <c r="BO83" s="149"/>
      <c r="BP83" s="190"/>
      <c r="BQ83" s="239"/>
      <c r="BR83" s="240"/>
      <c r="BS83" s="190"/>
      <c r="BT83" s="240"/>
      <c r="BX83" s="190"/>
      <c r="BY83" s="190"/>
      <c r="BZ83" s="149"/>
      <c r="CA83" s="149"/>
      <c r="CB83" s="149"/>
      <c r="CC83" s="149"/>
    </row>
    <row r="84" spans="6:81">
      <c r="H84" s="147">
        <v>78</v>
      </c>
      <c r="I84" s="389">
        <f t="shared" si="3"/>
        <v>3.12</v>
      </c>
      <c r="J84" s="188"/>
      <c r="K84" s="188"/>
      <c r="L84" s="188"/>
      <c r="M84" s="188"/>
      <c r="N84" s="236"/>
      <c r="O84" s="149"/>
      <c r="P84" s="188"/>
      <c r="Q84" s="379"/>
      <c r="S84" s="237"/>
      <c r="T84" s="237"/>
      <c r="U84" s="237"/>
      <c r="AJ84" s="379"/>
      <c r="AZ84" s="238"/>
      <c r="BJ84" s="190"/>
      <c r="BK84" s="190"/>
      <c r="BL84" s="190"/>
      <c r="BO84" s="149"/>
      <c r="BP84" s="190"/>
      <c r="BQ84" s="239"/>
      <c r="BR84" s="240"/>
      <c r="BS84" s="190"/>
      <c r="BT84" s="240"/>
      <c r="BX84" s="190"/>
      <c r="BY84" s="190"/>
      <c r="BZ84" s="149"/>
      <c r="CA84" s="149"/>
      <c r="CB84" s="149"/>
      <c r="CC84" s="149"/>
    </row>
    <row r="85" spans="6:81">
      <c r="H85" s="147">
        <v>79</v>
      </c>
      <c r="I85" s="389">
        <f t="shared" si="3"/>
        <v>3.16</v>
      </c>
      <c r="J85" s="188"/>
      <c r="K85" s="188"/>
      <c r="L85" s="188"/>
      <c r="M85" s="188"/>
      <c r="N85" s="236"/>
      <c r="O85" s="149"/>
      <c r="P85" s="188"/>
      <c r="Q85" s="379"/>
      <c r="S85" s="237"/>
      <c r="T85" s="237"/>
      <c r="U85" s="237"/>
      <c r="AJ85" s="379"/>
      <c r="AZ85" s="238"/>
      <c r="BJ85" s="190"/>
      <c r="BK85" s="190"/>
      <c r="BL85" s="190"/>
      <c r="BO85" s="149"/>
      <c r="BP85" s="190"/>
      <c r="BQ85" s="239"/>
      <c r="BR85" s="240"/>
      <c r="BS85" s="190"/>
      <c r="BT85" s="240"/>
      <c r="BX85" s="190"/>
      <c r="BY85" s="190"/>
      <c r="BZ85" s="149"/>
      <c r="CA85" s="149"/>
      <c r="CB85" s="149"/>
      <c r="CC85" s="149"/>
    </row>
    <row r="86" spans="6:81">
      <c r="H86" s="147">
        <v>80</v>
      </c>
      <c r="I86" s="389">
        <f t="shared" si="3"/>
        <v>3.2</v>
      </c>
      <c r="J86" s="188"/>
      <c r="K86" s="188"/>
      <c r="L86" s="188"/>
      <c r="M86" s="188"/>
      <c r="N86" s="236"/>
      <c r="O86" s="149"/>
      <c r="P86" s="188"/>
      <c r="Q86" s="379"/>
      <c r="S86" s="237"/>
      <c r="T86" s="237"/>
      <c r="U86" s="237"/>
      <c r="AJ86" s="379"/>
      <c r="AZ86" s="238"/>
      <c r="BJ86" s="190"/>
      <c r="BK86" s="190"/>
      <c r="BL86" s="190"/>
      <c r="BO86" s="149"/>
      <c r="BP86" s="190"/>
      <c r="BQ86" s="239"/>
      <c r="BR86" s="240"/>
      <c r="BS86" s="190"/>
      <c r="BT86" s="240"/>
      <c r="BX86" s="190"/>
      <c r="BY86" s="190"/>
      <c r="BZ86" s="149"/>
      <c r="CA86" s="149"/>
      <c r="CB86" s="149"/>
      <c r="CC86" s="149"/>
    </row>
    <row r="87" spans="6:81">
      <c r="H87" s="147">
        <v>81</v>
      </c>
      <c r="I87" s="389">
        <f t="shared" si="3"/>
        <v>3.24</v>
      </c>
      <c r="J87" s="188"/>
      <c r="K87" s="188"/>
      <c r="L87" s="188"/>
      <c r="M87" s="188"/>
      <c r="N87" s="236"/>
      <c r="O87" s="149"/>
      <c r="P87" s="188"/>
      <c r="Q87" s="379"/>
      <c r="S87" s="237"/>
      <c r="T87" s="237"/>
      <c r="U87" s="237"/>
      <c r="AJ87" s="379"/>
      <c r="AZ87" s="238"/>
      <c r="BJ87" s="190"/>
      <c r="BK87" s="190"/>
      <c r="BL87" s="190"/>
      <c r="BO87" s="149"/>
      <c r="BP87" s="190"/>
      <c r="BQ87" s="239"/>
      <c r="BR87" s="240"/>
      <c r="BS87" s="190"/>
      <c r="BT87" s="240"/>
      <c r="BX87" s="190"/>
      <c r="BY87" s="190"/>
      <c r="BZ87" s="149"/>
      <c r="CA87" s="149"/>
      <c r="CB87" s="149"/>
      <c r="CC87" s="149"/>
    </row>
    <row r="88" spans="6:81">
      <c r="F88" s="260" t="s">
        <v>274</v>
      </c>
      <c r="G88" s="260" t="s">
        <v>275</v>
      </c>
      <c r="H88" s="147">
        <v>82</v>
      </c>
      <c r="I88" s="389">
        <f t="shared" si="3"/>
        <v>3.28</v>
      </c>
      <c r="J88" s="188"/>
      <c r="K88" s="188"/>
      <c r="L88" s="188"/>
      <c r="M88" s="188"/>
      <c r="N88" s="236"/>
      <c r="O88" s="149"/>
      <c r="P88" s="188"/>
      <c r="Q88" s="379"/>
      <c r="S88" s="237"/>
      <c r="T88" s="237"/>
      <c r="U88" s="237"/>
      <c r="AJ88" s="379"/>
      <c r="AZ88" s="238"/>
      <c r="BJ88" s="190"/>
      <c r="BK88" s="190"/>
      <c r="BL88" s="190"/>
      <c r="BO88" s="149"/>
      <c r="BP88" s="190"/>
      <c r="BQ88" s="239"/>
      <c r="BR88" s="240"/>
      <c r="BS88" s="190"/>
      <c r="BT88" s="240"/>
      <c r="BX88" s="190"/>
      <c r="BY88" s="190"/>
      <c r="BZ88" s="149"/>
      <c r="CA88" s="149"/>
      <c r="CB88" s="149"/>
      <c r="CC88" s="149"/>
    </row>
    <row r="89" spans="6:81">
      <c r="F89" s="283">
        <f>BO51</f>
        <v>0</v>
      </c>
      <c r="G89" s="284">
        <f>I56*1000</f>
        <v>2000</v>
      </c>
      <c r="H89" s="147">
        <v>83</v>
      </c>
      <c r="I89" s="389">
        <f t="shared" si="3"/>
        <v>3.32</v>
      </c>
      <c r="J89" s="188"/>
      <c r="K89" s="188"/>
      <c r="L89" s="188"/>
      <c r="M89" s="188"/>
      <c r="N89" s="236"/>
      <c r="O89" s="149"/>
      <c r="P89" s="188"/>
      <c r="Q89" s="379"/>
      <c r="S89" s="237"/>
      <c r="T89" s="237"/>
      <c r="U89" s="237"/>
      <c r="AJ89" s="379"/>
      <c r="AZ89" s="238"/>
      <c r="BJ89" s="190"/>
      <c r="BK89" s="190"/>
      <c r="BL89" s="190"/>
      <c r="BO89" s="149"/>
      <c r="BP89" s="190"/>
      <c r="BQ89" s="239"/>
      <c r="BR89" s="240"/>
      <c r="BS89" s="190"/>
      <c r="BT89" s="240"/>
      <c r="BX89" s="190"/>
      <c r="BY89" s="190"/>
      <c r="BZ89" s="149"/>
      <c r="CA89" s="149"/>
      <c r="CB89" s="149"/>
      <c r="CC89" s="149"/>
    </row>
    <row r="90" spans="6:81">
      <c r="F90" s="283">
        <f>BO81</f>
        <v>0</v>
      </c>
      <c r="G90" s="284">
        <f>I81*1000</f>
        <v>3000</v>
      </c>
      <c r="H90" s="147">
        <v>84</v>
      </c>
      <c r="I90" s="389">
        <f t="shared" si="3"/>
        <v>3.36</v>
      </c>
      <c r="J90" s="188"/>
      <c r="K90" s="188"/>
      <c r="L90" s="188"/>
      <c r="M90" s="188"/>
      <c r="N90" s="236"/>
      <c r="O90" s="149"/>
      <c r="P90" s="188"/>
      <c r="Q90" s="379"/>
      <c r="S90" s="237"/>
      <c r="T90" s="237"/>
      <c r="U90" s="237"/>
      <c r="AJ90" s="379"/>
      <c r="AZ90" s="238"/>
      <c r="BJ90" s="190"/>
      <c r="BK90" s="190"/>
      <c r="BL90" s="190"/>
      <c r="BO90" s="149"/>
      <c r="BP90" s="190"/>
      <c r="BQ90" s="239"/>
      <c r="BR90" s="240"/>
      <c r="BS90" s="190"/>
      <c r="BT90" s="240"/>
      <c r="BX90" s="190"/>
      <c r="BY90" s="190"/>
      <c r="BZ90" s="149"/>
      <c r="CA90" s="149"/>
      <c r="CB90" s="149"/>
      <c r="CC90" s="149"/>
    </row>
    <row r="91" spans="6:81">
      <c r="F91" s="283">
        <f>BO106</f>
        <v>88.698181382326453</v>
      </c>
      <c r="G91" s="284">
        <f>I106*1000</f>
        <v>4000</v>
      </c>
      <c r="H91" s="147">
        <v>85</v>
      </c>
      <c r="I91" s="389">
        <f t="shared" si="3"/>
        <v>3.4</v>
      </c>
      <c r="J91" s="188"/>
      <c r="K91" s="188"/>
      <c r="L91" s="188"/>
      <c r="M91" s="188"/>
      <c r="N91" s="236"/>
      <c r="O91" s="149"/>
      <c r="P91" s="188"/>
      <c r="Q91" s="379"/>
      <c r="S91" s="237"/>
      <c r="T91" s="237"/>
      <c r="U91" s="237"/>
      <c r="AJ91" s="379"/>
      <c r="AZ91" s="238"/>
      <c r="BJ91" s="190"/>
      <c r="BK91" s="190"/>
      <c r="BL91" s="190"/>
      <c r="BO91" s="149"/>
      <c r="BP91" s="190"/>
      <c r="BQ91" s="239"/>
      <c r="BR91" s="240"/>
      <c r="BS91" s="190"/>
      <c r="BT91" s="240"/>
      <c r="BX91" s="190"/>
      <c r="BY91" s="190"/>
      <c r="BZ91" s="149"/>
      <c r="CA91" s="149"/>
      <c r="CB91" s="149"/>
      <c r="CC91" s="149"/>
    </row>
    <row r="92" spans="6:81">
      <c r="H92" s="147">
        <v>86</v>
      </c>
      <c r="I92" s="389">
        <f t="shared" si="3"/>
        <v>3.44</v>
      </c>
      <c r="J92" s="188"/>
      <c r="K92" s="188"/>
      <c r="L92" s="188"/>
      <c r="M92" s="188"/>
      <c r="N92" s="236"/>
      <c r="O92" s="149"/>
      <c r="P92" s="188"/>
      <c r="Q92" s="379"/>
      <c r="S92" s="237"/>
      <c r="T92" s="237"/>
      <c r="U92" s="237"/>
      <c r="AJ92" s="379"/>
      <c r="AZ92" s="238"/>
      <c r="BJ92" s="190"/>
      <c r="BK92" s="190"/>
      <c r="BL92" s="190"/>
      <c r="BO92" s="149"/>
      <c r="BP92" s="190"/>
      <c r="BQ92" s="239"/>
      <c r="BR92" s="240"/>
      <c r="BS92" s="190"/>
      <c r="BT92" s="240"/>
      <c r="BX92" s="190"/>
      <c r="BY92" s="190"/>
      <c r="BZ92" s="149"/>
      <c r="CA92" s="149"/>
      <c r="CB92" s="149"/>
      <c r="CC92" s="149"/>
    </row>
    <row r="93" spans="6:81">
      <c r="H93" s="147">
        <v>87</v>
      </c>
      <c r="I93" s="389">
        <f t="shared" si="3"/>
        <v>3.48</v>
      </c>
      <c r="J93" s="188"/>
      <c r="K93" s="188"/>
      <c r="L93" s="188"/>
      <c r="M93" s="188"/>
      <c r="N93" s="236"/>
      <c r="O93" s="149"/>
      <c r="P93" s="188"/>
      <c r="Q93" s="379"/>
      <c r="S93" s="237"/>
      <c r="T93" s="237"/>
      <c r="U93" s="237"/>
      <c r="AJ93" s="379"/>
      <c r="AZ93" s="238"/>
      <c r="BJ93" s="190"/>
      <c r="BK93" s="190"/>
      <c r="BL93" s="190"/>
      <c r="BO93" s="149"/>
      <c r="BP93" s="190"/>
      <c r="BQ93" s="239"/>
      <c r="BR93" s="240"/>
      <c r="BS93" s="190"/>
      <c r="BT93" s="240"/>
      <c r="BX93" s="190"/>
      <c r="BY93" s="190"/>
      <c r="BZ93" s="149"/>
      <c r="CA93" s="149"/>
      <c r="CB93" s="149"/>
      <c r="CC93" s="149"/>
    </row>
    <row r="94" spans="6:81">
      <c r="H94" s="147">
        <v>88</v>
      </c>
      <c r="I94" s="389">
        <f t="shared" si="3"/>
        <v>3.52</v>
      </c>
      <c r="J94" s="188"/>
      <c r="K94" s="188"/>
      <c r="L94" s="188"/>
      <c r="M94" s="188"/>
      <c r="N94" s="236"/>
      <c r="O94" s="149"/>
      <c r="P94" s="188"/>
      <c r="Q94" s="379"/>
      <c r="S94" s="237"/>
      <c r="T94" s="237"/>
      <c r="U94" s="237"/>
      <c r="AJ94" s="379"/>
      <c r="AZ94" s="238"/>
      <c r="BJ94" s="190"/>
      <c r="BK94" s="190"/>
      <c r="BL94" s="190"/>
      <c r="BO94" s="149"/>
      <c r="BP94" s="190"/>
      <c r="BQ94" s="239"/>
      <c r="BR94" s="240"/>
      <c r="BS94" s="190"/>
      <c r="BT94" s="240"/>
      <c r="BX94" s="190"/>
      <c r="BY94" s="190"/>
      <c r="BZ94" s="149"/>
      <c r="CA94" s="149"/>
      <c r="CB94" s="149"/>
      <c r="CC94" s="149"/>
    </row>
    <row r="95" spans="6:81">
      <c r="H95" s="147">
        <v>89</v>
      </c>
      <c r="I95" s="389">
        <f t="shared" si="3"/>
        <v>3.56</v>
      </c>
      <c r="J95" s="188"/>
      <c r="K95" s="188"/>
      <c r="L95" s="188"/>
      <c r="M95" s="188"/>
      <c r="N95" s="236"/>
      <c r="O95" s="149"/>
      <c r="P95" s="188"/>
      <c r="Q95" s="379"/>
      <c r="S95" s="237"/>
      <c r="T95" s="237"/>
      <c r="U95" s="237"/>
      <c r="AJ95" s="379"/>
      <c r="AZ95" s="238"/>
      <c r="BJ95" s="190"/>
      <c r="BK95" s="190"/>
      <c r="BL95" s="190"/>
      <c r="BO95" s="149"/>
      <c r="BP95" s="190"/>
      <c r="BQ95" s="239"/>
      <c r="BR95" s="240"/>
      <c r="BS95" s="190"/>
      <c r="BT95" s="240"/>
      <c r="BX95" s="190"/>
      <c r="BY95" s="190"/>
      <c r="BZ95" s="149"/>
      <c r="CA95" s="149"/>
      <c r="CB95" s="149"/>
      <c r="CC95" s="149"/>
    </row>
    <row r="96" spans="6:81">
      <c r="H96" s="147">
        <v>90</v>
      </c>
      <c r="I96" s="389">
        <f t="shared" si="3"/>
        <v>3.6</v>
      </c>
      <c r="J96" s="188"/>
      <c r="K96" s="188"/>
      <c r="L96" s="188"/>
      <c r="M96" s="188"/>
      <c r="N96" s="236"/>
      <c r="O96" s="149"/>
      <c r="P96" s="188"/>
      <c r="Q96" s="379"/>
      <c r="S96" s="237"/>
      <c r="T96" s="237"/>
      <c r="U96" s="237"/>
      <c r="AJ96" s="379"/>
      <c r="AZ96" s="238"/>
      <c r="BJ96" s="190"/>
      <c r="BK96" s="190"/>
      <c r="BL96" s="190"/>
      <c r="BO96" s="149"/>
      <c r="BP96" s="190"/>
      <c r="BQ96" s="239"/>
      <c r="BR96" s="240"/>
      <c r="BS96" s="190"/>
      <c r="BT96" s="240"/>
      <c r="BX96" s="190"/>
      <c r="BY96" s="190"/>
      <c r="BZ96" s="149"/>
      <c r="CA96" s="149"/>
      <c r="CB96" s="149"/>
      <c r="CC96" s="149"/>
    </row>
    <row r="97" spans="8:81">
      <c r="H97" s="147">
        <v>91</v>
      </c>
      <c r="I97" s="389">
        <f t="shared" si="3"/>
        <v>3.64</v>
      </c>
      <c r="J97" s="188"/>
      <c r="K97" s="188"/>
      <c r="L97" s="188"/>
      <c r="M97" s="188"/>
      <c r="N97" s="236"/>
      <c r="O97" s="149"/>
      <c r="P97" s="188"/>
      <c r="Q97" s="379"/>
      <c r="S97" s="237"/>
      <c r="T97" s="237"/>
      <c r="U97" s="237"/>
      <c r="AJ97" s="379"/>
      <c r="AZ97" s="238"/>
      <c r="BJ97" s="190"/>
      <c r="BK97" s="190"/>
      <c r="BL97" s="190"/>
      <c r="BO97" s="149"/>
      <c r="BP97" s="190"/>
      <c r="BQ97" s="239"/>
      <c r="BR97" s="240"/>
      <c r="BS97" s="190"/>
      <c r="BT97" s="240"/>
      <c r="BX97" s="190"/>
      <c r="BY97" s="190"/>
      <c r="BZ97" s="149"/>
      <c r="CA97" s="149"/>
      <c r="CB97" s="149"/>
      <c r="CC97" s="149"/>
    </row>
    <row r="98" spans="8:81">
      <c r="H98" s="147">
        <v>92</v>
      </c>
      <c r="I98" s="389">
        <f t="shared" si="3"/>
        <v>3.68</v>
      </c>
      <c r="J98" s="188"/>
      <c r="K98" s="188"/>
      <c r="L98" s="188"/>
      <c r="M98" s="188"/>
      <c r="N98" s="236"/>
      <c r="O98" s="149"/>
      <c r="P98" s="188"/>
      <c r="Q98" s="379"/>
      <c r="S98" s="237"/>
      <c r="T98" s="237"/>
      <c r="U98" s="237"/>
      <c r="AJ98" s="379"/>
      <c r="AZ98" s="238"/>
      <c r="BJ98" s="190"/>
      <c r="BK98" s="190"/>
      <c r="BL98" s="190"/>
      <c r="BO98" s="149"/>
      <c r="BP98" s="190"/>
      <c r="BQ98" s="239"/>
      <c r="BR98" s="240"/>
      <c r="BS98" s="190"/>
      <c r="BT98" s="240"/>
      <c r="BX98" s="190"/>
      <c r="BY98" s="190"/>
      <c r="BZ98" s="149"/>
      <c r="CA98" s="149"/>
      <c r="CB98" s="149"/>
      <c r="CC98" s="149"/>
    </row>
    <row r="99" spans="8:81">
      <c r="H99" s="147">
        <v>93</v>
      </c>
      <c r="I99" s="389">
        <f t="shared" si="3"/>
        <v>3.72</v>
      </c>
      <c r="J99" s="188"/>
      <c r="K99" s="188"/>
      <c r="L99" s="188"/>
      <c r="M99" s="188"/>
      <c r="N99" s="236"/>
      <c r="O99" s="149"/>
      <c r="P99" s="188"/>
      <c r="Q99" s="379"/>
      <c r="S99" s="237"/>
      <c r="T99" s="237"/>
      <c r="U99" s="237"/>
      <c r="AJ99" s="379"/>
      <c r="AZ99" s="238"/>
      <c r="BJ99" s="190"/>
      <c r="BK99" s="190"/>
      <c r="BL99" s="190"/>
      <c r="BO99" s="149"/>
      <c r="BP99" s="190"/>
      <c r="BQ99" s="239"/>
      <c r="BR99" s="240"/>
      <c r="BS99" s="190"/>
      <c r="BT99" s="240"/>
      <c r="BX99" s="190"/>
      <c r="BY99" s="190"/>
      <c r="BZ99" s="149"/>
      <c r="CA99" s="149"/>
      <c r="CB99" s="149"/>
      <c r="CC99" s="149"/>
    </row>
    <row r="100" spans="8:81">
      <c r="H100" s="147">
        <v>94</v>
      </c>
      <c r="I100" s="389">
        <f t="shared" si="3"/>
        <v>3.76</v>
      </c>
      <c r="J100" s="188"/>
      <c r="K100" s="188"/>
      <c r="L100" s="188"/>
      <c r="M100" s="188"/>
      <c r="N100" s="236"/>
      <c r="O100" s="149"/>
      <c r="P100" s="188"/>
      <c r="Q100" s="379"/>
      <c r="S100" s="237"/>
      <c r="T100" s="237"/>
      <c r="U100" s="237"/>
      <c r="AJ100" s="379"/>
      <c r="AZ100" s="238"/>
      <c r="BJ100" s="190"/>
      <c r="BK100" s="190"/>
      <c r="BL100" s="190"/>
      <c r="BO100" s="149"/>
      <c r="BP100" s="190"/>
      <c r="BQ100" s="239"/>
      <c r="BR100" s="240"/>
      <c r="BS100" s="190"/>
      <c r="BT100" s="240"/>
      <c r="BX100" s="190"/>
      <c r="BY100" s="190"/>
      <c r="BZ100" s="149"/>
      <c r="CA100" s="149"/>
      <c r="CB100" s="149"/>
      <c r="CC100" s="149"/>
    </row>
    <row r="101" spans="8:81">
      <c r="H101" s="147">
        <v>95</v>
      </c>
      <c r="I101" s="389">
        <f t="shared" si="3"/>
        <v>3.8</v>
      </c>
      <c r="J101" s="188"/>
      <c r="K101" s="188"/>
      <c r="L101" s="188"/>
      <c r="M101" s="188"/>
      <c r="N101" s="236"/>
      <c r="O101" s="149"/>
      <c r="P101" s="188"/>
      <c r="Q101" s="379"/>
      <c r="S101" s="237"/>
      <c r="T101" s="237"/>
      <c r="U101" s="237"/>
      <c r="AJ101" s="379"/>
      <c r="AZ101" s="238"/>
      <c r="BJ101" s="190"/>
      <c r="BK101" s="190"/>
      <c r="BL101" s="190"/>
      <c r="BO101" s="149"/>
      <c r="BP101" s="190"/>
      <c r="BQ101" s="239"/>
      <c r="BR101" s="240"/>
      <c r="BS101" s="190"/>
      <c r="BT101" s="240"/>
      <c r="BX101" s="190"/>
      <c r="BY101" s="190"/>
      <c r="BZ101" s="149"/>
      <c r="CA101" s="149"/>
      <c r="CB101" s="149"/>
      <c r="CC101" s="149"/>
    </row>
    <row r="102" spans="8:81">
      <c r="H102" s="147">
        <v>96</v>
      </c>
      <c r="I102" s="389">
        <f>IF(PLOT_TYPE=1, H102/100*Iout_max, min_I*EXP(H102*rr/100))</f>
        <v>3.84</v>
      </c>
      <c r="J102" s="188"/>
      <c r="K102" s="188"/>
      <c r="L102" s="188"/>
      <c r="M102" s="188"/>
      <c r="N102" s="236"/>
      <c r="O102" s="149"/>
      <c r="P102" s="188"/>
      <c r="Q102" s="379"/>
      <c r="S102" s="237"/>
      <c r="T102" s="237"/>
      <c r="U102" s="237"/>
      <c r="AJ102" s="379"/>
      <c r="AZ102" s="238"/>
      <c r="BJ102" s="190"/>
      <c r="BK102" s="190"/>
      <c r="BL102" s="190"/>
      <c r="BO102" s="149"/>
      <c r="BP102" s="190"/>
      <c r="BQ102" s="239"/>
      <c r="BR102" s="240"/>
      <c r="BS102" s="190"/>
      <c r="BT102" s="240"/>
      <c r="BX102" s="190"/>
      <c r="BY102" s="190"/>
      <c r="BZ102" s="149"/>
      <c r="CA102" s="149"/>
      <c r="CB102" s="149"/>
      <c r="CC102" s="149"/>
    </row>
    <row r="103" spans="8:81">
      <c r="H103" s="147">
        <v>97</v>
      </c>
      <c r="I103" s="389">
        <f>IF(PLOT_TYPE=1, H103/100*Iout_max, min_I*EXP(H103*rr/100))</f>
        <v>3.88</v>
      </c>
      <c r="J103" s="188"/>
      <c r="K103" s="188"/>
      <c r="L103" s="188"/>
      <c r="M103" s="188"/>
      <c r="N103" s="236"/>
      <c r="O103" s="149"/>
      <c r="P103" s="188"/>
      <c r="Q103" s="379"/>
      <c r="S103" s="237"/>
      <c r="T103" s="237"/>
      <c r="U103" s="237"/>
      <c r="AJ103" s="379"/>
      <c r="AZ103" s="238"/>
      <c r="BJ103" s="190"/>
      <c r="BK103" s="190"/>
      <c r="BL103" s="190"/>
      <c r="BO103" s="149"/>
      <c r="BP103" s="190"/>
      <c r="BQ103" s="239"/>
      <c r="BR103" s="240"/>
      <c r="BS103" s="190"/>
      <c r="BT103" s="240"/>
      <c r="BX103" s="190"/>
      <c r="BY103" s="190"/>
      <c r="BZ103" s="149"/>
      <c r="CA103" s="149"/>
      <c r="CB103" s="149"/>
      <c r="CC103" s="149"/>
    </row>
    <row r="104" spans="8:81">
      <c r="H104" s="147">
        <v>98</v>
      </c>
      <c r="I104" s="389">
        <f>IF(PLOT_TYPE=1, H104/100*Iout_max, min_I*EXP(H104*rr/100))</f>
        <v>3.92</v>
      </c>
      <c r="J104" s="188"/>
      <c r="K104" s="188"/>
      <c r="L104" s="188"/>
      <c r="M104" s="188"/>
      <c r="N104" s="236"/>
      <c r="O104" s="149"/>
      <c r="P104" s="188"/>
      <c r="Q104" s="379"/>
      <c r="S104" s="237"/>
      <c r="T104" s="237"/>
      <c r="U104" s="237"/>
      <c r="AJ104" s="379"/>
      <c r="AZ104" s="238"/>
      <c r="BJ104" s="190"/>
      <c r="BK104" s="190"/>
      <c r="BL104" s="190"/>
      <c r="BO104" s="149"/>
      <c r="BP104" s="190"/>
      <c r="BQ104" s="239"/>
      <c r="BR104" s="240"/>
      <c r="BS104" s="190"/>
      <c r="BT104" s="240"/>
      <c r="BX104" s="190"/>
      <c r="BY104" s="190"/>
      <c r="BZ104" s="149"/>
      <c r="CA104" s="149"/>
      <c r="CB104" s="149"/>
      <c r="CC104" s="149"/>
    </row>
    <row r="105" spans="8:81">
      <c r="H105" s="147">
        <v>99</v>
      </c>
      <c r="I105" s="389">
        <f>IF(PLOT_TYPE=1, H105/100*Iout_max, min_I*EXP(H105*rr/100))</f>
        <v>3.96</v>
      </c>
      <c r="J105" s="188"/>
      <c r="K105" s="188"/>
      <c r="L105" s="188"/>
      <c r="M105" s="188"/>
      <c r="N105" s="236"/>
      <c r="O105" s="149"/>
      <c r="P105" s="188"/>
      <c r="Q105" s="379"/>
      <c r="S105" s="237"/>
      <c r="T105" s="237"/>
      <c r="U105" s="237"/>
      <c r="AJ105" s="379"/>
      <c r="AZ105" s="238"/>
      <c r="BJ105" s="190"/>
      <c r="BK105" s="190"/>
      <c r="BL105" s="190"/>
      <c r="BO105" s="149"/>
      <c r="BP105" s="190"/>
      <c r="BQ105" s="239"/>
      <c r="BR105" s="240"/>
      <c r="BS105" s="190"/>
      <c r="BT105" s="240"/>
      <c r="BX105" s="190"/>
      <c r="BY105" s="190"/>
      <c r="BZ105" s="149"/>
      <c r="CA105" s="149"/>
      <c r="CB105" s="149"/>
      <c r="CC105" s="149"/>
    </row>
    <row r="106" spans="8:81">
      <c r="H106" s="147">
        <v>100</v>
      </c>
      <c r="I106" s="389">
        <f>IF(PLOT_TYPE=1, H106/100*Iout_max, min_I*EXP(H106*rr/100))</f>
        <v>4</v>
      </c>
      <c r="J106" s="188"/>
      <c r="K106" s="188"/>
      <c r="L106" s="188"/>
      <c r="M106" s="188"/>
      <c r="N106" s="236"/>
      <c r="O106" s="149"/>
      <c r="P106" s="188"/>
      <c r="Q106" s="379"/>
      <c r="S106" s="237"/>
      <c r="T106" s="237"/>
      <c r="U106" s="237"/>
      <c r="AJ106" s="379"/>
      <c r="AY106" s="187">
        <f>Vout*I106</f>
        <v>120</v>
      </c>
      <c r="AZ106" s="238">
        <f>AY106/(AY106+AX106)</f>
        <v>1</v>
      </c>
      <c r="BA106" s="296">
        <f>AG106/($AY106+$AX106)</f>
        <v>0</v>
      </c>
      <c r="BB106" s="296">
        <f>AO106/($AY106+$AX106)</f>
        <v>0</v>
      </c>
      <c r="BC106" s="296" t="e">
        <f>Vin*R106*(QgBot+Qg)/($AY106+$AX106)</f>
        <v>#NAME?</v>
      </c>
      <c r="BD106" s="296">
        <f>AK106/($AY106+$AX106)</f>
        <v>0</v>
      </c>
      <c r="BE106" s="296">
        <f>AQ106/(AX106+AY106)</f>
        <v>0</v>
      </c>
      <c r="BF106" s="296">
        <f>AR106/($AY106+$AX106)</f>
        <v>0</v>
      </c>
      <c r="BG106" s="296">
        <f>W106/($AY106+$AX106)</f>
        <v>0</v>
      </c>
      <c r="BH106" s="296">
        <f>X106/($AY106+$AX106)</f>
        <v>0</v>
      </c>
      <c r="BI106" s="296">
        <f>(AB106+AE106)/($AY106+$AX106)</f>
        <v>0</v>
      </c>
      <c r="BJ106" s="190">
        <f>AT106/($AY106+$AX106)</f>
        <v>0</v>
      </c>
      <c r="BK106" s="190">
        <f>AX106/($AY106+$AX106)</f>
        <v>0</v>
      </c>
      <c r="BL106" s="190">
        <f>AZ106</f>
        <v>1</v>
      </c>
      <c r="BM106" s="149">
        <f>100*BL106</f>
        <v>100</v>
      </c>
      <c r="BN106" s="188" t="e">
        <f xml:space="preserve"> CHOOSE(MODE, I106*1000,#REF!)</f>
        <v>#REF!</v>
      </c>
      <c r="BO106" s="149">
        <v>88.698181382326453</v>
      </c>
      <c r="BP106" s="190">
        <f>BO106/100</f>
        <v>0.88698181382326458</v>
      </c>
      <c r="BQ106" s="239">
        <f>R106/1000</f>
        <v>0</v>
      </c>
      <c r="BR106" s="240"/>
      <c r="BS106" s="190">
        <f>AL106/($AY106+$AX106)</f>
        <v>0</v>
      </c>
      <c r="BT106" s="240"/>
      <c r="BU106" s="149">
        <f>1000*AW106</f>
        <v>0</v>
      </c>
      <c r="BV106" s="149">
        <f>1000*AU106</f>
        <v>0</v>
      </c>
      <c r="BW106" s="149">
        <f>1000*Y106</f>
        <v>0</v>
      </c>
      <c r="BX106" s="190"/>
      <c r="BY106" s="190"/>
      <c r="BZ106" s="149" t="e">
        <f xml:space="preserve"> IF(MODE=1, BM106,#REF!)</f>
        <v>#REF!</v>
      </c>
      <c r="CA106" s="149" t="e">
        <f xml:space="preserve"> IF(MODE=1, BU106,#REF!)</f>
        <v>#REF!</v>
      </c>
      <c r="CB106" s="149" t="e">
        <f xml:space="preserve"> IF(MODE=1, BV106,#REF!)</f>
        <v>#REF!</v>
      </c>
      <c r="CC106" s="149" t="e">
        <f xml:space="preserve"> IF(MODE=1, BW106,#REF!)</f>
        <v>#REF!</v>
      </c>
    </row>
    <row r="107" spans="8:81">
      <c r="BQ107" s="239"/>
      <c r="BR107" s="240"/>
      <c r="BS107" s="240"/>
      <c r="BT107" s="240"/>
      <c r="BX107" s="190"/>
      <c r="BY107" s="190"/>
    </row>
    <row r="108" spans="8:81">
      <c r="H108" s="285">
        <v>1.0000000000000001E-5</v>
      </c>
      <c r="I108" s="188" t="s">
        <v>1</v>
      </c>
      <c r="J108" s="187" t="s">
        <v>276</v>
      </c>
      <c r="AG108" s="187">
        <v>4.9516878778202269E-3</v>
      </c>
      <c r="AH108" s="187">
        <v>3.7188236700537959E-3</v>
      </c>
      <c r="AI108">
        <v>20</v>
      </c>
      <c r="AJ108" s="187">
        <v>18.943591787921068</v>
      </c>
      <c r="AK108" s="187">
        <v>4.1453367485397245E-3</v>
      </c>
      <c r="AL108" s="187">
        <v>7.1640215182307235E-3</v>
      </c>
      <c r="AN108" s="187">
        <v>9.1940431932401354E-2</v>
      </c>
      <c r="AO108" s="187">
        <v>8.4530430239165271E-3</v>
      </c>
      <c r="AP108" s="187">
        <v>9.3281530185295868E-4</v>
      </c>
      <c r="AQ108" s="187">
        <v>9.1178757202630047E-3</v>
      </c>
      <c r="AR108" s="187">
        <v>1.2140752334887425E-3</v>
      </c>
      <c r="AS108" s="187">
        <v>1.8784993977668273E-2</v>
      </c>
      <c r="AZ108" s="286" t="s">
        <v>280</v>
      </c>
      <c r="BA108" s="303">
        <v>3.6409104085968987E-3</v>
      </c>
      <c r="BB108" s="303">
        <v>6.5692245841190103E-3</v>
      </c>
      <c r="BC108" s="303">
        <v>5.4394694205683519E-2</v>
      </c>
      <c r="BD108" s="303">
        <v>4.5907837520612008E-3</v>
      </c>
      <c r="BE108" s="303">
        <v>0</v>
      </c>
      <c r="BF108" s="303">
        <v>7.3751579484765363E-4</v>
      </c>
      <c r="BG108" s="303">
        <v>7.2151246180390156E-3</v>
      </c>
      <c r="BH108" s="303">
        <v>1.4929120352630757E-2</v>
      </c>
      <c r="BI108" s="303">
        <v>5.5024434421027814E-6</v>
      </c>
      <c r="BJ108" s="303">
        <v>8.2551506228875166E-2</v>
      </c>
    </row>
    <row r="109" spans="8:81">
      <c r="H109" s="235">
        <f>Iout_max</f>
        <v>4</v>
      </c>
      <c r="I109" s="188" t="s">
        <v>1</v>
      </c>
      <c r="J109" s="187" t="s">
        <v>277</v>
      </c>
      <c r="AZ109" s="286" t="s">
        <v>278</v>
      </c>
      <c r="BA109" s="303">
        <v>8.1000709018000279E-3</v>
      </c>
      <c r="BB109" s="303">
        <v>1.4614802049391215E-2</v>
      </c>
      <c r="BC109" s="303">
        <v>2.4831534664325892E-2</v>
      </c>
      <c r="BD109" s="303">
        <v>9.9057039827182662E-3</v>
      </c>
      <c r="BE109" s="303">
        <v>1.1631608311305648E-2</v>
      </c>
      <c r="BF109" s="303">
        <v>1.6465542803473395E-3</v>
      </c>
      <c r="BG109" s="303">
        <v>1.6051760250250457E-2</v>
      </c>
      <c r="BH109" s="303">
        <v>6.8152413568584669E-3</v>
      </c>
      <c r="BI109" s="303">
        <v>1.7517781122613987E-5</v>
      </c>
      <c r="BJ109" s="303">
        <v>1.2837829865088564E-2</v>
      </c>
    </row>
    <row r="110" spans="8:81">
      <c r="H110" s="235">
        <f>LOG(max_I/min_I,EXP(1))</f>
        <v>12.899219826090119</v>
      </c>
      <c r="I110" s="188"/>
      <c r="J110" s="187" t="s">
        <v>279</v>
      </c>
    </row>
    <row r="111" spans="8:81">
      <c r="AZ111" s="286"/>
      <c r="BA111" s="303"/>
      <c r="BB111" s="303"/>
      <c r="BC111" s="303"/>
      <c r="BD111" s="303"/>
      <c r="BE111" s="303"/>
      <c r="BF111" s="303"/>
      <c r="BG111" s="303"/>
      <c r="BH111" s="303"/>
      <c r="BI111" s="303"/>
      <c r="BJ111" s="303"/>
    </row>
    <row r="112" spans="8:81">
      <c r="J112" s="287"/>
      <c r="R112" s="288"/>
      <c r="S112" s="288"/>
      <c r="T112" s="288"/>
      <c r="U112" s="288"/>
      <c r="V112" s="289"/>
    </row>
    <row r="113" spans="10:22">
      <c r="J113" s="287"/>
      <c r="R113" s="288"/>
      <c r="S113" s="288"/>
      <c r="T113" s="288"/>
      <c r="U113" s="288"/>
      <c r="V113" s="289"/>
    </row>
    <row r="114" spans="10:22">
      <c r="R114" s="288"/>
      <c r="S114" s="288"/>
      <c r="T114" s="288"/>
      <c r="U114" s="288"/>
      <c r="V114" s="289"/>
    </row>
    <row r="116" spans="10:22">
      <c r="R116" s="288"/>
      <c r="S116" s="288"/>
      <c r="T116" s="288"/>
      <c r="U116" s="288"/>
      <c r="V116" s="289"/>
    </row>
    <row r="126" spans="10:22">
      <c r="J126" s="147"/>
    </row>
    <row r="127" spans="10:22">
      <c r="J127" s="147"/>
    </row>
    <row r="128" spans="10:22">
      <c r="J128" s="147"/>
    </row>
    <row r="129" spans="10:10">
      <c r="J129" s="188"/>
    </row>
    <row r="130" spans="10:10">
      <c r="J130" s="188"/>
    </row>
    <row r="131" spans="10:10">
      <c r="J131" s="188"/>
    </row>
    <row r="132" spans="10:10">
      <c r="J132" s="188"/>
    </row>
    <row r="133" spans="10:10">
      <c r="J133" s="188"/>
    </row>
  </sheetData>
  <sheetProtection algorithmName="SHA-512" hashValue="0cUnFa7ufQE2QFQ9eSByCEfmn6EpWCL2i4IB/IyFIfGoQvvqfVNOyvPgZhiw12bINkeNpez8XmCsyRLDVC5XpQ==" saltValue="Wk0yaZAbwsKsRJCgaB8scA==" spinCount="100000" sheet="1" selectLockedCells="1" selectUnlockedCells="1"/>
  <mergeCells count="4">
    <mergeCell ref="A1:E3"/>
    <mergeCell ref="G2:H2"/>
    <mergeCell ref="A4:E4"/>
    <mergeCell ref="K4:U4"/>
  </mergeCells>
  <phoneticPr fontId="83"/>
  <conditionalFormatting sqref="B26:B28">
    <cfRule type="cellIs" dxfId="11" priority="8" stopIfTrue="1" operator="notEqual">
      <formula>G28</formula>
    </cfRule>
  </conditionalFormatting>
  <conditionalFormatting sqref="B29">
    <cfRule type="cellIs" dxfId="10" priority="145" stopIfTrue="1" operator="notEqual">
      <formula>G30</formula>
    </cfRule>
  </conditionalFormatting>
  <conditionalFormatting sqref="B30:B33">
    <cfRule type="cellIs" dxfId="9" priority="6" stopIfTrue="1" operator="notEqual">
      <formula>G36</formula>
    </cfRule>
  </conditionalFormatting>
  <conditionalFormatting sqref="B35:B36">
    <cfRule type="cellIs" dxfId="8" priority="5" stopIfTrue="1" operator="notEqual">
      <formula>G42</formula>
    </cfRule>
  </conditionalFormatting>
  <conditionalFormatting sqref="B38:B39">
    <cfRule type="cellIs" dxfId="7" priority="147" stopIfTrue="1" operator="notEqual">
      <formula>G43</formula>
    </cfRule>
  </conditionalFormatting>
  <conditionalFormatting sqref="B41">
    <cfRule type="cellIs" dxfId="6" priority="4" stopIfTrue="1" operator="notEqual">
      <formula>G53</formula>
    </cfRule>
  </conditionalFormatting>
  <conditionalFormatting sqref="B43:B45">
    <cfRule type="cellIs" dxfId="5" priority="13" stopIfTrue="1" operator="notEqual">
      <formula>G54</formula>
    </cfRule>
  </conditionalFormatting>
  <conditionalFormatting sqref="B46">
    <cfRule type="cellIs" dxfId="4" priority="2" stopIfTrue="1" operator="notEqual">
      <formula>G66</formula>
    </cfRule>
  </conditionalFormatting>
  <conditionalFormatting sqref="B48:B53">
    <cfRule type="cellIs" dxfId="3" priority="9" stopIfTrue="1" operator="notEqual">
      <formula>G68</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182880</xdr:colOff>
                <xdr:row>111</xdr:row>
                <xdr:rowOff>144780</xdr:rowOff>
              </from>
              <to>
                <xdr:col>36</xdr:col>
                <xdr:colOff>15240</xdr:colOff>
                <xdr:row>125</xdr:row>
                <xdr:rowOff>144780</xdr:rowOff>
              </to>
            </anchor>
          </objectPr>
        </oleObject>
      </mc:Choice>
      <mc:Fallback>
        <oleObject progId="Visio.Drawing.11" shapeId="6830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7030A0"/>
  </sheetPr>
  <dimension ref="B1:FL329"/>
  <sheetViews>
    <sheetView topLeftCell="CG1" zoomScale="70" zoomScaleNormal="70" workbookViewId="0">
      <pane ySplit="3" topLeftCell="A124" activePane="bottomLeft" state="frozen"/>
      <selection pane="bottomLeft" activeCell="AQ210" sqref="AQ210"/>
    </sheetView>
  </sheetViews>
  <sheetFormatPr defaultRowHeight="13.2"/>
  <cols>
    <col min="1" max="1" width="2.77734375" customWidth="1"/>
    <col min="2" max="2" width="3.5546875" customWidth="1"/>
    <col min="3" max="3" width="2.77734375" customWidth="1"/>
    <col min="4" max="4" width="3.77734375" customWidth="1"/>
    <col min="5" max="5" width="6.21875" customWidth="1"/>
    <col min="6" max="8" width="7.77734375" customWidth="1"/>
    <col min="9" max="9" width="6.21875" customWidth="1"/>
    <col min="10" max="10" width="9.5546875" customWidth="1"/>
    <col min="11" max="11" width="9.21875" customWidth="1"/>
    <col min="12" max="12" width="1.77734375" customWidth="1"/>
    <col min="13" max="13" width="8.44140625" customWidth="1"/>
    <col min="14" max="15" width="9.5546875" customWidth="1"/>
    <col min="16" max="16" width="8.77734375" customWidth="1"/>
    <col min="17" max="18" width="8.5546875" customWidth="1"/>
    <col min="19" max="19" width="15.44140625" customWidth="1"/>
    <col min="20" max="20" width="10.44140625" customWidth="1"/>
    <col min="21" max="21" width="7.5546875" customWidth="1"/>
    <col min="22" max="22" width="9" customWidth="1"/>
    <col min="23" max="23" width="8.77734375" customWidth="1"/>
    <col min="24" max="24" width="10" customWidth="1"/>
    <col min="25" max="25" width="9.5546875" customWidth="1"/>
    <col min="26" max="26" width="1.77734375" customWidth="1"/>
    <col min="27" max="27" width="9.77734375" customWidth="1"/>
    <col min="28" max="28" width="10.44140625" customWidth="1"/>
    <col min="29" max="29" width="10.21875" customWidth="1"/>
    <col min="30" max="30" width="2" customWidth="1"/>
    <col min="31" max="31" width="9.21875" customWidth="1"/>
    <col min="32" max="32" width="9.44140625" customWidth="1"/>
    <col min="33" max="33" width="10.44140625" customWidth="1"/>
    <col min="34" max="34" width="2.21875" customWidth="1"/>
    <col min="36" max="36" width="8" customWidth="1"/>
    <col min="38" max="38" width="2.21875" customWidth="1"/>
    <col min="39" max="39" width="6.5546875" customWidth="1"/>
    <col min="40" max="40" width="7.5546875" customWidth="1"/>
    <col min="41" max="41" width="2" customWidth="1"/>
    <col min="42" max="42" width="6.44140625" customWidth="1"/>
    <col min="43" max="43" width="7.5546875" customWidth="1"/>
    <col min="44" max="44" width="2.21875" customWidth="1"/>
    <col min="45" max="48" width="7" customWidth="1"/>
    <col min="49" max="50" width="8.44140625" customWidth="1"/>
    <col min="51" max="52" width="11" customWidth="1"/>
    <col min="53" max="53" width="9.44140625" customWidth="1"/>
    <col min="54" max="54" width="9.77734375" customWidth="1"/>
    <col min="55" max="55" width="2" customWidth="1"/>
    <col min="58" max="58" width="2.21875" customWidth="1"/>
    <col min="59" max="59" width="9" customWidth="1"/>
    <col min="60" max="61" width="8.21875" customWidth="1"/>
    <col min="62" max="62" width="8.77734375" customWidth="1"/>
    <col min="63" max="64" width="7.5546875" customWidth="1"/>
    <col min="65" max="65" width="10.5546875" customWidth="1"/>
    <col min="66" max="66" width="8.77734375" customWidth="1"/>
    <col min="67" max="68" width="10.21875" customWidth="1"/>
    <col min="69" max="70" width="10.5546875" customWidth="1"/>
    <col min="71" max="71" width="8.77734375" customWidth="1"/>
    <col min="73" max="73" width="9.77734375" customWidth="1"/>
    <col min="74" max="74" width="11.5546875" customWidth="1"/>
    <col min="75" max="75" width="12.21875" customWidth="1"/>
    <col min="76" max="76" width="9.21875" customWidth="1"/>
    <col min="78" max="78" width="7.77734375" customWidth="1"/>
    <col min="79" max="79" width="10.44140625" customWidth="1"/>
    <col min="80" max="80" width="12.44140625" bestFit="1" customWidth="1"/>
    <col min="81" max="81" width="4.5546875" customWidth="1"/>
    <col min="82" max="82" width="5" customWidth="1"/>
    <col min="83" max="83" width="9.5546875" customWidth="1"/>
    <col min="85" max="85" width="12.5546875" customWidth="1"/>
    <col min="86" max="86" width="11.5546875" customWidth="1"/>
    <col min="87" max="87" width="6.21875" customWidth="1"/>
    <col min="88" max="90" width="7.77734375" customWidth="1"/>
    <col min="91" max="91" width="6.21875" customWidth="1"/>
    <col min="92" max="92" width="9.5546875" customWidth="1"/>
    <col min="93" max="93" width="9.21875" customWidth="1"/>
    <col min="94" max="94" width="1.77734375" customWidth="1"/>
    <col min="95" max="95" width="8.44140625" customWidth="1"/>
    <col min="96" max="97" width="9.5546875" customWidth="1"/>
    <col min="98" max="98" width="8.77734375" customWidth="1"/>
    <col min="99" max="100" width="8.5546875" customWidth="1"/>
    <col min="101" max="101" width="15.44140625" customWidth="1"/>
    <col min="102" max="102" width="10.44140625" customWidth="1"/>
    <col min="103" max="103" width="7.5546875" customWidth="1"/>
    <col min="104" max="104" width="9" customWidth="1"/>
    <col min="105" max="105" width="8.77734375" customWidth="1"/>
    <col min="106" max="106" width="10" customWidth="1"/>
    <col min="107" max="107" width="9.5546875" customWidth="1"/>
    <col min="108" max="108" width="1.77734375" customWidth="1"/>
    <col min="109" max="109" width="9.77734375" customWidth="1"/>
    <col min="110" max="110" width="10.44140625" customWidth="1"/>
    <col min="111" max="111" width="10.21875" customWidth="1"/>
    <col min="112" max="112" width="2" customWidth="1"/>
    <col min="113" max="113" width="9.21875" customWidth="1"/>
    <col min="114" max="114" width="9.44140625" customWidth="1"/>
    <col min="115" max="115" width="10.44140625" customWidth="1"/>
    <col min="116" max="116" width="2.21875" customWidth="1"/>
    <col min="118" max="118" width="8" customWidth="1"/>
    <col min="120" max="120" width="2.21875" customWidth="1"/>
    <col min="121" max="121" width="6.5546875" customWidth="1"/>
    <col min="122" max="122" width="7.5546875" customWidth="1"/>
    <col min="123" max="123" width="2" customWidth="1"/>
    <col min="124" max="124" width="6.44140625" customWidth="1"/>
    <col min="125" max="125" width="7.5546875" customWidth="1"/>
    <col min="126" max="126" width="2.21875" customWidth="1"/>
    <col min="127" max="130" width="7" customWidth="1"/>
    <col min="131" max="132" width="8.44140625" customWidth="1"/>
    <col min="133" max="134" width="11" customWidth="1"/>
    <col min="135" max="135" width="9.44140625" customWidth="1"/>
    <col min="136" max="136" width="9.77734375" customWidth="1"/>
    <col min="137" max="137" width="2" customWidth="1"/>
    <col min="140" max="140" width="2.21875" customWidth="1"/>
    <col min="141" max="141" width="9" customWidth="1"/>
    <col min="142" max="143" width="8.21875" customWidth="1"/>
    <col min="145" max="146" width="7.5546875" customWidth="1"/>
    <col min="147" max="147" width="10.5546875" customWidth="1"/>
    <col min="149" max="150" width="10.21875" customWidth="1"/>
    <col min="151" max="152" width="10.5546875" customWidth="1"/>
    <col min="155" max="155" width="9.77734375" customWidth="1"/>
    <col min="156" max="156" width="11.5546875" customWidth="1"/>
    <col min="157" max="157" width="12.21875" customWidth="1"/>
    <col min="158" max="158" width="9.21875" customWidth="1"/>
    <col min="160" max="160" width="7.77734375" customWidth="1"/>
    <col min="161" max="161" width="10.44140625" customWidth="1"/>
    <col min="162" max="162" width="12.44140625" bestFit="1" customWidth="1"/>
    <col min="163" max="163" width="4.5546875" customWidth="1"/>
    <col min="164" max="164" width="5" customWidth="1"/>
    <col min="165" max="165" width="9.5546875" customWidth="1"/>
    <col min="168" max="168" width="12.21875" bestFit="1" customWidth="1"/>
  </cols>
  <sheetData>
    <row r="1" spans="2:168" ht="24.6">
      <c r="B1" s="159" t="s">
        <v>824</v>
      </c>
      <c r="M1">
        <f>Vfwd2</f>
        <v>0.7</v>
      </c>
      <c r="BB1">
        <f>Ltc</f>
        <v>4.0000000000000001E-3</v>
      </c>
      <c r="BT1">
        <f>Ta</f>
        <v>85</v>
      </c>
      <c r="CI1" s="665" t="s">
        <v>823</v>
      </c>
      <c r="CQ1">
        <f>Vfwd2</f>
        <v>0.7</v>
      </c>
      <c r="EF1">
        <f>Ltc</f>
        <v>4.0000000000000001E-3</v>
      </c>
      <c r="EX1">
        <f>Ta</f>
        <v>85</v>
      </c>
    </row>
    <row r="2" spans="2:168" ht="13.8" thickBot="1">
      <c r="M2">
        <f>Vfwd1</f>
        <v>0.4</v>
      </c>
      <c r="U2">
        <f>Isw_max</f>
        <v>30.303030303030305</v>
      </c>
      <c r="CQ2">
        <f>Vfwd1</f>
        <v>0.4</v>
      </c>
      <c r="CY2">
        <f>Isw_max</f>
        <v>30.303030303030305</v>
      </c>
    </row>
    <row r="3" spans="2:168">
      <c r="E3" s="191" t="s">
        <v>421</v>
      </c>
      <c r="F3" s="464"/>
      <c r="G3" s="464"/>
      <c r="H3" s="464"/>
      <c r="I3" s="192"/>
      <c r="J3" s="193"/>
      <c r="K3" s="452"/>
      <c r="L3" s="452"/>
      <c r="M3" s="814" t="s">
        <v>189</v>
      </c>
      <c r="N3" s="815"/>
      <c r="O3" s="817"/>
      <c r="P3" s="814"/>
      <c r="Q3" s="814"/>
      <c r="R3" s="817"/>
      <c r="S3" s="817"/>
      <c r="T3" s="817"/>
      <c r="U3" s="814"/>
      <c r="V3" s="815"/>
      <c r="W3" s="815"/>
      <c r="X3" s="814"/>
      <c r="Y3" s="815"/>
      <c r="Z3" s="814"/>
      <c r="AA3" s="816"/>
      <c r="AB3" s="461"/>
      <c r="AC3" s="461"/>
      <c r="AD3" s="461"/>
      <c r="AE3" s="461"/>
      <c r="AF3" s="461"/>
      <c r="AG3" s="461"/>
      <c r="AH3" s="461"/>
      <c r="AI3" s="461"/>
      <c r="AJ3" s="461"/>
      <c r="AK3" s="461"/>
      <c r="AL3" s="461"/>
      <c r="AM3" s="461"/>
      <c r="AN3" s="461"/>
      <c r="AO3" s="461"/>
      <c r="AP3" s="461"/>
      <c r="AQ3" s="461"/>
      <c r="AR3" s="461"/>
      <c r="AS3" s="461" t="s">
        <v>460</v>
      </c>
      <c r="AT3" s="461"/>
      <c r="AU3" s="461"/>
      <c r="AV3" s="461"/>
      <c r="AW3" s="461"/>
      <c r="AX3" s="461"/>
      <c r="AY3" s="461"/>
      <c r="AZ3" s="461"/>
      <c r="BA3" s="461" t="s">
        <v>470</v>
      </c>
      <c r="BB3" s="461"/>
      <c r="BC3" s="461"/>
      <c r="BD3" s="480" t="s">
        <v>471</v>
      </c>
      <c r="BE3" s="461"/>
      <c r="BF3" s="461"/>
      <c r="BG3" s="480" t="s">
        <v>888</v>
      </c>
      <c r="BH3" s="461"/>
      <c r="BI3" s="461"/>
      <c r="BJ3" s="461"/>
      <c r="BK3" s="461"/>
      <c r="BL3" s="461"/>
      <c r="BM3" s="461"/>
      <c r="BN3" s="461"/>
      <c r="BO3" s="480" t="s">
        <v>489</v>
      </c>
      <c r="BP3" s="461"/>
      <c r="BQ3" s="461"/>
      <c r="BR3" s="461"/>
      <c r="BS3" s="481" t="s">
        <v>490</v>
      </c>
      <c r="BT3" s="461"/>
      <c r="BU3" s="461"/>
      <c r="BV3" s="461"/>
      <c r="BW3" s="461"/>
      <c r="BX3" s="461"/>
      <c r="BY3" s="480"/>
      <c r="BZ3" s="461"/>
      <c r="CA3" s="461"/>
      <c r="CB3" s="461"/>
      <c r="CC3" s="461"/>
      <c r="CI3" s="191" t="s">
        <v>421</v>
      </c>
      <c r="CJ3" s="464"/>
      <c r="CK3" s="464"/>
      <c r="CL3" s="464"/>
      <c r="CM3" s="192"/>
      <c r="CN3" s="193"/>
      <c r="CO3" s="452"/>
      <c r="CP3" s="452"/>
      <c r="CQ3" s="814" t="s">
        <v>189</v>
      </c>
      <c r="CR3" s="815"/>
      <c r="CS3" s="817"/>
      <c r="CT3" s="814"/>
      <c r="CU3" s="814"/>
      <c r="CV3" s="817"/>
      <c r="CW3" s="817"/>
      <c r="CX3" s="817"/>
      <c r="CY3" s="814"/>
      <c r="CZ3" s="815"/>
      <c r="DA3" s="815"/>
      <c r="DB3" s="814"/>
      <c r="DC3" s="815"/>
      <c r="DD3" s="814"/>
      <c r="DE3" s="816"/>
      <c r="DF3" s="461"/>
      <c r="DG3" s="461"/>
      <c r="DH3" s="461"/>
      <c r="DI3" s="461"/>
      <c r="DJ3" s="461"/>
      <c r="DK3" s="461"/>
      <c r="DL3" s="461"/>
      <c r="DM3" s="461"/>
      <c r="DN3" s="461"/>
      <c r="DO3" s="461"/>
      <c r="DP3" s="461"/>
      <c r="DQ3" s="461"/>
      <c r="DR3" s="461"/>
      <c r="DS3" s="461"/>
      <c r="DT3" s="461"/>
      <c r="DU3" s="461"/>
      <c r="DV3" s="461"/>
      <c r="DW3" s="461" t="s">
        <v>460</v>
      </c>
      <c r="DX3" s="461"/>
      <c r="DY3" s="461"/>
      <c r="DZ3" s="461"/>
      <c r="EA3" s="461"/>
      <c r="EB3" s="461"/>
      <c r="EC3" s="461"/>
      <c r="ED3" s="461"/>
      <c r="EE3" s="461" t="s">
        <v>470</v>
      </c>
      <c r="EF3" s="461"/>
      <c r="EG3" s="461"/>
      <c r="EH3" s="480" t="s">
        <v>471</v>
      </c>
      <c r="EI3" s="461"/>
      <c r="EJ3" s="461"/>
      <c r="EK3" s="480" t="s">
        <v>493</v>
      </c>
      <c r="EL3" s="461"/>
      <c r="EM3" s="461"/>
      <c r="EN3" s="461"/>
      <c r="EO3" s="461"/>
      <c r="EP3" s="461"/>
      <c r="EQ3" s="461"/>
      <c r="ER3" s="461"/>
      <c r="ES3" s="480" t="s">
        <v>489</v>
      </c>
      <c r="ET3" s="461"/>
      <c r="EU3" s="461"/>
      <c r="EV3" s="461"/>
      <c r="EW3" s="481" t="s">
        <v>490</v>
      </c>
      <c r="EX3" s="461"/>
      <c r="EY3" s="461"/>
      <c r="EZ3" s="461"/>
      <c r="FA3" s="461"/>
      <c r="FB3" s="461"/>
      <c r="FC3" s="480"/>
      <c r="FD3" s="461"/>
      <c r="FE3" s="461"/>
      <c r="FF3" s="461"/>
      <c r="FG3" s="461"/>
    </row>
    <row r="4" spans="2:168" ht="45" customHeight="1" thickBot="1">
      <c r="E4" s="211" t="s">
        <v>25</v>
      </c>
      <c r="F4" s="380" t="s">
        <v>194</v>
      </c>
      <c r="G4" s="230"/>
      <c r="H4" s="455" t="s">
        <v>223</v>
      </c>
      <c r="I4" s="212" t="s">
        <v>412</v>
      </c>
      <c r="J4" s="213" t="s">
        <v>418</v>
      </c>
      <c r="K4" s="455" t="s">
        <v>413</v>
      </c>
      <c r="L4" s="455"/>
      <c r="M4" s="214" t="s">
        <v>48</v>
      </c>
      <c r="N4" s="455" t="s">
        <v>402</v>
      </c>
      <c r="O4" s="455" t="s">
        <v>656</v>
      </c>
      <c r="P4" s="455" t="s">
        <v>403</v>
      </c>
      <c r="Q4" s="455" t="s">
        <v>433</v>
      </c>
      <c r="R4" s="455" t="s">
        <v>654</v>
      </c>
      <c r="S4" s="455" t="s">
        <v>657</v>
      </c>
      <c r="T4" s="455" t="s">
        <v>655</v>
      </c>
      <c r="U4" s="455" t="s">
        <v>414</v>
      </c>
      <c r="V4" s="455" t="s">
        <v>466</v>
      </c>
      <c r="W4" s="455" t="s">
        <v>465</v>
      </c>
      <c r="X4" s="469" t="s">
        <v>420</v>
      </c>
      <c r="Y4" s="466" t="s">
        <v>425</v>
      </c>
      <c r="AA4" s="215" t="s">
        <v>417</v>
      </c>
      <c r="AB4" s="215" t="s">
        <v>464</v>
      </c>
      <c r="AC4" s="215" t="s">
        <v>423</v>
      </c>
      <c r="AD4" s="468"/>
      <c r="AE4" s="215" t="s">
        <v>463</v>
      </c>
      <c r="AF4" s="215" t="s">
        <v>681</v>
      </c>
      <c r="AG4" s="215" t="s">
        <v>427</v>
      </c>
      <c r="AH4" s="468"/>
      <c r="AI4" s="215" t="s">
        <v>429</v>
      </c>
      <c r="AJ4" s="470" t="s">
        <v>430</v>
      </c>
      <c r="AK4" s="470" t="s">
        <v>431</v>
      </c>
      <c r="AM4" s="467" t="s">
        <v>275</v>
      </c>
      <c r="AN4" s="467" t="s">
        <v>432</v>
      </c>
      <c r="AP4" s="215" t="s">
        <v>275</v>
      </c>
      <c r="AQ4" s="215" t="s">
        <v>432</v>
      </c>
      <c r="AR4" s="471"/>
      <c r="AS4" s="215" t="s">
        <v>467</v>
      </c>
      <c r="AT4" s="215" t="s">
        <v>461</v>
      </c>
      <c r="AU4" s="215" t="s">
        <v>462</v>
      </c>
      <c r="AV4" s="215" t="s">
        <v>653</v>
      </c>
      <c r="AW4" s="215" t="s">
        <v>48</v>
      </c>
      <c r="AX4" s="471" t="s">
        <v>651</v>
      </c>
      <c r="AY4" s="468" t="s">
        <v>650</v>
      </c>
      <c r="AZ4" s="468" t="s">
        <v>652</v>
      </c>
      <c r="BA4" s="215" t="s">
        <v>481</v>
      </c>
      <c r="BB4" s="215" t="s">
        <v>514</v>
      </c>
      <c r="BC4" s="468"/>
      <c r="BD4" s="479" t="s">
        <v>456</v>
      </c>
      <c r="BE4" s="215" t="s">
        <v>457</v>
      </c>
      <c r="BF4" s="468"/>
      <c r="BG4" s="479" t="s">
        <v>474</v>
      </c>
      <c r="BH4" s="215" t="s">
        <v>475</v>
      </c>
      <c r="BI4" s="215" t="s">
        <v>473</v>
      </c>
      <c r="BJ4" s="215" t="s">
        <v>469</v>
      </c>
      <c r="BK4" s="215" t="s">
        <v>478</v>
      </c>
      <c r="BL4" s="215" t="s">
        <v>777</v>
      </c>
      <c r="BM4" s="215" t="s">
        <v>776</v>
      </c>
      <c r="BN4" s="215" t="s">
        <v>491</v>
      </c>
      <c r="BO4" s="479" t="s">
        <v>476</v>
      </c>
      <c r="BP4" s="215" t="s">
        <v>477</v>
      </c>
      <c r="BQ4" s="215" t="s">
        <v>483</v>
      </c>
      <c r="BR4" s="215" t="s">
        <v>487</v>
      </c>
      <c r="BS4" s="479" t="s">
        <v>458</v>
      </c>
      <c r="BT4" s="215" t="s">
        <v>459</v>
      </c>
      <c r="BU4" s="215" t="s">
        <v>468</v>
      </c>
      <c r="BV4" s="215" t="s">
        <v>666</v>
      </c>
      <c r="BW4" s="215" t="s">
        <v>484</v>
      </c>
      <c r="BX4" s="215" t="s">
        <v>667</v>
      </c>
      <c r="BY4" s="479" t="s">
        <v>482</v>
      </c>
      <c r="BZ4" s="215" t="s">
        <v>223</v>
      </c>
      <c r="CA4" s="215" t="s">
        <v>47</v>
      </c>
      <c r="CB4" s="215" t="s">
        <v>485</v>
      </c>
      <c r="CC4" s="215"/>
      <c r="CE4" s="490" t="s">
        <v>664</v>
      </c>
      <c r="CF4" s="490" t="s">
        <v>665</v>
      </c>
      <c r="CG4" s="667" t="s">
        <v>828</v>
      </c>
      <c r="CI4" s="211" t="s">
        <v>25</v>
      </c>
      <c r="CJ4" s="380" t="s">
        <v>194</v>
      </c>
      <c r="CK4" s="230"/>
      <c r="CL4" s="455" t="s">
        <v>223</v>
      </c>
      <c r="CM4" s="212" t="s">
        <v>412</v>
      </c>
      <c r="CN4" s="213" t="s">
        <v>418</v>
      </c>
      <c r="CO4" s="455" t="s">
        <v>413</v>
      </c>
      <c r="CP4" s="455"/>
      <c r="CQ4" s="214" t="s">
        <v>48</v>
      </c>
      <c r="CR4" s="455" t="s">
        <v>402</v>
      </c>
      <c r="CS4" s="455" t="s">
        <v>656</v>
      </c>
      <c r="CT4" s="455" t="s">
        <v>403</v>
      </c>
      <c r="CU4" s="455" t="s">
        <v>433</v>
      </c>
      <c r="CV4" s="455" t="s">
        <v>654</v>
      </c>
      <c r="CW4" s="455" t="s">
        <v>657</v>
      </c>
      <c r="CX4" s="455" t="s">
        <v>655</v>
      </c>
      <c r="CY4" s="455" t="s">
        <v>414</v>
      </c>
      <c r="CZ4" s="455" t="s">
        <v>466</v>
      </c>
      <c r="DA4" s="455" t="s">
        <v>465</v>
      </c>
      <c r="DB4" s="469" t="s">
        <v>420</v>
      </c>
      <c r="DC4" s="466" t="s">
        <v>425</v>
      </c>
      <c r="DE4" s="215" t="s">
        <v>417</v>
      </c>
      <c r="DF4" s="215" t="s">
        <v>464</v>
      </c>
      <c r="DG4" s="215" t="s">
        <v>423</v>
      </c>
      <c r="DH4" s="468"/>
      <c r="DI4" s="215" t="s">
        <v>463</v>
      </c>
      <c r="DJ4" s="215" t="s">
        <v>681</v>
      </c>
      <c r="DK4" s="215" t="s">
        <v>427</v>
      </c>
      <c r="DL4" s="468"/>
      <c r="DM4" s="215" t="s">
        <v>429</v>
      </c>
      <c r="DN4" s="470" t="s">
        <v>430</v>
      </c>
      <c r="DO4" s="470" t="s">
        <v>431</v>
      </c>
      <c r="DQ4" s="467" t="s">
        <v>275</v>
      </c>
      <c r="DR4" s="467" t="s">
        <v>432</v>
      </c>
      <c r="DT4" s="215" t="s">
        <v>275</v>
      </c>
      <c r="DU4" s="215" t="s">
        <v>432</v>
      </c>
      <c r="DV4" s="471"/>
      <c r="DW4" s="215" t="s">
        <v>467</v>
      </c>
      <c r="DX4" s="215" t="s">
        <v>461</v>
      </c>
      <c r="DY4" s="215" t="s">
        <v>462</v>
      </c>
      <c r="DZ4" s="215" t="s">
        <v>653</v>
      </c>
      <c r="EA4" s="215" t="s">
        <v>48</v>
      </c>
      <c r="EB4" s="471" t="s">
        <v>651</v>
      </c>
      <c r="EC4" s="468" t="s">
        <v>650</v>
      </c>
      <c r="ED4" s="468" t="s">
        <v>652</v>
      </c>
      <c r="EE4" s="215" t="s">
        <v>481</v>
      </c>
      <c r="EF4" s="215" t="s">
        <v>514</v>
      </c>
      <c r="EG4" s="468"/>
      <c r="EH4" s="479" t="s">
        <v>456</v>
      </c>
      <c r="EI4" s="215" t="s">
        <v>457</v>
      </c>
      <c r="EJ4" s="468"/>
      <c r="EK4" s="479" t="s">
        <v>474</v>
      </c>
      <c r="EL4" s="215" t="s">
        <v>475</v>
      </c>
      <c r="EM4" s="215" t="s">
        <v>473</v>
      </c>
      <c r="EN4" s="215" t="s">
        <v>469</v>
      </c>
      <c r="EO4" s="215" t="s">
        <v>478</v>
      </c>
      <c r="EP4" s="215" t="s">
        <v>777</v>
      </c>
      <c r="EQ4" s="215" t="s">
        <v>776</v>
      </c>
      <c r="ER4" s="215" t="s">
        <v>491</v>
      </c>
      <c r="ES4" s="479" t="s">
        <v>476</v>
      </c>
      <c r="ET4" s="215" t="s">
        <v>477</v>
      </c>
      <c r="EU4" s="215" t="s">
        <v>483</v>
      </c>
      <c r="EV4" s="215" t="s">
        <v>487</v>
      </c>
      <c r="EW4" s="479" t="s">
        <v>458</v>
      </c>
      <c r="EX4" s="215" t="s">
        <v>459</v>
      </c>
      <c r="EY4" s="215" t="s">
        <v>468</v>
      </c>
      <c r="EZ4" s="215" t="s">
        <v>666</v>
      </c>
      <c r="FA4" s="215" t="s">
        <v>484</v>
      </c>
      <c r="FB4" s="215" t="s">
        <v>667</v>
      </c>
      <c r="FC4" s="479" t="s">
        <v>482</v>
      </c>
      <c r="FD4" s="215" t="s">
        <v>223</v>
      </c>
      <c r="FE4" s="215" t="s">
        <v>47</v>
      </c>
      <c r="FF4" s="215" t="s">
        <v>485</v>
      </c>
      <c r="FG4" s="215"/>
      <c r="FI4" s="490" t="s">
        <v>664</v>
      </c>
      <c r="FJ4" s="490" t="s">
        <v>665</v>
      </c>
      <c r="FL4" t="s">
        <v>825</v>
      </c>
    </row>
    <row r="5" spans="2:168">
      <c r="E5" s="147">
        <v>0.1</v>
      </c>
      <c r="F5" s="188">
        <v>1.0000000000000001E-9</v>
      </c>
      <c r="G5" s="188"/>
      <c r="H5" s="188">
        <f t="shared" ref="H5:H36" si="0">F5*Vout</f>
        <v>3.0000000000000004E-8</v>
      </c>
      <c r="I5" s="465">
        <f t="shared" ref="I5:I36" si="1">Vin-F5*(Rdcr_pri+RON/1000)/CG5/Nps</f>
        <v>33.9999865915238</v>
      </c>
      <c r="J5" s="149">
        <f t="shared" ref="J5:J36" si="2">(T5+Vfwd1+F5/CG5*Rdcr_sec)*Nps</f>
        <v>30.400007219948723</v>
      </c>
      <c r="K5" s="149">
        <f t="shared" ref="K5:K36" si="3">(Vout+Vfwd1+F5/CG5*Rdcr_sec)*Nps+VIN_nom</f>
        <v>64.400007219948719</v>
      </c>
      <c r="L5" s="379"/>
      <c r="M5" s="188">
        <f t="shared" ref="M5:M36" si="4">(Vout+Vfwd1+F5/FL5*Rdcr_sec)*Nps/((Vout+Vfwd1+F5/FL5*Rdcr_sec)*Nps+I5)</f>
        <v>0.47204984730698524</v>
      </c>
      <c r="N5" s="149">
        <f t="shared" ref="N5:N36" si="5">M5*I5*(Isw_max+VIN_nom/Lmag*ILIM_delay)*0.5*Efficiency</f>
        <v>244.9186601075221</v>
      </c>
      <c r="O5" s="149">
        <f>T5*F5</f>
        <v>3.0000000000000004E-8</v>
      </c>
      <c r="P5" s="188">
        <f t="shared" ref="P5:P36" si="6">N5/Vout</f>
        <v>8.1639553369174038</v>
      </c>
      <c r="Q5" s="188">
        <f t="shared" ref="Q5:Q36" si="7">MIN(Vout,N5/F5)</f>
        <v>30</v>
      </c>
      <c r="R5" s="188">
        <f t="shared" ref="R5:R36" si="8">Isw_max/2*I5*Nps*(Q5+Vfwd1+F5/FL5*Rdcr_sec)/Q5/(I5+Nps*(Q5+Vfwd1+F5/FL5*Rdcr_sec))</f>
        <v>8.1059032722062394</v>
      </c>
      <c r="S5" s="149">
        <f t="shared" ref="S5:S36" si="9">(SQRT(Isw_max^2*Nps^2*I5^2+4*Isw_max*F5/Efficiency*(Nps^2*Vfwd1*I5-Nps*I5^2)+4*(F5/Efficiency)^2*Nps^2*Vfwd1^2+8*(F5/Efficiency)^2*Nps*Vfwd1*I5+4*(F5/Efficiency)^2*I5^2)-2*F5/Efficiency*I5-2*F5/Efficiency*Nps*Vfwd1+Isw_max*Nps*I5)/(4*F5/Efficiency*Nps)</f>
        <v>515151311958.78479</v>
      </c>
      <c r="T5" s="149">
        <f t="shared" ref="T5:T36" si="10">MIN(Vout, S5)</f>
        <v>30</v>
      </c>
      <c r="U5" s="188">
        <f>MIN(2*(Vout+Vfwd1+F5/FL5*Rdcr_sec)*F5/(I5*M5), Isw_max)</f>
        <v>3.7882364268638301E-9</v>
      </c>
      <c r="V5" s="188">
        <f t="shared" ref="V5:V68" si="11">L*U5/I5*1000000</f>
        <v>5.2366818317212853E-10</v>
      </c>
      <c r="W5" s="188">
        <f t="shared" ref="W5:W36" si="12">L*U5/J5*1000000</f>
        <v>5.8568115058131993E-10</v>
      </c>
      <c r="X5" s="172">
        <f t="shared" ref="X5:X36" si="13">IF(1/((350000*L)*(1/I5+1/J5))&gt;Isw_min, 350, 0.001/((Isw_min*L)*(1/I5+1/J5)))</f>
        <v>350</v>
      </c>
      <c r="Y5" s="379">
        <f t="shared" ref="Y5:Y68" si="14">MIN(1/(V5+W5+0.2)*1000, 350)</f>
        <v>350</v>
      </c>
      <c r="AA5" s="188">
        <f t="shared" ref="AA5:AA36" si="15">1/((X5*1000*L)*(1/I5+1/J5))</f>
        <v>9.7566495231590302</v>
      </c>
      <c r="AB5" s="150">
        <f t="shared" ref="AB5:AB36" si="16">L*AA5/J5*1000000</f>
        <v>1.5084290088180048</v>
      </c>
      <c r="AC5" s="150">
        <f t="shared" ref="AC5:AC36" si="17">0.5*AB5*AA5*Nps*X5/1000</f>
        <v>2.575512304680601</v>
      </c>
      <c r="AD5" s="150"/>
      <c r="AE5" s="150">
        <f t="shared" ref="AE5:AE36" si="18">L*Isw_min/J5*1000000</f>
        <v>0.93700137236008618</v>
      </c>
      <c r="AF5" s="314">
        <f>MAX(12, F5/(0.5*AE5/1000000*Isw_min*Nps)/1000)</f>
        <v>12</v>
      </c>
      <c r="AG5" s="456">
        <f t="shared" ref="AG5:AG36" si="19">0.5*AE5/1000000*Isw_min*Nps*X5*1000</f>
        <v>0.99378933432130367</v>
      </c>
      <c r="AI5" s="150">
        <f t="shared" ref="AI5:AI36" si="20">SQRT(F5/Efficiency/(0.5*L/J5*Fsw_DCM*Nps))</f>
        <v>1.9225112509486548E-4</v>
      </c>
      <c r="AJ5" s="150">
        <f t="shared" ref="AJ5:AJ36" si="21">MAX(IF(F5&gt;AC5,U5,AI5),Isw_min)</f>
        <v>6.0606060606060606</v>
      </c>
      <c r="AK5" s="150">
        <f t="shared" ref="AK5:AK36" si="22">IF(F5&gt;AG5, (AJ5-Isw_min)/1.08*0.8+1.2, AF5*0.2/350+1)</f>
        <v>1.0068571428571429</v>
      </c>
      <c r="AM5" s="314">
        <f t="shared" ref="AM5:AM36" si="23">F5*1000</f>
        <v>1.0000000000000002E-6</v>
      </c>
      <c r="AN5" s="144">
        <f t="shared" ref="AN5:AN36" si="24">IF(F5&gt;AG5, Y5, AF5)</f>
        <v>12</v>
      </c>
      <c r="AP5">
        <f t="shared" ref="AP5:AP36" si="25">IF(H5&gt;N5, "",AM5)</f>
        <v>1.0000000000000002E-6</v>
      </c>
      <c r="AQ5" s="144">
        <f t="shared" ref="AQ5:AQ36" si="26">IF(H5&gt;N5, "",AN5)</f>
        <v>12</v>
      </c>
      <c r="AR5" s="144"/>
      <c r="AS5" s="5">
        <f>1/AN5*1000</f>
        <v>83.333333333333329</v>
      </c>
      <c r="AT5" s="5">
        <f t="shared" ref="AT5:AT36" si="27">L*AJ5/I5*1000000</f>
        <v>0.8377899917157543</v>
      </c>
      <c r="AU5" s="5">
        <f>AS5-AT5</f>
        <v>82.495543341617577</v>
      </c>
      <c r="AV5" s="5">
        <f t="shared" ref="AV5:AV36" si="28">L*AJ5/J5*1000000</f>
        <v>0.93700137236008618</v>
      </c>
      <c r="AW5" s="150">
        <f>AT5/AS5</f>
        <v>1.0053479900589052E-2</v>
      </c>
      <c r="AX5" s="150">
        <f t="shared" ref="AX5:AX36" si="29">0.5*L*AJ5^2*AN5*1000</f>
        <v>1.0358126721763083</v>
      </c>
      <c r="AY5" s="150">
        <f t="shared" ref="AY5:AY36" si="30">AJ5*Nps/2*(1-AW5)</f>
        <v>2.9998379396951846</v>
      </c>
      <c r="AZ5" s="150">
        <f>AX5/AY5</f>
        <v>0.34528954330164846</v>
      </c>
      <c r="BA5" s="144">
        <f t="shared" ref="BA5:BA36" si="31">F5*AT5/Vout_ripple*1000</f>
        <v>2.7926333057191813E-9</v>
      </c>
      <c r="BB5" s="5">
        <f t="shared" ref="BB5:BB36" si="32">H5/Efficiency/I5*AU5/Vinripple1</f>
        <v>4.2817772945577502E-8</v>
      </c>
      <c r="BC5" s="5"/>
      <c r="BD5" s="150">
        <f>AJ5*SQRT(AW5/3)</f>
        <v>0.35084366202514561</v>
      </c>
      <c r="BE5" s="150">
        <f t="shared" ref="BE5:BE36" si="33">AJ5*Nps*SQRT((1-AW5)/3)</f>
        <v>3.4814590809173325</v>
      </c>
      <c r="BF5" s="150"/>
      <c r="BG5" s="456">
        <f t="shared" ref="BG5:BG36" si="34">Rdson*BD5^2</f>
        <v>1.4770953021985753E-3</v>
      </c>
      <c r="BH5" s="456">
        <f t="shared" ref="BH5:BH36" si="35">0.5*K5*AJ5*AN5*1000*Tfall</f>
        <v>8.5476373219204663E-2</v>
      </c>
      <c r="BI5" s="456">
        <f t="shared" ref="BI5:BI36" si="36">Qg*Vdd*AN5*1000</f>
        <v>1.3800000000000002E-3</v>
      </c>
      <c r="BJ5" s="456">
        <f t="shared" ref="BJ5:BJ36" si="37">0.5*(Coss+Csw)*K5^2*AN5*1000</f>
        <v>2.5755111374861875E-2</v>
      </c>
      <c r="BK5">
        <f t="shared" ref="BK5:BK36" si="38">I5*IQ</f>
        <v>1.5299993966185709E-2</v>
      </c>
      <c r="BL5" s="144">
        <f>(BK5+BI5)*1000</f>
        <v>16.679993966185709</v>
      </c>
      <c r="BM5" s="456">
        <f t="shared" ref="BM5:BM36" si="39">(BH5+BI5*0+BJ5+BK5*0+BG5*(1+RdsonTC*(Ta-25)))/(1-BG5*RdsonTC*ThetaJA)</f>
        <v>0.11314710549203469</v>
      </c>
      <c r="BN5" s="144">
        <f>BM5*1000</f>
        <v>113.14710549203468</v>
      </c>
      <c r="BO5" s="456">
        <f>Vfwd2*F5*(1+Diode_TC/1000*(Ta-25))</f>
        <v>6.7059999999999994E-10</v>
      </c>
      <c r="BP5" s="456"/>
      <c r="BR5" s="144">
        <f>SUM(BO5:BQ5)*1000</f>
        <v>6.7059999999999998E-7</v>
      </c>
      <c r="BS5" s="456">
        <f t="shared" ref="BS5:BS36" si="40">Rdcr_pri*BD5^2</f>
        <v>1.7232778525650043E-3</v>
      </c>
      <c r="BT5" s="456">
        <f t="shared" ref="BT5:BT36" si="41">Rdcr_sec*BE5^2</f>
        <v>0.1696878026494246</v>
      </c>
      <c r="BU5" s="456">
        <f t="shared" ref="BU5:BU36" si="42">AJ5^2.5*AN5^2.5*k_core</f>
        <v>2.2553464209519132E-3</v>
      </c>
      <c r="BV5" s="456">
        <f t="shared" ref="BV5:BV36" si="43">(BU5+(BS5+BT5)*(1+Ltc*(Ta-25)))/(1-(BS5+BT5)*Ltc*ThetaCa)</f>
        <v>0.21779163824630685</v>
      </c>
      <c r="BW5" s="456">
        <f t="shared" ref="BW5:BW36" si="44">0.5*Lleak*0.000000001*AJ5^2*AN5*1000</f>
        <v>4.4077134986225897E-2</v>
      </c>
      <c r="BX5" s="144">
        <f>1000*(BV5+BW5)</f>
        <v>261.86877323253276</v>
      </c>
      <c r="BY5" s="150">
        <f t="shared" ref="BY5:BY68" si="45">SUM(BM5,BO5:BQ5,BV5, BW5)+BK5+BI5</f>
        <v>0.39169587336135314</v>
      </c>
      <c r="BZ5" s="5">
        <f>MIN(H5,O5)</f>
        <v>3.0000000000000004E-8</v>
      </c>
      <c r="CA5" s="150">
        <f>BZ5/(BZ5+BY5)</f>
        <v>7.659002747425714E-8</v>
      </c>
      <c r="CB5" s="5">
        <f>CA5*100</f>
        <v>7.6590027474257143E-6</v>
      </c>
      <c r="CE5" s="59">
        <f t="shared" ref="CE5:CE36" si="46">IF(ABS(F5-Ioutmax_Vinnom)&lt;Iout/200, AN5, -50)</f>
        <v>-50</v>
      </c>
      <c r="CF5">
        <f t="shared" ref="CF5:CF36" si="47">IF(ABS(F5-Ioutmax_Vinnom)&lt;Iout/200, N5*CA5, -50)</f>
        <v>-50</v>
      </c>
      <c r="CG5" s="150">
        <f t="shared" ref="CG5:CG36" si="48">MIN(SQRT(2*DU5*1000*Ls1_*CL5)/CU5,1-EA5-0.00000005*DU5*1000)</f>
        <v>1.9390719429665318E-6</v>
      </c>
      <c r="CI5" s="147">
        <v>0.1</v>
      </c>
      <c r="CJ5" s="188">
        <v>1.0000000000000001E-9</v>
      </c>
      <c r="CK5" s="188"/>
      <c r="CL5" s="188">
        <f t="shared" ref="CL5:CL68" si="49">CJ5*Vout</f>
        <v>3.0000000000000004E-8</v>
      </c>
      <c r="CM5" s="465">
        <f t="shared" ref="CM5:CM68" si="50">Vin</f>
        <v>34</v>
      </c>
      <c r="CN5" s="149">
        <f t="shared" ref="CN5:CN68" si="51">(CX5+Vfwd1)*Nps</f>
        <v>30.4</v>
      </c>
      <c r="CO5" s="379">
        <f t="shared" ref="CO5:CO68" si="52">(Vout+Vfwd1)*Nps+CM5</f>
        <v>64.400000000000006</v>
      </c>
      <c r="CP5" s="379"/>
      <c r="CQ5" s="188">
        <f t="shared" ref="CQ5:CQ68" si="53">(Vout+Vfwd1)*Nps/((Vout+Vfwd1)*Nps+CM5)</f>
        <v>0.47204968944099374</v>
      </c>
      <c r="CR5" s="149">
        <f t="shared" ref="CR5:CR68" si="54">CQ5*CM5*(Isw_max+VIN_nom/Lmag*ILIM_delay)*0.5*Efficiency</f>
        <v>244.918674788055</v>
      </c>
      <c r="CS5" s="149">
        <f>CX5*CJ5</f>
        <v>3.0000000000000004E-8</v>
      </c>
      <c r="CT5" s="188">
        <f t="shared" ref="CT5:CT68" si="55">CR5/Vout</f>
        <v>8.1639558262685004</v>
      </c>
      <c r="CU5" s="188">
        <f t="shared" ref="CU5:CU68" si="56">MIN(Vout,CR5/CJ5)</f>
        <v>30</v>
      </c>
      <c r="CV5" s="188">
        <f t="shared" ref="CV5:CV68" si="57">Isw_max/2*CM5*Nps*(CU5+Vfwd1)/CU5/(CM5+Nps*(CU5+Vfwd1))</f>
        <v>8.1059037580776696</v>
      </c>
      <c r="CW5" s="149">
        <f t="shared" ref="CW5:CW68" si="58">(SQRT(Isw_max^2*Nps^2*CM5^2+4*Isw_max*CJ5/Efficiency*(Nps^2*Vfwd1*CM5-Nps*CM5^2)+4*(CJ5/Efficiency)^2*Nps^2*Vfwd1^2+8*(CJ5/Efficiency)^2*Nps*Vfwd1*CM5+4*(CJ5/Efficiency)^2*CM5^2)-2*CJ5/Efficiency*CM5-2*CJ5/Efficiency*Nps*Vfwd1+Isw_max*Nps*CM5)/(4*CJ5/Efficiency*Nps)</f>
        <v>515151515117.51514</v>
      </c>
      <c r="CX5" s="149">
        <f t="shared" ref="CX5:CX68" si="59">MIN(Vout, CW5)</f>
        <v>30</v>
      </c>
      <c r="CY5" s="188">
        <f t="shared" ref="CY5:CY68" si="60">MIN(2*Vout*CJ5/(CM5*CQ5), Isw_max)</f>
        <v>3.7383900928792575E-9</v>
      </c>
      <c r="CZ5" s="188">
        <f t="shared" ref="CZ5:CZ68" si="61">L*CY5/CM5*1000000</f>
        <v>5.1677745401566208E-10</v>
      </c>
      <c r="DA5" s="188">
        <f t="shared" ref="DA5:DA68" si="62">L*CY5/CN5*1000000</f>
        <v>5.7797478409646414E-10</v>
      </c>
      <c r="DB5" s="172">
        <f t="shared" ref="DB5:DB68" si="63">IF(1/((350000*L)*(1/CM5+1/CN5))&gt;Isw_min, 350, 0.001/((Isw_min*L)*(1/CM5+1/CN5)))</f>
        <v>350</v>
      </c>
      <c r="DC5" s="379">
        <f>MIN(1/(CZ5+DA5)*1000, 350)</f>
        <v>350</v>
      </c>
      <c r="DE5" s="188">
        <f t="shared" ref="DE5:DE68" si="64">1/((DB5*1000*L)*(1/CM5+1/CN5))</f>
        <v>9.7566501161056465</v>
      </c>
      <c r="DF5" s="150">
        <f t="shared" ref="DF5:DF68" si="65">L*DE5/CN5*1000000</f>
        <v>1.5084294587400178</v>
      </c>
      <c r="DG5" s="150">
        <f t="shared" ref="DG5:DG68" si="66">0.5*DF5*DE5*Nps*DB5/1000</f>
        <v>2.5755132294067704</v>
      </c>
      <c r="DH5" s="150"/>
      <c r="DI5" s="150">
        <f t="shared" ref="DI5:DI68" si="67">L*Isw_min/CN5*1000000</f>
        <v>0.93700159489633172</v>
      </c>
      <c r="DJ5" s="314">
        <f>MAX(12, CJ5/(0.5*DI5/1000000*Isw_min*Nps)/1000)</f>
        <v>12</v>
      </c>
      <c r="DK5" s="456">
        <f t="shared" ref="DK5:DK68" si="68">0.5*DI5/1000000*Isw_min*Nps*DB5*1000</f>
        <v>0.99378957034459414</v>
      </c>
      <c r="DM5" s="150">
        <f t="shared" ref="DM5:DM68" si="69">SQRT(CJ5/Efficiency/(0.5*L/CN5*Fsw_DCM*Nps))</f>
        <v>1.9225110226521057E-4</v>
      </c>
      <c r="DN5" s="150">
        <f t="shared" ref="DN5:DN68" si="70">MAX(IF(CJ5&gt;DG5,CY5,DM5),Isw_min)</f>
        <v>6.0606060606060606</v>
      </c>
      <c r="DO5" s="150">
        <f t="shared" ref="DO5:DO68" si="71">IF(CJ5&gt;DK5, (DN5-Isw_min)/1.08*0.8+1.2, DJ5*0.2/350+1)</f>
        <v>1.0068571428571429</v>
      </c>
      <c r="DQ5" s="314">
        <f t="shared" ref="DQ5:DQ68" si="72">CJ5*1000</f>
        <v>1.0000000000000002E-6</v>
      </c>
      <c r="DR5" s="144">
        <f t="shared" ref="DR5:DR68" si="73">IF(CJ5&gt;DK5, DC5, DJ5)</f>
        <v>12</v>
      </c>
      <c r="DT5">
        <f t="shared" ref="DT5:DT68" si="74">IF(CL5&gt;CR5, "",DQ5)</f>
        <v>1.0000000000000002E-6</v>
      </c>
      <c r="DU5" s="144">
        <f t="shared" ref="DU5:DU68" si="75">IF(CL5&gt;CR5, "",DR5)</f>
        <v>12</v>
      </c>
      <c r="DV5" s="144"/>
      <c r="DW5" s="5">
        <f>1/DR5*1000</f>
        <v>83.333333333333329</v>
      </c>
      <c r="DX5" s="5">
        <f t="shared" ref="DX5:DX68" si="76">L*DN5/CM5*1000000</f>
        <v>0.83778966131907295</v>
      </c>
      <c r="DY5" s="5">
        <f>DW5-DX5</f>
        <v>82.49554367201425</v>
      </c>
      <c r="DZ5" s="5">
        <f t="shared" ref="DZ5:DZ68" si="77">L*DN5/CN5*1000000</f>
        <v>0.93700159489633172</v>
      </c>
      <c r="EA5" s="150">
        <f>DX5/DW5</f>
        <v>1.0053475935828875E-2</v>
      </c>
      <c r="EB5" s="150">
        <f t="shared" ref="EB5:EB68" si="78">0.5*L*DN5^2*DR5*1000</f>
        <v>1.0358126721763083</v>
      </c>
      <c r="EC5" s="150">
        <f t="shared" ref="EC5:EC68" si="79">DN5*Nps/2*(1-EA5)</f>
        <v>2.9998379517096097</v>
      </c>
      <c r="ED5" s="150">
        <f>EB5/EC5</f>
        <v>0.34528954191875533</v>
      </c>
      <c r="EE5" s="144">
        <f t="shared" ref="EE5:EE68" si="80">CJ5*DX5/Vout_ripple*1000</f>
        <v>2.7926322043969095E-9</v>
      </c>
      <c r="EF5" s="5">
        <f t="shared" ref="EF5:EF68" si="81">CL5/Efficiency/CM5*DY5/Vinripple1</f>
        <v>4.2817756231149264E-8</v>
      </c>
      <c r="EG5" s="5"/>
      <c r="EH5" s="150">
        <f>DN5*SQRT(EA5/3)</f>
        <v>0.35084359284456684</v>
      </c>
      <c r="EI5" s="150">
        <f t="shared" ref="EI5:EI68" si="82">DN5*Nps*SQRT((1-EA5)/3)</f>
        <v>3.4814590878889975</v>
      </c>
      <c r="EJ5" s="150"/>
      <c r="EK5" s="456">
        <f t="shared" ref="EK5:EK68" si="83">Rdson*EH5^2</f>
        <v>1.4770947196810103E-3</v>
      </c>
      <c r="EL5" s="456">
        <f t="shared" ref="EL5:EL68" si="84">0.5*CO5*DN5*DR5*1000*Trise</f>
        <v>8.898909090909092E-2</v>
      </c>
      <c r="EM5" s="456">
        <f t="shared" ref="EM5:EM68" si="85">Qg*Vdd*DR5*1000</f>
        <v>1.3800000000000002E-3</v>
      </c>
      <c r="EN5" s="456">
        <f t="shared" ref="EN5:EN68" si="86">0.5*(Coss+Csw)*CO5^2*DR5*1000</f>
        <v>2.5755105600000008E-2</v>
      </c>
      <c r="EO5">
        <f t="shared" ref="EO5:EO68" si="87">CM5*IQ</f>
        <v>1.5299999999999999E-2</v>
      </c>
      <c r="EP5" s="144">
        <f>(EO5+EM5)*1000</f>
        <v>16.68</v>
      </c>
      <c r="EQ5" s="456">
        <f t="shared" ref="EQ5:EQ68" si="88">(EL5+EM5+EN5+EO5+EK5*(1+RdsonTC*(Ta-25)))/(1-EK5*RdsonTC*ThetaJA)</f>
        <v>0.13334690592721171</v>
      </c>
      <c r="ER5" s="144">
        <f>EQ5*1000</f>
        <v>133.34690592721171</v>
      </c>
      <c r="ES5" s="456">
        <f>Vfwd2*CJ5*(1+Diode_TC/1000*(Ta-25))</f>
        <v>6.7059999999999994E-10</v>
      </c>
      <c r="ET5" s="456"/>
      <c r="EV5" s="144">
        <f>SUM(ES5:EU5)*1000</f>
        <v>6.7059999999999998E-7</v>
      </c>
      <c r="EW5" s="456">
        <f t="shared" ref="EW5:EW68" si="89">Rdcr_pri*EH5^2</f>
        <v>1.7232771729611786E-3</v>
      </c>
      <c r="EX5" s="456">
        <f t="shared" ref="EX5:EX68" si="90">Rdcr_sec*EI5^2</f>
        <v>0.16968780332902847</v>
      </c>
      <c r="EY5" s="456">
        <f t="shared" ref="EY5:EY68" si="91">DN5^2.5*DR5^2.5*k_core</f>
        <v>2.2553464209519132E-3</v>
      </c>
      <c r="EZ5" s="456">
        <f t="shared" ref="EZ5:EZ68" si="92">(EY5+(EW5+EX5)*(1+Ltc*(Ta-25)))/(1-(EW5+EX5)*Ltc*ThetaCa)</f>
        <v>0.21779163824630687</v>
      </c>
      <c r="FA5" s="456">
        <f t="shared" ref="FA5:FA68" si="93">0.5*Lleak*0.000000001*DN5^2*DR5*1000</f>
        <v>4.4077134986225897E-2</v>
      </c>
      <c r="FB5" s="144">
        <f>1000*(EZ5+FA5)</f>
        <v>261.86877323253276</v>
      </c>
      <c r="FC5" s="150">
        <f>SUM(EQ5,ES5:EU5,EZ5, FA5)</f>
        <v>0.39521567983034445</v>
      </c>
      <c r="FD5" s="5">
        <f>MIN(CL5,CS5)</f>
        <v>3.0000000000000004E-8</v>
      </c>
      <c r="FE5" s="150">
        <f>FD5/(FD5+FC5)</f>
        <v>7.5907913713445762E-8</v>
      </c>
      <c r="FF5" s="5">
        <f>FE5*100</f>
        <v>7.5907913713445759E-6</v>
      </c>
      <c r="FI5" s="59">
        <f t="shared" ref="FI5:FI68" si="94">IF(ABS(CJ5-Ioutmax_Vinnom)&lt;Iout/200, DR5, -50)</f>
        <v>-50</v>
      </c>
      <c r="FJ5">
        <f t="shared" ref="FJ5:FJ68" si="95">IF(ABS(CJ5-Ioutmax_Vinnom)&lt;Iout/200, CR5*FE5, -50)</f>
        <v>-50</v>
      </c>
      <c r="FL5">
        <f t="shared" ref="FL5:FL36" si="96">MIN(SQRT(2*L*DR5*1000*CJ5*(CX5+Vfwd1))/(Nps*(CX5+Vfwd1)), 1-EA5)</f>
        <v>1.9262726483521158E-6</v>
      </c>
    </row>
    <row r="6" spans="2:168">
      <c r="E6" s="147">
        <v>1</v>
      </c>
      <c r="F6" s="188">
        <f t="shared" ref="F6:F37" si="97">IF(PLOT_TYPE=1, E6/100*Iout_max, min_I*EXP(N6*rr/100))</f>
        <v>0.04</v>
      </c>
      <c r="G6" s="188"/>
      <c r="H6" s="188">
        <f t="shared" si="0"/>
        <v>1.2</v>
      </c>
      <c r="I6" s="465">
        <f t="shared" si="1"/>
        <v>33.921732178900704</v>
      </c>
      <c r="J6" s="149">
        <f t="shared" si="2"/>
        <v>30.44214421136116</v>
      </c>
      <c r="K6" s="149">
        <f t="shared" si="3"/>
        <v>64.442144211361153</v>
      </c>
      <c r="L6" s="379"/>
      <c r="M6" s="188">
        <f t="shared" si="4"/>
        <v>0.4729716962830906</v>
      </c>
      <c r="N6" s="149">
        <f t="shared" si="5"/>
        <v>244.83214690946005</v>
      </c>
      <c r="O6" s="149">
        <f t="shared" ref="O6:O69" si="98">T6*F6</f>
        <v>1.2</v>
      </c>
      <c r="P6" s="188">
        <f t="shared" si="6"/>
        <v>8.1610715636486688</v>
      </c>
      <c r="Q6" s="188">
        <f t="shared" si="7"/>
        <v>30</v>
      </c>
      <c r="R6" s="188">
        <f t="shared" si="8"/>
        <v>8.1030400048057416</v>
      </c>
      <c r="S6" s="149">
        <f t="shared" si="9"/>
        <v>12815.220303439513</v>
      </c>
      <c r="T6" s="149">
        <f t="shared" si="10"/>
        <v>30</v>
      </c>
      <c r="U6" s="188">
        <f t="shared" ref="U6:U36" si="99">MIN(2*(Vout+Vfwd1+F6/FL6*Rdcr_sec)*F6/(I6*M6), Isw_max)</f>
        <v>0.15179450408221645</v>
      </c>
      <c r="V6" s="188">
        <f t="shared" si="11"/>
        <v>2.1031772947908978E-2</v>
      </c>
      <c r="W6" s="188">
        <f t="shared" si="12"/>
        <v>2.3435739750558047E-2</v>
      </c>
      <c r="X6" s="172">
        <f t="shared" si="13"/>
        <v>350</v>
      </c>
      <c r="Y6" s="379">
        <f t="shared" si="14"/>
        <v>350</v>
      </c>
      <c r="AA6" s="188">
        <f t="shared" si="15"/>
        <v>9.7531558833286915</v>
      </c>
      <c r="AB6" s="150">
        <f t="shared" si="16"/>
        <v>1.5058017048134604</v>
      </c>
      <c r="AC6" s="150">
        <f t="shared" si="17"/>
        <v>2.5701057823748608</v>
      </c>
      <c r="AD6" s="150"/>
      <c r="AE6" s="150">
        <f t="shared" si="18"/>
        <v>0.93570440659754173</v>
      </c>
      <c r="AF6" s="314">
        <f t="shared" ref="AF6:AF36" si="100">MAX(12, F6/(0.5*AE6/1000000*Isw_min*Nps)/1000)</f>
        <v>14.10701916858396</v>
      </c>
      <c r="AG6" s="456">
        <f t="shared" si="19"/>
        <v>0.99241376457315034</v>
      </c>
      <c r="AI6" s="150">
        <f t="shared" si="20"/>
        <v>1.2167452565748935</v>
      </c>
      <c r="AJ6" s="150">
        <f t="shared" si="21"/>
        <v>6.0606060606060606</v>
      </c>
      <c r="AK6" s="150">
        <f t="shared" si="22"/>
        <v>1.0080611538106194</v>
      </c>
      <c r="AM6" s="314">
        <f t="shared" si="23"/>
        <v>40</v>
      </c>
      <c r="AN6" s="144">
        <f t="shared" si="24"/>
        <v>14.10701916858396</v>
      </c>
      <c r="AP6">
        <f t="shared" si="25"/>
        <v>40</v>
      </c>
      <c r="AQ6" s="144">
        <f t="shared" si="26"/>
        <v>14.10701916858396</v>
      </c>
      <c r="AR6" s="144"/>
      <c r="AS6" s="5">
        <f t="shared" ref="AS6:AS69" si="101">1/AN6*1000</f>
        <v>70.886697469510736</v>
      </c>
      <c r="AT6" s="5">
        <f t="shared" si="27"/>
        <v>0.83972269855270065</v>
      </c>
      <c r="AU6" s="5">
        <f t="shared" ref="AU6:AU69" si="102">AS6-AT6</f>
        <v>70.04697477095803</v>
      </c>
      <c r="AV6" s="5">
        <f t="shared" si="28"/>
        <v>0.93570440659754173</v>
      </c>
      <c r="AW6" s="150">
        <f t="shared" ref="AW6:AW69" si="103">AT6/AS6</f>
        <v>1.1845984204777999E-2</v>
      </c>
      <c r="AX6" s="150">
        <f t="shared" si="29"/>
        <v>1.2176857684544464</v>
      </c>
      <c r="AY6" s="150">
        <f t="shared" si="30"/>
        <v>2.9944061084703697</v>
      </c>
      <c r="AZ6" s="150">
        <f t="shared" ref="AZ6:AZ69" si="104">AX6/AY6</f>
        <v>0.406653514701944</v>
      </c>
      <c r="BA6" s="144">
        <f t="shared" si="31"/>
        <v>0.11196302647369342</v>
      </c>
      <c r="BB6" s="5">
        <f t="shared" si="32"/>
        <v>1.45761788068387</v>
      </c>
      <c r="BC6" s="5"/>
      <c r="BD6" s="150">
        <f t="shared" ref="BD6:BD69" si="105">AJ6*SQRT(AW6/3)</f>
        <v>0.3808386377598128</v>
      </c>
      <c r="BE6" s="150">
        <f t="shared" si="33"/>
        <v>3.47830569951438</v>
      </c>
      <c r="BF6" s="150"/>
      <c r="BG6" s="456">
        <f t="shared" si="34"/>
        <v>1.7404568161289991E-3</v>
      </c>
      <c r="BH6" s="456">
        <f t="shared" si="35"/>
        <v>0.10055048355570551</v>
      </c>
      <c r="BI6" s="456">
        <f t="shared" si="36"/>
        <v>1.6223072043871558E-3</v>
      </c>
      <c r="BJ6" s="456">
        <f t="shared" si="37"/>
        <v>3.0316954747934735E-2</v>
      </c>
      <c r="BK6">
        <f t="shared" si="38"/>
        <v>1.5264779480505317E-2</v>
      </c>
      <c r="BL6" s="144">
        <f t="shared" ref="BL6:BL69" si="106">(BK6+BI6)*1000</f>
        <v>16.887086684892473</v>
      </c>
      <c r="BM6" s="456">
        <f t="shared" si="39"/>
        <v>0.13313287323528561</v>
      </c>
      <c r="BN6" s="144">
        <f t="shared" ref="BN6:BN69" si="107">BM6*1000</f>
        <v>133.13287323528562</v>
      </c>
      <c r="BO6" s="456">
        <f t="shared" ref="BO6:BO36" si="108">Vfwd2*F6*(1+Diode_TC/1000*(Ta-25))</f>
        <v>2.6823999999999997E-2</v>
      </c>
      <c r="BP6" s="456"/>
      <c r="BR6" s="144">
        <f t="shared" ref="BR6:BR69" si="109">SUM(BO6:BQ6)*1000</f>
        <v>26.823999999999998</v>
      </c>
      <c r="BS6" s="456">
        <f t="shared" si="40"/>
        <v>2.0305329521504989E-3</v>
      </c>
      <c r="BT6" s="456">
        <f t="shared" si="41"/>
        <v>0.16938054754983908</v>
      </c>
      <c r="BU6" s="456">
        <f t="shared" si="42"/>
        <v>3.3794675834397454E-3</v>
      </c>
      <c r="BV6" s="456">
        <f t="shared" si="43"/>
        <v>0.21893138867702117</v>
      </c>
      <c r="BW6" s="456">
        <f t="shared" si="44"/>
        <v>5.1816415678912625E-2</v>
      </c>
      <c r="BX6" s="144">
        <f t="shared" ref="BX6:BX69" si="110">1000*(BV6+BW6)</f>
        <v>270.74780435593379</v>
      </c>
      <c r="BY6" s="150">
        <f t="shared" si="45"/>
        <v>0.4475917642761118</v>
      </c>
      <c r="BZ6" s="5">
        <f t="shared" ref="BZ6:BZ69" si="111">MIN(H6,O6)</f>
        <v>1.2</v>
      </c>
      <c r="CA6" s="150">
        <f t="shared" ref="CA6:CA69" si="112">BZ6/(BZ6+BY6)</f>
        <v>0.7283357601190934</v>
      </c>
      <c r="CB6" s="5">
        <f t="shared" ref="CB6:CB69" si="113">CA6*100</f>
        <v>72.833576011909344</v>
      </c>
      <c r="CE6" s="59">
        <f t="shared" si="46"/>
        <v>-50</v>
      </c>
      <c r="CF6">
        <f t="shared" si="47"/>
        <v>-50</v>
      </c>
      <c r="CG6" s="150">
        <f t="shared" si="48"/>
        <v>1.3287708606076521E-2</v>
      </c>
      <c r="CI6" s="147">
        <v>1</v>
      </c>
      <c r="CJ6" s="188">
        <f t="shared" ref="CJ6:CJ69" si="114">IF(PLOT_TYPE=1, CI6/100*Iout_max, min_I*EXP(CR6*rr/100))</f>
        <v>0.04</v>
      </c>
      <c r="CK6" s="188"/>
      <c r="CL6" s="188">
        <f t="shared" si="49"/>
        <v>1.2</v>
      </c>
      <c r="CM6" s="465">
        <f t="shared" si="50"/>
        <v>34</v>
      </c>
      <c r="CN6" s="149">
        <f t="shared" si="51"/>
        <v>30.4</v>
      </c>
      <c r="CO6" s="379">
        <f t="shared" si="52"/>
        <v>64.400000000000006</v>
      </c>
      <c r="CP6" s="379"/>
      <c r="CQ6" s="188">
        <f t="shared" si="53"/>
        <v>0.47204968944099374</v>
      </c>
      <c r="CR6" s="149">
        <f t="shared" si="54"/>
        <v>244.918674788055</v>
      </c>
      <c r="CS6" s="149">
        <f t="shared" ref="CS6:CS69" si="115">CX6*CJ6</f>
        <v>1.2</v>
      </c>
      <c r="CT6" s="188">
        <f t="shared" si="55"/>
        <v>8.1639558262685004</v>
      </c>
      <c r="CU6" s="188">
        <f t="shared" si="56"/>
        <v>30</v>
      </c>
      <c r="CV6" s="188">
        <f t="shared" si="57"/>
        <v>8.1059037580776696</v>
      </c>
      <c r="CW6" s="149">
        <f t="shared" si="58"/>
        <v>12844.78893755004</v>
      </c>
      <c r="CX6" s="149">
        <f t="shared" si="59"/>
        <v>30</v>
      </c>
      <c r="CY6" s="188">
        <f t="shared" si="60"/>
        <v>0.14953560371517027</v>
      </c>
      <c r="CZ6" s="188">
        <f t="shared" si="61"/>
        <v>2.067109816062648E-2</v>
      </c>
      <c r="DA6" s="188">
        <f t="shared" si="62"/>
        <v>2.311899136385856E-2</v>
      </c>
      <c r="DB6" s="172">
        <f t="shared" si="63"/>
        <v>350</v>
      </c>
      <c r="DC6" s="379">
        <f t="shared" ref="DC6:DC69" si="116">MIN(1/(CZ6+DA6)*1000, 350)</f>
        <v>350</v>
      </c>
      <c r="DE6" s="188">
        <f t="shared" si="64"/>
        <v>9.7566501161056465</v>
      </c>
      <c r="DF6" s="150">
        <f t="shared" si="65"/>
        <v>1.5084294587400178</v>
      </c>
      <c r="DG6" s="150">
        <f t="shared" si="66"/>
        <v>2.5755132294067704</v>
      </c>
      <c r="DH6" s="150"/>
      <c r="DI6" s="150">
        <f t="shared" si="67"/>
        <v>0.93700159489633172</v>
      </c>
      <c r="DJ6" s="314">
        <f t="shared" ref="DJ6:DJ69" si="117">MAX(12, CJ6/(0.5*DI6/1000000*Isw_min*Nps)/1000)</f>
        <v>14.087489361702128</v>
      </c>
      <c r="DK6" s="456">
        <f t="shared" si="68"/>
        <v>0.99378957034459414</v>
      </c>
      <c r="DM6" s="150">
        <f t="shared" si="69"/>
        <v>1.2159027316720437</v>
      </c>
      <c r="DN6" s="150">
        <f t="shared" si="70"/>
        <v>6.0606060606060606</v>
      </c>
      <c r="DO6" s="150">
        <f t="shared" si="71"/>
        <v>1.0080499939209726</v>
      </c>
      <c r="DQ6" s="314">
        <f t="shared" si="72"/>
        <v>40</v>
      </c>
      <c r="DR6" s="144">
        <f t="shared" si="73"/>
        <v>14.087489361702128</v>
      </c>
      <c r="DT6">
        <f t="shared" si="74"/>
        <v>40</v>
      </c>
      <c r="DU6" s="144">
        <f t="shared" si="75"/>
        <v>14.087489361702128</v>
      </c>
      <c r="DV6" s="144"/>
      <c r="DW6" s="5">
        <f t="shared" ref="DW6:DW69" si="118">1/DR6*1000</f>
        <v>70.984969310328154</v>
      </c>
      <c r="DX6" s="5">
        <f t="shared" si="76"/>
        <v>0.83778966131907295</v>
      </c>
      <c r="DY6" s="5">
        <f t="shared" ref="DY6:DY69" si="119">DW6-DX6</f>
        <v>70.147179649009075</v>
      </c>
      <c r="DZ6" s="5">
        <f t="shared" si="77"/>
        <v>0.93700159489633172</v>
      </c>
      <c r="EA6" s="150">
        <f t="shared" ref="EA6:EA69" si="120">DX6/DW6</f>
        <v>1.180235294117647E-2</v>
      </c>
      <c r="EB6" s="150">
        <f t="shared" si="78"/>
        <v>1.2159999999999997</v>
      </c>
      <c r="EC6" s="150">
        <f t="shared" si="79"/>
        <v>2.9945383244206774</v>
      </c>
      <c r="ED6" s="150">
        <f t="shared" ref="ED6:ED69" si="121">EB6/EC6</f>
        <v>0.40607261228999192</v>
      </c>
      <c r="EE6" s="144">
        <f t="shared" si="80"/>
        <v>0.11170528817587641</v>
      </c>
      <c r="EF6" s="5">
        <f t="shared" si="81"/>
        <v>1.4563428300832333</v>
      </c>
      <c r="EG6" s="5"/>
      <c r="EH6" s="150">
        <f t="shared" ref="EH6:EH69" si="122">DN6*SQRT(EA6/3)</f>
        <v>0.38013663615984317</v>
      </c>
      <c r="EI6" s="150">
        <f t="shared" si="82"/>
        <v>3.4783824897693543</v>
      </c>
      <c r="EJ6" s="150"/>
      <c r="EK6" s="456">
        <f t="shared" si="83"/>
        <v>1.7340463458110518E-3</v>
      </c>
      <c r="EL6" s="456">
        <f t="shared" si="84"/>
        <v>0.10446940595744682</v>
      </c>
      <c r="EM6" s="456">
        <f t="shared" si="85"/>
        <v>1.6200612765957449E-3</v>
      </c>
      <c r="EN6" s="456">
        <f t="shared" si="86"/>
        <v>3.0235398012459582E-2</v>
      </c>
      <c r="EO6">
        <f t="shared" si="87"/>
        <v>1.5299999999999999E-2</v>
      </c>
      <c r="EP6" s="144">
        <f t="shared" ref="EP6:EP69" si="123">(EO6+EM6)*1000</f>
        <v>16.920061276595742</v>
      </c>
      <c r="EQ6" s="456">
        <f t="shared" si="88"/>
        <v>0.15389050844354216</v>
      </c>
      <c r="ER6" s="144">
        <f t="shared" ref="ER6:ER69" si="124">EQ6*1000</f>
        <v>153.89050844354216</v>
      </c>
      <c r="ES6" s="456">
        <f t="shared" ref="ES6:ES69" si="125">Vfwd2*CJ6*(1+Diode_TC/1000*(Ta-25))</f>
        <v>2.6823999999999997E-2</v>
      </c>
      <c r="ET6" s="456"/>
      <c r="EV6" s="144">
        <f t="shared" ref="EV6:EV69" si="126">SUM(ES6:EU6)*1000</f>
        <v>26.823999999999998</v>
      </c>
      <c r="EW6" s="456">
        <f t="shared" si="89"/>
        <v>2.0230540701128936E-3</v>
      </c>
      <c r="EX6" s="456">
        <f t="shared" si="90"/>
        <v>0.16938802643187673</v>
      </c>
      <c r="EY6" s="456">
        <f t="shared" si="91"/>
        <v>3.3677833580271835E-3</v>
      </c>
      <c r="EZ6" s="456">
        <f t="shared" si="92"/>
        <v>0.21891954199946462</v>
      </c>
      <c r="FA6" s="456">
        <f t="shared" si="93"/>
        <v>5.1744680851063832E-2</v>
      </c>
      <c r="FB6" s="144">
        <f t="shared" ref="FB6:FB69" si="127">1000*(EZ6+FA6)</f>
        <v>270.66422285052846</v>
      </c>
      <c r="FC6" s="150">
        <f t="shared" ref="FC6:FC69" si="128">SUM(EQ6,ES6:EU6,EZ6, FA6)</f>
        <v>0.45137873129407058</v>
      </c>
      <c r="FD6" s="5">
        <f t="shared" ref="FD6:FD69" si="129">MIN(CL6,CS6)</f>
        <v>1.2</v>
      </c>
      <c r="FE6" s="150">
        <f t="shared" ref="FE6:FE69" si="130">FD6/(FD6+FC6)</f>
        <v>0.72666552939048912</v>
      </c>
      <c r="FF6" s="5">
        <f t="shared" ref="FF6:FF69" si="131">FE6*100</f>
        <v>72.666552939048913</v>
      </c>
      <c r="FI6" s="59">
        <f t="shared" si="94"/>
        <v>-50</v>
      </c>
      <c r="FJ6">
        <f t="shared" si="95"/>
        <v>-50</v>
      </c>
      <c r="FL6">
        <f t="shared" si="96"/>
        <v>1.32E-2</v>
      </c>
    </row>
    <row r="7" spans="2:168">
      <c r="E7" s="147">
        <v>2</v>
      </c>
      <c r="F7" s="188">
        <f t="shared" si="97"/>
        <v>0.08</v>
      </c>
      <c r="G7" s="188"/>
      <c r="H7" s="188">
        <f t="shared" si="0"/>
        <v>2.4</v>
      </c>
      <c r="I7" s="465">
        <f t="shared" si="1"/>
        <v>33.921732178900704</v>
      </c>
      <c r="J7" s="149">
        <f t="shared" si="2"/>
        <v>30.44214421136116</v>
      </c>
      <c r="K7" s="149">
        <f t="shared" si="3"/>
        <v>64.442144211361153</v>
      </c>
      <c r="L7" s="379"/>
      <c r="M7" s="188">
        <f t="shared" si="4"/>
        <v>0.4729716962830906</v>
      </c>
      <c r="N7" s="149">
        <f t="shared" si="5"/>
        <v>244.83214690946005</v>
      </c>
      <c r="O7" s="149">
        <f t="shared" si="98"/>
        <v>2.4</v>
      </c>
      <c r="P7" s="188">
        <f t="shared" si="6"/>
        <v>8.1610715636486688</v>
      </c>
      <c r="Q7" s="188">
        <f t="shared" si="7"/>
        <v>30</v>
      </c>
      <c r="R7" s="188">
        <f t="shared" si="8"/>
        <v>8.1030400048057416</v>
      </c>
      <c r="S7" s="149">
        <f t="shared" si="9"/>
        <v>6390.6508793262228</v>
      </c>
      <c r="T7" s="149">
        <f t="shared" si="10"/>
        <v>30</v>
      </c>
      <c r="U7" s="188">
        <f t="shared" si="99"/>
        <v>0.30358900816443291</v>
      </c>
      <c r="V7" s="188">
        <f t="shared" si="11"/>
        <v>4.2063545895817955E-2</v>
      </c>
      <c r="W7" s="188">
        <f t="shared" si="12"/>
        <v>4.6871479501116094E-2</v>
      </c>
      <c r="X7" s="172">
        <f t="shared" si="13"/>
        <v>350</v>
      </c>
      <c r="Y7" s="379">
        <f t="shared" si="14"/>
        <v>350</v>
      </c>
      <c r="AA7" s="188">
        <f t="shared" si="15"/>
        <v>9.7531558833286915</v>
      </c>
      <c r="AB7" s="150">
        <f t="shared" si="16"/>
        <v>1.5058017048134604</v>
      </c>
      <c r="AC7" s="150">
        <f t="shared" si="17"/>
        <v>2.5701057823748608</v>
      </c>
      <c r="AD7" s="150"/>
      <c r="AE7" s="150">
        <f t="shared" si="18"/>
        <v>0.93570440659754173</v>
      </c>
      <c r="AF7" s="314">
        <f t="shared" si="100"/>
        <v>28.214038337167921</v>
      </c>
      <c r="AG7" s="456">
        <f t="shared" si="19"/>
        <v>0.99241376457315034</v>
      </c>
      <c r="AI7" s="150">
        <f t="shared" si="20"/>
        <v>1.7207376438013458</v>
      </c>
      <c r="AJ7" s="150">
        <f t="shared" si="21"/>
        <v>6.0606060606060606</v>
      </c>
      <c r="AK7" s="150">
        <f t="shared" si="22"/>
        <v>1.0161223076212389</v>
      </c>
      <c r="AM7" s="314">
        <f t="shared" si="23"/>
        <v>80</v>
      </c>
      <c r="AN7" s="144">
        <f t="shared" si="24"/>
        <v>28.214038337167921</v>
      </c>
      <c r="AP7">
        <f t="shared" si="25"/>
        <v>80</v>
      </c>
      <c r="AQ7" s="144">
        <f t="shared" si="26"/>
        <v>28.214038337167921</v>
      </c>
      <c r="AR7" s="144"/>
      <c r="AS7" s="5">
        <f t="shared" si="101"/>
        <v>35.443348734755368</v>
      </c>
      <c r="AT7" s="5">
        <f t="shared" si="27"/>
        <v>0.83972269855270065</v>
      </c>
      <c r="AU7" s="5">
        <f t="shared" si="102"/>
        <v>34.60362603620267</v>
      </c>
      <c r="AV7" s="5">
        <f t="shared" si="28"/>
        <v>0.93570440659754173</v>
      </c>
      <c r="AW7" s="150">
        <f t="shared" si="103"/>
        <v>2.3691968409555998E-2</v>
      </c>
      <c r="AX7" s="150">
        <f t="shared" si="29"/>
        <v>2.4353715369088929</v>
      </c>
      <c r="AY7" s="150">
        <f t="shared" si="30"/>
        <v>2.9585091866377091</v>
      </c>
      <c r="AZ7" s="150">
        <f t="shared" si="104"/>
        <v>0.82317524917901219</v>
      </c>
      <c r="BA7" s="144">
        <f t="shared" si="31"/>
        <v>0.22392605294738685</v>
      </c>
      <c r="BB7" s="5">
        <f t="shared" si="32"/>
        <v>1.4401439665822433</v>
      </c>
      <c r="BC7" s="5"/>
      <c r="BD7" s="150">
        <f t="shared" si="105"/>
        <v>0.53858716659562156</v>
      </c>
      <c r="BE7" s="150">
        <f t="shared" si="33"/>
        <v>3.4573938843098957</v>
      </c>
      <c r="BF7" s="150"/>
      <c r="BG7" s="456">
        <f t="shared" si="34"/>
        <v>3.4809136322579977E-3</v>
      </c>
      <c r="BH7" s="456">
        <f t="shared" si="35"/>
        <v>0.20110096711141101</v>
      </c>
      <c r="BI7" s="456">
        <f t="shared" si="36"/>
        <v>3.2446144087743115E-3</v>
      </c>
      <c r="BJ7" s="456">
        <f t="shared" si="37"/>
        <v>6.063390949586947E-2</v>
      </c>
      <c r="BK7">
        <f t="shared" si="38"/>
        <v>1.5264779480505317E-2</v>
      </c>
      <c r="BL7" s="144">
        <f t="shared" si="106"/>
        <v>18.509393889279629</v>
      </c>
      <c r="BM7" s="456">
        <f t="shared" si="39"/>
        <v>0.26637594716403956</v>
      </c>
      <c r="BN7" s="144">
        <f t="shared" si="107"/>
        <v>266.37594716403959</v>
      </c>
      <c r="BO7" s="456">
        <f t="shared" si="108"/>
        <v>5.3647999999999994E-2</v>
      </c>
      <c r="BP7" s="456"/>
      <c r="BR7" s="144">
        <f t="shared" si="109"/>
        <v>53.647999999999996</v>
      </c>
      <c r="BS7" s="456">
        <f t="shared" si="40"/>
        <v>4.0610659043009969E-3</v>
      </c>
      <c r="BT7" s="456">
        <f t="shared" si="41"/>
        <v>0.16735001459768856</v>
      </c>
      <c r="BU7" s="456">
        <f t="shared" si="42"/>
        <v>1.9117155560402891E-2</v>
      </c>
      <c r="BV7" s="456">
        <f t="shared" si="43"/>
        <v>0.23488788629378565</v>
      </c>
      <c r="BW7" s="456">
        <f t="shared" si="44"/>
        <v>0.10363283135782525</v>
      </c>
      <c r="BX7" s="144">
        <f t="shared" si="110"/>
        <v>338.52071765161088</v>
      </c>
      <c r="BY7" s="150">
        <f t="shared" si="45"/>
        <v>0.67705405870492996</v>
      </c>
      <c r="BZ7" s="5">
        <f t="shared" si="111"/>
        <v>2.4</v>
      </c>
      <c r="CA7" s="150">
        <f t="shared" si="112"/>
        <v>0.77996679753169873</v>
      </c>
      <c r="CB7" s="5">
        <f t="shared" si="113"/>
        <v>77.996679753169872</v>
      </c>
      <c r="CE7" s="59">
        <f t="shared" si="46"/>
        <v>-50</v>
      </c>
      <c r="CF7">
        <f t="shared" si="47"/>
        <v>-50</v>
      </c>
      <c r="CG7" s="150">
        <f t="shared" si="48"/>
        <v>2.6575417212153042E-2</v>
      </c>
      <c r="CI7" s="147">
        <v>2</v>
      </c>
      <c r="CJ7" s="188">
        <f t="shared" si="114"/>
        <v>0.08</v>
      </c>
      <c r="CK7" s="188"/>
      <c r="CL7" s="188">
        <f t="shared" si="49"/>
        <v>2.4</v>
      </c>
      <c r="CM7" s="465">
        <f t="shared" si="50"/>
        <v>34</v>
      </c>
      <c r="CN7" s="149">
        <f t="shared" si="51"/>
        <v>30.4</v>
      </c>
      <c r="CO7" s="379">
        <f t="shared" si="52"/>
        <v>64.400000000000006</v>
      </c>
      <c r="CP7" s="379"/>
      <c r="CQ7" s="188">
        <f t="shared" si="53"/>
        <v>0.47204968944099374</v>
      </c>
      <c r="CR7" s="149">
        <f t="shared" si="54"/>
        <v>244.918674788055</v>
      </c>
      <c r="CS7" s="149">
        <f t="shared" si="115"/>
        <v>2.4</v>
      </c>
      <c r="CT7" s="188">
        <f t="shared" si="55"/>
        <v>8.1639558262685004</v>
      </c>
      <c r="CU7" s="188">
        <f t="shared" si="56"/>
        <v>30</v>
      </c>
      <c r="CV7" s="188">
        <f t="shared" si="57"/>
        <v>8.1059037580776696</v>
      </c>
      <c r="CW7" s="149">
        <f t="shared" si="58"/>
        <v>6405.3960624712072</v>
      </c>
      <c r="CX7" s="149">
        <f t="shared" si="59"/>
        <v>30</v>
      </c>
      <c r="CY7" s="188">
        <f t="shared" si="60"/>
        <v>0.29907120743034055</v>
      </c>
      <c r="CZ7" s="188">
        <f t="shared" si="61"/>
        <v>4.1342196321252959E-2</v>
      </c>
      <c r="DA7" s="188">
        <f t="shared" si="62"/>
        <v>4.623798272771712E-2</v>
      </c>
      <c r="DB7" s="172">
        <f t="shared" si="63"/>
        <v>350</v>
      </c>
      <c r="DC7" s="379">
        <f t="shared" si="116"/>
        <v>350</v>
      </c>
      <c r="DE7" s="188">
        <f t="shared" si="64"/>
        <v>9.7566501161056465</v>
      </c>
      <c r="DF7" s="150">
        <f t="shared" si="65"/>
        <v>1.5084294587400178</v>
      </c>
      <c r="DG7" s="150">
        <f t="shared" si="66"/>
        <v>2.5755132294067704</v>
      </c>
      <c r="DH7" s="150"/>
      <c r="DI7" s="150">
        <f t="shared" si="67"/>
        <v>0.93700159489633172</v>
      </c>
      <c r="DJ7" s="314">
        <f t="shared" si="117"/>
        <v>28.174978723404255</v>
      </c>
      <c r="DK7" s="456">
        <f t="shared" si="68"/>
        <v>0.99378957034459414</v>
      </c>
      <c r="DM7" s="150">
        <f t="shared" si="69"/>
        <v>1.7195461336570985</v>
      </c>
      <c r="DN7" s="150">
        <f t="shared" si="70"/>
        <v>6.0606060606060606</v>
      </c>
      <c r="DO7" s="150">
        <f t="shared" si="71"/>
        <v>1.0160999878419452</v>
      </c>
      <c r="DQ7" s="314">
        <f t="shared" si="72"/>
        <v>80</v>
      </c>
      <c r="DR7" s="144">
        <f t="shared" si="73"/>
        <v>28.174978723404255</v>
      </c>
      <c r="DT7">
        <f t="shared" si="74"/>
        <v>80</v>
      </c>
      <c r="DU7" s="144">
        <f t="shared" si="75"/>
        <v>28.174978723404255</v>
      </c>
      <c r="DV7" s="144"/>
      <c r="DW7" s="5">
        <f t="shared" si="118"/>
        <v>35.492484655164077</v>
      </c>
      <c r="DX7" s="5">
        <f t="shared" si="76"/>
        <v>0.83778966131907295</v>
      </c>
      <c r="DY7" s="5">
        <f t="shared" si="119"/>
        <v>34.654694993845006</v>
      </c>
      <c r="DZ7" s="5">
        <f t="shared" si="77"/>
        <v>0.93700159489633172</v>
      </c>
      <c r="EA7" s="150">
        <f t="shared" si="120"/>
        <v>2.3604705882352941E-2</v>
      </c>
      <c r="EB7" s="150">
        <f t="shared" si="78"/>
        <v>2.4319999999999995</v>
      </c>
      <c r="EC7" s="150">
        <f t="shared" si="79"/>
        <v>2.9587736185383244</v>
      </c>
      <c r="ED7" s="150">
        <f t="shared" si="121"/>
        <v>0.82196217539665695</v>
      </c>
      <c r="EE7" s="144">
        <f t="shared" si="80"/>
        <v>0.22341057635175282</v>
      </c>
      <c r="EF7" s="5">
        <f t="shared" si="81"/>
        <v>1.4389492731008304</v>
      </c>
      <c r="EG7" s="5"/>
      <c r="EH7" s="150">
        <f t="shared" si="122"/>
        <v>0.53759438641213686</v>
      </c>
      <c r="EI7" s="150">
        <f t="shared" si="82"/>
        <v>3.4575483919944099</v>
      </c>
      <c r="EJ7" s="150"/>
      <c r="EK7" s="456">
        <f t="shared" si="83"/>
        <v>3.4680926916221028E-3</v>
      </c>
      <c r="EL7" s="456">
        <f t="shared" si="84"/>
        <v>0.20893881191489364</v>
      </c>
      <c r="EM7" s="456">
        <f t="shared" si="85"/>
        <v>3.2401225531914898E-3</v>
      </c>
      <c r="EN7" s="456">
        <f t="shared" si="86"/>
        <v>6.0470796024919164E-2</v>
      </c>
      <c r="EO7">
        <f t="shared" si="87"/>
        <v>1.5299999999999999E-2</v>
      </c>
      <c r="EP7" s="144">
        <f t="shared" si="123"/>
        <v>18.540122553191487</v>
      </c>
      <c r="EQ7" s="456">
        <f t="shared" si="88"/>
        <v>0.29259531225634</v>
      </c>
      <c r="ER7" s="144">
        <f t="shared" si="124"/>
        <v>292.59531225633998</v>
      </c>
      <c r="ES7" s="456">
        <f t="shared" si="125"/>
        <v>5.3647999999999994E-2</v>
      </c>
      <c r="ET7" s="456"/>
      <c r="EV7" s="144">
        <f t="shared" si="126"/>
        <v>53.647999999999996</v>
      </c>
      <c r="EW7" s="456">
        <f t="shared" si="89"/>
        <v>4.0461081402257864E-3</v>
      </c>
      <c r="EX7" s="456">
        <f t="shared" si="90"/>
        <v>0.16736497236176381</v>
      </c>
      <c r="EY7" s="456">
        <f t="shared" si="91"/>
        <v>1.9051059600225777E-2</v>
      </c>
      <c r="EZ7" s="456">
        <f t="shared" si="92"/>
        <v>0.23482087136550731</v>
      </c>
      <c r="FA7" s="456">
        <f t="shared" si="93"/>
        <v>0.10348936170212766</v>
      </c>
      <c r="FB7" s="144">
        <f t="shared" si="127"/>
        <v>338.31023306763495</v>
      </c>
      <c r="FC7" s="150">
        <f t="shared" si="128"/>
        <v>0.68455354532397494</v>
      </c>
      <c r="FD7" s="5">
        <f t="shared" si="129"/>
        <v>2.4</v>
      </c>
      <c r="FE7" s="150">
        <f t="shared" si="130"/>
        <v>0.77807046132762936</v>
      </c>
      <c r="FF7" s="5">
        <f t="shared" si="131"/>
        <v>77.807046132762935</v>
      </c>
      <c r="FI7" s="59">
        <f t="shared" si="94"/>
        <v>-50</v>
      </c>
      <c r="FJ7">
        <f t="shared" si="95"/>
        <v>-50</v>
      </c>
      <c r="FL7">
        <f t="shared" si="96"/>
        <v>2.64E-2</v>
      </c>
    </row>
    <row r="8" spans="2:168">
      <c r="E8" s="147">
        <v>3</v>
      </c>
      <c r="F8" s="188">
        <f t="shared" si="97"/>
        <v>0.12</v>
      </c>
      <c r="G8" s="188"/>
      <c r="H8" s="188">
        <f t="shared" si="0"/>
        <v>3.5999999999999996</v>
      </c>
      <c r="I8" s="465">
        <f t="shared" si="1"/>
        <v>33.921732178900704</v>
      </c>
      <c r="J8" s="149">
        <f t="shared" si="2"/>
        <v>30.44214421136116</v>
      </c>
      <c r="K8" s="149">
        <f t="shared" si="3"/>
        <v>64.442144211361153</v>
      </c>
      <c r="L8" s="379"/>
      <c r="M8" s="188">
        <f t="shared" si="4"/>
        <v>0.4729716962830906</v>
      </c>
      <c r="N8" s="149">
        <f t="shared" si="5"/>
        <v>244.83214690946005</v>
      </c>
      <c r="O8" s="149">
        <f t="shared" si="98"/>
        <v>3.5999999999999996</v>
      </c>
      <c r="P8" s="188">
        <f t="shared" si="6"/>
        <v>8.1610715636486688</v>
      </c>
      <c r="Q8" s="188">
        <f t="shared" si="7"/>
        <v>30</v>
      </c>
      <c r="R8" s="188">
        <f t="shared" si="8"/>
        <v>8.1030400048057416</v>
      </c>
      <c r="S8" s="149">
        <f t="shared" si="9"/>
        <v>4249.1284530944276</v>
      </c>
      <c r="T8" s="149">
        <f t="shared" si="10"/>
        <v>30</v>
      </c>
      <c r="U8" s="188">
        <f t="shared" si="99"/>
        <v>0.45538351224664936</v>
      </c>
      <c r="V8" s="188">
        <f t="shared" si="11"/>
        <v>6.3095318843726919E-2</v>
      </c>
      <c r="W8" s="188">
        <f t="shared" si="12"/>
        <v>7.030721925167413E-2</v>
      </c>
      <c r="X8" s="172">
        <f t="shared" si="13"/>
        <v>350</v>
      </c>
      <c r="Y8" s="379">
        <f t="shared" si="14"/>
        <v>350</v>
      </c>
      <c r="AA8" s="188">
        <f t="shared" si="15"/>
        <v>9.7531558833286915</v>
      </c>
      <c r="AB8" s="150">
        <f t="shared" si="16"/>
        <v>1.5058017048134604</v>
      </c>
      <c r="AC8" s="150">
        <f t="shared" si="17"/>
        <v>2.5701057823748608</v>
      </c>
      <c r="AD8" s="150"/>
      <c r="AE8" s="150">
        <f t="shared" si="18"/>
        <v>0.93570440659754173</v>
      </c>
      <c r="AF8" s="314">
        <f t="shared" si="100"/>
        <v>42.321057505751874</v>
      </c>
      <c r="AG8" s="456">
        <f t="shared" si="19"/>
        <v>0.99241376457315034</v>
      </c>
      <c r="AI8" s="150">
        <f t="shared" si="20"/>
        <v>2.1074646042561449</v>
      </c>
      <c r="AJ8" s="150">
        <f t="shared" si="21"/>
        <v>6.0606060606060606</v>
      </c>
      <c r="AK8" s="150">
        <f t="shared" si="22"/>
        <v>1.0241834614318581</v>
      </c>
      <c r="AM8" s="314">
        <f t="shared" si="23"/>
        <v>120</v>
      </c>
      <c r="AN8" s="144">
        <f t="shared" si="24"/>
        <v>42.321057505751874</v>
      </c>
      <c r="AP8">
        <f t="shared" si="25"/>
        <v>120</v>
      </c>
      <c r="AQ8" s="144">
        <f t="shared" si="26"/>
        <v>42.321057505751874</v>
      </c>
      <c r="AR8" s="144"/>
      <c r="AS8" s="5">
        <f t="shared" si="101"/>
        <v>23.628899156503582</v>
      </c>
      <c r="AT8" s="5">
        <f t="shared" si="27"/>
        <v>0.83972269855270065</v>
      </c>
      <c r="AU8" s="5">
        <f t="shared" si="102"/>
        <v>22.78917645795088</v>
      </c>
      <c r="AV8" s="5">
        <f t="shared" si="28"/>
        <v>0.93570440659754173</v>
      </c>
      <c r="AW8" s="150">
        <f t="shared" si="103"/>
        <v>3.5537952614333991E-2</v>
      </c>
      <c r="AX8" s="150">
        <f t="shared" si="29"/>
        <v>3.6530573053633382</v>
      </c>
      <c r="AY8" s="150">
        <f t="shared" si="30"/>
        <v>2.9226122648050485</v>
      </c>
      <c r="AZ8" s="150">
        <f t="shared" si="104"/>
        <v>1.24992882201807</v>
      </c>
      <c r="BA8" s="144">
        <f t="shared" si="31"/>
        <v>0.33588907942108026</v>
      </c>
      <c r="BB8" s="5">
        <f t="shared" si="32"/>
        <v>1.4226700524806168</v>
      </c>
      <c r="BC8" s="5"/>
      <c r="BD8" s="150">
        <f t="shared" si="105"/>
        <v>0.65963187008531476</v>
      </c>
      <c r="BE8" s="150">
        <f t="shared" si="33"/>
        <v>3.4363548133527653</v>
      </c>
      <c r="BF8" s="150"/>
      <c r="BG8" s="456">
        <f t="shared" si="34"/>
        <v>5.2213704483869954E-3</v>
      </c>
      <c r="BH8" s="456">
        <f t="shared" si="35"/>
        <v>0.30165145066711646</v>
      </c>
      <c r="BI8" s="456">
        <f t="shared" si="36"/>
        <v>4.8669216131614658E-3</v>
      </c>
      <c r="BJ8" s="456">
        <f t="shared" si="37"/>
        <v>9.0950864243804191E-2</v>
      </c>
      <c r="BK8">
        <f t="shared" si="38"/>
        <v>1.5264779480505317E-2</v>
      </c>
      <c r="BL8" s="144">
        <f t="shared" si="106"/>
        <v>20.131701093666784</v>
      </c>
      <c r="BM8" s="456">
        <f t="shared" si="39"/>
        <v>0.39972935867079834</v>
      </c>
      <c r="BN8" s="144">
        <f t="shared" si="107"/>
        <v>399.72935867079832</v>
      </c>
      <c r="BO8" s="456">
        <f t="shared" si="108"/>
        <v>8.0471999999999988E-2</v>
      </c>
      <c r="BP8" s="456"/>
      <c r="BR8" s="144">
        <f t="shared" si="109"/>
        <v>80.471999999999994</v>
      </c>
      <c r="BS8" s="456">
        <f t="shared" si="40"/>
        <v>6.0915988564514941E-3</v>
      </c>
      <c r="BT8" s="456">
        <f t="shared" si="41"/>
        <v>0.16531948164553806</v>
      </c>
      <c r="BU8" s="456">
        <f t="shared" si="42"/>
        <v>5.2680686013446852E-2</v>
      </c>
      <c r="BV8" s="456">
        <f t="shared" si="43"/>
        <v>0.26891806877472868</v>
      </c>
      <c r="BW8" s="456">
        <f t="shared" si="44"/>
        <v>0.15544924703673782</v>
      </c>
      <c r="BX8" s="144">
        <f t="shared" si="110"/>
        <v>424.36731581146648</v>
      </c>
      <c r="BY8" s="150">
        <f t="shared" si="45"/>
        <v>0.92470037557593165</v>
      </c>
      <c r="BZ8" s="5">
        <f t="shared" si="111"/>
        <v>3.5999999999999996</v>
      </c>
      <c r="CA8" s="150">
        <f t="shared" si="112"/>
        <v>0.7956327935950388</v>
      </c>
      <c r="CB8" s="5">
        <f t="shared" si="113"/>
        <v>79.563279359503881</v>
      </c>
      <c r="CE8" s="59">
        <f t="shared" si="46"/>
        <v>-50</v>
      </c>
      <c r="CF8">
        <f t="shared" si="47"/>
        <v>-50</v>
      </c>
      <c r="CG8" s="150">
        <f t="shared" si="48"/>
        <v>3.986312581822956E-2</v>
      </c>
      <c r="CI8" s="147">
        <v>3</v>
      </c>
      <c r="CJ8" s="188">
        <f t="shared" si="114"/>
        <v>0.12</v>
      </c>
      <c r="CK8" s="188"/>
      <c r="CL8" s="188">
        <f t="shared" si="49"/>
        <v>3.5999999999999996</v>
      </c>
      <c r="CM8" s="465">
        <f t="shared" si="50"/>
        <v>34</v>
      </c>
      <c r="CN8" s="149">
        <f t="shared" si="51"/>
        <v>30.4</v>
      </c>
      <c r="CO8" s="379">
        <f t="shared" si="52"/>
        <v>64.400000000000006</v>
      </c>
      <c r="CP8" s="379"/>
      <c r="CQ8" s="188">
        <f t="shared" si="53"/>
        <v>0.47204968944099374</v>
      </c>
      <c r="CR8" s="149">
        <f t="shared" si="54"/>
        <v>244.918674788055</v>
      </c>
      <c r="CS8" s="149">
        <f t="shared" si="115"/>
        <v>3.5999999999999996</v>
      </c>
      <c r="CT8" s="188">
        <f t="shared" si="55"/>
        <v>8.1639558262685004</v>
      </c>
      <c r="CU8" s="188">
        <f t="shared" si="56"/>
        <v>30</v>
      </c>
      <c r="CV8" s="188">
        <f t="shared" si="57"/>
        <v>8.1059037580776696</v>
      </c>
      <c r="CW8" s="149">
        <f t="shared" si="58"/>
        <v>4258.932485917876</v>
      </c>
      <c r="CX8" s="149">
        <f t="shared" si="59"/>
        <v>30</v>
      </c>
      <c r="CY8" s="188">
        <f t="shared" si="60"/>
        <v>0.44860681114551082</v>
      </c>
      <c r="CZ8" s="188">
        <f t="shared" si="61"/>
        <v>6.2013294481879436E-2</v>
      </c>
      <c r="DA8" s="188">
        <f t="shared" si="62"/>
        <v>6.9356974091575693E-2</v>
      </c>
      <c r="DB8" s="172">
        <f t="shared" si="63"/>
        <v>350</v>
      </c>
      <c r="DC8" s="379">
        <f t="shared" si="116"/>
        <v>350</v>
      </c>
      <c r="DE8" s="188">
        <f t="shared" si="64"/>
        <v>9.7566501161056465</v>
      </c>
      <c r="DF8" s="150">
        <f t="shared" si="65"/>
        <v>1.5084294587400178</v>
      </c>
      <c r="DG8" s="150">
        <f t="shared" si="66"/>
        <v>2.5755132294067704</v>
      </c>
      <c r="DH8" s="150"/>
      <c r="DI8" s="150">
        <f t="shared" si="67"/>
        <v>0.93700159489633172</v>
      </c>
      <c r="DJ8" s="314">
        <f t="shared" si="117"/>
        <v>42.262468085106384</v>
      </c>
      <c r="DK8" s="456">
        <f t="shared" si="68"/>
        <v>0.99378957034459414</v>
      </c>
      <c r="DM8" s="150">
        <f t="shared" si="69"/>
        <v>2.106005308317767</v>
      </c>
      <c r="DN8" s="150">
        <f t="shared" si="70"/>
        <v>6.0606060606060606</v>
      </c>
      <c r="DO8" s="150">
        <f t="shared" si="71"/>
        <v>1.0241499817629178</v>
      </c>
      <c r="DQ8" s="314">
        <f t="shared" si="72"/>
        <v>120</v>
      </c>
      <c r="DR8" s="144">
        <f t="shared" si="73"/>
        <v>42.262468085106384</v>
      </c>
      <c r="DT8">
        <f t="shared" si="74"/>
        <v>120</v>
      </c>
      <c r="DU8" s="144">
        <f t="shared" si="75"/>
        <v>42.262468085106384</v>
      </c>
      <c r="DV8" s="144"/>
      <c r="DW8" s="5">
        <f t="shared" si="118"/>
        <v>23.661656436776052</v>
      </c>
      <c r="DX8" s="5">
        <f t="shared" si="76"/>
        <v>0.83778966131907295</v>
      </c>
      <c r="DY8" s="5">
        <f t="shared" si="119"/>
        <v>22.823866775456981</v>
      </c>
      <c r="DZ8" s="5">
        <f t="shared" si="77"/>
        <v>0.93700159489633172</v>
      </c>
      <c r="EA8" s="150">
        <f t="shared" si="120"/>
        <v>3.540705882352941E-2</v>
      </c>
      <c r="EB8" s="150">
        <f t="shared" si="78"/>
        <v>3.6479999999999992</v>
      </c>
      <c r="EC8" s="150">
        <f t="shared" si="79"/>
        <v>2.9230089126559715</v>
      </c>
      <c r="ED8" s="150">
        <f t="shared" si="121"/>
        <v>1.2480290375458587</v>
      </c>
      <c r="EE8" s="144">
        <f t="shared" si="80"/>
        <v>0.33511586452762915</v>
      </c>
      <c r="EF8" s="5">
        <f t="shared" si="81"/>
        <v>1.4215557161184276</v>
      </c>
      <c r="EG8" s="5"/>
      <c r="EH8" s="150">
        <f t="shared" si="122"/>
        <v>0.65841596764717281</v>
      </c>
      <c r="EI8" s="150">
        <f t="shared" si="82"/>
        <v>3.4365879911377517</v>
      </c>
      <c r="EJ8" s="150"/>
      <c r="EK8" s="456">
        <f t="shared" si="83"/>
        <v>5.2021390374331544E-3</v>
      </c>
      <c r="EL8" s="456">
        <f t="shared" si="84"/>
        <v>0.31340821787234047</v>
      </c>
      <c r="EM8" s="456">
        <f t="shared" si="85"/>
        <v>4.8601838297872343E-3</v>
      </c>
      <c r="EN8" s="456">
        <f t="shared" si="86"/>
        <v>9.0706194037378757E-2</v>
      </c>
      <c r="EO8">
        <f t="shared" si="87"/>
        <v>1.5299999999999999E-2</v>
      </c>
      <c r="EP8" s="144">
        <f t="shared" si="123"/>
        <v>20.160183829787233</v>
      </c>
      <c r="EQ8" s="456">
        <f t="shared" si="88"/>
        <v>0.43141455288552982</v>
      </c>
      <c r="ER8" s="144">
        <f t="shared" si="124"/>
        <v>431.41455288552982</v>
      </c>
      <c r="ES8" s="456">
        <f t="shared" si="125"/>
        <v>8.0471999999999988E-2</v>
      </c>
      <c r="ET8" s="456"/>
      <c r="EV8" s="144">
        <f t="shared" si="126"/>
        <v>80.471999999999994</v>
      </c>
      <c r="EW8" s="456">
        <f t="shared" si="89"/>
        <v>6.0691622103386808E-3</v>
      </c>
      <c r="EX8" s="456">
        <f t="shared" si="90"/>
        <v>0.16534191829165093</v>
      </c>
      <c r="EY8" s="456">
        <f t="shared" si="91"/>
        <v>5.2498546964892041E-2</v>
      </c>
      <c r="EZ8" s="456">
        <f t="shared" si="92"/>
        <v>0.26873339734786866</v>
      </c>
      <c r="FA8" s="456">
        <f t="shared" si="93"/>
        <v>0.15523404255319148</v>
      </c>
      <c r="FB8" s="144">
        <f t="shared" si="127"/>
        <v>423.96743990106012</v>
      </c>
      <c r="FC8" s="150">
        <f t="shared" si="128"/>
        <v>0.93585399278659009</v>
      </c>
      <c r="FD8" s="5">
        <f t="shared" si="129"/>
        <v>3.5999999999999996</v>
      </c>
      <c r="FE8" s="150">
        <f t="shared" si="130"/>
        <v>0.79367634093273554</v>
      </c>
      <c r="FF8" s="5">
        <f t="shared" si="131"/>
        <v>79.367634093273551</v>
      </c>
      <c r="FI8" s="59">
        <f t="shared" si="94"/>
        <v>-50</v>
      </c>
      <c r="FJ8">
        <f t="shared" si="95"/>
        <v>-50</v>
      </c>
      <c r="FL8">
        <f t="shared" si="96"/>
        <v>3.9600000000000003E-2</v>
      </c>
    </row>
    <row r="9" spans="2:168">
      <c r="E9" s="147">
        <v>4</v>
      </c>
      <c r="F9" s="188">
        <f t="shared" si="97"/>
        <v>0.16</v>
      </c>
      <c r="G9" s="188"/>
      <c r="H9" s="188">
        <f t="shared" si="0"/>
        <v>4.8</v>
      </c>
      <c r="I9" s="465">
        <f t="shared" si="1"/>
        <v>33.921732178900704</v>
      </c>
      <c r="J9" s="149">
        <f t="shared" si="2"/>
        <v>30.44214421136116</v>
      </c>
      <c r="K9" s="149">
        <f t="shared" si="3"/>
        <v>64.442144211361153</v>
      </c>
      <c r="L9" s="379"/>
      <c r="M9" s="188">
        <f t="shared" si="4"/>
        <v>0.4729716962830906</v>
      </c>
      <c r="N9" s="149">
        <f t="shared" si="5"/>
        <v>244.83214690946005</v>
      </c>
      <c r="O9" s="149">
        <f t="shared" si="98"/>
        <v>4.8</v>
      </c>
      <c r="P9" s="188">
        <f t="shared" si="6"/>
        <v>8.1610715636486688</v>
      </c>
      <c r="Q9" s="188">
        <f t="shared" si="7"/>
        <v>30</v>
      </c>
      <c r="R9" s="188">
        <f t="shared" si="8"/>
        <v>8.1030400048057416</v>
      </c>
      <c r="S9" s="149">
        <f t="shared" si="9"/>
        <v>3178.3677805737498</v>
      </c>
      <c r="T9" s="149">
        <f t="shared" si="10"/>
        <v>30</v>
      </c>
      <c r="U9" s="188">
        <f t="shared" si="99"/>
        <v>0.60717801632886581</v>
      </c>
      <c r="V9" s="188">
        <f t="shared" si="11"/>
        <v>8.4127091791635911E-2</v>
      </c>
      <c r="W9" s="188">
        <f t="shared" si="12"/>
        <v>9.3742959002232187E-2</v>
      </c>
      <c r="X9" s="172">
        <f t="shared" si="13"/>
        <v>350</v>
      </c>
      <c r="Y9" s="379">
        <f t="shared" si="14"/>
        <v>350</v>
      </c>
      <c r="AA9" s="188">
        <f t="shared" si="15"/>
        <v>9.7531558833286915</v>
      </c>
      <c r="AB9" s="150">
        <f t="shared" si="16"/>
        <v>1.5058017048134604</v>
      </c>
      <c r="AC9" s="150">
        <f t="shared" si="17"/>
        <v>2.5701057823748608</v>
      </c>
      <c r="AD9" s="150"/>
      <c r="AE9" s="150">
        <f t="shared" si="18"/>
        <v>0.93570440659754173</v>
      </c>
      <c r="AF9" s="314">
        <f t="shared" si="100"/>
        <v>56.428076674335841</v>
      </c>
      <c r="AG9" s="456">
        <f t="shared" si="19"/>
        <v>0.99241376457315034</v>
      </c>
      <c r="AI9" s="150">
        <f t="shared" si="20"/>
        <v>2.433490513149787</v>
      </c>
      <c r="AJ9" s="150">
        <f t="shared" si="21"/>
        <v>6.0606060606060606</v>
      </c>
      <c r="AK9" s="150">
        <f t="shared" si="22"/>
        <v>1.0322446152424776</v>
      </c>
      <c r="AM9" s="314">
        <f t="shared" si="23"/>
        <v>160</v>
      </c>
      <c r="AN9" s="144">
        <f t="shared" si="24"/>
        <v>56.428076674335841</v>
      </c>
      <c r="AP9">
        <f t="shared" si="25"/>
        <v>160</v>
      </c>
      <c r="AQ9" s="144">
        <f t="shared" si="26"/>
        <v>56.428076674335841</v>
      </c>
      <c r="AR9" s="144"/>
      <c r="AS9" s="5">
        <f t="shared" si="101"/>
        <v>17.721674367377684</v>
      </c>
      <c r="AT9" s="5">
        <f t="shared" si="27"/>
        <v>0.83972269855270065</v>
      </c>
      <c r="AU9" s="5">
        <f t="shared" si="102"/>
        <v>16.881951668824982</v>
      </c>
      <c r="AV9" s="5">
        <f t="shared" si="28"/>
        <v>0.93570440659754173</v>
      </c>
      <c r="AW9" s="150">
        <f t="shared" si="103"/>
        <v>4.7383936819111995E-2</v>
      </c>
      <c r="AX9" s="150">
        <f t="shared" si="29"/>
        <v>4.8707430738177857</v>
      </c>
      <c r="AY9" s="150">
        <f t="shared" si="30"/>
        <v>2.886715342972388</v>
      </c>
      <c r="AZ9" s="150">
        <f t="shared" si="104"/>
        <v>1.6872959385051411</v>
      </c>
      <c r="BA9" s="144">
        <f t="shared" si="31"/>
        <v>0.4478521058947737</v>
      </c>
      <c r="BB9" s="5">
        <f t="shared" si="32"/>
        <v>1.4051961383789899</v>
      </c>
      <c r="BC9" s="5"/>
      <c r="BD9" s="150">
        <f t="shared" si="105"/>
        <v>0.76167727551962561</v>
      </c>
      <c r="BE9" s="150">
        <f t="shared" si="33"/>
        <v>3.4151861347870884</v>
      </c>
      <c r="BF9" s="150"/>
      <c r="BG9" s="456">
        <f t="shared" si="34"/>
        <v>6.9618272645159962E-3</v>
      </c>
      <c r="BH9" s="456">
        <f t="shared" si="35"/>
        <v>0.40220193422282202</v>
      </c>
      <c r="BI9" s="456">
        <f t="shared" si="36"/>
        <v>6.4892288175486231E-3</v>
      </c>
      <c r="BJ9" s="456">
        <f t="shared" si="37"/>
        <v>0.12126781899173894</v>
      </c>
      <c r="BK9">
        <f t="shared" si="38"/>
        <v>1.5264779480505317E-2</v>
      </c>
      <c r="BL9" s="144">
        <f t="shared" si="106"/>
        <v>21.75400829805394</v>
      </c>
      <c r="BM9" s="456">
        <f t="shared" si="39"/>
        <v>0.53319324486689867</v>
      </c>
      <c r="BN9" s="144">
        <f t="shared" si="107"/>
        <v>533.19324486689868</v>
      </c>
      <c r="BO9" s="456">
        <f t="shared" si="108"/>
        <v>0.10729599999999999</v>
      </c>
      <c r="BP9" s="456"/>
      <c r="BR9" s="144">
        <f t="shared" si="109"/>
        <v>107.29599999999999</v>
      </c>
      <c r="BS9" s="456">
        <f t="shared" si="40"/>
        <v>8.1221318086019956E-3</v>
      </c>
      <c r="BT9" s="456">
        <f t="shared" si="41"/>
        <v>0.16328894869338761</v>
      </c>
      <c r="BU9" s="456">
        <f t="shared" si="42"/>
        <v>0.10814296267007191</v>
      </c>
      <c r="BV9" s="456">
        <f t="shared" si="43"/>
        <v>0.32515146764419495</v>
      </c>
      <c r="BW9" s="456">
        <f t="shared" si="44"/>
        <v>0.2072656627156505</v>
      </c>
      <c r="BX9" s="144">
        <f t="shared" si="110"/>
        <v>532.41713035984549</v>
      </c>
      <c r="BY9" s="150">
        <f t="shared" si="45"/>
        <v>1.1946603835247982</v>
      </c>
      <c r="BZ9" s="5">
        <f t="shared" si="111"/>
        <v>4.8</v>
      </c>
      <c r="CA9" s="150">
        <f t="shared" si="112"/>
        <v>0.80071258301669623</v>
      </c>
      <c r="CB9" s="5">
        <f t="shared" si="113"/>
        <v>80.07125830166963</v>
      </c>
      <c r="CE9" s="59">
        <f t="shared" si="46"/>
        <v>-50</v>
      </c>
      <c r="CF9">
        <f t="shared" si="47"/>
        <v>-50</v>
      </c>
      <c r="CG9" s="150">
        <f t="shared" si="48"/>
        <v>5.3150834424306084E-2</v>
      </c>
      <c r="CI9" s="147">
        <v>4</v>
      </c>
      <c r="CJ9" s="188">
        <f t="shared" si="114"/>
        <v>0.16</v>
      </c>
      <c r="CK9" s="188"/>
      <c r="CL9" s="188">
        <f t="shared" si="49"/>
        <v>4.8</v>
      </c>
      <c r="CM9" s="465">
        <f t="shared" si="50"/>
        <v>34</v>
      </c>
      <c r="CN9" s="149">
        <f t="shared" si="51"/>
        <v>30.4</v>
      </c>
      <c r="CO9" s="379">
        <f t="shared" si="52"/>
        <v>64.400000000000006</v>
      </c>
      <c r="CP9" s="379"/>
      <c r="CQ9" s="188">
        <f t="shared" si="53"/>
        <v>0.47204968944099374</v>
      </c>
      <c r="CR9" s="149">
        <f t="shared" si="54"/>
        <v>244.918674788055</v>
      </c>
      <c r="CS9" s="149">
        <f t="shared" si="115"/>
        <v>4.8</v>
      </c>
      <c r="CT9" s="188">
        <f t="shared" si="55"/>
        <v>8.1639558262685004</v>
      </c>
      <c r="CU9" s="188">
        <f t="shared" si="56"/>
        <v>30</v>
      </c>
      <c r="CV9" s="188">
        <f t="shared" si="57"/>
        <v>8.1059037580776696</v>
      </c>
      <c r="CW9" s="149">
        <f t="shared" si="58"/>
        <v>3185.7012382367875</v>
      </c>
      <c r="CX9" s="149">
        <f t="shared" si="59"/>
        <v>30</v>
      </c>
      <c r="CY9" s="188">
        <f t="shared" si="60"/>
        <v>0.59814241486068109</v>
      </c>
      <c r="CZ9" s="188">
        <f t="shared" si="61"/>
        <v>8.2684392642505919E-2</v>
      </c>
      <c r="DA9" s="188">
        <f t="shared" si="62"/>
        <v>9.2475965455434239E-2</v>
      </c>
      <c r="DB9" s="172">
        <f t="shared" si="63"/>
        <v>350</v>
      </c>
      <c r="DC9" s="379">
        <f t="shared" si="116"/>
        <v>350</v>
      </c>
      <c r="DE9" s="188">
        <f t="shared" si="64"/>
        <v>9.7566501161056465</v>
      </c>
      <c r="DF9" s="150">
        <f t="shared" si="65"/>
        <v>1.5084294587400178</v>
      </c>
      <c r="DG9" s="150">
        <f t="shared" si="66"/>
        <v>2.5755132294067704</v>
      </c>
      <c r="DH9" s="150"/>
      <c r="DI9" s="150">
        <f t="shared" si="67"/>
        <v>0.93700159489633172</v>
      </c>
      <c r="DJ9" s="314">
        <f t="shared" si="117"/>
        <v>56.34995744680851</v>
      </c>
      <c r="DK9" s="456">
        <f t="shared" si="68"/>
        <v>0.99378957034459414</v>
      </c>
      <c r="DM9" s="150">
        <f t="shared" si="69"/>
        <v>2.4318054633440873</v>
      </c>
      <c r="DN9" s="150">
        <f t="shared" si="70"/>
        <v>6.0606060606060606</v>
      </c>
      <c r="DO9" s="150">
        <f t="shared" si="71"/>
        <v>1.0321999756838907</v>
      </c>
      <c r="DQ9" s="314">
        <f t="shared" si="72"/>
        <v>160</v>
      </c>
      <c r="DR9" s="144">
        <f t="shared" si="73"/>
        <v>56.34995744680851</v>
      </c>
      <c r="DT9">
        <f t="shared" si="74"/>
        <v>160</v>
      </c>
      <c r="DU9" s="144">
        <f t="shared" si="75"/>
        <v>56.34995744680851</v>
      </c>
      <c r="DV9" s="144"/>
      <c r="DW9" s="5">
        <f t="shared" si="118"/>
        <v>17.746242327582038</v>
      </c>
      <c r="DX9" s="5">
        <f t="shared" si="76"/>
        <v>0.83778966131907295</v>
      </c>
      <c r="DY9" s="5">
        <f t="shared" si="119"/>
        <v>16.908452666262967</v>
      </c>
      <c r="DZ9" s="5">
        <f t="shared" si="77"/>
        <v>0.93700159489633172</v>
      </c>
      <c r="EA9" s="150">
        <f t="shared" si="120"/>
        <v>4.7209411764705882E-2</v>
      </c>
      <c r="EB9" s="150">
        <f t="shared" si="78"/>
        <v>4.863999999999999</v>
      </c>
      <c r="EC9" s="150">
        <f t="shared" si="79"/>
        <v>2.8872442067736186</v>
      </c>
      <c r="ED9" s="150">
        <f t="shared" si="121"/>
        <v>1.6846514017029848</v>
      </c>
      <c r="EE9" s="144">
        <f t="shared" si="80"/>
        <v>0.44682115270350564</v>
      </c>
      <c r="EF9" s="5">
        <f t="shared" si="81"/>
        <v>1.4041621591360247</v>
      </c>
      <c r="EG9" s="5"/>
      <c r="EH9" s="150">
        <f t="shared" si="122"/>
        <v>0.76027327231968633</v>
      </c>
      <c r="EI9" s="150">
        <f t="shared" si="82"/>
        <v>3.4154989618914087</v>
      </c>
      <c r="EJ9" s="150"/>
      <c r="EK9" s="456">
        <f t="shared" si="83"/>
        <v>6.9361853832442073E-3</v>
      </c>
      <c r="EL9" s="456">
        <f t="shared" si="84"/>
        <v>0.41787762382978727</v>
      </c>
      <c r="EM9" s="456">
        <f t="shared" si="85"/>
        <v>6.4802451063829796E-3</v>
      </c>
      <c r="EN9" s="456">
        <f t="shared" si="86"/>
        <v>0.12094159204983833</v>
      </c>
      <c r="EO9">
        <f t="shared" si="87"/>
        <v>1.5299999999999999E-2</v>
      </c>
      <c r="EP9" s="144">
        <f t="shared" si="123"/>
        <v>21.780245106382978</v>
      </c>
      <c r="EQ9" s="456">
        <f t="shared" si="88"/>
        <v>0.57034837201174271</v>
      </c>
      <c r="ER9" s="144">
        <f t="shared" si="124"/>
        <v>570.34837201174275</v>
      </c>
      <c r="ES9" s="456">
        <f t="shared" si="125"/>
        <v>0.10729599999999999</v>
      </c>
      <c r="ET9" s="456"/>
      <c r="EV9" s="144">
        <f t="shared" si="126"/>
        <v>107.29599999999999</v>
      </c>
      <c r="EW9" s="456">
        <f t="shared" si="89"/>
        <v>8.0922162804515745E-3</v>
      </c>
      <c r="EX9" s="456">
        <f t="shared" si="90"/>
        <v>0.16331886422153807</v>
      </c>
      <c r="EY9" s="456">
        <f t="shared" si="91"/>
        <v>0.1077690674568697</v>
      </c>
      <c r="EZ9" s="456">
        <f t="shared" si="92"/>
        <v>0.3247723739623839</v>
      </c>
      <c r="FA9" s="456">
        <f t="shared" si="93"/>
        <v>0.20697872340425533</v>
      </c>
      <c r="FB9" s="144">
        <f t="shared" si="127"/>
        <v>531.75109736663933</v>
      </c>
      <c r="FC9" s="150">
        <f t="shared" si="128"/>
        <v>1.2093954693783819</v>
      </c>
      <c r="FD9" s="5">
        <f t="shared" si="129"/>
        <v>4.8</v>
      </c>
      <c r="FE9" s="150">
        <f t="shared" si="130"/>
        <v>0.79874922934577919</v>
      </c>
      <c r="FF9" s="5">
        <f t="shared" si="131"/>
        <v>79.874922934577924</v>
      </c>
      <c r="FI9" s="59">
        <f t="shared" si="94"/>
        <v>-50</v>
      </c>
      <c r="FJ9">
        <f t="shared" si="95"/>
        <v>-50</v>
      </c>
      <c r="FL9">
        <f t="shared" si="96"/>
        <v>5.28E-2</v>
      </c>
    </row>
    <row r="10" spans="2:168">
      <c r="E10" s="147">
        <v>5</v>
      </c>
      <c r="F10" s="188">
        <f t="shared" si="97"/>
        <v>0.2</v>
      </c>
      <c r="G10" s="188"/>
      <c r="H10" s="188">
        <f t="shared" si="0"/>
        <v>6</v>
      </c>
      <c r="I10" s="465">
        <f t="shared" si="1"/>
        <v>33.921732178900704</v>
      </c>
      <c r="J10" s="149">
        <f t="shared" si="2"/>
        <v>30.44214421136116</v>
      </c>
      <c r="K10" s="149">
        <f t="shared" si="3"/>
        <v>64.442144211361153</v>
      </c>
      <c r="L10" s="379"/>
      <c r="M10" s="188">
        <f t="shared" si="4"/>
        <v>0.4729716962830906</v>
      </c>
      <c r="N10" s="149">
        <f t="shared" si="5"/>
        <v>244.83214690946005</v>
      </c>
      <c r="O10" s="149">
        <f t="shared" si="98"/>
        <v>6</v>
      </c>
      <c r="P10" s="188">
        <f t="shared" si="6"/>
        <v>8.1610715636486688</v>
      </c>
      <c r="Q10" s="188">
        <f t="shared" si="7"/>
        <v>30</v>
      </c>
      <c r="R10" s="188">
        <f t="shared" si="8"/>
        <v>8.1030400048057416</v>
      </c>
      <c r="S10" s="149">
        <f t="shared" si="9"/>
        <v>2535.9118129655285</v>
      </c>
      <c r="T10" s="149">
        <f t="shared" si="10"/>
        <v>30</v>
      </c>
      <c r="U10" s="188">
        <f t="shared" si="99"/>
        <v>0.75897252041108232</v>
      </c>
      <c r="V10" s="188">
        <f t="shared" si="11"/>
        <v>0.10515886473954489</v>
      </c>
      <c r="W10" s="188">
        <f t="shared" si="12"/>
        <v>0.11717869875279024</v>
      </c>
      <c r="X10" s="172">
        <f t="shared" si="13"/>
        <v>350</v>
      </c>
      <c r="Y10" s="379">
        <f t="shared" si="14"/>
        <v>350</v>
      </c>
      <c r="AA10" s="188">
        <f t="shared" si="15"/>
        <v>9.7531558833286915</v>
      </c>
      <c r="AB10" s="150">
        <f t="shared" si="16"/>
        <v>1.5058017048134604</v>
      </c>
      <c r="AC10" s="150">
        <f t="shared" si="17"/>
        <v>2.5701057823748608</v>
      </c>
      <c r="AD10" s="150"/>
      <c r="AE10" s="150">
        <f t="shared" si="18"/>
        <v>0.93570440659754173</v>
      </c>
      <c r="AF10" s="314">
        <f t="shared" si="100"/>
        <v>70.535095842919787</v>
      </c>
      <c r="AG10" s="456">
        <f t="shared" si="19"/>
        <v>0.99241376457315034</v>
      </c>
      <c r="AI10" s="150">
        <f t="shared" si="20"/>
        <v>2.7207251050018848</v>
      </c>
      <c r="AJ10" s="150">
        <f t="shared" si="21"/>
        <v>6.0606060606060606</v>
      </c>
      <c r="AK10" s="150">
        <f t="shared" si="22"/>
        <v>1.040305769053097</v>
      </c>
      <c r="AM10" s="314">
        <f t="shared" si="23"/>
        <v>200</v>
      </c>
      <c r="AN10" s="144">
        <f t="shared" si="24"/>
        <v>70.535095842919787</v>
      </c>
      <c r="AP10">
        <f t="shared" si="25"/>
        <v>200</v>
      </c>
      <c r="AQ10" s="144">
        <f t="shared" si="26"/>
        <v>70.535095842919787</v>
      </c>
      <c r="AR10" s="144"/>
      <c r="AS10" s="5">
        <f t="shared" si="101"/>
        <v>14.177339493902149</v>
      </c>
      <c r="AT10" s="5">
        <f t="shared" si="27"/>
        <v>0.83972269855270065</v>
      </c>
      <c r="AU10" s="5">
        <f t="shared" si="102"/>
        <v>13.337616795349449</v>
      </c>
      <c r="AV10" s="5">
        <f t="shared" si="28"/>
        <v>0.93570440659754173</v>
      </c>
      <c r="AW10" s="150">
        <f t="shared" si="103"/>
        <v>5.9229921023889978E-2</v>
      </c>
      <c r="AX10" s="150">
        <f t="shared" si="29"/>
        <v>6.0884288422722301</v>
      </c>
      <c r="AY10" s="150">
        <f t="shared" si="30"/>
        <v>2.8508184211397274</v>
      </c>
      <c r="AZ10" s="150">
        <f t="shared" si="104"/>
        <v>2.1356775293454642</v>
      </c>
      <c r="BA10" s="144">
        <f t="shared" si="31"/>
        <v>0.55981513236846703</v>
      </c>
      <c r="BB10" s="5">
        <f t="shared" si="32"/>
        <v>1.3877222242773637</v>
      </c>
      <c r="BC10" s="5"/>
      <c r="BD10" s="150">
        <f t="shared" si="105"/>
        <v>0.85158108248935949</v>
      </c>
      <c r="BE10" s="150">
        <f t="shared" si="33"/>
        <v>3.3938854234094613</v>
      </c>
      <c r="BF10" s="150"/>
      <c r="BG10" s="456">
        <f t="shared" si="34"/>
        <v>8.7022840806449918E-3</v>
      </c>
      <c r="BH10" s="456">
        <f t="shared" si="35"/>
        <v>0.50275241777852742</v>
      </c>
      <c r="BI10" s="456">
        <f t="shared" si="36"/>
        <v>8.1115360219357769E-3</v>
      </c>
      <c r="BJ10" s="456">
        <f t="shared" si="37"/>
        <v>0.15158477373967366</v>
      </c>
      <c r="BK10">
        <f t="shared" si="38"/>
        <v>1.5264779480505317E-2</v>
      </c>
      <c r="BL10" s="144">
        <f t="shared" si="106"/>
        <v>23.376315502441095</v>
      </c>
      <c r="BM10" s="456">
        <f t="shared" si="39"/>
        <v>0.66676774309094633</v>
      </c>
      <c r="BN10" s="144">
        <f t="shared" si="107"/>
        <v>666.76774309094628</v>
      </c>
      <c r="BO10" s="456">
        <f t="shared" si="108"/>
        <v>0.13411999999999999</v>
      </c>
      <c r="BP10" s="456"/>
      <c r="BR10" s="144">
        <f t="shared" si="109"/>
        <v>134.11999999999998</v>
      </c>
      <c r="BS10" s="456">
        <f t="shared" si="40"/>
        <v>1.0152664760752489E-2</v>
      </c>
      <c r="BT10" s="456">
        <f t="shared" si="41"/>
        <v>0.16125841574123706</v>
      </c>
      <c r="BU10" s="456">
        <f t="shared" si="42"/>
        <v>0.18891798110820565</v>
      </c>
      <c r="BV10" s="456">
        <f t="shared" si="43"/>
        <v>0.4070495451183998</v>
      </c>
      <c r="BW10" s="456">
        <f t="shared" si="44"/>
        <v>0.25908207839456304</v>
      </c>
      <c r="BX10" s="144">
        <f t="shared" si="110"/>
        <v>666.13162351296285</v>
      </c>
      <c r="BY10" s="150">
        <f t="shared" si="45"/>
        <v>1.4903956821063504</v>
      </c>
      <c r="BZ10" s="5">
        <f t="shared" si="111"/>
        <v>6</v>
      </c>
      <c r="CA10" s="150">
        <f t="shared" si="112"/>
        <v>0.80102577415680121</v>
      </c>
      <c r="CB10" s="5">
        <f t="shared" si="113"/>
        <v>80.102577415680116</v>
      </c>
      <c r="CE10" s="59">
        <f t="shared" si="46"/>
        <v>-50</v>
      </c>
      <c r="CF10">
        <f t="shared" si="47"/>
        <v>-50</v>
      </c>
      <c r="CG10" s="150">
        <f t="shared" si="48"/>
        <v>6.6438543030382602E-2</v>
      </c>
      <c r="CI10" s="147">
        <v>5</v>
      </c>
      <c r="CJ10" s="188">
        <f t="shared" si="114"/>
        <v>0.2</v>
      </c>
      <c r="CK10" s="188"/>
      <c r="CL10" s="188">
        <f t="shared" si="49"/>
        <v>6</v>
      </c>
      <c r="CM10" s="465">
        <f t="shared" si="50"/>
        <v>34</v>
      </c>
      <c r="CN10" s="149">
        <f t="shared" si="51"/>
        <v>30.4</v>
      </c>
      <c r="CO10" s="379">
        <f t="shared" si="52"/>
        <v>64.400000000000006</v>
      </c>
      <c r="CP10" s="379"/>
      <c r="CQ10" s="188">
        <f t="shared" si="53"/>
        <v>0.47204968944099374</v>
      </c>
      <c r="CR10" s="149">
        <f t="shared" si="54"/>
        <v>244.918674788055</v>
      </c>
      <c r="CS10" s="149">
        <f t="shared" si="115"/>
        <v>6</v>
      </c>
      <c r="CT10" s="188">
        <f t="shared" si="55"/>
        <v>8.1639558262685004</v>
      </c>
      <c r="CU10" s="188">
        <f t="shared" si="56"/>
        <v>30</v>
      </c>
      <c r="CV10" s="188">
        <f t="shared" si="57"/>
        <v>8.1059037580776696</v>
      </c>
      <c r="CW10" s="149">
        <f t="shared" si="58"/>
        <v>2541.7629255327074</v>
      </c>
      <c r="CX10" s="149">
        <f t="shared" si="59"/>
        <v>30</v>
      </c>
      <c r="CY10" s="188">
        <f t="shared" si="60"/>
        <v>0.74767801857585148</v>
      </c>
      <c r="CZ10" s="188">
        <f t="shared" si="61"/>
        <v>0.10335549080313242</v>
      </c>
      <c r="DA10" s="188">
        <f t="shared" si="62"/>
        <v>0.11559495681929283</v>
      </c>
      <c r="DB10" s="172">
        <f t="shared" si="63"/>
        <v>350</v>
      </c>
      <c r="DC10" s="379">
        <f t="shared" si="116"/>
        <v>350</v>
      </c>
      <c r="DE10" s="188">
        <f t="shared" si="64"/>
        <v>9.7566501161056465</v>
      </c>
      <c r="DF10" s="150">
        <f t="shared" si="65"/>
        <v>1.5084294587400178</v>
      </c>
      <c r="DG10" s="150">
        <f t="shared" si="66"/>
        <v>2.5755132294067704</v>
      </c>
      <c r="DH10" s="150"/>
      <c r="DI10" s="150">
        <f t="shared" si="67"/>
        <v>0.93700159489633172</v>
      </c>
      <c r="DJ10" s="314">
        <f t="shared" si="117"/>
        <v>70.437446808510643</v>
      </c>
      <c r="DK10" s="456">
        <f t="shared" si="68"/>
        <v>0.99378957034459414</v>
      </c>
      <c r="DM10" s="150">
        <f t="shared" si="69"/>
        <v>2.7188411620463762</v>
      </c>
      <c r="DN10" s="150">
        <f t="shared" si="70"/>
        <v>6.0606060606060606</v>
      </c>
      <c r="DO10" s="150">
        <f t="shared" si="71"/>
        <v>1.0402499696048633</v>
      </c>
      <c r="DQ10" s="314">
        <f t="shared" si="72"/>
        <v>200</v>
      </c>
      <c r="DR10" s="144">
        <f t="shared" si="73"/>
        <v>70.437446808510643</v>
      </c>
      <c r="DT10">
        <f t="shared" si="74"/>
        <v>200</v>
      </c>
      <c r="DU10" s="144">
        <f t="shared" si="75"/>
        <v>70.437446808510643</v>
      </c>
      <c r="DV10" s="144"/>
      <c r="DW10" s="5">
        <f t="shared" si="118"/>
        <v>14.196993862065632</v>
      </c>
      <c r="DX10" s="5">
        <f t="shared" si="76"/>
        <v>0.83778966131907295</v>
      </c>
      <c r="DY10" s="5">
        <f t="shared" si="119"/>
        <v>13.359204200746559</v>
      </c>
      <c r="DZ10" s="5">
        <f t="shared" si="77"/>
        <v>0.93700159489633172</v>
      </c>
      <c r="EA10" s="150">
        <f t="shared" si="120"/>
        <v>5.9011764705882347E-2</v>
      </c>
      <c r="EB10" s="150">
        <f t="shared" si="78"/>
        <v>6.0799999999999992</v>
      </c>
      <c r="EC10" s="150">
        <f t="shared" si="79"/>
        <v>2.8514795008912657</v>
      </c>
      <c r="ED10" s="150">
        <f t="shared" si="121"/>
        <v>2.1322264452890574</v>
      </c>
      <c r="EE10" s="144">
        <f t="shared" si="80"/>
        <v>0.55852644087938197</v>
      </c>
      <c r="EF10" s="5">
        <f t="shared" si="81"/>
        <v>1.3867686021536221</v>
      </c>
      <c r="EG10" s="5"/>
      <c r="EH10" s="150">
        <f t="shared" si="122"/>
        <v>0.85001135919151394</v>
      </c>
      <c r="EI10" s="150">
        <f t="shared" si="82"/>
        <v>3.3942789067091064</v>
      </c>
      <c r="EJ10" s="150"/>
      <c r="EK10" s="456">
        <f t="shared" si="83"/>
        <v>8.6702317290552593E-3</v>
      </c>
      <c r="EL10" s="456">
        <f t="shared" si="84"/>
        <v>0.52234702978723413</v>
      </c>
      <c r="EM10" s="456">
        <f t="shared" si="85"/>
        <v>8.1003063829787249E-3</v>
      </c>
      <c r="EN10" s="456">
        <f t="shared" si="86"/>
        <v>0.15117699006229793</v>
      </c>
      <c r="EO10">
        <f t="shared" si="87"/>
        <v>1.5299999999999999E-2</v>
      </c>
      <c r="EP10" s="144">
        <f t="shared" si="123"/>
        <v>23.400306382978723</v>
      </c>
      <c r="EQ10" s="456">
        <f t="shared" si="88"/>
        <v>0.70939691154958717</v>
      </c>
      <c r="ER10" s="144">
        <f t="shared" si="124"/>
        <v>709.39691154958712</v>
      </c>
      <c r="ES10" s="456">
        <f t="shared" si="125"/>
        <v>0.13411999999999999</v>
      </c>
      <c r="ET10" s="456"/>
      <c r="EV10" s="144">
        <f t="shared" si="126"/>
        <v>134.11999999999998</v>
      </c>
      <c r="EW10" s="456">
        <f t="shared" si="89"/>
        <v>1.0115270350564469E-2</v>
      </c>
      <c r="EX10" s="456">
        <f t="shared" si="90"/>
        <v>0.16129581015142513</v>
      </c>
      <c r="EY10" s="456">
        <f t="shared" si="91"/>
        <v>0.18826481305103232</v>
      </c>
      <c r="EZ10" s="456">
        <f t="shared" si="92"/>
        <v>0.40638729571029814</v>
      </c>
      <c r="FA10" s="456">
        <f t="shared" si="93"/>
        <v>0.2587234042553192</v>
      </c>
      <c r="FB10" s="144">
        <f t="shared" si="127"/>
        <v>665.1106999656173</v>
      </c>
      <c r="FC10" s="150">
        <f t="shared" si="128"/>
        <v>1.5086276115152046</v>
      </c>
      <c r="FD10" s="5">
        <f t="shared" si="129"/>
        <v>6</v>
      </c>
      <c r="FE10" s="150">
        <f t="shared" si="130"/>
        <v>0.79908077886276063</v>
      </c>
      <c r="FF10" s="5">
        <f t="shared" si="131"/>
        <v>79.908077886276061</v>
      </c>
      <c r="FI10" s="59">
        <f t="shared" si="94"/>
        <v>-50</v>
      </c>
      <c r="FJ10">
        <f t="shared" si="95"/>
        <v>-50</v>
      </c>
      <c r="FL10">
        <f t="shared" si="96"/>
        <v>6.6000000000000003E-2</v>
      </c>
    </row>
    <row r="11" spans="2:168">
      <c r="E11" s="147">
        <v>6</v>
      </c>
      <c r="F11" s="188">
        <f t="shared" si="97"/>
        <v>0.24</v>
      </c>
      <c r="G11" s="188"/>
      <c r="H11" s="188">
        <f t="shared" si="0"/>
        <v>7.1999999999999993</v>
      </c>
      <c r="I11" s="465">
        <f t="shared" si="1"/>
        <v>33.921732178900704</v>
      </c>
      <c r="J11" s="149">
        <f t="shared" si="2"/>
        <v>30.44214421136116</v>
      </c>
      <c r="K11" s="149">
        <f t="shared" si="3"/>
        <v>64.442144211361153</v>
      </c>
      <c r="L11" s="379"/>
      <c r="M11" s="188">
        <f t="shared" si="4"/>
        <v>0.4729716962830906</v>
      </c>
      <c r="N11" s="149">
        <f t="shared" si="5"/>
        <v>244.83214690946005</v>
      </c>
      <c r="O11" s="149">
        <f t="shared" si="98"/>
        <v>7.1999999999999993</v>
      </c>
      <c r="P11" s="188">
        <f t="shared" si="6"/>
        <v>8.1610715636486688</v>
      </c>
      <c r="Q11" s="188">
        <f t="shared" si="7"/>
        <v>30</v>
      </c>
      <c r="R11" s="188">
        <f t="shared" si="8"/>
        <v>8.1030400048057416</v>
      </c>
      <c r="S11" s="149">
        <f t="shared" si="9"/>
        <v>2107.6082007001046</v>
      </c>
      <c r="T11" s="149">
        <f t="shared" si="10"/>
        <v>30</v>
      </c>
      <c r="U11" s="188">
        <f t="shared" si="99"/>
        <v>0.91076702449329872</v>
      </c>
      <c r="V11" s="188">
        <f t="shared" si="11"/>
        <v>0.12619063768745384</v>
      </c>
      <c r="W11" s="188">
        <f t="shared" si="12"/>
        <v>0.14061443850334826</v>
      </c>
      <c r="X11" s="172">
        <f t="shared" si="13"/>
        <v>350</v>
      </c>
      <c r="Y11" s="379">
        <f t="shared" si="14"/>
        <v>350</v>
      </c>
      <c r="AA11" s="188">
        <f t="shared" si="15"/>
        <v>9.7531558833286915</v>
      </c>
      <c r="AB11" s="150">
        <f t="shared" si="16"/>
        <v>1.5058017048134604</v>
      </c>
      <c r="AC11" s="150">
        <f t="shared" si="17"/>
        <v>2.5701057823748608</v>
      </c>
      <c r="AD11" s="150"/>
      <c r="AE11" s="150">
        <f t="shared" si="18"/>
        <v>0.93570440659754173</v>
      </c>
      <c r="AF11" s="314">
        <f t="shared" si="100"/>
        <v>84.642115011503748</v>
      </c>
      <c r="AG11" s="456">
        <f t="shared" si="19"/>
        <v>0.99241376457315034</v>
      </c>
      <c r="AI11" s="150">
        <f t="shared" si="20"/>
        <v>2.9804050255602879</v>
      </c>
      <c r="AJ11" s="150">
        <f t="shared" si="21"/>
        <v>6.0606060606060606</v>
      </c>
      <c r="AK11" s="150">
        <f t="shared" si="22"/>
        <v>1.0483669228637165</v>
      </c>
      <c r="AM11" s="314">
        <f t="shared" si="23"/>
        <v>240</v>
      </c>
      <c r="AN11" s="144">
        <f t="shared" si="24"/>
        <v>84.642115011503748</v>
      </c>
      <c r="AP11">
        <f t="shared" si="25"/>
        <v>240</v>
      </c>
      <c r="AQ11" s="144">
        <f t="shared" si="26"/>
        <v>84.642115011503748</v>
      </c>
      <c r="AR11" s="144"/>
      <c r="AS11" s="5">
        <f t="shared" si="101"/>
        <v>11.814449578251791</v>
      </c>
      <c r="AT11" s="5">
        <f t="shared" si="27"/>
        <v>0.83972269855270065</v>
      </c>
      <c r="AU11" s="5">
        <f t="shared" si="102"/>
        <v>10.974726879699091</v>
      </c>
      <c r="AV11" s="5">
        <f t="shared" si="28"/>
        <v>0.93570440659754173</v>
      </c>
      <c r="AW11" s="150">
        <f t="shared" si="103"/>
        <v>7.1075905228667982E-2</v>
      </c>
      <c r="AX11" s="150">
        <f t="shared" si="29"/>
        <v>7.3061146107266763</v>
      </c>
      <c r="AY11" s="150">
        <f t="shared" si="30"/>
        <v>2.8149214993070664</v>
      </c>
      <c r="AZ11" s="150">
        <f t="shared" si="104"/>
        <v>2.5954949765118429</v>
      </c>
      <c r="BA11" s="144">
        <f t="shared" si="31"/>
        <v>0.67177815884216052</v>
      </c>
      <c r="BB11" s="5">
        <f t="shared" si="32"/>
        <v>1.370248310175737</v>
      </c>
      <c r="BC11" s="5"/>
      <c r="BD11" s="150">
        <f t="shared" si="105"/>
        <v>0.93286033684817959</v>
      </c>
      <c r="BE11" s="150">
        <f t="shared" si="33"/>
        <v>3.3724501774259719</v>
      </c>
      <c r="BF11" s="150"/>
      <c r="BG11" s="456">
        <f t="shared" si="34"/>
        <v>1.0442740896773989E-2</v>
      </c>
      <c r="BH11" s="456">
        <f t="shared" si="35"/>
        <v>0.60330290133423292</v>
      </c>
      <c r="BI11" s="456">
        <f t="shared" si="36"/>
        <v>9.7338432263229316E-3</v>
      </c>
      <c r="BJ11" s="456">
        <f t="shared" si="37"/>
        <v>0.18190172848760838</v>
      </c>
      <c r="BK11">
        <f t="shared" si="38"/>
        <v>1.5264779480505317E-2</v>
      </c>
      <c r="BL11" s="144">
        <f t="shared" si="106"/>
        <v>24.998622706828247</v>
      </c>
      <c r="BM11" s="456">
        <f t="shared" si="39"/>
        <v>0.80045299090928956</v>
      </c>
      <c r="BN11" s="144">
        <f t="shared" si="107"/>
        <v>800.45299090928961</v>
      </c>
      <c r="BO11" s="456">
        <f t="shared" si="108"/>
        <v>0.16094399999999998</v>
      </c>
      <c r="BP11" s="456"/>
      <c r="BR11" s="144">
        <f t="shared" si="109"/>
        <v>160.94399999999999</v>
      </c>
      <c r="BS11" s="456">
        <f t="shared" si="40"/>
        <v>1.2183197712902988E-2</v>
      </c>
      <c r="BT11" s="456">
        <f t="shared" si="41"/>
        <v>0.15922788278908656</v>
      </c>
      <c r="BU11" s="456">
        <f t="shared" si="42"/>
        <v>0.2980069625413404</v>
      </c>
      <c r="BV11" s="456">
        <f t="shared" si="43"/>
        <v>0.51765525002251844</v>
      </c>
      <c r="BW11" s="456">
        <f t="shared" si="44"/>
        <v>0.31089849407347564</v>
      </c>
      <c r="BX11" s="144">
        <f t="shared" si="110"/>
        <v>828.55374409599403</v>
      </c>
      <c r="BY11" s="150">
        <f t="shared" si="45"/>
        <v>1.8149493577121121</v>
      </c>
      <c r="BZ11" s="5">
        <f t="shared" si="111"/>
        <v>7.1999999999999993</v>
      </c>
      <c r="CA11" s="150">
        <f t="shared" si="112"/>
        <v>0.79867337178555986</v>
      </c>
      <c r="CB11" s="5">
        <f t="shared" si="113"/>
        <v>79.867337178555985</v>
      </c>
      <c r="CE11" s="59">
        <f t="shared" si="46"/>
        <v>-50</v>
      </c>
      <c r="CF11">
        <f t="shared" si="47"/>
        <v>-50</v>
      </c>
      <c r="CG11" s="150">
        <f t="shared" si="48"/>
        <v>7.9726251636459119E-2</v>
      </c>
      <c r="CI11" s="147">
        <v>6</v>
      </c>
      <c r="CJ11" s="188">
        <f t="shared" si="114"/>
        <v>0.24</v>
      </c>
      <c r="CK11" s="188"/>
      <c r="CL11" s="188">
        <f t="shared" si="49"/>
        <v>7.1999999999999993</v>
      </c>
      <c r="CM11" s="465">
        <f t="shared" si="50"/>
        <v>34</v>
      </c>
      <c r="CN11" s="149">
        <f t="shared" si="51"/>
        <v>30.4</v>
      </c>
      <c r="CO11" s="379">
        <f t="shared" si="52"/>
        <v>64.400000000000006</v>
      </c>
      <c r="CP11" s="379"/>
      <c r="CQ11" s="188">
        <f t="shared" si="53"/>
        <v>0.47204968944099374</v>
      </c>
      <c r="CR11" s="149">
        <f t="shared" si="54"/>
        <v>244.918674788055</v>
      </c>
      <c r="CS11" s="149">
        <f t="shared" si="115"/>
        <v>7.1999999999999993</v>
      </c>
      <c r="CT11" s="188">
        <f t="shared" si="55"/>
        <v>8.1639558262685004</v>
      </c>
      <c r="CU11" s="188">
        <f t="shared" si="56"/>
        <v>30</v>
      </c>
      <c r="CV11" s="188">
        <f t="shared" si="57"/>
        <v>8.1059037580776696</v>
      </c>
      <c r="CW11" s="149">
        <f t="shared" si="58"/>
        <v>2112.4710832037867</v>
      </c>
      <c r="CX11" s="149">
        <f t="shared" si="59"/>
        <v>30</v>
      </c>
      <c r="CY11" s="188">
        <f t="shared" si="60"/>
        <v>0.89721362229102164</v>
      </c>
      <c r="CZ11" s="188">
        <f t="shared" si="61"/>
        <v>0.12402658896375887</v>
      </c>
      <c r="DA11" s="188">
        <f t="shared" si="62"/>
        <v>0.13871394818315139</v>
      </c>
      <c r="DB11" s="172">
        <f t="shared" si="63"/>
        <v>350</v>
      </c>
      <c r="DC11" s="379">
        <f t="shared" si="116"/>
        <v>350</v>
      </c>
      <c r="DE11" s="188">
        <f t="shared" si="64"/>
        <v>9.7566501161056465</v>
      </c>
      <c r="DF11" s="150">
        <f t="shared" si="65"/>
        <v>1.5084294587400178</v>
      </c>
      <c r="DG11" s="150">
        <f t="shared" si="66"/>
        <v>2.5755132294067704</v>
      </c>
      <c r="DH11" s="150"/>
      <c r="DI11" s="150">
        <f t="shared" si="67"/>
        <v>0.93700159489633172</v>
      </c>
      <c r="DJ11" s="314">
        <f t="shared" si="117"/>
        <v>84.524936170212769</v>
      </c>
      <c r="DK11" s="456">
        <f t="shared" si="68"/>
        <v>0.99378957034459414</v>
      </c>
      <c r="DM11" s="150">
        <f t="shared" si="69"/>
        <v>2.9783412694527178</v>
      </c>
      <c r="DN11" s="150">
        <f t="shared" si="70"/>
        <v>6.0606060606060606</v>
      </c>
      <c r="DO11" s="150">
        <f t="shared" si="71"/>
        <v>1.0482999635258359</v>
      </c>
      <c r="DQ11" s="314">
        <f t="shared" si="72"/>
        <v>240</v>
      </c>
      <c r="DR11" s="144">
        <f t="shared" si="73"/>
        <v>84.524936170212769</v>
      </c>
      <c r="DT11">
        <f t="shared" si="74"/>
        <v>240</v>
      </c>
      <c r="DU11" s="144">
        <f t="shared" si="75"/>
        <v>84.524936170212769</v>
      </c>
      <c r="DV11" s="144"/>
      <c r="DW11" s="5">
        <f t="shared" si="118"/>
        <v>11.830828218388026</v>
      </c>
      <c r="DX11" s="5">
        <f t="shared" si="76"/>
        <v>0.83778966131907295</v>
      </c>
      <c r="DY11" s="5">
        <f t="shared" si="119"/>
        <v>10.993038557068953</v>
      </c>
      <c r="DZ11" s="5">
        <f t="shared" si="77"/>
        <v>0.93700159489633172</v>
      </c>
      <c r="EA11" s="150">
        <f t="shared" si="120"/>
        <v>7.0814117647058819E-2</v>
      </c>
      <c r="EB11" s="150">
        <f t="shared" si="78"/>
        <v>7.2959999999999985</v>
      </c>
      <c r="EC11" s="150">
        <f t="shared" si="79"/>
        <v>2.8157147950089128</v>
      </c>
      <c r="ED11" s="150">
        <f t="shared" si="121"/>
        <v>2.5911715252314482</v>
      </c>
      <c r="EE11" s="144">
        <f t="shared" si="80"/>
        <v>0.6702317290552583</v>
      </c>
      <c r="EF11" s="5">
        <f t="shared" si="81"/>
        <v>1.3693750451712188</v>
      </c>
      <c r="EG11" s="5"/>
      <c r="EH11" s="150">
        <f t="shared" si="122"/>
        <v>0.93114079112963666</v>
      </c>
      <c r="EI11" s="150">
        <f t="shared" si="82"/>
        <v>3.3729253526248466</v>
      </c>
      <c r="EJ11" s="150"/>
      <c r="EK11" s="456">
        <f t="shared" si="83"/>
        <v>1.0404278074866309E-2</v>
      </c>
      <c r="EL11" s="456">
        <f t="shared" si="84"/>
        <v>0.62681643574468093</v>
      </c>
      <c r="EM11" s="456">
        <f t="shared" si="85"/>
        <v>9.7203676595744685E-3</v>
      </c>
      <c r="EN11" s="456">
        <f t="shared" si="86"/>
        <v>0.18141238807475751</v>
      </c>
      <c r="EO11">
        <f t="shared" si="87"/>
        <v>1.5299999999999999E-2</v>
      </c>
      <c r="EP11" s="144">
        <f t="shared" si="123"/>
        <v>25.020367659574465</v>
      </c>
      <c r="EQ11" s="456">
        <f t="shared" si="88"/>
        <v>0.84856031364813134</v>
      </c>
      <c r="ER11" s="144">
        <f t="shared" si="124"/>
        <v>848.56031364813134</v>
      </c>
      <c r="ES11" s="456">
        <f t="shared" si="125"/>
        <v>0.16094399999999998</v>
      </c>
      <c r="ET11" s="456"/>
      <c r="EV11" s="144">
        <f t="shared" si="126"/>
        <v>160.94399999999999</v>
      </c>
      <c r="EW11" s="456">
        <f t="shared" si="89"/>
        <v>1.213832442067736E-2</v>
      </c>
      <c r="EX11" s="456">
        <f t="shared" si="90"/>
        <v>0.15927275608131222</v>
      </c>
      <c r="EY11" s="456">
        <f t="shared" si="91"/>
        <v>0.29697662849052464</v>
      </c>
      <c r="EZ11" s="456">
        <f t="shared" si="92"/>
        <v>0.51661059067672521</v>
      </c>
      <c r="FA11" s="456">
        <f t="shared" si="93"/>
        <v>0.31046808510638296</v>
      </c>
      <c r="FB11" s="144">
        <f t="shared" si="127"/>
        <v>827.07867578310811</v>
      </c>
      <c r="FC11" s="150">
        <f t="shared" si="128"/>
        <v>1.8365829894312395</v>
      </c>
      <c r="FD11" s="5">
        <f t="shared" si="129"/>
        <v>7.1999999999999993</v>
      </c>
      <c r="FE11" s="150">
        <f t="shared" si="130"/>
        <v>0.79676134313387925</v>
      </c>
      <c r="FF11" s="5">
        <f t="shared" si="131"/>
        <v>79.676134313387919</v>
      </c>
      <c r="FI11" s="59">
        <f t="shared" si="94"/>
        <v>-50</v>
      </c>
      <c r="FJ11">
        <f t="shared" si="95"/>
        <v>-50</v>
      </c>
      <c r="FL11">
        <f t="shared" si="96"/>
        <v>7.9200000000000007E-2</v>
      </c>
    </row>
    <row r="12" spans="2:168">
      <c r="E12" s="147">
        <v>7</v>
      </c>
      <c r="F12" s="188">
        <f t="shared" si="97"/>
        <v>0.28000000000000003</v>
      </c>
      <c r="G12" s="188"/>
      <c r="H12" s="188">
        <f t="shared" si="0"/>
        <v>8.4</v>
      </c>
      <c r="I12" s="465">
        <f t="shared" si="1"/>
        <v>33.921732178900704</v>
      </c>
      <c r="J12" s="149">
        <f t="shared" si="2"/>
        <v>30.44214421136116</v>
      </c>
      <c r="K12" s="149">
        <f t="shared" si="3"/>
        <v>64.442144211361153</v>
      </c>
      <c r="L12" s="379"/>
      <c r="M12" s="188">
        <f t="shared" si="4"/>
        <v>0.4729716962830906</v>
      </c>
      <c r="N12" s="149">
        <f t="shared" si="5"/>
        <v>244.83214690946005</v>
      </c>
      <c r="O12" s="149">
        <f t="shared" si="98"/>
        <v>8.4</v>
      </c>
      <c r="P12" s="188">
        <f t="shared" si="6"/>
        <v>8.1610715636486688</v>
      </c>
      <c r="Q12" s="188">
        <f t="shared" si="7"/>
        <v>30</v>
      </c>
      <c r="R12" s="188">
        <f t="shared" si="8"/>
        <v>8.1030400048057416</v>
      </c>
      <c r="S12" s="149">
        <f t="shared" si="9"/>
        <v>1801.6773654164344</v>
      </c>
      <c r="T12" s="149">
        <f t="shared" si="10"/>
        <v>30</v>
      </c>
      <c r="U12" s="188">
        <f t="shared" si="99"/>
        <v>1.0625615285755152</v>
      </c>
      <c r="V12" s="188">
        <f t="shared" si="11"/>
        <v>0.14722241063536284</v>
      </c>
      <c r="W12" s="188">
        <f t="shared" si="12"/>
        <v>0.16405017825390633</v>
      </c>
      <c r="X12" s="172">
        <f t="shared" si="13"/>
        <v>350</v>
      </c>
      <c r="Y12" s="379">
        <f t="shared" si="14"/>
        <v>350</v>
      </c>
      <c r="AA12" s="188">
        <f t="shared" si="15"/>
        <v>9.7531558833286915</v>
      </c>
      <c r="AB12" s="150">
        <f t="shared" si="16"/>
        <v>1.5058017048134604</v>
      </c>
      <c r="AC12" s="150">
        <f t="shared" si="17"/>
        <v>2.5701057823748608</v>
      </c>
      <c r="AD12" s="150"/>
      <c r="AE12" s="150">
        <f t="shared" si="18"/>
        <v>0.93570440659754173</v>
      </c>
      <c r="AF12" s="314">
        <f t="shared" si="100"/>
        <v>98.749134180087722</v>
      </c>
      <c r="AG12" s="456">
        <f t="shared" si="19"/>
        <v>0.99241376457315034</v>
      </c>
      <c r="AI12" s="150">
        <f t="shared" si="20"/>
        <v>3.2192053578146465</v>
      </c>
      <c r="AJ12" s="150">
        <f t="shared" si="21"/>
        <v>6.0606060606060606</v>
      </c>
      <c r="AK12" s="150">
        <f t="shared" si="22"/>
        <v>1.0564280766743359</v>
      </c>
      <c r="AM12" s="314">
        <f t="shared" si="23"/>
        <v>280</v>
      </c>
      <c r="AN12" s="144">
        <f t="shared" si="24"/>
        <v>98.749134180087722</v>
      </c>
      <c r="AP12">
        <f t="shared" si="25"/>
        <v>280</v>
      </c>
      <c r="AQ12" s="144">
        <f t="shared" si="26"/>
        <v>98.749134180087722</v>
      </c>
      <c r="AR12" s="144"/>
      <c r="AS12" s="5">
        <f t="shared" si="101"/>
        <v>10.126671067072962</v>
      </c>
      <c r="AT12" s="5">
        <f t="shared" si="27"/>
        <v>0.83972269855270065</v>
      </c>
      <c r="AU12" s="5">
        <f t="shared" si="102"/>
        <v>9.2869483685202621</v>
      </c>
      <c r="AV12" s="5">
        <f t="shared" si="28"/>
        <v>0.93570440659754173</v>
      </c>
      <c r="AW12" s="150">
        <f t="shared" si="103"/>
        <v>8.2921889433445986E-2</v>
      </c>
      <c r="AX12" s="150">
        <f t="shared" si="29"/>
        <v>8.5238003791811234</v>
      </c>
      <c r="AY12" s="150">
        <f t="shared" si="30"/>
        <v>2.7790245774744058</v>
      </c>
      <c r="AZ12" s="150">
        <f t="shared" si="104"/>
        <v>3.0671914340993718</v>
      </c>
      <c r="BA12" s="144">
        <f t="shared" si="31"/>
        <v>0.78374118531585391</v>
      </c>
      <c r="BB12" s="5">
        <f t="shared" si="32"/>
        <v>1.3527743960741103</v>
      </c>
      <c r="BC12" s="5"/>
      <c r="BD12" s="150">
        <f t="shared" si="105"/>
        <v>1.0076043251570774</v>
      </c>
      <c r="BE12" s="150">
        <f t="shared" si="33"/>
        <v>3.3508778150224638</v>
      </c>
      <c r="BF12" s="150"/>
      <c r="BG12" s="456">
        <f t="shared" si="34"/>
        <v>1.2183197712902993E-2</v>
      </c>
      <c r="BH12" s="456">
        <f t="shared" si="35"/>
        <v>0.70385338488993854</v>
      </c>
      <c r="BI12" s="456">
        <f t="shared" si="36"/>
        <v>1.1356150430710088E-2</v>
      </c>
      <c r="BJ12" s="456">
        <f t="shared" si="37"/>
        <v>0.21221868323554316</v>
      </c>
      <c r="BK12">
        <f t="shared" si="38"/>
        <v>1.5264779480505317E-2</v>
      </c>
      <c r="BL12" s="144">
        <f t="shared" si="106"/>
        <v>26.620929911215402</v>
      </c>
      <c r="BM12" s="456">
        <f t="shared" si="39"/>
        <v>0.9342491261164888</v>
      </c>
      <c r="BN12" s="144">
        <f t="shared" si="107"/>
        <v>934.24912611648881</v>
      </c>
      <c r="BO12" s="456">
        <f t="shared" si="108"/>
        <v>0.18776799999999999</v>
      </c>
      <c r="BP12" s="456"/>
      <c r="BR12" s="144">
        <f t="shared" si="109"/>
        <v>187.768</v>
      </c>
      <c r="BS12" s="456">
        <f t="shared" si="40"/>
        <v>1.4213730665053492E-2</v>
      </c>
      <c r="BT12" s="456">
        <f t="shared" si="41"/>
        <v>0.15719734983693612</v>
      </c>
      <c r="BU12" s="456">
        <f t="shared" si="42"/>
        <v>0.43812030868971413</v>
      </c>
      <c r="BV12" s="456">
        <f t="shared" si="43"/>
        <v>0.65971666826680408</v>
      </c>
      <c r="BW12" s="456">
        <f t="shared" si="44"/>
        <v>0.36271490975238829</v>
      </c>
      <c r="BX12" s="144">
        <f t="shared" si="110"/>
        <v>1022.4315780191923</v>
      </c>
      <c r="BY12" s="150">
        <f t="shared" si="45"/>
        <v>2.1710696340468965</v>
      </c>
      <c r="BZ12" s="5">
        <f t="shared" si="111"/>
        <v>8.4</v>
      </c>
      <c r="CA12" s="150">
        <f t="shared" si="112"/>
        <v>0.79462157480692419</v>
      </c>
      <c r="CB12" s="5">
        <f t="shared" si="113"/>
        <v>79.462157480692426</v>
      </c>
      <c r="CE12" s="59">
        <f t="shared" si="46"/>
        <v>-50</v>
      </c>
      <c r="CF12">
        <f t="shared" si="47"/>
        <v>-50</v>
      </c>
      <c r="CG12" s="150">
        <f t="shared" si="48"/>
        <v>9.3013960242535651E-2</v>
      </c>
      <c r="CI12" s="147">
        <v>7</v>
      </c>
      <c r="CJ12" s="188">
        <f t="shared" si="114"/>
        <v>0.28000000000000003</v>
      </c>
      <c r="CK12" s="188"/>
      <c r="CL12" s="188">
        <f t="shared" si="49"/>
        <v>8.4</v>
      </c>
      <c r="CM12" s="465">
        <f t="shared" si="50"/>
        <v>34</v>
      </c>
      <c r="CN12" s="149">
        <f t="shared" si="51"/>
        <v>30.4</v>
      </c>
      <c r="CO12" s="379">
        <f t="shared" si="52"/>
        <v>64.400000000000006</v>
      </c>
      <c r="CP12" s="379"/>
      <c r="CQ12" s="188">
        <f t="shared" si="53"/>
        <v>0.47204968944099374</v>
      </c>
      <c r="CR12" s="149">
        <f t="shared" si="54"/>
        <v>244.918674788055</v>
      </c>
      <c r="CS12" s="149">
        <f t="shared" si="115"/>
        <v>8.4</v>
      </c>
      <c r="CT12" s="188">
        <f t="shared" si="55"/>
        <v>8.1639558262685004</v>
      </c>
      <c r="CU12" s="188">
        <f t="shared" si="56"/>
        <v>30</v>
      </c>
      <c r="CV12" s="188">
        <f t="shared" si="57"/>
        <v>8.1059037580776696</v>
      </c>
      <c r="CW12" s="149">
        <f t="shared" si="58"/>
        <v>1805.8343693037621</v>
      </c>
      <c r="CX12" s="149">
        <f t="shared" si="59"/>
        <v>30</v>
      </c>
      <c r="CY12" s="188">
        <f t="shared" si="60"/>
        <v>1.0467492260061921</v>
      </c>
      <c r="CZ12" s="188">
        <f t="shared" si="61"/>
        <v>0.14469768712438538</v>
      </c>
      <c r="DA12" s="188">
        <f t="shared" si="62"/>
        <v>0.16183293954700997</v>
      </c>
      <c r="DB12" s="172">
        <f t="shared" si="63"/>
        <v>350</v>
      </c>
      <c r="DC12" s="379">
        <f t="shared" si="116"/>
        <v>350</v>
      </c>
      <c r="DE12" s="188">
        <f t="shared" si="64"/>
        <v>9.7566501161056465</v>
      </c>
      <c r="DF12" s="150">
        <f t="shared" si="65"/>
        <v>1.5084294587400178</v>
      </c>
      <c r="DG12" s="150">
        <f t="shared" si="66"/>
        <v>2.5755132294067704</v>
      </c>
      <c r="DH12" s="150"/>
      <c r="DI12" s="150">
        <f t="shared" si="67"/>
        <v>0.93700159489633172</v>
      </c>
      <c r="DJ12" s="314">
        <f t="shared" si="117"/>
        <v>98.612425531914909</v>
      </c>
      <c r="DK12" s="456">
        <f t="shared" si="68"/>
        <v>0.99378957034459414</v>
      </c>
      <c r="DM12" s="150">
        <f t="shared" si="69"/>
        <v>3.2169762464483269</v>
      </c>
      <c r="DN12" s="150">
        <f t="shared" si="70"/>
        <v>6.0606060606060606</v>
      </c>
      <c r="DO12" s="150">
        <f t="shared" si="71"/>
        <v>1.0563499574468085</v>
      </c>
      <c r="DQ12" s="314">
        <f t="shared" si="72"/>
        <v>280</v>
      </c>
      <c r="DR12" s="144">
        <f t="shared" si="73"/>
        <v>98.612425531914909</v>
      </c>
      <c r="DT12">
        <f t="shared" si="74"/>
        <v>280</v>
      </c>
      <c r="DU12" s="144">
        <f t="shared" si="75"/>
        <v>98.612425531914909</v>
      </c>
      <c r="DV12" s="144"/>
      <c r="DW12" s="5">
        <f t="shared" si="118"/>
        <v>10.14070990147545</v>
      </c>
      <c r="DX12" s="5">
        <f t="shared" si="76"/>
        <v>0.83778966131907295</v>
      </c>
      <c r="DY12" s="5">
        <f t="shared" si="119"/>
        <v>9.3029202401563769</v>
      </c>
      <c r="DZ12" s="5">
        <f t="shared" si="77"/>
        <v>0.93700159489633172</v>
      </c>
      <c r="EA12" s="150">
        <f t="shared" si="120"/>
        <v>8.2616470588235291E-2</v>
      </c>
      <c r="EB12" s="150">
        <f t="shared" si="78"/>
        <v>8.5120000000000005</v>
      </c>
      <c r="EC12" s="150">
        <f t="shared" si="79"/>
        <v>2.7799500891265598</v>
      </c>
      <c r="ED12" s="150">
        <f t="shared" si="121"/>
        <v>3.0619254760341432</v>
      </c>
      <c r="EE12" s="144">
        <f t="shared" si="80"/>
        <v>0.78193701723113485</v>
      </c>
      <c r="EF12" s="5">
        <f t="shared" si="81"/>
        <v>1.3519814881888161</v>
      </c>
      <c r="EG12" s="5"/>
      <c r="EH12" s="150">
        <f t="shared" si="122"/>
        <v>1.0057470035035883</v>
      </c>
      <c r="EI12" s="150">
        <f t="shared" si="82"/>
        <v>3.3514357478890329</v>
      </c>
      <c r="EJ12" s="150"/>
      <c r="EK12" s="456">
        <f t="shared" si="83"/>
        <v>1.213832442067736E-2</v>
      </c>
      <c r="EL12" s="456">
        <f t="shared" si="84"/>
        <v>0.73128584170212785</v>
      </c>
      <c r="EM12" s="456">
        <f t="shared" si="85"/>
        <v>1.1340428936170216E-2</v>
      </c>
      <c r="EN12" s="456">
        <f t="shared" si="86"/>
        <v>0.2116477860872171</v>
      </c>
      <c r="EO12">
        <f t="shared" si="87"/>
        <v>1.5299999999999999E-2</v>
      </c>
      <c r="EP12" s="144">
        <f t="shared" si="123"/>
        <v>26.640428936170213</v>
      </c>
      <c r="EQ12" s="456">
        <f t="shared" si="88"/>
        <v>0.98783872069138856</v>
      </c>
      <c r="ER12" s="144">
        <f t="shared" si="124"/>
        <v>987.83872069138852</v>
      </c>
      <c r="ES12" s="456">
        <f t="shared" si="125"/>
        <v>0.18776799999999999</v>
      </c>
      <c r="ET12" s="456"/>
      <c r="EV12" s="144">
        <f t="shared" si="126"/>
        <v>187.768</v>
      </c>
      <c r="EW12" s="456">
        <f t="shared" si="89"/>
        <v>1.4161378490790254E-2</v>
      </c>
      <c r="EX12" s="456">
        <f t="shared" si="90"/>
        <v>0.15724970201119931</v>
      </c>
      <c r="EY12" s="456">
        <f t="shared" si="91"/>
        <v>0.43660554450921435</v>
      </c>
      <c r="EZ12" s="456">
        <f t="shared" si="92"/>
        <v>0.65818084349562522</v>
      </c>
      <c r="FA12" s="456">
        <f t="shared" si="93"/>
        <v>0.36221276595744689</v>
      </c>
      <c r="FB12" s="144">
        <f t="shared" si="127"/>
        <v>1020.3936094530721</v>
      </c>
      <c r="FC12" s="150">
        <f t="shared" si="128"/>
        <v>2.1960003301444604</v>
      </c>
      <c r="FD12" s="5">
        <f t="shared" si="129"/>
        <v>8.4</v>
      </c>
      <c r="FE12" s="150">
        <f t="shared" si="130"/>
        <v>0.79275195717981617</v>
      </c>
      <c r="FF12" s="5">
        <f t="shared" si="131"/>
        <v>79.275195717981617</v>
      </c>
      <c r="FI12" s="59">
        <f t="shared" si="94"/>
        <v>-50</v>
      </c>
      <c r="FJ12">
        <f t="shared" si="95"/>
        <v>-50</v>
      </c>
      <c r="FL12">
        <f t="shared" si="96"/>
        <v>9.240000000000001E-2</v>
      </c>
    </row>
    <row r="13" spans="2:168" s="59" customFormat="1">
      <c r="E13" s="147">
        <v>8</v>
      </c>
      <c r="F13" s="188">
        <f t="shared" si="97"/>
        <v>0.32</v>
      </c>
      <c r="G13" s="188"/>
      <c r="H13" s="188">
        <f t="shared" si="0"/>
        <v>9.6</v>
      </c>
      <c r="I13" s="465">
        <f t="shared" si="1"/>
        <v>33.921732178900704</v>
      </c>
      <c r="J13" s="149">
        <f t="shared" si="2"/>
        <v>30.44214421136116</v>
      </c>
      <c r="K13" s="149">
        <f t="shared" si="3"/>
        <v>64.442144211361153</v>
      </c>
      <c r="L13" s="379"/>
      <c r="M13" s="188">
        <f t="shared" si="4"/>
        <v>0.4729716962830906</v>
      </c>
      <c r="N13" s="149">
        <f t="shared" si="5"/>
        <v>244.83214690946005</v>
      </c>
      <c r="O13" s="149">
        <f t="shared" si="98"/>
        <v>9.6</v>
      </c>
      <c r="P13" s="188">
        <f t="shared" si="6"/>
        <v>8.1610715636486688</v>
      </c>
      <c r="Q13" s="188">
        <f t="shared" si="7"/>
        <v>30</v>
      </c>
      <c r="R13" s="188">
        <f t="shared" si="8"/>
        <v>8.1030400048057416</v>
      </c>
      <c r="S13" s="149">
        <f t="shared" si="9"/>
        <v>1572.2295179570033</v>
      </c>
      <c r="T13" s="149">
        <f t="shared" si="10"/>
        <v>30</v>
      </c>
      <c r="U13" s="188">
        <f t="shared" si="99"/>
        <v>1.2143560326577316</v>
      </c>
      <c r="V13" s="188">
        <f t="shared" si="11"/>
        <v>0.16825418358327182</v>
      </c>
      <c r="W13" s="188">
        <f t="shared" si="12"/>
        <v>0.18748591800446437</v>
      </c>
      <c r="X13" s="172">
        <f t="shared" si="13"/>
        <v>350</v>
      </c>
      <c r="Y13" s="379">
        <f t="shared" si="14"/>
        <v>350</v>
      </c>
      <c r="AA13" s="188">
        <f t="shared" si="15"/>
        <v>9.7531558833286915</v>
      </c>
      <c r="AB13" s="150">
        <f t="shared" si="16"/>
        <v>1.5058017048134604</v>
      </c>
      <c r="AC13" s="462">
        <f t="shared" si="17"/>
        <v>2.5701057823748608</v>
      </c>
      <c r="AD13" s="462"/>
      <c r="AE13" s="150">
        <f t="shared" si="18"/>
        <v>0.93570440659754173</v>
      </c>
      <c r="AF13" s="314">
        <f t="shared" si="100"/>
        <v>112.85615334867168</v>
      </c>
      <c r="AG13" s="456">
        <f t="shared" si="19"/>
        <v>0.99241376457315034</v>
      </c>
      <c r="AH13"/>
      <c r="AI13" s="150">
        <f t="shared" si="20"/>
        <v>3.4414752876026915</v>
      </c>
      <c r="AJ13" s="150">
        <f t="shared" si="21"/>
        <v>6.0606060606060606</v>
      </c>
      <c r="AK13" s="150">
        <f t="shared" si="22"/>
        <v>1.0644892304849551</v>
      </c>
      <c r="AM13" s="314">
        <f t="shared" si="23"/>
        <v>320</v>
      </c>
      <c r="AN13" s="144">
        <f t="shared" si="24"/>
        <v>112.85615334867168</v>
      </c>
      <c r="AP13">
        <f t="shared" si="25"/>
        <v>320</v>
      </c>
      <c r="AQ13" s="144">
        <f t="shared" si="26"/>
        <v>112.85615334867168</v>
      </c>
      <c r="AR13" s="144"/>
      <c r="AS13" s="5">
        <f t="shared" si="101"/>
        <v>8.860837183688842</v>
      </c>
      <c r="AT13" s="5">
        <f t="shared" si="27"/>
        <v>0.83972269855270065</v>
      </c>
      <c r="AU13" s="5">
        <f t="shared" si="102"/>
        <v>8.0211144851361418</v>
      </c>
      <c r="AV13" s="5">
        <f t="shared" si="28"/>
        <v>0.93570440659754173</v>
      </c>
      <c r="AW13" s="150">
        <f t="shared" si="103"/>
        <v>9.476787363822399E-2</v>
      </c>
      <c r="AX13" s="150">
        <f t="shared" si="29"/>
        <v>9.7414861476355714</v>
      </c>
      <c r="AY13" s="150">
        <f t="shared" si="30"/>
        <v>2.7431276556417452</v>
      </c>
      <c r="AZ13" s="150">
        <f t="shared" si="104"/>
        <v>3.551233252889423</v>
      </c>
      <c r="BA13" s="144">
        <f t="shared" si="31"/>
        <v>0.8957042117895474</v>
      </c>
      <c r="BB13" s="5">
        <f t="shared" si="32"/>
        <v>1.3353004819724839</v>
      </c>
      <c r="BC13" s="5"/>
      <c r="BD13" s="150">
        <f t="shared" si="105"/>
        <v>1.0771743331912431</v>
      </c>
      <c r="BE13" s="150">
        <f t="shared" si="33"/>
        <v>3.3291656707347821</v>
      </c>
      <c r="BF13" s="150"/>
      <c r="BG13" s="456">
        <f t="shared" si="34"/>
        <v>1.3923654529031991E-2</v>
      </c>
      <c r="BH13" s="456">
        <f t="shared" si="35"/>
        <v>0.80440386844564404</v>
      </c>
      <c r="BI13" s="456">
        <f t="shared" si="36"/>
        <v>1.2978457635097246E-2</v>
      </c>
      <c r="BJ13" s="456">
        <f t="shared" si="37"/>
        <v>0.24253563798347788</v>
      </c>
      <c r="BK13">
        <f t="shared" si="38"/>
        <v>1.5264779480505317E-2</v>
      </c>
      <c r="BL13" s="144">
        <f t="shared" si="106"/>
        <v>28.243237115602565</v>
      </c>
      <c r="BM13" s="456">
        <f t="shared" si="39"/>
        <v>1.0681562867357912</v>
      </c>
      <c r="BN13" s="144">
        <f t="shared" si="107"/>
        <v>1068.1562867357911</v>
      </c>
      <c r="BO13" s="456">
        <f t="shared" si="108"/>
        <v>0.21459199999999998</v>
      </c>
      <c r="BP13" s="456"/>
      <c r="BR13" s="144">
        <f t="shared" si="109"/>
        <v>214.59199999999998</v>
      </c>
      <c r="BS13" s="456">
        <f t="shared" si="40"/>
        <v>1.6244263617203988E-2</v>
      </c>
      <c r="BT13" s="456">
        <f t="shared" si="41"/>
        <v>0.15516681688478562</v>
      </c>
      <c r="BU13" s="456">
        <f t="shared" si="42"/>
        <v>0.61174897793289285</v>
      </c>
      <c r="BV13" s="456">
        <f t="shared" si="43"/>
        <v>0.83575939138065958</v>
      </c>
      <c r="BW13" s="456">
        <f t="shared" si="44"/>
        <v>0.414531325431301</v>
      </c>
      <c r="BX13" s="144">
        <f t="shared" si="110"/>
        <v>1250.2907168119605</v>
      </c>
      <c r="BY13" s="150">
        <f t="shared" si="45"/>
        <v>2.5612822406633544</v>
      </c>
      <c r="BZ13" s="5">
        <f t="shared" si="111"/>
        <v>9.6</v>
      </c>
      <c r="CA13" s="150">
        <f t="shared" si="112"/>
        <v>0.78939044502237898</v>
      </c>
      <c r="CB13" s="5">
        <f t="shared" si="113"/>
        <v>78.939044502237891</v>
      </c>
      <c r="CE13" s="59">
        <f t="shared" si="46"/>
        <v>-50</v>
      </c>
      <c r="CF13">
        <f t="shared" si="47"/>
        <v>-50</v>
      </c>
      <c r="CG13" s="150">
        <f t="shared" si="48"/>
        <v>0.10630166884861217</v>
      </c>
      <c r="CH13"/>
      <c r="CI13" s="147">
        <v>8</v>
      </c>
      <c r="CJ13" s="188">
        <f t="shared" si="114"/>
        <v>0.32</v>
      </c>
      <c r="CK13" s="188"/>
      <c r="CL13" s="188">
        <f t="shared" si="49"/>
        <v>9.6</v>
      </c>
      <c r="CM13" s="465">
        <f t="shared" si="50"/>
        <v>34</v>
      </c>
      <c r="CN13" s="149">
        <f t="shared" si="51"/>
        <v>30.4</v>
      </c>
      <c r="CO13" s="379">
        <f t="shared" si="52"/>
        <v>64.400000000000006</v>
      </c>
      <c r="CP13" s="379"/>
      <c r="CQ13" s="188">
        <f t="shared" si="53"/>
        <v>0.47204968944099374</v>
      </c>
      <c r="CR13" s="149">
        <f t="shared" si="54"/>
        <v>244.918674788055</v>
      </c>
      <c r="CS13" s="149">
        <f t="shared" si="115"/>
        <v>9.6</v>
      </c>
      <c r="CT13" s="188">
        <f t="shared" si="55"/>
        <v>8.1639558262685004</v>
      </c>
      <c r="CU13" s="188">
        <f t="shared" si="56"/>
        <v>30</v>
      </c>
      <c r="CV13" s="188">
        <f t="shared" si="57"/>
        <v>8.1059037580776696</v>
      </c>
      <c r="CW13" s="149">
        <f t="shared" si="58"/>
        <v>1575.8571128825085</v>
      </c>
      <c r="CX13" s="149">
        <f t="shared" si="59"/>
        <v>30</v>
      </c>
      <c r="CY13" s="188">
        <f t="shared" si="60"/>
        <v>1.1962848297213622</v>
      </c>
      <c r="CZ13" s="188">
        <f t="shared" si="61"/>
        <v>0.16536878528501184</v>
      </c>
      <c r="DA13" s="188">
        <f t="shared" si="62"/>
        <v>0.18495193091086848</v>
      </c>
      <c r="DB13" s="172">
        <f t="shared" si="63"/>
        <v>350</v>
      </c>
      <c r="DC13" s="379">
        <f t="shared" si="116"/>
        <v>350</v>
      </c>
      <c r="DE13" s="188">
        <f t="shared" si="64"/>
        <v>9.7566501161056465</v>
      </c>
      <c r="DF13" s="150">
        <f t="shared" si="65"/>
        <v>1.5084294587400178</v>
      </c>
      <c r="DG13" s="462">
        <f t="shared" si="66"/>
        <v>2.5755132294067704</v>
      </c>
      <c r="DH13" s="462"/>
      <c r="DI13" s="150">
        <f t="shared" si="67"/>
        <v>0.93700159489633172</v>
      </c>
      <c r="DJ13" s="314">
        <f t="shared" si="117"/>
        <v>112.69991489361702</v>
      </c>
      <c r="DK13" s="456">
        <f t="shared" si="68"/>
        <v>0.99378957034459414</v>
      </c>
      <c r="DL13"/>
      <c r="DM13" s="150">
        <f t="shared" si="69"/>
        <v>3.439092267314197</v>
      </c>
      <c r="DN13" s="150">
        <f t="shared" si="70"/>
        <v>6.0606060606060606</v>
      </c>
      <c r="DO13" s="150">
        <f t="shared" si="71"/>
        <v>1.0643999513677811</v>
      </c>
      <c r="DQ13" s="314">
        <f t="shared" si="72"/>
        <v>320</v>
      </c>
      <c r="DR13" s="144">
        <f t="shared" si="73"/>
        <v>112.69991489361702</v>
      </c>
      <c r="DT13">
        <f t="shared" si="74"/>
        <v>320</v>
      </c>
      <c r="DU13" s="144">
        <f t="shared" si="75"/>
        <v>112.69991489361702</v>
      </c>
      <c r="DV13" s="144"/>
      <c r="DW13" s="5">
        <f t="shared" si="118"/>
        <v>8.8731211637910192</v>
      </c>
      <c r="DX13" s="5">
        <f t="shared" si="76"/>
        <v>0.83778966131907295</v>
      </c>
      <c r="DY13" s="5">
        <f t="shared" si="119"/>
        <v>8.0353315024719461</v>
      </c>
      <c r="DZ13" s="5">
        <f t="shared" si="77"/>
        <v>0.93700159489633172</v>
      </c>
      <c r="EA13" s="150">
        <f t="shared" si="120"/>
        <v>9.4418823529411763E-2</v>
      </c>
      <c r="EB13" s="150">
        <f t="shared" si="78"/>
        <v>9.727999999999998</v>
      </c>
      <c r="EC13" s="150">
        <f t="shared" si="79"/>
        <v>2.7441853832442069</v>
      </c>
      <c r="ED13" s="150">
        <f t="shared" si="121"/>
        <v>3.5449500093537583</v>
      </c>
      <c r="EE13" s="144">
        <f t="shared" si="80"/>
        <v>0.89364230540701128</v>
      </c>
      <c r="EF13" s="5">
        <f t="shared" si="81"/>
        <v>1.3345879312064131</v>
      </c>
      <c r="EG13" s="5"/>
      <c r="EH13" s="150">
        <f t="shared" si="122"/>
        <v>1.0751887728242737</v>
      </c>
      <c r="EI13" s="150">
        <f t="shared" si="82"/>
        <v>3.3298074584092099</v>
      </c>
      <c r="EJ13" s="150"/>
      <c r="EK13" s="456">
        <f t="shared" si="83"/>
        <v>1.3872370766488411E-2</v>
      </c>
      <c r="EL13" s="456">
        <f t="shared" si="84"/>
        <v>0.83575524765957454</v>
      </c>
      <c r="EM13" s="456">
        <f t="shared" si="85"/>
        <v>1.2960490212765959E-2</v>
      </c>
      <c r="EN13" s="456">
        <f t="shared" si="86"/>
        <v>0.24188318409967666</v>
      </c>
      <c r="EO13">
        <f t="shared" si="87"/>
        <v>1.5299999999999999E-2</v>
      </c>
      <c r="EP13" s="144">
        <f t="shared" si="123"/>
        <v>28.260490212765959</v>
      </c>
      <c r="EQ13" s="456">
        <f t="shared" si="88"/>
        <v>1.127232275298802</v>
      </c>
      <c r="ER13" s="144">
        <f t="shared" si="124"/>
        <v>1127.2322752988021</v>
      </c>
      <c r="ES13" s="456">
        <f t="shared" si="125"/>
        <v>0.21459199999999998</v>
      </c>
      <c r="ET13" s="456"/>
      <c r="EV13" s="144">
        <f t="shared" si="126"/>
        <v>214.59199999999998</v>
      </c>
      <c r="EW13" s="456">
        <f t="shared" si="89"/>
        <v>1.6184432560903145E-2</v>
      </c>
      <c r="EX13" s="456">
        <f t="shared" si="90"/>
        <v>0.15522664794108643</v>
      </c>
      <c r="EY13" s="456">
        <f t="shared" si="91"/>
        <v>0.6096339072072251</v>
      </c>
      <c r="EZ13" s="456">
        <f t="shared" si="92"/>
        <v>0.83361491367575091</v>
      </c>
      <c r="FA13" s="456">
        <f t="shared" si="93"/>
        <v>0.41395744680851065</v>
      </c>
      <c r="FB13" s="144">
        <f t="shared" si="127"/>
        <v>1247.5723604842615</v>
      </c>
      <c r="FC13" s="150">
        <f t="shared" si="128"/>
        <v>2.5893966357830633</v>
      </c>
      <c r="FD13" s="5">
        <f t="shared" si="129"/>
        <v>9.6</v>
      </c>
      <c r="FE13" s="150">
        <f t="shared" si="130"/>
        <v>0.78756974498789734</v>
      </c>
      <c r="FF13" s="5">
        <f t="shared" si="131"/>
        <v>78.756974498789731</v>
      </c>
      <c r="FI13" s="59">
        <f t="shared" si="94"/>
        <v>-50</v>
      </c>
      <c r="FJ13">
        <f t="shared" si="95"/>
        <v>-50</v>
      </c>
      <c r="FL13">
        <f t="shared" si="96"/>
        <v>0.1056</v>
      </c>
    </row>
    <row r="14" spans="2:168">
      <c r="E14" s="147">
        <v>9</v>
      </c>
      <c r="F14" s="188">
        <f t="shared" si="97"/>
        <v>0.36</v>
      </c>
      <c r="G14" s="188"/>
      <c r="H14" s="188">
        <f t="shared" si="0"/>
        <v>10.799999999999999</v>
      </c>
      <c r="I14" s="465">
        <f t="shared" si="1"/>
        <v>33.921732178900704</v>
      </c>
      <c r="J14" s="149">
        <f t="shared" si="2"/>
        <v>30.44214421136116</v>
      </c>
      <c r="K14" s="149">
        <f t="shared" si="3"/>
        <v>64.442144211361153</v>
      </c>
      <c r="L14" s="379"/>
      <c r="M14" s="188">
        <f t="shared" si="4"/>
        <v>0.4729716962830906</v>
      </c>
      <c r="N14" s="149">
        <f t="shared" si="5"/>
        <v>244.83214690946005</v>
      </c>
      <c r="O14" s="149">
        <f t="shared" si="98"/>
        <v>10.799999999999999</v>
      </c>
      <c r="P14" s="188">
        <f t="shared" si="6"/>
        <v>8.1610715636486688</v>
      </c>
      <c r="Q14" s="188">
        <f t="shared" si="7"/>
        <v>30</v>
      </c>
      <c r="R14" s="188">
        <f t="shared" si="8"/>
        <v>8.1030400048057416</v>
      </c>
      <c r="S14" s="149">
        <f t="shared" si="9"/>
        <v>1393.770331032794</v>
      </c>
      <c r="T14" s="149">
        <f t="shared" si="10"/>
        <v>30</v>
      </c>
      <c r="U14" s="188">
        <f t="shared" si="99"/>
        <v>1.366150536739948</v>
      </c>
      <c r="V14" s="188">
        <f t="shared" si="11"/>
        <v>0.1892859565311808</v>
      </c>
      <c r="W14" s="188">
        <f t="shared" si="12"/>
        <v>0.21092165775502242</v>
      </c>
      <c r="X14" s="172">
        <f t="shared" si="13"/>
        <v>350</v>
      </c>
      <c r="Y14" s="379">
        <f t="shared" si="14"/>
        <v>350</v>
      </c>
      <c r="AA14" s="188">
        <f t="shared" si="15"/>
        <v>9.7531558833286915</v>
      </c>
      <c r="AB14" s="150">
        <f t="shared" si="16"/>
        <v>1.5058017048134604</v>
      </c>
      <c r="AC14" s="150">
        <f t="shared" si="17"/>
        <v>2.5701057823748608</v>
      </c>
      <c r="AD14" s="150"/>
      <c r="AE14" s="150">
        <f t="shared" si="18"/>
        <v>0.93570440659754173</v>
      </c>
      <c r="AF14" s="314">
        <f t="shared" si="100"/>
        <v>126.96317251725563</v>
      </c>
      <c r="AG14" s="456">
        <f t="shared" si="19"/>
        <v>0.99241376457315034</v>
      </c>
      <c r="AI14" s="150">
        <f t="shared" si="20"/>
        <v>3.6502357697246803</v>
      </c>
      <c r="AJ14" s="150">
        <f t="shared" si="21"/>
        <v>6.0606060606060606</v>
      </c>
      <c r="AK14" s="150">
        <f t="shared" si="22"/>
        <v>1.0725503842955746</v>
      </c>
      <c r="AM14" s="314">
        <f t="shared" si="23"/>
        <v>360</v>
      </c>
      <c r="AN14" s="144">
        <f t="shared" si="24"/>
        <v>126.96317251725563</v>
      </c>
      <c r="AP14">
        <f t="shared" si="25"/>
        <v>360</v>
      </c>
      <c r="AQ14" s="144">
        <f t="shared" si="26"/>
        <v>126.96317251725563</v>
      </c>
      <c r="AR14" s="144"/>
      <c r="AS14" s="5">
        <f t="shared" si="101"/>
        <v>7.8762997188345265</v>
      </c>
      <c r="AT14" s="5">
        <f t="shared" si="27"/>
        <v>0.83972269855270065</v>
      </c>
      <c r="AU14" s="5">
        <f t="shared" si="102"/>
        <v>7.0365770202818254</v>
      </c>
      <c r="AV14" s="5">
        <f t="shared" si="28"/>
        <v>0.93570440659754173</v>
      </c>
      <c r="AW14" s="150">
        <f t="shared" si="103"/>
        <v>0.10661385784300198</v>
      </c>
      <c r="AX14" s="150">
        <f t="shared" si="29"/>
        <v>10.959171916090016</v>
      </c>
      <c r="AY14" s="150">
        <f t="shared" si="30"/>
        <v>2.7072307338090846</v>
      </c>
      <c r="AZ14" s="150">
        <f t="shared" si="104"/>
        <v>4.0481115182489145</v>
      </c>
      <c r="BA14" s="144">
        <f t="shared" si="31"/>
        <v>1.0076672382632406</v>
      </c>
      <c r="BB14" s="5">
        <f t="shared" si="32"/>
        <v>1.3178265678708567</v>
      </c>
      <c r="BC14" s="5"/>
      <c r="BD14" s="150">
        <f t="shared" si="105"/>
        <v>1.1425159132794382</v>
      </c>
      <c r="BE14" s="150">
        <f t="shared" si="33"/>
        <v>3.3073109916045418</v>
      </c>
      <c r="BF14" s="150"/>
      <c r="BG14" s="456">
        <f t="shared" si="34"/>
        <v>1.5664111345160988E-2</v>
      </c>
      <c r="BH14" s="456">
        <f t="shared" si="35"/>
        <v>0.90495435200134933</v>
      </c>
      <c r="BI14" s="456">
        <f t="shared" si="36"/>
        <v>1.4600764839484399E-2</v>
      </c>
      <c r="BJ14" s="456">
        <f t="shared" si="37"/>
        <v>0.2728525927314126</v>
      </c>
      <c r="BK14">
        <f t="shared" si="38"/>
        <v>1.5264779480505317E-2</v>
      </c>
      <c r="BL14" s="144">
        <f t="shared" si="106"/>
        <v>29.865544319989716</v>
      </c>
      <c r="BM14" s="456">
        <f t="shared" si="39"/>
        <v>1.2021746110196052</v>
      </c>
      <c r="BN14" s="144">
        <f t="shared" si="107"/>
        <v>1202.1746110196052</v>
      </c>
      <c r="BO14" s="456">
        <f t="shared" si="108"/>
        <v>0.24141599999999999</v>
      </c>
      <c r="BP14" s="456"/>
      <c r="BR14" s="144">
        <f t="shared" si="109"/>
        <v>241.416</v>
      </c>
      <c r="BS14" s="456">
        <f t="shared" si="40"/>
        <v>1.8274796569354483E-2</v>
      </c>
      <c r="BT14" s="456">
        <f t="shared" si="41"/>
        <v>0.15313628393263506</v>
      </c>
      <c r="BU14" s="456">
        <f t="shared" si="42"/>
        <v>0.82121062277585877</v>
      </c>
      <c r="BV14" s="456">
        <f t="shared" si="43"/>
        <v>1.0481332954530229</v>
      </c>
      <c r="BW14" s="456">
        <f t="shared" si="44"/>
        <v>0.46634774111021354</v>
      </c>
      <c r="BX14" s="144">
        <f t="shared" si="110"/>
        <v>1514.4810365632363</v>
      </c>
      <c r="BY14" s="150">
        <f t="shared" si="45"/>
        <v>2.987937191902831</v>
      </c>
      <c r="BZ14" s="5">
        <f t="shared" si="111"/>
        <v>10.799999999999999</v>
      </c>
      <c r="CA14" s="150">
        <f t="shared" si="112"/>
        <v>0.78329338534719017</v>
      </c>
      <c r="CB14" s="5">
        <f t="shared" si="113"/>
        <v>78.329338534719014</v>
      </c>
      <c r="CE14" s="59">
        <f t="shared" si="46"/>
        <v>-50</v>
      </c>
      <c r="CF14">
        <f t="shared" si="47"/>
        <v>-50</v>
      </c>
      <c r="CG14" s="150">
        <f t="shared" si="48"/>
        <v>0.11958937745468869</v>
      </c>
      <c r="CI14" s="147">
        <v>9</v>
      </c>
      <c r="CJ14" s="188">
        <f t="shared" si="114"/>
        <v>0.36</v>
      </c>
      <c r="CK14" s="188"/>
      <c r="CL14" s="188">
        <f t="shared" si="49"/>
        <v>10.799999999999999</v>
      </c>
      <c r="CM14" s="465">
        <f t="shared" si="50"/>
        <v>34</v>
      </c>
      <c r="CN14" s="149">
        <f t="shared" si="51"/>
        <v>30.4</v>
      </c>
      <c r="CO14" s="379">
        <f t="shared" si="52"/>
        <v>64.400000000000006</v>
      </c>
      <c r="CP14" s="379"/>
      <c r="CQ14" s="188">
        <f t="shared" si="53"/>
        <v>0.47204968944099374</v>
      </c>
      <c r="CR14" s="149">
        <f t="shared" si="54"/>
        <v>244.918674788055</v>
      </c>
      <c r="CS14" s="149">
        <f t="shared" si="115"/>
        <v>10.799999999999999</v>
      </c>
      <c r="CT14" s="188">
        <f t="shared" si="55"/>
        <v>8.1639558262685004</v>
      </c>
      <c r="CU14" s="188">
        <f t="shared" si="56"/>
        <v>30</v>
      </c>
      <c r="CV14" s="188">
        <f t="shared" si="57"/>
        <v>8.1059037580776696</v>
      </c>
      <c r="CW14" s="149">
        <f t="shared" si="58"/>
        <v>1396.9861634328956</v>
      </c>
      <c r="CX14" s="149">
        <f t="shared" si="59"/>
        <v>30</v>
      </c>
      <c r="CY14" s="188">
        <f t="shared" si="60"/>
        <v>1.3458204334365325</v>
      </c>
      <c r="CZ14" s="188">
        <f t="shared" si="61"/>
        <v>0.18603988344563829</v>
      </c>
      <c r="DA14" s="188">
        <f t="shared" si="62"/>
        <v>0.20807092227472707</v>
      </c>
      <c r="DB14" s="172">
        <f t="shared" si="63"/>
        <v>350</v>
      </c>
      <c r="DC14" s="379">
        <f t="shared" si="116"/>
        <v>350</v>
      </c>
      <c r="DE14" s="188">
        <f t="shared" si="64"/>
        <v>9.7566501161056465</v>
      </c>
      <c r="DF14" s="150">
        <f t="shared" si="65"/>
        <v>1.5084294587400178</v>
      </c>
      <c r="DG14" s="150">
        <f t="shared" si="66"/>
        <v>2.5755132294067704</v>
      </c>
      <c r="DH14" s="150"/>
      <c r="DI14" s="150">
        <f t="shared" si="67"/>
        <v>0.93700159489633172</v>
      </c>
      <c r="DJ14" s="314">
        <f t="shared" si="117"/>
        <v>126.78740425531916</v>
      </c>
      <c r="DK14" s="456">
        <f t="shared" si="68"/>
        <v>0.99378957034459414</v>
      </c>
      <c r="DM14" s="150">
        <f t="shared" si="69"/>
        <v>3.647708195016131</v>
      </c>
      <c r="DN14" s="150">
        <f t="shared" si="70"/>
        <v>6.0606060606060606</v>
      </c>
      <c r="DO14" s="150">
        <f t="shared" si="71"/>
        <v>1.0724499452887537</v>
      </c>
      <c r="DQ14" s="314">
        <f t="shared" si="72"/>
        <v>360</v>
      </c>
      <c r="DR14" s="144">
        <f t="shared" si="73"/>
        <v>126.78740425531916</v>
      </c>
      <c r="DT14">
        <f t="shared" si="74"/>
        <v>360</v>
      </c>
      <c r="DU14" s="144">
        <f t="shared" si="75"/>
        <v>126.78740425531916</v>
      </c>
      <c r="DV14" s="144"/>
      <c r="DW14" s="5">
        <f t="shared" si="118"/>
        <v>7.8872188122586833</v>
      </c>
      <c r="DX14" s="5">
        <f t="shared" si="76"/>
        <v>0.83778966131907295</v>
      </c>
      <c r="DY14" s="5">
        <f t="shared" si="119"/>
        <v>7.0494291509396101</v>
      </c>
      <c r="DZ14" s="5">
        <f t="shared" si="77"/>
        <v>0.93700159489633172</v>
      </c>
      <c r="EA14" s="150">
        <f t="shared" si="120"/>
        <v>0.10622117647058824</v>
      </c>
      <c r="EB14" s="150">
        <f t="shared" si="78"/>
        <v>10.943999999999999</v>
      </c>
      <c r="EC14" s="150">
        <f t="shared" si="79"/>
        <v>2.7084206773618535</v>
      </c>
      <c r="ED14" s="150">
        <f t="shared" si="121"/>
        <v>4.0407312244640075</v>
      </c>
      <c r="EE14" s="144">
        <f t="shared" si="80"/>
        <v>1.0053475935828875</v>
      </c>
      <c r="EF14" s="5">
        <f t="shared" si="81"/>
        <v>1.31719437422401</v>
      </c>
      <c r="EG14" s="5"/>
      <c r="EH14" s="150">
        <f t="shared" si="122"/>
        <v>1.1404099084795294</v>
      </c>
      <c r="EI14" s="150">
        <f t="shared" si="82"/>
        <v>3.3080377639813423</v>
      </c>
      <c r="EJ14" s="150"/>
      <c r="EK14" s="456">
        <f t="shared" si="83"/>
        <v>1.5606417112299462E-2</v>
      </c>
      <c r="EL14" s="456">
        <f t="shared" si="84"/>
        <v>0.94022465361702146</v>
      </c>
      <c r="EM14" s="456">
        <f t="shared" si="85"/>
        <v>1.4580551489361705E-2</v>
      </c>
      <c r="EN14" s="456">
        <f t="shared" si="86"/>
        <v>0.2721185821121363</v>
      </c>
      <c r="EO14">
        <f t="shared" si="87"/>
        <v>1.5299999999999999E-2</v>
      </c>
      <c r="EP14" s="144">
        <f t="shared" si="123"/>
        <v>29.880551489361704</v>
      </c>
      <c r="EQ14" s="456">
        <f t="shared" si="88"/>
        <v>1.2667411203257319</v>
      </c>
      <c r="ER14" s="144">
        <f t="shared" si="124"/>
        <v>1266.741120325732</v>
      </c>
      <c r="ES14" s="456">
        <f t="shared" si="125"/>
        <v>0.24141599999999999</v>
      </c>
      <c r="ET14" s="456"/>
      <c r="EV14" s="144">
        <f t="shared" si="126"/>
        <v>241.416</v>
      </c>
      <c r="EW14" s="456">
        <f t="shared" si="89"/>
        <v>1.820748663101604E-2</v>
      </c>
      <c r="EX14" s="456">
        <f t="shared" si="90"/>
        <v>0.15320359387097351</v>
      </c>
      <c r="EY14" s="456">
        <f t="shared" si="91"/>
        <v>0.81837135600060606</v>
      </c>
      <c r="EZ14" s="456">
        <f t="shared" si="92"/>
        <v>1.0452545528067718</v>
      </c>
      <c r="FA14" s="456">
        <f t="shared" si="93"/>
        <v>0.46570212765957453</v>
      </c>
      <c r="FB14" s="144">
        <f t="shared" si="127"/>
        <v>1510.9566804663464</v>
      </c>
      <c r="FC14" s="150">
        <f t="shared" si="128"/>
        <v>3.0191138007920788</v>
      </c>
      <c r="FD14" s="5">
        <f t="shared" si="129"/>
        <v>10.799999999999999</v>
      </c>
      <c r="FE14" s="150">
        <f t="shared" si="130"/>
        <v>0.78152623646394526</v>
      </c>
      <c r="FF14" s="5">
        <f t="shared" si="131"/>
        <v>78.152623646394531</v>
      </c>
      <c r="FI14" s="59">
        <f t="shared" si="94"/>
        <v>-50</v>
      </c>
      <c r="FJ14">
        <f t="shared" si="95"/>
        <v>-50</v>
      </c>
      <c r="FL14">
        <f t="shared" si="96"/>
        <v>0.1188</v>
      </c>
    </row>
    <row r="15" spans="2:168">
      <c r="E15" s="147">
        <v>10</v>
      </c>
      <c r="F15" s="188">
        <f t="shared" si="97"/>
        <v>0.4</v>
      </c>
      <c r="G15" s="188"/>
      <c r="H15" s="188">
        <f t="shared" si="0"/>
        <v>12</v>
      </c>
      <c r="I15" s="465">
        <f t="shared" si="1"/>
        <v>33.921732178900704</v>
      </c>
      <c r="J15" s="149">
        <f t="shared" si="2"/>
        <v>30.44214421136116</v>
      </c>
      <c r="K15" s="149">
        <f t="shared" si="3"/>
        <v>64.442144211361153</v>
      </c>
      <c r="L15" s="379"/>
      <c r="M15" s="188">
        <f t="shared" si="4"/>
        <v>0.4729716962830906</v>
      </c>
      <c r="N15" s="149">
        <f t="shared" si="5"/>
        <v>244.83214690946005</v>
      </c>
      <c r="O15" s="149">
        <f t="shared" si="98"/>
        <v>12</v>
      </c>
      <c r="P15" s="188">
        <f t="shared" si="6"/>
        <v>8.1610715636486688</v>
      </c>
      <c r="Q15" s="188">
        <f t="shared" si="7"/>
        <v>30</v>
      </c>
      <c r="R15" s="188">
        <f t="shared" si="8"/>
        <v>8.1030400048057416</v>
      </c>
      <c r="S15" s="149">
        <f t="shared" si="9"/>
        <v>1251.0032082892833</v>
      </c>
      <c r="T15" s="149">
        <f t="shared" si="10"/>
        <v>30</v>
      </c>
      <c r="U15" s="188">
        <f t="shared" si="99"/>
        <v>1.5179450408221646</v>
      </c>
      <c r="V15" s="188">
        <f t="shared" si="11"/>
        <v>0.21031772947908978</v>
      </c>
      <c r="W15" s="188">
        <f t="shared" si="12"/>
        <v>0.23435739750558049</v>
      </c>
      <c r="X15" s="172">
        <f t="shared" si="13"/>
        <v>350</v>
      </c>
      <c r="Y15" s="379">
        <f t="shared" si="14"/>
        <v>350</v>
      </c>
      <c r="AA15" s="188">
        <f t="shared" si="15"/>
        <v>9.7531558833286915</v>
      </c>
      <c r="AB15" s="150">
        <f t="shared" si="16"/>
        <v>1.5058017048134604</v>
      </c>
      <c r="AC15" s="150">
        <f t="shared" si="17"/>
        <v>2.5701057823748608</v>
      </c>
      <c r="AD15" s="150"/>
      <c r="AE15" s="150">
        <f t="shared" si="18"/>
        <v>0.93570440659754173</v>
      </c>
      <c r="AF15" s="314">
        <f t="shared" si="100"/>
        <v>141.07019168583957</v>
      </c>
      <c r="AG15" s="456">
        <f t="shared" si="19"/>
        <v>0.99241376457315034</v>
      </c>
      <c r="AI15" s="150">
        <f t="shared" si="20"/>
        <v>3.8476863429826285</v>
      </c>
      <c r="AJ15" s="150">
        <f t="shared" si="21"/>
        <v>6.0606060606060606</v>
      </c>
      <c r="AK15" s="150">
        <f t="shared" si="22"/>
        <v>1.080611538106194</v>
      </c>
      <c r="AM15" s="314">
        <f t="shared" si="23"/>
        <v>400</v>
      </c>
      <c r="AN15" s="144">
        <f t="shared" si="24"/>
        <v>141.07019168583957</v>
      </c>
      <c r="AP15">
        <f t="shared" si="25"/>
        <v>400</v>
      </c>
      <c r="AQ15" s="144">
        <f t="shared" si="26"/>
        <v>141.07019168583957</v>
      </c>
      <c r="AR15" s="144"/>
      <c r="AS15" s="5">
        <f t="shared" si="101"/>
        <v>7.0886697469510747</v>
      </c>
      <c r="AT15" s="5">
        <f t="shared" si="27"/>
        <v>0.83972269855270065</v>
      </c>
      <c r="AU15" s="5">
        <f t="shared" si="102"/>
        <v>6.2489470483983744</v>
      </c>
      <c r="AV15" s="5">
        <f t="shared" si="28"/>
        <v>0.93570440659754173</v>
      </c>
      <c r="AW15" s="150">
        <f t="shared" si="103"/>
        <v>0.11845984204777996</v>
      </c>
      <c r="AX15" s="150">
        <f t="shared" si="29"/>
        <v>12.17685768454446</v>
      </c>
      <c r="AY15" s="150">
        <f t="shared" si="30"/>
        <v>2.6713338119764245</v>
      </c>
      <c r="AZ15" s="150">
        <f t="shared" si="104"/>
        <v>4.5583437120257306</v>
      </c>
      <c r="BA15" s="144">
        <f t="shared" si="31"/>
        <v>1.1196302647369341</v>
      </c>
      <c r="BB15" s="5">
        <f t="shared" si="32"/>
        <v>1.3003526537692307</v>
      </c>
      <c r="BC15" s="5"/>
      <c r="BD15" s="150">
        <f t="shared" si="105"/>
        <v>1.2043175163168136</v>
      </c>
      <c r="BE15" s="150">
        <f t="shared" si="33"/>
        <v>3.2853109331047299</v>
      </c>
      <c r="BF15" s="150"/>
      <c r="BG15" s="456">
        <f t="shared" si="34"/>
        <v>1.7404568161289984E-2</v>
      </c>
      <c r="BH15" s="456">
        <f t="shared" si="35"/>
        <v>1.0055048355570548</v>
      </c>
      <c r="BI15" s="456">
        <f t="shared" si="36"/>
        <v>1.6223072043871554E-2</v>
      </c>
      <c r="BJ15" s="456">
        <f t="shared" si="37"/>
        <v>0.30316954747934732</v>
      </c>
      <c r="BK15">
        <f t="shared" si="38"/>
        <v>1.5264779480505317E-2</v>
      </c>
      <c r="BL15" s="144">
        <f t="shared" si="106"/>
        <v>31.487851524376872</v>
      </c>
      <c r="BM15" s="456">
        <f t="shared" si="39"/>
        <v>1.336304237449977</v>
      </c>
      <c r="BN15" s="144">
        <f t="shared" si="107"/>
        <v>1336.3042374499769</v>
      </c>
      <c r="BO15" s="456">
        <f t="shared" si="108"/>
        <v>0.26823999999999998</v>
      </c>
      <c r="BP15" s="456"/>
      <c r="BR15" s="144">
        <f t="shared" si="109"/>
        <v>268.23999999999995</v>
      </c>
      <c r="BS15" s="456">
        <f t="shared" si="40"/>
        <v>2.0305329521504979E-2</v>
      </c>
      <c r="BT15" s="456">
        <f t="shared" si="41"/>
        <v>0.15110575098048459</v>
      </c>
      <c r="BU15" s="456">
        <f t="shared" si="42"/>
        <v>1.0686814842374717</v>
      </c>
      <c r="BV15" s="456">
        <f t="shared" si="43"/>
        <v>1.2990448789658682</v>
      </c>
      <c r="BW15" s="456">
        <f t="shared" si="44"/>
        <v>0.51816415678912608</v>
      </c>
      <c r="BX15" s="144">
        <f t="shared" si="110"/>
        <v>1817.2090357549941</v>
      </c>
      <c r="BY15" s="150">
        <f t="shared" si="45"/>
        <v>3.453241124729348</v>
      </c>
      <c r="BZ15" s="5">
        <f t="shared" si="111"/>
        <v>12</v>
      </c>
      <c r="CA15" s="150">
        <f t="shared" si="112"/>
        <v>0.77653612618499601</v>
      </c>
      <c r="CB15" s="5">
        <f t="shared" si="113"/>
        <v>77.653612618499608</v>
      </c>
      <c r="CE15" s="59">
        <f t="shared" si="46"/>
        <v>-50</v>
      </c>
      <c r="CF15">
        <f t="shared" si="47"/>
        <v>-50</v>
      </c>
      <c r="CG15" s="150">
        <f t="shared" si="48"/>
        <v>0.1328770860607652</v>
      </c>
      <c r="CI15" s="147">
        <v>10</v>
      </c>
      <c r="CJ15" s="188">
        <f t="shared" si="114"/>
        <v>0.4</v>
      </c>
      <c r="CK15" s="188"/>
      <c r="CL15" s="188">
        <f t="shared" si="49"/>
        <v>12</v>
      </c>
      <c r="CM15" s="465">
        <f t="shared" si="50"/>
        <v>34</v>
      </c>
      <c r="CN15" s="149">
        <f t="shared" si="51"/>
        <v>30.4</v>
      </c>
      <c r="CO15" s="379">
        <f t="shared" si="52"/>
        <v>64.400000000000006</v>
      </c>
      <c r="CP15" s="379"/>
      <c r="CQ15" s="188">
        <f t="shared" si="53"/>
        <v>0.47204968944099374</v>
      </c>
      <c r="CR15" s="149">
        <f t="shared" si="54"/>
        <v>244.918674788055</v>
      </c>
      <c r="CS15" s="149">
        <f t="shared" si="115"/>
        <v>12</v>
      </c>
      <c r="CT15" s="188">
        <f t="shared" si="55"/>
        <v>8.1639558262685004</v>
      </c>
      <c r="CU15" s="188">
        <f t="shared" si="56"/>
        <v>30</v>
      </c>
      <c r="CV15" s="188">
        <f t="shared" si="57"/>
        <v>8.1059037580776696</v>
      </c>
      <c r="CW15" s="149">
        <f t="shared" si="58"/>
        <v>1253.8896306695335</v>
      </c>
      <c r="CX15" s="149">
        <f t="shared" si="59"/>
        <v>30</v>
      </c>
      <c r="CY15" s="188">
        <f t="shared" si="60"/>
        <v>1.495356037151703</v>
      </c>
      <c r="CZ15" s="188">
        <f t="shared" si="61"/>
        <v>0.20671098160626483</v>
      </c>
      <c r="DA15" s="188">
        <f t="shared" si="62"/>
        <v>0.23118991363858565</v>
      </c>
      <c r="DB15" s="172">
        <f t="shared" si="63"/>
        <v>350</v>
      </c>
      <c r="DC15" s="379">
        <f t="shared" si="116"/>
        <v>350</v>
      </c>
      <c r="DE15" s="188">
        <f t="shared" si="64"/>
        <v>9.7566501161056465</v>
      </c>
      <c r="DF15" s="150">
        <f t="shared" si="65"/>
        <v>1.5084294587400178</v>
      </c>
      <c r="DG15" s="150">
        <f t="shared" si="66"/>
        <v>2.5755132294067704</v>
      </c>
      <c r="DH15" s="150"/>
      <c r="DI15" s="150">
        <f t="shared" si="67"/>
        <v>0.93700159489633172</v>
      </c>
      <c r="DJ15" s="314">
        <f t="shared" si="117"/>
        <v>140.87489361702129</v>
      </c>
      <c r="DK15" s="456">
        <f t="shared" si="68"/>
        <v>0.99378957034459414</v>
      </c>
      <c r="DM15" s="150">
        <f t="shared" si="69"/>
        <v>3.8450220453042112</v>
      </c>
      <c r="DN15" s="150">
        <f t="shared" si="70"/>
        <v>6.0606060606060606</v>
      </c>
      <c r="DO15" s="150">
        <f t="shared" si="71"/>
        <v>1.0804999392097265</v>
      </c>
      <c r="DQ15" s="314">
        <f t="shared" si="72"/>
        <v>400</v>
      </c>
      <c r="DR15" s="144">
        <f t="shared" si="73"/>
        <v>140.87489361702129</v>
      </c>
      <c r="DT15">
        <f t="shared" si="74"/>
        <v>400</v>
      </c>
      <c r="DU15" s="144">
        <f t="shared" si="75"/>
        <v>140.87489361702129</v>
      </c>
      <c r="DV15" s="144"/>
      <c r="DW15" s="5">
        <f t="shared" si="118"/>
        <v>7.0984969310328161</v>
      </c>
      <c r="DX15" s="5">
        <f t="shared" si="76"/>
        <v>0.83778966131907295</v>
      </c>
      <c r="DY15" s="5">
        <f t="shared" si="119"/>
        <v>6.2607072697137429</v>
      </c>
      <c r="DZ15" s="5">
        <f t="shared" si="77"/>
        <v>0.93700159489633172</v>
      </c>
      <c r="EA15" s="150">
        <f t="shared" si="120"/>
        <v>0.11802352941176469</v>
      </c>
      <c r="EB15" s="150">
        <f t="shared" si="78"/>
        <v>12.159999999999998</v>
      </c>
      <c r="EC15" s="150">
        <f t="shared" si="79"/>
        <v>2.6726559714795011</v>
      </c>
      <c r="ED15" s="150">
        <f t="shared" si="121"/>
        <v>4.5497812399957303</v>
      </c>
      <c r="EE15" s="144">
        <f t="shared" si="80"/>
        <v>1.1170528817587639</v>
      </c>
      <c r="EF15" s="5">
        <f t="shared" si="81"/>
        <v>1.2998008172416076</v>
      </c>
      <c r="EG15" s="5"/>
      <c r="EH15" s="150">
        <f t="shared" si="122"/>
        <v>1.2020975923398274</v>
      </c>
      <c r="EI15" s="150">
        <f t="shared" si="82"/>
        <v>3.2861238542963904</v>
      </c>
      <c r="EJ15" s="150"/>
      <c r="EK15" s="456">
        <f t="shared" si="83"/>
        <v>1.7340463458110519E-2</v>
      </c>
      <c r="EL15" s="456">
        <f t="shared" si="84"/>
        <v>1.0446940595744683</v>
      </c>
      <c r="EM15" s="456">
        <f t="shared" si="85"/>
        <v>1.620061276595745E-2</v>
      </c>
      <c r="EN15" s="456">
        <f t="shared" si="86"/>
        <v>0.30235398012459586</v>
      </c>
      <c r="EO15">
        <f t="shared" si="87"/>
        <v>1.5299999999999999E-2</v>
      </c>
      <c r="EP15" s="144">
        <f t="shared" si="123"/>
        <v>31.500612765957449</v>
      </c>
      <c r="EQ15" s="456">
        <f t="shared" si="88"/>
        <v>1.4063653988639435</v>
      </c>
      <c r="ER15" s="144">
        <f t="shared" si="124"/>
        <v>1406.3653988639435</v>
      </c>
      <c r="ES15" s="456">
        <f t="shared" si="125"/>
        <v>0.26823999999999998</v>
      </c>
      <c r="ET15" s="456"/>
      <c r="EV15" s="144">
        <f t="shared" si="126"/>
        <v>268.23999999999995</v>
      </c>
      <c r="EW15" s="456">
        <f t="shared" si="89"/>
        <v>2.0230540701128938E-2</v>
      </c>
      <c r="EX15" s="456">
        <f t="shared" si="90"/>
        <v>0.15118053980086069</v>
      </c>
      <c r="EY15" s="456">
        <f t="shared" si="91"/>
        <v>1.06498660773762</v>
      </c>
      <c r="EZ15" s="456">
        <f t="shared" si="92"/>
        <v>1.2952986305874263</v>
      </c>
      <c r="FA15" s="456">
        <f t="shared" si="93"/>
        <v>0.5174468085106384</v>
      </c>
      <c r="FB15" s="144">
        <f t="shared" si="127"/>
        <v>1812.7454390980647</v>
      </c>
      <c r="FC15" s="150">
        <f t="shared" si="128"/>
        <v>3.4873508379620084</v>
      </c>
      <c r="FD15" s="5">
        <f t="shared" si="129"/>
        <v>12</v>
      </c>
      <c r="FE15" s="150">
        <f t="shared" si="130"/>
        <v>0.77482586438127654</v>
      </c>
      <c r="FF15" s="5">
        <f t="shared" si="131"/>
        <v>77.482586438127655</v>
      </c>
      <c r="FI15" s="59">
        <f t="shared" si="94"/>
        <v>-50</v>
      </c>
      <c r="FJ15">
        <f t="shared" si="95"/>
        <v>-50</v>
      </c>
      <c r="FL15">
        <f t="shared" si="96"/>
        <v>0.13200000000000001</v>
      </c>
    </row>
    <row r="16" spans="2:168">
      <c r="E16" s="147">
        <v>11</v>
      </c>
      <c r="F16" s="188">
        <f t="shared" si="97"/>
        <v>0.44</v>
      </c>
      <c r="G16" s="188"/>
      <c r="H16" s="188">
        <f t="shared" si="0"/>
        <v>13.2</v>
      </c>
      <c r="I16" s="465">
        <f t="shared" si="1"/>
        <v>33.921732178900704</v>
      </c>
      <c r="J16" s="149">
        <f t="shared" si="2"/>
        <v>30.44214421136116</v>
      </c>
      <c r="K16" s="149">
        <f t="shared" si="3"/>
        <v>64.442144211361153</v>
      </c>
      <c r="L16" s="379"/>
      <c r="M16" s="188">
        <f t="shared" si="4"/>
        <v>0.4729716962830906</v>
      </c>
      <c r="N16" s="149">
        <f t="shared" si="5"/>
        <v>244.83214690946005</v>
      </c>
      <c r="O16" s="149">
        <f t="shared" si="98"/>
        <v>13.2</v>
      </c>
      <c r="P16" s="188">
        <f t="shared" si="6"/>
        <v>8.1610715636486688</v>
      </c>
      <c r="Q16" s="188">
        <f t="shared" si="7"/>
        <v>30</v>
      </c>
      <c r="R16" s="188">
        <f t="shared" si="8"/>
        <v>8.1030400048057416</v>
      </c>
      <c r="S16" s="149">
        <f t="shared" si="9"/>
        <v>1134.1939520637143</v>
      </c>
      <c r="T16" s="149">
        <f t="shared" si="10"/>
        <v>30</v>
      </c>
      <c r="U16" s="188">
        <f t="shared" si="99"/>
        <v>1.6697395449043808</v>
      </c>
      <c r="V16" s="188">
        <f t="shared" si="11"/>
        <v>0.23134950242699875</v>
      </c>
      <c r="W16" s="188">
        <f t="shared" si="12"/>
        <v>0.2577931372561385</v>
      </c>
      <c r="X16" s="172">
        <f t="shared" si="13"/>
        <v>350</v>
      </c>
      <c r="Y16" s="379">
        <f t="shared" si="14"/>
        <v>350</v>
      </c>
      <c r="AA16" s="188">
        <f t="shared" si="15"/>
        <v>9.7531558833286915</v>
      </c>
      <c r="AB16" s="150">
        <f t="shared" si="16"/>
        <v>1.5058017048134604</v>
      </c>
      <c r="AC16" s="150">
        <f t="shared" si="17"/>
        <v>2.5701057823748608</v>
      </c>
      <c r="AD16" s="150"/>
      <c r="AE16" s="150">
        <f t="shared" si="18"/>
        <v>0.93570440659754173</v>
      </c>
      <c r="AF16" s="314">
        <f t="shared" si="100"/>
        <v>155.17721085442355</v>
      </c>
      <c r="AG16" s="456">
        <f t="shared" si="19"/>
        <v>0.99241376457315034</v>
      </c>
      <c r="AI16" s="150">
        <f t="shared" si="20"/>
        <v>4.0354874815036332</v>
      </c>
      <c r="AJ16" s="150">
        <f t="shared" si="21"/>
        <v>6.0606060606060606</v>
      </c>
      <c r="AK16" s="150">
        <f t="shared" si="22"/>
        <v>1.0886726919168135</v>
      </c>
      <c r="AM16" s="314">
        <f t="shared" si="23"/>
        <v>440</v>
      </c>
      <c r="AN16" s="144">
        <f t="shared" si="24"/>
        <v>155.17721085442355</v>
      </c>
      <c r="AP16">
        <f t="shared" si="25"/>
        <v>440</v>
      </c>
      <c r="AQ16" s="144">
        <f t="shared" si="26"/>
        <v>155.17721085442355</v>
      </c>
      <c r="AR16" s="144"/>
      <c r="AS16" s="5">
        <f t="shared" si="101"/>
        <v>6.4442452245009765</v>
      </c>
      <c r="AT16" s="5">
        <f t="shared" si="27"/>
        <v>0.83972269855270065</v>
      </c>
      <c r="AU16" s="5">
        <f t="shared" si="102"/>
        <v>5.6045225259482763</v>
      </c>
      <c r="AV16" s="5">
        <f t="shared" si="28"/>
        <v>0.93570440659754173</v>
      </c>
      <c r="AW16" s="150">
        <f t="shared" si="103"/>
        <v>0.13030582625255796</v>
      </c>
      <c r="AX16" s="150">
        <f t="shared" si="29"/>
        <v>13.394543452998908</v>
      </c>
      <c r="AY16" s="150">
        <f t="shared" si="30"/>
        <v>2.6354368901437639</v>
      </c>
      <c r="AZ16" s="150">
        <f t="shared" si="104"/>
        <v>5.0824755102628281</v>
      </c>
      <c r="BA16" s="144">
        <f t="shared" si="31"/>
        <v>1.2315932912106275</v>
      </c>
      <c r="BB16" s="5">
        <f t="shared" si="32"/>
        <v>1.2828787396676038</v>
      </c>
      <c r="BC16" s="5"/>
      <c r="BD16" s="150">
        <f t="shared" si="105"/>
        <v>1.263098867119375</v>
      </c>
      <c r="BE16" s="150">
        <f t="shared" si="33"/>
        <v>3.2631625548180589</v>
      </c>
      <c r="BF16" s="150"/>
      <c r="BG16" s="456">
        <f t="shared" si="34"/>
        <v>1.9145024977418986E-2</v>
      </c>
      <c r="BH16" s="456">
        <f t="shared" si="35"/>
        <v>1.1060553191127604</v>
      </c>
      <c r="BI16" s="456">
        <f t="shared" si="36"/>
        <v>1.784537924825871E-2</v>
      </c>
      <c r="BJ16" s="456">
        <f t="shared" si="37"/>
        <v>0.3334865022272821</v>
      </c>
      <c r="BK16">
        <f t="shared" si="38"/>
        <v>1.5264779480505317E-2</v>
      </c>
      <c r="BL16" s="144">
        <f t="shared" si="106"/>
        <v>33.110158728764027</v>
      </c>
      <c r="BM16" s="456">
        <f t="shared" si="39"/>
        <v>1.4705453047390671</v>
      </c>
      <c r="BN16" s="144">
        <f t="shared" si="107"/>
        <v>1470.545304739067</v>
      </c>
      <c r="BO16" s="456">
        <f t="shared" si="108"/>
        <v>0.29506399999999999</v>
      </c>
      <c r="BP16" s="456"/>
      <c r="BR16" s="144">
        <f t="shared" si="109"/>
        <v>295.06399999999996</v>
      </c>
      <c r="BS16" s="456">
        <f t="shared" si="40"/>
        <v>2.2335862473655481E-2</v>
      </c>
      <c r="BT16" s="456">
        <f t="shared" si="41"/>
        <v>0.14907521802833412</v>
      </c>
      <c r="BU16" s="456">
        <f t="shared" si="42"/>
        <v>1.3562195418180865</v>
      </c>
      <c r="BV16" s="456">
        <f t="shared" si="43"/>
        <v>1.5905807346284182</v>
      </c>
      <c r="BW16" s="456">
        <f t="shared" si="44"/>
        <v>0.56998057246803879</v>
      </c>
      <c r="BX16" s="144">
        <f t="shared" si="110"/>
        <v>2160.5613070964573</v>
      </c>
      <c r="BY16" s="150">
        <f t="shared" si="45"/>
        <v>3.9592807705642881</v>
      </c>
      <c r="BZ16" s="5">
        <f t="shared" si="111"/>
        <v>13.2</v>
      </c>
      <c r="CA16" s="150">
        <f t="shared" si="112"/>
        <v>0.76926301145697229</v>
      </c>
      <c r="CB16" s="5">
        <f t="shared" si="113"/>
        <v>76.926301145697224</v>
      </c>
      <c r="CE16" s="59">
        <f t="shared" si="46"/>
        <v>-50</v>
      </c>
      <c r="CF16">
        <f t="shared" si="47"/>
        <v>-50</v>
      </c>
      <c r="CG16" s="150">
        <f t="shared" si="48"/>
        <v>0.14616479466684174</v>
      </c>
      <c r="CI16" s="147">
        <v>11</v>
      </c>
      <c r="CJ16" s="188">
        <f t="shared" si="114"/>
        <v>0.44</v>
      </c>
      <c r="CK16" s="188"/>
      <c r="CL16" s="188">
        <f t="shared" si="49"/>
        <v>13.2</v>
      </c>
      <c r="CM16" s="465">
        <f t="shared" si="50"/>
        <v>34</v>
      </c>
      <c r="CN16" s="149">
        <f t="shared" si="51"/>
        <v>30.4</v>
      </c>
      <c r="CO16" s="379">
        <f t="shared" si="52"/>
        <v>64.400000000000006</v>
      </c>
      <c r="CP16" s="379"/>
      <c r="CQ16" s="188">
        <f t="shared" si="53"/>
        <v>0.47204968944099374</v>
      </c>
      <c r="CR16" s="149">
        <f t="shared" si="54"/>
        <v>244.918674788055</v>
      </c>
      <c r="CS16" s="149">
        <f t="shared" si="115"/>
        <v>13.2</v>
      </c>
      <c r="CT16" s="188">
        <f t="shared" si="55"/>
        <v>8.1639558262685004</v>
      </c>
      <c r="CU16" s="188">
        <f t="shared" si="56"/>
        <v>30</v>
      </c>
      <c r="CV16" s="188">
        <f t="shared" si="57"/>
        <v>8.1059037580776696</v>
      </c>
      <c r="CW16" s="149">
        <f t="shared" si="58"/>
        <v>1136.810857155479</v>
      </c>
      <c r="CX16" s="149">
        <f t="shared" si="59"/>
        <v>30</v>
      </c>
      <c r="CY16" s="188">
        <f t="shared" si="60"/>
        <v>1.644891640866873</v>
      </c>
      <c r="CZ16" s="188">
        <f t="shared" si="61"/>
        <v>0.22738207976689129</v>
      </c>
      <c r="DA16" s="188">
        <f t="shared" si="62"/>
        <v>0.25430890500244424</v>
      </c>
      <c r="DB16" s="172">
        <f t="shared" si="63"/>
        <v>350</v>
      </c>
      <c r="DC16" s="379">
        <f t="shared" si="116"/>
        <v>350</v>
      </c>
      <c r="DE16" s="188">
        <f t="shared" si="64"/>
        <v>9.7566501161056465</v>
      </c>
      <c r="DF16" s="150">
        <f t="shared" si="65"/>
        <v>1.5084294587400178</v>
      </c>
      <c r="DG16" s="150">
        <f t="shared" si="66"/>
        <v>2.5755132294067704</v>
      </c>
      <c r="DH16" s="150"/>
      <c r="DI16" s="150">
        <f t="shared" si="67"/>
        <v>0.93700159489633172</v>
      </c>
      <c r="DJ16" s="314">
        <f t="shared" si="117"/>
        <v>154.96238297872341</v>
      </c>
      <c r="DK16" s="456">
        <f t="shared" si="68"/>
        <v>0.99378957034459414</v>
      </c>
      <c r="DM16" s="150">
        <f t="shared" si="69"/>
        <v>4.0326931425243497</v>
      </c>
      <c r="DN16" s="150">
        <f t="shared" si="70"/>
        <v>6.0606060606060606</v>
      </c>
      <c r="DO16" s="150">
        <f t="shared" si="71"/>
        <v>1.0885499331306991</v>
      </c>
      <c r="DQ16" s="314">
        <f t="shared" si="72"/>
        <v>440</v>
      </c>
      <c r="DR16" s="144">
        <f t="shared" si="73"/>
        <v>154.96238297872341</v>
      </c>
      <c r="DT16">
        <f t="shared" si="74"/>
        <v>440</v>
      </c>
      <c r="DU16" s="144">
        <f t="shared" si="75"/>
        <v>154.96238297872341</v>
      </c>
      <c r="DV16" s="144"/>
      <c r="DW16" s="5">
        <f t="shared" si="118"/>
        <v>6.4531790282116503</v>
      </c>
      <c r="DX16" s="5">
        <f t="shared" si="76"/>
        <v>0.83778966131907295</v>
      </c>
      <c r="DY16" s="5">
        <f t="shared" si="119"/>
        <v>5.6153893668925772</v>
      </c>
      <c r="DZ16" s="5">
        <f t="shared" si="77"/>
        <v>0.93700159489633172</v>
      </c>
      <c r="EA16" s="150">
        <f t="shared" si="120"/>
        <v>0.12982588235294118</v>
      </c>
      <c r="EB16" s="150">
        <f t="shared" si="78"/>
        <v>13.375999999999999</v>
      </c>
      <c r="EC16" s="150">
        <f t="shared" si="79"/>
        <v>2.6368912655971477</v>
      </c>
      <c r="ED16" s="150">
        <f t="shared" si="121"/>
        <v>5.0726399584667305</v>
      </c>
      <c r="EE16" s="144">
        <f t="shared" si="80"/>
        <v>1.2287581699346406</v>
      </c>
      <c r="EF16" s="5">
        <f t="shared" si="81"/>
        <v>1.2824072602592043</v>
      </c>
      <c r="EG16" s="5"/>
      <c r="EH16" s="150">
        <f t="shared" si="122"/>
        <v>1.2607705912100466</v>
      </c>
      <c r="EI16" s="150">
        <f t="shared" si="82"/>
        <v>3.2640628247055599</v>
      </c>
      <c r="EJ16" s="150"/>
      <c r="EK16" s="456">
        <f t="shared" si="83"/>
        <v>1.9074509803921568E-2</v>
      </c>
      <c r="EL16" s="456">
        <f t="shared" si="84"/>
        <v>1.149163465531915</v>
      </c>
      <c r="EM16" s="456">
        <f t="shared" si="85"/>
        <v>1.7820674042553192E-2</v>
      </c>
      <c r="EN16" s="456">
        <f t="shared" si="86"/>
        <v>0.33258937813705541</v>
      </c>
      <c r="EO16">
        <f t="shared" si="87"/>
        <v>1.5299999999999999E-2</v>
      </c>
      <c r="EP16" s="144">
        <f t="shared" si="123"/>
        <v>33.12067404255319</v>
      </c>
      <c r="EQ16" s="456">
        <f t="shared" si="88"/>
        <v>1.5461052542420968</v>
      </c>
      <c r="ER16" s="144">
        <f t="shared" si="124"/>
        <v>1546.1052542420969</v>
      </c>
      <c r="ES16" s="456">
        <f t="shared" si="125"/>
        <v>0.29506399999999999</v>
      </c>
      <c r="ET16" s="456"/>
      <c r="EV16" s="144">
        <f t="shared" si="126"/>
        <v>295.06399999999996</v>
      </c>
      <c r="EW16" s="456">
        <f t="shared" si="89"/>
        <v>2.2253594771241829E-2</v>
      </c>
      <c r="EX16" s="456">
        <f t="shared" si="90"/>
        <v>0.14915748573074775</v>
      </c>
      <c r="EY16" s="456">
        <f t="shared" si="91"/>
        <v>1.3515305266272959</v>
      </c>
      <c r="EZ16" s="456">
        <f t="shared" si="92"/>
        <v>1.5858265255078443</v>
      </c>
      <c r="FA16" s="456">
        <f t="shared" si="93"/>
        <v>0.56919148936170216</v>
      </c>
      <c r="FB16" s="144">
        <f t="shared" si="127"/>
        <v>2155.0180148695467</v>
      </c>
      <c r="FC16" s="150">
        <f t="shared" si="128"/>
        <v>3.9961872691116431</v>
      </c>
      <c r="FD16" s="5">
        <f t="shared" si="129"/>
        <v>13.2</v>
      </c>
      <c r="FE16" s="150">
        <f t="shared" si="130"/>
        <v>0.76761201732841522</v>
      </c>
      <c r="FF16" s="5">
        <f t="shared" si="131"/>
        <v>76.761201732841528</v>
      </c>
      <c r="FI16" s="59">
        <f t="shared" si="94"/>
        <v>-50</v>
      </c>
      <c r="FJ16">
        <f t="shared" si="95"/>
        <v>-50</v>
      </c>
      <c r="FL16">
        <f t="shared" si="96"/>
        <v>0.1452</v>
      </c>
    </row>
    <row r="17" spans="5:168">
      <c r="E17" s="147">
        <v>12</v>
      </c>
      <c r="F17" s="188">
        <f t="shared" si="97"/>
        <v>0.48</v>
      </c>
      <c r="G17" s="188"/>
      <c r="H17" s="188">
        <f t="shared" si="0"/>
        <v>14.399999999999999</v>
      </c>
      <c r="I17" s="465">
        <f t="shared" si="1"/>
        <v>33.921732178900704</v>
      </c>
      <c r="J17" s="149">
        <f t="shared" si="2"/>
        <v>30.44214421136116</v>
      </c>
      <c r="K17" s="149">
        <f t="shared" si="3"/>
        <v>64.442144211361153</v>
      </c>
      <c r="L17" s="379"/>
      <c r="M17" s="188">
        <f t="shared" si="4"/>
        <v>0.4729716962830906</v>
      </c>
      <c r="N17" s="149">
        <f t="shared" si="5"/>
        <v>244.83214690946005</v>
      </c>
      <c r="O17" s="149">
        <f t="shared" si="98"/>
        <v>14.399999999999999</v>
      </c>
      <c r="P17" s="188">
        <f t="shared" si="6"/>
        <v>8.1610715636486688</v>
      </c>
      <c r="Q17" s="188">
        <f t="shared" si="7"/>
        <v>30</v>
      </c>
      <c r="R17" s="188">
        <f t="shared" si="8"/>
        <v>8.1030400048057416</v>
      </c>
      <c r="S17" s="149">
        <f t="shared" si="9"/>
        <v>1036.853097263735</v>
      </c>
      <c r="T17" s="149">
        <f t="shared" si="10"/>
        <v>30</v>
      </c>
      <c r="U17" s="188">
        <f t="shared" si="99"/>
        <v>1.8215340489865974</v>
      </c>
      <c r="V17" s="188">
        <f t="shared" si="11"/>
        <v>0.25238127537490768</v>
      </c>
      <c r="W17" s="188">
        <f t="shared" si="12"/>
        <v>0.28122887700669652</v>
      </c>
      <c r="X17" s="172">
        <f t="shared" si="13"/>
        <v>350</v>
      </c>
      <c r="Y17" s="379">
        <f t="shared" si="14"/>
        <v>350</v>
      </c>
      <c r="AA17" s="188">
        <f t="shared" si="15"/>
        <v>9.7531558833286915</v>
      </c>
      <c r="AB17" s="150">
        <f t="shared" si="16"/>
        <v>1.5058017048134604</v>
      </c>
      <c r="AC17" s="150">
        <f t="shared" si="17"/>
        <v>2.5701057823748608</v>
      </c>
      <c r="AD17" s="150"/>
      <c r="AE17" s="150">
        <f t="shared" si="18"/>
        <v>0.93570440659754173</v>
      </c>
      <c r="AF17" s="314">
        <f t="shared" si="100"/>
        <v>169.2842300230075</v>
      </c>
      <c r="AG17" s="456">
        <f t="shared" si="19"/>
        <v>0.99241376457315034</v>
      </c>
      <c r="AI17" s="150">
        <f t="shared" si="20"/>
        <v>4.2149292085122898</v>
      </c>
      <c r="AJ17" s="150">
        <f t="shared" si="21"/>
        <v>6.0606060606060606</v>
      </c>
      <c r="AK17" s="150">
        <f t="shared" si="22"/>
        <v>1.0967338457274329</v>
      </c>
      <c r="AM17" s="314">
        <f t="shared" si="23"/>
        <v>480</v>
      </c>
      <c r="AN17" s="144">
        <f t="shared" si="24"/>
        <v>169.2842300230075</v>
      </c>
      <c r="AP17">
        <f t="shared" si="25"/>
        <v>480</v>
      </c>
      <c r="AQ17" s="144">
        <f t="shared" si="26"/>
        <v>169.2842300230075</v>
      </c>
      <c r="AR17" s="144"/>
      <c r="AS17" s="5">
        <f t="shared" si="101"/>
        <v>5.9072247891258955</v>
      </c>
      <c r="AT17" s="5">
        <f t="shared" si="27"/>
        <v>0.83972269855270065</v>
      </c>
      <c r="AU17" s="5">
        <f t="shared" si="102"/>
        <v>5.0675020905731945</v>
      </c>
      <c r="AV17" s="5">
        <f t="shared" si="28"/>
        <v>0.93570440659754173</v>
      </c>
      <c r="AW17" s="150">
        <f t="shared" si="103"/>
        <v>0.14215181045733596</v>
      </c>
      <c r="AX17" s="150">
        <f t="shared" si="29"/>
        <v>14.612229221453353</v>
      </c>
      <c r="AY17" s="150">
        <f t="shared" si="30"/>
        <v>2.5995399683111033</v>
      </c>
      <c r="AZ17" s="150">
        <f t="shared" si="104"/>
        <v>5.6210827298596149</v>
      </c>
      <c r="BA17" s="144">
        <f t="shared" si="31"/>
        <v>1.343556317684321</v>
      </c>
      <c r="BB17" s="5">
        <f t="shared" si="32"/>
        <v>1.2654048255659771</v>
      </c>
      <c r="BC17" s="5"/>
      <c r="BD17" s="150">
        <f t="shared" si="105"/>
        <v>1.3192637401706295</v>
      </c>
      <c r="BE17" s="150">
        <f t="shared" si="33"/>
        <v>3.2408628158495039</v>
      </c>
      <c r="BF17" s="150"/>
      <c r="BG17" s="456">
        <f t="shared" si="34"/>
        <v>2.0885481793547982E-2</v>
      </c>
      <c r="BH17" s="456">
        <f t="shared" si="35"/>
        <v>1.2066058026684658</v>
      </c>
      <c r="BI17" s="456">
        <f t="shared" si="36"/>
        <v>1.9467686452645863E-2</v>
      </c>
      <c r="BJ17" s="456">
        <f t="shared" si="37"/>
        <v>0.36380345697521677</v>
      </c>
      <c r="BK17">
        <f t="shared" si="38"/>
        <v>1.5264779480505317E-2</v>
      </c>
      <c r="BL17" s="144">
        <f t="shared" si="106"/>
        <v>34.732465933151175</v>
      </c>
      <c r="BM17" s="456">
        <f t="shared" si="39"/>
        <v>1.604897951829626</v>
      </c>
      <c r="BN17" s="144">
        <f t="shared" si="107"/>
        <v>1604.897951829626</v>
      </c>
      <c r="BO17" s="456">
        <f t="shared" si="108"/>
        <v>0.32188799999999995</v>
      </c>
      <c r="BP17" s="456"/>
      <c r="BR17" s="144">
        <f t="shared" si="109"/>
        <v>321.88799999999998</v>
      </c>
      <c r="BS17" s="456">
        <f t="shared" si="40"/>
        <v>2.4366395425805976E-2</v>
      </c>
      <c r="BT17" s="456">
        <f t="shared" si="41"/>
        <v>0.14704468507618365</v>
      </c>
      <c r="BU17" s="456">
        <f t="shared" si="42"/>
        <v>1.6857819524302999</v>
      </c>
      <c r="BV17" s="456">
        <f t="shared" si="43"/>
        <v>1.9247252307708369</v>
      </c>
      <c r="BW17" s="456">
        <f t="shared" si="44"/>
        <v>0.62179698814695128</v>
      </c>
      <c r="BX17" s="144">
        <f t="shared" si="110"/>
        <v>2546.5222189177885</v>
      </c>
      <c r="BY17" s="150">
        <f t="shared" si="45"/>
        <v>4.5080406366805654</v>
      </c>
      <c r="BZ17" s="5">
        <f t="shared" si="111"/>
        <v>14.399999999999999</v>
      </c>
      <c r="CA17" s="150">
        <f t="shared" si="112"/>
        <v>0.76158076221101334</v>
      </c>
      <c r="CB17" s="5">
        <f t="shared" si="113"/>
        <v>76.158076221101339</v>
      </c>
      <c r="CE17" s="59">
        <f t="shared" si="46"/>
        <v>-50</v>
      </c>
      <c r="CF17">
        <f t="shared" si="47"/>
        <v>-50</v>
      </c>
      <c r="CG17" s="150">
        <f t="shared" si="48"/>
        <v>0.15945250327291824</v>
      </c>
      <c r="CI17" s="147">
        <v>12</v>
      </c>
      <c r="CJ17" s="188">
        <f t="shared" si="114"/>
        <v>0.48</v>
      </c>
      <c r="CK17" s="188"/>
      <c r="CL17" s="188">
        <f t="shared" si="49"/>
        <v>14.399999999999999</v>
      </c>
      <c r="CM17" s="465">
        <f t="shared" si="50"/>
        <v>34</v>
      </c>
      <c r="CN17" s="149">
        <f t="shared" si="51"/>
        <v>30.4</v>
      </c>
      <c r="CO17" s="379">
        <f t="shared" si="52"/>
        <v>64.400000000000006</v>
      </c>
      <c r="CP17" s="379"/>
      <c r="CQ17" s="188">
        <f t="shared" si="53"/>
        <v>0.47204968944099374</v>
      </c>
      <c r="CR17" s="149">
        <f t="shared" si="54"/>
        <v>244.918674788055</v>
      </c>
      <c r="CS17" s="149">
        <f t="shared" si="115"/>
        <v>14.399999999999999</v>
      </c>
      <c r="CT17" s="188">
        <f t="shared" si="55"/>
        <v>8.1639558262685004</v>
      </c>
      <c r="CU17" s="188">
        <f t="shared" si="56"/>
        <v>30</v>
      </c>
      <c r="CV17" s="188">
        <f t="shared" si="57"/>
        <v>8.1059037580776696</v>
      </c>
      <c r="CW17" s="149">
        <f t="shared" si="58"/>
        <v>1039.2454046155908</v>
      </c>
      <c r="CX17" s="149">
        <f t="shared" si="59"/>
        <v>30</v>
      </c>
      <c r="CY17" s="188">
        <f t="shared" si="60"/>
        <v>1.7944272445820433</v>
      </c>
      <c r="CZ17" s="188">
        <f t="shared" si="61"/>
        <v>0.24805317792751774</v>
      </c>
      <c r="DA17" s="188">
        <f t="shared" si="62"/>
        <v>0.27742789636630277</v>
      </c>
      <c r="DB17" s="172">
        <f t="shared" si="63"/>
        <v>350</v>
      </c>
      <c r="DC17" s="379">
        <f t="shared" si="116"/>
        <v>350</v>
      </c>
      <c r="DE17" s="188">
        <f t="shared" si="64"/>
        <v>9.7566501161056465</v>
      </c>
      <c r="DF17" s="150">
        <f t="shared" si="65"/>
        <v>1.5084294587400178</v>
      </c>
      <c r="DG17" s="150">
        <f t="shared" si="66"/>
        <v>2.5755132294067704</v>
      </c>
      <c r="DH17" s="150"/>
      <c r="DI17" s="150">
        <f t="shared" si="67"/>
        <v>0.93700159489633172</v>
      </c>
      <c r="DJ17" s="314">
        <f t="shared" si="117"/>
        <v>169.04987234042554</v>
      </c>
      <c r="DK17" s="456">
        <f t="shared" si="68"/>
        <v>0.99378957034459414</v>
      </c>
      <c r="DM17" s="150">
        <f t="shared" si="69"/>
        <v>4.212010616635534</v>
      </c>
      <c r="DN17" s="150">
        <f t="shared" si="70"/>
        <v>6.0606060606060606</v>
      </c>
      <c r="DO17" s="150">
        <f t="shared" si="71"/>
        <v>1.0965999270516718</v>
      </c>
      <c r="DQ17" s="314">
        <f t="shared" si="72"/>
        <v>480</v>
      </c>
      <c r="DR17" s="144">
        <f t="shared" si="73"/>
        <v>169.04987234042554</v>
      </c>
      <c r="DT17">
        <f t="shared" si="74"/>
        <v>480</v>
      </c>
      <c r="DU17" s="144">
        <f t="shared" si="75"/>
        <v>169.04987234042554</v>
      </c>
      <c r="DV17" s="144"/>
      <c r="DW17" s="5">
        <f t="shared" si="118"/>
        <v>5.9154141091940131</v>
      </c>
      <c r="DX17" s="5">
        <f t="shared" si="76"/>
        <v>0.83778966131907295</v>
      </c>
      <c r="DY17" s="5">
        <f t="shared" si="119"/>
        <v>5.0776244478749399</v>
      </c>
      <c r="DZ17" s="5">
        <f t="shared" si="77"/>
        <v>0.93700159489633172</v>
      </c>
      <c r="EA17" s="150">
        <f t="shared" si="120"/>
        <v>0.14162823529411764</v>
      </c>
      <c r="EB17" s="150">
        <f t="shared" si="78"/>
        <v>14.591999999999997</v>
      </c>
      <c r="EC17" s="150">
        <f t="shared" si="79"/>
        <v>2.6011265597147952</v>
      </c>
      <c r="ED17" s="150">
        <f t="shared" si="121"/>
        <v>5.609876976382095</v>
      </c>
      <c r="EE17" s="144">
        <f t="shared" si="80"/>
        <v>1.3404634581105166</v>
      </c>
      <c r="EF17" s="5">
        <f t="shared" si="81"/>
        <v>1.2650137032768014</v>
      </c>
      <c r="EG17" s="5"/>
      <c r="EH17" s="150">
        <f t="shared" si="122"/>
        <v>1.3168319352943456</v>
      </c>
      <c r="EI17" s="150">
        <f t="shared" si="82"/>
        <v>3.2418516717261943</v>
      </c>
      <c r="EJ17" s="150"/>
      <c r="EK17" s="456">
        <f t="shared" si="83"/>
        <v>2.0808556149732618E-2</v>
      </c>
      <c r="EL17" s="456">
        <f t="shared" si="84"/>
        <v>1.2536328714893619</v>
      </c>
      <c r="EM17" s="456">
        <f t="shared" si="85"/>
        <v>1.9440735319148937E-2</v>
      </c>
      <c r="EN17" s="456">
        <f t="shared" si="86"/>
        <v>0.36282477614951503</v>
      </c>
      <c r="EO17">
        <f t="shared" si="87"/>
        <v>1.5299999999999999E-2</v>
      </c>
      <c r="EP17" s="144">
        <f t="shared" si="123"/>
        <v>34.740735319148939</v>
      </c>
      <c r="EQ17" s="456">
        <f t="shared" si="88"/>
        <v>1.6859608300262356</v>
      </c>
      <c r="ER17" s="144">
        <f t="shared" si="124"/>
        <v>1685.9608300262357</v>
      </c>
      <c r="ES17" s="456">
        <f t="shared" si="125"/>
        <v>0.32188799999999995</v>
      </c>
      <c r="ET17" s="456"/>
      <c r="EV17" s="144">
        <f t="shared" si="126"/>
        <v>321.88799999999998</v>
      </c>
      <c r="EW17" s="456">
        <f t="shared" si="89"/>
        <v>2.4276648841354723E-2</v>
      </c>
      <c r="EX17" s="456">
        <f t="shared" si="90"/>
        <v>0.14713443166063489</v>
      </c>
      <c r="EY17" s="456">
        <f t="shared" si="91"/>
        <v>1.6799535028765462</v>
      </c>
      <c r="EZ17" s="456">
        <f t="shared" si="92"/>
        <v>1.9188157451113144</v>
      </c>
      <c r="FA17" s="456">
        <f t="shared" si="93"/>
        <v>0.62093617021276593</v>
      </c>
      <c r="FB17" s="144">
        <f t="shared" si="127"/>
        <v>2539.7519153240805</v>
      </c>
      <c r="FC17" s="150">
        <f t="shared" si="128"/>
        <v>4.5476007453503158</v>
      </c>
      <c r="FD17" s="5">
        <f t="shared" si="129"/>
        <v>14.399999999999999</v>
      </c>
      <c r="FE17" s="150">
        <f t="shared" si="130"/>
        <v>0.75999068132854319</v>
      </c>
      <c r="FF17" s="5">
        <f t="shared" si="131"/>
        <v>75.999068132854319</v>
      </c>
      <c r="FI17" s="59">
        <f t="shared" si="94"/>
        <v>-50</v>
      </c>
      <c r="FJ17">
        <f t="shared" si="95"/>
        <v>-50</v>
      </c>
      <c r="FL17">
        <f t="shared" si="96"/>
        <v>0.15840000000000001</v>
      </c>
    </row>
    <row r="18" spans="5:168">
      <c r="E18" s="147">
        <v>13</v>
      </c>
      <c r="F18" s="188">
        <f t="shared" si="97"/>
        <v>0.52</v>
      </c>
      <c r="G18" s="188"/>
      <c r="H18" s="188">
        <f t="shared" si="0"/>
        <v>15.600000000000001</v>
      </c>
      <c r="I18" s="465">
        <f t="shared" si="1"/>
        <v>33.921732178900704</v>
      </c>
      <c r="J18" s="149">
        <f t="shared" si="2"/>
        <v>30.44214421136116</v>
      </c>
      <c r="K18" s="149">
        <f t="shared" si="3"/>
        <v>64.442144211361153</v>
      </c>
      <c r="L18" s="379"/>
      <c r="M18" s="188">
        <f t="shared" si="4"/>
        <v>0.4729716962830906</v>
      </c>
      <c r="N18" s="149">
        <f t="shared" si="5"/>
        <v>244.83214690946005</v>
      </c>
      <c r="O18" s="149">
        <f t="shared" si="98"/>
        <v>15.600000000000001</v>
      </c>
      <c r="P18" s="188">
        <f t="shared" si="6"/>
        <v>8.1610715636486688</v>
      </c>
      <c r="Q18" s="188">
        <f t="shared" si="7"/>
        <v>30</v>
      </c>
      <c r="R18" s="188">
        <f t="shared" si="8"/>
        <v>8.1030400048057416</v>
      </c>
      <c r="S18" s="149">
        <f t="shared" si="9"/>
        <v>954.48793730205455</v>
      </c>
      <c r="T18" s="149">
        <f t="shared" si="10"/>
        <v>30</v>
      </c>
      <c r="U18" s="188">
        <f t="shared" si="99"/>
        <v>1.9733285530688138</v>
      </c>
      <c r="V18" s="188">
        <f t="shared" si="11"/>
        <v>0.27341304832281671</v>
      </c>
      <c r="W18" s="188">
        <f t="shared" si="12"/>
        <v>0.30466461675725459</v>
      </c>
      <c r="X18" s="172">
        <f t="shared" si="13"/>
        <v>350</v>
      </c>
      <c r="Y18" s="379">
        <f t="shared" si="14"/>
        <v>350</v>
      </c>
      <c r="AA18" s="188">
        <f t="shared" si="15"/>
        <v>9.7531558833286915</v>
      </c>
      <c r="AB18" s="150">
        <f t="shared" si="16"/>
        <v>1.5058017048134604</v>
      </c>
      <c r="AC18" s="150">
        <f t="shared" si="17"/>
        <v>2.5701057823748608</v>
      </c>
      <c r="AD18" s="150"/>
      <c r="AE18" s="150">
        <f t="shared" si="18"/>
        <v>0.93570440659754173</v>
      </c>
      <c r="AF18" s="314">
        <f t="shared" si="100"/>
        <v>183.3912491915915</v>
      </c>
      <c r="AG18" s="456">
        <f t="shared" si="19"/>
        <v>0.99241376457315034</v>
      </c>
      <c r="AI18" s="150">
        <f t="shared" si="20"/>
        <v>4.3870374117583664</v>
      </c>
      <c r="AJ18" s="150">
        <f t="shared" si="21"/>
        <v>6.0606060606060606</v>
      </c>
      <c r="AK18" s="150">
        <f t="shared" si="22"/>
        <v>1.1047949995380524</v>
      </c>
      <c r="AM18" s="314">
        <f t="shared" si="23"/>
        <v>520</v>
      </c>
      <c r="AN18" s="144">
        <f t="shared" si="24"/>
        <v>183.3912491915915</v>
      </c>
      <c r="AP18">
        <f t="shared" si="25"/>
        <v>520</v>
      </c>
      <c r="AQ18" s="144">
        <f t="shared" si="26"/>
        <v>183.3912491915915</v>
      </c>
      <c r="AR18" s="144"/>
      <c r="AS18" s="5">
        <f t="shared" si="101"/>
        <v>5.4528228822700564</v>
      </c>
      <c r="AT18" s="5">
        <f t="shared" si="27"/>
        <v>0.83972269855270065</v>
      </c>
      <c r="AU18" s="5">
        <f t="shared" si="102"/>
        <v>4.6131001837173553</v>
      </c>
      <c r="AV18" s="5">
        <f t="shared" si="28"/>
        <v>0.93570440659754173</v>
      </c>
      <c r="AW18" s="150">
        <f t="shared" si="103"/>
        <v>0.15399779466211397</v>
      </c>
      <c r="AX18" s="150">
        <f t="shared" si="29"/>
        <v>15.829914989907802</v>
      </c>
      <c r="AY18" s="150">
        <f t="shared" si="30"/>
        <v>2.5636430464784428</v>
      </c>
      <c r="AZ18" s="150">
        <f t="shared" si="104"/>
        <v>6.1747734387798721</v>
      </c>
      <c r="BA18" s="144">
        <f t="shared" si="31"/>
        <v>1.4555193441580143</v>
      </c>
      <c r="BB18" s="5">
        <f t="shared" si="32"/>
        <v>1.2479309114643504</v>
      </c>
      <c r="BC18" s="5"/>
      <c r="BD18" s="150">
        <f t="shared" si="105"/>
        <v>1.3731332361208612</v>
      </c>
      <c r="BE18" s="150">
        <f t="shared" si="33"/>
        <v>3.2184085699527372</v>
      </c>
      <c r="BF18" s="150"/>
      <c r="BG18" s="456">
        <f t="shared" si="34"/>
        <v>2.2625938609676988E-2</v>
      </c>
      <c r="BH18" s="456">
        <f t="shared" si="35"/>
        <v>1.3071562862241717</v>
      </c>
      <c r="BI18" s="456">
        <f t="shared" si="36"/>
        <v>2.1089993657033027E-2</v>
      </c>
      <c r="BJ18" s="456">
        <f t="shared" si="37"/>
        <v>0.39412041172315165</v>
      </c>
      <c r="BK18">
        <f t="shared" si="38"/>
        <v>1.5264779480505317E-2</v>
      </c>
      <c r="BL18" s="144">
        <f t="shared" si="106"/>
        <v>36.354773137538345</v>
      </c>
      <c r="BM18" s="456">
        <f t="shared" si="39"/>
        <v>1.7393623178954791</v>
      </c>
      <c r="BN18" s="144">
        <f t="shared" si="107"/>
        <v>1739.3623178954792</v>
      </c>
      <c r="BO18" s="456">
        <f t="shared" si="108"/>
        <v>0.34871199999999997</v>
      </c>
      <c r="BP18" s="456"/>
      <c r="BR18" s="144">
        <f t="shared" si="109"/>
        <v>348.71199999999999</v>
      </c>
      <c r="BS18" s="456">
        <f t="shared" si="40"/>
        <v>2.6396928377956486E-2</v>
      </c>
      <c r="BT18" s="456">
        <f t="shared" si="41"/>
        <v>0.14501415212403312</v>
      </c>
      <c r="BU18" s="456">
        <f t="shared" si="42"/>
        <v>2.0592385778404054</v>
      </c>
      <c r="BV18" s="456">
        <f t="shared" si="43"/>
        <v>2.3033742268650625</v>
      </c>
      <c r="BW18" s="456">
        <f t="shared" si="44"/>
        <v>0.6736134038258641</v>
      </c>
      <c r="BX18" s="144">
        <f t="shared" si="110"/>
        <v>2976.9876306909264</v>
      </c>
      <c r="BY18" s="150">
        <f t="shared" si="45"/>
        <v>5.1014167217239432</v>
      </c>
      <c r="BZ18" s="5">
        <f t="shared" si="111"/>
        <v>15.600000000000001</v>
      </c>
      <c r="CA18" s="150">
        <f t="shared" si="112"/>
        <v>0.75357161346495927</v>
      </c>
      <c r="CB18" s="5">
        <f t="shared" si="113"/>
        <v>75.357161346495928</v>
      </c>
      <c r="CE18" s="59">
        <f t="shared" si="46"/>
        <v>-50</v>
      </c>
      <c r="CF18">
        <f t="shared" si="47"/>
        <v>-50</v>
      </c>
      <c r="CG18" s="150">
        <f t="shared" si="48"/>
        <v>0.17274021187899477</v>
      </c>
      <c r="CI18" s="147">
        <v>13</v>
      </c>
      <c r="CJ18" s="188">
        <f t="shared" si="114"/>
        <v>0.52</v>
      </c>
      <c r="CK18" s="188"/>
      <c r="CL18" s="188">
        <f t="shared" si="49"/>
        <v>15.600000000000001</v>
      </c>
      <c r="CM18" s="465">
        <f t="shared" si="50"/>
        <v>34</v>
      </c>
      <c r="CN18" s="149">
        <f t="shared" si="51"/>
        <v>30.4</v>
      </c>
      <c r="CO18" s="379">
        <f t="shared" si="52"/>
        <v>64.400000000000006</v>
      </c>
      <c r="CP18" s="379"/>
      <c r="CQ18" s="188">
        <f t="shared" si="53"/>
        <v>0.47204968944099374</v>
      </c>
      <c r="CR18" s="149">
        <f t="shared" si="54"/>
        <v>244.918674788055</v>
      </c>
      <c r="CS18" s="149">
        <f t="shared" si="115"/>
        <v>15.600000000000001</v>
      </c>
      <c r="CT18" s="188">
        <f t="shared" si="55"/>
        <v>8.1639558262685004</v>
      </c>
      <c r="CU18" s="188">
        <f t="shared" si="56"/>
        <v>30</v>
      </c>
      <c r="CV18" s="188">
        <f t="shared" si="57"/>
        <v>8.1059037580776696</v>
      </c>
      <c r="CW18" s="149">
        <f t="shared" si="58"/>
        <v>956.69020041295596</v>
      </c>
      <c r="CX18" s="149">
        <f t="shared" si="59"/>
        <v>30</v>
      </c>
      <c r="CY18" s="188">
        <f t="shared" si="60"/>
        <v>1.943962848297214</v>
      </c>
      <c r="CZ18" s="188">
        <f t="shared" si="61"/>
        <v>0.26872427608814431</v>
      </c>
      <c r="DA18" s="188">
        <f t="shared" si="62"/>
        <v>0.30054688773016136</v>
      </c>
      <c r="DB18" s="172">
        <f t="shared" si="63"/>
        <v>350</v>
      </c>
      <c r="DC18" s="379">
        <f t="shared" si="116"/>
        <v>350</v>
      </c>
      <c r="DE18" s="188">
        <f t="shared" si="64"/>
        <v>9.7566501161056465</v>
      </c>
      <c r="DF18" s="150">
        <f t="shared" si="65"/>
        <v>1.5084294587400178</v>
      </c>
      <c r="DG18" s="150">
        <f t="shared" si="66"/>
        <v>2.5755132294067704</v>
      </c>
      <c r="DH18" s="150"/>
      <c r="DI18" s="150">
        <f t="shared" si="67"/>
        <v>0.93700159489633172</v>
      </c>
      <c r="DJ18" s="314">
        <f t="shared" si="117"/>
        <v>183.13736170212766</v>
      </c>
      <c r="DK18" s="456">
        <f t="shared" si="68"/>
        <v>0.99378957034459414</v>
      </c>
      <c r="DM18" s="150">
        <f t="shared" si="69"/>
        <v>4.3839996450202863</v>
      </c>
      <c r="DN18" s="150">
        <f t="shared" si="70"/>
        <v>6.0606060606060606</v>
      </c>
      <c r="DO18" s="150">
        <f t="shared" si="71"/>
        <v>1.1046499209726444</v>
      </c>
      <c r="DQ18" s="314">
        <f t="shared" si="72"/>
        <v>520</v>
      </c>
      <c r="DR18" s="144">
        <f t="shared" si="73"/>
        <v>183.13736170212766</v>
      </c>
      <c r="DT18">
        <f t="shared" si="74"/>
        <v>520</v>
      </c>
      <c r="DU18" s="144">
        <f t="shared" si="75"/>
        <v>183.13736170212766</v>
      </c>
      <c r="DV18" s="144"/>
      <c r="DW18" s="5">
        <f t="shared" si="118"/>
        <v>5.4603822546406278</v>
      </c>
      <c r="DX18" s="5">
        <f t="shared" si="76"/>
        <v>0.83778966131907295</v>
      </c>
      <c r="DY18" s="5">
        <f t="shared" si="119"/>
        <v>4.6225925933215546</v>
      </c>
      <c r="DZ18" s="5">
        <f t="shared" si="77"/>
        <v>0.93700159489633172</v>
      </c>
      <c r="EA18" s="150">
        <f t="shared" si="120"/>
        <v>0.1534305882352941</v>
      </c>
      <c r="EB18" s="150">
        <f t="shared" si="78"/>
        <v>15.808</v>
      </c>
      <c r="EC18" s="150">
        <f t="shared" si="79"/>
        <v>2.5653618538324423</v>
      </c>
      <c r="ED18" s="150">
        <f t="shared" si="121"/>
        <v>6.1620936541112634</v>
      </c>
      <c r="EE18" s="144">
        <f t="shared" si="80"/>
        <v>1.452168746286393</v>
      </c>
      <c r="EF18" s="5">
        <f t="shared" si="81"/>
        <v>1.2476201462943988</v>
      </c>
      <c r="EG18" s="5"/>
      <c r="EH18" s="150">
        <f t="shared" si="122"/>
        <v>1.3706021333567127</v>
      </c>
      <c r="EI18" s="150">
        <f t="shared" si="82"/>
        <v>3.2194872882685837</v>
      </c>
      <c r="EJ18" s="150"/>
      <c r="EK18" s="456">
        <f t="shared" si="83"/>
        <v>2.2542602495543664E-2</v>
      </c>
      <c r="EL18" s="456">
        <f t="shared" si="84"/>
        <v>1.3581022774468086</v>
      </c>
      <c r="EM18" s="456">
        <f t="shared" si="85"/>
        <v>2.1060796595744686E-2</v>
      </c>
      <c r="EN18" s="456">
        <f t="shared" si="86"/>
        <v>0.39306017416197458</v>
      </c>
      <c r="EO18">
        <f t="shared" si="87"/>
        <v>1.5299999999999999E-2</v>
      </c>
      <c r="EP18" s="144">
        <f t="shared" si="123"/>
        <v>36.360796595744681</v>
      </c>
      <c r="EQ18" s="456">
        <f t="shared" si="88"/>
        <v>1.8259322700202805</v>
      </c>
      <c r="ER18" s="144">
        <f t="shared" si="124"/>
        <v>1825.9322700202804</v>
      </c>
      <c r="ES18" s="456">
        <f t="shared" si="125"/>
        <v>0.34871199999999997</v>
      </c>
      <c r="ET18" s="456"/>
      <c r="EV18" s="144">
        <f t="shared" si="126"/>
        <v>348.71199999999999</v>
      </c>
      <c r="EW18" s="456">
        <f t="shared" si="89"/>
        <v>2.6299702911467607E-2</v>
      </c>
      <c r="EX18" s="456">
        <f t="shared" si="90"/>
        <v>0.14511137759052198</v>
      </c>
      <c r="EY18" s="456">
        <f t="shared" si="91"/>
        <v>2.0521189333615988</v>
      </c>
      <c r="EZ18" s="456">
        <f t="shared" si="92"/>
        <v>2.2961555940948242</v>
      </c>
      <c r="FA18" s="456">
        <f t="shared" si="93"/>
        <v>0.6726808510638298</v>
      </c>
      <c r="FB18" s="144">
        <f t="shared" si="127"/>
        <v>2968.836445158654</v>
      </c>
      <c r="FC18" s="150">
        <f t="shared" si="128"/>
        <v>5.1434807151789341</v>
      </c>
      <c r="FD18" s="5">
        <f t="shared" si="129"/>
        <v>15.600000000000001</v>
      </c>
      <c r="FE18" s="150">
        <f t="shared" si="130"/>
        <v>0.75204350775059559</v>
      </c>
      <c r="FF18" s="5">
        <f t="shared" si="131"/>
        <v>75.204350775059552</v>
      </c>
      <c r="FI18" s="59">
        <f t="shared" si="94"/>
        <v>-50</v>
      </c>
      <c r="FJ18">
        <f t="shared" si="95"/>
        <v>-50</v>
      </c>
      <c r="FL18">
        <f t="shared" si="96"/>
        <v>0.1716</v>
      </c>
    </row>
    <row r="19" spans="5:168">
      <c r="E19" s="147">
        <v>14</v>
      </c>
      <c r="F19" s="188">
        <f t="shared" si="97"/>
        <v>0.56000000000000005</v>
      </c>
      <c r="G19" s="188"/>
      <c r="H19" s="188">
        <f t="shared" si="0"/>
        <v>16.8</v>
      </c>
      <c r="I19" s="465">
        <f t="shared" si="1"/>
        <v>33.921732178900704</v>
      </c>
      <c r="J19" s="149">
        <f t="shared" si="2"/>
        <v>30.44214421136116</v>
      </c>
      <c r="K19" s="149">
        <f t="shared" si="3"/>
        <v>64.442144211361153</v>
      </c>
      <c r="L19" s="379"/>
      <c r="M19" s="188">
        <f t="shared" si="4"/>
        <v>0.4729716962830906</v>
      </c>
      <c r="N19" s="149">
        <f t="shared" si="5"/>
        <v>244.83214690946005</v>
      </c>
      <c r="O19" s="149">
        <f t="shared" si="98"/>
        <v>16.8</v>
      </c>
      <c r="P19" s="188">
        <f t="shared" si="6"/>
        <v>8.1610715636486688</v>
      </c>
      <c r="Q19" s="188">
        <f t="shared" si="7"/>
        <v>30</v>
      </c>
      <c r="R19" s="188">
        <f t="shared" si="8"/>
        <v>8.1030400048057416</v>
      </c>
      <c r="S19" s="149">
        <f t="shared" si="9"/>
        <v>883.88939605910616</v>
      </c>
      <c r="T19" s="149">
        <f t="shared" si="10"/>
        <v>30</v>
      </c>
      <c r="U19" s="188">
        <f t="shared" si="99"/>
        <v>2.1251230571510304</v>
      </c>
      <c r="V19" s="188">
        <f t="shared" si="11"/>
        <v>0.29444482127072569</v>
      </c>
      <c r="W19" s="188">
        <f t="shared" si="12"/>
        <v>0.32810035650781266</v>
      </c>
      <c r="X19" s="172">
        <f t="shared" si="13"/>
        <v>350</v>
      </c>
      <c r="Y19" s="379">
        <f t="shared" si="14"/>
        <v>350</v>
      </c>
      <c r="AA19" s="188">
        <f t="shared" si="15"/>
        <v>9.7531558833286915</v>
      </c>
      <c r="AB19" s="150">
        <f t="shared" si="16"/>
        <v>1.5058017048134604</v>
      </c>
      <c r="AC19" s="150">
        <f t="shared" si="17"/>
        <v>2.5701057823748608</v>
      </c>
      <c r="AD19" s="150"/>
      <c r="AE19" s="150">
        <f t="shared" si="18"/>
        <v>0.93570440659754173</v>
      </c>
      <c r="AF19" s="314">
        <f t="shared" si="100"/>
        <v>197.49826836017544</v>
      </c>
      <c r="AG19" s="456">
        <f t="shared" si="19"/>
        <v>0.99241376457315034</v>
      </c>
      <c r="AI19" s="150">
        <f t="shared" si="20"/>
        <v>4.5526438770856048</v>
      </c>
      <c r="AJ19" s="150">
        <f t="shared" si="21"/>
        <v>6.0606060606060606</v>
      </c>
      <c r="AK19" s="150">
        <f t="shared" si="22"/>
        <v>1.1128561533486716</v>
      </c>
      <c r="AM19" s="314">
        <f t="shared" si="23"/>
        <v>560</v>
      </c>
      <c r="AN19" s="144">
        <f t="shared" si="24"/>
        <v>197.49826836017544</v>
      </c>
      <c r="AP19">
        <f t="shared" si="25"/>
        <v>560</v>
      </c>
      <c r="AQ19" s="144">
        <f t="shared" si="26"/>
        <v>197.49826836017544</v>
      </c>
      <c r="AR19" s="144"/>
      <c r="AS19" s="5">
        <f t="shared" si="101"/>
        <v>5.0633355335364811</v>
      </c>
      <c r="AT19" s="5">
        <f t="shared" si="27"/>
        <v>0.83972269855270065</v>
      </c>
      <c r="AU19" s="5">
        <f t="shared" si="102"/>
        <v>4.2236128349837809</v>
      </c>
      <c r="AV19" s="5">
        <f t="shared" si="28"/>
        <v>0.93570440659754173</v>
      </c>
      <c r="AW19" s="150">
        <f t="shared" si="103"/>
        <v>0.16584377886689197</v>
      </c>
      <c r="AX19" s="150">
        <f t="shared" si="29"/>
        <v>17.047600758362247</v>
      </c>
      <c r="AY19" s="150">
        <f t="shared" si="30"/>
        <v>2.5277461246457817</v>
      </c>
      <c r="AZ19" s="150">
        <f t="shared" si="104"/>
        <v>6.7441902460640355</v>
      </c>
      <c r="BA19" s="144">
        <f t="shared" si="31"/>
        <v>1.5674823706317078</v>
      </c>
      <c r="BB19" s="5">
        <f t="shared" si="32"/>
        <v>1.2304569973627242</v>
      </c>
      <c r="BC19" s="5"/>
      <c r="BD19" s="150">
        <f t="shared" si="105"/>
        <v>1.4249677021429288</v>
      </c>
      <c r="BE19" s="150">
        <f t="shared" si="33"/>
        <v>3.1957965603483696</v>
      </c>
      <c r="BF19" s="150"/>
      <c r="BG19" s="456">
        <f t="shared" si="34"/>
        <v>2.4366395425805983E-2</v>
      </c>
      <c r="BH19" s="456">
        <f t="shared" si="35"/>
        <v>1.4077067697798771</v>
      </c>
      <c r="BI19" s="456">
        <f t="shared" si="36"/>
        <v>2.2712300861420176E-2</v>
      </c>
      <c r="BJ19" s="456">
        <f t="shared" si="37"/>
        <v>0.42443736647108632</v>
      </c>
      <c r="BK19">
        <f t="shared" si="38"/>
        <v>1.5264779480505317E-2</v>
      </c>
      <c r="BL19" s="144">
        <f t="shared" si="106"/>
        <v>37.977080341925493</v>
      </c>
      <c r="BM19" s="456">
        <f t="shared" si="39"/>
        <v>1.873938542342001</v>
      </c>
      <c r="BN19" s="144">
        <f t="shared" si="107"/>
        <v>1873.938542342001</v>
      </c>
      <c r="BO19" s="456">
        <f t="shared" si="108"/>
        <v>0.37553599999999998</v>
      </c>
      <c r="BP19" s="456"/>
      <c r="BR19" s="144">
        <f t="shared" si="109"/>
        <v>375.536</v>
      </c>
      <c r="BS19" s="456">
        <f t="shared" si="40"/>
        <v>2.8427461330106978E-2</v>
      </c>
      <c r="BT19" s="456">
        <f t="shared" si="41"/>
        <v>0.14298361917188257</v>
      </c>
      <c r="BU19" s="456">
        <f t="shared" si="42"/>
        <v>2.4783827300003209</v>
      </c>
      <c r="BV19" s="456">
        <f t="shared" si="43"/>
        <v>2.728345968254934</v>
      </c>
      <c r="BW19" s="456">
        <f t="shared" si="44"/>
        <v>0.72542981950477659</v>
      </c>
      <c r="BX19" s="144">
        <f t="shared" si="110"/>
        <v>3453.7757877597105</v>
      </c>
      <c r="BY19" s="150">
        <f t="shared" si="45"/>
        <v>5.7412274104436376</v>
      </c>
      <c r="BZ19" s="5">
        <f t="shared" si="111"/>
        <v>16.8</v>
      </c>
      <c r="CA19" s="150">
        <f t="shared" si="112"/>
        <v>0.74530102971306456</v>
      </c>
      <c r="CB19" s="5">
        <f t="shared" si="113"/>
        <v>74.530102971306462</v>
      </c>
      <c r="CE19" s="59">
        <f t="shared" si="46"/>
        <v>-50</v>
      </c>
      <c r="CF19">
        <f t="shared" si="47"/>
        <v>-50</v>
      </c>
      <c r="CG19" s="150">
        <f t="shared" si="48"/>
        <v>0.1860279204850713</v>
      </c>
      <c r="CI19" s="147">
        <v>14</v>
      </c>
      <c r="CJ19" s="188">
        <f t="shared" si="114"/>
        <v>0.56000000000000005</v>
      </c>
      <c r="CK19" s="188"/>
      <c r="CL19" s="188">
        <f t="shared" si="49"/>
        <v>16.8</v>
      </c>
      <c r="CM19" s="465">
        <f t="shared" si="50"/>
        <v>34</v>
      </c>
      <c r="CN19" s="149">
        <f t="shared" si="51"/>
        <v>30.4</v>
      </c>
      <c r="CO19" s="379">
        <f t="shared" si="52"/>
        <v>64.400000000000006</v>
      </c>
      <c r="CP19" s="379"/>
      <c r="CQ19" s="188">
        <f t="shared" si="53"/>
        <v>0.47204968944099374</v>
      </c>
      <c r="CR19" s="149">
        <f t="shared" si="54"/>
        <v>244.918674788055</v>
      </c>
      <c r="CS19" s="149">
        <f t="shared" si="115"/>
        <v>16.8</v>
      </c>
      <c r="CT19" s="188">
        <f t="shared" si="55"/>
        <v>8.1639558262685004</v>
      </c>
      <c r="CU19" s="188">
        <f t="shared" si="56"/>
        <v>30</v>
      </c>
      <c r="CV19" s="188">
        <f t="shared" si="57"/>
        <v>8.1059037580776696</v>
      </c>
      <c r="CW19" s="149">
        <f t="shared" si="58"/>
        <v>885.92876410685096</v>
      </c>
      <c r="CX19" s="149">
        <f t="shared" si="59"/>
        <v>30</v>
      </c>
      <c r="CY19" s="188">
        <f t="shared" si="60"/>
        <v>2.0934984520123843</v>
      </c>
      <c r="CZ19" s="188">
        <f t="shared" si="61"/>
        <v>0.28939537424877076</v>
      </c>
      <c r="DA19" s="188">
        <f t="shared" si="62"/>
        <v>0.32366587909401995</v>
      </c>
      <c r="DB19" s="172">
        <f t="shared" si="63"/>
        <v>350</v>
      </c>
      <c r="DC19" s="379">
        <f t="shared" si="116"/>
        <v>350</v>
      </c>
      <c r="DE19" s="188">
        <f t="shared" si="64"/>
        <v>9.7566501161056465</v>
      </c>
      <c r="DF19" s="150">
        <f t="shared" si="65"/>
        <v>1.5084294587400178</v>
      </c>
      <c r="DG19" s="150">
        <f t="shared" si="66"/>
        <v>2.5755132294067704</v>
      </c>
      <c r="DH19" s="150"/>
      <c r="DI19" s="150">
        <f t="shared" si="67"/>
        <v>0.93700159489633172</v>
      </c>
      <c r="DJ19" s="314">
        <f t="shared" si="117"/>
        <v>197.22485106382982</v>
      </c>
      <c r="DK19" s="456">
        <f t="shared" si="68"/>
        <v>0.99378957034459414</v>
      </c>
      <c r="DM19" s="150">
        <f t="shared" si="69"/>
        <v>4.5494914375593165</v>
      </c>
      <c r="DN19" s="150">
        <f t="shared" si="70"/>
        <v>6.0606060606060606</v>
      </c>
      <c r="DO19" s="150">
        <f t="shared" si="71"/>
        <v>1.112699914893617</v>
      </c>
      <c r="DQ19" s="314">
        <f t="shared" si="72"/>
        <v>560</v>
      </c>
      <c r="DR19" s="144">
        <f t="shared" si="73"/>
        <v>197.22485106382982</v>
      </c>
      <c r="DT19">
        <f t="shared" si="74"/>
        <v>560</v>
      </c>
      <c r="DU19" s="144">
        <f t="shared" si="75"/>
        <v>197.22485106382982</v>
      </c>
      <c r="DV19" s="144"/>
      <c r="DW19" s="5">
        <f t="shared" si="118"/>
        <v>5.070354950737725</v>
      </c>
      <c r="DX19" s="5">
        <f t="shared" si="76"/>
        <v>0.83778966131907295</v>
      </c>
      <c r="DY19" s="5">
        <f t="shared" si="119"/>
        <v>4.2325652894186518</v>
      </c>
      <c r="DZ19" s="5">
        <f t="shared" si="77"/>
        <v>0.93700159489633172</v>
      </c>
      <c r="EA19" s="150">
        <f t="shared" si="120"/>
        <v>0.16523294117647058</v>
      </c>
      <c r="EB19" s="150">
        <f t="shared" si="78"/>
        <v>17.024000000000001</v>
      </c>
      <c r="EC19" s="150">
        <f t="shared" si="79"/>
        <v>2.5295971479500889</v>
      </c>
      <c r="ED19" s="150">
        <f t="shared" si="121"/>
        <v>6.7299253613547716</v>
      </c>
      <c r="EE19" s="144">
        <f t="shared" si="80"/>
        <v>1.5638740344622697</v>
      </c>
      <c r="EF19" s="5">
        <f t="shared" si="81"/>
        <v>1.2302265893119955</v>
      </c>
      <c r="EG19" s="5"/>
      <c r="EH19" s="150">
        <f t="shared" si="122"/>
        <v>1.4223410526708753</v>
      </c>
      <c r="EI19" s="150">
        <f t="shared" si="82"/>
        <v>3.1969664585622537</v>
      </c>
      <c r="EJ19" s="150"/>
      <c r="EK19" s="456">
        <f t="shared" si="83"/>
        <v>2.4276648841354727E-2</v>
      </c>
      <c r="EL19" s="456">
        <f t="shared" si="84"/>
        <v>1.4625716834042557</v>
      </c>
      <c r="EM19" s="456">
        <f t="shared" si="85"/>
        <v>2.2680857872340431E-2</v>
      </c>
      <c r="EN19" s="456">
        <f t="shared" si="86"/>
        <v>0.4232955721744342</v>
      </c>
      <c r="EO19">
        <f t="shared" si="87"/>
        <v>1.5299999999999999E-2</v>
      </c>
      <c r="EP19" s="144">
        <f t="shared" si="123"/>
        <v>37.98085787234043</v>
      </c>
      <c r="EQ19" s="456">
        <f t="shared" si="88"/>
        <v>1.9660197182665224</v>
      </c>
      <c r="ER19" s="144">
        <f t="shared" si="124"/>
        <v>1966.0197182665224</v>
      </c>
      <c r="ES19" s="456">
        <f t="shared" si="125"/>
        <v>0.37553599999999998</v>
      </c>
      <c r="ET19" s="456"/>
      <c r="EV19" s="144">
        <f t="shared" si="126"/>
        <v>375.536</v>
      </c>
      <c r="EW19" s="456">
        <f t="shared" si="89"/>
        <v>2.8322756981580516E-2</v>
      </c>
      <c r="EX19" s="456">
        <f t="shared" si="90"/>
        <v>0.14308832352040909</v>
      </c>
      <c r="EY19" s="456">
        <f t="shared" si="91"/>
        <v>2.4698139298088821</v>
      </c>
      <c r="EZ19" s="456">
        <f t="shared" si="92"/>
        <v>2.719658031371615</v>
      </c>
      <c r="FA19" s="456">
        <f t="shared" si="93"/>
        <v>0.72442553191489378</v>
      </c>
      <c r="FB19" s="144">
        <f t="shared" si="127"/>
        <v>3444.0835632865092</v>
      </c>
      <c r="FC19" s="150">
        <f t="shared" si="128"/>
        <v>5.7856392815530304</v>
      </c>
      <c r="FD19" s="5">
        <f t="shared" si="129"/>
        <v>16.8</v>
      </c>
      <c r="FE19" s="150">
        <f t="shared" si="130"/>
        <v>0.74383548725678583</v>
      </c>
      <c r="FF19" s="5">
        <f t="shared" si="131"/>
        <v>74.38354872567858</v>
      </c>
      <c r="FI19" s="59">
        <f t="shared" si="94"/>
        <v>-50</v>
      </c>
      <c r="FJ19">
        <f t="shared" si="95"/>
        <v>-50</v>
      </c>
      <c r="FL19">
        <f t="shared" si="96"/>
        <v>0.18480000000000002</v>
      </c>
    </row>
    <row r="20" spans="5:168">
      <c r="E20" s="147">
        <v>15</v>
      </c>
      <c r="F20" s="188">
        <f t="shared" si="97"/>
        <v>0.6</v>
      </c>
      <c r="G20" s="188"/>
      <c r="H20" s="188">
        <f t="shared" si="0"/>
        <v>18</v>
      </c>
      <c r="I20" s="465">
        <f t="shared" si="1"/>
        <v>33.921732178900704</v>
      </c>
      <c r="J20" s="149">
        <f t="shared" si="2"/>
        <v>30.44214421136116</v>
      </c>
      <c r="K20" s="149">
        <f t="shared" si="3"/>
        <v>64.442144211361153</v>
      </c>
      <c r="L20" s="379"/>
      <c r="M20" s="188">
        <f t="shared" si="4"/>
        <v>0.4729716962830906</v>
      </c>
      <c r="N20" s="149">
        <f t="shared" si="5"/>
        <v>244.83214690946005</v>
      </c>
      <c r="O20" s="149">
        <f t="shared" si="98"/>
        <v>18</v>
      </c>
      <c r="P20" s="188">
        <f t="shared" si="6"/>
        <v>8.1610715636486688</v>
      </c>
      <c r="Q20" s="188">
        <f t="shared" si="7"/>
        <v>30</v>
      </c>
      <c r="R20" s="188">
        <f t="shared" si="8"/>
        <v>8.1030400048057416</v>
      </c>
      <c r="S20" s="149">
        <f t="shared" si="9"/>
        <v>822.70415106064706</v>
      </c>
      <c r="T20" s="149">
        <f t="shared" si="10"/>
        <v>30</v>
      </c>
      <c r="U20" s="188">
        <f t="shared" si="99"/>
        <v>2.2769175612332471</v>
      </c>
      <c r="V20" s="188">
        <f t="shared" si="11"/>
        <v>0.31547659421863472</v>
      </c>
      <c r="W20" s="188">
        <f t="shared" si="12"/>
        <v>0.35153609625837079</v>
      </c>
      <c r="X20" s="172">
        <f t="shared" si="13"/>
        <v>350</v>
      </c>
      <c r="Y20" s="379">
        <f t="shared" si="14"/>
        <v>350</v>
      </c>
      <c r="AA20" s="188">
        <f t="shared" si="15"/>
        <v>9.7531558833286915</v>
      </c>
      <c r="AB20" s="150">
        <f t="shared" si="16"/>
        <v>1.5058017048134604</v>
      </c>
      <c r="AC20" s="150">
        <f t="shared" si="17"/>
        <v>2.5701057823748608</v>
      </c>
      <c r="AD20" s="150"/>
      <c r="AE20" s="150">
        <f t="shared" si="18"/>
        <v>0.93570440659754173</v>
      </c>
      <c r="AF20" s="314">
        <f t="shared" si="100"/>
        <v>211.60528752875939</v>
      </c>
      <c r="AG20" s="456">
        <f t="shared" si="19"/>
        <v>0.99241376457315034</v>
      </c>
      <c r="AI20" s="150">
        <f t="shared" si="20"/>
        <v>4.7124341152914333</v>
      </c>
      <c r="AJ20" s="150">
        <f t="shared" si="21"/>
        <v>6.0606060606060606</v>
      </c>
      <c r="AK20" s="150">
        <f t="shared" si="22"/>
        <v>1.1209173071592911</v>
      </c>
      <c r="AM20" s="314">
        <f t="shared" si="23"/>
        <v>600</v>
      </c>
      <c r="AN20" s="144">
        <f t="shared" si="24"/>
        <v>211.60528752875939</v>
      </c>
      <c r="AP20">
        <f t="shared" si="25"/>
        <v>600</v>
      </c>
      <c r="AQ20" s="144">
        <f t="shared" si="26"/>
        <v>211.60528752875939</v>
      </c>
      <c r="AR20" s="144"/>
      <c r="AS20" s="5">
        <f t="shared" si="101"/>
        <v>4.7257798313007164</v>
      </c>
      <c r="AT20" s="5">
        <f t="shared" si="27"/>
        <v>0.83972269855270065</v>
      </c>
      <c r="AU20" s="5">
        <f t="shared" si="102"/>
        <v>3.8860571327480158</v>
      </c>
      <c r="AV20" s="5">
        <f t="shared" si="28"/>
        <v>0.93570440659754173</v>
      </c>
      <c r="AW20" s="150">
        <f t="shared" si="103"/>
        <v>0.17768976307166995</v>
      </c>
      <c r="AX20" s="150">
        <f t="shared" si="29"/>
        <v>18.265286526816695</v>
      </c>
      <c r="AY20" s="150">
        <f t="shared" si="30"/>
        <v>2.4918492028131212</v>
      </c>
      <c r="AZ20" s="150">
        <f t="shared" si="104"/>
        <v>7.330012789777359</v>
      </c>
      <c r="BA20" s="144">
        <f t="shared" si="31"/>
        <v>1.6794453971054013</v>
      </c>
      <c r="BB20" s="5">
        <f t="shared" si="32"/>
        <v>1.2129830832610975</v>
      </c>
      <c r="BC20" s="5"/>
      <c r="BD20" s="150">
        <f t="shared" si="105"/>
        <v>1.474981701636074</v>
      </c>
      <c r="BE20" s="150">
        <f t="shared" si="33"/>
        <v>3.1730234142098168</v>
      </c>
      <c r="BF20" s="150"/>
      <c r="BG20" s="456">
        <f t="shared" si="34"/>
        <v>2.6106852241934982E-2</v>
      </c>
      <c r="BH20" s="456">
        <f t="shared" si="35"/>
        <v>1.5082572533355827</v>
      </c>
      <c r="BI20" s="456">
        <f t="shared" si="36"/>
        <v>2.4334608065807332E-2</v>
      </c>
      <c r="BJ20" s="456">
        <f t="shared" si="37"/>
        <v>0.45475432121902104</v>
      </c>
      <c r="BK20">
        <f t="shared" si="38"/>
        <v>1.5264779480505317E-2</v>
      </c>
      <c r="BL20" s="144">
        <f t="shared" si="106"/>
        <v>39.599387546312649</v>
      </c>
      <c r="BM20" s="456">
        <f t="shared" si="39"/>
        <v>2.0086267648066025</v>
      </c>
      <c r="BN20" s="144">
        <f t="shared" si="107"/>
        <v>2008.6267648066025</v>
      </c>
      <c r="BO20" s="456">
        <f t="shared" si="108"/>
        <v>0.40236</v>
      </c>
      <c r="BP20" s="456"/>
      <c r="BR20" s="144">
        <f t="shared" si="109"/>
        <v>402.36</v>
      </c>
      <c r="BS20" s="456">
        <f t="shared" si="40"/>
        <v>3.0457994282257476E-2</v>
      </c>
      <c r="BT20" s="456">
        <f t="shared" si="41"/>
        <v>0.14095308621973213</v>
      </c>
      <c r="BU20" s="456">
        <f t="shared" si="42"/>
        <v>2.9449398756847387</v>
      </c>
      <c r="BV20" s="456">
        <f t="shared" si="43"/>
        <v>3.2013899118186462</v>
      </c>
      <c r="BW20" s="456">
        <f t="shared" si="44"/>
        <v>0.77724623518368929</v>
      </c>
      <c r="BX20" s="144">
        <f t="shared" si="110"/>
        <v>3978.6361470023353</v>
      </c>
      <c r="BY20" s="150">
        <f t="shared" si="45"/>
        <v>6.4292222993552501</v>
      </c>
      <c r="BZ20" s="5">
        <f t="shared" si="111"/>
        <v>18</v>
      </c>
      <c r="CA20" s="150">
        <f t="shared" si="112"/>
        <v>0.73682247348803509</v>
      </c>
      <c r="CB20" s="5">
        <f t="shared" si="113"/>
        <v>73.682247348803514</v>
      </c>
      <c r="CE20" s="59">
        <f t="shared" si="46"/>
        <v>-50</v>
      </c>
      <c r="CF20">
        <f t="shared" si="47"/>
        <v>-50</v>
      </c>
      <c r="CG20" s="150">
        <f t="shared" si="48"/>
        <v>0.19931562909114781</v>
      </c>
      <c r="CI20" s="147">
        <v>15</v>
      </c>
      <c r="CJ20" s="188">
        <f t="shared" si="114"/>
        <v>0.6</v>
      </c>
      <c r="CK20" s="188"/>
      <c r="CL20" s="188">
        <f t="shared" si="49"/>
        <v>18</v>
      </c>
      <c r="CM20" s="465">
        <f t="shared" si="50"/>
        <v>34</v>
      </c>
      <c r="CN20" s="149">
        <f t="shared" si="51"/>
        <v>30.4</v>
      </c>
      <c r="CO20" s="379">
        <f t="shared" si="52"/>
        <v>64.400000000000006</v>
      </c>
      <c r="CP20" s="379"/>
      <c r="CQ20" s="188">
        <f t="shared" si="53"/>
        <v>0.47204968944099374</v>
      </c>
      <c r="CR20" s="149">
        <f t="shared" si="54"/>
        <v>244.918674788055</v>
      </c>
      <c r="CS20" s="149">
        <f t="shared" si="115"/>
        <v>18</v>
      </c>
      <c r="CT20" s="188">
        <f t="shared" si="55"/>
        <v>8.1639558262685004</v>
      </c>
      <c r="CU20" s="188">
        <f t="shared" si="56"/>
        <v>30</v>
      </c>
      <c r="CV20" s="188">
        <f t="shared" si="57"/>
        <v>8.1059037580776696</v>
      </c>
      <c r="CW20" s="149">
        <f t="shared" si="58"/>
        <v>824.60234338751889</v>
      </c>
      <c r="CX20" s="149">
        <f t="shared" si="59"/>
        <v>30</v>
      </c>
      <c r="CY20" s="188">
        <f t="shared" si="60"/>
        <v>2.2430340557275543</v>
      </c>
      <c r="CZ20" s="188">
        <f t="shared" si="61"/>
        <v>0.31006647240939722</v>
      </c>
      <c r="DA20" s="188">
        <f t="shared" si="62"/>
        <v>0.34678487045787848</v>
      </c>
      <c r="DB20" s="172">
        <f t="shared" si="63"/>
        <v>350</v>
      </c>
      <c r="DC20" s="379">
        <f t="shared" si="116"/>
        <v>350</v>
      </c>
      <c r="DE20" s="188">
        <f t="shared" si="64"/>
        <v>9.7566501161056465</v>
      </c>
      <c r="DF20" s="150">
        <f t="shared" si="65"/>
        <v>1.5084294587400178</v>
      </c>
      <c r="DG20" s="150">
        <f t="shared" si="66"/>
        <v>2.5755132294067704</v>
      </c>
      <c r="DH20" s="150"/>
      <c r="DI20" s="150">
        <f t="shared" si="67"/>
        <v>0.93700159489633172</v>
      </c>
      <c r="DJ20" s="314">
        <f t="shared" si="117"/>
        <v>211.31234042553191</v>
      </c>
      <c r="DK20" s="456">
        <f t="shared" si="68"/>
        <v>0.99378957034459414</v>
      </c>
      <c r="DM20" s="150">
        <f t="shared" si="69"/>
        <v>4.7091710303739305</v>
      </c>
      <c r="DN20" s="150">
        <f t="shared" si="70"/>
        <v>6.0606060606060606</v>
      </c>
      <c r="DO20" s="150">
        <f t="shared" si="71"/>
        <v>1.1207499088145896</v>
      </c>
      <c r="DQ20" s="314">
        <f t="shared" si="72"/>
        <v>600</v>
      </c>
      <c r="DR20" s="144">
        <f t="shared" si="73"/>
        <v>211.31234042553191</v>
      </c>
      <c r="DT20">
        <f t="shared" si="74"/>
        <v>600</v>
      </c>
      <c r="DU20" s="144">
        <f t="shared" si="75"/>
        <v>211.31234042553191</v>
      </c>
      <c r="DV20" s="144"/>
      <c r="DW20" s="5">
        <f t="shared" si="118"/>
        <v>4.732331287355211</v>
      </c>
      <c r="DX20" s="5">
        <f t="shared" si="76"/>
        <v>0.83778966131907295</v>
      </c>
      <c r="DY20" s="5">
        <f t="shared" si="119"/>
        <v>3.8945416260361378</v>
      </c>
      <c r="DZ20" s="5">
        <f t="shared" si="77"/>
        <v>0.93700159489633172</v>
      </c>
      <c r="EA20" s="150">
        <f t="shared" si="120"/>
        <v>0.17703529411764701</v>
      </c>
      <c r="EB20" s="150">
        <f t="shared" si="78"/>
        <v>18.239999999999995</v>
      </c>
      <c r="EC20" s="150">
        <f t="shared" si="79"/>
        <v>2.4938324420677365</v>
      </c>
      <c r="ED20" s="150">
        <f t="shared" si="121"/>
        <v>7.3140439158279937</v>
      </c>
      <c r="EE20" s="144">
        <f t="shared" si="80"/>
        <v>1.6755793226381457</v>
      </c>
      <c r="EF20" s="5">
        <f t="shared" si="81"/>
        <v>1.2128330323295931</v>
      </c>
      <c r="EG20" s="5"/>
      <c r="EH20" s="150">
        <f t="shared" si="122"/>
        <v>1.4722628611303805</v>
      </c>
      <c r="EI20" s="150">
        <f t="shared" si="82"/>
        <v>3.1742858527582478</v>
      </c>
      <c r="EJ20" s="150"/>
      <c r="EK20" s="456">
        <f t="shared" si="83"/>
        <v>2.6010695187165769E-2</v>
      </c>
      <c r="EL20" s="456">
        <f t="shared" si="84"/>
        <v>1.5670410893617024</v>
      </c>
      <c r="EM20" s="456">
        <f t="shared" si="85"/>
        <v>2.4300919148936173E-2</v>
      </c>
      <c r="EN20" s="456">
        <f t="shared" si="86"/>
        <v>0.4535309701868937</v>
      </c>
      <c r="EO20">
        <f t="shared" si="87"/>
        <v>1.5299999999999999E-2</v>
      </c>
      <c r="EP20" s="144">
        <f t="shared" si="123"/>
        <v>39.600919148936171</v>
      </c>
      <c r="EQ20" s="456">
        <f t="shared" si="88"/>
        <v>2.1062233190461117</v>
      </c>
      <c r="ER20" s="144">
        <f t="shared" si="124"/>
        <v>2106.2233190461116</v>
      </c>
      <c r="ES20" s="456">
        <f t="shared" si="125"/>
        <v>0.40236</v>
      </c>
      <c r="ET20" s="456"/>
      <c r="EV20" s="144">
        <f t="shared" si="126"/>
        <v>402.36</v>
      </c>
      <c r="EW20" s="456">
        <f t="shared" si="89"/>
        <v>3.0345811051693396E-2</v>
      </c>
      <c r="EX20" s="456">
        <f t="shared" si="90"/>
        <v>0.14106526945029618</v>
      </c>
      <c r="EY20" s="456">
        <f t="shared" si="91"/>
        <v>2.9347579933365968</v>
      </c>
      <c r="EZ20" s="456">
        <f t="shared" si="92"/>
        <v>3.1910664652196208</v>
      </c>
      <c r="FA20" s="456">
        <f t="shared" si="93"/>
        <v>0.77617021276595743</v>
      </c>
      <c r="FB20" s="144">
        <f t="shared" si="127"/>
        <v>3967.2366779855779</v>
      </c>
      <c r="FC20" s="150">
        <f t="shared" si="128"/>
        <v>6.4758199970316896</v>
      </c>
      <c r="FD20" s="5">
        <f t="shared" si="129"/>
        <v>18</v>
      </c>
      <c r="FE20" s="150">
        <f t="shared" si="130"/>
        <v>0.73541969185028144</v>
      </c>
      <c r="FF20" s="5">
        <f t="shared" si="131"/>
        <v>73.541969185028151</v>
      </c>
      <c r="FI20" s="59">
        <f t="shared" si="94"/>
        <v>-50</v>
      </c>
      <c r="FJ20">
        <f t="shared" si="95"/>
        <v>-50</v>
      </c>
      <c r="FL20">
        <f t="shared" si="96"/>
        <v>0.19800000000000001</v>
      </c>
    </row>
    <row r="21" spans="5:168" s="59" customFormat="1">
      <c r="E21" s="147">
        <v>16</v>
      </c>
      <c r="F21" s="188">
        <f t="shared" si="97"/>
        <v>0.64</v>
      </c>
      <c r="G21" s="188"/>
      <c r="H21" s="188">
        <f t="shared" si="0"/>
        <v>19.2</v>
      </c>
      <c r="I21" s="465">
        <f t="shared" si="1"/>
        <v>33.921732178900704</v>
      </c>
      <c r="J21" s="149">
        <f t="shared" si="2"/>
        <v>30.44214421136116</v>
      </c>
      <c r="K21" s="149">
        <f t="shared" si="3"/>
        <v>64.442144211361153</v>
      </c>
      <c r="L21" s="379"/>
      <c r="M21" s="188">
        <f t="shared" si="4"/>
        <v>0.4729716962830906</v>
      </c>
      <c r="N21" s="149">
        <f t="shared" si="5"/>
        <v>244.83214690946005</v>
      </c>
      <c r="O21" s="149">
        <f t="shared" si="98"/>
        <v>19.2</v>
      </c>
      <c r="P21" s="188">
        <f t="shared" si="6"/>
        <v>8.1610715636486688</v>
      </c>
      <c r="Q21" s="188">
        <f t="shared" si="7"/>
        <v>30</v>
      </c>
      <c r="R21" s="188">
        <f t="shared" si="8"/>
        <v>8.1030400048057416</v>
      </c>
      <c r="S21" s="149">
        <f t="shared" si="9"/>
        <v>769.16721046376119</v>
      </c>
      <c r="T21" s="149">
        <f t="shared" si="10"/>
        <v>30</v>
      </c>
      <c r="U21" s="188">
        <f t="shared" si="99"/>
        <v>2.4287120653154632</v>
      </c>
      <c r="V21" s="188">
        <f t="shared" si="11"/>
        <v>0.33650836716654364</v>
      </c>
      <c r="W21" s="188">
        <f t="shared" si="12"/>
        <v>0.37497183600892875</v>
      </c>
      <c r="X21" s="172">
        <f t="shared" si="13"/>
        <v>350</v>
      </c>
      <c r="Y21" s="379">
        <f t="shared" si="14"/>
        <v>350</v>
      </c>
      <c r="AA21" s="188">
        <f t="shared" si="15"/>
        <v>9.7531558833286915</v>
      </c>
      <c r="AB21" s="150">
        <f t="shared" si="16"/>
        <v>1.5058017048134604</v>
      </c>
      <c r="AC21" s="462">
        <f t="shared" si="17"/>
        <v>2.5701057823748608</v>
      </c>
      <c r="AD21" s="462"/>
      <c r="AE21" s="150">
        <f t="shared" si="18"/>
        <v>0.93570440659754173</v>
      </c>
      <c r="AF21" s="314">
        <f t="shared" si="100"/>
        <v>225.71230669734337</v>
      </c>
      <c r="AG21" s="456">
        <f t="shared" si="19"/>
        <v>0.99241376457315034</v>
      </c>
      <c r="AH21"/>
      <c r="AI21" s="150">
        <f t="shared" si="20"/>
        <v>4.8669810262995741</v>
      </c>
      <c r="AJ21" s="150">
        <f t="shared" si="21"/>
        <v>6.0606060606060606</v>
      </c>
      <c r="AK21" s="150">
        <f t="shared" si="22"/>
        <v>1.1289784609699105</v>
      </c>
      <c r="AM21" s="314">
        <f t="shared" si="23"/>
        <v>640</v>
      </c>
      <c r="AN21" s="144">
        <f t="shared" si="24"/>
        <v>225.71230669734337</v>
      </c>
      <c r="AP21">
        <f t="shared" si="25"/>
        <v>640</v>
      </c>
      <c r="AQ21" s="144">
        <f t="shared" si="26"/>
        <v>225.71230669734337</v>
      </c>
      <c r="AR21" s="144"/>
      <c r="AS21" s="5">
        <f t="shared" si="101"/>
        <v>4.430418591844421</v>
      </c>
      <c r="AT21" s="5">
        <f t="shared" si="27"/>
        <v>0.83972269855270065</v>
      </c>
      <c r="AU21" s="5">
        <f t="shared" si="102"/>
        <v>3.5906958932917203</v>
      </c>
      <c r="AV21" s="5">
        <f t="shared" si="28"/>
        <v>0.93570440659754173</v>
      </c>
      <c r="AW21" s="150">
        <f t="shared" si="103"/>
        <v>0.18953574727644798</v>
      </c>
      <c r="AX21" s="150">
        <f t="shared" si="29"/>
        <v>19.482972295271143</v>
      </c>
      <c r="AY21" s="150">
        <f t="shared" si="30"/>
        <v>2.4559522809804606</v>
      </c>
      <c r="AZ21" s="150">
        <f t="shared" si="104"/>
        <v>7.9329604431455758</v>
      </c>
      <c r="BA21" s="144">
        <f t="shared" si="31"/>
        <v>1.7914084235790948</v>
      </c>
      <c r="BB21" s="5">
        <f t="shared" si="32"/>
        <v>1.1955091691594706</v>
      </c>
      <c r="BC21" s="5"/>
      <c r="BD21" s="150">
        <f t="shared" si="105"/>
        <v>1.5233545510392512</v>
      </c>
      <c r="BE21" s="150">
        <f t="shared" si="33"/>
        <v>3.1500856367903669</v>
      </c>
      <c r="BF21" s="150"/>
      <c r="BG21" s="456">
        <f t="shared" si="34"/>
        <v>2.7847309058063985E-2</v>
      </c>
      <c r="BH21" s="456">
        <f t="shared" si="35"/>
        <v>1.6088077368912881</v>
      </c>
      <c r="BI21" s="456">
        <f t="shared" si="36"/>
        <v>2.5956915270194492E-2</v>
      </c>
      <c r="BJ21" s="456">
        <f t="shared" si="37"/>
        <v>0.48507127596695576</v>
      </c>
      <c r="BK21">
        <f t="shared" si="38"/>
        <v>1.5264779480505317E-2</v>
      </c>
      <c r="BL21" s="144">
        <f t="shared" si="106"/>
        <v>41.221694750699811</v>
      </c>
      <c r="BM21" s="456">
        <f t="shared" si="39"/>
        <v>2.1434271251592096</v>
      </c>
      <c r="BN21" s="144">
        <f t="shared" si="107"/>
        <v>2143.4271251592095</v>
      </c>
      <c r="BO21" s="456">
        <f t="shared" si="108"/>
        <v>0.42918399999999995</v>
      </c>
      <c r="BP21" s="456"/>
      <c r="BR21" s="144">
        <f t="shared" si="109"/>
        <v>429.18399999999997</v>
      </c>
      <c r="BS21" s="456">
        <f t="shared" si="40"/>
        <v>3.2488527234407982E-2</v>
      </c>
      <c r="BT21" s="456">
        <f t="shared" si="41"/>
        <v>0.1389225532675816</v>
      </c>
      <c r="BU21" s="456">
        <f t="shared" si="42"/>
        <v>3.4605748054423024</v>
      </c>
      <c r="BV21" s="456">
        <f t="shared" si="43"/>
        <v>3.7241939945937563</v>
      </c>
      <c r="BW21" s="456">
        <f t="shared" si="44"/>
        <v>0.829062650862602</v>
      </c>
      <c r="BX21" s="144">
        <f t="shared" si="110"/>
        <v>4553.2566454563575</v>
      </c>
      <c r="BY21" s="150">
        <f t="shared" si="45"/>
        <v>7.1670894653662671</v>
      </c>
      <c r="BZ21" s="5">
        <f t="shared" si="111"/>
        <v>19.2</v>
      </c>
      <c r="CA21" s="150">
        <f t="shared" si="112"/>
        <v>0.7281804851923307</v>
      </c>
      <c r="CB21" s="5">
        <f t="shared" si="113"/>
        <v>72.818048519233074</v>
      </c>
      <c r="CE21" s="59">
        <f t="shared" si="46"/>
        <v>-50</v>
      </c>
      <c r="CF21">
        <f t="shared" si="47"/>
        <v>-50</v>
      </c>
      <c r="CG21" s="150">
        <f t="shared" si="48"/>
        <v>0.21260333769722434</v>
      </c>
      <c r="CH21"/>
      <c r="CI21" s="147">
        <v>16</v>
      </c>
      <c r="CJ21" s="188">
        <f t="shared" si="114"/>
        <v>0.64</v>
      </c>
      <c r="CK21" s="188"/>
      <c r="CL21" s="188">
        <f t="shared" si="49"/>
        <v>19.2</v>
      </c>
      <c r="CM21" s="465">
        <f t="shared" si="50"/>
        <v>34</v>
      </c>
      <c r="CN21" s="149">
        <f t="shared" si="51"/>
        <v>30.4</v>
      </c>
      <c r="CO21" s="379">
        <f t="shared" si="52"/>
        <v>64.400000000000006</v>
      </c>
      <c r="CP21" s="379"/>
      <c r="CQ21" s="188">
        <f t="shared" si="53"/>
        <v>0.47204968944099374</v>
      </c>
      <c r="CR21" s="149">
        <f t="shared" si="54"/>
        <v>244.918674788055</v>
      </c>
      <c r="CS21" s="149">
        <f t="shared" si="115"/>
        <v>19.2</v>
      </c>
      <c r="CT21" s="188">
        <f t="shared" si="55"/>
        <v>8.1639558262685004</v>
      </c>
      <c r="CU21" s="188">
        <f t="shared" si="56"/>
        <v>30</v>
      </c>
      <c r="CV21" s="188">
        <f t="shared" si="57"/>
        <v>8.1059037580776696</v>
      </c>
      <c r="CW21" s="149">
        <f t="shared" si="58"/>
        <v>770.94187403540968</v>
      </c>
      <c r="CX21" s="149">
        <f t="shared" si="59"/>
        <v>30</v>
      </c>
      <c r="CY21" s="188">
        <f t="shared" si="60"/>
        <v>2.3925696594427244</v>
      </c>
      <c r="CZ21" s="188">
        <f t="shared" si="61"/>
        <v>0.33073757057002368</v>
      </c>
      <c r="DA21" s="188">
        <f t="shared" si="62"/>
        <v>0.36990386182173696</v>
      </c>
      <c r="DB21" s="172">
        <f t="shared" si="63"/>
        <v>350</v>
      </c>
      <c r="DC21" s="379">
        <f t="shared" si="116"/>
        <v>350</v>
      </c>
      <c r="DE21" s="188">
        <f t="shared" si="64"/>
        <v>9.7566501161056465</v>
      </c>
      <c r="DF21" s="150">
        <f t="shared" si="65"/>
        <v>1.5084294587400178</v>
      </c>
      <c r="DG21" s="462">
        <f t="shared" si="66"/>
        <v>2.5755132294067704</v>
      </c>
      <c r="DH21" s="462"/>
      <c r="DI21" s="150">
        <f t="shared" si="67"/>
        <v>0.93700159489633172</v>
      </c>
      <c r="DJ21" s="314">
        <f t="shared" si="117"/>
        <v>225.39982978723404</v>
      </c>
      <c r="DK21" s="456">
        <f t="shared" si="68"/>
        <v>0.99378957034459414</v>
      </c>
      <c r="DL21"/>
      <c r="DM21" s="150">
        <f t="shared" si="69"/>
        <v>4.8636109266881746</v>
      </c>
      <c r="DN21" s="150">
        <f t="shared" si="70"/>
        <v>6.0606060606060606</v>
      </c>
      <c r="DO21" s="150">
        <f t="shared" si="71"/>
        <v>1.1287999027355622</v>
      </c>
      <c r="DQ21" s="314">
        <f t="shared" si="72"/>
        <v>640</v>
      </c>
      <c r="DR21" s="144">
        <f t="shared" si="73"/>
        <v>225.39982978723404</v>
      </c>
      <c r="DT21">
        <f t="shared" si="74"/>
        <v>640</v>
      </c>
      <c r="DU21" s="144">
        <f t="shared" si="75"/>
        <v>225.39982978723404</v>
      </c>
      <c r="DV21" s="144"/>
      <c r="DW21" s="5">
        <f t="shared" si="118"/>
        <v>4.4365605818955096</v>
      </c>
      <c r="DX21" s="5">
        <f t="shared" si="76"/>
        <v>0.83778966131907295</v>
      </c>
      <c r="DY21" s="5">
        <f t="shared" si="119"/>
        <v>3.5987709205764364</v>
      </c>
      <c r="DZ21" s="5">
        <f t="shared" si="77"/>
        <v>0.93700159489633172</v>
      </c>
      <c r="EA21" s="150">
        <f t="shared" si="120"/>
        <v>0.18883764705882353</v>
      </c>
      <c r="EB21" s="150">
        <f t="shared" si="78"/>
        <v>19.455999999999996</v>
      </c>
      <c r="EC21" s="150">
        <f t="shared" si="79"/>
        <v>2.4580677361853831</v>
      </c>
      <c r="ED21" s="150">
        <f t="shared" si="121"/>
        <v>7.9151602348409247</v>
      </c>
      <c r="EE21" s="144">
        <f t="shared" si="80"/>
        <v>1.7872846108140226</v>
      </c>
      <c r="EF21" s="5">
        <f t="shared" si="81"/>
        <v>1.1954394753471898</v>
      </c>
      <c r="EG21" s="5"/>
      <c r="EH21" s="150">
        <f t="shared" si="122"/>
        <v>1.5205465446393727</v>
      </c>
      <c r="EI21" s="150">
        <f t="shared" si="82"/>
        <v>3.1514420211817695</v>
      </c>
      <c r="EJ21" s="150"/>
      <c r="EK21" s="456">
        <f t="shared" si="83"/>
        <v>2.7744741532976829E-2</v>
      </c>
      <c r="EL21" s="456">
        <f t="shared" si="84"/>
        <v>1.6715104953191491</v>
      </c>
      <c r="EM21" s="456">
        <f t="shared" si="85"/>
        <v>2.5920980425531918E-2</v>
      </c>
      <c r="EN21" s="456">
        <f t="shared" si="86"/>
        <v>0.48376636819935331</v>
      </c>
      <c r="EO21">
        <f t="shared" si="87"/>
        <v>1.5299999999999999E-2</v>
      </c>
      <c r="EP21" s="144">
        <f t="shared" si="123"/>
        <v>41.22098042553192</v>
      </c>
      <c r="EQ21" s="456">
        <f t="shared" si="88"/>
        <v>2.2465432168795632</v>
      </c>
      <c r="ER21" s="144">
        <f t="shared" si="124"/>
        <v>2246.5432168795633</v>
      </c>
      <c r="ES21" s="456">
        <f t="shared" si="125"/>
        <v>0.42918399999999995</v>
      </c>
      <c r="ET21" s="456"/>
      <c r="EV21" s="144">
        <f t="shared" si="126"/>
        <v>429.18399999999997</v>
      </c>
      <c r="EW21" s="456">
        <f t="shared" si="89"/>
        <v>3.2368865121806298E-2</v>
      </c>
      <c r="EX21" s="456">
        <f t="shared" si="90"/>
        <v>0.1390422153801833</v>
      </c>
      <c r="EY21" s="456">
        <f t="shared" si="91"/>
        <v>3.4486101586198328</v>
      </c>
      <c r="EZ21" s="456">
        <f t="shared" si="92"/>
        <v>3.7120629967758036</v>
      </c>
      <c r="FA21" s="456">
        <f t="shared" si="93"/>
        <v>0.82791489361702131</v>
      </c>
      <c r="FB21" s="144">
        <f t="shared" si="127"/>
        <v>4539.9778903928245</v>
      </c>
      <c r="FC21" s="150">
        <f t="shared" si="128"/>
        <v>7.2157051072723872</v>
      </c>
      <c r="FD21" s="5">
        <f t="shared" si="129"/>
        <v>19.2</v>
      </c>
      <c r="FE21" s="150">
        <f t="shared" si="130"/>
        <v>0.72684033691435079</v>
      </c>
      <c r="FF21" s="5">
        <f t="shared" si="131"/>
        <v>72.684033691435076</v>
      </c>
      <c r="FI21" s="59">
        <f t="shared" si="94"/>
        <v>-50</v>
      </c>
      <c r="FJ21">
        <f t="shared" si="95"/>
        <v>-50</v>
      </c>
      <c r="FL21">
        <f t="shared" si="96"/>
        <v>0.2112</v>
      </c>
    </row>
    <row r="22" spans="5:168">
      <c r="E22" s="147">
        <v>17</v>
      </c>
      <c r="F22" s="188">
        <f t="shared" si="97"/>
        <v>0.68</v>
      </c>
      <c r="G22" s="188"/>
      <c r="H22" s="188">
        <f t="shared" si="0"/>
        <v>20.400000000000002</v>
      </c>
      <c r="I22" s="465">
        <f t="shared" si="1"/>
        <v>33.921732178900704</v>
      </c>
      <c r="J22" s="149">
        <f t="shared" si="2"/>
        <v>30.44214421136116</v>
      </c>
      <c r="K22" s="149">
        <f t="shared" si="3"/>
        <v>64.442144211361153</v>
      </c>
      <c r="L22" s="379"/>
      <c r="M22" s="188">
        <f t="shared" si="4"/>
        <v>0.4729716962830906</v>
      </c>
      <c r="N22" s="149">
        <f t="shared" si="5"/>
        <v>244.83214690946005</v>
      </c>
      <c r="O22" s="149">
        <f t="shared" si="98"/>
        <v>20.400000000000002</v>
      </c>
      <c r="P22" s="188">
        <f t="shared" si="6"/>
        <v>8.1610715636486688</v>
      </c>
      <c r="Q22" s="188">
        <f t="shared" si="7"/>
        <v>30</v>
      </c>
      <c r="R22" s="188">
        <f t="shared" si="8"/>
        <v>8.1030400048057416</v>
      </c>
      <c r="S22" s="149">
        <f t="shared" si="9"/>
        <v>721.92887463604052</v>
      </c>
      <c r="T22" s="149">
        <f t="shared" si="10"/>
        <v>30</v>
      </c>
      <c r="U22" s="188">
        <f t="shared" si="99"/>
        <v>2.5805065693976799</v>
      </c>
      <c r="V22" s="188">
        <f t="shared" si="11"/>
        <v>0.35754014011445262</v>
      </c>
      <c r="W22" s="188">
        <f t="shared" si="12"/>
        <v>0.39840757575948682</v>
      </c>
      <c r="X22" s="172">
        <f t="shared" si="13"/>
        <v>350</v>
      </c>
      <c r="Y22" s="379">
        <f t="shared" si="14"/>
        <v>350</v>
      </c>
      <c r="AA22" s="188">
        <f t="shared" si="15"/>
        <v>9.7531558833286915</v>
      </c>
      <c r="AB22" s="150">
        <f t="shared" si="16"/>
        <v>1.5058017048134604</v>
      </c>
      <c r="AC22" s="150">
        <f t="shared" si="17"/>
        <v>2.5701057823748608</v>
      </c>
      <c r="AD22" s="150"/>
      <c r="AE22" s="150">
        <f t="shared" si="18"/>
        <v>0.93570440659754173</v>
      </c>
      <c r="AF22" s="314">
        <f t="shared" si="100"/>
        <v>239.81932586592734</v>
      </c>
      <c r="AG22" s="456">
        <f t="shared" si="19"/>
        <v>0.99241376457315034</v>
      </c>
      <c r="AI22" s="150">
        <f t="shared" si="20"/>
        <v>5.0167692123275476</v>
      </c>
      <c r="AJ22" s="150">
        <f t="shared" si="21"/>
        <v>6.0606060606060606</v>
      </c>
      <c r="AK22" s="150">
        <f t="shared" si="22"/>
        <v>1.13703961478053</v>
      </c>
      <c r="AM22" s="314">
        <f t="shared" si="23"/>
        <v>680</v>
      </c>
      <c r="AN22" s="144">
        <f t="shared" si="24"/>
        <v>239.81932586592734</v>
      </c>
      <c r="AP22">
        <f t="shared" si="25"/>
        <v>680</v>
      </c>
      <c r="AQ22" s="144">
        <f t="shared" si="26"/>
        <v>239.81932586592734</v>
      </c>
      <c r="AR22" s="144"/>
      <c r="AS22" s="5">
        <f t="shared" si="101"/>
        <v>4.1698057335006311</v>
      </c>
      <c r="AT22" s="5">
        <f t="shared" si="27"/>
        <v>0.83972269855270065</v>
      </c>
      <c r="AU22" s="5">
        <f t="shared" si="102"/>
        <v>3.3300830349479305</v>
      </c>
      <c r="AV22" s="5">
        <f t="shared" si="28"/>
        <v>0.93570440659754173</v>
      </c>
      <c r="AW22" s="150">
        <f t="shared" si="103"/>
        <v>0.20138173148122598</v>
      </c>
      <c r="AX22" s="150">
        <f t="shared" si="29"/>
        <v>20.700658063725587</v>
      </c>
      <c r="AY22" s="150">
        <f t="shared" si="30"/>
        <v>2.4200553591478</v>
      </c>
      <c r="AZ22" s="150">
        <f t="shared" si="104"/>
        <v>8.5537952615328319</v>
      </c>
      <c r="BA22" s="144">
        <f t="shared" si="31"/>
        <v>1.9033714500527883</v>
      </c>
      <c r="BB22" s="5">
        <f t="shared" si="32"/>
        <v>1.1780352550578441</v>
      </c>
      <c r="BC22" s="5"/>
      <c r="BD22" s="150">
        <f t="shared" si="105"/>
        <v>1.5702379298000506</v>
      </c>
      <c r="BE22" s="150">
        <f t="shared" si="33"/>
        <v>3.1269796051625001</v>
      </c>
      <c r="BF22" s="150"/>
      <c r="BG22" s="456">
        <f t="shared" si="34"/>
        <v>2.9587765874192984E-2</v>
      </c>
      <c r="BH22" s="456">
        <f t="shared" si="35"/>
        <v>1.7093582204469937</v>
      </c>
      <c r="BI22" s="456">
        <f t="shared" si="36"/>
        <v>2.7579222474581645E-2</v>
      </c>
      <c r="BJ22" s="456">
        <f t="shared" si="37"/>
        <v>0.51538823071489048</v>
      </c>
      <c r="BK22">
        <f t="shared" si="38"/>
        <v>1.5264779480505317E-2</v>
      </c>
      <c r="BL22" s="144">
        <f t="shared" si="106"/>
        <v>42.844001955086959</v>
      </c>
      <c r="BM22" s="456">
        <f t="shared" si="39"/>
        <v>2.2783397635027511</v>
      </c>
      <c r="BN22" s="144">
        <f t="shared" si="107"/>
        <v>2278.3397635027513</v>
      </c>
      <c r="BO22" s="456">
        <f t="shared" si="108"/>
        <v>0.45600799999999997</v>
      </c>
      <c r="BP22" s="456"/>
      <c r="BR22" s="144">
        <f t="shared" si="109"/>
        <v>456.00799999999998</v>
      </c>
      <c r="BS22" s="456">
        <f t="shared" si="40"/>
        <v>3.4519060186558481E-2</v>
      </c>
      <c r="BT22" s="456">
        <f t="shared" si="41"/>
        <v>0.13689202031543116</v>
      </c>
      <c r="BU22" s="456">
        <f t="shared" si="42"/>
        <v>4.0268976216082848</v>
      </c>
      <c r="BV22" s="456">
        <f t="shared" si="43"/>
        <v>4.2983907050444632</v>
      </c>
      <c r="BW22" s="456">
        <f t="shared" si="44"/>
        <v>0.8808790665415146</v>
      </c>
      <c r="BX22" s="144">
        <f t="shared" si="110"/>
        <v>5179.2697715859777</v>
      </c>
      <c r="BY22" s="150">
        <f t="shared" si="45"/>
        <v>7.9564615370438156</v>
      </c>
      <c r="BZ22" s="5">
        <f t="shared" si="111"/>
        <v>20.400000000000002</v>
      </c>
      <c r="CA22" s="150">
        <f t="shared" si="112"/>
        <v>0.71941275089454326</v>
      </c>
      <c r="CB22" s="5">
        <f t="shared" si="113"/>
        <v>71.941275089454322</v>
      </c>
      <c r="CE22" s="59">
        <f t="shared" si="46"/>
        <v>-50</v>
      </c>
      <c r="CF22">
        <f t="shared" si="47"/>
        <v>-50</v>
      </c>
      <c r="CG22" s="150">
        <f t="shared" si="48"/>
        <v>0.22589104630330087</v>
      </c>
      <c r="CI22" s="147">
        <v>17</v>
      </c>
      <c r="CJ22" s="188">
        <f t="shared" si="114"/>
        <v>0.68</v>
      </c>
      <c r="CK22" s="188"/>
      <c r="CL22" s="188">
        <f t="shared" si="49"/>
        <v>20.400000000000002</v>
      </c>
      <c r="CM22" s="465">
        <f t="shared" si="50"/>
        <v>34</v>
      </c>
      <c r="CN22" s="149">
        <f t="shared" si="51"/>
        <v>30.4</v>
      </c>
      <c r="CO22" s="379">
        <f t="shared" si="52"/>
        <v>64.400000000000006</v>
      </c>
      <c r="CP22" s="379"/>
      <c r="CQ22" s="188">
        <f t="shared" si="53"/>
        <v>0.47204968944099374</v>
      </c>
      <c r="CR22" s="149">
        <f t="shared" si="54"/>
        <v>244.918674788055</v>
      </c>
      <c r="CS22" s="149">
        <f t="shared" si="115"/>
        <v>20.400000000000002</v>
      </c>
      <c r="CT22" s="188">
        <f t="shared" si="55"/>
        <v>8.1639558262685004</v>
      </c>
      <c r="CU22" s="188">
        <f t="shared" si="56"/>
        <v>30</v>
      </c>
      <c r="CV22" s="188">
        <f t="shared" si="57"/>
        <v>8.1059037580776696</v>
      </c>
      <c r="CW22" s="149">
        <f t="shared" si="58"/>
        <v>723.59454224774936</v>
      </c>
      <c r="CX22" s="149">
        <f t="shared" si="59"/>
        <v>30</v>
      </c>
      <c r="CY22" s="188">
        <f t="shared" si="60"/>
        <v>2.5421052631578953</v>
      </c>
      <c r="CZ22" s="188">
        <f t="shared" si="61"/>
        <v>0.35140866873065024</v>
      </c>
      <c r="DA22" s="188">
        <f t="shared" si="62"/>
        <v>0.39302285318559566</v>
      </c>
      <c r="DB22" s="172">
        <f t="shared" si="63"/>
        <v>350</v>
      </c>
      <c r="DC22" s="379">
        <f t="shared" si="116"/>
        <v>350</v>
      </c>
      <c r="DE22" s="188">
        <f t="shared" si="64"/>
        <v>9.7566501161056465</v>
      </c>
      <c r="DF22" s="150">
        <f t="shared" si="65"/>
        <v>1.5084294587400178</v>
      </c>
      <c r="DG22" s="150">
        <f t="shared" si="66"/>
        <v>2.5755132294067704</v>
      </c>
      <c r="DH22" s="150"/>
      <c r="DI22" s="150">
        <f t="shared" si="67"/>
        <v>0.93700159489633172</v>
      </c>
      <c r="DJ22" s="314">
        <f t="shared" si="117"/>
        <v>239.48731914893619</v>
      </c>
      <c r="DK22" s="456">
        <f t="shared" si="68"/>
        <v>0.99378957034459414</v>
      </c>
      <c r="DM22" s="150">
        <f t="shared" si="69"/>
        <v>5.0132953931608846</v>
      </c>
      <c r="DN22" s="150">
        <f t="shared" si="70"/>
        <v>6.0606060606060606</v>
      </c>
      <c r="DO22" s="150">
        <f t="shared" si="71"/>
        <v>1.136849896656535</v>
      </c>
      <c r="DQ22" s="314">
        <f t="shared" si="72"/>
        <v>680</v>
      </c>
      <c r="DR22" s="144">
        <f t="shared" si="73"/>
        <v>239.48731914893619</v>
      </c>
      <c r="DT22">
        <f t="shared" si="74"/>
        <v>680</v>
      </c>
      <c r="DU22" s="144">
        <f t="shared" si="75"/>
        <v>239.48731914893619</v>
      </c>
      <c r="DV22" s="144"/>
      <c r="DW22" s="5">
        <f t="shared" si="118"/>
        <v>4.1755864300193037</v>
      </c>
      <c r="DX22" s="5">
        <f t="shared" si="76"/>
        <v>0.83778966131907295</v>
      </c>
      <c r="DY22" s="5">
        <f t="shared" si="119"/>
        <v>3.3377967687002306</v>
      </c>
      <c r="DZ22" s="5">
        <f t="shared" si="77"/>
        <v>0.93700159489633172</v>
      </c>
      <c r="EA22" s="150">
        <f t="shared" si="120"/>
        <v>0.20063999999999996</v>
      </c>
      <c r="EB22" s="150">
        <f t="shared" si="78"/>
        <v>20.672000000000001</v>
      </c>
      <c r="EC22" s="150">
        <f t="shared" si="79"/>
        <v>2.4223030303030306</v>
      </c>
      <c r="ED22" s="150">
        <f t="shared" si="121"/>
        <v>8.5340272217774213</v>
      </c>
      <c r="EE22" s="144">
        <f t="shared" si="80"/>
        <v>1.898989898989899</v>
      </c>
      <c r="EF22" s="5">
        <f t="shared" si="81"/>
        <v>1.1780459183647873</v>
      </c>
      <c r="EG22" s="5"/>
      <c r="EH22" s="150">
        <f t="shared" si="122"/>
        <v>1.5673435030540228</v>
      </c>
      <c r="EI22" s="150">
        <f t="shared" si="82"/>
        <v>3.128431388207086</v>
      </c>
      <c r="EJ22" s="150"/>
      <c r="EK22" s="456">
        <f t="shared" si="83"/>
        <v>2.9478787878787868E-2</v>
      </c>
      <c r="EL22" s="456">
        <f t="shared" si="84"/>
        <v>1.7759799012765962</v>
      </c>
      <c r="EM22" s="456">
        <f t="shared" si="85"/>
        <v>2.7541041702127664E-2</v>
      </c>
      <c r="EN22" s="456">
        <f t="shared" si="86"/>
        <v>0.51400176621181304</v>
      </c>
      <c r="EO22">
        <f t="shared" si="87"/>
        <v>1.5299999999999999E-2</v>
      </c>
      <c r="EP22" s="144">
        <f t="shared" si="123"/>
        <v>42.841041702127661</v>
      </c>
      <c r="EQ22" s="456">
        <f t="shared" si="88"/>
        <v>2.3869795565272431</v>
      </c>
      <c r="ER22" s="144">
        <f t="shared" si="124"/>
        <v>2386.9795565272429</v>
      </c>
      <c r="ES22" s="456">
        <f t="shared" si="125"/>
        <v>0.45600799999999997</v>
      </c>
      <c r="ET22" s="456"/>
      <c r="EV22" s="144">
        <f t="shared" si="126"/>
        <v>456.00799999999998</v>
      </c>
      <c r="EW22" s="456">
        <f t="shared" si="89"/>
        <v>3.4391919191919175E-2</v>
      </c>
      <c r="EX22" s="456">
        <f t="shared" si="90"/>
        <v>0.13701916131007041</v>
      </c>
      <c r="EY22" s="456">
        <f t="shared" si="91"/>
        <v>4.0129749612002463</v>
      </c>
      <c r="EZ22" s="456">
        <f t="shared" si="92"/>
        <v>4.2842744703125835</v>
      </c>
      <c r="FA22" s="456">
        <f t="shared" si="93"/>
        <v>0.87965957446808529</v>
      </c>
      <c r="FB22" s="144">
        <f t="shared" si="127"/>
        <v>5163.934044780669</v>
      </c>
      <c r="FC22" s="150">
        <f t="shared" si="128"/>
        <v>8.0069216013079121</v>
      </c>
      <c r="FD22" s="5">
        <f t="shared" si="129"/>
        <v>20.400000000000002</v>
      </c>
      <c r="FE22" s="150">
        <f t="shared" si="130"/>
        <v>0.71813483651325116</v>
      </c>
      <c r="FF22" s="5">
        <f t="shared" si="131"/>
        <v>71.813483651325114</v>
      </c>
      <c r="FI22" s="59">
        <f t="shared" si="94"/>
        <v>-50</v>
      </c>
      <c r="FJ22">
        <f t="shared" si="95"/>
        <v>-50</v>
      </c>
      <c r="FL22">
        <f t="shared" si="96"/>
        <v>0.22440000000000002</v>
      </c>
    </row>
    <row r="23" spans="5:168">
      <c r="E23" s="147">
        <v>18</v>
      </c>
      <c r="F23" s="188">
        <f t="shared" si="97"/>
        <v>0.72</v>
      </c>
      <c r="G23" s="188"/>
      <c r="H23" s="188">
        <f t="shared" si="0"/>
        <v>21.599999999999998</v>
      </c>
      <c r="I23" s="465">
        <f t="shared" si="1"/>
        <v>33.921732178900704</v>
      </c>
      <c r="J23" s="149">
        <f t="shared" si="2"/>
        <v>30.44214421136116</v>
      </c>
      <c r="K23" s="149">
        <f t="shared" si="3"/>
        <v>64.442144211361153</v>
      </c>
      <c r="L23" s="379"/>
      <c r="M23" s="188">
        <f t="shared" si="4"/>
        <v>0.4729716962830906</v>
      </c>
      <c r="N23" s="149">
        <f t="shared" si="5"/>
        <v>244.83214690946005</v>
      </c>
      <c r="O23" s="149">
        <f t="shared" si="98"/>
        <v>21.599999999999998</v>
      </c>
      <c r="P23" s="188">
        <f t="shared" si="6"/>
        <v>8.1610715636486688</v>
      </c>
      <c r="Q23" s="188">
        <f t="shared" si="7"/>
        <v>30</v>
      </c>
      <c r="R23" s="188">
        <f t="shared" si="8"/>
        <v>8.1030400048057416</v>
      </c>
      <c r="S23" s="149">
        <f t="shared" si="9"/>
        <v>679.93937720837459</v>
      </c>
      <c r="T23" s="149">
        <f t="shared" si="10"/>
        <v>30</v>
      </c>
      <c r="U23" s="188">
        <f t="shared" si="99"/>
        <v>2.732301073479896</v>
      </c>
      <c r="V23" s="188">
        <f t="shared" si="11"/>
        <v>0.3785719130623616</v>
      </c>
      <c r="W23" s="188">
        <f t="shared" si="12"/>
        <v>0.42184331551004484</v>
      </c>
      <c r="X23" s="172">
        <f t="shared" si="13"/>
        <v>350</v>
      </c>
      <c r="Y23" s="379">
        <f t="shared" si="14"/>
        <v>350</v>
      </c>
      <c r="AA23" s="188">
        <f t="shared" si="15"/>
        <v>9.7531558833286915</v>
      </c>
      <c r="AB23" s="150">
        <f t="shared" si="16"/>
        <v>1.5058017048134604</v>
      </c>
      <c r="AC23" s="150">
        <f t="shared" si="17"/>
        <v>2.5701057823748608</v>
      </c>
      <c r="AD23" s="150"/>
      <c r="AE23" s="150">
        <f t="shared" si="18"/>
        <v>0.93570440659754173</v>
      </c>
      <c r="AF23" s="314">
        <f t="shared" si="100"/>
        <v>253.92634503451126</v>
      </c>
      <c r="AG23" s="456">
        <f t="shared" si="19"/>
        <v>0.99241376457315034</v>
      </c>
      <c r="AI23" s="150">
        <f t="shared" si="20"/>
        <v>5.1622129314040368</v>
      </c>
      <c r="AJ23" s="150">
        <f t="shared" si="21"/>
        <v>6.0606060606060606</v>
      </c>
      <c r="AK23" s="150">
        <f t="shared" si="22"/>
        <v>1.1451007685911492</v>
      </c>
      <c r="AM23" s="314">
        <f t="shared" si="23"/>
        <v>720</v>
      </c>
      <c r="AN23" s="144">
        <f t="shared" si="24"/>
        <v>253.92634503451126</v>
      </c>
      <c r="AP23">
        <f t="shared" si="25"/>
        <v>720</v>
      </c>
      <c r="AQ23" s="144">
        <f t="shared" si="26"/>
        <v>253.92634503451126</v>
      </c>
      <c r="AR23" s="144"/>
      <c r="AS23" s="5">
        <f t="shared" si="101"/>
        <v>3.9381498594172633</v>
      </c>
      <c r="AT23" s="5">
        <f t="shared" si="27"/>
        <v>0.83972269855270065</v>
      </c>
      <c r="AU23" s="5">
        <f t="shared" si="102"/>
        <v>3.0984271608645626</v>
      </c>
      <c r="AV23" s="5">
        <f t="shared" si="28"/>
        <v>0.93570440659754173</v>
      </c>
      <c r="AW23" s="150">
        <f t="shared" si="103"/>
        <v>0.21322771568600396</v>
      </c>
      <c r="AX23" s="150">
        <f t="shared" si="29"/>
        <v>21.918343832180032</v>
      </c>
      <c r="AY23" s="150">
        <f t="shared" si="30"/>
        <v>2.3841584373151394</v>
      </c>
      <c r="AZ23" s="150">
        <f t="shared" si="104"/>
        <v>9.1933251956454818</v>
      </c>
      <c r="BA23" s="144">
        <f t="shared" si="31"/>
        <v>2.0153344765264811</v>
      </c>
      <c r="BB23" s="5">
        <f t="shared" si="32"/>
        <v>1.1605613409562174</v>
      </c>
      <c r="BC23" s="5"/>
      <c r="BD23" s="150">
        <f t="shared" si="105"/>
        <v>1.6157614997868646</v>
      </c>
      <c r="BE23" s="150">
        <f t="shared" si="33"/>
        <v>3.1037015615376866</v>
      </c>
      <c r="BF23" s="150"/>
      <c r="BG23" s="456">
        <f t="shared" si="34"/>
        <v>3.1328222690321976E-2</v>
      </c>
      <c r="BH23" s="456">
        <f t="shared" si="35"/>
        <v>1.8099087040026987</v>
      </c>
      <c r="BI23" s="456">
        <f t="shared" si="36"/>
        <v>2.9201529678968798E-2</v>
      </c>
      <c r="BJ23" s="456">
        <f t="shared" si="37"/>
        <v>0.5457051854628252</v>
      </c>
      <c r="BK23">
        <f t="shared" si="38"/>
        <v>1.5264779480505317E-2</v>
      </c>
      <c r="BL23" s="144">
        <f t="shared" si="106"/>
        <v>44.466309159474115</v>
      </c>
      <c r="BM23" s="456">
        <f t="shared" si="39"/>
        <v>2.4133648201736393</v>
      </c>
      <c r="BN23" s="144">
        <f t="shared" si="107"/>
        <v>2413.3648201736391</v>
      </c>
      <c r="BO23" s="456">
        <f t="shared" si="108"/>
        <v>0.48283199999999998</v>
      </c>
      <c r="BP23" s="456"/>
      <c r="BR23" s="144">
        <f t="shared" si="109"/>
        <v>482.83199999999999</v>
      </c>
      <c r="BS23" s="456">
        <f t="shared" si="40"/>
        <v>3.6549593138708973E-2</v>
      </c>
      <c r="BT23" s="456">
        <f t="shared" si="41"/>
        <v>0.13486148736328066</v>
      </c>
      <c r="BU23" s="456">
        <f t="shared" si="42"/>
        <v>4.6454688011778975</v>
      </c>
      <c r="BV23" s="456">
        <f t="shared" si="43"/>
        <v>4.9255622163267931</v>
      </c>
      <c r="BW23" s="456">
        <f t="shared" si="44"/>
        <v>0.93269548222042709</v>
      </c>
      <c r="BX23" s="144">
        <f t="shared" si="110"/>
        <v>5858.2576985472206</v>
      </c>
      <c r="BY23" s="150">
        <f t="shared" si="45"/>
        <v>8.7989208278803357</v>
      </c>
      <c r="BZ23" s="5">
        <f t="shared" si="111"/>
        <v>21.599999999999998</v>
      </c>
      <c r="CA23" s="150">
        <f t="shared" si="112"/>
        <v>0.71055153971747531</v>
      </c>
      <c r="CB23" s="5">
        <f t="shared" si="113"/>
        <v>71.055153971747529</v>
      </c>
      <c r="CE23" s="59">
        <f t="shared" si="46"/>
        <v>-50</v>
      </c>
      <c r="CF23">
        <f t="shared" si="47"/>
        <v>-50</v>
      </c>
      <c r="CG23" s="150">
        <f t="shared" si="48"/>
        <v>0.23917875490937737</v>
      </c>
      <c r="CI23" s="147">
        <v>18</v>
      </c>
      <c r="CJ23" s="188">
        <f t="shared" si="114"/>
        <v>0.72</v>
      </c>
      <c r="CK23" s="188"/>
      <c r="CL23" s="188">
        <f t="shared" si="49"/>
        <v>21.599999999999998</v>
      </c>
      <c r="CM23" s="465">
        <f t="shared" si="50"/>
        <v>34</v>
      </c>
      <c r="CN23" s="149">
        <f t="shared" si="51"/>
        <v>30.4</v>
      </c>
      <c r="CO23" s="379">
        <f t="shared" si="52"/>
        <v>64.400000000000006</v>
      </c>
      <c r="CP23" s="379"/>
      <c r="CQ23" s="188">
        <f t="shared" si="53"/>
        <v>0.47204968944099374</v>
      </c>
      <c r="CR23" s="149">
        <f t="shared" si="54"/>
        <v>244.918674788055</v>
      </c>
      <c r="CS23" s="149">
        <f t="shared" si="115"/>
        <v>21.599999999999998</v>
      </c>
      <c r="CT23" s="188">
        <f t="shared" si="55"/>
        <v>8.1639558262685004</v>
      </c>
      <c r="CU23" s="188">
        <f t="shared" si="56"/>
        <v>30</v>
      </c>
      <c r="CV23" s="188">
        <f t="shared" si="57"/>
        <v>8.1059037580776696</v>
      </c>
      <c r="CW23" s="149">
        <f t="shared" si="58"/>
        <v>681.50815952292169</v>
      </c>
      <c r="CX23" s="149">
        <f t="shared" si="59"/>
        <v>30</v>
      </c>
      <c r="CY23" s="188">
        <f t="shared" si="60"/>
        <v>2.6916408668730649</v>
      </c>
      <c r="CZ23" s="188">
        <f t="shared" si="61"/>
        <v>0.37207976689127659</v>
      </c>
      <c r="DA23" s="188">
        <f t="shared" si="62"/>
        <v>0.41614184454945413</v>
      </c>
      <c r="DB23" s="172">
        <f t="shared" si="63"/>
        <v>350</v>
      </c>
      <c r="DC23" s="379">
        <f t="shared" si="116"/>
        <v>350</v>
      </c>
      <c r="DE23" s="188">
        <f t="shared" si="64"/>
        <v>9.7566501161056465</v>
      </c>
      <c r="DF23" s="150">
        <f t="shared" si="65"/>
        <v>1.5084294587400178</v>
      </c>
      <c r="DG23" s="150">
        <f t="shared" si="66"/>
        <v>2.5755132294067704</v>
      </c>
      <c r="DH23" s="150"/>
      <c r="DI23" s="150">
        <f t="shared" si="67"/>
        <v>0.93700159489633172</v>
      </c>
      <c r="DJ23" s="314">
        <f t="shared" si="117"/>
        <v>253.57480851063832</v>
      </c>
      <c r="DK23" s="456">
        <f t="shared" si="68"/>
        <v>0.99378957034459414</v>
      </c>
      <c r="DM23" s="150">
        <f t="shared" si="69"/>
        <v>5.1586384009712951</v>
      </c>
      <c r="DN23" s="150">
        <f t="shared" si="70"/>
        <v>6.0606060606060606</v>
      </c>
      <c r="DO23" s="150">
        <f t="shared" si="71"/>
        <v>1.1448998905775076</v>
      </c>
      <c r="DQ23" s="314">
        <f t="shared" si="72"/>
        <v>720</v>
      </c>
      <c r="DR23" s="144">
        <f t="shared" si="73"/>
        <v>253.57480851063832</v>
      </c>
      <c r="DT23">
        <f t="shared" si="74"/>
        <v>720</v>
      </c>
      <c r="DU23" s="144">
        <f t="shared" si="75"/>
        <v>253.57480851063832</v>
      </c>
      <c r="DV23" s="144"/>
      <c r="DW23" s="5">
        <f t="shared" si="118"/>
        <v>3.9436094061293416</v>
      </c>
      <c r="DX23" s="5">
        <f t="shared" si="76"/>
        <v>0.83778966131907295</v>
      </c>
      <c r="DY23" s="5">
        <f t="shared" si="119"/>
        <v>3.1058197448102689</v>
      </c>
      <c r="DZ23" s="5">
        <f t="shared" si="77"/>
        <v>0.93700159489633172</v>
      </c>
      <c r="EA23" s="150">
        <f t="shared" si="120"/>
        <v>0.21244235294117647</v>
      </c>
      <c r="EB23" s="150">
        <f t="shared" si="78"/>
        <v>21.887999999999998</v>
      </c>
      <c r="EC23" s="150">
        <f t="shared" si="79"/>
        <v>2.3865383244206773</v>
      </c>
      <c r="ED23" s="150">
        <f t="shared" si="121"/>
        <v>9.1714429121154897</v>
      </c>
      <c r="EE23" s="144">
        <f t="shared" si="80"/>
        <v>2.010695187165775</v>
      </c>
      <c r="EF23" s="5">
        <f t="shared" si="81"/>
        <v>1.160652361382384</v>
      </c>
      <c r="EG23" s="5"/>
      <c r="EH23" s="150">
        <f t="shared" si="122"/>
        <v>1.6127831592364108</v>
      </c>
      <c r="EI23" s="150">
        <f t="shared" si="82"/>
        <v>3.1052502457239086</v>
      </c>
      <c r="EJ23" s="150"/>
      <c r="EK23" s="456">
        <f t="shared" si="83"/>
        <v>3.1212834224598935E-2</v>
      </c>
      <c r="EL23" s="456">
        <f t="shared" si="84"/>
        <v>1.8804493072340429</v>
      </c>
      <c r="EM23" s="456">
        <f t="shared" si="85"/>
        <v>2.9161102978723409E-2</v>
      </c>
      <c r="EN23" s="456">
        <f t="shared" si="86"/>
        <v>0.5442371642242726</v>
      </c>
      <c r="EO23">
        <f t="shared" si="87"/>
        <v>1.5299999999999999E-2</v>
      </c>
      <c r="EP23" s="144">
        <f t="shared" si="123"/>
        <v>44.46110297872341</v>
      </c>
      <c r="EQ23" s="456">
        <f t="shared" si="88"/>
        <v>2.5275324829898707</v>
      </c>
      <c r="ER23" s="144">
        <f t="shared" si="124"/>
        <v>2527.5324829898705</v>
      </c>
      <c r="ES23" s="456">
        <f t="shared" si="125"/>
        <v>0.48283199999999998</v>
      </c>
      <c r="ET23" s="456"/>
      <c r="EV23" s="144">
        <f t="shared" si="126"/>
        <v>482.83199999999999</v>
      </c>
      <c r="EW23" s="456">
        <f t="shared" si="89"/>
        <v>3.6414973262032094E-2</v>
      </c>
      <c r="EX23" s="456">
        <f t="shared" si="90"/>
        <v>0.13499610723995753</v>
      </c>
      <c r="EY23" s="456">
        <f t="shared" si="91"/>
        <v>4.6294074828548668</v>
      </c>
      <c r="EZ23" s="456">
        <f t="shared" si="92"/>
        <v>4.9092775887551525</v>
      </c>
      <c r="FA23" s="456">
        <f t="shared" si="93"/>
        <v>0.93140425531914905</v>
      </c>
      <c r="FB23" s="144">
        <f t="shared" si="127"/>
        <v>5840.6818440743018</v>
      </c>
      <c r="FC23" s="150">
        <f t="shared" si="128"/>
        <v>8.8510463270641733</v>
      </c>
      <c r="FD23" s="5">
        <f t="shared" si="129"/>
        <v>21.599999999999998</v>
      </c>
      <c r="FE23" s="150">
        <f t="shared" si="130"/>
        <v>0.70933523163709578</v>
      </c>
      <c r="FF23" s="5">
        <f t="shared" si="131"/>
        <v>70.93352316370958</v>
      </c>
      <c r="FI23" s="59">
        <f t="shared" si="94"/>
        <v>-50</v>
      </c>
      <c r="FJ23">
        <f t="shared" si="95"/>
        <v>-50</v>
      </c>
      <c r="FL23">
        <f t="shared" si="96"/>
        <v>0.23760000000000001</v>
      </c>
    </row>
    <row r="24" spans="5:168">
      <c r="E24" s="147">
        <v>19</v>
      </c>
      <c r="F24" s="188">
        <f t="shared" si="97"/>
        <v>0.76</v>
      </c>
      <c r="G24" s="188"/>
      <c r="H24" s="188">
        <f t="shared" si="0"/>
        <v>22.8</v>
      </c>
      <c r="I24" s="465">
        <f t="shared" si="1"/>
        <v>33.921732178900704</v>
      </c>
      <c r="J24" s="149">
        <f t="shared" si="2"/>
        <v>30.44214421136116</v>
      </c>
      <c r="K24" s="149">
        <f t="shared" si="3"/>
        <v>64.442144211361153</v>
      </c>
      <c r="L24" s="379"/>
      <c r="M24" s="188">
        <f t="shared" si="4"/>
        <v>0.4729716962830906</v>
      </c>
      <c r="N24" s="149">
        <f t="shared" si="5"/>
        <v>244.83214690946005</v>
      </c>
      <c r="O24" s="149">
        <f t="shared" si="98"/>
        <v>22.8</v>
      </c>
      <c r="P24" s="188">
        <f t="shared" si="6"/>
        <v>8.1610715636486688</v>
      </c>
      <c r="Q24" s="188">
        <f t="shared" si="7"/>
        <v>30</v>
      </c>
      <c r="R24" s="188">
        <f t="shared" si="8"/>
        <v>8.1030400048057416</v>
      </c>
      <c r="S24" s="149">
        <f t="shared" si="9"/>
        <v>642.36995526896612</v>
      </c>
      <c r="T24" s="149">
        <f t="shared" si="10"/>
        <v>30</v>
      </c>
      <c r="U24" s="188">
        <f t="shared" si="99"/>
        <v>2.8840955775621127</v>
      </c>
      <c r="V24" s="188">
        <f t="shared" si="11"/>
        <v>0.39960368601027058</v>
      </c>
      <c r="W24" s="188">
        <f t="shared" si="12"/>
        <v>0.44527905526060291</v>
      </c>
      <c r="X24" s="172">
        <f t="shared" si="13"/>
        <v>350</v>
      </c>
      <c r="Y24" s="379">
        <f t="shared" si="14"/>
        <v>350</v>
      </c>
      <c r="AA24" s="188">
        <f t="shared" si="15"/>
        <v>9.7531558833286915</v>
      </c>
      <c r="AB24" s="150">
        <f t="shared" si="16"/>
        <v>1.5058017048134604</v>
      </c>
      <c r="AC24" s="150">
        <f t="shared" si="17"/>
        <v>2.5701057823748608</v>
      </c>
      <c r="AD24" s="150"/>
      <c r="AE24" s="150">
        <f t="shared" si="18"/>
        <v>0.93570440659754173</v>
      </c>
      <c r="AF24" s="314">
        <f t="shared" si="100"/>
        <v>268.03336420309518</v>
      </c>
      <c r="AG24" s="456">
        <f t="shared" si="19"/>
        <v>0.99241376457315034</v>
      </c>
      <c r="AI24" s="150">
        <f t="shared" si="20"/>
        <v>5.3036696134424295</v>
      </c>
      <c r="AJ24" s="150">
        <f t="shared" si="21"/>
        <v>6.0606060606060606</v>
      </c>
      <c r="AK24" s="150">
        <f t="shared" si="22"/>
        <v>1.1531619224017686</v>
      </c>
      <c r="AM24" s="314">
        <f t="shared" si="23"/>
        <v>760</v>
      </c>
      <c r="AN24" s="144">
        <f t="shared" si="24"/>
        <v>268.03336420309518</v>
      </c>
      <c r="AP24">
        <f t="shared" si="25"/>
        <v>760</v>
      </c>
      <c r="AQ24" s="144">
        <f t="shared" si="26"/>
        <v>268.03336420309518</v>
      </c>
      <c r="AR24" s="144"/>
      <c r="AS24" s="5">
        <f t="shared" si="101"/>
        <v>3.7308788141847766</v>
      </c>
      <c r="AT24" s="5">
        <f t="shared" si="27"/>
        <v>0.83972269855270065</v>
      </c>
      <c r="AU24" s="5">
        <f t="shared" si="102"/>
        <v>2.891156115632076</v>
      </c>
      <c r="AV24" s="5">
        <f t="shared" si="28"/>
        <v>0.93570440659754173</v>
      </c>
      <c r="AW24" s="150">
        <f t="shared" si="103"/>
        <v>0.22507369989078191</v>
      </c>
      <c r="AX24" s="150">
        <f t="shared" si="29"/>
        <v>23.136029600634476</v>
      </c>
      <c r="AY24" s="150">
        <f t="shared" si="30"/>
        <v>2.3482615154824793</v>
      </c>
      <c r="AZ24" s="150">
        <f t="shared" si="104"/>
        <v>9.8524075994495419</v>
      </c>
      <c r="BA24" s="144">
        <f t="shared" si="31"/>
        <v>2.1272975030001753</v>
      </c>
      <c r="BB24" s="5">
        <f t="shared" si="32"/>
        <v>1.1430874268545912</v>
      </c>
      <c r="BC24" s="5"/>
      <c r="BD24" s="150">
        <f t="shared" si="105"/>
        <v>1.6600371357907171</v>
      </c>
      <c r="BE24" s="150">
        <f t="shared" si="33"/>
        <v>3.0802476061318065</v>
      </c>
      <c r="BF24" s="150"/>
      <c r="BG24" s="456">
        <f t="shared" si="34"/>
        <v>3.3068679506450975E-2</v>
      </c>
      <c r="BH24" s="456">
        <f t="shared" si="35"/>
        <v>1.910459187558404</v>
      </c>
      <c r="BI24" s="456">
        <f t="shared" si="36"/>
        <v>3.0823836883355948E-2</v>
      </c>
      <c r="BJ24" s="456">
        <f t="shared" si="37"/>
        <v>0.57602214021075981</v>
      </c>
      <c r="BK24">
        <f t="shared" si="38"/>
        <v>1.5264779480505317E-2</v>
      </c>
      <c r="BL24" s="144">
        <f t="shared" si="106"/>
        <v>46.088616363861263</v>
      </c>
      <c r="BM24" s="456">
        <f t="shared" si="39"/>
        <v>2.5485024357422636</v>
      </c>
      <c r="BN24" s="144">
        <f t="shared" si="107"/>
        <v>2548.5024357422635</v>
      </c>
      <c r="BO24" s="456">
        <f t="shared" si="108"/>
        <v>0.50965599999999989</v>
      </c>
      <c r="BP24" s="456"/>
      <c r="BR24" s="144">
        <f t="shared" si="109"/>
        <v>509.65599999999989</v>
      </c>
      <c r="BS24" s="456">
        <f t="shared" si="40"/>
        <v>3.8580126090859465E-2</v>
      </c>
      <c r="BT24" s="456">
        <f t="shared" si="41"/>
        <v>0.13283095441113016</v>
      </c>
      <c r="BU24" s="456">
        <f t="shared" si="42"/>
        <v>5.3178035221859528</v>
      </c>
      <c r="BV24" s="456">
        <f t="shared" si="43"/>
        <v>5.6072447728202812</v>
      </c>
      <c r="BW24" s="456">
        <f t="shared" si="44"/>
        <v>0.98451189789933946</v>
      </c>
      <c r="BX24" s="144">
        <f t="shared" si="110"/>
        <v>6591.7566707196202</v>
      </c>
      <c r="BY24" s="150">
        <f t="shared" si="45"/>
        <v>9.6960037228257452</v>
      </c>
      <c r="BZ24" s="5">
        <f t="shared" si="111"/>
        <v>22.8</v>
      </c>
      <c r="CA24" s="150">
        <f t="shared" si="112"/>
        <v>0.70162473498194766</v>
      </c>
      <c r="CB24" s="5">
        <f t="shared" si="113"/>
        <v>70.162473498194771</v>
      </c>
      <c r="CE24" s="59">
        <f t="shared" si="46"/>
        <v>-50</v>
      </c>
      <c r="CF24">
        <f t="shared" si="47"/>
        <v>-50</v>
      </c>
      <c r="CG24" s="150">
        <f t="shared" si="48"/>
        <v>0.25246646351545388</v>
      </c>
      <c r="CI24" s="147">
        <v>19</v>
      </c>
      <c r="CJ24" s="188">
        <f t="shared" si="114"/>
        <v>0.76</v>
      </c>
      <c r="CK24" s="188"/>
      <c r="CL24" s="188">
        <f t="shared" si="49"/>
        <v>22.8</v>
      </c>
      <c r="CM24" s="465">
        <f t="shared" si="50"/>
        <v>34</v>
      </c>
      <c r="CN24" s="149">
        <f t="shared" si="51"/>
        <v>30.4</v>
      </c>
      <c r="CO24" s="379">
        <f t="shared" si="52"/>
        <v>64.400000000000006</v>
      </c>
      <c r="CP24" s="379"/>
      <c r="CQ24" s="188">
        <f t="shared" si="53"/>
        <v>0.47204968944099374</v>
      </c>
      <c r="CR24" s="149">
        <f t="shared" si="54"/>
        <v>244.918674788055</v>
      </c>
      <c r="CS24" s="149">
        <f t="shared" si="115"/>
        <v>22.8</v>
      </c>
      <c r="CT24" s="188">
        <f t="shared" si="55"/>
        <v>8.1639558262685004</v>
      </c>
      <c r="CU24" s="188">
        <f t="shared" si="56"/>
        <v>30</v>
      </c>
      <c r="CV24" s="188">
        <f t="shared" si="57"/>
        <v>8.1059037580776696</v>
      </c>
      <c r="CW24" s="149">
        <f t="shared" si="58"/>
        <v>643.85205073925783</v>
      </c>
      <c r="CX24" s="149">
        <f t="shared" si="59"/>
        <v>30</v>
      </c>
      <c r="CY24" s="188">
        <f t="shared" si="60"/>
        <v>2.8411764705882354</v>
      </c>
      <c r="CZ24" s="188">
        <f t="shared" si="61"/>
        <v>0.3927508650519031</v>
      </c>
      <c r="DA24" s="188">
        <f t="shared" si="62"/>
        <v>0.43926083591331272</v>
      </c>
      <c r="DB24" s="172">
        <f t="shared" si="63"/>
        <v>350</v>
      </c>
      <c r="DC24" s="379">
        <f t="shared" si="116"/>
        <v>350</v>
      </c>
      <c r="DE24" s="188">
        <f t="shared" si="64"/>
        <v>9.7566501161056465</v>
      </c>
      <c r="DF24" s="150">
        <f t="shared" si="65"/>
        <v>1.5084294587400178</v>
      </c>
      <c r="DG24" s="150">
        <f t="shared" si="66"/>
        <v>2.5755132294067704</v>
      </c>
      <c r="DH24" s="150"/>
      <c r="DI24" s="150">
        <f t="shared" si="67"/>
        <v>0.93700159489633172</v>
      </c>
      <c r="DJ24" s="314">
        <f t="shared" si="117"/>
        <v>267.66229787234045</v>
      </c>
      <c r="DK24" s="456">
        <f t="shared" si="68"/>
        <v>0.99378957034459414</v>
      </c>
      <c r="DM24" s="150">
        <f t="shared" si="69"/>
        <v>5.2999971325334903</v>
      </c>
      <c r="DN24" s="150">
        <f t="shared" si="70"/>
        <v>6.0606060606060606</v>
      </c>
      <c r="DO24" s="150">
        <f t="shared" si="71"/>
        <v>1.1529498844984802</v>
      </c>
      <c r="DQ24" s="314">
        <f t="shared" si="72"/>
        <v>760</v>
      </c>
      <c r="DR24" s="144">
        <f t="shared" si="73"/>
        <v>267.66229787234045</v>
      </c>
      <c r="DT24">
        <f t="shared" si="74"/>
        <v>760</v>
      </c>
      <c r="DU24" s="144">
        <f t="shared" si="75"/>
        <v>267.66229787234045</v>
      </c>
      <c r="DV24" s="144"/>
      <c r="DW24" s="5">
        <f t="shared" si="118"/>
        <v>3.7360510163330609</v>
      </c>
      <c r="DX24" s="5">
        <f t="shared" si="76"/>
        <v>0.83778966131907295</v>
      </c>
      <c r="DY24" s="5">
        <f t="shared" si="119"/>
        <v>2.8982613550139877</v>
      </c>
      <c r="DZ24" s="5">
        <f t="shared" si="77"/>
        <v>0.93700159489633172</v>
      </c>
      <c r="EA24" s="150">
        <f t="shared" si="120"/>
        <v>0.22424470588235293</v>
      </c>
      <c r="EB24" s="150">
        <f t="shared" si="78"/>
        <v>23.103999999999999</v>
      </c>
      <c r="EC24" s="150">
        <f t="shared" si="79"/>
        <v>2.3507736185383243</v>
      </c>
      <c r="ED24" s="150">
        <f t="shared" si="121"/>
        <v>9.8282539066291363</v>
      </c>
      <c r="EE24" s="144">
        <f t="shared" si="80"/>
        <v>2.1224004753416512</v>
      </c>
      <c r="EF24" s="5">
        <f t="shared" si="81"/>
        <v>1.1432588043999814</v>
      </c>
      <c r="EG24" s="5"/>
      <c r="EH24" s="150">
        <f t="shared" si="122"/>
        <v>1.6569771817582457</v>
      </c>
      <c r="EI24" s="150">
        <f t="shared" si="82"/>
        <v>3.0818947461614377</v>
      </c>
      <c r="EJ24" s="150"/>
      <c r="EK24" s="456">
        <f t="shared" si="83"/>
        <v>3.2946880570409981E-2</v>
      </c>
      <c r="EL24" s="456">
        <f t="shared" si="84"/>
        <v>1.9849187131914896</v>
      </c>
      <c r="EM24" s="456">
        <f t="shared" si="85"/>
        <v>3.0781164255319154E-2</v>
      </c>
      <c r="EN24" s="456">
        <f t="shared" si="86"/>
        <v>0.57447256223673215</v>
      </c>
      <c r="EO24">
        <f t="shared" si="87"/>
        <v>1.5299999999999999E-2</v>
      </c>
      <c r="EP24" s="144">
        <f t="shared" si="123"/>
        <v>46.081164255319159</v>
      </c>
      <c r="EQ24" s="456">
        <f t="shared" si="88"/>
        <v>2.6682021415090182</v>
      </c>
      <c r="ER24" s="144">
        <f t="shared" si="124"/>
        <v>2668.202141509018</v>
      </c>
      <c r="ES24" s="456">
        <f t="shared" si="125"/>
        <v>0.50965599999999989</v>
      </c>
      <c r="ET24" s="456"/>
      <c r="EV24" s="144">
        <f t="shared" si="126"/>
        <v>509.65599999999989</v>
      </c>
      <c r="EW24" s="456">
        <f t="shared" si="89"/>
        <v>3.8438027332144978E-2</v>
      </c>
      <c r="EX24" s="456">
        <f t="shared" si="90"/>
        <v>0.13297305316984459</v>
      </c>
      <c r="EY24" s="456">
        <f t="shared" si="91"/>
        <v>5.2994176630176586</v>
      </c>
      <c r="EZ24" s="456">
        <f t="shared" si="92"/>
        <v>5.5886032850470775</v>
      </c>
      <c r="FA24" s="456">
        <f t="shared" si="93"/>
        <v>0.98314893617021282</v>
      </c>
      <c r="FB24" s="144">
        <f t="shared" si="127"/>
        <v>6571.7522212172898</v>
      </c>
      <c r="FC24" s="150">
        <f t="shared" si="128"/>
        <v>9.7496103627263082</v>
      </c>
      <c r="FD24" s="5">
        <f t="shared" si="129"/>
        <v>22.8</v>
      </c>
      <c r="FE24" s="150">
        <f t="shared" si="130"/>
        <v>0.70046921440599086</v>
      </c>
      <c r="FF24" s="5">
        <f t="shared" si="131"/>
        <v>70.046921440599093</v>
      </c>
      <c r="FI24" s="59">
        <f t="shared" si="94"/>
        <v>-50</v>
      </c>
      <c r="FJ24">
        <f t="shared" si="95"/>
        <v>-50</v>
      </c>
      <c r="FL24">
        <f t="shared" si="96"/>
        <v>0.25080000000000002</v>
      </c>
    </row>
    <row r="25" spans="5:168">
      <c r="E25" s="147">
        <v>20</v>
      </c>
      <c r="F25" s="188">
        <f t="shared" si="97"/>
        <v>0.8</v>
      </c>
      <c r="G25" s="188"/>
      <c r="H25" s="188">
        <f t="shared" si="0"/>
        <v>24</v>
      </c>
      <c r="I25" s="465">
        <f t="shared" si="1"/>
        <v>33.921732178900704</v>
      </c>
      <c r="J25" s="149">
        <f t="shared" si="2"/>
        <v>30.44214421136116</v>
      </c>
      <c r="K25" s="149">
        <f t="shared" si="3"/>
        <v>64.442144211361153</v>
      </c>
      <c r="L25" s="379"/>
      <c r="M25" s="188">
        <f t="shared" si="4"/>
        <v>0.4729716962830906</v>
      </c>
      <c r="N25" s="149">
        <f t="shared" si="5"/>
        <v>244.83214690946005</v>
      </c>
      <c r="O25" s="149">
        <f t="shared" si="98"/>
        <v>24</v>
      </c>
      <c r="P25" s="188">
        <f t="shared" si="6"/>
        <v>8.1610715636486688</v>
      </c>
      <c r="Q25" s="188">
        <f t="shared" si="7"/>
        <v>30</v>
      </c>
      <c r="R25" s="188">
        <f t="shared" si="8"/>
        <v>8.1030400048057416</v>
      </c>
      <c r="S25" s="149">
        <f t="shared" si="9"/>
        <v>608.55759849914534</v>
      </c>
      <c r="T25" s="149">
        <f t="shared" si="10"/>
        <v>30</v>
      </c>
      <c r="U25" s="188">
        <f t="shared" si="99"/>
        <v>3.0358900816443293</v>
      </c>
      <c r="V25" s="188">
        <f t="shared" si="11"/>
        <v>0.42063545895817955</v>
      </c>
      <c r="W25" s="188">
        <f t="shared" si="12"/>
        <v>0.46871479501116098</v>
      </c>
      <c r="X25" s="172">
        <f t="shared" si="13"/>
        <v>350</v>
      </c>
      <c r="Y25" s="379">
        <f t="shared" si="14"/>
        <v>350</v>
      </c>
      <c r="AA25" s="188">
        <f t="shared" si="15"/>
        <v>9.7531558833286915</v>
      </c>
      <c r="AB25" s="150">
        <f t="shared" si="16"/>
        <v>1.5058017048134604</v>
      </c>
      <c r="AC25" s="150">
        <f t="shared" si="17"/>
        <v>2.5701057823748608</v>
      </c>
      <c r="AD25" s="150"/>
      <c r="AE25" s="150">
        <f t="shared" si="18"/>
        <v>0.93570440659754173</v>
      </c>
      <c r="AF25" s="314">
        <f t="shared" si="100"/>
        <v>282.14038337167915</v>
      </c>
      <c r="AG25" s="456">
        <f t="shared" si="19"/>
        <v>0.99241376457315034</v>
      </c>
      <c r="AI25" s="150">
        <f t="shared" si="20"/>
        <v>5.4414502100037696</v>
      </c>
      <c r="AJ25" s="150">
        <f t="shared" si="21"/>
        <v>6.0606060606060606</v>
      </c>
      <c r="AK25" s="150">
        <f t="shared" si="22"/>
        <v>1.1612230762123881</v>
      </c>
      <c r="AM25" s="314">
        <f t="shared" si="23"/>
        <v>800</v>
      </c>
      <c r="AN25" s="144">
        <f t="shared" si="24"/>
        <v>282.14038337167915</v>
      </c>
      <c r="AP25">
        <f t="shared" si="25"/>
        <v>800</v>
      </c>
      <c r="AQ25" s="144">
        <f t="shared" si="26"/>
        <v>282.14038337167915</v>
      </c>
      <c r="AR25" s="144"/>
      <c r="AS25" s="5">
        <f t="shared" si="101"/>
        <v>3.5443348734755373</v>
      </c>
      <c r="AT25" s="5">
        <f t="shared" si="27"/>
        <v>0.83972269855270065</v>
      </c>
      <c r="AU25" s="5">
        <f t="shared" si="102"/>
        <v>2.7046121749228367</v>
      </c>
      <c r="AV25" s="5">
        <f t="shared" si="28"/>
        <v>0.93570440659754173</v>
      </c>
      <c r="AW25" s="150">
        <f t="shared" si="103"/>
        <v>0.23691968409555991</v>
      </c>
      <c r="AX25" s="150">
        <f t="shared" si="29"/>
        <v>24.353715369088921</v>
      </c>
      <c r="AY25" s="150">
        <f t="shared" si="30"/>
        <v>2.3123645936498187</v>
      </c>
      <c r="AZ25" s="150">
        <f t="shared" si="104"/>
        <v>10.531953064827549</v>
      </c>
      <c r="BA25" s="144">
        <f t="shared" si="31"/>
        <v>2.2392605294738681</v>
      </c>
      <c r="BB25" s="5">
        <f t="shared" si="32"/>
        <v>1.1256135127529643</v>
      </c>
      <c r="BC25" s="5"/>
      <c r="BD25" s="150">
        <f t="shared" si="105"/>
        <v>1.703162164978719</v>
      </c>
      <c r="BE25" s="150">
        <f t="shared" si="33"/>
        <v>3.0566136895378149</v>
      </c>
      <c r="BF25" s="150"/>
      <c r="BG25" s="456">
        <f t="shared" si="34"/>
        <v>3.4809136322579967E-2</v>
      </c>
      <c r="BH25" s="456">
        <f t="shared" si="35"/>
        <v>2.0110096711141097</v>
      </c>
      <c r="BI25" s="456">
        <f t="shared" si="36"/>
        <v>3.2446144087743108E-2</v>
      </c>
      <c r="BJ25" s="456">
        <f t="shared" si="37"/>
        <v>0.60633909495869465</v>
      </c>
      <c r="BK25">
        <f t="shared" si="38"/>
        <v>1.5264779480505317E-2</v>
      </c>
      <c r="BL25" s="144">
        <f t="shared" si="106"/>
        <v>47.710923568248425</v>
      </c>
      <c r="BM25" s="456">
        <f t="shared" si="39"/>
        <v>2.6837527510134724</v>
      </c>
      <c r="BN25" s="144">
        <f t="shared" si="107"/>
        <v>2683.7527510134723</v>
      </c>
      <c r="BO25" s="456">
        <f t="shared" si="108"/>
        <v>0.53647999999999996</v>
      </c>
      <c r="BP25" s="456"/>
      <c r="BR25" s="144">
        <f t="shared" si="109"/>
        <v>536.4799999999999</v>
      </c>
      <c r="BS25" s="456">
        <f t="shared" si="40"/>
        <v>4.0610659043009957E-2</v>
      </c>
      <c r="BT25" s="456">
        <f t="shared" si="41"/>
        <v>0.13080042145897963</v>
      </c>
      <c r="BU25" s="456">
        <f t="shared" si="42"/>
        <v>6.0453753954625622</v>
      </c>
      <c r="BV25" s="456">
        <f t="shared" si="43"/>
        <v>6.3449324737682931</v>
      </c>
      <c r="BW25" s="456">
        <f t="shared" si="44"/>
        <v>1.0363283135782522</v>
      </c>
      <c r="BX25" s="144">
        <f t="shared" si="110"/>
        <v>7381.2607873465458</v>
      </c>
      <c r="BY25" s="150">
        <f t="shared" si="45"/>
        <v>10.649204461928266</v>
      </c>
      <c r="BZ25" s="5">
        <f t="shared" si="111"/>
        <v>24</v>
      </c>
      <c r="CA25" s="150">
        <f t="shared" si="112"/>
        <v>0.69265659551781744</v>
      </c>
      <c r="CB25" s="5">
        <f t="shared" si="113"/>
        <v>69.265659551781738</v>
      </c>
      <c r="CE25" s="59">
        <f t="shared" si="46"/>
        <v>-50</v>
      </c>
      <c r="CF25">
        <f t="shared" si="47"/>
        <v>-50</v>
      </c>
      <c r="CG25" s="150">
        <f t="shared" si="48"/>
        <v>0.26575417212153041</v>
      </c>
      <c r="CI25" s="147">
        <v>20</v>
      </c>
      <c r="CJ25" s="188">
        <f t="shared" si="114"/>
        <v>0.8</v>
      </c>
      <c r="CK25" s="188"/>
      <c r="CL25" s="188">
        <f t="shared" si="49"/>
        <v>24</v>
      </c>
      <c r="CM25" s="465">
        <f t="shared" si="50"/>
        <v>34</v>
      </c>
      <c r="CN25" s="149">
        <f t="shared" si="51"/>
        <v>30.4</v>
      </c>
      <c r="CO25" s="379">
        <f t="shared" si="52"/>
        <v>64.400000000000006</v>
      </c>
      <c r="CP25" s="379"/>
      <c r="CQ25" s="188">
        <f t="shared" si="53"/>
        <v>0.47204968944099374</v>
      </c>
      <c r="CR25" s="149">
        <f t="shared" si="54"/>
        <v>244.918674788055</v>
      </c>
      <c r="CS25" s="149">
        <f t="shared" si="115"/>
        <v>24</v>
      </c>
      <c r="CT25" s="188">
        <f t="shared" si="55"/>
        <v>8.1639558262685004</v>
      </c>
      <c r="CU25" s="188">
        <f t="shared" si="56"/>
        <v>30</v>
      </c>
      <c r="CV25" s="188">
        <f t="shared" si="57"/>
        <v>8.1059037580776696</v>
      </c>
      <c r="CW25" s="149">
        <f t="shared" si="58"/>
        <v>609.9616758101912</v>
      </c>
      <c r="CX25" s="149">
        <f t="shared" si="59"/>
        <v>30</v>
      </c>
      <c r="CY25" s="188">
        <f t="shared" si="60"/>
        <v>2.9907120743034059</v>
      </c>
      <c r="CZ25" s="188">
        <f t="shared" si="61"/>
        <v>0.41342196321252966</v>
      </c>
      <c r="DA25" s="188">
        <f t="shared" si="62"/>
        <v>0.46237982727717131</v>
      </c>
      <c r="DB25" s="172">
        <f t="shared" si="63"/>
        <v>350</v>
      </c>
      <c r="DC25" s="379">
        <f t="shared" si="116"/>
        <v>350</v>
      </c>
      <c r="DE25" s="188">
        <f t="shared" si="64"/>
        <v>9.7566501161056465</v>
      </c>
      <c r="DF25" s="150">
        <f t="shared" si="65"/>
        <v>1.5084294587400178</v>
      </c>
      <c r="DG25" s="150">
        <f t="shared" si="66"/>
        <v>2.5755132294067704</v>
      </c>
      <c r="DH25" s="150"/>
      <c r="DI25" s="150">
        <f t="shared" si="67"/>
        <v>0.93700159489633172</v>
      </c>
      <c r="DJ25" s="314">
        <f t="shared" si="117"/>
        <v>281.74978723404257</v>
      </c>
      <c r="DK25" s="456">
        <f t="shared" si="68"/>
        <v>0.99378957034459414</v>
      </c>
      <c r="DM25" s="150">
        <f t="shared" si="69"/>
        <v>5.4376823240927523</v>
      </c>
      <c r="DN25" s="150">
        <f t="shared" si="70"/>
        <v>6.0606060606060606</v>
      </c>
      <c r="DO25" s="150">
        <f t="shared" si="71"/>
        <v>1.1609998784194528</v>
      </c>
      <c r="DQ25" s="314">
        <f t="shared" si="72"/>
        <v>800</v>
      </c>
      <c r="DR25" s="144">
        <f t="shared" si="73"/>
        <v>281.74978723404257</v>
      </c>
      <c r="DT25">
        <f t="shared" si="74"/>
        <v>800</v>
      </c>
      <c r="DU25" s="144">
        <f t="shared" si="75"/>
        <v>281.74978723404257</v>
      </c>
      <c r="DV25" s="144"/>
      <c r="DW25" s="5">
        <f t="shared" si="118"/>
        <v>3.549248465516408</v>
      </c>
      <c r="DX25" s="5">
        <f t="shared" si="76"/>
        <v>0.83778966131907295</v>
      </c>
      <c r="DY25" s="5">
        <f t="shared" si="119"/>
        <v>2.7114588041973349</v>
      </c>
      <c r="DZ25" s="5">
        <f t="shared" si="77"/>
        <v>0.93700159489633172</v>
      </c>
      <c r="EA25" s="150">
        <f t="shared" si="120"/>
        <v>0.23604705882352939</v>
      </c>
      <c r="EB25" s="150">
        <f t="shared" si="78"/>
        <v>24.319999999999997</v>
      </c>
      <c r="EC25" s="150">
        <f t="shared" si="79"/>
        <v>2.3150089126559714</v>
      </c>
      <c r="ED25" s="150">
        <f t="shared" si="121"/>
        <v>10.505359122828629</v>
      </c>
      <c r="EE25" s="144">
        <f t="shared" si="80"/>
        <v>2.2341057635175279</v>
      </c>
      <c r="EF25" s="5">
        <f t="shared" si="81"/>
        <v>1.1258652474175785</v>
      </c>
      <c r="EG25" s="5"/>
      <c r="EH25" s="150">
        <f t="shared" si="122"/>
        <v>1.7000227183830279</v>
      </c>
      <c r="EI25" s="150">
        <f t="shared" si="82"/>
        <v>3.0583608950329184</v>
      </c>
      <c r="EJ25" s="150"/>
      <c r="EK25" s="456">
        <f t="shared" si="83"/>
        <v>3.4680926916221037E-2</v>
      </c>
      <c r="EL25" s="456">
        <f t="shared" si="84"/>
        <v>2.0893881191489365</v>
      </c>
      <c r="EM25" s="456">
        <f t="shared" si="85"/>
        <v>3.24012255319149E-2</v>
      </c>
      <c r="EN25" s="456">
        <f t="shared" si="86"/>
        <v>0.60470796024919171</v>
      </c>
      <c r="EO25">
        <f t="shared" si="87"/>
        <v>1.5299999999999999E-2</v>
      </c>
      <c r="EP25" s="144">
        <f t="shared" si="123"/>
        <v>47.701225531914901</v>
      </c>
      <c r="EQ25" s="456">
        <f t="shared" si="88"/>
        <v>2.8089886775676107</v>
      </c>
      <c r="ER25" s="144">
        <f t="shared" si="124"/>
        <v>2808.9886775676109</v>
      </c>
      <c r="ES25" s="456">
        <f t="shared" si="125"/>
        <v>0.53647999999999996</v>
      </c>
      <c r="ET25" s="456"/>
      <c r="EV25" s="144">
        <f t="shared" si="126"/>
        <v>536.4799999999999</v>
      </c>
      <c r="EW25" s="456">
        <f t="shared" si="89"/>
        <v>4.0461081402257876E-2</v>
      </c>
      <c r="EX25" s="456">
        <f t="shared" si="90"/>
        <v>0.13094999909973176</v>
      </c>
      <c r="EY25" s="456">
        <f t="shared" si="91"/>
        <v>6.0244740176330263</v>
      </c>
      <c r="EZ25" s="456">
        <f t="shared" si="92"/>
        <v>6.3237404927090495</v>
      </c>
      <c r="FA25" s="456">
        <f t="shared" si="93"/>
        <v>1.0348936170212768</v>
      </c>
      <c r="FB25" s="144">
        <f t="shared" si="127"/>
        <v>7358.6341097303266</v>
      </c>
      <c r="FC25" s="150">
        <f t="shared" si="128"/>
        <v>10.704102787297938</v>
      </c>
      <c r="FD25" s="5">
        <f t="shared" si="129"/>
        <v>24</v>
      </c>
      <c r="FE25" s="150">
        <f t="shared" si="130"/>
        <v>0.69156088394206372</v>
      </c>
      <c r="FF25" s="5">
        <f t="shared" si="131"/>
        <v>69.156088394206378</v>
      </c>
      <c r="FI25" s="59">
        <f t="shared" si="94"/>
        <v>-50</v>
      </c>
      <c r="FJ25">
        <f t="shared" si="95"/>
        <v>-50</v>
      </c>
      <c r="FL25">
        <f t="shared" si="96"/>
        <v>0.26400000000000001</v>
      </c>
    </row>
    <row r="26" spans="5:168">
      <c r="E26" s="147">
        <v>21</v>
      </c>
      <c r="F26" s="188">
        <f t="shared" si="97"/>
        <v>0.84</v>
      </c>
      <c r="G26" s="188"/>
      <c r="H26" s="188">
        <f t="shared" si="0"/>
        <v>25.2</v>
      </c>
      <c r="I26" s="465">
        <f t="shared" si="1"/>
        <v>33.921732178900704</v>
      </c>
      <c r="J26" s="149">
        <f t="shared" si="2"/>
        <v>30.44214421136116</v>
      </c>
      <c r="K26" s="149">
        <f t="shared" si="3"/>
        <v>64.442144211361153</v>
      </c>
      <c r="L26" s="379"/>
      <c r="M26" s="188">
        <f t="shared" si="4"/>
        <v>0.4729716962830906</v>
      </c>
      <c r="N26" s="149">
        <f t="shared" si="5"/>
        <v>244.83214690946005</v>
      </c>
      <c r="O26" s="149">
        <f t="shared" si="98"/>
        <v>25.2</v>
      </c>
      <c r="P26" s="188">
        <f t="shared" si="6"/>
        <v>8.1610715636486688</v>
      </c>
      <c r="Q26" s="188">
        <f t="shared" si="7"/>
        <v>30</v>
      </c>
      <c r="R26" s="188">
        <f t="shared" si="8"/>
        <v>8.1030400048057416</v>
      </c>
      <c r="S26" s="149">
        <f t="shared" si="9"/>
        <v>577.96558427038076</v>
      </c>
      <c r="T26" s="149">
        <f t="shared" si="10"/>
        <v>30</v>
      </c>
      <c r="U26" s="188">
        <f t="shared" si="99"/>
        <v>3.1876845857265454</v>
      </c>
      <c r="V26" s="188">
        <f t="shared" si="11"/>
        <v>0.44166723190608853</v>
      </c>
      <c r="W26" s="188">
        <f t="shared" si="12"/>
        <v>0.49215053476171899</v>
      </c>
      <c r="X26" s="172">
        <f t="shared" si="13"/>
        <v>350</v>
      </c>
      <c r="Y26" s="379">
        <f t="shared" si="14"/>
        <v>350</v>
      </c>
      <c r="AA26" s="188">
        <f t="shared" si="15"/>
        <v>9.7531558833286915</v>
      </c>
      <c r="AB26" s="150">
        <f t="shared" si="16"/>
        <v>1.5058017048134604</v>
      </c>
      <c r="AC26" s="150">
        <f t="shared" si="17"/>
        <v>2.5701057823748608</v>
      </c>
      <c r="AD26" s="150"/>
      <c r="AE26" s="150">
        <f t="shared" si="18"/>
        <v>0.93570440659754173</v>
      </c>
      <c r="AF26" s="314">
        <f t="shared" si="100"/>
        <v>296.24740254026312</v>
      </c>
      <c r="AG26" s="456">
        <f t="shared" si="19"/>
        <v>0.99241376457315034</v>
      </c>
      <c r="AI26" s="150">
        <f t="shared" si="20"/>
        <v>5.5758272397329147</v>
      </c>
      <c r="AJ26" s="150">
        <f t="shared" si="21"/>
        <v>6.0606060606060606</v>
      </c>
      <c r="AK26" s="150">
        <f t="shared" si="22"/>
        <v>1.1692842300230075</v>
      </c>
      <c r="AM26" s="314">
        <f t="shared" si="23"/>
        <v>840</v>
      </c>
      <c r="AN26" s="144">
        <f t="shared" si="24"/>
        <v>296.24740254026312</v>
      </c>
      <c r="AP26">
        <f t="shared" si="25"/>
        <v>840</v>
      </c>
      <c r="AQ26" s="144">
        <f t="shared" si="26"/>
        <v>296.24740254026312</v>
      </c>
      <c r="AR26" s="144"/>
      <c r="AS26" s="5">
        <f t="shared" si="101"/>
        <v>3.3755570223576541</v>
      </c>
      <c r="AT26" s="5">
        <f t="shared" si="27"/>
        <v>0.83972269855270065</v>
      </c>
      <c r="AU26" s="5">
        <f t="shared" si="102"/>
        <v>2.5358343238049534</v>
      </c>
      <c r="AV26" s="5">
        <f t="shared" si="28"/>
        <v>0.93570440659754173</v>
      </c>
      <c r="AW26" s="150">
        <f t="shared" si="103"/>
        <v>0.24876566830033794</v>
      </c>
      <c r="AX26" s="150">
        <f t="shared" si="29"/>
        <v>25.571401137543369</v>
      </c>
      <c r="AY26" s="150">
        <f t="shared" si="30"/>
        <v>2.2764676718171577</v>
      </c>
      <c r="AZ26" s="150">
        <f t="shared" si="104"/>
        <v>11.232929619040609</v>
      </c>
      <c r="BA26" s="144">
        <f t="shared" si="31"/>
        <v>2.3512235559475618</v>
      </c>
      <c r="BB26" s="5">
        <f t="shared" si="32"/>
        <v>1.1081395986513374</v>
      </c>
      <c r="BC26" s="5"/>
      <c r="BD26" s="150">
        <f t="shared" si="105"/>
        <v>1.7452218850982093</v>
      </c>
      <c r="BE26" s="150">
        <f t="shared" si="33"/>
        <v>3.0327956045634235</v>
      </c>
      <c r="BF26" s="150"/>
      <c r="BG26" s="456">
        <f t="shared" si="34"/>
        <v>3.6549593138708973E-2</v>
      </c>
      <c r="BH26" s="456">
        <f t="shared" si="35"/>
        <v>2.1115601546698151</v>
      </c>
      <c r="BI26" s="456">
        <f t="shared" si="36"/>
        <v>3.4068451292130257E-2</v>
      </c>
      <c r="BJ26" s="456">
        <f t="shared" si="37"/>
        <v>0.63665604970662937</v>
      </c>
      <c r="BK26">
        <f t="shared" si="38"/>
        <v>1.5264779480505317E-2</v>
      </c>
      <c r="BL26" s="144">
        <f t="shared" si="106"/>
        <v>49.333230772635574</v>
      </c>
      <c r="BM26" s="456">
        <f t="shared" si="39"/>
        <v>2.8191159070270628</v>
      </c>
      <c r="BN26" s="144">
        <f t="shared" si="107"/>
        <v>2819.1159070270628</v>
      </c>
      <c r="BO26" s="456">
        <f t="shared" si="108"/>
        <v>0.56330399999999992</v>
      </c>
      <c r="BP26" s="456"/>
      <c r="BR26" s="144">
        <f t="shared" si="109"/>
        <v>563.30399999999986</v>
      </c>
      <c r="BS26" s="456">
        <f t="shared" si="40"/>
        <v>4.2641191995160463E-2</v>
      </c>
      <c r="BT26" s="456">
        <f t="shared" si="41"/>
        <v>0.12876988850682908</v>
      </c>
      <c r="BU26" s="456">
        <f t="shared" si="42"/>
        <v>6.8296197103050895</v>
      </c>
      <c r="BV26" s="456">
        <f t="shared" si="43"/>
        <v>7.1400805640763236</v>
      </c>
      <c r="BW26" s="456">
        <f t="shared" si="44"/>
        <v>1.0881447292571649</v>
      </c>
      <c r="BX26" s="144">
        <f t="shared" si="110"/>
        <v>8228.2252933334894</v>
      </c>
      <c r="BY26" s="150">
        <f t="shared" si="45"/>
        <v>11.659978431133187</v>
      </c>
      <c r="BZ26" s="5">
        <f t="shared" si="111"/>
        <v>25.2</v>
      </c>
      <c r="CA26" s="150">
        <f t="shared" si="112"/>
        <v>0.68366833277132977</v>
      </c>
      <c r="CB26" s="5">
        <f t="shared" si="113"/>
        <v>68.366833277132983</v>
      </c>
      <c r="CE26" s="59">
        <f t="shared" si="46"/>
        <v>-50</v>
      </c>
      <c r="CF26">
        <f t="shared" si="47"/>
        <v>-50</v>
      </c>
      <c r="CG26" s="150">
        <f t="shared" si="48"/>
        <v>0.27904188072760688</v>
      </c>
      <c r="CI26" s="147">
        <v>21</v>
      </c>
      <c r="CJ26" s="188">
        <f t="shared" si="114"/>
        <v>0.84</v>
      </c>
      <c r="CK26" s="188"/>
      <c r="CL26" s="188">
        <f t="shared" si="49"/>
        <v>25.2</v>
      </c>
      <c r="CM26" s="465">
        <f t="shared" si="50"/>
        <v>34</v>
      </c>
      <c r="CN26" s="149">
        <f t="shared" si="51"/>
        <v>30.4</v>
      </c>
      <c r="CO26" s="379">
        <f t="shared" si="52"/>
        <v>64.400000000000006</v>
      </c>
      <c r="CP26" s="379"/>
      <c r="CQ26" s="188">
        <f t="shared" si="53"/>
        <v>0.47204968944099374</v>
      </c>
      <c r="CR26" s="149">
        <f t="shared" si="54"/>
        <v>244.918674788055</v>
      </c>
      <c r="CS26" s="149">
        <f t="shared" si="115"/>
        <v>25.2</v>
      </c>
      <c r="CT26" s="188">
        <f t="shared" si="55"/>
        <v>8.1639558262685004</v>
      </c>
      <c r="CU26" s="188">
        <f t="shared" si="56"/>
        <v>30</v>
      </c>
      <c r="CV26" s="188">
        <f t="shared" si="57"/>
        <v>8.1059037580776696</v>
      </c>
      <c r="CW26" s="149">
        <f t="shared" si="58"/>
        <v>579.29907372365687</v>
      </c>
      <c r="CX26" s="149">
        <f t="shared" si="59"/>
        <v>30</v>
      </c>
      <c r="CY26" s="188">
        <f t="shared" si="60"/>
        <v>3.140247678018576</v>
      </c>
      <c r="CZ26" s="188">
        <f t="shared" si="61"/>
        <v>0.43409306137315606</v>
      </c>
      <c r="DA26" s="188">
        <f t="shared" si="62"/>
        <v>0.48549881864102978</v>
      </c>
      <c r="DB26" s="172">
        <f t="shared" si="63"/>
        <v>350</v>
      </c>
      <c r="DC26" s="379">
        <f t="shared" si="116"/>
        <v>350</v>
      </c>
      <c r="DE26" s="188">
        <f t="shared" si="64"/>
        <v>9.7566501161056465</v>
      </c>
      <c r="DF26" s="150">
        <f t="shared" si="65"/>
        <v>1.5084294587400178</v>
      </c>
      <c r="DG26" s="150">
        <f t="shared" si="66"/>
        <v>2.5755132294067704</v>
      </c>
      <c r="DH26" s="150"/>
      <c r="DI26" s="150">
        <f t="shared" si="67"/>
        <v>0.93700159489633172</v>
      </c>
      <c r="DJ26" s="314">
        <f t="shared" si="117"/>
        <v>295.83727659574464</v>
      </c>
      <c r="DK26" s="456">
        <f t="shared" si="68"/>
        <v>0.99378957034459414</v>
      </c>
      <c r="DM26" s="150">
        <f t="shared" si="69"/>
        <v>5.5719663055907196</v>
      </c>
      <c r="DN26" s="150">
        <f t="shared" si="70"/>
        <v>6.0606060606060606</v>
      </c>
      <c r="DO26" s="150">
        <f t="shared" si="71"/>
        <v>1.1690498723404255</v>
      </c>
      <c r="DQ26" s="314">
        <f t="shared" si="72"/>
        <v>840</v>
      </c>
      <c r="DR26" s="144">
        <f t="shared" si="73"/>
        <v>295.83727659574464</v>
      </c>
      <c r="DT26">
        <f t="shared" si="74"/>
        <v>840</v>
      </c>
      <c r="DU26" s="144">
        <f t="shared" si="75"/>
        <v>295.83727659574464</v>
      </c>
      <c r="DV26" s="144"/>
      <c r="DW26" s="5">
        <f t="shared" si="118"/>
        <v>3.380236633825151</v>
      </c>
      <c r="DX26" s="5">
        <f t="shared" si="76"/>
        <v>0.83778966131907295</v>
      </c>
      <c r="DY26" s="5">
        <f t="shared" si="119"/>
        <v>2.5424469725060783</v>
      </c>
      <c r="DZ26" s="5">
        <f t="shared" si="77"/>
        <v>0.93700159489633172</v>
      </c>
      <c r="EA26" s="150">
        <f t="shared" si="120"/>
        <v>0.24784941176470582</v>
      </c>
      <c r="EB26" s="150">
        <f t="shared" si="78"/>
        <v>25.535999999999994</v>
      </c>
      <c r="EC26" s="150">
        <f t="shared" si="79"/>
        <v>2.2792442067736185</v>
      </c>
      <c r="ED26" s="150">
        <f t="shared" si="121"/>
        <v>11.203713899594572</v>
      </c>
      <c r="EE26" s="144">
        <f t="shared" si="80"/>
        <v>2.3458110516934041</v>
      </c>
      <c r="EF26" s="5">
        <f t="shared" si="81"/>
        <v>1.1084716904351759</v>
      </c>
      <c r="EG26" s="5"/>
      <c r="EH26" s="150">
        <f t="shared" si="122"/>
        <v>1.7420049096283683</v>
      </c>
      <c r="EI26" s="150">
        <f t="shared" si="82"/>
        <v>3.0346445429597897</v>
      </c>
      <c r="EJ26" s="150"/>
      <c r="EK26" s="456">
        <f t="shared" si="83"/>
        <v>3.641497326203208E-2</v>
      </c>
      <c r="EL26" s="456">
        <f t="shared" si="84"/>
        <v>2.1938575251063828</v>
      </c>
      <c r="EM26" s="456">
        <f t="shared" si="85"/>
        <v>3.4021286808510638E-2</v>
      </c>
      <c r="EN26" s="456">
        <f t="shared" si="86"/>
        <v>0.63494335826165116</v>
      </c>
      <c r="EO26">
        <f t="shared" si="87"/>
        <v>1.5299999999999999E-2</v>
      </c>
      <c r="EP26" s="144">
        <f t="shared" si="123"/>
        <v>49.321286808510642</v>
      </c>
      <c r="EQ26" s="456">
        <f t="shared" si="88"/>
        <v>2.9498922368904257</v>
      </c>
      <c r="ER26" s="144">
        <f t="shared" si="124"/>
        <v>2949.8922368904255</v>
      </c>
      <c r="ES26" s="456">
        <f t="shared" si="125"/>
        <v>0.56330399999999992</v>
      </c>
      <c r="ET26" s="456"/>
      <c r="EV26" s="144">
        <f t="shared" si="126"/>
        <v>563.30399999999986</v>
      </c>
      <c r="EW26" s="456">
        <f t="shared" si="89"/>
        <v>4.2484135472370753E-2</v>
      </c>
      <c r="EX26" s="456">
        <f t="shared" si="90"/>
        <v>0.12892694502961882</v>
      </c>
      <c r="EY26" s="456">
        <f t="shared" si="91"/>
        <v>6.806006873606103</v>
      </c>
      <c r="EZ26" s="456">
        <f t="shared" si="92"/>
        <v>7.1161394252594938</v>
      </c>
      <c r="FA26" s="456">
        <f t="shared" si="93"/>
        <v>1.0866382978723403</v>
      </c>
      <c r="FB26" s="144">
        <f t="shared" si="127"/>
        <v>8202.7777231318341</v>
      </c>
      <c r="FC26" s="150">
        <f t="shared" si="128"/>
        <v>11.715973960022261</v>
      </c>
      <c r="FD26" s="5">
        <f t="shared" si="129"/>
        <v>25.2</v>
      </c>
      <c r="FE26" s="150">
        <f t="shared" si="130"/>
        <v>0.68263131909481944</v>
      </c>
      <c r="FF26" s="5">
        <f t="shared" si="131"/>
        <v>68.263131909481942</v>
      </c>
      <c r="FI26" s="59">
        <f t="shared" si="94"/>
        <v>-50</v>
      </c>
      <c r="FJ26">
        <f t="shared" si="95"/>
        <v>-50</v>
      </c>
      <c r="FL26">
        <f t="shared" si="96"/>
        <v>0.27719999999999995</v>
      </c>
    </row>
    <row r="27" spans="5:168">
      <c r="E27" s="147">
        <v>22</v>
      </c>
      <c r="F27" s="188">
        <f t="shared" si="97"/>
        <v>0.88</v>
      </c>
      <c r="G27" s="188"/>
      <c r="H27" s="188">
        <f t="shared" si="0"/>
        <v>26.4</v>
      </c>
      <c r="I27" s="465">
        <f t="shared" si="1"/>
        <v>33.921732178900704</v>
      </c>
      <c r="J27" s="149">
        <f t="shared" si="2"/>
        <v>30.44214421136116</v>
      </c>
      <c r="K27" s="149">
        <f t="shared" si="3"/>
        <v>64.442144211361153</v>
      </c>
      <c r="L27" s="379"/>
      <c r="M27" s="188">
        <f t="shared" si="4"/>
        <v>0.4729716962830906</v>
      </c>
      <c r="N27" s="149">
        <f t="shared" si="5"/>
        <v>244.83214690946005</v>
      </c>
      <c r="O27" s="149">
        <f t="shared" si="98"/>
        <v>26.4</v>
      </c>
      <c r="P27" s="188">
        <f t="shared" si="6"/>
        <v>8.1610715636486688</v>
      </c>
      <c r="Q27" s="188">
        <f t="shared" si="7"/>
        <v>30</v>
      </c>
      <c r="R27" s="188">
        <f t="shared" si="8"/>
        <v>8.1030400048057416</v>
      </c>
      <c r="S27" s="149">
        <f t="shared" si="9"/>
        <v>550.15477589665443</v>
      </c>
      <c r="T27" s="149">
        <f t="shared" si="10"/>
        <v>30</v>
      </c>
      <c r="U27" s="188">
        <f t="shared" si="99"/>
        <v>3.3394790898087616</v>
      </c>
      <c r="V27" s="188">
        <f t="shared" si="11"/>
        <v>0.46269900485399751</v>
      </c>
      <c r="W27" s="188">
        <f t="shared" si="12"/>
        <v>0.51558627451227701</v>
      </c>
      <c r="X27" s="172">
        <f t="shared" si="13"/>
        <v>350</v>
      </c>
      <c r="Y27" s="379">
        <f t="shared" si="14"/>
        <v>350</v>
      </c>
      <c r="AA27" s="188">
        <f t="shared" si="15"/>
        <v>9.7531558833286915</v>
      </c>
      <c r="AB27" s="150">
        <f t="shared" si="16"/>
        <v>1.5058017048134604</v>
      </c>
      <c r="AC27" s="150">
        <f t="shared" si="17"/>
        <v>2.5701057823748608</v>
      </c>
      <c r="AD27" s="150"/>
      <c r="AE27" s="150">
        <f t="shared" si="18"/>
        <v>0.93570440659754173</v>
      </c>
      <c r="AF27" s="314">
        <f t="shared" si="100"/>
        <v>310.3544217088471</v>
      </c>
      <c r="AG27" s="456">
        <f t="shared" si="19"/>
        <v>0.99241376457315034</v>
      </c>
      <c r="AI27" s="150">
        <f t="shared" si="20"/>
        <v>5.7070411271292825</v>
      </c>
      <c r="AJ27" s="150">
        <f t="shared" si="21"/>
        <v>6.0606060606060606</v>
      </c>
      <c r="AK27" s="150">
        <f t="shared" si="22"/>
        <v>1.177345383833627</v>
      </c>
      <c r="AM27" s="314">
        <f t="shared" si="23"/>
        <v>880</v>
      </c>
      <c r="AN27" s="144">
        <f t="shared" si="24"/>
        <v>310.3544217088471</v>
      </c>
      <c r="AP27">
        <f t="shared" si="25"/>
        <v>880</v>
      </c>
      <c r="AQ27" s="144">
        <f t="shared" si="26"/>
        <v>310.3544217088471</v>
      </c>
      <c r="AR27" s="144"/>
      <c r="AS27" s="5">
        <f t="shared" si="101"/>
        <v>3.2221226122504882</v>
      </c>
      <c r="AT27" s="5">
        <f t="shared" si="27"/>
        <v>0.83972269855270065</v>
      </c>
      <c r="AU27" s="5">
        <f t="shared" si="102"/>
        <v>2.3823999136977876</v>
      </c>
      <c r="AV27" s="5">
        <f t="shared" si="28"/>
        <v>0.93570440659754173</v>
      </c>
      <c r="AW27" s="150">
        <f t="shared" si="103"/>
        <v>0.26061165250511592</v>
      </c>
      <c r="AX27" s="150">
        <f t="shared" si="29"/>
        <v>26.789086905997817</v>
      </c>
      <c r="AY27" s="150">
        <f t="shared" si="30"/>
        <v>2.2405707499844976</v>
      </c>
      <c r="AZ27" s="150">
        <f t="shared" si="104"/>
        <v>11.956367325683944</v>
      </c>
      <c r="BA27" s="144">
        <f t="shared" si="31"/>
        <v>2.4631865824212551</v>
      </c>
      <c r="BB27" s="5">
        <f t="shared" si="32"/>
        <v>1.0906656845497109</v>
      </c>
      <c r="BC27" s="5"/>
      <c r="BD27" s="150">
        <f t="shared" si="105"/>
        <v>1.786291548498312</v>
      </c>
      <c r="BE27" s="150">
        <f t="shared" si="33"/>
        <v>3.0087889774872005</v>
      </c>
      <c r="BF27" s="150"/>
      <c r="BG27" s="456">
        <f t="shared" si="34"/>
        <v>3.8290049954837972E-2</v>
      </c>
      <c r="BH27" s="456">
        <f t="shared" si="35"/>
        <v>2.2121106382255209</v>
      </c>
      <c r="BI27" s="456">
        <f t="shared" si="36"/>
        <v>3.569075849651742E-2</v>
      </c>
      <c r="BJ27" s="456">
        <f t="shared" si="37"/>
        <v>0.6669730044545642</v>
      </c>
      <c r="BK27">
        <f t="shared" si="38"/>
        <v>1.5264779480505317E-2</v>
      </c>
      <c r="BL27" s="144">
        <f t="shared" si="106"/>
        <v>50.955537977022736</v>
      </c>
      <c r="BM27" s="456">
        <f t="shared" si="39"/>
        <v>2.9545920450582739</v>
      </c>
      <c r="BN27" s="144">
        <f t="shared" si="107"/>
        <v>2954.5920450582739</v>
      </c>
      <c r="BO27" s="456">
        <f t="shared" si="108"/>
        <v>0.59012799999999999</v>
      </c>
      <c r="BP27" s="456"/>
      <c r="BR27" s="144">
        <f t="shared" si="109"/>
        <v>590.12799999999993</v>
      </c>
      <c r="BS27" s="456">
        <f t="shared" si="40"/>
        <v>4.4671724947310962E-2</v>
      </c>
      <c r="BT27" s="456">
        <f t="shared" si="41"/>
        <v>0.12673935555467863</v>
      </c>
      <c r="BU27" s="456">
        <f t="shared" si="42"/>
        <v>7.6719362783782445</v>
      </c>
      <c r="BV27" s="456">
        <f t="shared" si="43"/>
        <v>7.9941083177523824</v>
      </c>
      <c r="BW27" s="456">
        <f t="shared" si="44"/>
        <v>1.1399611449360776</v>
      </c>
      <c r="BX27" s="144">
        <f t="shared" si="110"/>
        <v>9134.0694626884597</v>
      </c>
      <c r="BY27" s="150">
        <f>SUM(BM27,BO27:BQ27,BV27, BW27)+BK27+BI27</f>
        <v>12.729745045723757</v>
      </c>
      <c r="BZ27" s="5">
        <f t="shared" si="111"/>
        <v>26.4</v>
      </c>
      <c r="CA27" s="150">
        <f t="shared" si="112"/>
        <v>0.67467855896201634</v>
      </c>
      <c r="CB27" s="5">
        <f t="shared" si="113"/>
        <v>67.467855896201627</v>
      </c>
      <c r="CE27" s="59">
        <f t="shared" si="46"/>
        <v>-50</v>
      </c>
      <c r="CF27">
        <f t="shared" si="47"/>
        <v>-50</v>
      </c>
      <c r="CG27" s="150">
        <f t="shared" si="48"/>
        <v>0.29232958933368347</v>
      </c>
      <c r="CI27" s="147">
        <v>22</v>
      </c>
      <c r="CJ27" s="188">
        <f t="shared" si="114"/>
        <v>0.88</v>
      </c>
      <c r="CK27" s="188"/>
      <c r="CL27" s="188">
        <f t="shared" si="49"/>
        <v>26.4</v>
      </c>
      <c r="CM27" s="465">
        <f t="shared" si="50"/>
        <v>34</v>
      </c>
      <c r="CN27" s="149">
        <f t="shared" si="51"/>
        <v>30.4</v>
      </c>
      <c r="CO27" s="379">
        <f t="shared" si="52"/>
        <v>64.400000000000006</v>
      </c>
      <c r="CP27" s="379"/>
      <c r="CQ27" s="188">
        <f t="shared" si="53"/>
        <v>0.47204968944099374</v>
      </c>
      <c r="CR27" s="149">
        <f t="shared" si="54"/>
        <v>244.918674788055</v>
      </c>
      <c r="CS27" s="149">
        <f t="shared" si="115"/>
        <v>26.4</v>
      </c>
      <c r="CT27" s="188">
        <f t="shared" si="55"/>
        <v>8.1639558262685004</v>
      </c>
      <c r="CU27" s="188">
        <f t="shared" si="56"/>
        <v>30</v>
      </c>
      <c r="CV27" s="188">
        <f t="shared" si="57"/>
        <v>8.1059037580776696</v>
      </c>
      <c r="CW27" s="149">
        <f t="shared" si="58"/>
        <v>551.42409457074643</v>
      </c>
      <c r="CX27" s="149">
        <f t="shared" si="59"/>
        <v>30</v>
      </c>
      <c r="CY27" s="188">
        <f t="shared" si="60"/>
        <v>3.289783281733746</v>
      </c>
      <c r="CZ27" s="188">
        <f t="shared" si="61"/>
        <v>0.45476415953378257</v>
      </c>
      <c r="DA27" s="188">
        <f t="shared" si="62"/>
        <v>0.50861781000488848</v>
      </c>
      <c r="DB27" s="172">
        <f t="shared" si="63"/>
        <v>350</v>
      </c>
      <c r="DC27" s="379">
        <f t="shared" si="116"/>
        <v>350</v>
      </c>
      <c r="DE27" s="188">
        <f t="shared" si="64"/>
        <v>9.7566501161056465</v>
      </c>
      <c r="DF27" s="150">
        <f t="shared" si="65"/>
        <v>1.5084294587400178</v>
      </c>
      <c r="DG27" s="150">
        <f t="shared" si="66"/>
        <v>2.5755132294067704</v>
      </c>
      <c r="DH27" s="150"/>
      <c r="DI27" s="150">
        <f t="shared" si="67"/>
        <v>0.93700159489633172</v>
      </c>
      <c r="DJ27" s="314">
        <f t="shared" si="117"/>
        <v>309.92476595744682</v>
      </c>
      <c r="DK27" s="456">
        <f t="shared" si="68"/>
        <v>0.99378957034459414</v>
      </c>
      <c r="DM27" s="150">
        <f t="shared" si="69"/>
        <v>5.7030893350469123</v>
      </c>
      <c r="DN27" s="150">
        <f t="shared" si="70"/>
        <v>6.0606060606060606</v>
      </c>
      <c r="DO27" s="150">
        <f t="shared" si="71"/>
        <v>1.1770998662613983</v>
      </c>
      <c r="DQ27" s="314">
        <f t="shared" si="72"/>
        <v>880</v>
      </c>
      <c r="DR27" s="144">
        <f t="shared" si="73"/>
        <v>309.92476595744682</v>
      </c>
      <c r="DT27">
        <f t="shared" si="74"/>
        <v>880</v>
      </c>
      <c r="DU27" s="144">
        <f t="shared" si="75"/>
        <v>309.92476595744682</v>
      </c>
      <c r="DV27" s="144"/>
      <c r="DW27" s="5">
        <f t="shared" si="118"/>
        <v>3.2265895141058252</v>
      </c>
      <c r="DX27" s="5">
        <f t="shared" si="76"/>
        <v>0.83778966131907295</v>
      </c>
      <c r="DY27" s="5">
        <f t="shared" si="119"/>
        <v>2.388799852786752</v>
      </c>
      <c r="DZ27" s="5">
        <f t="shared" si="77"/>
        <v>0.93700159489633172</v>
      </c>
      <c r="EA27" s="150">
        <f t="shared" si="120"/>
        <v>0.25965176470588236</v>
      </c>
      <c r="EB27" s="150">
        <f t="shared" si="78"/>
        <v>26.751999999999999</v>
      </c>
      <c r="EC27" s="150">
        <f t="shared" si="79"/>
        <v>2.2434795008912656</v>
      </c>
      <c r="ED27" s="150">
        <f t="shared" si="121"/>
        <v>11.92433449441916</v>
      </c>
      <c r="EE27" s="144">
        <f t="shared" si="80"/>
        <v>2.4575163398692812</v>
      </c>
      <c r="EF27" s="5">
        <f t="shared" si="81"/>
        <v>1.0910781334527724</v>
      </c>
      <c r="EG27" s="5"/>
      <c r="EH27" s="150">
        <f t="shared" si="122"/>
        <v>1.7829988691303931</v>
      </c>
      <c r="EI27" s="150">
        <f t="shared" si="82"/>
        <v>3.010741377130342</v>
      </c>
      <c r="EJ27" s="150"/>
      <c r="EK27" s="456">
        <f t="shared" si="83"/>
        <v>3.8149019607843122E-2</v>
      </c>
      <c r="EL27" s="456">
        <f t="shared" si="84"/>
        <v>2.2983269310638299</v>
      </c>
      <c r="EM27" s="456">
        <f t="shared" si="85"/>
        <v>3.5641348085106384E-2</v>
      </c>
      <c r="EN27" s="456">
        <f t="shared" si="86"/>
        <v>0.66517875627411083</v>
      </c>
      <c r="EO27">
        <f t="shared" si="87"/>
        <v>1.5299999999999999E-2</v>
      </c>
      <c r="EP27" s="144">
        <f t="shared" si="123"/>
        <v>50.941348085106384</v>
      </c>
      <c r="EQ27" s="456">
        <f t="shared" si="88"/>
        <v>3.0909129654445997</v>
      </c>
      <c r="ER27" s="144">
        <f t="shared" si="124"/>
        <v>3090.9129654445996</v>
      </c>
      <c r="ES27" s="456">
        <f t="shared" si="125"/>
        <v>0.59012799999999999</v>
      </c>
      <c r="ET27" s="456"/>
      <c r="EV27" s="144">
        <f t="shared" si="126"/>
        <v>590.12799999999993</v>
      </c>
      <c r="EW27" s="456">
        <f t="shared" si="89"/>
        <v>4.4507189542483644E-2</v>
      </c>
      <c r="EX27" s="456">
        <f t="shared" si="90"/>
        <v>0.12690389095950591</v>
      </c>
      <c r="EY27" s="456">
        <f t="shared" si="91"/>
        <v>7.6454112028702879</v>
      </c>
      <c r="EZ27" s="456">
        <f t="shared" si="92"/>
        <v>7.9672144496856907</v>
      </c>
      <c r="FA27" s="456">
        <f t="shared" si="93"/>
        <v>1.1383829787234043</v>
      </c>
      <c r="FB27" s="144">
        <f t="shared" si="127"/>
        <v>9105.5974284090935</v>
      </c>
      <c r="FC27" s="150">
        <f t="shared" si="128"/>
        <v>12.786638393853694</v>
      </c>
      <c r="FD27" s="5">
        <f t="shared" si="129"/>
        <v>26.4</v>
      </c>
      <c r="FE27" s="150">
        <f t="shared" si="130"/>
        <v>0.67369902298485396</v>
      </c>
      <c r="FF27" s="5">
        <f t="shared" si="131"/>
        <v>67.3699022984854</v>
      </c>
      <c r="FI27" s="59">
        <f t="shared" si="94"/>
        <v>-50</v>
      </c>
      <c r="FJ27">
        <f t="shared" si="95"/>
        <v>-50</v>
      </c>
      <c r="FL27">
        <f t="shared" si="96"/>
        <v>0.29039999999999999</v>
      </c>
    </row>
    <row r="28" spans="5:168">
      <c r="E28" s="147">
        <v>23</v>
      </c>
      <c r="F28" s="188">
        <f t="shared" si="97"/>
        <v>0.92</v>
      </c>
      <c r="G28" s="188"/>
      <c r="H28" s="188">
        <f t="shared" si="0"/>
        <v>27.6</v>
      </c>
      <c r="I28" s="465">
        <f t="shared" si="1"/>
        <v>33.921732178900704</v>
      </c>
      <c r="J28" s="149">
        <f t="shared" si="2"/>
        <v>30.44214421136116</v>
      </c>
      <c r="K28" s="149">
        <f t="shared" si="3"/>
        <v>64.442144211361153</v>
      </c>
      <c r="L28" s="379"/>
      <c r="M28" s="188">
        <f t="shared" si="4"/>
        <v>0.4729716962830906</v>
      </c>
      <c r="N28" s="149">
        <f t="shared" si="5"/>
        <v>244.83214690946005</v>
      </c>
      <c r="O28" s="149">
        <f t="shared" si="98"/>
        <v>27.6</v>
      </c>
      <c r="P28" s="188">
        <f t="shared" si="6"/>
        <v>8.1610715636486688</v>
      </c>
      <c r="Q28" s="188">
        <f t="shared" si="7"/>
        <v>30</v>
      </c>
      <c r="R28" s="188">
        <f t="shared" si="8"/>
        <v>8.1030400048057416</v>
      </c>
      <c r="S28" s="149">
        <f t="shared" si="9"/>
        <v>524.76240829926189</v>
      </c>
      <c r="T28" s="149">
        <f t="shared" si="10"/>
        <v>30</v>
      </c>
      <c r="U28" s="188">
        <f t="shared" si="99"/>
        <v>3.4912735938909787</v>
      </c>
      <c r="V28" s="188">
        <f t="shared" si="11"/>
        <v>0.4837307778019066</v>
      </c>
      <c r="W28" s="188">
        <f t="shared" si="12"/>
        <v>0.53902201426283514</v>
      </c>
      <c r="X28" s="172">
        <f t="shared" si="13"/>
        <v>350</v>
      </c>
      <c r="Y28" s="379">
        <f t="shared" si="14"/>
        <v>350</v>
      </c>
      <c r="AA28" s="188">
        <f t="shared" si="15"/>
        <v>9.7531558833286915</v>
      </c>
      <c r="AB28" s="150">
        <f t="shared" si="16"/>
        <v>1.5058017048134604</v>
      </c>
      <c r="AC28" s="150">
        <f t="shared" si="17"/>
        <v>2.5701057823748608</v>
      </c>
      <c r="AD28" s="150"/>
      <c r="AE28" s="150">
        <f t="shared" si="18"/>
        <v>0.93570440659754173</v>
      </c>
      <c r="AF28" s="314">
        <f t="shared" si="100"/>
        <v>324.46144087743107</v>
      </c>
      <c r="AG28" s="456">
        <f t="shared" si="19"/>
        <v>0.99241376457315034</v>
      </c>
      <c r="AI28" s="150">
        <f t="shared" si="20"/>
        <v>5.835305257323097</v>
      </c>
      <c r="AJ28" s="150">
        <f t="shared" si="21"/>
        <v>6.0606060606060606</v>
      </c>
      <c r="AK28" s="150">
        <f t="shared" si="22"/>
        <v>1.1854065376442464</v>
      </c>
      <c r="AM28" s="314">
        <f t="shared" si="23"/>
        <v>920</v>
      </c>
      <c r="AN28" s="144">
        <f t="shared" si="24"/>
        <v>324.46144087743107</v>
      </c>
      <c r="AP28">
        <f t="shared" si="25"/>
        <v>920</v>
      </c>
      <c r="AQ28" s="144">
        <f t="shared" si="26"/>
        <v>324.46144087743107</v>
      </c>
      <c r="AR28" s="144"/>
      <c r="AS28" s="5">
        <f t="shared" si="101"/>
        <v>3.0820303247613361</v>
      </c>
      <c r="AT28" s="5">
        <f t="shared" si="27"/>
        <v>0.83972269855270065</v>
      </c>
      <c r="AU28" s="5">
        <f t="shared" si="102"/>
        <v>2.2423076262086354</v>
      </c>
      <c r="AV28" s="5">
        <f t="shared" si="28"/>
        <v>0.93570440659754173</v>
      </c>
      <c r="AW28" s="150">
        <f t="shared" si="103"/>
        <v>0.27245763670989398</v>
      </c>
      <c r="AX28" s="150">
        <f t="shared" si="29"/>
        <v>28.006772674452264</v>
      </c>
      <c r="AY28" s="150">
        <f t="shared" si="30"/>
        <v>2.2046738281518365</v>
      </c>
      <c r="AZ28" s="150">
        <f t="shared" si="104"/>
        <v>12.703363335124342</v>
      </c>
      <c r="BA28" s="144">
        <f t="shared" si="31"/>
        <v>2.5751496088949488</v>
      </c>
      <c r="BB28" s="5">
        <f t="shared" si="32"/>
        <v>1.0731917704480842</v>
      </c>
      <c r="BC28" s="5"/>
      <c r="BD28" s="150">
        <f t="shared" si="105"/>
        <v>1.8264379442639842</v>
      </c>
      <c r="BE28" s="150">
        <f t="shared" si="33"/>
        <v>2.9845892586816234</v>
      </c>
      <c r="BF28" s="150"/>
      <c r="BG28" s="456">
        <f t="shared" si="34"/>
        <v>4.0030506770966985E-2</v>
      </c>
      <c r="BH28" s="456">
        <f t="shared" si="35"/>
        <v>2.3126611217812267</v>
      </c>
      <c r="BI28" s="456">
        <f t="shared" si="36"/>
        <v>3.7313065700904577E-2</v>
      </c>
      <c r="BJ28" s="456">
        <f t="shared" si="37"/>
        <v>0.69728995920249892</v>
      </c>
      <c r="BK28">
        <f t="shared" si="38"/>
        <v>1.5264779480505317E-2</v>
      </c>
      <c r="BL28" s="144">
        <f t="shared" si="106"/>
        <v>52.577845181409891</v>
      </c>
      <c r="BM28" s="456">
        <f t="shared" si="39"/>
        <v>3.0901813066182737</v>
      </c>
      <c r="BN28" s="144">
        <f t="shared" si="107"/>
        <v>3090.1813066182735</v>
      </c>
      <c r="BO28" s="456">
        <f t="shared" si="108"/>
        <v>0.61695199999999994</v>
      </c>
      <c r="BP28" s="456"/>
      <c r="BR28" s="144">
        <f t="shared" si="109"/>
        <v>616.952</v>
      </c>
      <c r="BS28" s="456">
        <f t="shared" si="40"/>
        <v>4.6702257899461481E-2</v>
      </c>
      <c r="BT28" s="456">
        <f t="shared" si="41"/>
        <v>0.12470882260252811</v>
      </c>
      <c r="BU28" s="456">
        <f t="shared" si="42"/>
        <v>8.5736919422284341</v>
      </c>
      <c r="BV28" s="456">
        <f t="shared" si="43"/>
        <v>8.9084015812985839</v>
      </c>
      <c r="BW28" s="456">
        <f t="shared" si="44"/>
        <v>1.1917775606149901</v>
      </c>
      <c r="BX28" s="144">
        <f t="shared" si="110"/>
        <v>10100.179141913575</v>
      </c>
      <c r="BY28" s="150">
        <f t="shared" si="45"/>
        <v>13.85989029371326</v>
      </c>
      <c r="BZ28" s="5">
        <f t="shared" si="111"/>
        <v>27.6</v>
      </c>
      <c r="CA28" s="150">
        <f t="shared" si="112"/>
        <v>0.66570364283344741</v>
      </c>
      <c r="CB28" s="5">
        <f t="shared" si="113"/>
        <v>66.570364283344745</v>
      </c>
      <c r="CE28" s="59">
        <f t="shared" si="46"/>
        <v>-50</v>
      </c>
      <c r="CF28">
        <f t="shared" si="47"/>
        <v>-50</v>
      </c>
      <c r="CG28" s="150">
        <f t="shared" si="48"/>
        <v>0.30561729793975995</v>
      </c>
      <c r="CI28" s="147">
        <v>23</v>
      </c>
      <c r="CJ28" s="188">
        <f t="shared" si="114"/>
        <v>0.92</v>
      </c>
      <c r="CK28" s="188"/>
      <c r="CL28" s="188">
        <f t="shared" si="49"/>
        <v>27.6</v>
      </c>
      <c r="CM28" s="465">
        <f t="shared" si="50"/>
        <v>34</v>
      </c>
      <c r="CN28" s="149">
        <f t="shared" si="51"/>
        <v>30.4</v>
      </c>
      <c r="CO28" s="379">
        <f t="shared" si="52"/>
        <v>64.400000000000006</v>
      </c>
      <c r="CP28" s="379"/>
      <c r="CQ28" s="188">
        <f t="shared" si="53"/>
        <v>0.47204968944099374</v>
      </c>
      <c r="CR28" s="149">
        <f t="shared" si="54"/>
        <v>244.918674788055</v>
      </c>
      <c r="CS28" s="149">
        <f t="shared" si="115"/>
        <v>27.6</v>
      </c>
      <c r="CT28" s="188">
        <f t="shared" si="55"/>
        <v>8.1639558262685004</v>
      </c>
      <c r="CU28" s="188">
        <f t="shared" si="56"/>
        <v>30</v>
      </c>
      <c r="CV28" s="188">
        <f t="shared" si="57"/>
        <v>8.1059037580776696</v>
      </c>
      <c r="CW28" s="149">
        <f t="shared" si="58"/>
        <v>525.97313626254254</v>
      </c>
      <c r="CX28" s="149">
        <f t="shared" si="59"/>
        <v>30</v>
      </c>
      <c r="CY28" s="188">
        <f t="shared" si="60"/>
        <v>3.439318885448917</v>
      </c>
      <c r="CZ28" s="188">
        <f t="shared" si="61"/>
        <v>0.47543525769440909</v>
      </c>
      <c r="DA28" s="188">
        <f t="shared" si="62"/>
        <v>0.53173680136874701</v>
      </c>
      <c r="DB28" s="172">
        <f t="shared" si="63"/>
        <v>350</v>
      </c>
      <c r="DC28" s="379">
        <f t="shared" si="116"/>
        <v>350</v>
      </c>
      <c r="DE28" s="188">
        <f t="shared" si="64"/>
        <v>9.7566501161056465</v>
      </c>
      <c r="DF28" s="150">
        <f t="shared" si="65"/>
        <v>1.5084294587400178</v>
      </c>
      <c r="DG28" s="150">
        <f t="shared" si="66"/>
        <v>2.5755132294067704</v>
      </c>
      <c r="DH28" s="150"/>
      <c r="DI28" s="150">
        <f t="shared" si="67"/>
        <v>0.93700159489633172</v>
      </c>
      <c r="DJ28" s="314">
        <f t="shared" si="117"/>
        <v>324.01225531914895</v>
      </c>
      <c r="DK28" s="456">
        <f t="shared" si="68"/>
        <v>0.99378957034459414</v>
      </c>
      <c r="DM28" s="150">
        <f t="shared" si="69"/>
        <v>5.8312646498348339</v>
      </c>
      <c r="DN28" s="150">
        <f t="shared" si="70"/>
        <v>6.0606060606060606</v>
      </c>
      <c r="DO28" s="150">
        <f t="shared" si="71"/>
        <v>1.1851498601823709</v>
      </c>
      <c r="DQ28" s="314">
        <f t="shared" si="72"/>
        <v>920</v>
      </c>
      <c r="DR28" s="144">
        <f t="shared" si="73"/>
        <v>324.01225531914895</v>
      </c>
      <c r="DT28">
        <f t="shared" si="74"/>
        <v>920</v>
      </c>
      <c r="DU28" s="144">
        <f t="shared" si="75"/>
        <v>324.01225531914895</v>
      </c>
      <c r="DV28" s="144"/>
      <c r="DW28" s="5">
        <f t="shared" si="118"/>
        <v>3.0863030134925284</v>
      </c>
      <c r="DX28" s="5">
        <f t="shared" si="76"/>
        <v>0.83778966131907295</v>
      </c>
      <c r="DY28" s="5">
        <f t="shared" si="119"/>
        <v>2.2485133521734557</v>
      </c>
      <c r="DZ28" s="5">
        <f t="shared" si="77"/>
        <v>0.93700159489633172</v>
      </c>
      <c r="EA28" s="150">
        <f t="shared" si="120"/>
        <v>0.27145411764705879</v>
      </c>
      <c r="EB28" s="150">
        <f t="shared" si="78"/>
        <v>27.967999999999996</v>
      </c>
      <c r="EC28" s="150">
        <f t="shared" si="79"/>
        <v>2.2077147950089127</v>
      </c>
      <c r="ED28" s="150">
        <f t="shared" si="121"/>
        <v>12.668303017775939</v>
      </c>
      <c r="EE28" s="144">
        <f t="shared" si="80"/>
        <v>2.569221628045157</v>
      </c>
      <c r="EF28" s="5">
        <f t="shared" si="81"/>
        <v>1.0736845764703697</v>
      </c>
      <c r="EG28" s="5"/>
      <c r="EH28" s="150">
        <f t="shared" si="122"/>
        <v>1.8230712628614334</v>
      </c>
      <c r="EI28" s="150">
        <f t="shared" si="82"/>
        <v>2.9866469121430788</v>
      </c>
      <c r="EJ28" s="150"/>
      <c r="EK28" s="456">
        <f t="shared" si="83"/>
        <v>3.9883065953654179E-2</v>
      </c>
      <c r="EL28" s="456">
        <f t="shared" si="84"/>
        <v>2.4027963370212766</v>
      </c>
      <c r="EM28" s="456">
        <f t="shared" si="85"/>
        <v>3.7261409361702129E-2</v>
      </c>
      <c r="EN28" s="456">
        <f t="shared" si="86"/>
        <v>0.69541415428657039</v>
      </c>
      <c r="EO28">
        <f t="shared" si="87"/>
        <v>1.5299999999999999E-2</v>
      </c>
      <c r="EP28" s="144">
        <f t="shared" si="123"/>
        <v>52.561409361702133</v>
      </c>
      <c r="EQ28" s="456">
        <f t="shared" si="88"/>
        <v>3.232051009440128</v>
      </c>
      <c r="ER28" s="144">
        <f t="shared" si="124"/>
        <v>3232.0510094401279</v>
      </c>
      <c r="ES28" s="456">
        <f t="shared" si="125"/>
        <v>0.61695199999999994</v>
      </c>
      <c r="ET28" s="456"/>
      <c r="EV28" s="144">
        <f t="shared" si="126"/>
        <v>616.952</v>
      </c>
      <c r="EW28" s="456">
        <f t="shared" si="89"/>
        <v>4.6530243612596542E-2</v>
      </c>
      <c r="EX28" s="456">
        <f t="shared" si="90"/>
        <v>0.12488083688939301</v>
      </c>
      <c r="EY28" s="456">
        <f t="shared" si="91"/>
        <v>8.5440491222286781</v>
      </c>
      <c r="EZ28" s="456">
        <f t="shared" si="92"/>
        <v>8.8783466210418638</v>
      </c>
      <c r="FA28" s="456">
        <f t="shared" si="93"/>
        <v>1.1901276595744683</v>
      </c>
      <c r="FB28" s="144">
        <f t="shared" si="127"/>
        <v>10068.474280616332</v>
      </c>
      <c r="FC28" s="150">
        <f t="shared" si="128"/>
        <v>13.917477290056461</v>
      </c>
      <c r="FD28" s="5">
        <f t="shared" si="129"/>
        <v>27.6</v>
      </c>
      <c r="FE28" s="150">
        <f t="shared" si="130"/>
        <v>0.66478027571801113</v>
      </c>
      <c r="FF28" s="5">
        <f t="shared" si="131"/>
        <v>66.478027571801107</v>
      </c>
      <c r="FI28" s="59">
        <f t="shared" si="94"/>
        <v>-50</v>
      </c>
      <c r="FJ28">
        <f t="shared" si="95"/>
        <v>-50</v>
      </c>
      <c r="FL28">
        <f t="shared" si="96"/>
        <v>0.30360000000000004</v>
      </c>
    </row>
    <row r="29" spans="5:168">
      <c r="E29" s="147">
        <v>24</v>
      </c>
      <c r="F29" s="188">
        <f t="shared" si="97"/>
        <v>0.96</v>
      </c>
      <c r="G29" s="188"/>
      <c r="H29" s="188">
        <f t="shared" si="0"/>
        <v>28.799999999999997</v>
      </c>
      <c r="I29" s="465">
        <f t="shared" si="1"/>
        <v>33.921732178900704</v>
      </c>
      <c r="J29" s="149">
        <f t="shared" si="2"/>
        <v>30.44214421136116</v>
      </c>
      <c r="K29" s="149">
        <f t="shared" si="3"/>
        <v>64.442144211361153</v>
      </c>
      <c r="L29" s="379"/>
      <c r="M29" s="188">
        <f t="shared" si="4"/>
        <v>0.4729716962830906</v>
      </c>
      <c r="N29" s="149">
        <f t="shared" si="5"/>
        <v>244.83214690946005</v>
      </c>
      <c r="O29" s="149">
        <f t="shared" si="98"/>
        <v>28.799999999999997</v>
      </c>
      <c r="P29" s="188">
        <f t="shared" si="6"/>
        <v>8.1610715636486688</v>
      </c>
      <c r="Q29" s="188">
        <f t="shared" si="7"/>
        <v>30</v>
      </c>
      <c r="R29" s="188">
        <f t="shared" si="8"/>
        <v>8.1030400048057416</v>
      </c>
      <c r="S29" s="149">
        <f t="shared" si="9"/>
        <v>501.48617725541476</v>
      </c>
      <c r="T29" s="149">
        <f t="shared" si="10"/>
        <v>30</v>
      </c>
      <c r="U29" s="188">
        <f t="shared" si="99"/>
        <v>3.6430680979731949</v>
      </c>
      <c r="V29" s="188">
        <f t="shared" si="11"/>
        <v>0.50476255074981535</v>
      </c>
      <c r="W29" s="188">
        <f t="shared" si="12"/>
        <v>0.56245775401339304</v>
      </c>
      <c r="X29" s="172">
        <f t="shared" si="13"/>
        <v>350</v>
      </c>
      <c r="Y29" s="379">
        <f t="shared" si="14"/>
        <v>350</v>
      </c>
      <c r="AA29" s="188">
        <f t="shared" si="15"/>
        <v>9.7531558833286915</v>
      </c>
      <c r="AB29" s="150">
        <f t="shared" si="16"/>
        <v>1.5058017048134604</v>
      </c>
      <c r="AC29" s="150">
        <f t="shared" si="17"/>
        <v>2.5701057823748608</v>
      </c>
      <c r="AD29" s="150"/>
      <c r="AE29" s="150">
        <f t="shared" si="18"/>
        <v>0.93570440659754173</v>
      </c>
      <c r="AF29" s="314">
        <f t="shared" si="100"/>
        <v>338.56846004601499</v>
      </c>
      <c r="AG29" s="456">
        <f t="shared" si="19"/>
        <v>0.99241376457315034</v>
      </c>
      <c r="AI29" s="150">
        <f t="shared" si="20"/>
        <v>5.9608100511205757</v>
      </c>
      <c r="AJ29" s="150">
        <f t="shared" si="21"/>
        <v>6.0606060606060606</v>
      </c>
      <c r="AK29" s="150">
        <f t="shared" si="22"/>
        <v>1.1934676914548656</v>
      </c>
      <c r="AM29" s="314">
        <f t="shared" si="23"/>
        <v>960</v>
      </c>
      <c r="AN29" s="144">
        <f t="shared" si="24"/>
        <v>338.56846004601499</v>
      </c>
      <c r="AP29">
        <f t="shared" si="25"/>
        <v>960</v>
      </c>
      <c r="AQ29" s="144">
        <f t="shared" si="26"/>
        <v>338.56846004601499</v>
      </c>
      <c r="AR29" s="144"/>
      <c r="AS29" s="5">
        <f t="shared" si="101"/>
        <v>2.9536123945629478</v>
      </c>
      <c r="AT29" s="5">
        <f t="shared" si="27"/>
        <v>0.83972269855270065</v>
      </c>
      <c r="AU29" s="5">
        <f t="shared" si="102"/>
        <v>2.1138896960102471</v>
      </c>
      <c r="AV29" s="5">
        <f t="shared" si="28"/>
        <v>0.93570440659754173</v>
      </c>
      <c r="AW29" s="150">
        <f t="shared" si="103"/>
        <v>0.28430362091467193</v>
      </c>
      <c r="AX29" s="150">
        <f t="shared" si="29"/>
        <v>29.224458442906705</v>
      </c>
      <c r="AY29" s="150">
        <f t="shared" si="30"/>
        <v>2.168776906319176</v>
      </c>
      <c r="AZ29" s="150">
        <f t="shared" si="104"/>
        <v>13.47508743649716</v>
      </c>
      <c r="BA29" s="144">
        <f t="shared" si="31"/>
        <v>2.6871126353686421</v>
      </c>
      <c r="BB29" s="5">
        <f t="shared" si="32"/>
        <v>1.0557178563464578</v>
      </c>
      <c r="BC29" s="5"/>
      <c r="BD29" s="150">
        <f t="shared" si="105"/>
        <v>1.8657206736963592</v>
      </c>
      <c r="BE29" s="150">
        <f t="shared" si="33"/>
        <v>2.9601917125461612</v>
      </c>
      <c r="BF29" s="150"/>
      <c r="BG29" s="456">
        <f t="shared" si="34"/>
        <v>4.1770963587095956E-2</v>
      </c>
      <c r="BH29" s="456">
        <f t="shared" si="35"/>
        <v>2.4132116053369317</v>
      </c>
      <c r="BI29" s="456">
        <f t="shared" si="36"/>
        <v>3.8935372905291726E-2</v>
      </c>
      <c r="BJ29" s="456">
        <f t="shared" si="37"/>
        <v>0.72760691395043353</v>
      </c>
      <c r="BK29">
        <f t="shared" si="38"/>
        <v>1.5264779480505317E-2</v>
      </c>
      <c r="BL29" s="144">
        <f t="shared" si="106"/>
        <v>54.20015238579704</v>
      </c>
      <c r="BM29" s="456">
        <f t="shared" si="39"/>
        <v>3.2258838334546573</v>
      </c>
      <c r="BN29" s="144">
        <f t="shared" si="107"/>
        <v>3225.8838334546572</v>
      </c>
      <c r="BO29" s="456">
        <f t="shared" si="108"/>
        <v>0.6437759999999999</v>
      </c>
      <c r="BP29" s="456"/>
      <c r="BR29" s="144">
        <f t="shared" si="109"/>
        <v>643.77599999999995</v>
      </c>
      <c r="BS29" s="456">
        <f t="shared" si="40"/>
        <v>4.8732790851611953E-2</v>
      </c>
      <c r="BT29" s="456">
        <f t="shared" si="41"/>
        <v>0.12267828965037765</v>
      </c>
      <c r="BU29" s="456">
        <f t="shared" si="42"/>
        <v>9.5362228013228982</v>
      </c>
      <c r="BV29" s="456">
        <f t="shared" si="43"/>
        <v>9.8843150307001153</v>
      </c>
      <c r="BW29" s="456">
        <f t="shared" si="44"/>
        <v>1.2435939762939026</v>
      </c>
      <c r="BX29" s="144">
        <f t="shared" si="110"/>
        <v>11127.909006994019</v>
      </c>
      <c r="BY29" s="150">
        <f t="shared" si="45"/>
        <v>15.051768992834472</v>
      </c>
      <c r="BZ29" s="5">
        <f t="shared" si="111"/>
        <v>28.799999999999997</v>
      </c>
      <c r="CA29" s="150">
        <f t="shared" si="112"/>
        <v>0.65675799771512111</v>
      </c>
      <c r="CB29" s="5">
        <f t="shared" si="113"/>
        <v>65.675799771512118</v>
      </c>
      <c r="CE29" s="59">
        <f t="shared" si="46"/>
        <v>-50</v>
      </c>
      <c r="CF29">
        <f t="shared" si="47"/>
        <v>-50</v>
      </c>
      <c r="CG29" s="150">
        <f t="shared" si="48"/>
        <v>0.31890500654583648</v>
      </c>
      <c r="CI29" s="147">
        <v>24</v>
      </c>
      <c r="CJ29" s="188">
        <f t="shared" si="114"/>
        <v>0.96</v>
      </c>
      <c r="CK29" s="188"/>
      <c r="CL29" s="188">
        <f t="shared" si="49"/>
        <v>28.799999999999997</v>
      </c>
      <c r="CM29" s="465">
        <f t="shared" si="50"/>
        <v>34</v>
      </c>
      <c r="CN29" s="149">
        <f t="shared" si="51"/>
        <v>30.4</v>
      </c>
      <c r="CO29" s="379">
        <f t="shared" si="52"/>
        <v>64.400000000000006</v>
      </c>
      <c r="CP29" s="379"/>
      <c r="CQ29" s="188">
        <f t="shared" si="53"/>
        <v>0.47204968944099374</v>
      </c>
      <c r="CR29" s="149">
        <f t="shared" si="54"/>
        <v>244.918674788055</v>
      </c>
      <c r="CS29" s="149">
        <f t="shared" si="115"/>
        <v>28.799999999999997</v>
      </c>
      <c r="CT29" s="188">
        <f t="shared" si="55"/>
        <v>8.1639558262685004</v>
      </c>
      <c r="CU29" s="188">
        <f t="shared" si="56"/>
        <v>30</v>
      </c>
      <c r="CV29" s="188">
        <f t="shared" si="57"/>
        <v>8.1059037580776696</v>
      </c>
      <c r="CW29" s="149">
        <f t="shared" si="58"/>
        <v>502.64319706774762</v>
      </c>
      <c r="CX29" s="149">
        <f t="shared" si="59"/>
        <v>30</v>
      </c>
      <c r="CY29" s="188">
        <f t="shared" si="60"/>
        <v>3.5888544891640866</v>
      </c>
      <c r="CZ29" s="188">
        <f t="shared" si="61"/>
        <v>0.49610635585503549</v>
      </c>
      <c r="DA29" s="188">
        <f t="shared" si="62"/>
        <v>0.55485579273260555</v>
      </c>
      <c r="DB29" s="172">
        <f t="shared" si="63"/>
        <v>350</v>
      </c>
      <c r="DC29" s="379">
        <f t="shared" si="116"/>
        <v>350</v>
      </c>
      <c r="DE29" s="188">
        <f t="shared" si="64"/>
        <v>9.7566501161056465</v>
      </c>
      <c r="DF29" s="150">
        <f t="shared" si="65"/>
        <v>1.5084294587400178</v>
      </c>
      <c r="DG29" s="150">
        <f t="shared" si="66"/>
        <v>2.5755132294067704</v>
      </c>
      <c r="DH29" s="150"/>
      <c r="DI29" s="150">
        <f t="shared" si="67"/>
        <v>0.93700159489633172</v>
      </c>
      <c r="DJ29" s="314">
        <f t="shared" si="117"/>
        <v>338.09974468085107</v>
      </c>
      <c r="DK29" s="456">
        <f t="shared" si="68"/>
        <v>0.99378957034459414</v>
      </c>
      <c r="DM29" s="150">
        <f t="shared" si="69"/>
        <v>5.9566825389054356</v>
      </c>
      <c r="DN29" s="150">
        <f t="shared" si="70"/>
        <v>6.0606060606060606</v>
      </c>
      <c r="DO29" s="150">
        <f t="shared" si="71"/>
        <v>1.1931998541033435</v>
      </c>
      <c r="DQ29" s="314">
        <f t="shared" si="72"/>
        <v>960</v>
      </c>
      <c r="DR29" s="144">
        <f t="shared" si="73"/>
        <v>338.09974468085107</v>
      </c>
      <c r="DT29">
        <f t="shared" si="74"/>
        <v>960</v>
      </c>
      <c r="DU29" s="144">
        <f t="shared" si="75"/>
        <v>338.09974468085107</v>
      </c>
      <c r="DV29" s="144"/>
      <c r="DW29" s="5">
        <f t="shared" si="118"/>
        <v>2.9577070545970066</v>
      </c>
      <c r="DX29" s="5">
        <f t="shared" si="76"/>
        <v>0.83778966131907295</v>
      </c>
      <c r="DY29" s="5">
        <f t="shared" si="119"/>
        <v>2.1199173932779338</v>
      </c>
      <c r="DZ29" s="5">
        <f t="shared" si="77"/>
        <v>0.93700159489633172</v>
      </c>
      <c r="EA29" s="150">
        <f t="shared" si="120"/>
        <v>0.28325647058823528</v>
      </c>
      <c r="EB29" s="150">
        <f t="shared" si="78"/>
        <v>29.183999999999994</v>
      </c>
      <c r="EC29" s="150">
        <f t="shared" si="79"/>
        <v>2.1719500891265597</v>
      </c>
      <c r="ED29" s="150">
        <f t="shared" si="121"/>
        <v>13.43677285500433</v>
      </c>
      <c r="EE29" s="144">
        <f t="shared" si="80"/>
        <v>2.6809269162210332</v>
      </c>
      <c r="EF29" s="5">
        <f t="shared" si="81"/>
        <v>1.0562910194879667</v>
      </c>
      <c r="EG29" s="5"/>
      <c r="EH29" s="150">
        <f t="shared" si="122"/>
        <v>1.8622815822592733</v>
      </c>
      <c r="EI29" s="150">
        <f t="shared" si="82"/>
        <v>2.9623564801797349</v>
      </c>
      <c r="EJ29" s="150"/>
      <c r="EK29" s="456">
        <f t="shared" si="83"/>
        <v>4.1617112299465235E-2</v>
      </c>
      <c r="EL29" s="456">
        <f t="shared" si="84"/>
        <v>2.5072657429787237</v>
      </c>
      <c r="EM29" s="456">
        <f t="shared" si="85"/>
        <v>3.8881470638297874E-2</v>
      </c>
      <c r="EN29" s="456">
        <f t="shared" si="86"/>
        <v>0.72564955229903005</v>
      </c>
      <c r="EO29">
        <f t="shared" si="87"/>
        <v>1.5299999999999999E-2</v>
      </c>
      <c r="EP29" s="144">
        <f t="shared" si="123"/>
        <v>54.181470638297874</v>
      </c>
      <c r="EQ29" s="456">
        <f t="shared" si="88"/>
        <v>3.3733065153303716</v>
      </c>
      <c r="ER29" s="144">
        <f t="shared" si="124"/>
        <v>3373.3065153303714</v>
      </c>
      <c r="ES29" s="456">
        <f t="shared" si="125"/>
        <v>0.6437759999999999</v>
      </c>
      <c r="ET29" s="456"/>
      <c r="EV29" s="144">
        <f t="shared" si="126"/>
        <v>643.77599999999995</v>
      </c>
      <c r="EW29" s="456">
        <f t="shared" si="89"/>
        <v>4.855329768270944E-2</v>
      </c>
      <c r="EX29" s="456">
        <f t="shared" si="90"/>
        <v>0.12285778281928014</v>
      </c>
      <c r="EY29" s="456">
        <f t="shared" si="91"/>
        <v>9.5032521116968098</v>
      </c>
      <c r="EZ29" s="456">
        <f t="shared" si="92"/>
        <v>9.8508859316347461</v>
      </c>
      <c r="FA29" s="456">
        <f t="shared" si="93"/>
        <v>1.2418723404255319</v>
      </c>
      <c r="FB29" s="144">
        <f t="shared" si="127"/>
        <v>11092.758272060279</v>
      </c>
      <c r="FC29" s="150">
        <f t="shared" si="128"/>
        <v>15.109840787390651</v>
      </c>
      <c r="FD29" s="5">
        <f t="shared" si="129"/>
        <v>28.799999999999997</v>
      </c>
      <c r="FE29" s="150">
        <f t="shared" si="130"/>
        <v>0.65588941985574989</v>
      </c>
      <c r="FF29" s="5">
        <f t="shared" si="131"/>
        <v>65.588941985574991</v>
      </c>
      <c r="FI29" s="59">
        <f t="shared" si="94"/>
        <v>-50</v>
      </c>
      <c r="FJ29">
        <f t="shared" si="95"/>
        <v>-50</v>
      </c>
      <c r="FL29">
        <f t="shared" si="96"/>
        <v>0.31680000000000003</v>
      </c>
    </row>
    <row r="30" spans="5:168">
      <c r="E30" s="147">
        <v>25</v>
      </c>
      <c r="F30" s="188">
        <f t="shared" si="97"/>
        <v>1</v>
      </c>
      <c r="G30" s="188"/>
      <c r="H30" s="188">
        <f t="shared" si="0"/>
        <v>30</v>
      </c>
      <c r="I30" s="465">
        <f t="shared" si="1"/>
        <v>33.921488002581761</v>
      </c>
      <c r="J30" s="149">
        <f t="shared" si="2"/>
        <v>30.442275690917512</v>
      </c>
      <c r="K30" s="149">
        <f t="shared" si="3"/>
        <v>64.442275690917512</v>
      </c>
      <c r="L30" s="379"/>
      <c r="M30" s="188">
        <f t="shared" si="4"/>
        <v>0.47297457432413237</v>
      </c>
      <c r="N30" s="149">
        <f t="shared" si="5"/>
        <v>244.83187434932918</v>
      </c>
      <c r="O30" s="149">
        <f t="shared" si="98"/>
        <v>30</v>
      </c>
      <c r="P30" s="188">
        <f t="shared" si="6"/>
        <v>8.1610624783109724</v>
      </c>
      <c r="Q30" s="188">
        <f t="shared" si="7"/>
        <v>30</v>
      </c>
      <c r="R30" s="188">
        <f t="shared" si="8"/>
        <v>8.1030309840718555</v>
      </c>
      <c r="S30" s="149">
        <f t="shared" si="9"/>
        <v>480.06869176212155</v>
      </c>
      <c r="T30" s="149">
        <f t="shared" si="10"/>
        <v>30</v>
      </c>
      <c r="U30" s="188">
        <f t="shared" si="99"/>
        <v>3.7948833254774401</v>
      </c>
      <c r="V30" s="188">
        <f t="shared" si="11"/>
        <v>0.52580097985048524</v>
      </c>
      <c r="W30" s="188">
        <f t="shared" si="12"/>
        <v>0.58589416280285989</v>
      </c>
      <c r="X30" s="172">
        <f t="shared" si="13"/>
        <v>350</v>
      </c>
      <c r="Y30" s="379">
        <f t="shared" si="14"/>
        <v>350</v>
      </c>
      <c r="AA30" s="188">
        <f t="shared" si="15"/>
        <v>9.7531448785500139</v>
      </c>
      <c r="AB30" s="150">
        <f t="shared" si="16"/>
        <v>1.5057935022532307</v>
      </c>
      <c r="AC30" s="150">
        <f t="shared" si="17"/>
        <v>2.5700888823146224</v>
      </c>
      <c r="AD30" s="150"/>
      <c r="AE30" s="150">
        <f t="shared" si="18"/>
        <v>0.9357003653096464</v>
      </c>
      <c r="AF30" s="314">
        <f t="shared" si="100"/>
        <v>352.67700241924655</v>
      </c>
      <c r="AG30" s="456">
        <f t="shared" si="19"/>
        <v>0.99240947835871574</v>
      </c>
      <c r="AI30" s="150">
        <f t="shared" si="20"/>
        <v>6.0837394206607449</v>
      </c>
      <c r="AJ30" s="150">
        <f t="shared" si="21"/>
        <v>6.0837394206607449</v>
      </c>
      <c r="AK30" s="150">
        <f t="shared" si="22"/>
        <v>1.2171358222627291</v>
      </c>
      <c r="AM30" s="314">
        <f t="shared" si="23"/>
        <v>1000</v>
      </c>
      <c r="AN30" s="144">
        <f t="shared" si="24"/>
        <v>350</v>
      </c>
      <c r="AP30">
        <f t="shared" si="25"/>
        <v>1000</v>
      </c>
      <c r="AQ30" s="144">
        <f t="shared" si="26"/>
        <v>350</v>
      </c>
      <c r="AR30" s="144"/>
      <c r="AS30" s="5">
        <f t="shared" si="101"/>
        <v>2.8571428571428572</v>
      </c>
      <c r="AT30" s="5">
        <f t="shared" si="27"/>
        <v>0.84293399142541281</v>
      </c>
      <c r="AU30" s="5">
        <f t="shared" si="102"/>
        <v>2.0142088657174444</v>
      </c>
      <c r="AV30" s="5">
        <f t="shared" si="28"/>
        <v>0.93927193772955764</v>
      </c>
      <c r="AW30" s="150">
        <f t="shared" si="103"/>
        <v>0.29502689699889445</v>
      </c>
      <c r="AX30" s="150">
        <f t="shared" si="29"/>
        <v>30.442275690917512</v>
      </c>
      <c r="AY30" s="150">
        <f t="shared" si="30"/>
        <v>2.1444363286166768</v>
      </c>
      <c r="AZ30" s="150">
        <f t="shared" si="104"/>
        <v>14.195933581555707</v>
      </c>
      <c r="BA30" s="144">
        <f t="shared" si="31"/>
        <v>2.8097799714180427</v>
      </c>
      <c r="BB30" s="5">
        <f t="shared" si="32"/>
        <v>1.0478568137543045</v>
      </c>
      <c r="BC30" s="5"/>
      <c r="BD30" s="150">
        <f t="shared" si="105"/>
        <v>1.9078348708677582</v>
      </c>
      <c r="BE30" s="150">
        <f t="shared" si="33"/>
        <v>2.9491458455516995</v>
      </c>
      <c r="BF30" s="150"/>
      <c r="BG30" s="456">
        <f t="shared" si="34"/>
        <v>4.3678006733987945E-2</v>
      </c>
      <c r="BH30" s="456">
        <f t="shared" si="35"/>
        <v>2.5042194578964807</v>
      </c>
      <c r="BI30" s="456">
        <f t="shared" si="36"/>
        <v>4.0250000000000001E-2</v>
      </c>
      <c r="BJ30" s="456">
        <f t="shared" si="37"/>
        <v>0.75217714907861155</v>
      </c>
      <c r="BK30">
        <f t="shared" si="38"/>
        <v>1.5264669601161792E-2</v>
      </c>
      <c r="BL30" s="144">
        <f t="shared" si="106"/>
        <v>55.514669601161792</v>
      </c>
      <c r="BM30" s="456">
        <f t="shared" si="39"/>
        <v>3.3465983194860858</v>
      </c>
      <c r="BN30" s="144">
        <f t="shared" si="107"/>
        <v>3346.598319486086</v>
      </c>
      <c r="BO30" s="456">
        <f t="shared" si="108"/>
        <v>0.67059999999999997</v>
      </c>
      <c r="BP30" s="456"/>
      <c r="BR30" s="144">
        <f t="shared" si="109"/>
        <v>670.6</v>
      </c>
      <c r="BS30" s="456">
        <f t="shared" si="40"/>
        <v>5.0957674522985941E-2</v>
      </c>
      <c r="BT30" s="456">
        <f t="shared" si="41"/>
        <v>0.12176445705668787</v>
      </c>
      <c r="BU30" s="456">
        <f t="shared" si="42"/>
        <v>10.460841583611748</v>
      </c>
      <c r="BV30" s="456">
        <f t="shared" si="43"/>
        <v>10.824588709602205</v>
      </c>
      <c r="BW30" s="456">
        <f t="shared" si="44"/>
        <v>1.2954159868475539</v>
      </c>
      <c r="BX30" s="144">
        <f t="shared" si="110"/>
        <v>12120.004696449758</v>
      </c>
      <c r="BY30" s="150">
        <f t="shared" si="45"/>
        <v>16.192717685537009</v>
      </c>
      <c r="BZ30" s="5">
        <f t="shared" si="111"/>
        <v>30</v>
      </c>
      <c r="CA30" s="150">
        <f t="shared" si="112"/>
        <v>0.64945301993766513</v>
      </c>
      <c r="CB30" s="5">
        <f t="shared" si="113"/>
        <v>64.94530199376652</v>
      </c>
      <c r="CE30" s="59">
        <f t="shared" si="46"/>
        <v>-50</v>
      </c>
      <c r="CF30">
        <f t="shared" si="47"/>
        <v>-50</v>
      </c>
      <c r="CG30" s="150">
        <f t="shared" si="48"/>
        <v>0.33115957885386116</v>
      </c>
      <c r="CI30" s="147">
        <v>25</v>
      </c>
      <c r="CJ30" s="188">
        <f t="shared" si="114"/>
        <v>1</v>
      </c>
      <c r="CK30" s="188"/>
      <c r="CL30" s="188">
        <f t="shared" si="49"/>
        <v>30</v>
      </c>
      <c r="CM30" s="465">
        <f t="shared" si="50"/>
        <v>34</v>
      </c>
      <c r="CN30" s="149">
        <f t="shared" si="51"/>
        <v>30.4</v>
      </c>
      <c r="CO30" s="379">
        <f t="shared" si="52"/>
        <v>64.400000000000006</v>
      </c>
      <c r="CP30" s="379"/>
      <c r="CQ30" s="188">
        <f t="shared" si="53"/>
        <v>0.47204968944099374</v>
      </c>
      <c r="CR30" s="149">
        <f t="shared" si="54"/>
        <v>244.918674788055</v>
      </c>
      <c r="CS30" s="149">
        <f t="shared" si="115"/>
        <v>30</v>
      </c>
      <c r="CT30" s="188">
        <f t="shared" si="55"/>
        <v>8.1639558262685004</v>
      </c>
      <c r="CU30" s="188">
        <f t="shared" si="56"/>
        <v>30</v>
      </c>
      <c r="CV30" s="188">
        <f t="shared" si="57"/>
        <v>8.1059037580776696</v>
      </c>
      <c r="CW30" s="149">
        <f t="shared" si="58"/>
        <v>481.17975554128134</v>
      </c>
      <c r="CX30" s="149">
        <f t="shared" si="59"/>
        <v>30</v>
      </c>
      <c r="CY30" s="188">
        <f t="shared" si="60"/>
        <v>3.7383900928792571</v>
      </c>
      <c r="CZ30" s="188">
        <f t="shared" si="61"/>
        <v>0.516777454015662</v>
      </c>
      <c r="DA30" s="188">
        <f t="shared" si="62"/>
        <v>0.57797478409646408</v>
      </c>
      <c r="DB30" s="172">
        <f t="shared" si="63"/>
        <v>350</v>
      </c>
      <c r="DC30" s="379">
        <f t="shared" si="116"/>
        <v>350</v>
      </c>
      <c r="DE30" s="188">
        <f t="shared" si="64"/>
        <v>9.7566501161056465</v>
      </c>
      <c r="DF30" s="150">
        <f t="shared" si="65"/>
        <v>1.5084294587400178</v>
      </c>
      <c r="DG30" s="150">
        <f t="shared" si="66"/>
        <v>2.5755132294067704</v>
      </c>
      <c r="DH30" s="150"/>
      <c r="DI30" s="150">
        <f t="shared" si="67"/>
        <v>0.93700159489633172</v>
      </c>
      <c r="DJ30" s="314">
        <f t="shared" si="117"/>
        <v>352.1872340425532</v>
      </c>
      <c r="DK30" s="456">
        <f t="shared" si="68"/>
        <v>0.99378957034459414</v>
      </c>
      <c r="DM30" s="150">
        <f t="shared" si="69"/>
        <v>6.0795136583602192</v>
      </c>
      <c r="DN30" s="150">
        <f t="shared" si="70"/>
        <v>6.0795136583602192</v>
      </c>
      <c r="DO30" s="150">
        <f t="shared" si="71"/>
        <v>1.2140056279660434</v>
      </c>
      <c r="DQ30" s="314">
        <f t="shared" si="72"/>
        <v>1000</v>
      </c>
      <c r="DR30" s="144">
        <f t="shared" si="73"/>
        <v>350</v>
      </c>
      <c r="DT30">
        <f t="shared" si="74"/>
        <v>1000</v>
      </c>
      <c r="DU30" s="144">
        <f t="shared" si="75"/>
        <v>350</v>
      </c>
      <c r="DV30" s="144"/>
      <c r="DW30" s="5">
        <f t="shared" si="118"/>
        <v>2.8571428571428572</v>
      </c>
      <c r="DX30" s="5">
        <f t="shared" si="76"/>
        <v>0.84040335865567739</v>
      </c>
      <c r="DY30" s="5">
        <f t="shared" si="119"/>
        <v>2.0167394984871798</v>
      </c>
      <c r="DZ30" s="5">
        <f t="shared" si="77"/>
        <v>0.93992480902279707</v>
      </c>
      <c r="EA30" s="150">
        <f t="shared" si="120"/>
        <v>0.2941411755294871</v>
      </c>
      <c r="EB30" s="150">
        <f t="shared" si="78"/>
        <v>30.400000000000006</v>
      </c>
      <c r="EC30" s="150">
        <f t="shared" si="79"/>
        <v>2.1456391821212857</v>
      </c>
      <c r="ED30" s="150">
        <f t="shared" si="121"/>
        <v>14.168272211521161</v>
      </c>
      <c r="EE30" s="144">
        <f t="shared" si="80"/>
        <v>2.8013445288522578</v>
      </c>
      <c r="EF30" s="5">
        <f t="shared" si="81"/>
        <v>1.0467506047511312</v>
      </c>
      <c r="EG30" s="5"/>
      <c r="EH30" s="150">
        <f t="shared" si="122"/>
        <v>1.9036457036390324</v>
      </c>
      <c r="EI30" s="150">
        <f t="shared" si="82"/>
        <v>2.948948141696087</v>
      </c>
      <c r="EJ30" s="150"/>
      <c r="EK30" s="456">
        <f t="shared" si="83"/>
        <v>4.3486403579800159E-2</v>
      </c>
      <c r="EL30" s="456">
        <f t="shared" si="84"/>
        <v>2.6036125193293476</v>
      </c>
      <c r="EM30" s="456">
        <f t="shared" si="85"/>
        <v>4.0250000000000001E-2</v>
      </c>
      <c r="EN30" s="456">
        <f t="shared" si="86"/>
        <v>0.75119058000000016</v>
      </c>
      <c r="EO30">
        <f t="shared" si="87"/>
        <v>1.5299999999999999E-2</v>
      </c>
      <c r="EP30" s="144">
        <f t="shared" si="123"/>
        <v>55.550000000000004</v>
      </c>
      <c r="EQ30" s="456">
        <f t="shared" si="88"/>
        <v>3.501762334180575</v>
      </c>
      <c r="ER30" s="144">
        <f t="shared" si="124"/>
        <v>3501.7623341805752</v>
      </c>
      <c r="ES30" s="456">
        <f t="shared" si="125"/>
        <v>0.67059999999999997</v>
      </c>
      <c r="ET30" s="456"/>
      <c r="EV30" s="144">
        <f t="shared" si="126"/>
        <v>670.6</v>
      </c>
      <c r="EW30" s="456">
        <f t="shared" si="89"/>
        <v>5.0734137509766852E-2</v>
      </c>
      <c r="EX30" s="456">
        <f t="shared" si="90"/>
        <v>0.12174813199377926</v>
      </c>
      <c r="EY30" s="456">
        <f t="shared" si="91"/>
        <v>10.44268580761053</v>
      </c>
      <c r="EZ30" s="456">
        <f t="shared" si="92"/>
        <v>10.805666694999113</v>
      </c>
      <c r="FA30" s="456">
        <f t="shared" si="93"/>
        <v>1.2936170212765961</v>
      </c>
      <c r="FB30" s="144">
        <f t="shared" si="127"/>
        <v>12099.28371627571</v>
      </c>
      <c r="FC30" s="150">
        <f t="shared" si="128"/>
        <v>16.271646050456283</v>
      </c>
      <c r="FD30" s="5">
        <f t="shared" si="129"/>
        <v>30</v>
      </c>
      <c r="FE30" s="150">
        <f t="shared" si="130"/>
        <v>0.64834520836554876</v>
      </c>
      <c r="FF30" s="5">
        <f t="shared" si="131"/>
        <v>64.834520836554873</v>
      </c>
      <c r="FI30" s="59">
        <f t="shared" si="94"/>
        <v>-50</v>
      </c>
      <c r="FJ30">
        <f t="shared" si="95"/>
        <v>-50</v>
      </c>
      <c r="FL30">
        <f t="shared" si="96"/>
        <v>0.32897368315797892</v>
      </c>
    </row>
    <row r="31" spans="5:168">
      <c r="E31" s="147">
        <v>26</v>
      </c>
      <c r="F31" s="188">
        <f t="shared" si="97"/>
        <v>1.04</v>
      </c>
      <c r="G31" s="188"/>
      <c r="H31" s="188">
        <f t="shared" si="0"/>
        <v>31.200000000000003</v>
      </c>
      <c r="I31" s="465">
        <f t="shared" si="1"/>
        <v>33.919933158622648</v>
      </c>
      <c r="J31" s="149">
        <f t="shared" si="2"/>
        <v>30.443112914587804</v>
      </c>
      <c r="K31" s="149">
        <f t="shared" si="3"/>
        <v>64.4431129145878</v>
      </c>
      <c r="L31" s="379"/>
      <c r="M31" s="188">
        <f t="shared" si="4"/>
        <v>0.47299290108910297</v>
      </c>
      <c r="N31" s="149">
        <f t="shared" si="5"/>
        <v>244.8301383837977</v>
      </c>
      <c r="O31" s="149">
        <f t="shared" si="98"/>
        <v>31.200000000000003</v>
      </c>
      <c r="P31" s="188">
        <f t="shared" si="6"/>
        <v>8.1610046127932563</v>
      </c>
      <c r="Q31" s="188">
        <f t="shared" si="7"/>
        <v>30</v>
      </c>
      <c r="R31" s="188">
        <f t="shared" si="8"/>
        <v>8.102973530022922</v>
      </c>
      <c r="S31" s="149">
        <f t="shared" si="9"/>
        <v>460.28103920737198</v>
      </c>
      <c r="T31" s="149">
        <f t="shared" si="10"/>
        <v>30</v>
      </c>
      <c r="U31" s="188">
        <f t="shared" si="99"/>
        <v>3.946815904944144</v>
      </c>
      <c r="V31" s="188">
        <f t="shared" si="11"/>
        <v>0.54687710221863883</v>
      </c>
      <c r="W31" s="188">
        <f t="shared" si="12"/>
        <v>0.60933436095323301</v>
      </c>
      <c r="X31" s="172">
        <f t="shared" si="13"/>
        <v>350</v>
      </c>
      <c r="Y31" s="379">
        <f t="shared" si="14"/>
        <v>350</v>
      </c>
      <c r="AA31" s="188">
        <f t="shared" si="15"/>
        <v>9.7530747881823263</v>
      </c>
      <c r="AB31" s="150">
        <f t="shared" si="16"/>
        <v>1.5057412700555819</v>
      </c>
      <c r="AC31" s="150">
        <f t="shared" si="17"/>
        <v>2.5699812632383283</v>
      </c>
      <c r="AD31" s="150"/>
      <c r="AE31" s="150">
        <f t="shared" si="18"/>
        <v>0.93567463237962911</v>
      </c>
      <c r="AF31" s="314">
        <f t="shared" si="100"/>
        <v>366.7941698143145</v>
      </c>
      <c r="AG31" s="456">
        <f t="shared" si="19"/>
        <v>0.99238218585718252</v>
      </c>
      <c r="AI31" s="150">
        <f t="shared" si="20"/>
        <v>6.204306517992582</v>
      </c>
      <c r="AJ31" s="150">
        <f t="shared" si="21"/>
        <v>6.204306517992582</v>
      </c>
      <c r="AK31" s="150">
        <f t="shared" si="22"/>
        <v>1.3064447832492752</v>
      </c>
      <c r="AM31" s="314">
        <f t="shared" si="23"/>
        <v>1040</v>
      </c>
      <c r="AN31" s="144">
        <f t="shared" si="24"/>
        <v>350</v>
      </c>
      <c r="AP31">
        <f t="shared" si="25"/>
        <v>1040</v>
      </c>
      <c r="AQ31" s="144">
        <f t="shared" si="26"/>
        <v>350</v>
      </c>
      <c r="AR31" s="144"/>
      <c r="AS31" s="5">
        <f t="shared" si="101"/>
        <v>2.8571428571428572</v>
      </c>
      <c r="AT31" s="5">
        <f t="shared" si="27"/>
        <v>0.85967859954796022</v>
      </c>
      <c r="AU31" s="5">
        <f t="shared" si="102"/>
        <v>1.9974642575948969</v>
      </c>
      <c r="AV31" s="5">
        <f t="shared" si="28"/>
        <v>0.95786001636488571</v>
      </c>
      <c r="AW31" s="150">
        <f t="shared" si="103"/>
        <v>0.30088750984178608</v>
      </c>
      <c r="AX31" s="150">
        <f t="shared" si="29"/>
        <v>31.660837431171306</v>
      </c>
      <c r="AY31" s="150">
        <f t="shared" si="30"/>
        <v>2.1687540897493158</v>
      </c>
      <c r="AZ31" s="150">
        <f t="shared" si="104"/>
        <v>14.598629499221348</v>
      </c>
      <c r="BA31" s="144">
        <f t="shared" si="31"/>
        <v>2.9802191450995958</v>
      </c>
      <c r="BB31" s="5">
        <f t="shared" si="32"/>
        <v>1.0807610926091291</v>
      </c>
      <c r="BC31" s="5"/>
      <c r="BD31" s="150">
        <f t="shared" si="105"/>
        <v>1.9648739653639995</v>
      </c>
      <c r="BE31" s="150">
        <f t="shared" si="33"/>
        <v>2.9950642881196781</v>
      </c>
      <c r="BF31" s="150"/>
      <c r="BG31" s="456">
        <f t="shared" si="34"/>
        <v>4.6328756397182973E-2</v>
      </c>
      <c r="BH31" s="456">
        <f t="shared" si="35"/>
        <v>2.5538810728538417</v>
      </c>
      <c r="BI31" s="456">
        <f t="shared" si="36"/>
        <v>4.0250000000000001E-2</v>
      </c>
      <c r="BJ31" s="456">
        <f t="shared" si="37"/>
        <v>0.75219669353440399</v>
      </c>
      <c r="BK31">
        <f t="shared" si="38"/>
        <v>1.5263969921380191E-2</v>
      </c>
      <c r="BL31" s="144">
        <f t="shared" si="106"/>
        <v>55.513969921380188</v>
      </c>
      <c r="BM31" s="456">
        <f t="shared" si="39"/>
        <v>3.4023675711228591</v>
      </c>
      <c r="BN31" s="144">
        <f t="shared" si="107"/>
        <v>3402.3675711228593</v>
      </c>
      <c r="BO31" s="456">
        <f t="shared" si="108"/>
        <v>0.69742399999999993</v>
      </c>
      <c r="BP31" s="456"/>
      <c r="BR31" s="144">
        <f t="shared" si="109"/>
        <v>697.42399999999998</v>
      </c>
      <c r="BS31" s="456">
        <f t="shared" si="40"/>
        <v>5.4050215796713465E-2</v>
      </c>
      <c r="BT31" s="456">
        <f t="shared" si="41"/>
        <v>0.12558574125957767</v>
      </c>
      <c r="BU31" s="456">
        <f t="shared" si="42"/>
        <v>10.986850857794487</v>
      </c>
      <c r="BV31" s="456">
        <f t="shared" si="43"/>
        <v>11.373039998526268</v>
      </c>
      <c r="BW31" s="456">
        <f t="shared" si="44"/>
        <v>1.3472696779221831</v>
      </c>
      <c r="BX31" s="144">
        <f t="shared" si="110"/>
        <v>12720.309676448451</v>
      </c>
      <c r="BY31" s="150">
        <f t="shared" si="45"/>
        <v>16.87561521749269</v>
      </c>
      <c r="BZ31" s="5">
        <f t="shared" si="111"/>
        <v>31.200000000000003</v>
      </c>
      <c r="CA31" s="150">
        <f t="shared" si="112"/>
        <v>0.64897765444814592</v>
      </c>
      <c r="CB31" s="5">
        <f t="shared" si="113"/>
        <v>64.897765444814596</v>
      </c>
      <c r="CE31" s="59">
        <f t="shared" si="46"/>
        <v>-50</v>
      </c>
      <c r="CF31">
        <f t="shared" si="47"/>
        <v>-50</v>
      </c>
      <c r="CG31" s="150">
        <f t="shared" si="48"/>
        <v>0.33771783093780133</v>
      </c>
      <c r="CI31" s="147">
        <v>26</v>
      </c>
      <c r="CJ31" s="188">
        <f t="shared" si="114"/>
        <v>1.04</v>
      </c>
      <c r="CK31" s="188"/>
      <c r="CL31" s="188">
        <f t="shared" si="49"/>
        <v>31.200000000000003</v>
      </c>
      <c r="CM31" s="465">
        <f t="shared" si="50"/>
        <v>34</v>
      </c>
      <c r="CN31" s="149">
        <f t="shared" si="51"/>
        <v>30.4</v>
      </c>
      <c r="CO31" s="379">
        <f t="shared" si="52"/>
        <v>64.400000000000006</v>
      </c>
      <c r="CP31" s="379"/>
      <c r="CQ31" s="188">
        <f t="shared" si="53"/>
        <v>0.47204968944099374</v>
      </c>
      <c r="CR31" s="149">
        <f t="shared" si="54"/>
        <v>244.918674788055</v>
      </c>
      <c r="CS31" s="149">
        <f t="shared" si="115"/>
        <v>31.200000000000003</v>
      </c>
      <c r="CT31" s="188">
        <f t="shared" si="55"/>
        <v>8.1639558262685004</v>
      </c>
      <c r="CU31" s="188">
        <f t="shared" si="56"/>
        <v>30</v>
      </c>
      <c r="CV31" s="188">
        <f t="shared" si="57"/>
        <v>8.1059037580776696</v>
      </c>
      <c r="CW31" s="149">
        <f t="shared" si="58"/>
        <v>461.36744739243699</v>
      </c>
      <c r="CX31" s="149">
        <f t="shared" si="59"/>
        <v>30</v>
      </c>
      <c r="CY31" s="188">
        <f t="shared" si="60"/>
        <v>3.887925696594428</v>
      </c>
      <c r="CZ31" s="188">
        <f t="shared" si="61"/>
        <v>0.53744855217628862</v>
      </c>
      <c r="DA31" s="188">
        <f t="shared" si="62"/>
        <v>0.60109377546032272</v>
      </c>
      <c r="DB31" s="172">
        <f t="shared" si="63"/>
        <v>350</v>
      </c>
      <c r="DC31" s="379">
        <f t="shared" si="116"/>
        <v>350</v>
      </c>
      <c r="DE31" s="188">
        <f t="shared" si="64"/>
        <v>9.7566501161056465</v>
      </c>
      <c r="DF31" s="150">
        <f t="shared" si="65"/>
        <v>1.5084294587400178</v>
      </c>
      <c r="DG31" s="150">
        <f t="shared" si="66"/>
        <v>2.5755132294067704</v>
      </c>
      <c r="DH31" s="150"/>
      <c r="DI31" s="150">
        <f t="shared" si="67"/>
        <v>0.93700159489633172</v>
      </c>
      <c r="DJ31" s="314">
        <f t="shared" si="117"/>
        <v>366.27472340425533</v>
      </c>
      <c r="DK31" s="456">
        <f t="shared" si="68"/>
        <v>0.99378957034459414</v>
      </c>
      <c r="DM31" s="150">
        <f t="shared" si="69"/>
        <v>6.1999117554265224</v>
      </c>
      <c r="DN31" s="150">
        <f t="shared" si="70"/>
        <v>6.1999117554265224</v>
      </c>
      <c r="DO31" s="150">
        <f t="shared" si="71"/>
        <v>1.3031894035707123</v>
      </c>
      <c r="DQ31" s="314">
        <f t="shared" si="72"/>
        <v>1040</v>
      </c>
      <c r="DR31" s="144">
        <f t="shared" si="73"/>
        <v>350</v>
      </c>
      <c r="DT31">
        <f t="shared" si="74"/>
        <v>1040</v>
      </c>
      <c r="DU31" s="144">
        <f t="shared" si="75"/>
        <v>350</v>
      </c>
      <c r="DV31" s="144"/>
      <c r="DW31" s="5">
        <f t="shared" si="118"/>
        <v>2.8571428571428572</v>
      </c>
      <c r="DX31" s="5">
        <f t="shared" si="76"/>
        <v>0.85704662501484286</v>
      </c>
      <c r="DY31" s="5">
        <f t="shared" si="119"/>
        <v>2.0000962321280142</v>
      </c>
      <c r="DZ31" s="5">
        <f t="shared" si="77"/>
        <v>0.95853898850344266</v>
      </c>
      <c r="EA31" s="150">
        <f t="shared" si="120"/>
        <v>0.29996631875519497</v>
      </c>
      <c r="EB31" s="150">
        <f t="shared" si="78"/>
        <v>31.615999999999993</v>
      </c>
      <c r="EC31" s="150">
        <f t="shared" si="79"/>
        <v>2.1700735247720848</v>
      </c>
      <c r="ED31" s="150">
        <f t="shared" si="121"/>
        <v>14.569091617907512</v>
      </c>
      <c r="EE31" s="144">
        <f t="shared" si="80"/>
        <v>2.9710949667181219</v>
      </c>
      <c r="EF31" s="5">
        <f t="shared" si="81"/>
        <v>1.0796367204566444</v>
      </c>
      <c r="EG31" s="5"/>
      <c r="EH31" s="150">
        <f t="shared" si="122"/>
        <v>1.9604741826343397</v>
      </c>
      <c r="EI31" s="150">
        <f t="shared" si="82"/>
        <v>2.9949139505027871</v>
      </c>
      <c r="EJ31" s="150"/>
      <c r="EK31" s="456">
        <f t="shared" si="83"/>
        <v>4.6121508249309384E-2</v>
      </c>
      <c r="EL31" s="456">
        <f t="shared" si="84"/>
        <v>2.6551742083789627</v>
      </c>
      <c r="EM31" s="456">
        <f t="shared" si="85"/>
        <v>4.0250000000000001E-2</v>
      </c>
      <c r="EN31" s="456">
        <f t="shared" si="86"/>
        <v>0.75119058000000016</v>
      </c>
      <c r="EO31">
        <f t="shared" si="87"/>
        <v>1.5299999999999999E-2</v>
      </c>
      <c r="EP31" s="144">
        <f t="shared" si="123"/>
        <v>55.550000000000004</v>
      </c>
      <c r="EQ31" s="456">
        <f t="shared" si="88"/>
        <v>3.5594957323350536</v>
      </c>
      <c r="ER31" s="144">
        <f t="shared" si="124"/>
        <v>3559.4957323350536</v>
      </c>
      <c r="ES31" s="456">
        <f t="shared" si="125"/>
        <v>0.69742399999999993</v>
      </c>
      <c r="ET31" s="456"/>
      <c r="EV31" s="144">
        <f t="shared" si="126"/>
        <v>697.42399999999998</v>
      </c>
      <c r="EW31" s="456">
        <f t="shared" si="89"/>
        <v>5.3808426290860953E-2</v>
      </c>
      <c r="EX31" s="456">
        <f t="shared" si="90"/>
        <v>0.12557313399282696</v>
      </c>
      <c r="EY31" s="456">
        <f t="shared" si="91"/>
        <v>10.967405109789508</v>
      </c>
      <c r="EZ31" s="456">
        <f t="shared" si="92"/>
        <v>11.352756254984442</v>
      </c>
      <c r="FA31" s="456">
        <f t="shared" si="93"/>
        <v>1.3453617021276596</v>
      </c>
      <c r="FB31" s="144">
        <f t="shared" si="127"/>
        <v>12698.117957112101</v>
      </c>
      <c r="FC31" s="150">
        <f t="shared" si="128"/>
        <v>16.955037689447153</v>
      </c>
      <c r="FD31" s="5">
        <f t="shared" si="129"/>
        <v>31.200000000000003</v>
      </c>
      <c r="FE31" s="150">
        <f t="shared" si="130"/>
        <v>0.64790729063923602</v>
      </c>
      <c r="FF31" s="5">
        <f t="shared" si="131"/>
        <v>64.790729063923607</v>
      </c>
      <c r="FI31" s="59">
        <f t="shared" si="94"/>
        <v>-50</v>
      </c>
      <c r="FJ31">
        <f t="shared" si="95"/>
        <v>-50</v>
      </c>
      <c r="FL31">
        <f t="shared" si="96"/>
        <v>0.33548864597620492</v>
      </c>
    </row>
    <row r="32" spans="5:168">
      <c r="E32" s="147">
        <v>27</v>
      </c>
      <c r="F32" s="188">
        <f t="shared" si="97"/>
        <v>1.08</v>
      </c>
      <c r="G32" s="188"/>
      <c r="H32" s="188">
        <f t="shared" si="0"/>
        <v>32.400000000000006</v>
      </c>
      <c r="I32" s="465">
        <f t="shared" si="1"/>
        <v>33.918407938880733</v>
      </c>
      <c r="J32" s="149">
        <f t="shared" si="2"/>
        <v>30.443934186756525</v>
      </c>
      <c r="K32" s="149">
        <f t="shared" si="3"/>
        <v>64.443934186756522</v>
      </c>
      <c r="L32" s="379"/>
      <c r="M32" s="188">
        <f t="shared" si="4"/>
        <v>0.47301087907085987</v>
      </c>
      <c r="N32" s="149">
        <f t="shared" si="5"/>
        <v>244.8284348523143</v>
      </c>
      <c r="O32" s="149">
        <f t="shared" si="98"/>
        <v>32.400000000000006</v>
      </c>
      <c r="P32" s="188">
        <f t="shared" si="6"/>
        <v>8.1609478284104764</v>
      </c>
      <c r="Q32" s="188">
        <f t="shared" si="7"/>
        <v>30</v>
      </c>
      <c r="R32" s="188">
        <f t="shared" si="8"/>
        <v>8.1029171494212164</v>
      </c>
      <c r="S32" s="149">
        <f t="shared" si="9"/>
        <v>441.95973638079283</v>
      </c>
      <c r="T32" s="149">
        <f t="shared" si="10"/>
        <v>30</v>
      </c>
      <c r="U32" s="188">
        <f t="shared" si="99"/>
        <v>4.098756339014515</v>
      </c>
      <c r="V32" s="188">
        <f t="shared" si="11"/>
        <v>0.5679557492227012</v>
      </c>
      <c r="W32" s="188">
        <f t="shared" si="12"/>
        <v>0.6327748140300592</v>
      </c>
      <c r="X32" s="172">
        <f t="shared" si="13"/>
        <v>350</v>
      </c>
      <c r="Y32" s="379">
        <f t="shared" si="14"/>
        <v>350</v>
      </c>
      <c r="AA32" s="188">
        <f t="shared" si="15"/>
        <v>9.7530060078258831</v>
      </c>
      <c r="AB32" s="150">
        <f t="shared" si="16"/>
        <v>1.5056900318987754</v>
      </c>
      <c r="AC32" s="150">
        <f t="shared" si="17"/>
        <v>2.5698756872306525</v>
      </c>
      <c r="AD32" s="150"/>
      <c r="AE32" s="150">
        <f t="shared" si="18"/>
        <v>0.93564939111055279</v>
      </c>
      <c r="AF32" s="314">
        <f t="shared" si="100"/>
        <v>380.91191357157544</v>
      </c>
      <c r="AG32" s="456">
        <f t="shared" si="19"/>
        <v>0.99235541481422262</v>
      </c>
      <c r="AI32" s="150">
        <f t="shared" si="20"/>
        <v>6.3225796860586714</v>
      </c>
      <c r="AJ32" s="150">
        <f t="shared" si="21"/>
        <v>6.3225796860586714</v>
      </c>
      <c r="AK32" s="150">
        <f t="shared" si="22"/>
        <v>1.3940545373723043</v>
      </c>
      <c r="AM32" s="314">
        <f t="shared" si="23"/>
        <v>1080</v>
      </c>
      <c r="AN32" s="144">
        <f t="shared" si="24"/>
        <v>350</v>
      </c>
      <c r="AP32">
        <f t="shared" si="25"/>
        <v>1080</v>
      </c>
      <c r="AQ32" s="144">
        <f t="shared" si="26"/>
        <v>350</v>
      </c>
      <c r="AR32" s="144"/>
      <c r="AS32" s="5">
        <f t="shared" si="101"/>
        <v>2.8571428571428572</v>
      </c>
      <c r="AT32" s="5">
        <f t="shared" si="27"/>
        <v>0.87610611258708593</v>
      </c>
      <c r="AU32" s="5">
        <f t="shared" si="102"/>
        <v>1.9810367445557713</v>
      </c>
      <c r="AV32" s="5">
        <f t="shared" si="28"/>
        <v>0.97609344252894303</v>
      </c>
      <c r="AW32" s="150">
        <f t="shared" si="103"/>
        <v>0.30663713940548004</v>
      </c>
      <c r="AX32" s="150">
        <f t="shared" si="29"/>
        <v>32.879448921697048</v>
      </c>
      <c r="AY32" s="150">
        <f t="shared" si="30"/>
        <v>2.1919209687312211</v>
      </c>
      <c r="AZ32" s="150">
        <f t="shared" si="104"/>
        <v>15.00028942226375</v>
      </c>
      <c r="BA32" s="144">
        <f t="shared" si="31"/>
        <v>3.1539820053135097</v>
      </c>
      <c r="BB32" s="5">
        <f t="shared" si="32"/>
        <v>1.1131486415224339</v>
      </c>
      <c r="BC32" s="5"/>
      <c r="BD32" s="150">
        <f t="shared" si="105"/>
        <v>2.0213711440397448</v>
      </c>
      <c r="BE32" s="150">
        <f t="shared" si="33"/>
        <v>3.0395827553954464</v>
      </c>
      <c r="BF32" s="150"/>
      <c r="BG32" s="456">
        <f t="shared" si="34"/>
        <v>4.9031295623478563E-2</v>
      </c>
      <c r="BH32" s="456">
        <f t="shared" si="35"/>
        <v>2.602599069880152</v>
      </c>
      <c r="BI32" s="456">
        <f t="shared" si="36"/>
        <v>4.0250000000000001E-2</v>
      </c>
      <c r="BJ32" s="456">
        <f t="shared" si="37"/>
        <v>0.75221586585921152</v>
      </c>
      <c r="BK32">
        <f t="shared" si="38"/>
        <v>1.5263283572496329E-2</v>
      </c>
      <c r="BL32" s="144">
        <f t="shared" si="106"/>
        <v>55.513283572496334</v>
      </c>
      <c r="BM32" s="456">
        <f t="shared" si="39"/>
        <v>3.45736238541109</v>
      </c>
      <c r="BN32" s="144">
        <f t="shared" si="107"/>
        <v>3457.3623854110901</v>
      </c>
      <c r="BO32" s="456">
        <f t="shared" si="108"/>
        <v>0.724248</v>
      </c>
      <c r="BP32" s="456"/>
      <c r="BR32" s="144">
        <f t="shared" si="109"/>
        <v>724.24800000000005</v>
      </c>
      <c r="BS32" s="456">
        <f t="shared" si="40"/>
        <v>5.7203178227391661E-2</v>
      </c>
      <c r="BT32" s="456">
        <f t="shared" si="41"/>
        <v>0.12934688657656324</v>
      </c>
      <c r="BU32" s="456">
        <f t="shared" si="42"/>
        <v>11.517968708312084</v>
      </c>
      <c r="BV32" s="456">
        <f t="shared" si="43"/>
        <v>11.927293782920152</v>
      </c>
      <c r="BW32" s="456">
        <f t="shared" si="44"/>
        <v>1.3991254860296622</v>
      </c>
      <c r="BX32" s="144">
        <f t="shared" si="110"/>
        <v>13326.419268949814</v>
      </c>
      <c r="BY32" s="150">
        <f t="shared" si="45"/>
        <v>17.563542937933402</v>
      </c>
      <c r="BZ32" s="5">
        <f t="shared" si="111"/>
        <v>32.400000000000006</v>
      </c>
      <c r="CA32" s="150">
        <f t="shared" si="112"/>
        <v>0.64847282828298425</v>
      </c>
      <c r="CB32" s="5">
        <f t="shared" si="113"/>
        <v>64.847282828298418</v>
      </c>
      <c r="CE32" s="59">
        <f t="shared" si="46"/>
        <v>-50</v>
      </c>
      <c r="CF32">
        <f t="shared" si="47"/>
        <v>-50</v>
      </c>
      <c r="CG32" s="150">
        <f t="shared" si="48"/>
        <v>0.3441511295927997</v>
      </c>
      <c r="CI32" s="147">
        <v>27</v>
      </c>
      <c r="CJ32" s="188">
        <f t="shared" si="114"/>
        <v>1.08</v>
      </c>
      <c r="CK32" s="188"/>
      <c r="CL32" s="188">
        <f t="shared" si="49"/>
        <v>32.400000000000006</v>
      </c>
      <c r="CM32" s="465">
        <f t="shared" si="50"/>
        <v>34</v>
      </c>
      <c r="CN32" s="149">
        <f t="shared" si="51"/>
        <v>30.4</v>
      </c>
      <c r="CO32" s="379">
        <f t="shared" si="52"/>
        <v>64.400000000000006</v>
      </c>
      <c r="CP32" s="379"/>
      <c r="CQ32" s="188">
        <f t="shared" si="53"/>
        <v>0.47204968944099374</v>
      </c>
      <c r="CR32" s="149">
        <f t="shared" si="54"/>
        <v>244.918674788055</v>
      </c>
      <c r="CS32" s="149">
        <f t="shared" si="115"/>
        <v>32.400000000000006</v>
      </c>
      <c r="CT32" s="188">
        <f t="shared" si="55"/>
        <v>8.1639558262685004</v>
      </c>
      <c r="CU32" s="188">
        <f t="shared" si="56"/>
        <v>30</v>
      </c>
      <c r="CV32" s="188">
        <f t="shared" si="57"/>
        <v>8.1059037580776696</v>
      </c>
      <c r="CW32" s="149">
        <f t="shared" si="58"/>
        <v>443.02281416011448</v>
      </c>
      <c r="CX32" s="149">
        <f t="shared" si="59"/>
        <v>30</v>
      </c>
      <c r="CY32" s="188">
        <f t="shared" si="60"/>
        <v>4.037461300309598</v>
      </c>
      <c r="CZ32" s="188">
        <f t="shared" si="61"/>
        <v>0.55811965033691502</v>
      </c>
      <c r="DA32" s="188">
        <f t="shared" si="62"/>
        <v>0.62421276682418125</v>
      </c>
      <c r="DB32" s="172">
        <f t="shared" si="63"/>
        <v>350</v>
      </c>
      <c r="DC32" s="379">
        <f t="shared" si="116"/>
        <v>350</v>
      </c>
      <c r="DE32" s="188">
        <f t="shared" si="64"/>
        <v>9.7566501161056465</v>
      </c>
      <c r="DF32" s="150">
        <f t="shared" si="65"/>
        <v>1.5084294587400178</v>
      </c>
      <c r="DG32" s="150">
        <f t="shared" si="66"/>
        <v>2.5755132294067704</v>
      </c>
      <c r="DH32" s="150"/>
      <c r="DI32" s="150">
        <f t="shared" si="67"/>
        <v>0.93700159489633172</v>
      </c>
      <c r="DJ32" s="314">
        <f t="shared" si="117"/>
        <v>380.36221276595745</v>
      </c>
      <c r="DK32" s="456">
        <f t="shared" si="68"/>
        <v>0.99378957034459414</v>
      </c>
      <c r="DM32" s="150">
        <f t="shared" si="69"/>
        <v>6.3180159249533023</v>
      </c>
      <c r="DN32" s="150">
        <f t="shared" si="70"/>
        <v>6.3180159249533023</v>
      </c>
      <c r="DO32" s="150">
        <f t="shared" si="71"/>
        <v>1.3906739735905493</v>
      </c>
      <c r="DQ32" s="314">
        <f t="shared" si="72"/>
        <v>1080</v>
      </c>
      <c r="DR32" s="144">
        <f t="shared" si="73"/>
        <v>350</v>
      </c>
      <c r="DT32">
        <f t="shared" si="74"/>
        <v>1080</v>
      </c>
      <c r="DU32" s="144">
        <f t="shared" si="75"/>
        <v>350</v>
      </c>
      <c r="DV32" s="144"/>
      <c r="DW32" s="5">
        <f t="shared" si="118"/>
        <v>2.8571428571428572</v>
      </c>
      <c r="DX32" s="5">
        <f t="shared" si="76"/>
        <v>0.87337278962589759</v>
      </c>
      <c r="DY32" s="5">
        <f t="shared" si="119"/>
        <v>1.9837700675169596</v>
      </c>
      <c r="DZ32" s="5">
        <f t="shared" si="77"/>
        <v>0.97679851471317503</v>
      </c>
      <c r="EA32" s="150">
        <f t="shared" si="120"/>
        <v>0.30568047636906415</v>
      </c>
      <c r="EB32" s="150">
        <f t="shared" si="78"/>
        <v>32.832000000000001</v>
      </c>
      <c r="EC32" s="150">
        <f t="shared" si="79"/>
        <v>2.1933609036531219</v>
      </c>
      <c r="ED32" s="150">
        <f t="shared" si="121"/>
        <v>14.968808801742165</v>
      </c>
      <c r="EE32" s="144">
        <f t="shared" si="80"/>
        <v>3.1441420426532316</v>
      </c>
      <c r="EF32" s="5">
        <f t="shared" si="81"/>
        <v>1.1120095188157351</v>
      </c>
      <c r="EG32" s="5"/>
      <c r="EH32" s="150">
        <f t="shared" si="122"/>
        <v>2.0167587023954017</v>
      </c>
      <c r="EI32" s="150">
        <f t="shared" si="82"/>
        <v>3.039483412078483</v>
      </c>
      <c r="EJ32" s="150"/>
      <c r="EK32" s="456">
        <f t="shared" si="83"/>
        <v>4.8807787964251018E-2</v>
      </c>
      <c r="EL32" s="456">
        <f t="shared" si="84"/>
        <v>2.705753500020502</v>
      </c>
      <c r="EM32" s="456">
        <f t="shared" si="85"/>
        <v>4.0250000000000001E-2</v>
      </c>
      <c r="EN32" s="456">
        <f t="shared" si="86"/>
        <v>0.75119058000000016</v>
      </c>
      <c r="EO32">
        <f t="shared" si="87"/>
        <v>1.5299999999999999E-2</v>
      </c>
      <c r="EP32" s="144">
        <f t="shared" si="123"/>
        <v>55.550000000000004</v>
      </c>
      <c r="EQ32" s="456">
        <f t="shared" si="88"/>
        <v>3.6164186023535754</v>
      </c>
      <c r="ER32" s="144">
        <f t="shared" si="124"/>
        <v>3616.4186023535754</v>
      </c>
      <c r="ES32" s="456">
        <f t="shared" si="125"/>
        <v>0.724248</v>
      </c>
      <c r="ET32" s="456"/>
      <c r="EV32" s="144">
        <f t="shared" si="126"/>
        <v>724.24800000000005</v>
      </c>
      <c r="EW32" s="456">
        <f t="shared" si="89"/>
        <v>5.694241929162619E-2</v>
      </c>
      <c r="EX32" s="456">
        <f t="shared" si="90"/>
        <v>0.12933843177220361</v>
      </c>
      <c r="EY32" s="456">
        <f t="shared" si="91"/>
        <v>11.497195223964477</v>
      </c>
      <c r="EZ32" s="456">
        <f t="shared" si="92"/>
        <v>11.905606398673699</v>
      </c>
      <c r="FA32" s="456">
        <f t="shared" si="93"/>
        <v>1.3971063829787238</v>
      </c>
      <c r="FB32" s="144">
        <f t="shared" si="127"/>
        <v>13302.712781652423</v>
      </c>
      <c r="FC32" s="150">
        <f t="shared" si="128"/>
        <v>17.643379384006</v>
      </c>
      <c r="FD32" s="5">
        <f t="shared" si="129"/>
        <v>32.400000000000006</v>
      </c>
      <c r="FE32" s="150">
        <f t="shared" si="130"/>
        <v>0.64743829051551083</v>
      </c>
      <c r="FF32" s="5">
        <f t="shared" si="131"/>
        <v>64.743829051551089</v>
      </c>
      <c r="FI32" s="59">
        <f t="shared" si="94"/>
        <v>-50</v>
      </c>
      <c r="FJ32">
        <f t="shared" si="95"/>
        <v>-50</v>
      </c>
      <c r="FL32">
        <f t="shared" si="96"/>
        <v>0.34187948014961128</v>
      </c>
    </row>
    <row r="33" spans="5:168">
      <c r="E33" s="147">
        <v>28</v>
      </c>
      <c r="F33" s="188">
        <f t="shared" si="97"/>
        <v>1.1200000000000001</v>
      </c>
      <c r="G33" s="188"/>
      <c r="H33" s="188">
        <f t="shared" si="0"/>
        <v>33.6</v>
      </c>
      <c r="I33" s="465">
        <f t="shared" si="1"/>
        <v>33.916910711958558</v>
      </c>
      <c r="J33" s="149">
        <f t="shared" si="2"/>
        <v>30.444740385868467</v>
      </c>
      <c r="K33" s="149">
        <f t="shared" si="3"/>
        <v>64.444740385868471</v>
      </c>
      <c r="L33" s="379"/>
      <c r="M33" s="188">
        <f t="shared" si="4"/>
        <v>0.4730285274768109</v>
      </c>
      <c r="N33" s="149">
        <f t="shared" si="5"/>
        <v>244.82676196872484</v>
      </c>
      <c r="O33" s="149">
        <f t="shared" si="98"/>
        <v>33.6</v>
      </c>
      <c r="P33" s="188">
        <f t="shared" si="6"/>
        <v>8.1608920656241608</v>
      </c>
      <c r="Q33" s="188">
        <f t="shared" si="7"/>
        <v>30</v>
      </c>
      <c r="R33" s="188">
        <f t="shared" si="8"/>
        <v>8.1028617831516332</v>
      </c>
      <c r="S33" s="149">
        <f t="shared" si="9"/>
        <v>424.94765155343413</v>
      </c>
      <c r="T33" s="149">
        <f t="shared" si="10"/>
        <v>30</v>
      </c>
      <c r="U33" s="188">
        <f t="shared" si="99"/>
        <v>4.2507044817334592</v>
      </c>
      <c r="V33" s="188">
        <f t="shared" si="11"/>
        <v>0.58903687407778049</v>
      </c>
      <c r="W33" s="188">
        <f t="shared" si="12"/>
        <v>0.65621551739099704</v>
      </c>
      <c r="X33" s="172">
        <f t="shared" si="13"/>
        <v>350</v>
      </c>
      <c r="Y33" s="379">
        <f t="shared" si="14"/>
        <v>350</v>
      </c>
      <c r="AA33" s="188">
        <f t="shared" si="15"/>
        <v>9.7529384653379285</v>
      </c>
      <c r="AB33" s="150">
        <f t="shared" si="16"/>
        <v>1.5056397330412206</v>
      </c>
      <c r="AC33" s="150">
        <f t="shared" si="17"/>
        <v>2.5697720417807988</v>
      </c>
      <c r="AD33" s="150"/>
      <c r="AE33" s="150">
        <f t="shared" si="18"/>
        <v>0.93562461442667755</v>
      </c>
      <c r="AF33" s="314">
        <f t="shared" si="100"/>
        <v>395.03022291314954</v>
      </c>
      <c r="AG33" s="456">
        <f t="shared" si="19"/>
        <v>0.99232913651314292</v>
      </c>
      <c r="AI33" s="150">
        <f t="shared" si="20"/>
        <v>6.4386852508474481</v>
      </c>
      <c r="AJ33" s="150">
        <f t="shared" si="21"/>
        <v>6.4386852508474481</v>
      </c>
      <c r="AK33" s="150">
        <f t="shared" si="22"/>
        <v>1.4800586594380649</v>
      </c>
      <c r="AM33" s="314">
        <f t="shared" si="23"/>
        <v>1120</v>
      </c>
      <c r="AN33" s="144">
        <f t="shared" si="24"/>
        <v>350</v>
      </c>
      <c r="AP33">
        <f t="shared" si="25"/>
        <v>1120</v>
      </c>
      <c r="AQ33" s="144">
        <f t="shared" si="26"/>
        <v>350</v>
      </c>
      <c r="AR33" s="144"/>
      <c r="AS33" s="5">
        <f t="shared" si="101"/>
        <v>2.8571428571428572</v>
      </c>
      <c r="AT33" s="5">
        <f t="shared" si="27"/>
        <v>0.89223399312465024</v>
      </c>
      <c r="AU33" s="5">
        <f t="shared" si="102"/>
        <v>1.9649088640182071</v>
      </c>
      <c r="AV33" s="5">
        <f t="shared" si="28"/>
        <v>0.99399174686441516</v>
      </c>
      <c r="AW33" s="150">
        <f t="shared" si="103"/>
        <v>0.31228189759362757</v>
      </c>
      <c r="AX33" s="150">
        <f t="shared" si="29"/>
        <v>34.098109232172682</v>
      </c>
      <c r="AY33" s="150">
        <f t="shared" si="30"/>
        <v>2.2140002013523525</v>
      </c>
      <c r="AZ33" s="150">
        <f t="shared" si="104"/>
        <v>15.401131947208009</v>
      </c>
      <c r="BA33" s="144">
        <f t="shared" si="31"/>
        <v>3.331006907665361</v>
      </c>
      <c r="BB33" s="5">
        <f t="shared" si="32"/>
        <v>1.1450289831159415</v>
      </c>
      <c r="BC33" s="5"/>
      <c r="BD33" s="150">
        <f t="shared" si="105"/>
        <v>2.0773514287700672</v>
      </c>
      <c r="BE33" s="150">
        <f t="shared" si="33"/>
        <v>3.0827747719460654</v>
      </c>
      <c r="BF33" s="150"/>
      <c r="BG33" s="456">
        <f t="shared" si="34"/>
        <v>5.1784667503356474E-2</v>
      </c>
      <c r="BH33" s="456">
        <f t="shared" si="35"/>
        <v>2.6504254137772647</v>
      </c>
      <c r="BI33" s="456">
        <f t="shared" si="36"/>
        <v>4.0250000000000001E-2</v>
      </c>
      <c r="BJ33" s="456">
        <f t="shared" si="37"/>
        <v>0.75223468654618497</v>
      </c>
      <c r="BK33">
        <f t="shared" si="38"/>
        <v>1.5262609820381351E-2</v>
      </c>
      <c r="BL33" s="144">
        <f t="shared" si="106"/>
        <v>55.51260982038135</v>
      </c>
      <c r="BM33" s="456">
        <f t="shared" si="39"/>
        <v>3.5116339015030369</v>
      </c>
      <c r="BN33" s="144">
        <f t="shared" si="107"/>
        <v>3511.6339015030367</v>
      </c>
      <c r="BO33" s="456">
        <f t="shared" si="108"/>
        <v>0.75107199999999996</v>
      </c>
      <c r="BP33" s="456"/>
      <c r="BR33" s="144">
        <f t="shared" si="109"/>
        <v>751.072</v>
      </c>
      <c r="BS33" s="456">
        <f t="shared" si="40"/>
        <v>6.0415445420582553E-2</v>
      </c>
      <c r="BT33" s="456">
        <f t="shared" si="41"/>
        <v>0.13304900412365964</v>
      </c>
      <c r="BU33" s="456">
        <f t="shared" si="42"/>
        <v>12.054053204387333</v>
      </c>
      <c r="BV33" s="456">
        <f t="shared" si="43"/>
        <v>12.487215706867746</v>
      </c>
      <c r="BW33" s="456">
        <f t="shared" si="44"/>
        <v>1.4509833715818163</v>
      </c>
      <c r="BX33" s="144">
        <f t="shared" si="110"/>
        <v>13938.199078449563</v>
      </c>
      <c r="BY33" s="150">
        <f t="shared" si="45"/>
        <v>18.256417589772983</v>
      </c>
      <c r="BZ33" s="5">
        <f t="shared" si="111"/>
        <v>33.6</v>
      </c>
      <c r="CA33" s="150">
        <f t="shared" si="112"/>
        <v>0.64794294634472627</v>
      </c>
      <c r="CB33" s="5">
        <f t="shared" si="113"/>
        <v>64.794294634472621</v>
      </c>
      <c r="CE33" s="59">
        <f t="shared" si="46"/>
        <v>-50</v>
      </c>
      <c r="CF33">
        <f t="shared" si="47"/>
        <v>-50</v>
      </c>
      <c r="CG33" s="150">
        <f t="shared" si="48"/>
        <v>0.35046635596968034</v>
      </c>
      <c r="CI33" s="147">
        <v>28</v>
      </c>
      <c r="CJ33" s="188">
        <f t="shared" si="114"/>
        <v>1.1200000000000001</v>
      </c>
      <c r="CK33" s="188"/>
      <c r="CL33" s="188">
        <f t="shared" si="49"/>
        <v>33.6</v>
      </c>
      <c r="CM33" s="465">
        <f t="shared" si="50"/>
        <v>34</v>
      </c>
      <c r="CN33" s="149">
        <f t="shared" si="51"/>
        <v>30.4</v>
      </c>
      <c r="CO33" s="379">
        <f t="shared" si="52"/>
        <v>64.400000000000006</v>
      </c>
      <c r="CP33" s="379"/>
      <c r="CQ33" s="188">
        <f t="shared" si="53"/>
        <v>0.47204968944099374</v>
      </c>
      <c r="CR33" s="149">
        <f t="shared" si="54"/>
        <v>244.918674788055</v>
      </c>
      <c r="CS33" s="149">
        <f t="shared" si="115"/>
        <v>33.6</v>
      </c>
      <c r="CT33" s="188">
        <f t="shared" si="55"/>
        <v>8.1639558262685004</v>
      </c>
      <c r="CU33" s="188">
        <f t="shared" si="56"/>
        <v>30</v>
      </c>
      <c r="CV33" s="188">
        <f t="shared" si="57"/>
        <v>8.1059037580776696</v>
      </c>
      <c r="CW33" s="149">
        <f t="shared" si="58"/>
        <v>425.98860574336277</v>
      </c>
      <c r="CX33" s="149">
        <f t="shared" si="59"/>
        <v>30</v>
      </c>
      <c r="CY33" s="188">
        <f t="shared" si="60"/>
        <v>4.1869969040247685</v>
      </c>
      <c r="CZ33" s="188">
        <f t="shared" si="61"/>
        <v>0.57879074849754153</v>
      </c>
      <c r="DA33" s="188">
        <f t="shared" si="62"/>
        <v>0.6473317581880399</v>
      </c>
      <c r="DB33" s="172">
        <f t="shared" si="63"/>
        <v>350</v>
      </c>
      <c r="DC33" s="379">
        <f t="shared" si="116"/>
        <v>350</v>
      </c>
      <c r="DE33" s="188">
        <f t="shared" si="64"/>
        <v>9.7566501161056465</v>
      </c>
      <c r="DF33" s="150">
        <f t="shared" si="65"/>
        <v>1.5084294587400178</v>
      </c>
      <c r="DG33" s="150">
        <f t="shared" si="66"/>
        <v>2.5755132294067704</v>
      </c>
      <c r="DH33" s="150"/>
      <c r="DI33" s="150">
        <f t="shared" si="67"/>
        <v>0.93700159489633172</v>
      </c>
      <c r="DJ33" s="314">
        <f t="shared" si="117"/>
        <v>394.44970212765963</v>
      </c>
      <c r="DK33" s="456">
        <f t="shared" si="68"/>
        <v>0.99378957034459414</v>
      </c>
      <c r="DM33" s="150">
        <f t="shared" si="69"/>
        <v>6.4339524928966538</v>
      </c>
      <c r="DN33" s="150">
        <f t="shared" si="70"/>
        <v>6.4339524928966538</v>
      </c>
      <c r="DO33" s="150">
        <f t="shared" si="71"/>
        <v>1.476552912807847</v>
      </c>
      <c r="DQ33" s="314">
        <f t="shared" si="72"/>
        <v>1120</v>
      </c>
      <c r="DR33" s="144">
        <f t="shared" si="73"/>
        <v>350</v>
      </c>
      <c r="DT33">
        <f t="shared" si="74"/>
        <v>1120</v>
      </c>
      <c r="DU33" s="144">
        <f t="shared" si="75"/>
        <v>350</v>
      </c>
      <c r="DV33" s="144"/>
      <c r="DW33" s="5">
        <f t="shared" si="118"/>
        <v>2.8571428571428572</v>
      </c>
      <c r="DX33" s="5">
        <f t="shared" si="76"/>
        <v>0.88939931519453752</v>
      </c>
      <c r="DY33" s="5">
        <f t="shared" si="119"/>
        <v>1.9677435419483196</v>
      </c>
      <c r="DZ33" s="5">
        <f t="shared" si="77"/>
        <v>0.99472291830967996</v>
      </c>
      <c r="EA33" s="150">
        <f t="shared" si="120"/>
        <v>0.31128976031808814</v>
      </c>
      <c r="EB33" s="150">
        <f t="shared" si="78"/>
        <v>34.048000000000002</v>
      </c>
      <c r="EC33" s="150">
        <f t="shared" si="79"/>
        <v>2.2155644817424442</v>
      </c>
      <c r="ED33" s="150">
        <f t="shared" si="121"/>
        <v>15.36764119508846</v>
      </c>
      <c r="EE33" s="144">
        <f t="shared" si="80"/>
        <v>3.3204241100596072</v>
      </c>
      <c r="EF33" s="5">
        <f t="shared" si="81"/>
        <v>1.1438785987796458</v>
      </c>
      <c r="EG33" s="5"/>
      <c r="EH33" s="150">
        <f t="shared" si="122"/>
        <v>2.0725243416255212</v>
      </c>
      <c r="EI33" s="150">
        <f t="shared" si="82"/>
        <v>3.0827300260732184</v>
      </c>
      <c r="EJ33" s="150"/>
      <c r="EK33" s="456">
        <f t="shared" si="83"/>
        <v>5.1544285759563602E-2</v>
      </c>
      <c r="EL33" s="456">
        <f t="shared" si="84"/>
        <v>2.7554044946079217</v>
      </c>
      <c r="EM33" s="456">
        <f t="shared" si="85"/>
        <v>4.0250000000000001E-2</v>
      </c>
      <c r="EN33" s="456">
        <f t="shared" si="86"/>
        <v>0.75119058000000016</v>
      </c>
      <c r="EO33">
        <f t="shared" si="87"/>
        <v>1.5299999999999999E-2</v>
      </c>
      <c r="EP33" s="144">
        <f t="shared" si="123"/>
        <v>55.550000000000004</v>
      </c>
      <c r="EQ33" s="456">
        <f t="shared" si="88"/>
        <v>3.6725841704857607</v>
      </c>
      <c r="ER33" s="144">
        <f t="shared" si="124"/>
        <v>3672.5841704857608</v>
      </c>
      <c r="ES33" s="456">
        <f t="shared" si="125"/>
        <v>0.75107199999999996</v>
      </c>
      <c r="ET33" s="456"/>
      <c r="EV33" s="144">
        <f t="shared" si="126"/>
        <v>751.072</v>
      </c>
      <c r="EW33" s="456">
        <f t="shared" si="89"/>
        <v>6.0135000052824204E-2</v>
      </c>
      <c r="EX33" s="456">
        <f t="shared" si="90"/>
        <v>0.1330451417911474</v>
      </c>
      <c r="EY33" s="456">
        <f t="shared" si="91"/>
        <v>12.031914573826795</v>
      </c>
      <c r="EZ33" s="456">
        <f t="shared" si="92"/>
        <v>12.464083015707674</v>
      </c>
      <c r="FA33" s="456">
        <f t="shared" si="93"/>
        <v>1.4488510638297873</v>
      </c>
      <c r="FB33" s="144">
        <f t="shared" si="127"/>
        <v>13912.934079537461</v>
      </c>
      <c r="FC33" s="150">
        <f t="shared" si="128"/>
        <v>18.336590250023225</v>
      </c>
      <c r="FD33" s="5">
        <f t="shared" si="129"/>
        <v>33.6</v>
      </c>
      <c r="FE33" s="150">
        <f t="shared" si="130"/>
        <v>0.64694273994979812</v>
      </c>
      <c r="FF33" s="5">
        <f t="shared" si="131"/>
        <v>64.69427399497981</v>
      </c>
      <c r="FI33" s="59">
        <f t="shared" si="94"/>
        <v>-50</v>
      </c>
      <c r="FJ33">
        <f t="shared" si="95"/>
        <v>-50</v>
      </c>
      <c r="FL33">
        <f t="shared" si="96"/>
        <v>0.348153021408388</v>
      </c>
    </row>
    <row r="34" spans="5:168">
      <c r="E34" s="147">
        <v>29</v>
      </c>
      <c r="F34" s="188">
        <f t="shared" si="97"/>
        <v>1.1599999999999999</v>
      </c>
      <c r="G34" s="188"/>
      <c r="H34" s="188">
        <f t="shared" si="0"/>
        <v>34.799999999999997</v>
      </c>
      <c r="I34" s="465">
        <f t="shared" si="1"/>
        <v>33.915439990913093</v>
      </c>
      <c r="J34" s="149">
        <f t="shared" si="2"/>
        <v>30.445532312585257</v>
      </c>
      <c r="K34" s="149">
        <f t="shared" si="3"/>
        <v>64.445532312585257</v>
      </c>
      <c r="L34" s="379"/>
      <c r="M34" s="188">
        <f t="shared" si="4"/>
        <v>0.47304586381361574</v>
      </c>
      <c r="N34" s="149">
        <f t="shared" si="5"/>
        <v>244.825118105033</v>
      </c>
      <c r="O34" s="149">
        <f t="shared" si="98"/>
        <v>34.799999999999997</v>
      </c>
      <c r="P34" s="188">
        <f t="shared" si="6"/>
        <v>8.1608372701677663</v>
      </c>
      <c r="Q34" s="188">
        <f t="shared" si="7"/>
        <v>30</v>
      </c>
      <c r="R34" s="188">
        <f t="shared" si="8"/>
        <v>8.1028073773335016</v>
      </c>
      <c r="S34" s="149">
        <f t="shared" si="9"/>
        <v>409.10932831402806</v>
      </c>
      <c r="T34" s="149">
        <f t="shared" si="10"/>
        <v>30</v>
      </c>
      <c r="U34" s="188">
        <f t="shared" si="99"/>
        <v>4.4026601950409843</v>
      </c>
      <c r="V34" s="188">
        <f t="shared" si="11"/>
        <v>0.61012043252974846</v>
      </c>
      <c r="W34" s="188">
        <f t="shared" si="12"/>
        <v>0.67965646664482771</v>
      </c>
      <c r="X34" s="172">
        <f t="shared" si="13"/>
        <v>350</v>
      </c>
      <c r="Y34" s="379">
        <f t="shared" si="14"/>
        <v>350</v>
      </c>
      <c r="AA34" s="188">
        <f t="shared" si="15"/>
        <v>9.7528720949636938</v>
      </c>
      <c r="AB34" s="150">
        <f t="shared" si="16"/>
        <v>1.5055903235884995</v>
      </c>
      <c r="AC34" s="150">
        <f t="shared" si="17"/>
        <v>2.5696702243403862</v>
      </c>
      <c r="AD34" s="150"/>
      <c r="AE34" s="150">
        <f t="shared" si="18"/>
        <v>0.93560027764972642</v>
      </c>
      <c r="AF34" s="314">
        <f t="shared" si="100"/>
        <v>409.14908764415105</v>
      </c>
      <c r="AG34" s="456">
        <f t="shared" si="19"/>
        <v>0.99230332478001293</v>
      </c>
      <c r="AI34" s="150">
        <f t="shared" si="20"/>
        <v>6.5527383526319261</v>
      </c>
      <c r="AJ34" s="150">
        <f t="shared" si="21"/>
        <v>6.5527383526319261</v>
      </c>
      <c r="AK34" s="150">
        <f t="shared" si="22"/>
        <v>1.564542438537678</v>
      </c>
      <c r="AM34" s="314">
        <f t="shared" si="23"/>
        <v>1160</v>
      </c>
      <c r="AN34" s="144">
        <f t="shared" si="24"/>
        <v>350</v>
      </c>
      <c r="AP34">
        <f t="shared" si="25"/>
        <v>1160</v>
      </c>
      <c r="AQ34" s="144">
        <f t="shared" si="26"/>
        <v>350</v>
      </c>
      <c r="AR34" s="144"/>
      <c r="AS34" s="5">
        <f t="shared" si="101"/>
        <v>2.8571428571428572</v>
      </c>
      <c r="AT34" s="5">
        <f t="shared" si="27"/>
        <v>0.90807815748879195</v>
      </c>
      <c r="AU34" s="5">
        <f t="shared" si="102"/>
        <v>1.9490646996540653</v>
      </c>
      <c r="AV34" s="5">
        <f t="shared" si="28"/>
        <v>1.0115727306445927</v>
      </c>
      <c r="AW34" s="150">
        <f t="shared" si="103"/>
        <v>0.31782735512107718</v>
      </c>
      <c r="AX34" s="150">
        <f t="shared" si="29"/>
        <v>35.3168174825989</v>
      </c>
      <c r="AY34" s="150">
        <f t="shared" si="30"/>
        <v>2.2350494266072385</v>
      </c>
      <c r="AZ34" s="150">
        <f t="shared" si="104"/>
        <v>15.801358601813625</v>
      </c>
      <c r="BA34" s="144">
        <f t="shared" si="31"/>
        <v>3.5112355422899952</v>
      </c>
      <c r="BB34" s="5">
        <f t="shared" si="32"/>
        <v>1.176411124881632</v>
      </c>
      <c r="BC34" s="5"/>
      <c r="BD34" s="150">
        <f t="shared" si="105"/>
        <v>2.1328378374471635</v>
      </c>
      <c r="BE34" s="150">
        <f t="shared" si="33"/>
        <v>3.1247073567250259</v>
      </c>
      <c r="BF34" s="150"/>
      <c r="BG34" s="456">
        <f t="shared" si="34"/>
        <v>5.458796689015552E-2</v>
      </c>
      <c r="BH34" s="456">
        <f t="shared" si="35"/>
        <v>2.6974074680484224</v>
      </c>
      <c r="BI34" s="456">
        <f t="shared" si="36"/>
        <v>4.0250000000000001E-2</v>
      </c>
      <c r="BJ34" s="456">
        <f t="shared" si="37"/>
        <v>0.75225317427387883</v>
      </c>
      <c r="BK34">
        <f t="shared" si="38"/>
        <v>1.5261947995910892E-2</v>
      </c>
      <c r="BL34" s="144">
        <f t="shared" si="106"/>
        <v>55.511947995910894</v>
      </c>
      <c r="BM34" s="456">
        <f t="shared" si="39"/>
        <v>3.5652287368391948</v>
      </c>
      <c r="BN34" s="144">
        <f t="shared" si="107"/>
        <v>3565.2287368391949</v>
      </c>
      <c r="BO34" s="456">
        <f t="shared" si="108"/>
        <v>0.77789599999999992</v>
      </c>
      <c r="BP34" s="456"/>
      <c r="BR34" s="144">
        <f t="shared" si="109"/>
        <v>777.89599999999996</v>
      </c>
      <c r="BS34" s="456">
        <f t="shared" si="40"/>
        <v>6.3685961371848107E-2</v>
      </c>
      <c r="BT34" s="456">
        <f t="shared" si="41"/>
        <v>0.13669314491240098</v>
      </c>
      <c r="BU34" s="456">
        <f t="shared" si="42"/>
        <v>12.594971325596173</v>
      </c>
      <c r="BV34" s="456">
        <f t="shared" si="43"/>
        <v>13.052680168328139</v>
      </c>
      <c r="BW34" s="456">
        <f t="shared" si="44"/>
        <v>1.5028432971318681</v>
      </c>
      <c r="BX34" s="144">
        <f t="shared" si="110"/>
        <v>14555.523465460008</v>
      </c>
      <c r="BY34" s="150">
        <f t="shared" si="45"/>
        <v>18.954160150295113</v>
      </c>
      <c r="BZ34" s="5">
        <f t="shared" si="111"/>
        <v>34.799999999999997</v>
      </c>
      <c r="CA34" s="150">
        <f t="shared" si="112"/>
        <v>0.64739175354428724</v>
      </c>
      <c r="CB34" s="5">
        <f t="shared" si="113"/>
        <v>64.739175354428724</v>
      </c>
      <c r="CE34" s="59">
        <f t="shared" si="46"/>
        <v>-50</v>
      </c>
      <c r="CF34">
        <f t="shared" si="47"/>
        <v>-50</v>
      </c>
      <c r="CG34" s="150">
        <f t="shared" si="48"/>
        <v>0.35666978191785931</v>
      </c>
      <c r="CI34" s="147">
        <v>29</v>
      </c>
      <c r="CJ34" s="188">
        <f t="shared" si="114"/>
        <v>1.1599999999999999</v>
      </c>
      <c r="CK34" s="188"/>
      <c r="CL34" s="188">
        <f t="shared" si="49"/>
        <v>34.799999999999997</v>
      </c>
      <c r="CM34" s="465">
        <f t="shared" si="50"/>
        <v>34</v>
      </c>
      <c r="CN34" s="149">
        <f t="shared" si="51"/>
        <v>30.4</v>
      </c>
      <c r="CO34" s="379">
        <f t="shared" si="52"/>
        <v>64.400000000000006</v>
      </c>
      <c r="CP34" s="379"/>
      <c r="CQ34" s="188">
        <f t="shared" si="53"/>
        <v>0.47204968944099374</v>
      </c>
      <c r="CR34" s="149">
        <f t="shared" si="54"/>
        <v>244.918674788055</v>
      </c>
      <c r="CS34" s="149">
        <f t="shared" si="115"/>
        <v>34.799999999999997</v>
      </c>
      <c r="CT34" s="188">
        <f t="shared" si="55"/>
        <v>8.1639558262685004</v>
      </c>
      <c r="CU34" s="188">
        <f t="shared" si="56"/>
        <v>30</v>
      </c>
      <c r="CV34" s="188">
        <f t="shared" si="57"/>
        <v>8.1059037580776696</v>
      </c>
      <c r="CW34" s="149">
        <f t="shared" si="58"/>
        <v>410.12926171870873</v>
      </c>
      <c r="CX34" s="149">
        <f t="shared" si="59"/>
        <v>30</v>
      </c>
      <c r="CY34" s="188">
        <f t="shared" si="60"/>
        <v>4.3365325077399381</v>
      </c>
      <c r="CZ34" s="188">
        <f t="shared" si="61"/>
        <v>0.59946184665816793</v>
      </c>
      <c r="DA34" s="188">
        <f t="shared" si="62"/>
        <v>0.67045074955189832</v>
      </c>
      <c r="DB34" s="172">
        <f t="shared" si="63"/>
        <v>350</v>
      </c>
      <c r="DC34" s="379">
        <f t="shared" si="116"/>
        <v>350</v>
      </c>
      <c r="DE34" s="188">
        <f t="shared" si="64"/>
        <v>9.7566501161056465</v>
      </c>
      <c r="DF34" s="150">
        <f t="shared" si="65"/>
        <v>1.5084294587400178</v>
      </c>
      <c r="DG34" s="150">
        <f t="shared" si="66"/>
        <v>2.5755132294067704</v>
      </c>
      <c r="DH34" s="150"/>
      <c r="DI34" s="150">
        <f t="shared" si="67"/>
        <v>0.93700159489633172</v>
      </c>
      <c r="DJ34" s="314">
        <f t="shared" si="117"/>
        <v>408.5371914893617</v>
      </c>
      <c r="DK34" s="456">
        <f t="shared" si="68"/>
        <v>0.99378957034459414</v>
      </c>
      <c r="DM34" s="150">
        <f t="shared" si="69"/>
        <v>6.5478365994989973</v>
      </c>
      <c r="DN34" s="150">
        <f t="shared" si="70"/>
        <v>6.5478365994989973</v>
      </c>
      <c r="DO34" s="150">
        <f t="shared" si="71"/>
        <v>1.5609115102910642</v>
      </c>
      <c r="DQ34" s="314">
        <f t="shared" si="72"/>
        <v>1160</v>
      </c>
      <c r="DR34" s="144">
        <f t="shared" si="73"/>
        <v>350</v>
      </c>
      <c r="DT34">
        <f t="shared" si="74"/>
        <v>1160</v>
      </c>
      <c r="DU34" s="144">
        <f t="shared" si="75"/>
        <v>350</v>
      </c>
      <c r="DV34" s="144"/>
      <c r="DW34" s="5">
        <f t="shared" si="118"/>
        <v>2.8571428571428572</v>
      </c>
      <c r="DX34" s="5">
        <f t="shared" si="76"/>
        <v>0.90514211816603773</v>
      </c>
      <c r="DY34" s="5">
        <f t="shared" si="119"/>
        <v>1.9520007389768195</v>
      </c>
      <c r="DZ34" s="5">
        <f t="shared" si="77"/>
        <v>1.012330000580437</v>
      </c>
      <c r="EA34" s="150">
        <f t="shared" si="120"/>
        <v>0.31679974135811317</v>
      </c>
      <c r="EB34" s="150">
        <f t="shared" si="78"/>
        <v>35.263999999999996</v>
      </c>
      <c r="EC34" s="150">
        <f t="shared" si="79"/>
        <v>2.236741829161264</v>
      </c>
      <c r="ED34" s="150">
        <f t="shared" si="121"/>
        <v>15.765789122485955</v>
      </c>
      <c r="EE34" s="144">
        <f t="shared" si="80"/>
        <v>3.4998828569086786</v>
      </c>
      <c r="EF34" s="5">
        <f t="shared" si="81"/>
        <v>1.1752530400760086</v>
      </c>
      <c r="EG34" s="5"/>
      <c r="EH34" s="150">
        <f t="shared" si="122"/>
        <v>2.1277941714769373</v>
      </c>
      <c r="EI34" s="150">
        <f t="shared" si="82"/>
        <v>3.1247207888719122</v>
      </c>
      <c r="EJ34" s="150"/>
      <c r="EK34" s="456">
        <f t="shared" si="83"/>
        <v>5.4330096434054717E-2</v>
      </c>
      <c r="EL34" s="456">
        <f t="shared" si="84"/>
        <v>2.8041765021014418</v>
      </c>
      <c r="EM34" s="456">
        <f t="shared" si="85"/>
        <v>4.0250000000000001E-2</v>
      </c>
      <c r="EN34" s="456">
        <f t="shared" si="86"/>
        <v>0.75119058000000016</v>
      </c>
      <c r="EO34">
        <f t="shared" si="87"/>
        <v>1.5299999999999999E-2</v>
      </c>
      <c r="EP34" s="144">
        <f t="shared" si="123"/>
        <v>55.550000000000004</v>
      </c>
      <c r="EQ34" s="456">
        <f t="shared" si="88"/>
        <v>3.728040954895171</v>
      </c>
      <c r="ER34" s="144">
        <f t="shared" si="124"/>
        <v>3728.0409548951711</v>
      </c>
      <c r="ES34" s="456">
        <f t="shared" si="125"/>
        <v>0.77789599999999992</v>
      </c>
      <c r="ET34" s="456"/>
      <c r="EV34" s="144">
        <f t="shared" si="126"/>
        <v>777.89599999999996</v>
      </c>
      <c r="EW34" s="456">
        <f t="shared" si="89"/>
        <v>6.3385112506397168E-2</v>
      </c>
      <c r="EX34" s="456">
        <f t="shared" si="90"/>
        <v>0.13669432011771629</v>
      </c>
      <c r="EY34" s="456">
        <f t="shared" si="91"/>
        <v>12.571430477368073</v>
      </c>
      <c r="EZ34" s="456">
        <f t="shared" si="92"/>
        <v>13.028060733806981</v>
      </c>
      <c r="FA34" s="456">
        <f t="shared" si="93"/>
        <v>1.5005957446808511</v>
      </c>
      <c r="FB34" s="144">
        <f t="shared" si="127"/>
        <v>14528.656478487832</v>
      </c>
      <c r="FC34" s="150">
        <f t="shared" si="128"/>
        <v>19.034593433383002</v>
      </c>
      <c r="FD34" s="5">
        <f t="shared" si="129"/>
        <v>34.799999999999997</v>
      </c>
      <c r="FE34" s="150">
        <f t="shared" si="130"/>
        <v>0.64642449734598362</v>
      </c>
      <c r="FF34" s="5">
        <f t="shared" si="131"/>
        <v>64.642449734598358</v>
      </c>
      <c r="FI34" s="59">
        <f t="shared" si="94"/>
        <v>-50</v>
      </c>
      <c r="FJ34">
        <f t="shared" si="95"/>
        <v>-50</v>
      </c>
      <c r="FL34">
        <f t="shared" si="96"/>
        <v>0.354315500203153</v>
      </c>
    </row>
    <row r="35" spans="5:168">
      <c r="E35" s="147">
        <v>30</v>
      </c>
      <c r="F35" s="188">
        <f t="shared" si="97"/>
        <v>1.2</v>
      </c>
      <c r="G35" s="188"/>
      <c r="H35" s="188">
        <f t="shared" si="0"/>
        <v>36</v>
      </c>
      <c r="I35" s="465">
        <f t="shared" si="1"/>
        <v>33.913994415958484</v>
      </c>
      <c r="J35" s="149">
        <f t="shared" si="2"/>
        <v>30.446310699099275</v>
      </c>
      <c r="K35" s="149">
        <f t="shared" si="3"/>
        <v>64.446310699099271</v>
      </c>
      <c r="L35" s="379"/>
      <c r="M35" s="188">
        <f t="shared" si="4"/>
        <v>0.47306290409083751</v>
      </c>
      <c r="N35" s="149">
        <f t="shared" si="5"/>
        <v>244.82350177246241</v>
      </c>
      <c r="O35" s="149">
        <f t="shared" si="98"/>
        <v>36</v>
      </c>
      <c r="P35" s="188">
        <f t="shared" si="6"/>
        <v>8.1607833924154143</v>
      </c>
      <c r="Q35" s="188">
        <f t="shared" si="7"/>
        <v>30</v>
      </c>
      <c r="R35" s="188">
        <f t="shared" si="8"/>
        <v>8.1027538826938219</v>
      </c>
      <c r="S35" s="149">
        <f t="shared" si="9"/>
        <v>394.32737279097347</v>
      </c>
      <c r="T35" s="149">
        <f t="shared" si="10"/>
        <v>30</v>
      </c>
      <c r="U35" s="188">
        <f t="shared" si="99"/>
        <v>4.5546233480850447</v>
      </c>
      <c r="V35" s="188">
        <f t="shared" si="11"/>
        <v>0.63120638263496953</v>
      </c>
      <c r="W35" s="188">
        <f t="shared" si="12"/>
        <v>0.7030976576295993</v>
      </c>
      <c r="X35" s="172">
        <f t="shared" si="13"/>
        <v>350</v>
      </c>
      <c r="Y35" s="379">
        <f t="shared" si="14"/>
        <v>350</v>
      </c>
      <c r="AA35" s="188">
        <f t="shared" si="15"/>
        <v>9.7528068365715068</v>
      </c>
      <c r="AB35" s="150">
        <f t="shared" si="16"/>
        <v>1.5055417579129597</v>
      </c>
      <c r="AC35" s="150">
        <f t="shared" si="17"/>
        <v>2.5695701411305447</v>
      </c>
      <c r="AD35" s="150"/>
      <c r="AE35" s="150">
        <f t="shared" si="18"/>
        <v>0.93557635821180729</v>
      </c>
      <c r="AF35" s="314">
        <f t="shared" si="100"/>
        <v>423.26849810194614</v>
      </c>
      <c r="AG35" s="456">
        <f t="shared" si="19"/>
        <v>0.99227795567918942</v>
      </c>
      <c r="AI35" s="150">
        <f t="shared" si="20"/>
        <v>6.6648442853700596</v>
      </c>
      <c r="AJ35" s="150">
        <f t="shared" si="21"/>
        <v>6.6648442853700596</v>
      </c>
      <c r="AK35" s="150">
        <f t="shared" si="22"/>
        <v>1.6475838701955547</v>
      </c>
      <c r="AM35" s="314">
        <f t="shared" si="23"/>
        <v>1200</v>
      </c>
      <c r="AN35" s="144">
        <f t="shared" si="24"/>
        <v>350</v>
      </c>
      <c r="AP35">
        <f t="shared" si="25"/>
        <v>1200</v>
      </c>
      <c r="AQ35" s="144">
        <f t="shared" si="26"/>
        <v>350</v>
      </c>
      <c r="AR35" s="144"/>
      <c r="AS35" s="5">
        <f t="shared" si="101"/>
        <v>2.8571428571428572</v>
      </c>
      <c r="AT35" s="5">
        <f t="shared" si="27"/>
        <v>0.92365316090572858</v>
      </c>
      <c r="AU35" s="5">
        <f t="shared" si="102"/>
        <v>1.9334896962371286</v>
      </c>
      <c r="AV35" s="5">
        <f t="shared" si="28"/>
        <v>1.0288526728516239</v>
      </c>
      <c r="AW35" s="150">
        <f t="shared" si="103"/>
        <v>0.323278606317005</v>
      </c>
      <c r="AX35" s="150">
        <f t="shared" si="29"/>
        <v>36.535572838919123</v>
      </c>
      <c r="AY35" s="150">
        <f t="shared" si="30"/>
        <v>2.2551213567378858</v>
      </c>
      <c r="AZ35" s="150">
        <f t="shared" si="104"/>
        <v>16.201155973161971</v>
      </c>
      <c r="BA35" s="144">
        <f t="shared" si="31"/>
        <v>3.6946126436229143</v>
      </c>
      <c r="BB35" s="5">
        <f t="shared" si="32"/>
        <v>1.2073036040176619</v>
      </c>
      <c r="BC35" s="5"/>
      <c r="BD35" s="150">
        <f t="shared" si="105"/>
        <v>2.1878516078327457</v>
      </c>
      <c r="BE35" s="150">
        <f t="shared" si="33"/>
        <v>3.1654418003674696</v>
      </c>
      <c r="BF35" s="150"/>
      <c r="BG35" s="456">
        <f t="shared" si="34"/>
        <v>5.7440335894755959E-2</v>
      </c>
      <c r="BH35" s="456">
        <f t="shared" si="35"/>
        <v>2.7435885458671803</v>
      </c>
      <c r="BI35" s="456">
        <f t="shared" si="36"/>
        <v>4.0250000000000001E-2</v>
      </c>
      <c r="BJ35" s="456">
        <f t="shared" si="37"/>
        <v>0.7522713461235363</v>
      </c>
      <c r="BK35">
        <f t="shared" si="38"/>
        <v>1.5261297487181318E-2</v>
      </c>
      <c r="BL35" s="144">
        <f t="shared" si="106"/>
        <v>55.511297487181317</v>
      </c>
      <c r="BM35" s="456">
        <f t="shared" si="39"/>
        <v>3.6181895318133441</v>
      </c>
      <c r="BN35" s="144">
        <f t="shared" si="107"/>
        <v>3618.1895318133443</v>
      </c>
      <c r="BO35" s="456">
        <f t="shared" si="108"/>
        <v>0.80471999999999999</v>
      </c>
      <c r="BP35" s="456"/>
      <c r="BR35" s="144">
        <f t="shared" si="109"/>
        <v>804.72</v>
      </c>
      <c r="BS35" s="456">
        <f t="shared" si="40"/>
        <v>6.7013725210548616E-2</v>
      </c>
      <c r="BT35" s="456">
        <f t="shared" si="41"/>
        <v>0.14028030508119108</v>
      </c>
      <c r="BU35" s="456">
        <f t="shared" si="42"/>
        <v>13.140598112776054</v>
      </c>
      <c r="BV35" s="456">
        <f t="shared" si="43"/>
        <v>13.62356948030029</v>
      </c>
      <c r="BW35" s="456">
        <f t="shared" si="44"/>
        <v>1.5547052271880482</v>
      </c>
      <c r="BX35" s="144">
        <f t="shared" si="110"/>
        <v>15178.274707488337</v>
      </c>
      <c r="BY35" s="150">
        <f t="shared" si="45"/>
        <v>19.656695536788867</v>
      </c>
      <c r="BZ35" s="5">
        <f t="shared" si="111"/>
        <v>36</v>
      </c>
      <c r="CA35" s="150">
        <f t="shared" si="112"/>
        <v>0.646822447017253</v>
      </c>
      <c r="CB35" s="5">
        <f t="shared" si="113"/>
        <v>64.682244701725295</v>
      </c>
      <c r="CE35" s="59">
        <f t="shared" si="46"/>
        <v>-50</v>
      </c>
      <c r="CF35">
        <f t="shared" si="47"/>
        <v>-50</v>
      </c>
      <c r="CG35" s="150">
        <f t="shared" si="48"/>
        <v>0.36276714294434104</v>
      </c>
      <c r="CI35" s="147">
        <v>30</v>
      </c>
      <c r="CJ35" s="188">
        <f t="shared" si="114"/>
        <v>1.2</v>
      </c>
      <c r="CK35" s="188"/>
      <c r="CL35" s="188">
        <f t="shared" si="49"/>
        <v>36</v>
      </c>
      <c r="CM35" s="465">
        <f t="shared" si="50"/>
        <v>34</v>
      </c>
      <c r="CN35" s="149">
        <f t="shared" si="51"/>
        <v>30.4</v>
      </c>
      <c r="CO35" s="379">
        <f t="shared" si="52"/>
        <v>64.400000000000006</v>
      </c>
      <c r="CP35" s="379"/>
      <c r="CQ35" s="188">
        <f t="shared" si="53"/>
        <v>0.47204968944099374</v>
      </c>
      <c r="CR35" s="149">
        <f t="shared" si="54"/>
        <v>244.918674788055</v>
      </c>
      <c r="CS35" s="149">
        <f t="shared" si="115"/>
        <v>36</v>
      </c>
      <c r="CT35" s="188">
        <f t="shared" si="55"/>
        <v>8.1639558262685004</v>
      </c>
      <c r="CU35" s="188">
        <f t="shared" si="56"/>
        <v>30</v>
      </c>
      <c r="CV35" s="188">
        <f t="shared" si="57"/>
        <v>8.1059037580776696</v>
      </c>
      <c r="CW35" s="149">
        <f t="shared" si="58"/>
        <v>395.32729639402123</v>
      </c>
      <c r="CX35" s="149">
        <f t="shared" si="59"/>
        <v>30</v>
      </c>
      <c r="CY35" s="188">
        <f t="shared" si="60"/>
        <v>4.4860681114551086</v>
      </c>
      <c r="CZ35" s="188">
        <f t="shared" si="61"/>
        <v>0.62013294481879444</v>
      </c>
      <c r="DA35" s="188">
        <f t="shared" si="62"/>
        <v>0.69356974091575696</v>
      </c>
      <c r="DB35" s="172">
        <f t="shared" si="63"/>
        <v>350</v>
      </c>
      <c r="DC35" s="379">
        <f t="shared" si="116"/>
        <v>350</v>
      </c>
      <c r="DE35" s="188">
        <f t="shared" si="64"/>
        <v>9.7566501161056465</v>
      </c>
      <c r="DF35" s="150">
        <f t="shared" si="65"/>
        <v>1.5084294587400178</v>
      </c>
      <c r="DG35" s="150">
        <f t="shared" si="66"/>
        <v>2.5755132294067704</v>
      </c>
      <c r="DH35" s="150"/>
      <c r="DI35" s="150">
        <f t="shared" si="67"/>
        <v>0.93700159489633172</v>
      </c>
      <c r="DJ35" s="314">
        <f t="shared" si="117"/>
        <v>422.62468085106383</v>
      </c>
      <c r="DK35" s="456">
        <f t="shared" si="68"/>
        <v>0.99378957034459414</v>
      </c>
      <c r="DM35" s="150">
        <f t="shared" si="69"/>
        <v>6.6597735386892953</v>
      </c>
      <c r="DN35" s="150">
        <f t="shared" si="70"/>
        <v>6.6597735386892953</v>
      </c>
      <c r="DO35" s="150">
        <f t="shared" si="71"/>
        <v>1.6438277615431369</v>
      </c>
      <c r="DQ35" s="314">
        <f t="shared" si="72"/>
        <v>1200</v>
      </c>
      <c r="DR35" s="144">
        <f t="shared" si="73"/>
        <v>350</v>
      </c>
      <c r="DT35">
        <f t="shared" si="74"/>
        <v>1200</v>
      </c>
      <c r="DU35" s="144">
        <f t="shared" si="75"/>
        <v>350</v>
      </c>
      <c r="DV35" s="144"/>
      <c r="DW35" s="5">
        <f t="shared" si="118"/>
        <v>2.8571428571428572</v>
      </c>
      <c r="DX35" s="5">
        <f t="shared" si="76"/>
        <v>0.92061575387763783</v>
      </c>
      <c r="DY35" s="5">
        <f t="shared" si="119"/>
        <v>1.9365271032652194</v>
      </c>
      <c r="DZ35" s="5">
        <f t="shared" si="77"/>
        <v>1.0296360405210423</v>
      </c>
      <c r="EA35" s="150">
        <f t="shared" si="120"/>
        <v>0.32221551385717323</v>
      </c>
      <c r="EB35" s="150">
        <f t="shared" si="78"/>
        <v>36.479999999999997</v>
      </c>
      <c r="EC35" s="150">
        <f t="shared" si="79"/>
        <v>2.2569455928740596</v>
      </c>
      <c r="ED35" s="150">
        <f t="shared" si="121"/>
        <v>16.163437929199397</v>
      </c>
      <c r="EE35" s="144">
        <f t="shared" si="80"/>
        <v>3.6824630155105509</v>
      </c>
      <c r="EF35" s="5">
        <f t="shared" si="81"/>
        <v>1.2061414484004824</v>
      </c>
      <c r="EG35" s="5"/>
      <c r="EH35" s="150">
        <f t="shared" si="122"/>
        <v>2.1825894797432683</v>
      </c>
      <c r="EI35" s="150">
        <f t="shared" si="82"/>
        <v>3.1655169706999504</v>
      </c>
      <c r="EJ35" s="150"/>
      <c r="EK35" s="456">
        <f t="shared" si="83"/>
        <v>5.7164362045031891E-2</v>
      </c>
      <c r="EL35" s="456">
        <f t="shared" si="84"/>
        <v>2.8521146156790786</v>
      </c>
      <c r="EM35" s="456">
        <f t="shared" si="85"/>
        <v>4.0250000000000001E-2</v>
      </c>
      <c r="EN35" s="456">
        <f t="shared" si="86"/>
        <v>0.75119058000000016</v>
      </c>
      <c r="EO35">
        <f t="shared" si="87"/>
        <v>1.5299999999999999E-2</v>
      </c>
      <c r="EP35" s="144">
        <f t="shared" si="123"/>
        <v>55.550000000000004</v>
      </c>
      <c r="EQ35" s="456">
        <f t="shared" si="88"/>
        <v>3.7828333326705765</v>
      </c>
      <c r="ER35" s="144">
        <f t="shared" si="124"/>
        <v>3782.8333326705765</v>
      </c>
      <c r="ES35" s="456">
        <f t="shared" si="125"/>
        <v>0.80471999999999999</v>
      </c>
      <c r="ET35" s="456"/>
      <c r="EV35" s="144">
        <f t="shared" si="126"/>
        <v>804.72</v>
      </c>
      <c r="EW35" s="456">
        <f t="shared" si="89"/>
        <v>6.6691755719203882E-2</v>
      </c>
      <c r="EX35" s="456">
        <f t="shared" si="90"/>
        <v>0.14028696768505147</v>
      </c>
      <c r="EY35" s="456">
        <f t="shared" si="91"/>
        <v>13.115618299051695</v>
      </c>
      <c r="EZ35" s="456">
        <f t="shared" si="92"/>
        <v>13.597422081189242</v>
      </c>
      <c r="FA35" s="456">
        <f t="shared" si="93"/>
        <v>1.5523404255319149</v>
      </c>
      <c r="FB35" s="144">
        <f t="shared" si="127"/>
        <v>15149.762506721156</v>
      </c>
      <c r="FC35" s="150">
        <f t="shared" si="128"/>
        <v>19.737315839391734</v>
      </c>
      <c r="FD35" s="5">
        <f t="shared" si="129"/>
        <v>36</v>
      </c>
      <c r="FE35" s="150">
        <f t="shared" si="130"/>
        <v>0.64588686157286024</v>
      </c>
      <c r="FF35" s="5">
        <f t="shared" si="131"/>
        <v>64.58868615728602</v>
      </c>
      <c r="FI35" s="59">
        <f t="shared" si="94"/>
        <v>-50</v>
      </c>
      <c r="FJ35">
        <f t="shared" si="95"/>
        <v>-50</v>
      </c>
      <c r="FL35">
        <f t="shared" si="96"/>
        <v>0.36037261418236483</v>
      </c>
    </row>
    <row r="36" spans="5:168">
      <c r="E36" s="147">
        <v>31</v>
      </c>
      <c r="F36" s="188">
        <f t="shared" si="97"/>
        <v>1.24</v>
      </c>
      <c r="G36" s="188"/>
      <c r="H36" s="188">
        <f t="shared" si="0"/>
        <v>37.200000000000003</v>
      </c>
      <c r="I36" s="465">
        <f t="shared" si="1"/>
        <v>33.912572739744022</v>
      </c>
      <c r="J36" s="149">
        <f t="shared" si="2"/>
        <v>30.447076217060911</v>
      </c>
      <c r="K36" s="149">
        <f t="shared" si="3"/>
        <v>64.447076217060911</v>
      </c>
      <c r="L36" s="379"/>
      <c r="M36" s="188">
        <f t="shared" si="4"/>
        <v>0.47307966299427368</v>
      </c>
      <c r="N36" s="149">
        <f t="shared" si="5"/>
        <v>244.82191160533765</v>
      </c>
      <c r="O36" s="149">
        <f t="shared" si="98"/>
        <v>37.200000000000003</v>
      </c>
      <c r="P36" s="188">
        <f t="shared" si="6"/>
        <v>8.1607303868445875</v>
      </c>
      <c r="Q36" s="188">
        <f t="shared" si="7"/>
        <v>30</v>
      </c>
      <c r="R36" s="188">
        <f t="shared" si="8"/>
        <v>8.1027012540337857</v>
      </c>
      <c r="S36" s="149">
        <f t="shared" si="9"/>
        <v>380.49954015392103</v>
      </c>
      <c r="T36" s="149">
        <f t="shared" si="10"/>
        <v>30</v>
      </c>
      <c r="U36" s="188">
        <f t="shared" si="99"/>
        <v>4.706593816615297</v>
      </c>
      <c r="V36" s="188">
        <f t="shared" si="11"/>
        <v>0.65229468456597162</v>
      </c>
      <c r="W36" s="188">
        <f t="shared" si="12"/>
        <v>0.72653908639334241</v>
      </c>
      <c r="X36" s="172">
        <f t="shared" si="13"/>
        <v>350</v>
      </c>
      <c r="Y36" s="379">
        <f t="shared" si="14"/>
        <v>350</v>
      </c>
      <c r="AA36" s="188">
        <f t="shared" si="15"/>
        <v>9.752742635001745</v>
      </c>
      <c r="AB36" s="150">
        <f t="shared" si="16"/>
        <v>1.5054939941597116</v>
      </c>
      <c r="AC36" s="150">
        <f t="shared" si="17"/>
        <v>2.5694717061265857</v>
      </c>
      <c r="AD36" s="150"/>
      <c r="AE36" s="150">
        <f t="shared" si="18"/>
        <v>0.93555283541107626</v>
      </c>
      <c r="AF36" s="314">
        <f t="shared" si="100"/>
        <v>437.388445111387</v>
      </c>
      <c r="AG36" s="456">
        <f t="shared" si="19"/>
        <v>0.99225300725417165</v>
      </c>
      <c r="AI36" s="150">
        <f t="shared" si="20"/>
        <v>6.775099636693116</v>
      </c>
      <c r="AJ36" s="150">
        <f t="shared" si="21"/>
        <v>6.775099636693116</v>
      </c>
      <c r="AK36" s="150">
        <f t="shared" si="22"/>
        <v>1.7292545008052262</v>
      </c>
      <c r="AM36" s="314">
        <f t="shared" si="23"/>
        <v>1240</v>
      </c>
      <c r="AN36" s="144">
        <f t="shared" si="24"/>
        <v>350</v>
      </c>
      <c r="AP36">
        <f t="shared" si="25"/>
        <v>1240</v>
      </c>
      <c r="AQ36" s="144">
        <f t="shared" si="26"/>
        <v>350</v>
      </c>
      <c r="AR36" s="144"/>
      <c r="AS36" s="5">
        <f t="shared" si="101"/>
        <v>2.8571428571428572</v>
      </c>
      <c r="AT36" s="5">
        <f t="shared" si="27"/>
        <v>0.9389723550858502</v>
      </c>
      <c r="AU36" s="5">
        <f t="shared" si="102"/>
        <v>1.918170502057007</v>
      </c>
      <c r="AV36" s="5">
        <f t="shared" si="28"/>
        <v>1.0458465064246318</v>
      </c>
      <c r="AW36" s="150">
        <f t="shared" si="103"/>
        <v>0.32864032428004758</v>
      </c>
      <c r="AX36" s="150">
        <f t="shared" si="29"/>
        <v>37.754374509155532</v>
      </c>
      <c r="AY36" s="150">
        <f t="shared" si="30"/>
        <v>2.274264347530329</v>
      </c>
      <c r="AZ36" s="150">
        <f t="shared" si="104"/>
        <v>16.60069751792653</v>
      </c>
      <c r="BA36" s="144">
        <f t="shared" si="31"/>
        <v>3.8810857343548477</v>
      </c>
      <c r="BB36" s="5">
        <f t="shared" si="32"/>
        <v>1.2377145269834788</v>
      </c>
      <c r="BC36" s="5"/>
      <c r="BD36" s="150">
        <f t="shared" si="105"/>
        <v>2.2424123897955313</v>
      </c>
      <c r="BE36" s="150">
        <f t="shared" si="33"/>
        <v>3.2050343268777262</v>
      </c>
      <c r="BF36" s="150"/>
      <c r="BG36" s="456">
        <f t="shared" si="34"/>
        <v>6.0340959910902076E-2</v>
      </c>
      <c r="BH36" s="456">
        <f t="shared" si="35"/>
        <v>2.7890083790172131</v>
      </c>
      <c r="BI36" s="456">
        <f t="shared" si="36"/>
        <v>4.0250000000000001E-2</v>
      </c>
      <c r="BJ36" s="456">
        <f t="shared" si="37"/>
        <v>0.75228921776402202</v>
      </c>
      <c r="BK36">
        <f t="shared" si="38"/>
        <v>1.5260657732884809E-2</v>
      </c>
      <c r="BL36" s="144">
        <f t="shared" si="106"/>
        <v>55.510657732884816</v>
      </c>
      <c r="BM36" s="456">
        <f t="shared" si="39"/>
        <v>3.6705554131477132</v>
      </c>
      <c r="BN36" s="144">
        <f t="shared" si="107"/>
        <v>3670.5554131477134</v>
      </c>
      <c r="BO36" s="456">
        <f t="shared" si="108"/>
        <v>0.83154399999999995</v>
      </c>
      <c r="BP36" s="456"/>
      <c r="BR36" s="144">
        <f t="shared" si="109"/>
        <v>831.54399999999998</v>
      </c>
      <c r="BS36" s="456">
        <f t="shared" si="40"/>
        <v>7.0397786562719084E-2</v>
      </c>
      <c r="BT36" s="456">
        <f t="shared" si="41"/>
        <v>0.14381143051050382</v>
      </c>
      <c r="BU36" s="456">
        <f t="shared" si="42"/>
        <v>13.690815925608923</v>
      </c>
      <c r="BV36" s="456">
        <f t="shared" si="43"/>
        <v>14.199773137695164</v>
      </c>
      <c r="BW36" s="456">
        <f t="shared" si="44"/>
        <v>1.6065691280491718</v>
      </c>
      <c r="BX36" s="144">
        <f t="shared" si="110"/>
        <v>15806.342265744335</v>
      </c>
      <c r="BY36" s="150">
        <f t="shared" si="45"/>
        <v>20.363952336624937</v>
      </c>
      <c r="BZ36" s="5">
        <f t="shared" si="111"/>
        <v>37.200000000000003</v>
      </c>
      <c r="CA36" s="150">
        <f t="shared" si="112"/>
        <v>0.64623776669225652</v>
      </c>
      <c r="CB36" s="5">
        <f t="shared" si="113"/>
        <v>64.623776669225649</v>
      </c>
      <c r="CE36" s="59">
        <f t="shared" si="46"/>
        <v>-50</v>
      </c>
      <c r="CF36">
        <f t="shared" si="47"/>
        <v>-50</v>
      </c>
      <c r="CG36" s="150">
        <f t="shared" si="48"/>
        <v>0.36876370031046529</v>
      </c>
      <c r="CI36" s="147">
        <v>31</v>
      </c>
      <c r="CJ36" s="188">
        <f t="shared" si="114"/>
        <v>1.24</v>
      </c>
      <c r="CK36" s="188"/>
      <c r="CL36" s="188">
        <f t="shared" si="49"/>
        <v>37.200000000000003</v>
      </c>
      <c r="CM36" s="465">
        <f t="shared" si="50"/>
        <v>34</v>
      </c>
      <c r="CN36" s="149">
        <f t="shared" si="51"/>
        <v>30.4</v>
      </c>
      <c r="CO36" s="379">
        <f t="shared" si="52"/>
        <v>64.400000000000006</v>
      </c>
      <c r="CP36" s="379"/>
      <c r="CQ36" s="188">
        <f t="shared" si="53"/>
        <v>0.47204968944099374</v>
      </c>
      <c r="CR36" s="149">
        <f t="shared" si="54"/>
        <v>244.918674788055</v>
      </c>
      <c r="CS36" s="149">
        <f t="shared" si="115"/>
        <v>37.200000000000003</v>
      </c>
      <c r="CT36" s="188">
        <f t="shared" si="55"/>
        <v>8.1639558262685004</v>
      </c>
      <c r="CU36" s="188">
        <f t="shared" si="56"/>
        <v>30</v>
      </c>
      <c r="CV36" s="188">
        <f t="shared" si="57"/>
        <v>8.1059037580776696</v>
      </c>
      <c r="CW36" s="149">
        <f t="shared" si="58"/>
        <v>381.48038352937203</v>
      </c>
      <c r="CX36" s="149">
        <f t="shared" si="59"/>
        <v>30</v>
      </c>
      <c r="CY36" s="188">
        <f t="shared" si="60"/>
        <v>4.6356037151702791</v>
      </c>
      <c r="CZ36" s="188">
        <f t="shared" si="61"/>
        <v>0.64080404297942095</v>
      </c>
      <c r="DA36" s="188">
        <f t="shared" si="62"/>
        <v>0.7166887322796156</v>
      </c>
      <c r="DB36" s="172">
        <f t="shared" si="63"/>
        <v>350</v>
      </c>
      <c r="DC36" s="379">
        <f t="shared" si="116"/>
        <v>350</v>
      </c>
      <c r="DE36" s="188">
        <f t="shared" si="64"/>
        <v>9.7566501161056465</v>
      </c>
      <c r="DF36" s="150">
        <f t="shared" si="65"/>
        <v>1.5084294587400178</v>
      </c>
      <c r="DG36" s="150">
        <f t="shared" si="66"/>
        <v>2.5755132294067704</v>
      </c>
      <c r="DH36" s="150"/>
      <c r="DI36" s="150">
        <f t="shared" si="67"/>
        <v>0.93700159489633172</v>
      </c>
      <c r="DJ36" s="314">
        <f t="shared" si="117"/>
        <v>436.71217021276595</v>
      </c>
      <c r="DK36" s="456">
        <f t="shared" si="68"/>
        <v>0.99378957034459414</v>
      </c>
      <c r="DM36" s="150">
        <f t="shared" si="69"/>
        <v>6.7698598980712799</v>
      </c>
      <c r="DN36" s="150">
        <f t="shared" si="70"/>
        <v>6.7698598980712799</v>
      </c>
      <c r="DO36" s="150">
        <f t="shared" si="71"/>
        <v>1.7253732129371993</v>
      </c>
      <c r="DQ36" s="314">
        <f t="shared" si="72"/>
        <v>1240</v>
      </c>
      <c r="DR36" s="144">
        <f t="shared" si="73"/>
        <v>350</v>
      </c>
      <c r="DT36">
        <f t="shared" si="74"/>
        <v>1240</v>
      </c>
      <c r="DU36" s="144">
        <f t="shared" si="75"/>
        <v>350</v>
      </c>
      <c r="DV36" s="144"/>
      <c r="DW36" s="5">
        <f t="shared" si="118"/>
        <v>2.8571428571428572</v>
      </c>
      <c r="DX36" s="5">
        <f t="shared" si="76"/>
        <v>0.93583357414514734</v>
      </c>
      <c r="DY36" s="5">
        <f t="shared" si="119"/>
        <v>1.9213092829977099</v>
      </c>
      <c r="DZ36" s="5">
        <f t="shared" si="77"/>
        <v>1.0466559710833887</v>
      </c>
      <c r="EA36" s="150">
        <f t="shared" si="120"/>
        <v>0.32754175095080157</v>
      </c>
      <c r="EB36" s="150">
        <f t="shared" si="78"/>
        <v>37.695999999999998</v>
      </c>
      <c r="EC36" s="150">
        <f t="shared" si="79"/>
        <v>2.2762240666826985</v>
      </c>
      <c r="ED36" s="150">
        <f t="shared" si="121"/>
        <v>16.560759791516059</v>
      </c>
      <c r="EE36" s="144">
        <f t="shared" si="80"/>
        <v>3.8681121064666089</v>
      </c>
      <c r="EF36" s="5">
        <f t="shared" si="81"/>
        <v>1.2365519952857231</v>
      </c>
      <c r="EG36" s="5"/>
      <c r="EH36" s="150">
        <f t="shared" si="122"/>
        <v>2.2369299633943109</v>
      </c>
      <c r="EI36" s="150">
        <f t="shared" si="82"/>
        <v>3.2051747771439785</v>
      </c>
      <c r="EJ36" s="150"/>
      <c r="EK36" s="456">
        <f t="shared" si="83"/>
        <v>6.004626793357528E-2</v>
      </c>
      <c r="EL36" s="456">
        <f t="shared" si="84"/>
        <v>2.8992601999480061</v>
      </c>
      <c r="EM36" s="456">
        <f t="shared" si="85"/>
        <v>4.0250000000000001E-2</v>
      </c>
      <c r="EN36" s="456">
        <f t="shared" si="86"/>
        <v>0.75119058000000016</v>
      </c>
      <c r="EO36">
        <f t="shared" si="87"/>
        <v>1.5299999999999999E-2</v>
      </c>
      <c r="EP36" s="144">
        <f t="shared" si="123"/>
        <v>55.550000000000004</v>
      </c>
      <c r="EQ36" s="456">
        <f t="shared" si="88"/>
        <v>3.837002022217129</v>
      </c>
      <c r="ER36" s="144">
        <f t="shared" si="124"/>
        <v>3837.0020222171293</v>
      </c>
      <c r="ES36" s="456">
        <f t="shared" si="125"/>
        <v>0.83154399999999995</v>
      </c>
      <c r="ET36" s="456"/>
      <c r="EV36" s="144">
        <f t="shared" si="126"/>
        <v>831.54399999999998</v>
      </c>
      <c r="EW36" s="456">
        <f t="shared" si="89"/>
        <v>7.0053979255837825E-2</v>
      </c>
      <c r="EX36" s="456">
        <f t="shared" si="90"/>
        <v>0.14382403492855933</v>
      </c>
      <c r="EY36" s="456">
        <f t="shared" si="91"/>
        <v>13.66436070852007</v>
      </c>
      <c r="EZ36" s="456">
        <f t="shared" si="92"/>
        <v>14.172056754554538</v>
      </c>
      <c r="FA36" s="456">
        <f t="shared" si="93"/>
        <v>1.6040851063829791</v>
      </c>
      <c r="FB36" s="144">
        <f t="shared" si="127"/>
        <v>15776.141860937516</v>
      </c>
      <c r="FC36" s="150">
        <f t="shared" si="128"/>
        <v>20.444687883154646</v>
      </c>
      <c r="FD36" s="5">
        <f t="shared" si="129"/>
        <v>37.200000000000003</v>
      </c>
      <c r="FE36" s="150">
        <f t="shared" si="130"/>
        <v>0.64533266405057355</v>
      </c>
      <c r="FF36" s="5">
        <f t="shared" si="131"/>
        <v>64.533266405057361</v>
      </c>
      <c r="FI36" s="59">
        <f t="shared" si="94"/>
        <v>-50</v>
      </c>
      <c r="FJ36">
        <f t="shared" si="95"/>
        <v>-50</v>
      </c>
      <c r="FL36">
        <f t="shared" si="96"/>
        <v>0.36632958987918601</v>
      </c>
    </row>
    <row r="37" spans="5:168">
      <c r="E37" s="147">
        <v>32</v>
      </c>
      <c r="F37" s="188">
        <f t="shared" si="97"/>
        <v>1.28</v>
      </c>
      <c r="G37" s="188"/>
      <c r="H37" s="188">
        <f t="shared" ref="H37:H68" si="132">F37*Vout</f>
        <v>38.4</v>
      </c>
      <c r="I37" s="465">
        <f t="shared" ref="I37:I68" si="133">Vin-F37*(Rdcr_pri+RON/1000)/CG37/Nps</f>
        <v>33.911173814753695</v>
      </c>
      <c r="J37" s="149">
        <f t="shared" ref="J37:J68" si="134">(T37+Vfwd1+F37/CG37*Rdcr_sec)*Nps</f>
        <v>30.447829484363393</v>
      </c>
      <c r="K37" s="149">
        <f t="shared" ref="K37:K68" si="135">(Vout+Vfwd1+F37/CG37*Rdcr_sec)*Nps+VIN_nom</f>
        <v>64.447829484363396</v>
      </c>
      <c r="L37" s="379"/>
      <c r="M37" s="188">
        <f t="shared" ref="M37:M68" si="136">(Vout+Vfwd1+F37/FL37*Rdcr_sec)*Nps/((Vout+Vfwd1+F37/FL37*Rdcr_sec)*Nps+I37)</f>
        <v>0.47309615403430849</v>
      </c>
      <c r="N37" s="149">
        <f t="shared" ref="N37:N68" si="137">M37*I37*(Isw_max+VIN_nom/Lmag*ILIM_delay)*0.5*Efficiency</f>
        <v>244.8203463472889</v>
      </c>
      <c r="O37" s="149">
        <f t="shared" si="98"/>
        <v>38.4</v>
      </c>
      <c r="P37" s="188">
        <f t="shared" ref="P37:P68" si="138">N37/Vout</f>
        <v>8.1606782115762968</v>
      </c>
      <c r="Q37" s="188">
        <f t="shared" ref="Q37:Q68" si="139">MIN(Vout,N37/F37)</f>
        <v>30</v>
      </c>
      <c r="R37" s="188">
        <f t="shared" ref="R37:R68" si="140">Isw_max/2*I37*Nps*(Q37+Vfwd1+F37/FL37*Rdcr_sec)/Q37/(I37+Nps*(Q37+Vfwd1+F37/FL37*Rdcr_sec))</f>
        <v>8.1026494497721835</v>
      </c>
      <c r="S37" s="149">
        <f t="shared" ref="S37:S68" si="141">(SQRT(Isw_max^2*Nps^2*I37^2+4*Isw_max*F37/Efficiency*(Nps^2*Vfwd1*I37-Nps*I37^2)+4*(F37/Efficiency)^2*Nps^2*Vfwd1^2+8*(F37/Efficiency)^2*Nps*Vfwd1*I37+4*(F37/Efficiency)^2*I37^2)-2*F37/Efficiency*I37-2*F37/Efficiency*Nps*Vfwd1+Isw_max*Nps*I37)/(4*F37/Efficiency*Nps)</f>
        <v>367.53636742206453</v>
      </c>
      <c r="T37" s="149">
        <f t="shared" ref="T37:T68" si="142">MIN(Vout, S37)</f>
        <v>30</v>
      </c>
      <c r="U37" s="188">
        <f t="shared" ref="U37:U68" si="143">MIN(2*(Vout+Vfwd1+F37/FL37*Rdcr_sec)*F37/(I37*M37), Isw_max)</f>
        <v>4.8585714824459467</v>
      </c>
      <c r="V37" s="188">
        <f t="shared" si="11"/>
        <v>0.67338530043926204</v>
      </c>
      <c r="W37" s="188">
        <f t="shared" ref="W37:W68" si="144">L*U37/J37*1000000</f>
        <v>0.7499807491769851</v>
      </c>
      <c r="X37" s="172">
        <f t="shared" ref="X37:X68" si="145">IF(1/((350000*L)*(1/I37+1/J37))&gt;Isw_min, 350, 0.001/((Isw_min*L)*(1/I37+1/J37)))</f>
        <v>350</v>
      </c>
      <c r="Y37" s="379">
        <f t="shared" si="14"/>
        <v>350</v>
      </c>
      <c r="AA37" s="188">
        <f t="shared" ref="AA37:AA68" si="146">1/((X37*1000*L)*(1/I37+1/J37))</f>
        <v>9.7526794395096328</v>
      </c>
      <c r="AB37" s="150">
        <f t="shared" ref="AB37:AB68" si="147">L*AA37/J37*1000000</f>
        <v>1.5054469938238244</v>
      </c>
      <c r="AC37" s="150">
        <f t="shared" ref="AC37:AC68" si="148">0.5*AB37*AA37*Nps*X37/1000</f>
        <v>2.5693748401890097</v>
      </c>
      <c r="AD37" s="150"/>
      <c r="AE37" s="150">
        <f t="shared" ref="AE37:AE68" si="149">L*Isw_min/J37*1000000</f>
        <v>0.93552969020261334</v>
      </c>
      <c r="AF37" s="314">
        <f t="shared" ref="AF37:AF68" si="150">MAX(12, F37/(0.5*AE37/1000000*Isw_min*Nps)/1000)</f>
        <v>451.50891994514706</v>
      </c>
      <c r="AG37" s="456">
        <f t="shared" ref="AG37:AG68" si="151">0.5*AE37/1000000*Isw_min*Nps*X37*1000</f>
        <v>0.99222845930580206</v>
      </c>
      <c r="AI37" s="150">
        <f t="shared" ref="AI37:AI68" si="152">SQRT(F37/Efficiency/(0.5*L/J37*Fsw_DCM*Nps))</f>
        <v>6.8835932636107229</v>
      </c>
      <c r="AJ37" s="150">
        <f t="shared" ref="AJ37:AJ71" si="153">MAX(IF(F37&gt;AC37,U37,AI37),Isw_min)</f>
        <v>6.8835932636107229</v>
      </c>
      <c r="AK37" s="150">
        <f t="shared" ref="AK37:AK68" si="154">IF(F37&gt;AG37, (AJ37-Isw_min)/1.08*0.8+1.2, AF37*0.2/350+1)</f>
        <v>1.8096201503738238</v>
      </c>
      <c r="AM37" s="314">
        <f t="shared" ref="AM37:AM68" si="155">F37*1000</f>
        <v>1280</v>
      </c>
      <c r="AN37" s="144">
        <f t="shared" ref="AN37:AN68" si="156">IF(F37&gt;AG37, Y37, AF37)</f>
        <v>350</v>
      </c>
      <c r="AP37">
        <f t="shared" ref="AP37:AP68" si="157">IF(H37&gt;N37, "",AM37)</f>
        <v>1280</v>
      </c>
      <c r="AQ37" s="144">
        <f t="shared" ref="AQ37:AQ68" si="158">IF(H37&gt;N37, "",AN37)</f>
        <v>350</v>
      </c>
      <c r="AR37" s="144"/>
      <c r="AS37" s="5">
        <f t="shared" si="101"/>
        <v>2.8571428571428572</v>
      </c>
      <c r="AT37" s="5">
        <f t="shared" ref="AT37:AT68" si="159">L*AJ37/I37*1000000</f>
        <v>0.95404802310012216</v>
      </c>
      <c r="AU37" s="5">
        <f t="shared" si="102"/>
        <v>1.9030948340427352</v>
      </c>
      <c r="AV37" s="5">
        <f t="shared" ref="AV37:AV68" si="160">L*AJ37/J37*1000000</f>
        <v>1.0625679691087784</v>
      </c>
      <c r="AW37" s="150">
        <f t="shared" si="103"/>
        <v>0.33391680808504276</v>
      </c>
      <c r="AX37" s="150">
        <f t="shared" ref="AX37:AX68" si="161">0.5*L*AJ37^2*AN37*1000</f>
        <v>38.973221739985135</v>
      </c>
      <c r="AY37" s="150">
        <f t="shared" ref="AY37:AY68" si="162">AJ37*Nps/2*(1-AW37)</f>
        <v>2.292522886435064</v>
      </c>
      <c r="AZ37" s="150">
        <f t="shared" si="104"/>
        <v>17.000145111131069</v>
      </c>
      <c r="BA37" s="144">
        <f t="shared" ref="BA37:BA68" si="163">F37*AT37/Vout_ripple*1000</f>
        <v>4.0706048985605214</v>
      </c>
      <c r="BB37" s="5">
        <f t="shared" ref="BB37:BB68" si="164">H37/Efficiency/I37*AU37/Vinripple1</f>
        <v>1.2676516045479536</v>
      </c>
      <c r="BC37" s="5"/>
      <c r="BD37" s="150">
        <f t="shared" si="105"/>
        <v>2.2965384112725893</v>
      </c>
      <c r="BE37" s="150">
        <f t="shared" ref="BE37:BE68" si="165">AJ37*Nps*SQRT((1-AW37)/3)</f>
        <v>3.2435366600608271</v>
      </c>
      <c r="BF37" s="150"/>
      <c r="BG37" s="456">
        <f t="shared" ref="BG37:BG68" si="166">Rdson*BD37^2</f>
        <v>6.3289064093405151E-2</v>
      </c>
      <c r="BH37" s="456">
        <f t="shared" ref="BH37:BH68" si="167">0.5*K37*AJ37*AN37*1000*Tfall</f>
        <v>2.8337035192533762</v>
      </c>
      <c r="BI37" s="456">
        <f t="shared" ref="BI37:BI68" si="168">Qg*Vdd*AN37*1000</f>
        <v>4.0250000000000001E-2</v>
      </c>
      <c r="BJ37" s="456">
        <f t="shared" ref="BJ37:BJ68" si="169">0.5*(Coss+Csw)*K37^2*AN37*1000</f>
        <v>0.7523068036101056</v>
      </c>
      <c r="BK37">
        <f t="shared" ref="BK37:BK68" si="170">I37*IQ</f>
        <v>1.5260028216639163E-2</v>
      </c>
      <c r="BL37" s="144">
        <f t="shared" si="106"/>
        <v>55.510028216639171</v>
      </c>
      <c r="BM37" s="456">
        <f t="shared" ref="BM37:BM68" si="171">(BH37+BI37*0+BJ37+BK37*0+BG37*(1+RdsonTC*(Ta-25)))/(1-BG37*RdsonTC*ThetaJA)</f>
        <v>3.7223623903215319</v>
      </c>
      <c r="BN37" s="144">
        <f t="shared" si="107"/>
        <v>3722.3623903215321</v>
      </c>
      <c r="BO37" s="456">
        <f t="shared" ref="BO37:BO68" si="172">Vfwd2*F37*(1+Diode_TC/1000*(Ta-25))</f>
        <v>0.85836799999999991</v>
      </c>
      <c r="BP37" s="456"/>
      <c r="BR37" s="144">
        <f t="shared" si="109"/>
        <v>858.36799999999994</v>
      </c>
      <c r="BS37" s="456">
        <f t="shared" ref="BS37:BS68" si="173">Rdcr_pri*BD37^2</f>
        <v>7.3837241442306009E-2</v>
      </c>
      <c r="BT37" s="456">
        <f t="shared" ref="BT37:BT68" si="174">Rdcr_sec*BE37^2</f>
        <v>0.14728742091221964</v>
      </c>
      <c r="BU37" s="456">
        <f t="shared" ref="BU37:BU68" si="175">AJ37^2.5*AN37^2.5*k_core</f>
        <v>14.245513790449062</v>
      </c>
      <c r="BV37" s="456">
        <f t="shared" ref="BV37:BV68" si="176">(BU37+(BS37+BT37)*(1+Ltc*(Ta-25)))/(1-(BS37+BT37)*Ltc*ThetaCa)</f>
        <v>14.781187173605682</v>
      </c>
      <c r="BW37" s="456">
        <f t="shared" ref="BW37:BW68" si="177">0.5*Lleak*0.000000001*AJ37^2*AN37*1000</f>
        <v>1.6584349676589425</v>
      </c>
      <c r="BX37" s="144">
        <f t="shared" si="110"/>
        <v>16439.622141264626</v>
      </c>
      <c r="BY37" s="150">
        <f t="shared" si="45"/>
        <v>21.075862559802793</v>
      </c>
      <c r="BZ37" s="5">
        <f t="shared" si="111"/>
        <v>38.4</v>
      </c>
      <c r="CA37" s="150">
        <f t="shared" si="112"/>
        <v>0.64564006888322001</v>
      </c>
      <c r="CB37" s="5">
        <f t="shared" si="113"/>
        <v>64.564006888321998</v>
      </c>
      <c r="CE37" s="59">
        <f t="shared" ref="CE37:CE68" si="178">IF(ABS(F37-Ioutmax_Vinnom)&lt;Iout/200, AN37, -50)</f>
        <v>-50</v>
      </c>
      <c r="CF37">
        <f t="shared" ref="CF37:CF68" si="179">IF(ABS(F37-Ioutmax_Vinnom)&lt;Iout/200, N37*CA37, -50)</f>
        <v>-50</v>
      </c>
      <c r="CG37" s="150">
        <f t="shared" ref="CG37:CG68" si="180">MIN(SQRT(2*DU37*1000*Ls1_*CL37)/CU37,1-EA37-0.00000005*DU37*1000)</f>
        <v>0.37466429417991426</v>
      </c>
      <c r="CI37" s="147">
        <v>32</v>
      </c>
      <c r="CJ37" s="188">
        <f t="shared" si="114"/>
        <v>1.28</v>
      </c>
      <c r="CK37" s="188"/>
      <c r="CL37" s="188">
        <f t="shared" si="49"/>
        <v>38.4</v>
      </c>
      <c r="CM37" s="465">
        <f t="shared" si="50"/>
        <v>34</v>
      </c>
      <c r="CN37" s="149">
        <f t="shared" si="51"/>
        <v>30.4</v>
      </c>
      <c r="CO37" s="379">
        <f t="shared" si="52"/>
        <v>64.400000000000006</v>
      </c>
      <c r="CP37" s="379"/>
      <c r="CQ37" s="188">
        <f t="shared" si="53"/>
        <v>0.47204968944099374</v>
      </c>
      <c r="CR37" s="149">
        <f t="shared" si="54"/>
        <v>244.918674788055</v>
      </c>
      <c r="CS37" s="149">
        <f t="shared" si="115"/>
        <v>38.4</v>
      </c>
      <c r="CT37" s="188">
        <f t="shared" si="55"/>
        <v>8.1639558262685004</v>
      </c>
      <c r="CU37" s="188">
        <f t="shared" si="56"/>
        <v>30</v>
      </c>
      <c r="CV37" s="188">
        <f t="shared" si="57"/>
        <v>8.1059037580776696</v>
      </c>
      <c r="CW37" s="149">
        <f t="shared" si="58"/>
        <v>368.49898767273635</v>
      </c>
      <c r="CX37" s="149">
        <f t="shared" si="59"/>
        <v>30</v>
      </c>
      <c r="CY37" s="188">
        <f t="shared" si="60"/>
        <v>4.7851393188854487</v>
      </c>
      <c r="CZ37" s="188">
        <f t="shared" si="61"/>
        <v>0.66147514114004735</v>
      </c>
      <c r="DA37" s="188">
        <f t="shared" si="62"/>
        <v>0.73980772364347391</v>
      </c>
      <c r="DB37" s="172">
        <f t="shared" si="63"/>
        <v>350</v>
      </c>
      <c r="DC37" s="379">
        <f t="shared" si="116"/>
        <v>350</v>
      </c>
      <c r="DE37" s="188">
        <f t="shared" si="64"/>
        <v>9.7566501161056465</v>
      </c>
      <c r="DF37" s="150">
        <f t="shared" si="65"/>
        <v>1.5084294587400178</v>
      </c>
      <c r="DG37" s="150">
        <f t="shared" si="66"/>
        <v>2.5755132294067704</v>
      </c>
      <c r="DH37" s="150"/>
      <c r="DI37" s="150">
        <f t="shared" si="67"/>
        <v>0.93700159489633172</v>
      </c>
      <c r="DJ37" s="314">
        <f t="shared" si="117"/>
        <v>450.79965957446808</v>
      </c>
      <c r="DK37" s="456">
        <f t="shared" si="68"/>
        <v>0.99378957034459414</v>
      </c>
      <c r="DM37" s="150">
        <f t="shared" si="69"/>
        <v>6.8781845346283941</v>
      </c>
      <c r="DN37" s="150">
        <f t="shared" si="70"/>
        <v>6.8781845346283941</v>
      </c>
      <c r="DO37" s="150">
        <f t="shared" si="71"/>
        <v>1.8056136844609878</v>
      </c>
      <c r="DQ37" s="314">
        <f t="shared" si="72"/>
        <v>1280</v>
      </c>
      <c r="DR37" s="144">
        <f t="shared" si="73"/>
        <v>350</v>
      </c>
      <c r="DT37">
        <f t="shared" si="74"/>
        <v>1280</v>
      </c>
      <c r="DU37" s="144">
        <f t="shared" si="75"/>
        <v>350</v>
      </c>
      <c r="DV37" s="144"/>
      <c r="DW37" s="5">
        <f t="shared" si="118"/>
        <v>2.8571428571428572</v>
      </c>
      <c r="DX37" s="5">
        <f t="shared" si="76"/>
        <v>0.9508078621398075</v>
      </c>
      <c r="DY37" s="5">
        <f t="shared" si="119"/>
        <v>1.9063349950030497</v>
      </c>
      <c r="DZ37" s="5">
        <f t="shared" si="77"/>
        <v>1.0634035300247848</v>
      </c>
      <c r="EA37" s="150">
        <f t="shared" si="120"/>
        <v>0.33278275174893263</v>
      </c>
      <c r="EB37" s="150">
        <f t="shared" si="78"/>
        <v>38.911999999999999</v>
      </c>
      <c r="EC37" s="150">
        <f t="shared" si="79"/>
        <v>2.2946216790789031</v>
      </c>
      <c r="ED37" s="150">
        <f t="shared" si="121"/>
        <v>16.957915265413114</v>
      </c>
      <c r="EE37" s="144">
        <f t="shared" si="80"/>
        <v>4.0567802117965117</v>
      </c>
      <c r="EF37" s="5">
        <f t="shared" si="81"/>
        <v>1.2664924534276314</v>
      </c>
      <c r="EG37" s="5"/>
      <c r="EH37" s="150">
        <f t="shared" si="122"/>
        <v>2.2908338947985825</v>
      </c>
      <c r="EI37" s="150">
        <f t="shared" si="82"/>
        <v>3.2437459154362003</v>
      </c>
      <c r="EJ37" s="150"/>
      <c r="EK37" s="456">
        <f t="shared" si="83"/>
        <v>6.2975039202696509E-2</v>
      </c>
      <c r="EL37" s="456">
        <f t="shared" si="84"/>
        <v>2.945651308799957</v>
      </c>
      <c r="EM37" s="456">
        <f t="shared" si="85"/>
        <v>4.0250000000000001E-2</v>
      </c>
      <c r="EN37" s="456">
        <f t="shared" si="86"/>
        <v>0.75119058000000016</v>
      </c>
      <c r="EO37">
        <f t="shared" si="87"/>
        <v>1.5299999999999999E-2</v>
      </c>
      <c r="EP37" s="144">
        <f t="shared" si="123"/>
        <v>55.550000000000004</v>
      </c>
      <c r="EQ37" s="456">
        <f t="shared" si="88"/>
        <v>3.8905844959576523</v>
      </c>
      <c r="ER37" s="144">
        <f t="shared" si="124"/>
        <v>3890.5844959576525</v>
      </c>
      <c r="ES37" s="456">
        <f t="shared" si="125"/>
        <v>0.85836799999999991</v>
      </c>
      <c r="ET37" s="456"/>
      <c r="EV37" s="144">
        <f t="shared" si="126"/>
        <v>858.36799999999994</v>
      </c>
      <c r="EW37" s="456">
        <f t="shared" si="89"/>
        <v>7.3470879069812603E-2</v>
      </c>
      <c r="EX37" s="456">
        <f t="shared" si="90"/>
        <v>0.14730642589472645</v>
      </c>
      <c r="EY37" s="456">
        <f t="shared" si="91"/>
        <v>14.217547029427397</v>
      </c>
      <c r="EZ37" s="456">
        <f t="shared" si="92"/>
        <v>14.751860976349018</v>
      </c>
      <c r="FA37" s="456">
        <f t="shared" si="93"/>
        <v>1.6558297872340426</v>
      </c>
      <c r="FB37" s="144">
        <f t="shared" si="127"/>
        <v>16407.690763583061</v>
      </c>
      <c r="FC37" s="150">
        <f t="shared" si="128"/>
        <v>21.156643259540715</v>
      </c>
      <c r="FD37" s="5">
        <f t="shared" si="129"/>
        <v>38.4</v>
      </c>
      <c r="FE37" s="150">
        <f t="shared" si="130"/>
        <v>0.64476434362926405</v>
      </c>
      <c r="FF37" s="5">
        <f t="shared" si="131"/>
        <v>64.476434362926398</v>
      </c>
      <c r="FI37" s="59">
        <f t="shared" si="94"/>
        <v>-50</v>
      </c>
      <c r="FJ37">
        <f t="shared" si="95"/>
        <v>-50</v>
      </c>
      <c r="FL37">
        <f t="shared" ref="FL37:FL68" si="181">MIN(SQRT(2*L*DR37*1000*CJ37*(CX37+Vfwd1))/(Nps*(CX37+Vfwd1)), 1-EA37)</f>
        <v>0.37219123550867461</v>
      </c>
    </row>
    <row r="38" spans="5:168">
      <c r="E38" s="147">
        <v>33</v>
      </c>
      <c r="F38" s="188">
        <f t="shared" ref="F38:F69" si="182">IF(PLOT_TYPE=1, E38/100*Iout_max, min_I*EXP(N38*rr/100))</f>
        <v>1.32</v>
      </c>
      <c r="G38" s="188"/>
      <c r="H38" s="188">
        <f t="shared" si="132"/>
        <v>39.6</v>
      </c>
      <c r="I38" s="465">
        <f t="shared" si="133"/>
        <v>33.909796582465219</v>
      </c>
      <c r="J38" s="149">
        <f t="shared" si="134"/>
        <v>30.448571070980265</v>
      </c>
      <c r="K38" s="149">
        <f t="shared" si="135"/>
        <v>64.448571070980265</v>
      </c>
      <c r="L38" s="379"/>
      <c r="M38" s="188">
        <f t="shared" si="136"/>
        <v>0.47311238967355052</v>
      </c>
      <c r="N38" s="149">
        <f t="shared" si="137"/>
        <v>244.81880483938218</v>
      </c>
      <c r="O38" s="149">
        <f t="shared" si="98"/>
        <v>39.6</v>
      </c>
      <c r="P38" s="188">
        <f t="shared" si="138"/>
        <v>8.1606268279794065</v>
      </c>
      <c r="Q38" s="188">
        <f t="shared" si="139"/>
        <v>30</v>
      </c>
      <c r="R38" s="188">
        <f t="shared" si="140"/>
        <v>8.1025984315525843</v>
      </c>
      <c r="S38" s="149">
        <f t="shared" si="141"/>
        <v>355.35923669165288</v>
      </c>
      <c r="T38" s="149">
        <f t="shared" si="142"/>
        <v>30</v>
      </c>
      <c r="U38" s="188">
        <f t="shared" si="143"/>
        <v>5.0105562329778568</v>
      </c>
      <c r="V38" s="188">
        <f t="shared" si="11"/>
        <v>0.6944781941621393</v>
      </c>
      <c r="W38" s="188">
        <f t="shared" si="144"/>
        <v>0.77342264239915182</v>
      </c>
      <c r="X38" s="172">
        <f t="shared" si="145"/>
        <v>350</v>
      </c>
      <c r="Y38" s="379">
        <f t="shared" si="14"/>
        <v>350</v>
      </c>
      <c r="AA38" s="188">
        <f t="shared" si="146"/>
        <v>9.752617203285828</v>
      </c>
      <c r="AB38" s="150">
        <f t="shared" si="147"/>
        <v>1.5054007213865521</v>
      </c>
      <c r="AC38" s="150">
        <f t="shared" si="148"/>
        <v>2.5692794703158426</v>
      </c>
      <c r="AD38" s="150"/>
      <c r="AE38" s="150">
        <f t="shared" si="149"/>
        <v>0.93550690501849676</v>
      </c>
      <c r="AF38" s="314">
        <f t="shared" si="150"/>
        <v>465.62991428843316</v>
      </c>
      <c r="AG38" s="456">
        <f t="shared" si="151"/>
        <v>0.99220429320143599</v>
      </c>
      <c r="AI38" s="150">
        <f t="shared" si="152"/>
        <v>6.9904071319739689</v>
      </c>
      <c r="AJ38" s="150">
        <f t="shared" si="153"/>
        <v>6.9904071319739689</v>
      </c>
      <c r="AK38" s="150">
        <f t="shared" si="154"/>
        <v>1.8887415343465987</v>
      </c>
      <c r="AM38" s="314">
        <f t="shared" si="155"/>
        <v>1320</v>
      </c>
      <c r="AN38" s="144">
        <f t="shared" si="156"/>
        <v>350</v>
      </c>
      <c r="AP38">
        <f t="shared" si="157"/>
        <v>1320</v>
      </c>
      <c r="AQ38" s="144">
        <f t="shared" si="158"/>
        <v>350</v>
      </c>
      <c r="AR38" s="144"/>
      <c r="AS38" s="5">
        <f t="shared" si="101"/>
        <v>2.8571428571428572</v>
      </c>
      <c r="AT38" s="5">
        <f t="shared" si="159"/>
        <v>0.96889149542309416</v>
      </c>
      <c r="AU38" s="5">
        <f t="shared" si="102"/>
        <v>1.8882513617197629</v>
      </c>
      <c r="AV38" s="5">
        <f t="shared" si="160"/>
        <v>1.079029733240612</v>
      </c>
      <c r="AW38" s="150">
        <f t="shared" si="103"/>
        <v>0.33911202339808294</v>
      </c>
      <c r="AX38" s="150">
        <f t="shared" si="161"/>
        <v>40.192113813693958</v>
      </c>
      <c r="AY38" s="150">
        <f t="shared" si="162"/>
        <v>2.3099380125369433</v>
      </c>
      <c r="AZ38" s="150">
        <f t="shared" si="104"/>
        <v>17.399650378302589</v>
      </c>
      <c r="BA38" s="144">
        <f t="shared" si="163"/>
        <v>4.2631225798616139</v>
      </c>
      <c r="BB38" s="5">
        <f t="shared" si="164"/>
        <v>1.2971221829700958</v>
      </c>
      <c r="BC38" s="5"/>
      <c r="BD38" s="150">
        <f t="shared" si="105"/>
        <v>2.3502466222533953</v>
      </c>
      <c r="BE38" s="150">
        <f t="shared" si="165"/>
        <v>3.2809965109456227</v>
      </c>
      <c r="BF38" s="150"/>
      <c r="BG38" s="456">
        <f t="shared" si="166"/>
        <v>6.6283910224961926E-2</v>
      </c>
      <c r="BH38" s="456">
        <f t="shared" si="167"/>
        <v>2.8777076836189632</v>
      </c>
      <c r="BI38" s="456">
        <f t="shared" si="168"/>
        <v>4.0250000000000001E-2</v>
      </c>
      <c r="BJ38" s="456">
        <f t="shared" si="169"/>
        <v>0.75232411695864265</v>
      </c>
      <c r="BK38">
        <f t="shared" si="170"/>
        <v>1.5259408462109348E-2</v>
      </c>
      <c r="BL38" s="144">
        <f t="shared" si="106"/>
        <v>55.509408462109349</v>
      </c>
      <c r="BM38" s="456">
        <f t="shared" si="171"/>
        <v>3.7736436964992479</v>
      </c>
      <c r="BN38" s="144">
        <f t="shared" si="107"/>
        <v>3773.6436964992481</v>
      </c>
      <c r="BO38" s="456">
        <f t="shared" si="172"/>
        <v>0.88519199999999987</v>
      </c>
      <c r="BP38" s="456"/>
      <c r="BR38" s="144">
        <f t="shared" si="109"/>
        <v>885.19199999999989</v>
      </c>
      <c r="BS38" s="456">
        <f t="shared" si="173"/>
        <v>7.733122859578892E-2</v>
      </c>
      <c r="BT38" s="456">
        <f t="shared" si="174"/>
        <v>0.15070913346772291</v>
      </c>
      <c r="BU38" s="456">
        <f t="shared" si="175"/>
        <v>14.804586824933819</v>
      </c>
      <c r="BV38" s="456">
        <f t="shared" si="176"/>
        <v>15.367713591614176</v>
      </c>
      <c r="BW38" s="456">
        <f t="shared" si="177"/>
        <v>1.7103027154763388</v>
      </c>
      <c r="BX38" s="144">
        <f t="shared" si="110"/>
        <v>17078.016307090515</v>
      </c>
      <c r="BY38" s="150">
        <f t="shared" si="45"/>
        <v>21.792361412051871</v>
      </c>
      <c r="BZ38" s="5">
        <f t="shared" si="111"/>
        <v>39.6</v>
      </c>
      <c r="CA38" s="150">
        <f t="shared" si="112"/>
        <v>0.64503138646538793</v>
      </c>
      <c r="CB38" s="5">
        <f t="shared" si="113"/>
        <v>64.503138646538787</v>
      </c>
      <c r="CE38" s="59">
        <f t="shared" si="178"/>
        <v>-50</v>
      </c>
      <c r="CF38">
        <f t="shared" si="179"/>
        <v>-50</v>
      </c>
      <c r="CG38" s="150">
        <f t="shared" si="180"/>
        <v>0.38047338934543112</v>
      </c>
      <c r="CI38" s="147">
        <v>33</v>
      </c>
      <c r="CJ38" s="188">
        <f t="shared" si="114"/>
        <v>1.32</v>
      </c>
      <c r="CK38" s="188"/>
      <c r="CL38" s="188">
        <f t="shared" si="49"/>
        <v>39.6</v>
      </c>
      <c r="CM38" s="465">
        <f t="shared" si="50"/>
        <v>34</v>
      </c>
      <c r="CN38" s="149">
        <f t="shared" si="51"/>
        <v>30.4</v>
      </c>
      <c r="CO38" s="379">
        <f t="shared" si="52"/>
        <v>64.400000000000006</v>
      </c>
      <c r="CP38" s="379"/>
      <c r="CQ38" s="188">
        <f t="shared" si="53"/>
        <v>0.47204968944099374</v>
      </c>
      <c r="CR38" s="149">
        <f t="shared" si="54"/>
        <v>244.918674788055</v>
      </c>
      <c r="CS38" s="149">
        <f t="shared" si="115"/>
        <v>39.6</v>
      </c>
      <c r="CT38" s="188">
        <f t="shared" si="55"/>
        <v>8.1639558262685004</v>
      </c>
      <c r="CU38" s="188">
        <f t="shared" si="56"/>
        <v>30</v>
      </c>
      <c r="CV38" s="188">
        <f t="shared" si="57"/>
        <v>8.1059037580776696</v>
      </c>
      <c r="CW38" s="149">
        <f t="shared" si="58"/>
        <v>356.30442616193108</v>
      </c>
      <c r="CX38" s="149">
        <f t="shared" si="59"/>
        <v>30</v>
      </c>
      <c r="CY38" s="188">
        <f t="shared" si="60"/>
        <v>4.9346749226006192</v>
      </c>
      <c r="CZ38" s="188">
        <f t="shared" si="61"/>
        <v>0.68214623930067386</v>
      </c>
      <c r="DA38" s="188">
        <f t="shared" si="62"/>
        <v>0.76292671500733267</v>
      </c>
      <c r="DB38" s="172">
        <f t="shared" si="63"/>
        <v>350</v>
      </c>
      <c r="DC38" s="379">
        <f t="shared" si="116"/>
        <v>350</v>
      </c>
      <c r="DE38" s="188">
        <f t="shared" si="64"/>
        <v>9.7566501161056465</v>
      </c>
      <c r="DF38" s="150">
        <f t="shared" si="65"/>
        <v>1.5084294587400178</v>
      </c>
      <c r="DG38" s="150">
        <f t="shared" si="66"/>
        <v>2.5755132294067704</v>
      </c>
      <c r="DH38" s="150"/>
      <c r="DI38" s="150">
        <f t="shared" si="67"/>
        <v>0.93700159489633172</v>
      </c>
      <c r="DJ38" s="314">
        <f t="shared" si="117"/>
        <v>464.88714893617026</v>
      </c>
      <c r="DK38" s="456">
        <f t="shared" si="68"/>
        <v>0.99378957034459414</v>
      </c>
      <c r="DM38" s="150">
        <f t="shared" si="69"/>
        <v>6.9848294141867742</v>
      </c>
      <c r="DN38" s="150">
        <f t="shared" si="70"/>
        <v>6.9848294141867742</v>
      </c>
      <c r="DO38" s="150">
        <f t="shared" si="71"/>
        <v>1.8846098915412692</v>
      </c>
      <c r="DQ38" s="314">
        <f t="shared" si="72"/>
        <v>1320</v>
      </c>
      <c r="DR38" s="144">
        <f t="shared" si="73"/>
        <v>350</v>
      </c>
      <c r="DT38">
        <f t="shared" si="74"/>
        <v>1320</v>
      </c>
      <c r="DU38" s="144">
        <f t="shared" si="75"/>
        <v>350</v>
      </c>
      <c r="DV38" s="144"/>
      <c r="DW38" s="5">
        <f t="shared" si="118"/>
        <v>2.8571428571428572</v>
      </c>
      <c r="DX38" s="5">
        <f t="shared" si="76"/>
        <v>0.96554994843170094</v>
      </c>
      <c r="DY38" s="5">
        <f t="shared" si="119"/>
        <v>1.8915929087111563</v>
      </c>
      <c r="DZ38" s="5">
        <f t="shared" si="77"/>
        <v>1.0798913896933497</v>
      </c>
      <c r="EA38" s="150">
        <f t="shared" si="120"/>
        <v>0.33794248195109533</v>
      </c>
      <c r="EB38" s="150">
        <f t="shared" si="78"/>
        <v>40.128000000000007</v>
      </c>
      <c r="EC38" s="150">
        <f t="shared" si="79"/>
        <v>2.3121794129757403</v>
      </c>
      <c r="ED38" s="150">
        <f t="shared" si="121"/>
        <v>17.355054618515037</v>
      </c>
      <c r="EE38" s="144">
        <f t="shared" si="80"/>
        <v>4.2484197730994842</v>
      </c>
      <c r="EF38" s="5">
        <f t="shared" si="81"/>
        <v>1.2959702281135257</v>
      </c>
      <c r="EG38" s="5"/>
      <c r="EH38" s="150">
        <f t="shared" si="122"/>
        <v>2.3443182659377855</v>
      </c>
      <c r="EI38" s="150">
        <f t="shared" si="82"/>
        <v>3.2812780817470153</v>
      </c>
      <c r="EJ38" s="150"/>
      <c r="EK38" s="456">
        <f t="shared" si="83"/>
        <v>6.5949937584114535E-2</v>
      </c>
      <c r="EL38" s="456">
        <f t="shared" si="84"/>
        <v>2.991323044919628</v>
      </c>
      <c r="EM38" s="456">
        <f t="shared" si="85"/>
        <v>4.0250000000000001E-2</v>
      </c>
      <c r="EN38" s="456">
        <f t="shared" si="86"/>
        <v>0.75119058000000016</v>
      </c>
      <c r="EO38">
        <f t="shared" si="87"/>
        <v>1.5299999999999999E-2</v>
      </c>
      <c r="EP38" s="144">
        <f t="shared" si="123"/>
        <v>55.550000000000004</v>
      </c>
      <c r="EQ38" s="456">
        <f t="shared" si="88"/>
        <v>3.9436153352587926</v>
      </c>
      <c r="ER38" s="144">
        <f t="shared" si="124"/>
        <v>3943.6153352587926</v>
      </c>
      <c r="ES38" s="456">
        <f t="shared" si="125"/>
        <v>0.88519199999999987</v>
      </c>
      <c r="ET38" s="456"/>
      <c r="EV38" s="144">
        <f t="shared" si="126"/>
        <v>885.19199999999989</v>
      </c>
      <c r="EW38" s="456">
        <f t="shared" si="89"/>
        <v>7.6941593848133635E-2</v>
      </c>
      <c r="EX38" s="456">
        <f t="shared" si="90"/>
        <v>0.1507350018965472</v>
      </c>
      <c r="EY38" s="456">
        <f t="shared" si="91"/>
        <v>14.775072664951804</v>
      </c>
      <c r="EZ38" s="456">
        <f t="shared" si="92"/>
        <v>15.336736927962425</v>
      </c>
      <c r="FA38" s="456">
        <f t="shared" si="93"/>
        <v>1.7075744680851066</v>
      </c>
      <c r="FB38" s="144">
        <f t="shared" si="127"/>
        <v>17044.311396047531</v>
      </c>
      <c r="FC38" s="150">
        <f t="shared" si="128"/>
        <v>21.873118731306324</v>
      </c>
      <c r="FD38" s="5">
        <f t="shared" si="129"/>
        <v>39.6</v>
      </c>
      <c r="FE38" s="150">
        <f t="shared" si="130"/>
        <v>0.64418400786021879</v>
      </c>
      <c r="FF38" s="5">
        <f t="shared" si="131"/>
        <v>64.418400786021877</v>
      </c>
      <c r="FI38" s="59">
        <f t="shared" si="94"/>
        <v>-50</v>
      </c>
      <c r="FJ38">
        <f t="shared" si="95"/>
        <v>-50</v>
      </c>
      <c r="FL38">
        <f t="shared" si="181"/>
        <v>0.37796198639267248</v>
      </c>
    </row>
    <row r="39" spans="5:168">
      <c r="E39" s="147">
        <v>34</v>
      </c>
      <c r="F39" s="188">
        <f t="shared" si="182"/>
        <v>1.36</v>
      </c>
      <c r="G39" s="188"/>
      <c r="H39" s="188">
        <f t="shared" si="132"/>
        <v>40.800000000000004</v>
      </c>
      <c r="I39" s="465">
        <f t="shared" si="133"/>
        <v>33.908440063977203</v>
      </c>
      <c r="J39" s="149">
        <f t="shared" si="134"/>
        <v>30.449301504012272</v>
      </c>
      <c r="K39" s="149">
        <f t="shared" si="135"/>
        <v>64.449301504012269</v>
      </c>
      <c r="L39" s="379"/>
      <c r="M39" s="188">
        <f t="shared" si="136"/>
        <v>0.473128381437184</v>
      </c>
      <c r="N39" s="149">
        <f t="shared" si="137"/>
        <v>244.81728600985738</v>
      </c>
      <c r="O39" s="149">
        <f t="shared" si="98"/>
        <v>40.800000000000004</v>
      </c>
      <c r="P39" s="188">
        <f t="shared" si="138"/>
        <v>8.1605762003285793</v>
      </c>
      <c r="Q39" s="188">
        <f t="shared" si="139"/>
        <v>30</v>
      </c>
      <c r="R39" s="188">
        <f t="shared" si="140"/>
        <v>8.1025481639036876</v>
      </c>
      <c r="S39" s="149">
        <f t="shared" si="141"/>
        <v>343.89878016368698</v>
      </c>
      <c r="T39" s="149">
        <f t="shared" si="142"/>
        <v>30</v>
      </c>
      <c r="U39" s="188">
        <f t="shared" si="143"/>
        <v>5.1625479607717937</v>
      </c>
      <c r="V39" s="188">
        <f t="shared" si="11"/>
        <v>0.71557333129589706</v>
      </c>
      <c r="W39" s="188">
        <f t="shared" si="144"/>
        <v>0.7968647626425911</v>
      </c>
      <c r="X39" s="172">
        <f t="shared" si="145"/>
        <v>350</v>
      </c>
      <c r="Y39" s="379">
        <f t="shared" si="14"/>
        <v>350</v>
      </c>
      <c r="AA39" s="188">
        <f t="shared" si="146"/>
        <v>9.7525558830419481</v>
      </c>
      <c r="AB39" s="150">
        <f t="shared" si="147"/>
        <v>1.5053551440008324</v>
      </c>
      <c r="AC39" s="150">
        <f t="shared" si="148"/>
        <v>2.5691855289962358</v>
      </c>
      <c r="AD39" s="150"/>
      <c r="AE39" s="150">
        <f t="shared" si="149"/>
        <v>0.93548446361224624</v>
      </c>
      <c r="AF39" s="314">
        <f t="shared" si="150"/>
        <v>479.75142020747171</v>
      </c>
      <c r="AG39" s="456">
        <f t="shared" si="151"/>
        <v>0.99218049170995815</v>
      </c>
      <c r="AI39" s="150">
        <f t="shared" si="152"/>
        <v>7.0956170422509199</v>
      </c>
      <c r="AJ39" s="150">
        <f t="shared" si="153"/>
        <v>7.0956170422509199</v>
      </c>
      <c r="AK39" s="150">
        <f t="shared" si="154"/>
        <v>1.9666748012184143</v>
      </c>
      <c r="AM39" s="314">
        <f t="shared" si="155"/>
        <v>1360</v>
      </c>
      <c r="AN39" s="144">
        <f t="shared" si="156"/>
        <v>350</v>
      </c>
      <c r="AP39">
        <f t="shared" si="157"/>
        <v>1360</v>
      </c>
      <c r="AQ39" s="144">
        <f t="shared" si="158"/>
        <v>350</v>
      </c>
      <c r="AR39" s="144"/>
      <c r="AS39" s="5">
        <f t="shared" si="101"/>
        <v>2.8571428571428572</v>
      </c>
      <c r="AT39" s="5">
        <f t="shared" si="159"/>
        <v>0.98351325026031566</v>
      </c>
      <c r="AU39" s="5">
        <f t="shared" si="102"/>
        <v>1.8736296068825415</v>
      </c>
      <c r="AV39" s="5">
        <f t="shared" si="160"/>
        <v>1.0952435179567226</v>
      </c>
      <c r="AW39" s="150">
        <f t="shared" si="103"/>
        <v>0.34422963759111047</v>
      </c>
      <c r="AX39" s="150">
        <f t="shared" si="161"/>
        <v>41.41105004545669</v>
      </c>
      <c r="AY39" s="150">
        <f t="shared" si="162"/>
        <v>2.3265476796557891</v>
      </c>
      <c r="AZ39" s="150">
        <f t="shared" si="104"/>
        <v>17.799355847107943</v>
      </c>
      <c r="BA39" s="144">
        <f t="shared" si="163"/>
        <v>4.4585934011800985</v>
      </c>
      <c r="BB39" s="5">
        <f t="shared" si="164"/>
        <v>1.3261332718443755</v>
      </c>
      <c r="BC39" s="5"/>
      <c r="BD39" s="150">
        <f t="shared" si="105"/>
        <v>2.4035528202733407</v>
      </c>
      <c r="BE39" s="150">
        <f t="shared" si="165"/>
        <v>3.3174579992694158</v>
      </c>
      <c r="BF39" s="150"/>
      <c r="BG39" s="456">
        <f t="shared" si="166"/>
        <v>6.9324793918127153E-2</v>
      </c>
      <c r="BH39" s="456">
        <f t="shared" si="167"/>
        <v>2.9210520529970259</v>
      </c>
      <c r="BI39" s="456">
        <f t="shared" si="168"/>
        <v>4.0250000000000001E-2</v>
      </c>
      <c r="BJ39" s="456">
        <f t="shared" si="169"/>
        <v>0.75234117010631363</v>
      </c>
      <c r="BK39">
        <f t="shared" si="170"/>
        <v>1.525879802878974E-2</v>
      </c>
      <c r="BL39" s="144">
        <f t="shared" si="106"/>
        <v>55.508798028789741</v>
      </c>
      <c r="BM39" s="456">
        <f t="shared" si="171"/>
        <v>3.8244300831623579</v>
      </c>
      <c r="BN39" s="144">
        <f t="shared" si="107"/>
        <v>3824.4300831623577</v>
      </c>
      <c r="BO39" s="456">
        <f t="shared" si="172"/>
        <v>0.91201599999999994</v>
      </c>
      <c r="BP39" s="456"/>
      <c r="BR39" s="144">
        <f t="shared" si="109"/>
        <v>912.01599999999996</v>
      </c>
      <c r="BS39" s="456">
        <f t="shared" si="173"/>
        <v>8.0878926237815021E-2</v>
      </c>
      <c r="BT39" s="456">
        <f t="shared" si="174"/>
        <v>0.15407738607683288</v>
      </c>
      <c r="BU39" s="456">
        <f t="shared" si="175"/>
        <v>15.367935728272574</v>
      </c>
      <c r="BV39" s="456">
        <f t="shared" si="176"/>
        <v>15.959259863119517</v>
      </c>
      <c r="BW39" s="456">
        <f t="shared" si="177"/>
        <v>1.7621723423598594</v>
      </c>
      <c r="BX39" s="144">
        <f t="shared" si="110"/>
        <v>17721.432205479377</v>
      </c>
      <c r="BY39" s="150">
        <f t="shared" si="45"/>
        <v>22.513387086670527</v>
      </c>
      <c r="BZ39" s="5">
        <f t="shared" si="111"/>
        <v>40.800000000000004</v>
      </c>
      <c r="CA39" s="150">
        <f t="shared" si="112"/>
        <v>0.64441347837145957</v>
      </c>
      <c r="CB39" s="5">
        <f t="shared" si="113"/>
        <v>64.441347837145955</v>
      </c>
      <c r="CE39" s="59">
        <f t="shared" si="178"/>
        <v>-50</v>
      </c>
      <c r="CF39">
        <f t="shared" si="179"/>
        <v>-50</v>
      </c>
      <c r="CG39" s="150">
        <f t="shared" si="180"/>
        <v>0.3861951147628187</v>
      </c>
      <c r="CI39" s="147">
        <v>34</v>
      </c>
      <c r="CJ39" s="188">
        <f t="shared" si="114"/>
        <v>1.36</v>
      </c>
      <c r="CK39" s="188"/>
      <c r="CL39" s="188">
        <f t="shared" si="49"/>
        <v>40.800000000000004</v>
      </c>
      <c r="CM39" s="465">
        <f t="shared" si="50"/>
        <v>34</v>
      </c>
      <c r="CN39" s="149">
        <f t="shared" si="51"/>
        <v>30.4</v>
      </c>
      <c r="CO39" s="379">
        <f t="shared" si="52"/>
        <v>64.400000000000006</v>
      </c>
      <c r="CP39" s="379"/>
      <c r="CQ39" s="188">
        <f t="shared" si="53"/>
        <v>0.47204968944099374</v>
      </c>
      <c r="CR39" s="149">
        <f t="shared" si="54"/>
        <v>244.918674788055</v>
      </c>
      <c r="CS39" s="149">
        <f t="shared" si="115"/>
        <v>40.800000000000004</v>
      </c>
      <c r="CT39" s="188">
        <f t="shared" si="55"/>
        <v>8.1639558262685004</v>
      </c>
      <c r="CU39" s="188">
        <f t="shared" si="56"/>
        <v>30</v>
      </c>
      <c r="CV39" s="188">
        <f t="shared" si="57"/>
        <v>8.1059037580776696</v>
      </c>
      <c r="CW39" s="149">
        <f t="shared" si="58"/>
        <v>344.82727312621375</v>
      </c>
      <c r="CX39" s="149">
        <f t="shared" si="59"/>
        <v>30</v>
      </c>
      <c r="CY39" s="188">
        <f t="shared" si="60"/>
        <v>5.0842105263157906</v>
      </c>
      <c r="CZ39" s="188">
        <f t="shared" si="61"/>
        <v>0.70281733746130048</v>
      </c>
      <c r="DA39" s="188">
        <f t="shared" si="62"/>
        <v>0.78604570637119131</v>
      </c>
      <c r="DB39" s="172">
        <f t="shared" si="63"/>
        <v>350</v>
      </c>
      <c r="DC39" s="379">
        <f t="shared" si="116"/>
        <v>350</v>
      </c>
      <c r="DE39" s="188">
        <f t="shared" si="64"/>
        <v>9.7566501161056465</v>
      </c>
      <c r="DF39" s="150">
        <f t="shared" si="65"/>
        <v>1.5084294587400178</v>
      </c>
      <c r="DG39" s="150">
        <f t="shared" si="66"/>
        <v>2.5755132294067704</v>
      </c>
      <c r="DH39" s="150"/>
      <c r="DI39" s="150">
        <f t="shared" si="67"/>
        <v>0.93700159489633172</v>
      </c>
      <c r="DJ39" s="314">
        <f t="shared" si="117"/>
        <v>478.97463829787239</v>
      </c>
      <c r="DK39" s="456">
        <f t="shared" si="68"/>
        <v>0.99378957034459414</v>
      </c>
      <c r="DM39" s="150">
        <f t="shared" si="69"/>
        <v>7.089870337190681</v>
      </c>
      <c r="DN39" s="150">
        <f t="shared" si="70"/>
        <v>7.089870337190681</v>
      </c>
      <c r="DO39" s="150">
        <f t="shared" si="71"/>
        <v>1.9624179826552743</v>
      </c>
      <c r="DQ39" s="314">
        <f t="shared" si="72"/>
        <v>1360</v>
      </c>
      <c r="DR39" s="144">
        <f t="shared" si="73"/>
        <v>350</v>
      </c>
      <c r="DT39">
        <f t="shared" si="74"/>
        <v>1360</v>
      </c>
      <c r="DU39" s="144">
        <f t="shared" si="75"/>
        <v>350</v>
      </c>
      <c r="DV39" s="144"/>
      <c r="DW39" s="5">
        <f t="shared" si="118"/>
        <v>2.8571428571428572</v>
      </c>
      <c r="DX39" s="5">
        <f t="shared" si="76"/>
        <v>0.98007031131753519</v>
      </c>
      <c r="DY39" s="5">
        <f t="shared" si="119"/>
        <v>1.8770725458253219</v>
      </c>
      <c r="DZ39" s="5">
        <f t="shared" si="77"/>
        <v>1.0961312692367171</v>
      </c>
      <c r="EA39" s="150">
        <f t="shared" si="120"/>
        <v>0.34302460896113729</v>
      </c>
      <c r="EB39" s="150">
        <f t="shared" si="78"/>
        <v>41.344000000000015</v>
      </c>
      <c r="EC39" s="150">
        <f t="shared" si="79"/>
        <v>2.3289351685953403</v>
      </c>
      <c r="ED39" s="150">
        <f t="shared" si="121"/>
        <v>17.752318981440769</v>
      </c>
      <c r="EE39" s="144">
        <f t="shared" si="80"/>
        <v>4.4429854113061591</v>
      </c>
      <c r="EF39" s="5">
        <f t="shared" si="81"/>
        <v>1.3249923852884626</v>
      </c>
      <c r="EG39" s="5"/>
      <c r="EH39" s="150">
        <f t="shared" si="122"/>
        <v>2.39739891410446</v>
      </c>
      <c r="EI39" s="150">
        <f t="shared" si="82"/>
        <v>3.317815382553635</v>
      </c>
      <c r="EJ39" s="150"/>
      <c r="EK39" s="456">
        <f t="shared" si="83"/>
        <v>6.8970258640190935E-2</v>
      </c>
      <c r="EL39" s="456">
        <f t="shared" si="84"/>
        <v>3.0363078706052815</v>
      </c>
      <c r="EM39" s="456">
        <f t="shared" si="85"/>
        <v>4.0250000000000001E-2</v>
      </c>
      <c r="EN39" s="456">
        <f t="shared" si="86"/>
        <v>0.75119058000000016</v>
      </c>
      <c r="EO39">
        <f t="shared" si="87"/>
        <v>1.5299999999999999E-2</v>
      </c>
      <c r="EP39" s="144">
        <f t="shared" si="123"/>
        <v>55.550000000000004</v>
      </c>
      <c r="EQ39" s="456">
        <f t="shared" si="88"/>
        <v>3.9961265371628314</v>
      </c>
      <c r="ER39" s="144">
        <f t="shared" si="124"/>
        <v>3996.1265371628315</v>
      </c>
      <c r="ES39" s="456">
        <f t="shared" si="125"/>
        <v>0.91201599999999994</v>
      </c>
      <c r="ET39" s="456"/>
      <c r="EV39" s="144">
        <f t="shared" si="126"/>
        <v>912.01599999999996</v>
      </c>
      <c r="EW39" s="456">
        <f t="shared" si="89"/>
        <v>8.0465301746889428E-2</v>
      </c>
      <c r="EX39" s="456">
        <f t="shared" si="90"/>
        <v>0.15411058477793332</v>
      </c>
      <c r="EY39" s="456">
        <f t="shared" si="91"/>
        <v>15.336838588896073</v>
      </c>
      <c r="EZ39" s="456">
        <f t="shared" si="92"/>
        <v>15.926592247855663</v>
      </c>
      <c r="FA39" s="456">
        <f t="shared" si="93"/>
        <v>1.759319148936171</v>
      </c>
      <c r="FB39" s="144">
        <f t="shared" si="127"/>
        <v>17685.911396791835</v>
      </c>
      <c r="FC39" s="150">
        <f t="shared" si="128"/>
        <v>22.594053933954665</v>
      </c>
      <c r="FD39" s="5">
        <f t="shared" si="129"/>
        <v>40.800000000000004</v>
      </c>
      <c r="FE39" s="150">
        <f t="shared" si="130"/>
        <v>0.64359348342837253</v>
      </c>
      <c r="FF39" s="5">
        <f t="shared" si="131"/>
        <v>64.359348342837251</v>
      </c>
      <c r="FI39" s="59">
        <f t="shared" si="94"/>
        <v>-50</v>
      </c>
      <c r="FJ39">
        <f t="shared" si="95"/>
        <v>-50</v>
      </c>
      <c r="FL39">
        <f t="shared" si="181"/>
        <v>0.38364594423285098</v>
      </c>
    </row>
    <row r="40" spans="5:168">
      <c r="E40" s="147">
        <v>35</v>
      </c>
      <c r="F40" s="188">
        <f t="shared" si="182"/>
        <v>1.4</v>
      </c>
      <c r="G40" s="188"/>
      <c r="H40" s="188">
        <f t="shared" si="132"/>
        <v>42</v>
      </c>
      <c r="I40" s="465">
        <f t="shared" si="133"/>
        <v>33.907103351868635</v>
      </c>
      <c r="J40" s="149">
        <f t="shared" si="134"/>
        <v>30.450021272070732</v>
      </c>
      <c r="K40" s="149">
        <f t="shared" si="135"/>
        <v>64.450021272070728</v>
      </c>
      <c r="L40" s="379"/>
      <c r="M40" s="188">
        <f t="shared" si="136"/>
        <v>0.47314414000881266</v>
      </c>
      <c r="N40" s="149">
        <f t="shared" si="137"/>
        <v>244.81578886521584</v>
      </c>
      <c r="O40" s="149">
        <f t="shared" si="98"/>
        <v>42</v>
      </c>
      <c r="P40" s="188">
        <f t="shared" si="138"/>
        <v>8.1605262955071947</v>
      </c>
      <c r="Q40" s="188">
        <f t="shared" si="139"/>
        <v>30</v>
      </c>
      <c r="R40" s="188">
        <f t="shared" si="140"/>
        <v>8.102498613944352</v>
      </c>
      <c r="S40" s="149">
        <f t="shared" si="141"/>
        <v>333.09355860915156</v>
      </c>
      <c r="T40" s="149">
        <f t="shared" si="142"/>
        <v>30</v>
      </c>
      <c r="U40" s="188">
        <f t="shared" si="143"/>
        <v>5.3145465631659397</v>
      </c>
      <c r="V40" s="188">
        <f t="shared" si="11"/>
        <v>0.73667067893321969</v>
      </c>
      <c r="W40" s="188">
        <f t="shared" si="144"/>
        <v>0.82030710664200734</v>
      </c>
      <c r="X40" s="172">
        <f t="shared" si="145"/>
        <v>350</v>
      </c>
      <c r="Y40" s="379">
        <f t="shared" si="14"/>
        <v>350</v>
      </c>
      <c r="AA40" s="188">
        <f t="shared" si="146"/>
        <v>9.7524954386505804</v>
      </c>
      <c r="AB40" s="150">
        <f t="shared" si="147"/>
        <v>1.5053102312181286</v>
      </c>
      <c r="AC40" s="150">
        <f t="shared" si="148"/>
        <v>2.5690929536490485</v>
      </c>
      <c r="AD40" s="150"/>
      <c r="AE40" s="150">
        <f t="shared" si="149"/>
        <v>0.93546235092371721</v>
      </c>
      <c r="AF40" s="314">
        <f t="shared" si="150"/>
        <v>493.87343012126627</v>
      </c>
      <c r="AG40" s="456">
        <f t="shared" si="151"/>
        <v>0.99215703885848805</v>
      </c>
      <c r="AI40" s="150">
        <f t="shared" si="152"/>
        <v>7.1992932598847865</v>
      </c>
      <c r="AJ40" s="150">
        <f t="shared" si="153"/>
        <v>7.1992932598847865</v>
      </c>
      <c r="AK40" s="150">
        <f t="shared" si="154"/>
        <v>2.0434719994657229</v>
      </c>
      <c r="AM40" s="314">
        <f t="shared" si="155"/>
        <v>1400</v>
      </c>
      <c r="AN40" s="144">
        <f t="shared" si="156"/>
        <v>350</v>
      </c>
      <c r="AP40">
        <f t="shared" si="157"/>
        <v>1400</v>
      </c>
      <c r="AQ40" s="144">
        <f t="shared" si="158"/>
        <v>350</v>
      </c>
      <c r="AR40" s="144"/>
      <c r="AS40" s="5">
        <f t="shared" si="101"/>
        <v>2.8571428571428572</v>
      </c>
      <c r="AT40" s="5">
        <f t="shared" si="159"/>
        <v>0.99792300068574713</v>
      </c>
      <c r="AU40" s="5">
        <f t="shared" si="102"/>
        <v>1.8592198564571101</v>
      </c>
      <c r="AV40" s="5">
        <f t="shared" si="160"/>
        <v>1.1112201866503806</v>
      </c>
      <c r="AW40" s="150">
        <f t="shared" si="103"/>
        <v>0.34927305024001148</v>
      </c>
      <c r="AX40" s="150">
        <f t="shared" si="161"/>
        <v>42.630029780899022</v>
      </c>
      <c r="AY40" s="150">
        <f t="shared" si="162"/>
        <v>2.3423870717162361</v>
      </c>
      <c r="AZ40" s="150">
        <f t="shared" si="104"/>
        <v>18.199395947683644</v>
      </c>
      <c r="BA40" s="144">
        <f t="shared" si="163"/>
        <v>4.656974003200153</v>
      </c>
      <c r="BB40" s="5">
        <f t="shared" si="164"/>
        <v>1.3546915690558425</v>
      </c>
      <c r="BC40" s="5"/>
      <c r="BD40" s="150">
        <f t="shared" si="105"/>
        <v>2.4564717602642077</v>
      </c>
      <c r="BE40" s="150">
        <f t="shared" si="165"/>
        <v>3.3529620196127046</v>
      </c>
      <c r="BF40" s="150"/>
      <c r="BG40" s="456">
        <f t="shared" si="166"/>
        <v>7.2411042107706422E-2</v>
      </c>
      <c r="BH40" s="456">
        <f t="shared" si="167"/>
        <v>2.9637655314112861</v>
      </c>
      <c r="BI40" s="456">
        <f t="shared" si="168"/>
        <v>4.0250000000000001E-2</v>
      </c>
      <c r="BJ40" s="456">
        <f t="shared" si="169"/>
        <v>0.75235797445188313</v>
      </c>
      <c r="BK40">
        <f t="shared" si="170"/>
        <v>1.5258196508340885E-2</v>
      </c>
      <c r="BL40" s="144">
        <f t="shared" si="106"/>
        <v>55.508196508340887</v>
      </c>
      <c r="BM40" s="456">
        <f t="shared" si="171"/>
        <v>3.8747500758984428</v>
      </c>
      <c r="BN40" s="144">
        <f t="shared" si="107"/>
        <v>3874.7500758984429</v>
      </c>
      <c r="BO40" s="456">
        <f t="shared" si="172"/>
        <v>0.93883999999999979</v>
      </c>
      <c r="BP40" s="456"/>
      <c r="BR40" s="144">
        <f t="shared" si="109"/>
        <v>938.8399999999998</v>
      </c>
      <c r="BS40" s="456">
        <f t="shared" si="173"/>
        <v>8.4479549125657499E-2</v>
      </c>
      <c r="BT40" s="456">
        <f t="shared" si="174"/>
        <v>0.1573929602695143</v>
      </c>
      <c r="BU40" s="456">
        <f t="shared" si="175"/>
        <v>15.935466327996439</v>
      </c>
      <c r="BV40" s="456">
        <f t="shared" si="176"/>
        <v>16.555738480540739</v>
      </c>
      <c r="BW40" s="456">
        <f t="shared" si="177"/>
        <v>1.8140438204637883</v>
      </c>
      <c r="BX40" s="144">
        <f t="shared" si="110"/>
        <v>18369.782301004529</v>
      </c>
      <c r="BY40" s="150">
        <f t="shared" si="45"/>
        <v>23.238880573411311</v>
      </c>
      <c r="BZ40" s="5">
        <f t="shared" si="111"/>
        <v>42</v>
      </c>
      <c r="CA40" s="150">
        <f t="shared" si="112"/>
        <v>0.64378787052819963</v>
      </c>
      <c r="CB40" s="5">
        <f t="shared" si="113"/>
        <v>64.378787052819959</v>
      </c>
      <c r="CE40" s="59">
        <f t="shared" si="178"/>
        <v>-50</v>
      </c>
      <c r="CF40">
        <f t="shared" si="179"/>
        <v>-50</v>
      </c>
      <c r="CG40" s="150">
        <f t="shared" si="180"/>
        <v>0.39183329788742222</v>
      </c>
      <c r="CI40" s="147">
        <v>35</v>
      </c>
      <c r="CJ40" s="188">
        <f t="shared" si="114"/>
        <v>1.4</v>
      </c>
      <c r="CK40" s="188"/>
      <c r="CL40" s="188">
        <f t="shared" si="49"/>
        <v>42</v>
      </c>
      <c r="CM40" s="465">
        <f t="shared" si="50"/>
        <v>34</v>
      </c>
      <c r="CN40" s="149">
        <f t="shared" si="51"/>
        <v>30.4</v>
      </c>
      <c r="CO40" s="379">
        <f t="shared" si="52"/>
        <v>64.400000000000006</v>
      </c>
      <c r="CP40" s="379"/>
      <c r="CQ40" s="188">
        <f t="shared" si="53"/>
        <v>0.47204968944099374</v>
      </c>
      <c r="CR40" s="149">
        <f t="shared" si="54"/>
        <v>244.918674788055</v>
      </c>
      <c r="CS40" s="149">
        <f t="shared" si="115"/>
        <v>42</v>
      </c>
      <c r="CT40" s="188">
        <f t="shared" si="55"/>
        <v>8.1639558262685004</v>
      </c>
      <c r="CU40" s="188">
        <f t="shared" si="56"/>
        <v>30</v>
      </c>
      <c r="CV40" s="188">
        <f t="shared" si="57"/>
        <v>8.1059037580776696</v>
      </c>
      <c r="CW40" s="149">
        <f t="shared" si="58"/>
        <v>334.00603708760769</v>
      </c>
      <c r="CX40" s="149">
        <f t="shared" si="59"/>
        <v>30</v>
      </c>
      <c r="CY40" s="188">
        <f t="shared" si="60"/>
        <v>5.2337461300309602</v>
      </c>
      <c r="CZ40" s="188">
        <f t="shared" si="61"/>
        <v>0.72348843562192677</v>
      </c>
      <c r="DA40" s="188">
        <f t="shared" si="62"/>
        <v>0.80916469773504973</v>
      </c>
      <c r="DB40" s="172">
        <f t="shared" si="63"/>
        <v>350</v>
      </c>
      <c r="DC40" s="379">
        <f t="shared" si="116"/>
        <v>350</v>
      </c>
      <c r="DE40" s="188">
        <f t="shared" si="64"/>
        <v>9.7566501161056465</v>
      </c>
      <c r="DF40" s="150">
        <f t="shared" si="65"/>
        <v>1.5084294587400178</v>
      </c>
      <c r="DG40" s="150">
        <f t="shared" si="66"/>
        <v>2.5755132294067704</v>
      </c>
      <c r="DH40" s="150"/>
      <c r="DI40" s="150">
        <f t="shared" si="67"/>
        <v>0.93700159489633172</v>
      </c>
      <c r="DJ40" s="314">
        <f t="shared" si="117"/>
        <v>493.06212765957446</v>
      </c>
      <c r="DK40" s="456">
        <f t="shared" si="68"/>
        <v>0.99378957034459414</v>
      </c>
      <c r="DM40" s="150">
        <f t="shared" si="69"/>
        <v>7.1933775690605746</v>
      </c>
      <c r="DN40" s="150">
        <f t="shared" si="70"/>
        <v>7.1933775690605746</v>
      </c>
      <c r="DO40" s="150">
        <f t="shared" si="71"/>
        <v>2.0390900062626027</v>
      </c>
      <c r="DQ40" s="314">
        <f t="shared" si="72"/>
        <v>1400</v>
      </c>
      <c r="DR40" s="144">
        <f t="shared" si="73"/>
        <v>350</v>
      </c>
      <c r="DT40">
        <f t="shared" si="74"/>
        <v>1400</v>
      </c>
      <c r="DU40" s="144">
        <f t="shared" si="75"/>
        <v>350</v>
      </c>
      <c r="DV40" s="144"/>
      <c r="DW40" s="5">
        <f t="shared" si="118"/>
        <v>2.8571428571428572</v>
      </c>
      <c r="DX40" s="5">
        <f t="shared" si="76"/>
        <v>0.99437866395837349</v>
      </c>
      <c r="DY40" s="5">
        <f t="shared" si="119"/>
        <v>1.8627641931844838</v>
      </c>
      <c r="DZ40" s="5">
        <f t="shared" si="77"/>
        <v>1.1121340320587074</v>
      </c>
      <c r="EA40" s="150">
        <f t="shared" si="120"/>
        <v>0.34803253238543069</v>
      </c>
      <c r="EB40" s="150">
        <f t="shared" si="78"/>
        <v>42.559999999999995</v>
      </c>
      <c r="EC40" s="150">
        <f t="shared" si="79"/>
        <v>2.3449240786479346</v>
      </c>
      <c r="ED40" s="150">
        <f t="shared" si="121"/>
        <v>18.149841347759015</v>
      </c>
      <c r="EE40" s="144">
        <f t="shared" si="80"/>
        <v>4.6404337651390755</v>
      </c>
      <c r="EF40" s="5">
        <f t="shared" si="81"/>
        <v>1.3535656767084485</v>
      </c>
      <c r="EG40" s="5"/>
      <c r="EH40" s="150">
        <f t="shared" si="122"/>
        <v>2.4500906319339593</v>
      </c>
      <c r="EI40" s="150">
        <f t="shared" si="82"/>
        <v>3.3533987006713142</v>
      </c>
      <c r="EJ40" s="150"/>
      <c r="EK40" s="456">
        <f t="shared" si="83"/>
        <v>7.2035329256286584E-2</v>
      </c>
      <c r="EL40" s="456">
        <f t="shared" si="84"/>
        <v>3.0806358777258822</v>
      </c>
      <c r="EM40" s="456">
        <f t="shared" si="85"/>
        <v>4.0250000000000001E-2</v>
      </c>
      <c r="EN40" s="456">
        <f t="shared" si="86"/>
        <v>0.75119058000000016</v>
      </c>
      <c r="EO40">
        <f t="shared" si="87"/>
        <v>1.5299999999999999E-2</v>
      </c>
      <c r="EP40" s="144">
        <f t="shared" si="123"/>
        <v>55.550000000000004</v>
      </c>
      <c r="EQ40" s="456">
        <f t="shared" si="88"/>
        <v>4.0481477806838635</v>
      </c>
      <c r="ER40" s="144">
        <f t="shared" si="124"/>
        <v>4048.1477806838634</v>
      </c>
      <c r="ES40" s="456">
        <f t="shared" si="125"/>
        <v>0.93883999999999979</v>
      </c>
      <c r="ET40" s="456"/>
      <c r="EV40" s="144">
        <f t="shared" si="126"/>
        <v>938.8399999999998</v>
      </c>
      <c r="EW40" s="456">
        <f t="shared" si="89"/>
        <v>8.4041217465667672E-2</v>
      </c>
      <c r="EX40" s="456">
        <f t="shared" si="90"/>
        <v>0.15743395983929681</v>
      </c>
      <c r="EY40" s="456">
        <f t="shared" si="91"/>
        <v>15.902750893170213</v>
      </c>
      <c r="EZ40" s="456">
        <f t="shared" si="92"/>
        <v>16.521339585486032</v>
      </c>
      <c r="FA40" s="456">
        <f t="shared" si="93"/>
        <v>1.8110638297872339</v>
      </c>
      <c r="FB40" s="144">
        <f t="shared" si="127"/>
        <v>18332.403415273267</v>
      </c>
      <c r="FC40" s="150">
        <f t="shared" si="128"/>
        <v>23.319391195957127</v>
      </c>
      <c r="FD40" s="5">
        <f t="shared" si="129"/>
        <v>42</v>
      </c>
      <c r="FE40" s="150">
        <f t="shared" si="130"/>
        <v>0.64299435789290615</v>
      </c>
      <c r="FF40" s="5">
        <f t="shared" si="131"/>
        <v>64.299435789290612</v>
      </c>
      <c r="FI40" s="59">
        <f t="shared" si="94"/>
        <v>-50</v>
      </c>
      <c r="FJ40">
        <f t="shared" si="95"/>
        <v>-50</v>
      </c>
      <c r="FL40">
        <f t="shared" si="181"/>
        <v>0.38924691122054755</v>
      </c>
    </row>
    <row r="41" spans="5:168">
      <c r="E41" s="147">
        <v>36</v>
      </c>
      <c r="F41" s="188">
        <f t="shared" si="182"/>
        <v>1.44</v>
      </c>
      <c r="G41" s="188"/>
      <c r="H41" s="188">
        <f t="shared" si="132"/>
        <v>43.199999999999996</v>
      </c>
      <c r="I41" s="465">
        <f t="shared" si="133"/>
        <v>33.90578560309811</v>
      </c>
      <c r="J41" s="149">
        <f t="shared" si="134"/>
        <v>30.450730829101015</v>
      </c>
      <c r="K41" s="149">
        <f t="shared" si="135"/>
        <v>64.450730829101019</v>
      </c>
      <c r="L41" s="379"/>
      <c r="M41" s="188">
        <f t="shared" si="136"/>
        <v>0.47315967531406072</v>
      </c>
      <c r="N41" s="149">
        <f t="shared" si="137"/>
        <v>244.81431248244562</v>
      </c>
      <c r="O41" s="149">
        <f t="shared" si="98"/>
        <v>43.199999999999996</v>
      </c>
      <c r="P41" s="188">
        <f t="shared" si="138"/>
        <v>8.1604770827481872</v>
      </c>
      <c r="Q41" s="188">
        <f t="shared" si="139"/>
        <v>30</v>
      </c>
      <c r="R41" s="188">
        <f t="shared" si="140"/>
        <v>8.1024497511262901</v>
      </c>
      <c r="S41" s="149">
        <f t="shared" si="141"/>
        <v>322.8889601013006</v>
      </c>
      <c r="T41" s="149">
        <f t="shared" si="142"/>
        <v>30</v>
      </c>
      <c r="U41" s="188">
        <f t="shared" si="143"/>
        <v>5.4665519419319875</v>
      </c>
      <c r="V41" s="188">
        <f t="shared" si="11"/>
        <v>0.75777020558794195</v>
      </c>
      <c r="W41" s="188">
        <f t="shared" si="144"/>
        <v>0.84374967127312317</v>
      </c>
      <c r="X41" s="172">
        <f t="shared" si="145"/>
        <v>350</v>
      </c>
      <c r="Y41" s="379">
        <f t="shared" si="14"/>
        <v>350</v>
      </c>
      <c r="AA41" s="188">
        <f t="shared" si="146"/>
        <v>9.7524358328312797</v>
      </c>
      <c r="AB41" s="150">
        <f t="shared" si="147"/>
        <v>1.5052659547501648</v>
      </c>
      <c r="AC41" s="150">
        <f t="shared" si="148"/>
        <v>2.5690016861331371</v>
      </c>
      <c r="AD41" s="150"/>
      <c r="AE41" s="150">
        <f t="shared" si="149"/>
        <v>0.9354405529612515</v>
      </c>
      <c r="AF41" s="314">
        <f t="shared" si="150"/>
        <v>507.99593677620271</v>
      </c>
      <c r="AG41" s="456">
        <f t="shared" si="151"/>
        <v>0.99213391980738785</v>
      </c>
      <c r="AI41" s="150">
        <f t="shared" si="152"/>
        <v>7.3015010651331407</v>
      </c>
      <c r="AJ41" s="150">
        <f t="shared" si="153"/>
        <v>7.3015010651331407</v>
      </c>
      <c r="AK41" s="150">
        <f t="shared" si="154"/>
        <v>2.1191814848348742</v>
      </c>
      <c r="AM41" s="314">
        <f t="shared" si="155"/>
        <v>1440</v>
      </c>
      <c r="AN41" s="144">
        <f t="shared" si="156"/>
        <v>350</v>
      </c>
      <c r="AP41">
        <f t="shared" si="157"/>
        <v>1440</v>
      </c>
      <c r="AQ41" s="144">
        <f t="shared" si="158"/>
        <v>350</v>
      </c>
      <c r="AR41" s="144"/>
      <c r="AS41" s="5">
        <f t="shared" si="101"/>
        <v>2.8571428571428572</v>
      </c>
      <c r="AT41" s="5">
        <f t="shared" si="159"/>
        <v>1.0121297706486434</v>
      </c>
      <c r="AU41" s="5">
        <f t="shared" si="102"/>
        <v>1.8450130864942138</v>
      </c>
      <c r="AV41" s="5">
        <f t="shared" si="160"/>
        <v>1.1269698319795265</v>
      </c>
      <c r="AW41" s="150">
        <f t="shared" si="103"/>
        <v>0.35424541972702517</v>
      </c>
      <c r="AX41" s="150">
        <f t="shared" si="161"/>
        <v>43.849052393905467</v>
      </c>
      <c r="AY41" s="150">
        <f t="shared" si="162"/>
        <v>2.3574888778388652</v>
      </c>
      <c r="AZ41" s="150">
        <f t="shared" si="104"/>
        <v>18.599897885457832</v>
      </c>
      <c r="BA41" s="144">
        <f t="shared" si="163"/>
        <v>4.8582228991134881</v>
      </c>
      <c r="BB41" s="5">
        <f t="shared" si="164"/>
        <v>1.3828034832197087</v>
      </c>
      <c r="BC41" s="5"/>
      <c r="BD41" s="150">
        <f t="shared" si="105"/>
        <v>2.5090172511018718</v>
      </c>
      <c r="BE41" s="150">
        <f t="shared" si="165"/>
        <v>3.387546560819497</v>
      </c>
      <c r="BF41" s="150"/>
      <c r="BG41" s="456">
        <f t="shared" si="166"/>
        <v>7.5542010795921516E-2</v>
      </c>
      <c r="BH41" s="456">
        <f t="shared" si="167"/>
        <v>3.0058749722051927</v>
      </c>
      <c r="BI41" s="456">
        <f t="shared" si="168"/>
        <v>4.0250000000000001E-2</v>
      </c>
      <c r="BJ41" s="456">
        <f t="shared" si="169"/>
        <v>0.75237454058539777</v>
      </c>
      <c r="BK41">
        <f t="shared" si="170"/>
        <v>1.525760352139415E-2</v>
      </c>
      <c r="BL41" s="144">
        <f t="shared" si="106"/>
        <v>55.507603521394152</v>
      </c>
      <c r="BM41" s="456">
        <f t="shared" si="171"/>
        <v>3.9246301974237339</v>
      </c>
      <c r="BN41" s="144">
        <f t="shared" si="107"/>
        <v>3924.630197423734</v>
      </c>
      <c r="BO41" s="456">
        <f t="shared" si="172"/>
        <v>0.96566399999999997</v>
      </c>
      <c r="BP41" s="456"/>
      <c r="BR41" s="144">
        <f t="shared" si="109"/>
        <v>965.66399999999999</v>
      </c>
      <c r="BS41" s="456">
        <f t="shared" si="173"/>
        <v>8.8132345928575107E-2</v>
      </c>
      <c r="BT41" s="456">
        <f t="shared" si="174"/>
        <v>0.16065660382408004</v>
      </c>
      <c r="BU41" s="456">
        <f t="shared" si="175"/>
        <v>16.507089175472306</v>
      </c>
      <c r="BV41" s="456">
        <f t="shared" si="176"/>
        <v>17.157066558764921</v>
      </c>
      <c r="BW41" s="456">
        <f t="shared" si="177"/>
        <v>1.8659171231449136</v>
      </c>
      <c r="BX41" s="144">
        <f t="shared" si="110"/>
        <v>19022.983681909835</v>
      </c>
      <c r="BY41" s="150">
        <f t="shared" si="45"/>
        <v>23.968785482854965</v>
      </c>
      <c r="BZ41" s="5">
        <f t="shared" si="111"/>
        <v>43.199999999999996</v>
      </c>
      <c r="CA41" s="150">
        <f t="shared" si="112"/>
        <v>0.64315588988916483</v>
      </c>
      <c r="CB41" s="5">
        <f t="shared" si="113"/>
        <v>64.315588988916488</v>
      </c>
      <c r="CE41" s="59">
        <f t="shared" si="178"/>
        <v>-50</v>
      </c>
      <c r="CF41">
        <f t="shared" si="179"/>
        <v>-50</v>
      </c>
      <c r="CG41" s="150">
        <f t="shared" si="180"/>
        <v>0.39739149462463336</v>
      </c>
      <c r="CI41" s="147">
        <v>36</v>
      </c>
      <c r="CJ41" s="188">
        <f t="shared" si="114"/>
        <v>1.44</v>
      </c>
      <c r="CK41" s="188"/>
      <c r="CL41" s="188">
        <f t="shared" si="49"/>
        <v>43.199999999999996</v>
      </c>
      <c r="CM41" s="465">
        <f t="shared" si="50"/>
        <v>34</v>
      </c>
      <c r="CN41" s="149">
        <f t="shared" si="51"/>
        <v>30.4</v>
      </c>
      <c r="CO41" s="379">
        <f t="shared" si="52"/>
        <v>64.400000000000006</v>
      </c>
      <c r="CP41" s="379"/>
      <c r="CQ41" s="188">
        <f t="shared" si="53"/>
        <v>0.47204968944099374</v>
      </c>
      <c r="CR41" s="149">
        <f t="shared" si="54"/>
        <v>244.918674788055</v>
      </c>
      <c r="CS41" s="149">
        <f t="shared" si="115"/>
        <v>43.199999999999996</v>
      </c>
      <c r="CT41" s="188">
        <f t="shared" si="55"/>
        <v>8.1639558262685004</v>
      </c>
      <c r="CU41" s="188">
        <f t="shared" si="56"/>
        <v>30</v>
      </c>
      <c r="CV41" s="188">
        <f t="shared" si="57"/>
        <v>8.1059037580776696</v>
      </c>
      <c r="CW41" s="149">
        <f t="shared" si="58"/>
        <v>323.78605896200878</v>
      </c>
      <c r="CX41" s="149">
        <f t="shared" si="59"/>
        <v>30</v>
      </c>
      <c r="CY41" s="188">
        <f t="shared" si="60"/>
        <v>5.3832817337461298</v>
      </c>
      <c r="CZ41" s="188">
        <f t="shared" si="61"/>
        <v>0.74415953378255317</v>
      </c>
      <c r="DA41" s="188">
        <f t="shared" si="62"/>
        <v>0.83228368909890826</v>
      </c>
      <c r="DB41" s="172">
        <f t="shared" si="63"/>
        <v>350</v>
      </c>
      <c r="DC41" s="379">
        <f t="shared" si="116"/>
        <v>350</v>
      </c>
      <c r="DE41" s="188">
        <f t="shared" si="64"/>
        <v>9.7566501161056465</v>
      </c>
      <c r="DF41" s="150">
        <f t="shared" si="65"/>
        <v>1.5084294587400178</v>
      </c>
      <c r="DG41" s="150">
        <f t="shared" si="66"/>
        <v>2.5755132294067704</v>
      </c>
      <c r="DH41" s="150"/>
      <c r="DI41" s="150">
        <f t="shared" si="67"/>
        <v>0.93700159489633172</v>
      </c>
      <c r="DJ41" s="314">
        <f t="shared" si="117"/>
        <v>507.14961702127664</v>
      </c>
      <c r="DK41" s="456">
        <f t="shared" si="68"/>
        <v>0.99378957034459414</v>
      </c>
      <c r="DM41" s="150">
        <f t="shared" si="69"/>
        <v>7.2954163900322619</v>
      </c>
      <c r="DN41" s="150">
        <f t="shared" si="70"/>
        <v>7.2954163900322619</v>
      </c>
      <c r="DO41" s="150">
        <f t="shared" si="71"/>
        <v>2.1146743180934826</v>
      </c>
      <c r="DQ41" s="314">
        <f t="shared" si="72"/>
        <v>1440</v>
      </c>
      <c r="DR41" s="144">
        <f t="shared" si="73"/>
        <v>350</v>
      </c>
      <c r="DT41">
        <f t="shared" si="74"/>
        <v>1440</v>
      </c>
      <c r="DU41" s="144">
        <f t="shared" si="75"/>
        <v>350</v>
      </c>
      <c r="DV41" s="144"/>
      <c r="DW41" s="5">
        <f t="shared" si="118"/>
        <v>2.8571428571428572</v>
      </c>
      <c r="DX41" s="5">
        <f t="shared" si="76"/>
        <v>1.0084840303868126</v>
      </c>
      <c r="DY41" s="5">
        <f t="shared" si="119"/>
        <v>1.8486588267560446</v>
      </c>
      <c r="DZ41" s="5">
        <f t="shared" si="77"/>
        <v>1.1279097708273562</v>
      </c>
      <c r="EA41" s="150">
        <f t="shared" si="120"/>
        <v>0.3529694106353844</v>
      </c>
      <c r="EB41" s="150">
        <f t="shared" si="78"/>
        <v>43.775999999999996</v>
      </c>
      <c r="EC41" s="150">
        <f t="shared" si="79"/>
        <v>2.3601787832514254</v>
      </c>
      <c r="ED41" s="150">
        <f t="shared" si="121"/>
        <v>18.547747446358017</v>
      </c>
      <c r="EE41" s="144">
        <f t="shared" si="80"/>
        <v>4.8407233458567012</v>
      </c>
      <c r="EF41" s="5">
        <f t="shared" si="81"/>
        <v>1.3816965625581508</v>
      </c>
      <c r="EG41" s="5"/>
      <c r="EH41" s="150">
        <f t="shared" si="122"/>
        <v>2.5024072641141411</v>
      </c>
      <c r="EI41" s="150">
        <f t="shared" si="82"/>
        <v>3.3880660145810668</v>
      </c>
      <c r="EJ41" s="150"/>
      <c r="EK41" s="456">
        <f t="shared" si="83"/>
        <v>7.514450538589465E-2</v>
      </c>
      <c r="EL41" s="456">
        <f t="shared" si="84"/>
        <v>3.1243350231952163</v>
      </c>
      <c r="EM41" s="456">
        <f t="shared" si="85"/>
        <v>4.0250000000000001E-2</v>
      </c>
      <c r="EN41" s="456">
        <f t="shared" si="86"/>
        <v>0.75119058000000016</v>
      </c>
      <c r="EO41">
        <f t="shared" si="87"/>
        <v>1.5299999999999999E-2</v>
      </c>
      <c r="EP41" s="144">
        <f t="shared" si="123"/>
        <v>55.550000000000004</v>
      </c>
      <c r="EQ41" s="456">
        <f t="shared" si="88"/>
        <v>4.0997066589935809</v>
      </c>
      <c r="ER41" s="144">
        <f t="shared" si="124"/>
        <v>4099.7066589935812</v>
      </c>
      <c r="ES41" s="456">
        <f t="shared" si="125"/>
        <v>0.96566399999999997</v>
      </c>
      <c r="ET41" s="456"/>
      <c r="EV41" s="144">
        <f t="shared" si="126"/>
        <v>965.66399999999999</v>
      </c>
      <c r="EW41" s="456">
        <f t="shared" si="89"/>
        <v>8.7668589616877082E-2</v>
      </c>
      <c r="EX41" s="456">
        <f t="shared" si="90"/>
        <v>0.16070587846822926</v>
      </c>
      <c r="EY41" s="456">
        <f t="shared" si="91"/>
        <v>16.472720383969939</v>
      </c>
      <c r="EZ41" s="456">
        <f t="shared" si="92"/>
        <v>17.120896203408421</v>
      </c>
      <c r="FA41" s="456">
        <f t="shared" si="93"/>
        <v>1.8628085106382979</v>
      </c>
      <c r="FB41" s="144">
        <f t="shared" si="127"/>
        <v>18983.704714046718</v>
      </c>
      <c r="FC41" s="150">
        <f t="shared" si="128"/>
        <v>24.049075373040299</v>
      </c>
      <c r="FD41" s="5">
        <f t="shared" si="129"/>
        <v>43.199999999999996</v>
      </c>
      <c r="FE41" s="150">
        <f t="shared" si="130"/>
        <v>0.64238801441303661</v>
      </c>
      <c r="FF41" s="5">
        <f t="shared" si="131"/>
        <v>64.238801441303664</v>
      </c>
      <c r="FI41" s="59">
        <f t="shared" si="94"/>
        <v>-50</v>
      </c>
      <c r="FJ41">
        <f t="shared" si="95"/>
        <v>-50</v>
      </c>
      <c r="FL41">
        <f t="shared" si="181"/>
        <v>0.39476841978957472</v>
      </c>
    </row>
    <row r="42" spans="5:168">
      <c r="E42" s="147">
        <v>37</v>
      </c>
      <c r="F42" s="188">
        <f t="shared" si="182"/>
        <v>1.48</v>
      </c>
      <c r="G42" s="188"/>
      <c r="H42" s="188">
        <f t="shared" si="132"/>
        <v>44.4</v>
      </c>
      <c r="I42" s="465">
        <f t="shared" si="133"/>
        <v>33.904486032785094</v>
      </c>
      <c r="J42" s="149">
        <f t="shared" si="134"/>
        <v>30.451430597731104</v>
      </c>
      <c r="K42" s="149">
        <f t="shared" si="135"/>
        <v>64.451430597731104</v>
      </c>
      <c r="L42" s="379"/>
      <c r="M42" s="188">
        <f t="shared" si="136"/>
        <v>0.4731749965937902</v>
      </c>
      <c r="N42" s="149">
        <f t="shared" si="137"/>
        <v>244.81285600221298</v>
      </c>
      <c r="O42" s="149">
        <f t="shared" si="98"/>
        <v>44.4</v>
      </c>
      <c r="P42" s="188">
        <f t="shared" si="138"/>
        <v>8.1604285334070994</v>
      </c>
      <c r="Q42" s="188">
        <f t="shared" si="139"/>
        <v>30</v>
      </c>
      <c r="R42" s="188">
        <f t="shared" si="140"/>
        <v>8.1024015470087338</v>
      </c>
      <c r="S42" s="149">
        <f t="shared" si="141"/>
        <v>313.23627734119844</v>
      </c>
      <c r="T42" s="149">
        <f t="shared" si="142"/>
        <v>30</v>
      </c>
      <c r="U42" s="188">
        <f t="shared" si="143"/>
        <v>5.6185640029649173</v>
      </c>
      <c r="V42" s="188">
        <f t="shared" si="11"/>
        <v>0.77887188109560856</v>
      </c>
      <c r="W42" s="188">
        <f t="shared" si="144"/>
        <v>0.8671924535428126</v>
      </c>
      <c r="X42" s="172">
        <f t="shared" si="145"/>
        <v>350</v>
      </c>
      <c r="Y42" s="379">
        <f t="shared" si="14"/>
        <v>350</v>
      </c>
      <c r="AA42" s="188">
        <f t="shared" si="146"/>
        <v>9.7523770308755555</v>
      </c>
      <c r="AB42" s="150">
        <f t="shared" si="147"/>
        <v>1.5052222882602535</v>
      </c>
      <c r="AC42" s="150">
        <f t="shared" si="148"/>
        <v>2.5689116723184671</v>
      </c>
      <c r="AD42" s="150"/>
      <c r="AE42" s="150">
        <f t="shared" si="149"/>
        <v>0.93541905669846759</v>
      </c>
      <c r="AF42" s="314">
        <f t="shared" si="150"/>
        <v>522.11893322314029</v>
      </c>
      <c r="AG42" s="456">
        <f t="shared" si="151"/>
        <v>0.99211112074079877</v>
      </c>
      <c r="AI42" s="150">
        <f t="shared" si="152"/>
        <v>7.4023012346130468</v>
      </c>
      <c r="AJ42" s="150">
        <f t="shared" si="153"/>
        <v>7.4023012346130468</v>
      </c>
      <c r="AK42" s="150">
        <f t="shared" si="154"/>
        <v>2.1938482770422119</v>
      </c>
      <c r="AM42" s="314">
        <f t="shared" si="155"/>
        <v>1480</v>
      </c>
      <c r="AN42" s="144">
        <f t="shared" si="156"/>
        <v>350</v>
      </c>
      <c r="AP42">
        <f t="shared" si="157"/>
        <v>1480</v>
      </c>
      <c r="AQ42" s="144">
        <f t="shared" si="158"/>
        <v>350</v>
      </c>
      <c r="AR42" s="144"/>
      <c r="AS42" s="5">
        <f t="shared" si="101"/>
        <v>2.8571428571428572</v>
      </c>
      <c r="AT42" s="5">
        <f t="shared" si="159"/>
        <v>1.026141961539814</v>
      </c>
      <c r="AU42" s="5">
        <f t="shared" si="102"/>
        <v>1.8310008956030432</v>
      </c>
      <c r="AV42" s="5">
        <f t="shared" si="160"/>
        <v>1.1425018503161404</v>
      </c>
      <c r="AW42" s="150">
        <f t="shared" si="103"/>
        <v>0.35914968653893486</v>
      </c>
      <c r="AX42" s="150">
        <f t="shared" si="161"/>
        <v>45.068117284642028</v>
      </c>
      <c r="AY42" s="150">
        <f t="shared" si="162"/>
        <v>2.3718835332675003</v>
      </c>
      <c r="AZ42" s="150">
        <f t="shared" si="104"/>
        <v>19.00098240597687</v>
      </c>
      <c r="BA42" s="144">
        <f t="shared" si="163"/>
        <v>5.0623003435964158</v>
      </c>
      <c r="BB42" s="5">
        <f t="shared" si="164"/>
        <v>1.4104751539223306</v>
      </c>
      <c r="BC42" s="5"/>
      <c r="BD42" s="150">
        <f t="shared" si="105"/>
        <v>2.5612022407862218</v>
      </c>
      <c r="BE42" s="150">
        <f t="shared" si="165"/>
        <v>3.4212469857898666</v>
      </c>
      <c r="BF42" s="150"/>
      <c r="BG42" s="456">
        <f t="shared" si="166"/>
        <v>7.8717083018500361E-2</v>
      </c>
      <c r="BH42" s="456">
        <f t="shared" si="167"/>
        <v>3.0474053761278603</v>
      </c>
      <c r="BI42" s="456">
        <f t="shared" si="168"/>
        <v>4.0250000000000001E-2</v>
      </c>
      <c r="BJ42" s="456">
        <f t="shared" si="169"/>
        <v>0.75239087836630292</v>
      </c>
      <c r="BK42">
        <f t="shared" si="170"/>
        <v>1.5257018714753292E-2</v>
      </c>
      <c r="BL42" s="144">
        <f t="shared" si="106"/>
        <v>55.507018714753286</v>
      </c>
      <c r="BM42" s="456">
        <f t="shared" si="171"/>
        <v>3.9740951628237053</v>
      </c>
      <c r="BN42" s="144">
        <f t="shared" si="107"/>
        <v>3974.0951628237053</v>
      </c>
      <c r="BO42" s="456">
        <f t="shared" si="172"/>
        <v>0.99248800000000004</v>
      </c>
      <c r="BP42" s="456"/>
      <c r="BR42" s="144">
        <f t="shared" si="109"/>
        <v>992.48800000000006</v>
      </c>
      <c r="BS42" s="456">
        <f t="shared" si="173"/>
        <v>9.1836596854917088E-2</v>
      </c>
      <c r="BT42" s="456">
        <f t="shared" si="174"/>
        <v>0.1638690331288675</v>
      </c>
      <c r="BU42" s="456">
        <f t="shared" si="175"/>
        <v>17.082719183719796</v>
      </c>
      <c r="BV42" s="456">
        <f t="shared" si="176"/>
        <v>17.763165478433208</v>
      </c>
      <c r="BW42" s="456">
        <f t="shared" si="177"/>
        <v>1.9177922248783843</v>
      </c>
      <c r="BX42" s="144">
        <f t="shared" si="110"/>
        <v>19680.957703311593</v>
      </c>
      <c r="BY42" s="150">
        <f t="shared" si="45"/>
        <v>24.703047884850051</v>
      </c>
      <c r="BZ42" s="5">
        <f t="shared" si="111"/>
        <v>44.4</v>
      </c>
      <c r="CA42" s="150">
        <f t="shared" si="112"/>
        <v>0.64251869286555929</v>
      </c>
      <c r="CB42" s="5">
        <f t="shared" si="113"/>
        <v>64.25186928655593</v>
      </c>
      <c r="CE42" s="59">
        <f t="shared" si="178"/>
        <v>-50</v>
      </c>
      <c r="CF42">
        <f t="shared" si="179"/>
        <v>-50</v>
      </c>
      <c r="CG42" s="150">
        <f t="shared" si="180"/>
        <v>0.40287301556032101</v>
      </c>
      <c r="CI42" s="147">
        <v>37</v>
      </c>
      <c r="CJ42" s="188">
        <f t="shared" si="114"/>
        <v>1.48</v>
      </c>
      <c r="CK42" s="188"/>
      <c r="CL42" s="188">
        <f t="shared" si="49"/>
        <v>44.4</v>
      </c>
      <c r="CM42" s="465">
        <f t="shared" si="50"/>
        <v>34</v>
      </c>
      <c r="CN42" s="149">
        <f t="shared" si="51"/>
        <v>30.4</v>
      </c>
      <c r="CO42" s="379">
        <f t="shared" si="52"/>
        <v>64.400000000000006</v>
      </c>
      <c r="CP42" s="379"/>
      <c r="CQ42" s="188">
        <f t="shared" si="53"/>
        <v>0.47204968944099374</v>
      </c>
      <c r="CR42" s="149">
        <f t="shared" si="54"/>
        <v>244.918674788055</v>
      </c>
      <c r="CS42" s="149">
        <f t="shared" si="115"/>
        <v>44.4</v>
      </c>
      <c r="CT42" s="188">
        <f t="shared" si="55"/>
        <v>8.1639558262685004</v>
      </c>
      <c r="CU42" s="188">
        <f t="shared" si="56"/>
        <v>30</v>
      </c>
      <c r="CV42" s="188">
        <f t="shared" si="57"/>
        <v>8.1059037580776696</v>
      </c>
      <c r="CW42" s="149">
        <f t="shared" si="58"/>
        <v>314.11858876281741</v>
      </c>
      <c r="CX42" s="149">
        <f t="shared" si="59"/>
        <v>30</v>
      </c>
      <c r="CY42" s="188">
        <f t="shared" si="60"/>
        <v>5.5328173374613003</v>
      </c>
      <c r="CZ42" s="188">
        <f t="shared" si="61"/>
        <v>0.7648306319431798</v>
      </c>
      <c r="DA42" s="188">
        <f t="shared" si="62"/>
        <v>0.85540268046276691</v>
      </c>
      <c r="DB42" s="172">
        <f t="shared" si="63"/>
        <v>350</v>
      </c>
      <c r="DC42" s="379">
        <f t="shared" si="116"/>
        <v>350</v>
      </c>
      <c r="DE42" s="188">
        <f t="shared" si="64"/>
        <v>9.7566501161056465</v>
      </c>
      <c r="DF42" s="150">
        <f t="shared" si="65"/>
        <v>1.5084294587400178</v>
      </c>
      <c r="DG42" s="150">
        <f t="shared" si="66"/>
        <v>2.5755132294067704</v>
      </c>
      <c r="DH42" s="150"/>
      <c r="DI42" s="150">
        <f t="shared" si="67"/>
        <v>0.93700159489633172</v>
      </c>
      <c r="DJ42" s="314">
        <f t="shared" si="117"/>
        <v>521.23710638297871</v>
      </c>
      <c r="DK42" s="456">
        <f t="shared" si="68"/>
        <v>0.99378957034459414</v>
      </c>
      <c r="DM42" s="150">
        <f t="shared" si="69"/>
        <v>7.3960475767019584</v>
      </c>
      <c r="DN42" s="150">
        <f t="shared" si="70"/>
        <v>7.3960475767019584</v>
      </c>
      <c r="DO42" s="150">
        <f t="shared" si="71"/>
        <v>2.1892159378488132</v>
      </c>
      <c r="DQ42" s="314">
        <f t="shared" si="72"/>
        <v>1480</v>
      </c>
      <c r="DR42" s="144">
        <f t="shared" si="73"/>
        <v>350</v>
      </c>
      <c r="DT42">
        <f t="shared" si="74"/>
        <v>1480</v>
      </c>
      <c r="DU42" s="144">
        <f t="shared" si="75"/>
        <v>350</v>
      </c>
      <c r="DV42" s="144"/>
      <c r="DW42" s="5">
        <f t="shared" si="118"/>
        <v>2.8571428571428572</v>
      </c>
      <c r="DX42" s="5">
        <f t="shared" si="76"/>
        <v>1.022394812073506</v>
      </c>
      <c r="DY42" s="5">
        <f t="shared" si="119"/>
        <v>1.8347480450693512</v>
      </c>
      <c r="DZ42" s="5">
        <f t="shared" si="77"/>
        <v>1.143467881924316</v>
      </c>
      <c r="EA42" s="150">
        <f t="shared" si="120"/>
        <v>0.35783818422572711</v>
      </c>
      <c r="EB42" s="150">
        <f t="shared" si="78"/>
        <v>44.991999999999997</v>
      </c>
      <c r="EC42" s="150">
        <f t="shared" si="79"/>
        <v>2.3747296707039203</v>
      </c>
      <c r="ED42" s="150">
        <f t="shared" si="121"/>
        <v>18.946156505748046</v>
      </c>
      <c r="EE42" s="144">
        <f t="shared" si="80"/>
        <v>5.0438144062292967</v>
      </c>
      <c r="EF42" s="5">
        <f t="shared" si="81"/>
        <v>1.4093912318525812</v>
      </c>
      <c r="EG42" s="5"/>
      <c r="EH42" s="150">
        <f t="shared" si="122"/>
        <v>2.5543617927103286</v>
      </c>
      <c r="EI42" s="150">
        <f t="shared" si="82"/>
        <v>3.4218526781391363</v>
      </c>
      <c r="EJ42" s="150"/>
      <c r="EK42" s="456">
        <f t="shared" si="83"/>
        <v>7.8297170016699891E-2</v>
      </c>
      <c r="EL42" s="456">
        <f t="shared" si="84"/>
        <v>3.1674313351983812</v>
      </c>
      <c r="EM42" s="456">
        <f t="shared" si="85"/>
        <v>4.0250000000000001E-2</v>
      </c>
      <c r="EN42" s="456">
        <f t="shared" si="86"/>
        <v>0.75119058000000016</v>
      </c>
      <c r="EO42">
        <f t="shared" si="87"/>
        <v>1.5299999999999999E-2</v>
      </c>
      <c r="EP42" s="144">
        <f t="shared" si="123"/>
        <v>55.550000000000004</v>
      </c>
      <c r="EQ42" s="456">
        <f t="shared" si="88"/>
        <v>4.1508288826853006</v>
      </c>
      <c r="ER42" s="144">
        <f t="shared" si="124"/>
        <v>4150.8288826853004</v>
      </c>
      <c r="ES42" s="456">
        <f t="shared" si="125"/>
        <v>0.99248800000000004</v>
      </c>
      <c r="ET42" s="456"/>
      <c r="EV42" s="144">
        <f t="shared" si="126"/>
        <v>992.48800000000006</v>
      </c>
      <c r="EW42" s="456">
        <f t="shared" si="89"/>
        <v>9.1346698352816544E-2</v>
      </c>
      <c r="EX42" s="456">
        <f t="shared" si="90"/>
        <v>0.16392706051243172</v>
      </c>
      <c r="EY42" s="456">
        <f t="shared" si="91"/>
        <v>17.046662220197032</v>
      </c>
      <c r="EZ42" s="456">
        <f t="shared" si="92"/>
        <v>17.725183621153832</v>
      </c>
      <c r="FA42" s="456">
        <f t="shared" si="93"/>
        <v>1.9145531914893619</v>
      </c>
      <c r="FB42" s="144">
        <f t="shared" si="127"/>
        <v>19639.736812643194</v>
      </c>
      <c r="FC42" s="150">
        <f t="shared" si="128"/>
        <v>24.783053695328494</v>
      </c>
      <c r="FD42" s="5">
        <f t="shared" si="129"/>
        <v>44.4</v>
      </c>
      <c r="FE42" s="150">
        <f t="shared" si="130"/>
        <v>0.64177566077858827</v>
      </c>
      <c r="FF42" s="5">
        <f t="shared" si="131"/>
        <v>64.177566077858827</v>
      </c>
      <c r="FI42" s="59">
        <f t="shared" si="94"/>
        <v>-50</v>
      </c>
      <c r="FJ42">
        <f t="shared" si="95"/>
        <v>-50</v>
      </c>
      <c r="FL42">
        <f t="shared" si="181"/>
        <v>0.40021375867351061</v>
      </c>
    </row>
    <row r="43" spans="5:168">
      <c r="E43" s="147">
        <v>38</v>
      </c>
      <c r="F43" s="188">
        <f t="shared" si="182"/>
        <v>1.52</v>
      </c>
      <c r="G43" s="188"/>
      <c r="H43" s="188">
        <f t="shared" si="132"/>
        <v>45.6</v>
      </c>
      <c r="I43" s="465">
        <f t="shared" si="133"/>
        <v>33.903203908742789</v>
      </c>
      <c r="J43" s="149">
        <f t="shared" si="134"/>
        <v>30.452120972215422</v>
      </c>
      <c r="K43" s="149">
        <f t="shared" si="135"/>
        <v>64.452120972215425</v>
      </c>
      <c r="L43" s="379"/>
      <c r="M43" s="188">
        <f t="shared" si="136"/>
        <v>0.47319011246846837</v>
      </c>
      <c r="N43" s="149">
        <f t="shared" si="137"/>
        <v>244.8114186228766</v>
      </c>
      <c r="O43" s="149">
        <f t="shared" si="98"/>
        <v>45.6</v>
      </c>
      <c r="P43" s="188">
        <f t="shared" si="138"/>
        <v>8.1603806207625542</v>
      </c>
      <c r="Q43" s="188">
        <f t="shared" si="139"/>
        <v>30</v>
      </c>
      <c r="R43" s="188">
        <f t="shared" si="140"/>
        <v>8.1023539750603124</v>
      </c>
      <c r="S43" s="149">
        <f t="shared" si="141"/>
        <v>304.09193067642406</v>
      </c>
      <c r="T43" s="149">
        <f t="shared" si="142"/>
        <v>30</v>
      </c>
      <c r="U43" s="188">
        <f t="shared" si="143"/>
        <v>5.7705826560023405</v>
      </c>
      <c r="V43" s="188">
        <f t="shared" si="11"/>
        <v>0.79997567652350943</v>
      </c>
      <c r="W43" s="188">
        <f t="shared" si="144"/>
        <v>0.89063545058017246</v>
      </c>
      <c r="X43" s="172">
        <f t="shared" si="145"/>
        <v>350</v>
      </c>
      <c r="Y43" s="379">
        <f t="shared" si="14"/>
        <v>350</v>
      </c>
      <c r="AA43" s="188">
        <f t="shared" si="146"/>
        <v>9.7523190004051159</v>
      </c>
      <c r="AB43" s="150">
        <f t="shared" si="147"/>
        <v>1.5051792071798484</v>
      </c>
      <c r="AC43" s="150">
        <f t="shared" si="148"/>
        <v>2.5688228617090805</v>
      </c>
      <c r="AD43" s="150"/>
      <c r="AE43" s="150">
        <f t="shared" si="149"/>
        <v>0.93539784998352382</v>
      </c>
      <c r="AF43" s="314">
        <f t="shared" si="150"/>
        <v>536.24241279668888</v>
      </c>
      <c r="AG43" s="456">
        <f t="shared" si="151"/>
        <v>0.99208862877040394</v>
      </c>
      <c r="AI43" s="150">
        <f t="shared" si="152"/>
        <v>7.5017504646422228</v>
      </c>
      <c r="AJ43" s="150">
        <f t="shared" si="153"/>
        <v>7.5017504646422228</v>
      </c>
      <c r="AK43" s="150">
        <f t="shared" si="154"/>
        <v>2.26751437336012</v>
      </c>
      <c r="AM43" s="314">
        <f t="shared" si="155"/>
        <v>1520</v>
      </c>
      <c r="AN43" s="144">
        <f t="shared" si="156"/>
        <v>350</v>
      </c>
      <c r="AP43">
        <f t="shared" si="157"/>
        <v>1520</v>
      </c>
      <c r="AQ43" s="144">
        <f t="shared" si="158"/>
        <v>350</v>
      </c>
      <c r="AR43" s="144"/>
      <c r="AS43" s="5">
        <f t="shared" si="101"/>
        <v>2.8571428571428572</v>
      </c>
      <c r="AT43" s="5">
        <f t="shared" si="159"/>
        <v>1.0399674107120664</v>
      </c>
      <c r="AU43" s="5">
        <f t="shared" si="102"/>
        <v>1.8171754464307908</v>
      </c>
      <c r="AV43" s="5">
        <f t="shared" si="160"/>
        <v>1.1578250071969742</v>
      </c>
      <c r="AW43" s="150">
        <f t="shared" si="103"/>
        <v>0.36398859374922327</v>
      </c>
      <c r="AX43" s="150">
        <f t="shared" si="161"/>
        <v>46.287223877767438</v>
      </c>
      <c r="AY43" s="150">
        <f t="shared" si="162"/>
        <v>2.3855994311797586</v>
      </c>
      <c r="AZ43" s="150">
        <f t="shared" si="104"/>
        <v>19.402764467828892</v>
      </c>
      <c r="BA43" s="144">
        <f t="shared" si="163"/>
        <v>5.2691682142744698</v>
      </c>
      <c r="BB43" s="5">
        <f t="shared" si="164"/>
        <v>1.4377124700330566</v>
      </c>
      <c r="BC43" s="5"/>
      <c r="BD43" s="150">
        <f t="shared" si="105"/>
        <v>2.6130388918622347</v>
      </c>
      <c r="BE43" s="150">
        <f t="shared" si="165"/>
        <v>3.4540962774945903</v>
      </c>
      <c r="BF43" s="150"/>
      <c r="BG43" s="456">
        <f t="shared" si="166"/>
        <v>8.1935667004615381E-2</v>
      </c>
      <c r="BH43" s="456">
        <f t="shared" si="167"/>
        <v>3.0883800654775295</v>
      </c>
      <c r="BI43" s="456">
        <f t="shared" si="168"/>
        <v>4.0250000000000001E-2</v>
      </c>
      <c r="BJ43" s="456">
        <f t="shared" si="169"/>
        <v>0.75240699699212066</v>
      </c>
      <c r="BK43">
        <f t="shared" si="170"/>
        <v>1.5256441758934255E-2</v>
      </c>
      <c r="BL43" s="144">
        <f t="shared" si="106"/>
        <v>55.506441758934251</v>
      </c>
      <c r="BM43" s="456">
        <f t="shared" si="171"/>
        <v>4.0231680511246681</v>
      </c>
      <c r="BN43" s="144">
        <f t="shared" si="107"/>
        <v>4023.1680511246682</v>
      </c>
      <c r="BO43" s="456">
        <f t="shared" si="172"/>
        <v>1.0193119999999998</v>
      </c>
      <c r="BP43" s="456"/>
      <c r="BR43" s="144">
        <f t="shared" si="109"/>
        <v>1019.3119999999998</v>
      </c>
      <c r="BS43" s="456">
        <f t="shared" si="173"/>
        <v>9.5591611505384616E-2</v>
      </c>
      <c r="BT43" s="456">
        <f t="shared" si="174"/>
        <v>0.16703093531882782</v>
      </c>
      <c r="BU43" s="456">
        <f t="shared" si="175"/>
        <v>17.662275302078037</v>
      </c>
      <c r="BV43" s="456">
        <f t="shared" si="176"/>
        <v>18.373960565660166</v>
      </c>
      <c r="BW43" s="456">
        <f t="shared" si="177"/>
        <v>1.9696691011815934</v>
      </c>
      <c r="BX43" s="144">
        <f t="shared" si="110"/>
        <v>20343.62966684176</v>
      </c>
      <c r="BY43" s="150">
        <f t="shared" si="45"/>
        <v>25.44161615972536</v>
      </c>
      <c r="BZ43" s="5">
        <f t="shared" si="111"/>
        <v>45.6</v>
      </c>
      <c r="CA43" s="150">
        <f t="shared" si="112"/>
        <v>0.64187728918604436</v>
      </c>
      <c r="CB43" s="5">
        <f t="shared" si="113"/>
        <v>64.187728918604435</v>
      </c>
      <c r="CE43" s="59">
        <f t="shared" si="178"/>
        <v>-50</v>
      </c>
      <c r="CF43">
        <f t="shared" si="179"/>
        <v>-50</v>
      </c>
      <c r="CG43" s="150">
        <f t="shared" si="180"/>
        <v>0.40828094902081008</v>
      </c>
      <c r="CI43" s="147">
        <v>38</v>
      </c>
      <c r="CJ43" s="188">
        <f t="shared" si="114"/>
        <v>1.52</v>
      </c>
      <c r="CK43" s="188"/>
      <c r="CL43" s="188">
        <f t="shared" si="49"/>
        <v>45.6</v>
      </c>
      <c r="CM43" s="465">
        <f t="shared" si="50"/>
        <v>34</v>
      </c>
      <c r="CN43" s="149">
        <f t="shared" si="51"/>
        <v>30.4</v>
      </c>
      <c r="CO43" s="379">
        <f t="shared" si="52"/>
        <v>64.400000000000006</v>
      </c>
      <c r="CP43" s="379"/>
      <c r="CQ43" s="188">
        <f t="shared" si="53"/>
        <v>0.47204968944099374</v>
      </c>
      <c r="CR43" s="149">
        <f t="shared" si="54"/>
        <v>244.918674788055</v>
      </c>
      <c r="CS43" s="149">
        <f t="shared" si="115"/>
        <v>45.6</v>
      </c>
      <c r="CT43" s="188">
        <f t="shared" si="55"/>
        <v>8.1639558262685004</v>
      </c>
      <c r="CU43" s="188">
        <f t="shared" si="56"/>
        <v>30</v>
      </c>
      <c r="CV43" s="188">
        <f t="shared" si="57"/>
        <v>8.1059037580776696</v>
      </c>
      <c r="CW43" s="149">
        <f t="shared" si="58"/>
        <v>304.96000808820804</v>
      </c>
      <c r="CX43" s="149">
        <f t="shared" si="59"/>
        <v>30</v>
      </c>
      <c r="CY43" s="188">
        <f t="shared" si="60"/>
        <v>5.6823529411764708</v>
      </c>
      <c r="CZ43" s="188">
        <f t="shared" si="61"/>
        <v>0.78550173010380619</v>
      </c>
      <c r="DA43" s="188">
        <f t="shared" si="62"/>
        <v>0.87852167182662544</v>
      </c>
      <c r="DB43" s="172">
        <f t="shared" si="63"/>
        <v>350</v>
      </c>
      <c r="DC43" s="379">
        <f t="shared" si="116"/>
        <v>350</v>
      </c>
      <c r="DE43" s="188">
        <f t="shared" si="64"/>
        <v>9.7566501161056465</v>
      </c>
      <c r="DF43" s="150">
        <f t="shared" si="65"/>
        <v>1.5084294587400178</v>
      </c>
      <c r="DG43" s="150">
        <f t="shared" si="66"/>
        <v>2.5755132294067704</v>
      </c>
      <c r="DH43" s="150"/>
      <c r="DI43" s="150">
        <f t="shared" si="67"/>
        <v>0.93700159489633172</v>
      </c>
      <c r="DJ43" s="314">
        <f t="shared" si="117"/>
        <v>535.32459574468089</v>
      </c>
      <c r="DK43" s="456">
        <f t="shared" si="68"/>
        <v>0.99378957034459414</v>
      </c>
      <c r="DM43" s="150">
        <f t="shared" si="69"/>
        <v>7.4953278253673759</v>
      </c>
      <c r="DN43" s="150">
        <f t="shared" si="70"/>
        <v>7.4953278253673759</v>
      </c>
      <c r="DO43" s="150">
        <f t="shared" si="71"/>
        <v>2.2627568627861594</v>
      </c>
      <c r="DQ43" s="314">
        <f t="shared" si="72"/>
        <v>1520</v>
      </c>
      <c r="DR43" s="144">
        <f t="shared" si="73"/>
        <v>350</v>
      </c>
      <c r="DT43">
        <f t="shared" si="74"/>
        <v>1520</v>
      </c>
      <c r="DU43" s="144">
        <f t="shared" si="75"/>
        <v>350</v>
      </c>
      <c r="DV43" s="144"/>
      <c r="DW43" s="5">
        <f t="shared" si="118"/>
        <v>2.8571428571428572</v>
      </c>
      <c r="DX43" s="5">
        <f t="shared" si="76"/>
        <v>1.0361188464478432</v>
      </c>
      <c r="DY43" s="5">
        <f t="shared" si="119"/>
        <v>1.821024010695014</v>
      </c>
      <c r="DZ43" s="5">
        <f t="shared" si="77"/>
        <v>1.1588171308956141</v>
      </c>
      <c r="EA43" s="150">
        <f t="shared" si="120"/>
        <v>0.36264159625674514</v>
      </c>
      <c r="EB43" s="150">
        <f t="shared" si="78"/>
        <v>46.207999999999991</v>
      </c>
      <c r="EC43" s="150">
        <f t="shared" si="79"/>
        <v>2.3886050891542765</v>
      </c>
      <c r="ED43" s="150">
        <f t="shared" si="121"/>
        <v>19.34518192639398</v>
      </c>
      <c r="EE43" s="144">
        <f t="shared" si="80"/>
        <v>5.2496688220024064</v>
      </c>
      <c r="EF43" s="5">
        <f t="shared" si="81"/>
        <v>1.4366556208943364</v>
      </c>
      <c r="EG43" s="5"/>
      <c r="EH43" s="150">
        <f t="shared" si="122"/>
        <v>2.6059664127166653</v>
      </c>
      <c r="EI43" s="150">
        <f t="shared" si="82"/>
        <v>3.4547916665169232</v>
      </c>
      <c r="EJ43" s="150"/>
      <c r="EK43" s="456">
        <f t="shared" si="83"/>
        <v>8.1492731330488385E-2</v>
      </c>
      <c r="EL43" s="456">
        <f t="shared" si="84"/>
        <v>3.209949094491833</v>
      </c>
      <c r="EM43" s="456">
        <f t="shared" si="85"/>
        <v>4.0250000000000001E-2</v>
      </c>
      <c r="EN43" s="456">
        <f t="shared" si="86"/>
        <v>0.75119058000000016</v>
      </c>
      <c r="EO43">
        <f t="shared" si="87"/>
        <v>1.5299999999999999E-2</v>
      </c>
      <c r="EP43" s="144">
        <f t="shared" si="123"/>
        <v>55.550000000000004</v>
      </c>
      <c r="EQ43" s="456">
        <f t="shared" si="88"/>
        <v>4.2015384583976978</v>
      </c>
      <c r="ER43" s="144">
        <f t="shared" si="124"/>
        <v>4201.5384583976975</v>
      </c>
      <c r="ES43" s="456">
        <f t="shared" si="125"/>
        <v>1.0193119999999998</v>
      </c>
      <c r="ET43" s="456"/>
      <c r="EV43" s="144">
        <f t="shared" si="126"/>
        <v>1019.3119999999998</v>
      </c>
      <c r="EW43" s="456">
        <f t="shared" si="89"/>
        <v>9.5074853218903119E-2</v>
      </c>
      <c r="EX43" s="456">
        <f t="shared" si="90"/>
        <v>0.16709819642648691</v>
      </c>
      <c r="EY43" s="456">
        <f t="shared" si="91"/>
        <v>17.624495588676183</v>
      </c>
      <c r="EZ43" s="456">
        <f t="shared" si="92"/>
        <v>18.334127295488056</v>
      </c>
      <c r="FA43" s="456">
        <f t="shared" si="93"/>
        <v>1.9662978723404252</v>
      </c>
      <c r="FB43" s="144">
        <f t="shared" si="127"/>
        <v>20300.425167828482</v>
      </c>
      <c r="FC43" s="150">
        <f t="shared" si="128"/>
        <v>25.521275626226178</v>
      </c>
      <c r="FD43" s="5">
        <f t="shared" si="129"/>
        <v>45.6</v>
      </c>
      <c r="FE43" s="150">
        <f t="shared" si="130"/>
        <v>0.64115835379061825</v>
      </c>
      <c r="FF43" s="5">
        <f t="shared" si="131"/>
        <v>64.115835379061821</v>
      </c>
      <c r="FI43" s="59">
        <f t="shared" si="94"/>
        <v>-50</v>
      </c>
      <c r="FJ43">
        <f t="shared" si="95"/>
        <v>-50</v>
      </c>
      <c r="FL43">
        <f t="shared" si="181"/>
        <v>0.40558599581346494</v>
      </c>
    </row>
    <row r="44" spans="5:168">
      <c r="E44" s="147">
        <v>39</v>
      </c>
      <c r="F44" s="188">
        <f t="shared" si="182"/>
        <v>1.56</v>
      </c>
      <c r="G44" s="188"/>
      <c r="H44" s="188">
        <f t="shared" si="132"/>
        <v>46.800000000000004</v>
      </c>
      <c r="I44" s="465">
        <f t="shared" si="133"/>
        <v>33.901938546654563</v>
      </c>
      <c r="J44" s="149">
        <f t="shared" si="134"/>
        <v>30.452802321032156</v>
      </c>
      <c r="K44" s="149">
        <f t="shared" si="135"/>
        <v>64.452802321032152</v>
      </c>
      <c r="L44" s="379"/>
      <c r="M44" s="188">
        <f t="shared" si="136"/>
        <v>0.47320503099495875</v>
      </c>
      <c r="N44" s="149">
        <f t="shared" si="137"/>
        <v>244.80999959520628</v>
      </c>
      <c r="O44" s="149">
        <f t="shared" si="98"/>
        <v>46.800000000000004</v>
      </c>
      <c r="P44" s="188">
        <f t="shared" si="138"/>
        <v>8.160333319840209</v>
      </c>
      <c r="Q44" s="188">
        <f t="shared" si="139"/>
        <v>30</v>
      </c>
      <c r="R44" s="188">
        <f t="shared" si="140"/>
        <v>8.1023070104842727</v>
      </c>
      <c r="S44" s="149">
        <f t="shared" si="141"/>
        <v>295.41681066181059</v>
      </c>
      <c r="T44" s="149">
        <f t="shared" si="142"/>
        <v>30</v>
      </c>
      <c r="U44" s="188">
        <f t="shared" si="143"/>
        <v>5.9226078143698864</v>
      </c>
      <c r="V44" s="188">
        <f t="shared" si="11"/>
        <v>0.8210815640890643</v>
      </c>
      <c r="W44" s="188">
        <f t="shared" si="144"/>
        <v>0.91407865962842516</v>
      </c>
      <c r="X44" s="172">
        <f t="shared" si="145"/>
        <v>350</v>
      </c>
      <c r="Y44" s="379">
        <f t="shared" si="14"/>
        <v>350</v>
      </c>
      <c r="AA44" s="188">
        <f t="shared" si="146"/>
        <v>9.7522617111585586</v>
      </c>
      <c r="AB44" s="150">
        <f t="shared" si="147"/>
        <v>1.5051366885466877</v>
      </c>
      <c r="AC44" s="150">
        <f t="shared" si="148"/>
        <v>2.5687352071104232</v>
      </c>
      <c r="AD44" s="150"/>
      <c r="AE44" s="150">
        <f t="shared" si="149"/>
        <v>0.93537692145906359</v>
      </c>
      <c r="AF44" s="314">
        <f t="shared" si="150"/>
        <v>550.3663690964072</v>
      </c>
      <c r="AG44" s="456">
        <f t="shared" si="151"/>
        <v>0.9920664318505219</v>
      </c>
      <c r="AI44" s="150">
        <f t="shared" si="152"/>
        <v>7.5999017447504142</v>
      </c>
      <c r="AJ44" s="150">
        <f t="shared" si="153"/>
        <v>7.5999017447504142</v>
      </c>
      <c r="AK44" s="150">
        <f t="shared" si="154"/>
        <v>2.3402190252921136</v>
      </c>
      <c r="AM44" s="314">
        <f t="shared" si="155"/>
        <v>1560</v>
      </c>
      <c r="AN44" s="144">
        <f t="shared" si="156"/>
        <v>350</v>
      </c>
      <c r="AP44">
        <f t="shared" si="157"/>
        <v>1560</v>
      </c>
      <c r="AQ44" s="144">
        <f t="shared" si="158"/>
        <v>350</v>
      </c>
      <c r="AR44" s="144"/>
      <c r="AS44" s="5">
        <f t="shared" si="101"/>
        <v>2.8571428571428572</v>
      </c>
      <c r="AT44" s="5">
        <f t="shared" si="159"/>
        <v>1.0536134431124367</v>
      </c>
      <c r="AU44" s="5">
        <f t="shared" si="102"/>
        <v>1.8035294140304206</v>
      </c>
      <c r="AV44" s="5">
        <f t="shared" si="160"/>
        <v>1.1729474950703414</v>
      </c>
      <c r="AW44" s="150">
        <f t="shared" si="103"/>
        <v>0.36876470508935283</v>
      </c>
      <c r="AX44" s="150">
        <f t="shared" si="161"/>
        <v>47.506371620810171</v>
      </c>
      <c r="AY44" s="150">
        <f t="shared" si="162"/>
        <v>2.3986631095697351</v>
      </c>
      <c r="AZ44" s="150">
        <f t="shared" si="104"/>
        <v>19.805353837009534</v>
      </c>
      <c r="BA44" s="144">
        <f t="shared" si="163"/>
        <v>5.478789904184671</v>
      </c>
      <c r="BB44" s="5">
        <f t="shared" si="164"/>
        <v>1.4645210863171017</v>
      </c>
      <c r="BC44" s="5"/>
      <c r="BD44" s="150">
        <f t="shared" si="105"/>
        <v>2.6645386484271176</v>
      </c>
      <c r="BE44" s="150">
        <f t="shared" si="165"/>
        <v>3.4861252560674947</v>
      </c>
      <c r="BF44" s="150"/>
      <c r="BG44" s="456">
        <f t="shared" si="166"/>
        <v>8.5197194507541721E-2</v>
      </c>
      <c r="BH44" s="456">
        <f t="shared" si="167"/>
        <v>3.1288208377472908</v>
      </c>
      <c r="BI44" s="456">
        <f t="shared" si="168"/>
        <v>4.0250000000000001E-2</v>
      </c>
      <c r="BJ44" s="456">
        <f t="shared" si="169"/>
        <v>0.75242290505904197</v>
      </c>
      <c r="BK44">
        <f t="shared" si="170"/>
        <v>1.5255872345994553E-2</v>
      </c>
      <c r="BL44" s="144">
        <f t="shared" si="106"/>
        <v>55.505872345994547</v>
      </c>
      <c r="BM44" s="456">
        <f t="shared" si="171"/>
        <v>4.0718704566088801</v>
      </c>
      <c r="BN44" s="144">
        <f t="shared" si="107"/>
        <v>4071.87045660888</v>
      </c>
      <c r="BO44" s="456">
        <f t="shared" si="172"/>
        <v>1.0461359999999997</v>
      </c>
      <c r="BP44" s="456"/>
      <c r="BR44" s="144">
        <f t="shared" si="109"/>
        <v>1046.1359999999997</v>
      </c>
      <c r="BS44" s="456">
        <f t="shared" si="173"/>
        <v>9.9396726925465348E-2</v>
      </c>
      <c r="BT44" s="456">
        <f t="shared" si="174"/>
        <v>0.17014297021388317</v>
      </c>
      <c r="BU44" s="456">
        <f t="shared" si="175"/>
        <v>18.245680223097853</v>
      </c>
      <c r="BV44" s="456">
        <f t="shared" si="176"/>
        <v>18.989380803604018</v>
      </c>
      <c r="BW44" s="456">
        <f t="shared" si="177"/>
        <v>2.021547728545114</v>
      </c>
      <c r="BX44" s="144">
        <f t="shared" si="110"/>
        <v>21010.92853214913</v>
      </c>
      <c r="BY44" s="150">
        <f t="shared" si="45"/>
        <v>26.184440861104008</v>
      </c>
      <c r="BZ44" s="5">
        <f t="shared" si="111"/>
        <v>46.800000000000004</v>
      </c>
      <c r="CA44" s="150">
        <f t="shared" si="112"/>
        <v>0.64123256200680678</v>
      </c>
      <c r="CB44" s="5">
        <f t="shared" si="113"/>
        <v>64.123256200680672</v>
      </c>
      <c r="CE44" s="59">
        <f t="shared" si="178"/>
        <v>-50</v>
      </c>
      <c r="CF44">
        <f t="shared" si="179"/>
        <v>-50</v>
      </c>
      <c r="CG44" s="150">
        <f t="shared" si="180"/>
        <v>0.41361818141856388</v>
      </c>
      <c r="CI44" s="147">
        <v>39</v>
      </c>
      <c r="CJ44" s="188">
        <f t="shared" si="114"/>
        <v>1.56</v>
      </c>
      <c r="CK44" s="188"/>
      <c r="CL44" s="188">
        <f t="shared" si="49"/>
        <v>46.800000000000004</v>
      </c>
      <c r="CM44" s="465">
        <f t="shared" si="50"/>
        <v>34</v>
      </c>
      <c r="CN44" s="149">
        <f t="shared" si="51"/>
        <v>30.4</v>
      </c>
      <c r="CO44" s="379">
        <f t="shared" si="52"/>
        <v>64.400000000000006</v>
      </c>
      <c r="CP44" s="379"/>
      <c r="CQ44" s="188">
        <f t="shared" si="53"/>
        <v>0.47204968944099374</v>
      </c>
      <c r="CR44" s="149">
        <f t="shared" si="54"/>
        <v>244.918674788055</v>
      </c>
      <c r="CS44" s="149">
        <f t="shared" si="115"/>
        <v>46.800000000000004</v>
      </c>
      <c r="CT44" s="188">
        <f t="shared" si="55"/>
        <v>8.1639558262685004</v>
      </c>
      <c r="CU44" s="188">
        <f t="shared" si="56"/>
        <v>30</v>
      </c>
      <c r="CV44" s="188">
        <f t="shared" si="57"/>
        <v>8.1059037580776696</v>
      </c>
      <c r="CW44" s="149">
        <f t="shared" si="58"/>
        <v>296.27117222574418</v>
      </c>
      <c r="CX44" s="149">
        <f t="shared" si="59"/>
        <v>30</v>
      </c>
      <c r="CY44" s="188">
        <f t="shared" si="60"/>
        <v>5.8318885448916413</v>
      </c>
      <c r="CZ44" s="188">
        <f t="shared" si="61"/>
        <v>0.80617282826443282</v>
      </c>
      <c r="DA44" s="188">
        <f t="shared" si="62"/>
        <v>0.90164066319048408</v>
      </c>
      <c r="DB44" s="172">
        <f t="shared" si="63"/>
        <v>350</v>
      </c>
      <c r="DC44" s="379">
        <f t="shared" si="116"/>
        <v>350</v>
      </c>
      <c r="DE44" s="188">
        <f t="shared" si="64"/>
        <v>9.7566501161056465</v>
      </c>
      <c r="DF44" s="150">
        <f t="shared" si="65"/>
        <v>1.5084294587400178</v>
      </c>
      <c r="DG44" s="150">
        <f t="shared" si="66"/>
        <v>2.5755132294067704</v>
      </c>
      <c r="DH44" s="150"/>
      <c r="DI44" s="150">
        <f t="shared" si="67"/>
        <v>0.93700159489633172</v>
      </c>
      <c r="DJ44" s="314">
        <f t="shared" si="117"/>
        <v>549.41208510638296</v>
      </c>
      <c r="DK44" s="456">
        <f t="shared" si="68"/>
        <v>0.99378957034459414</v>
      </c>
      <c r="DM44" s="150">
        <f t="shared" si="69"/>
        <v>7.593310125539058</v>
      </c>
      <c r="DN44" s="150">
        <f t="shared" si="70"/>
        <v>7.593310125539058</v>
      </c>
      <c r="DO44" s="150">
        <f t="shared" si="71"/>
        <v>2.335336344394813</v>
      </c>
      <c r="DQ44" s="314">
        <f t="shared" si="72"/>
        <v>1560</v>
      </c>
      <c r="DR44" s="144">
        <f t="shared" si="73"/>
        <v>350</v>
      </c>
      <c r="DT44">
        <f t="shared" si="74"/>
        <v>1560</v>
      </c>
      <c r="DU44" s="144">
        <f t="shared" si="75"/>
        <v>350</v>
      </c>
      <c r="DV44" s="144"/>
      <c r="DW44" s="5">
        <f t="shared" si="118"/>
        <v>2.8571428571428572</v>
      </c>
      <c r="DX44" s="5">
        <f t="shared" si="76"/>
        <v>1.0496634585303992</v>
      </c>
      <c r="DY44" s="5">
        <f t="shared" si="119"/>
        <v>1.807479398612458</v>
      </c>
      <c r="DZ44" s="5">
        <f t="shared" si="77"/>
        <v>1.1739657101984731</v>
      </c>
      <c r="EA44" s="150">
        <f t="shared" si="120"/>
        <v>0.36738221048563974</v>
      </c>
      <c r="EB44" s="150">
        <f t="shared" si="78"/>
        <v>47.423999999999999</v>
      </c>
      <c r="EC44" s="150">
        <f t="shared" si="79"/>
        <v>2.4018315333577642</v>
      </c>
      <c r="ED44" s="150">
        <f t="shared" si="121"/>
        <v>19.74493187442717</v>
      </c>
      <c r="EE44" s="144">
        <f t="shared" si="80"/>
        <v>5.4582499843580763</v>
      </c>
      <c r="EF44" s="5">
        <f t="shared" si="81"/>
        <v>1.4634954300183916</v>
      </c>
      <c r="EG44" s="5"/>
      <c r="EH44" s="150">
        <f t="shared" si="122"/>
        <v>2.6572325991806438</v>
      </c>
      <c r="EI44" s="150">
        <f t="shared" si="82"/>
        <v>3.4869137932259919</v>
      </c>
      <c r="EJ44" s="150"/>
      <c r="EK44" s="456">
        <f t="shared" si="83"/>
        <v>8.4730621033779846E-2</v>
      </c>
      <c r="EL44" s="456">
        <f t="shared" si="84"/>
        <v>3.2519109943633575</v>
      </c>
      <c r="EM44" s="456">
        <f t="shared" si="85"/>
        <v>4.0250000000000001E-2</v>
      </c>
      <c r="EN44" s="456">
        <f t="shared" si="86"/>
        <v>0.75119058000000016</v>
      </c>
      <c r="EO44">
        <f t="shared" si="87"/>
        <v>1.5299999999999999E-2</v>
      </c>
      <c r="EP44" s="144">
        <f t="shared" si="123"/>
        <v>55.550000000000004</v>
      </c>
      <c r="EQ44" s="456">
        <f t="shared" si="88"/>
        <v>4.2518578463506467</v>
      </c>
      <c r="ER44" s="144">
        <f t="shared" si="124"/>
        <v>4251.8578463506465</v>
      </c>
      <c r="ES44" s="456">
        <f t="shared" si="125"/>
        <v>1.0461359999999997</v>
      </c>
      <c r="ET44" s="456"/>
      <c r="EV44" s="144">
        <f t="shared" si="126"/>
        <v>1046.1359999999997</v>
      </c>
      <c r="EW44" s="456">
        <f t="shared" si="89"/>
        <v>9.8852391206076487E-2</v>
      </c>
      <c r="EX44" s="456">
        <f t="shared" si="90"/>
        <v>0.17021994921945546</v>
      </c>
      <c r="EY44" s="456">
        <f t="shared" si="91"/>
        <v>18.206143411549455</v>
      </c>
      <c r="EZ44" s="456">
        <f t="shared" si="92"/>
        <v>18.947656332473702</v>
      </c>
      <c r="FA44" s="456">
        <f t="shared" si="93"/>
        <v>2.0180425531914894</v>
      </c>
      <c r="FB44" s="144">
        <f t="shared" si="127"/>
        <v>20965.698885665191</v>
      </c>
      <c r="FC44" s="150">
        <f t="shared" si="128"/>
        <v>26.263692732015837</v>
      </c>
      <c r="FD44" s="5">
        <f t="shared" si="129"/>
        <v>46.800000000000004</v>
      </c>
      <c r="FE44" s="150">
        <f t="shared" si="130"/>
        <v>0.64053701982534306</v>
      </c>
      <c r="FF44" s="5">
        <f t="shared" si="131"/>
        <v>64.053701982534307</v>
      </c>
      <c r="FI44" s="59">
        <f t="shared" si="94"/>
        <v>-50</v>
      </c>
      <c r="FJ44">
        <f t="shared" si="95"/>
        <v>-50</v>
      </c>
      <c r="FL44">
        <f t="shared" si="181"/>
        <v>0.41088799856946551</v>
      </c>
    </row>
    <row r="45" spans="5:168">
      <c r="E45" s="147">
        <v>40</v>
      </c>
      <c r="F45" s="188">
        <f t="shared" si="182"/>
        <v>1.6</v>
      </c>
      <c r="G45" s="188"/>
      <c r="H45" s="188">
        <f t="shared" si="132"/>
        <v>48</v>
      </c>
      <c r="I45" s="465">
        <f t="shared" si="133"/>
        <v>33.900689305803638</v>
      </c>
      <c r="J45" s="149">
        <f t="shared" si="134"/>
        <v>30.453474989182652</v>
      </c>
      <c r="K45" s="149">
        <f t="shared" si="135"/>
        <v>64.453474989182652</v>
      </c>
      <c r="L45" s="379"/>
      <c r="M45" s="188">
        <f t="shared" si="136"/>
        <v>0.47321975971679792</v>
      </c>
      <c r="N45" s="149">
        <f t="shared" si="137"/>
        <v>244.80859821770781</v>
      </c>
      <c r="O45" s="149">
        <f t="shared" si="98"/>
        <v>48</v>
      </c>
      <c r="P45" s="188">
        <f t="shared" si="138"/>
        <v>8.1602866072569267</v>
      </c>
      <c r="Q45" s="188">
        <f t="shared" si="139"/>
        <v>30</v>
      </c>
      <c r="R45" s="188">
        <f t="shared" si="140"/>
        <v>8.1022606300637463</v>
      </c>
      <c r="S45" s="149">
        <f t="shared" si="141"/>
        <v>287.17571924148382</v>
      </c>
      <c r="T45" s="149">
        <f t="shared" si="142"/>
        <v>30</v>
      </c>
      <c r="U45" s="188">
        <f t="shared" si="143"/>
        <v>6.0746393947496005</v>
      </c>
      <c r="V45" s="188">
        <f t="shared" si="11"/>
        <v>0.8421895170855821</v>
      </c>
      <c r="W45" s="188">
        <f t="shared" si="144"/>
        <v>0.93752207803755161</v>
      </c>
      <c r="X45" s="172">
        <f t="shared" si="145"/>
        <v>350</v>
      </c>
      <c r="Y45" s="379">
        <f t="shared" si="14"/>
        <v>350</v>
      </c>
      <c r="AA45" s="188">
        <f t="shared" si="146"/>
        <v>9.7522051348025318</v>
      </c>
      <c r="AB45" s="150">
        <f t="shared" si="147"/>
        <v>1.5050947108615038</v>
      </c>
      <c r="AC45" s="150">
        <f t="shared" si="148"/>
        <v>2.5686486643348458</v>
      </c>
      <c r="AD45" s="150"/>
      <c r="AE45" s="150">
        <f t="shared" si="149"/>
        <v>0.93535626049134146</v>
      </c>
      <c r="AF45" s="314">
        <f t="shared" si="150"/>
        <v>564.49079596970068</v>
      </c>
      <c r="AG45" s="456">
        <f t="shared" si="151"/>
        <v>0.99204451870293786</v>
      </c>
      <c r="AI45" s="150">
        <f t="shared" si="152"/>
        <v>7.6968046883475019</v>
      </c>
      <c r="AJ45" s="150">
        <f t="shared" si="153"/>
        <v>7.6968046883475019</v>
      </c>
      <c r="AK45" s="150">
        <f t="shared" si="154"/>
        <v>2.4119989835121789</v>
      </c>
      <c r="AM45" s="314">
        <f t="shared" si="155"/>
        <v>1600</v>
      </c>
      <c r="AN45" s="144">
        <f t="shared" si="156"/>
        <v>350</v>
      </c>
      <c r="AP45">
        <f t="shared" si="157"/>
        <v>1600</v>
      </c>
      <c r="AQ45" s="144">
        <f t="shared" si="158"/>
        <v>350</v>
      </c>
      <c r="AR45" s="144"/>
      <c r="AS45" s="5">
        <f t="shared" si="101"/>
        <v>2.8571428571428572</v>
      </c>
      <c r="AT45" s="5">
        <f t="shared" si="159"/>
        <v>1.0670869169919879</v>
      </c>
      <c r="AU45" s="5">
        <f t="shared" si="102"/>
        <v>1.7900559401508693</v>
      </c>
      <c r="AV45" s="5">
        <f t="shared" si="160"/>
        <v>1.1878769844191159</v>
      </c>
      <c r="AW45" s="150">
        <f t="shared" si="103"/>
        <v>0.37348042094719575</v>
      </c>
      <c r="AX45" s="150">
        <f t="shared" si="161"/>
        <v>48.725559982692246</v>
      </c>
      <c r="AY45" s="150">
        <f t="shared" si="162"/>
        <v>2.4110994166975632</v>
      </c>
      <c r="AZ45" s="150">
        <f t="shared" si="104"/>
        <v>20.208855613855491</v>
      </c>
      <c r="BA45" s="144">
        <f t="shared" si="163"/>
        <v>5.6911302239572681</v>
      </c>
      <c r="BB45" s="5">
        <f t="shared" si="164"/>
        <v>1.4909064385469097</v>
      </c>
      <c r="BC45" s="5"/>
      <c r="BD45" s="150">
        <f t="shared" si="105"/>
        <v>2.7157122958534359</v>
      </c>
      <c r="BE45" s="150">
        <f t="shared" si="165"/>
        <v>3.5173627710269648</v>
      </c>
      <c r="BF45" s="150"/>
      <c r="BG45" s="456">
        <f t="shared" si="166"/>
        <v>8.8501119286194488E-2</v>
      </c>
      <c r="BH45" s="456">
        <f t="shared" si="167"/>
        <v>3.1687481016470262</v>
      </c>
      <c r="BI45" s="456">
        <f t="shared" si="168"/>
        <v>4.0250000000000001E-2</v>
      </c>
      <c r="BJ45" s="456">
        <f t="shared" si="169"/>
        <v>0.75243861061556883</v>
      </c>
      <c r="BK45">
        <f t="shared" si="170"/>
        <v>1.5255310187611637E-2</v>
      </c>
      <c r="BL45" s="144">
        <f t="shared" si="106"/>
        <v>55.505310187611634</v>
      </c>
      <c r="BM45" s="456">
        <f t="shared" si="171"/>
        <v>4.1202226227194503</v>
      </c>
      <c r="BN45" s="144">
        <f t="shared" si="107"/>
        <v>4120.2226227194506</v>
      </c>
      <c r="BO45" s="456">
        <f t="shared" si="172"/>
        <v>1.0729599999999999</v>
      </c>
      <c r="BP45" s="456"/>
      <c r="BR45" s="144">
        <f t="shared" si="109"/>
        <v>1072.9599999999998</v>
      </c>
      <c r="BS45" s="456">
        <f t="shared" si="173"/>
        <v>0.10325130583389357</v>
      </c>
      <c r="BT45" s="456">
        <f t="shared" si="174"/>
        <v>0.17320577208209084</v>
      </c>
      <c r="BU45" s="456">
        <f t="shared" si="175"/>
        <v>18.832860117719157</v>
      </c>
      <c r="BV45" s="456">
        <f t="shared" si="176"/>
        <v>19.609358571984384</v>
      </c>
      <c r="BW45" s="456">
        <f t="shared" si="177"/>
        <v>2.0734280843698829</v>
      </c>
      <c r="BX45" s="144">
        <f t="shared" si="110"/>
        <v>21682.786656354267</v>
      </c>
      <c r="BY45" s="150">
        <f t="shared" si="45"/>
        <v>26.931474589261331</v>
      </c>
      <c r="BZ45" s="5">
        <f t="shared" si="111"/>
        <v>48</v>
      </c>
      <c r="CA45" s="150">
        <f t="shared" si="112"/>
        <v>0.64058528493017319</v>
      </c>
      <c r="CB45" s="5">
        <f t="shared" si="113"/>
        <v>64.05852849301732</v>
      </c>
      <c r="CE45" s="59">
        <f t="shared" si="178"/>
        <v>-50</v>
      </c>
      <c r="CF45">
        <f t="shared" si="179"/>
        <v>-50</v>
      </c>
      <c r="CG45" s="150">
        <f t="shared" si="180"/>
        <v>0.41888741526413359</v>
      </c>
      <c r="CI45" s="147">
        <v>40</v>
      </c>
      <c r="CJ45" s="188">
        <f t="shared" si="114"/>
        <v>1.6</v>
      </c>
      <c r="CK45" s="188"/>
      <c r="CL45" s="188">
        <f t="shared" si="49"/>
        <v>48</v>
      </c>
      <c r="CM45" s="465">
        <f t="shared" si="50"/>
        <v>34</v>
      </c>
      <c r="CN45" s="149">
        <f t="shared" si="51"/>
        <v>30.4</v>
      </c>
      <c r="CO45" s="379">
        <f t="shared" si="52"/>
        <v>64.400000000000006</v>
      </c>
      <c r="CP45" s="379"/>
      <c r="CQ45" s="188">
        <f t="shared" si="53"/>
        <v>0.47204968944099374</v>
      </c>
      <c r="CR45" s="149">
        <f t="shared" si="54"/>
        <v>244.918674788055</v>
      </c>
      <c r="CS45" s="149">
        <f t="shared" si="115"/>
        <v>48</v>
      </c>
      <c r="CT45" s="188">
        <f t="shared" si="55"/>
        <v>8.1639558262685004</v>
      </c>
      <c r="CU45" s="188">
        <f t="shared" si="56"/>
        <v>30</v>
      </c>
      <c r="CV45" s="188">
        <f t="shared" si="57"/>
        <v>8.1059037580776696</v>
      </c>
      <c r="CW45" s="149">
        <f t="shared" si="58"/>
        <v>288.01685094130306</v>
      </c>
      <c r="CX45" s="149">
        <f t="shared" si="59"/>
        <v>30</v>
      </c>
      <c r="CY45" s="188">
        <f t="shared" si="60"/>
        <v>5.9814241486068118</v>
      </c>
      <c r="CZ45" s="188">
        <f t="shared" si="61"/>
        <v>0.82684392642505933</v>
      </c>
      <c r="DA45" s="188">
        <f t="shared" si="62"/>
        <v>0.92475965455434261</v>
      </c>
      <c r="DB45" s="172">
        <f t="shared" si="63"/>
        <v>350</v>
      </c>
      <c r="DC45" s="379">
        <f t="shared" si="116"/>
        <v>350</v>
      </c>
      <c r="DE45" s="188">
        <f t="shared" si="64"/>
        <v>9.7566501161056465</v>
      </c>
      <c r="DF45" s="150">
        <f t="shared" si="65"/>
        <v>1.5084294587400178</v>
      </c>
      <c r="DG45" s="150">
        <f t="shared" si="66"/>
        <v>2.5755132294067704</v>
      </c>
      <c r="DH45" s="150"/>
      <c r="DI45" s="150">
        <f t="shared" si="67"/>
        <v>0.93700159489633172</v>
      </c>
      <c r="DJ45" s="314">
        <f t="shared" si="117"/>
        <v>563.49957446808514</v>
      </c>
      <c r="DK45" s="456">
        <f t="shared" si="68"/>
        <v>0.99378957034459414</v>
      </c>
      <c r="DM45" s="150">
        <f t="shared" si="69"/>
        <v>7.6900440906084224</v>
      </c>
      <c r="DN45" s="150">
        <f t="shared" si="70"/>
        <v>7.6900440906084224</v>
      </c>
      <c r="DO45" s="150">
        <f t="shared" si="71"/>
        <v>2.4069911333350831</v>
      </c>
      <c r="DQ45" s="314">
        <f t="shared" si="72"/>
        <v>1600</v>
      </c>
      <c r="DR45" s="144">
        <f t="shared" si="73"/>
        <v>350</v>
      </c>
      <c r="DT45">
        <f t="shared" si="74"/>
        <v>1600</v>
      </c>
      <c r="DU45" s="144">
        <f t="shared" si="75"/>
        <v>350</v>
      </c>
      <c r="DV45" s="144"/>
      <c r="DW45" s="5">
        <f t="shared" si="118"/>
        <v>2.8571428571428572</v>
      </c>
      <c r="DX45" s="5">
        <f t="shared" si="76"/>
        <v>1.0630355066429289</v>
      </c>
      <c r="DY45" s="5">
        <f t="shared" si="119"/>
        <v>1.7941073504999283</v>
      </c>
      <c r="DZ45" s="5">
        <f t="shared" si="77"/>
        <v>1.1889212903243285</v>
      </c>
      <c r="EA45" s="150">
        <f t="shared" si="120"/>
        <v>0.37206242732502509</v>
      </c>
      <c r="EB45" s="150">
        <f t="shared" si="78"/>
        <v>48.639999999999993</v>
      </c>
      <c r="EC45" s="150">
        <f t="shared" si="79"/>
        <v>2.4144338100100939</v>
      </c>
      <c r="ED45" s="150">
        <f t="shared" si="121"/>
        <v>20.145509807865327</v>
      </c>
      <c r="EE45" s="144">
        <f t="shared" si="80"/>
        <v>5.6695227020956214</v>
      </c>
      <c r="EF45" s="5">
        <f t="shared" si="81"/>
        <v>1.4899161388234696</v>
      </c>
      <c r="EG45" s="5"/>
      <c r="EH45" s="150">
        <f t="shared" si="122"/>
        <v>2.7081711670322783</v>
      </c>
      <c r="EI45" s="150">
        <f t="shared" si="82"/>
        <v>3.5182479022787563</v>
      </c>
      <c r="EJ45" s="150"/>
      <c r="EK45" s="456">
        <f t="shared" si="83"/>
        <v>8.8010292839339671E-2</v>
      </c>
      <c r="EL45" s="456">
        <f t="shared" si="84"/>
        <v>3.2933382822439636</v>
      </c>
      <c r="EM45" s="456">
        <f t="shared" si="85"/>
        <v>4.0250000000000001E-2</v>
      </c>
      <c r="EN45" s="456">
        <f t="shared" si="86"/>
        <v>0.75119058000000016</v>
      </c>
      <c r="EO45">
        <f t="shared" si="87"/>
        <v>1.5299999999999999E-2</v>
      </c>
      <c r="EP45" s="144">
        <f t="shared" si="123"/>
        <v>55.550000000000004</v>
      </c>
      <c r="EQ45" s="456">
        <f t="shared" si="88"/>
        <v>4.3018080997560508</v>
      </c>
      <c r="ER45" s="144">
        <f t="shared" si="124"/>
        <v>4301.808099756051</v>
      </c>
      <c r="ES45" s="456">
        <f t="shared" si="125"/>
        <v>1.0729599999999999</v>
      </c>
      <c r="ET45" s="456"/>
      <c r="EV45" s="144">
        <f t="shared" si="126"/>
        <v>1072.9599999999998</v>
      </c>
      <c r="EW45" s="456">
        <f t="shared" si="89"/>
        <v>0.10267867497922961</v>
      </c>
      <c r="EX45" s="456">
        <f t="shared" si="90"/>
        <v>0.17329295622644417</v>
      </c>
      <c r="EY45" s="456">
        <f t="shared" si="91"/>
        <v>18.791532081914099</v>
      </c>
      <c r="EZ45" s="456">
        <f t="shared" si="92"/>
        <v>19.56570322743811</v>
      </c>
      <c r="FA45" s="456">
        <f t="shared" si="93"/>
        <v>2.0697872340425536</v>
      </c>
      <c r="FB45" s="144">
        <f t="shared" si="127"/>
        <v>21635.490461480666</v>
      </c>
      <c r="FC45" s="150">
        <f t="shared" si="128"/>
        <v>27.010258561236714</v>
      </c>
      <c r="FD45" s="5">
        <f t="shared" si="129"/>
        <v>48</v>
      </c>
      <c r="FE45" s="150">
        <f t="shared" si="130"/>
        <v>0.63991247224956394</v>
      </c>
      <c r="FF45" s="5">
        <f t="shared" si="131"/>
        <v>63.991247224956396</v>
      </c>
      <c r="FI45" s="59">
        <f t="shared" si="94"/>
        <v>-50</v>
      </c>
      <c r="FJ45">
        <f t="shared" si="95"/>
        <v>-50</v>
      </c>
      <c r="FL45">
        <f t="shared" si="181"/>
        <v>0.41612245161351497</v>
      </c>
    </row>
    <row r="46" spans="5:168">
      <c r="E46" s="147">
        <v>41</v>
      </c>
      <c r="F46" s="188">
        <f t="shared" si="182"/>
        <v>1.64</v>
      </c>
      <c r="G46" s="188"/>
      <c r="H46" s="188">
        <f t="shared" si="132"/>
        <v>49.199999999999996</v>
      </c>
      <c r="I46" s="465">
        <f t="shared" si="133"/>
        <v>33.8994555852804</v>
      </c>
      <c r="J46" s="149">
        <f t="shared" si="134"/>
        <v>30.454139300233628</v>
      </c>
      <c r="K46" s="149">
        <f t="shared" si="135"/>
        <v>64.454139300233635</v>
      </c>
      <c r="L46" s="379"/>
      <c r="M46" s="188">
        <f t="shared" si="136"/>
        <v>0.47323430570884922</v>
      </c>
      <c r="N46" s="149">
        <f t="shared" si="137"/>
        <v>244.8072138324703</v>
      </c>
      <c r="O46" s="149">
        <f t="shared" si="98"/>
        <v>49.199999999999996</v>
      </c>
      <c r="P46" s="188">
        <f t="shared" si="138"/>
        <v>8.1602404610823438</v>
      </c>
      <c r="Q46" s="188">
        <f t="shared" si="139"/>
        <v>30</v>
      </c>
      <c r="R46" s="188">
        <f t="shared" si="140"/>
        <v>8.1022148120243145</v>
      </c>
      <c r="S46" s="149">
        <f t="shared" si="141"/>
        <v>279.33689271370127</v>
      </c>
      <c r="T46" s="149">
        <f t="shared" si="142"/>
        <v>30</v>
      </c>
      <c r="U46" s="188">
        <f t="shared" si="143"/>
        <v>6.2266773169687424</v>
      </c>
      <c r="V46" s="188">
        <f t="shared" si="11"/>
        <v>0.86329950981456216</v>
      </c>
      <c r="W46" s="188">
        <f t="shared" si="144"/>
        <v>0.96096570325757258</v>
      </c>
      <c r="X46" s="172">
        <f t="shared" si="145"/>
        <v>350</v>
      </c>
      <c r="Y46" s="379">
        <f t="shared" si="14"/>
        <v>350</v>
      </c>
      <c r="AA46" s="188">
        <f t="shared" si="146"/>
        <v>9.7521492447640199</v>
      </c>
      <c r="AB46" s="150">
        <f t="shared" si="147"/>
        <v>1.5050532539607602</v>
      </c>
      <c r="AC46" s="150">
        <f t="shared" si="148"/>
        <v>2.5685631919400351</v>
      </c>
      <c r="AD46" s="150"/>
      <c r="AE46" s="150">
        <f t="shared" si="149"/>
        <v>0.93533585710727873</v>
      </c>
      <c r="AF46" s="314">
        <f t="shared" si="150"/>
        <v>578.61568749622609</v>
      </c>
      <c r="AG46" s="456">
        <f t="shared" si="151"/>
        <v>0.99202287875014417</v>
      </c>
      <c r="AI46" s="150">
        <f t="shared" si="152"/>
        <v>7.7925058264058533</v>
      </c>
      <c r="AJ46" s="150">
        <f t="shared" si="153"/>
        <v>7.7925058264058533</v>
      </c>
      <c r="AK46" s="150">
        <f t="shared" si="154"/>
        <v>2.4828887154072539</v>
      </c>
      <c r="AM46" s="314">
        <f t="shared" si="155"/>
        <v>1640</v>
      </c>
      <c r="AN46" s="144">
        <f t="shared" si="156"/>
        <v>350</v>
      </c>
      <c r="AP46">
        <f t="shared" si="157"/>
        <v>1640</v>
      </c>
      <c r="AQ46" s="144">
        <f t="shared" si="158"/>
        <v>350</v>
      </c>
      <c r="AR46" s="144"/>
      <c r="AS46" s="5">
        <f t="shared" si="101"/>
        <v>2.8571428571428572</v>
      </c>
      <c r="AT46" s="5">
        <f t="shared" si="159"/>
        <v>1.0803942645028932</v>
      </c>
      <c r="AU46" s="5">
        <f t="shared" si="102"/>
        <v>1.776748592639964</v>
      </c>
      <c r="AV46" s="5">
        <f t="shared" si="160"/>
        <v>1.2026206691655392</v>
      </c>
      <c r="AW46" s="150">
        <f t="shared" si="103"/>
        <v>0.3781379925760126</v>
      </c>
      <c r="AX46" s="150">
        <f t="shared" si="161"/>
        <v>49.944788452383143</v>
      </c>
      <c r="AY46" s="150">
        <f t="shared" si="162"/>
        <v>2.4229316580359308</v>
      </c>
      <c r="AZ46" s="150">
        <f t="shared" si="104"/>
        <v>20.613370701866693</v>
      </c>
      <c r="BA46" s="144">
        <f t="shared" si="163"/>
        <v>5.9061553126158159</v>
      </c>
      <c r="BB46" s="5">
        <f t="shared" si="164"/>
        <v>1.5168737572821154</v>
      </c>
      <c r="BC46" s="5"/>
      <c r="BD46" s="150">
        <f t="shared" si="105"/>
        <v>2.7665700141819891</v>
      </c>
      <c r="BE46" s="150">
        <f t="shared" si="165"/>
        <v>3.5478358720237879</v>
      </c>
      <c r="BF46" s="150"/>
      <c r="BG46" s="456">
        <f t="shared" si="166"/>
        <v>9.1846915720451172E-2</v>
      </c>
      <c r="BH46" s="456">
        <f t="shared" si="167"/>
        <v>3.2081809979110756</v>
      </c>
      <c r="BI46" s="456">
        <f t="shared" si="168"/>
        <v>4.0250000000000001E-2</v>
      </c>
      <c r="BJ46" s="456">
        <f t="shared" si="169"/>
        <v>0.75245412121015665</v>
      </c>
      <c r="BK46">
        <f t="shared" si="170"/>
        <v>1.5254755013376179E-2</v>
      </c>
      <c r="BL46" s="144">
        <f t="shared" si="106"/>
        <v>55.504755013376176</v>
      </c>
      <c r="BM46" s="456">
        <f t="shared" si="171"/>
        <v>4.1682435609406667</v>
      </c>
      <c r="BN46" s="144">
        <f t="shared" si="107"/>
        <v>4168.2435609406666</v>
      </c>
      <c r="BO46" s="456">
        <f t="shared" si="172"/>
        <v>1.0997839999999999</v>
      </c>
      <c r="BP46" s="456"/>
      <c r="BR46" s="144">
        <f t="shared" si="109"/>
        <v>1099.7839999999999</v>
      </c>
      <c r="BS46" s="456">
        <f t="shared" si="173"/>
        <v>0.10715473500719304</v>
      </c>
      <c r="BT46" s="456">
        <f t="shared" si="174"/>
        <v>0.17621995124746309</v>
      </c>
      <c r="BU46" s="456">
        <f t="shared" si="175"/>
        <v>19.423744395362796</v>
      </c>
      <c r="BV46" s="456">
        <f t="shared" si="176"/>
        <v>20.233829411209097</v>
      </c>
      <c r="BW46" s="456">
        <f t="shared" si="177"/>
        <v>2.1253101469099209</v>
      </c>
      <c r="BX46" s="144">
        <f t="shared" si="110"/>
        <v>22359.139558119019</v>
      </c>
      <c r="BY46" s="150">
        <f t="shared" si="45"/>
        <v>27.682671874073062</v>
      </c>
      <c r="BZ46" s="5">
        <f t="shared" si="111"/>
        <v>49.199999999999996</v>
      </c>
      <c r="CA46" s="150">
        <f t="shared" si="112"/>
        <v>0.63993613646239034</v>
      </c>
      <c r="CB46" s="5">
        <f t="shared" si="113"/>
        <v>63.993613646239034</v>
      </c>
      <c r="CE46" s="59">
        <f t="shared" si="178"/>
        <v>-50</v>
      </c>
      <c r="CF46">
        <f t="shared" si="179"/>
        <v>-50</v>
      </c>
      <c r="CG46" s="150">
        <f t="shared" si="180"/>
        <v>0.42409118516344257</v>
      </c>
      <c r="CI46" s="147">
        <v>41</v>
      </c>
      <c r="CJ46" s="188">
        <f t="shared" si="114"/>
        <v>1.64</v>
      </c>
      <c r="CK46" s="188"/>
      <c r="CL46" s="188">
        <f t="shared" si="49"/>
        <v>49.199999999999996</v>
      </c>
      <c r="CM46" s="465">
        <f t="shared" si="50"/>
        <v>34</v>
      </c>
      <c r="CN46" s="149">
        <f t="shared" si="51"/>
        <v>30.4</v>
      </c>
      <c r="CO46" s="379">
        <f t="shared" si="52"/>
        <v>64.400000000000006</v>
      </c>
      <c r="CP46" s="379"/>
      <c r="CQ46" s="188">
        <f t="shared" si="53"/>
        <v>0.47204968944099374</v>
      </c>
      <c r="CR46" s="149">
        <f t="shared" si="54"/>
        <v>244.918674788055</v>
      </c>
      <c r="CS46" s="149">
        <f t="shared" si="115"/>
        <v>49.199999999999996</v>
      </c>
      <c r="CT46" s="188">
        <f t="shared" si="55"/>
        <v>8.1639558262685004</v>
      </c>
      <c r="CU46" s="188">
        <f t="shared" si="56"/>
        <v>30</v>
      </c>
      <c r="CV46" s="188">
        <f t="shared" si="57"/>
        <v>8.1059037580776696</v>
      </c>
      <c r="CW46" s="149">
        <f t="shared" si="58"/>
        <v>280.16525110376784</v>
      </c>
      <c r="CX46" s="149">
        <f t="shared" si="59"/>
        <v>30</v>
      </c>
      <c r="CY46" s="188">
        <f t="shared" si="60"/>
        <v>6.1309597523219814</v>
      </c>
      <c r="CZ46" s="188">
        <f t="shared" si="61"/>
        <v>0.84751502458568562</v>
      </c>
      <c r="DA46" s="188">
        <f t="shared" si="62"/>
        <v>0.94787864591820103</v>
      </c>
      <c r="DB46" s="172">
        <f t="shared" si="63"/>
        <v>350</v>
      </c>
      <c r="DC46" s="379">
        <f t="shared" si="116"/>
        <v>350</v>
      </c>
      <c r="DE46" s="188">
        <f t="shared" si="64"/>
        <v>9.7566501161056465</v>
      </c>
      <c r="DF46" s="150">
        <f t="shared" si="65"/>
        <v>1.5084294587400178</v>
      </c>
      <c r="DG46" s="150">
        <f t="shared" si="66"/>
        <v>2.5755132294067704</v>
      </c>
      <c r="DH46" s="150"/>
      <c r="DI46" s="150">
        <f t="shared" si="67"/>
        <v>0.93700159489633172</v>
      </c>
      <c r="DJ46" s="314">
        <f t="shared" si="117"/>
        <v>577.58706382978721</v>
      </c>
      <c r="DK46" s="456">
        <f t="shared" si="68"/>
        <v>0.99378957034459414</v>
      </c>
      <c r="DM46" s="150">
        <f t="shared" si="69"/>
        <v>7.7855762515300722</v>
      </c>
      <c r="DN46" s="150">
        <f t="shared" si="70"/>
        <v>7.7855762515300722</v>
      </c>
      <c r="DO46" s="150">
        <f t="shared" si="71"/>
        <v>2.4777556969807493</v>
      </c>
      <c r="DQ46" s="314">
        <f t="shared" si="72"/>
        <v>1640</v>
      </c>
      <c r="DR46" s="144">
        <f t="shared" si="73"/>
        <v>350</v>
      </c>
      <c r="DT46">
        <f t="shared" si="74"/>
        <v>1640</v>
      </c>
      <c r="DU46" s="144">
        <f t="shared" si="75"/>
        <v>350</v>
      </c>
      <c r="DV46" s="144"/>
      <c r="DW46" s="5">
        <f t="shared" si="118"/>
        <v>2.8571428571428572</v>
      </c>
      <c r="DX46" s="5">
        <f t="shared" si="76"/>
        <v>1.0762414230056274</v>
      </c>
      <c r="DY46" s="5">
        <f t="shared" si="119"/>
        <v>1.7809014341372298</v>
      </c>
      <c r="DZ46" s="5">
        <f t="shared" si="77"/>
        <v>1.2036910652036623</v>
      </c>
      <c r="EA46" s="150">
        <f t="shared" si="120"/>
        <v>0.37668449805196957</v>
      </c>
      <c r="EB46" s="150">
        <f t="shared" si="78"/>
        <v>49.855999999999987</v>
      </c>
      <c r="EC46" s="150">
        <f t="shared" si="79"/>
        <v>2.4264351845885659</v>
      </c>
      <c r="ED46" s="150">
        <f t="shared" si="121"/>
        <v>20.54701494466407</v>
      </c>
      <c r="EE46" s="144">
        <f t="shared" si="80"/>
        <v>5.8834531124307627</v>
      </c>
      <c r="EF46" s="5">
        <f t="shared" si="81"/>
        <v>1.5159230200614482</v>
      </c>
      <c r="EG46" s="5"/>
      <c r="EH46" s="150">
        <f t="shared" si="122"/>
        <v>2.7587923245730543</v>
      </c>
      <c r="EI46" s="150">
        <f t="shared" si="82"/>
        <v>3.5488210388812909</v>
      </c>
      <c r="EJ46" s="150"/>
      <c r="EK46" s="456">
        <f t="shared" si="83"/>
        <v>9.1331221081478356E-2</v>
      </c>
      <c r="EL46" s="456">
        <f t="shared" si="84"/>
        <v>3.334250885480269</v>
      </c>
      <c r="EM46" s="456">
        <f t="shared" si="85"/>
        <v>4.0250000000000001E-2</v>
      </c>
      <c r="EN46" s="456">
        <f t="shared" si="86"/>
        <v>0.75119058000000016</v>
      </c>
      <c r="EO46">
        <f t="shared" si="87"/>
        <v>1.5299999999999999E-2</v>
      </c>
      <c r="EP46" s="144">
        <f t="shared" si="123"/>
        <v>55.550000000000004</v>
      </c>
      <c r="EQ46" s="456">
        <f t="shared" si="88"/>
        <v>4.3514089885871208</v>
      </c>
      <c r="ER46" s="144">
        <f t="shared" si="124"/>
        <v>4351.4089885871208</v>
      </c>
      <c r="ES46" s="456">
        <f t="shared" si="125"/>
        <v>1.0997839999999999</v>
      </c>
      <c r="ET46" s="456"/>
      <c r="EV46" s="144">
        <f t="shared" si="126"/>
        <v>1099.7839999999999</v>
      </c>
      <c r="EW46" s="456">
        <f t="shared" si="89"/>
        <v>0.10655309126172476</v>
      </c>
      <c r="EX46" s="456">
        <f t="shared" si="90"/>
        <v>0.1763178307240908</v>
      </c>
      <c r="EY46" s="456">
        <f t="shared" si="91"/>
        <v>19.380591224336431</v>
      </c>
      <c r="EZ46" s="456">
        <f t="shared" si="92"/>
        <v>20.188203629512245</v>
      </c>
      <c r="FA46" s="456">
        <f t="shared" si="93"/>
        <v>2.1215319148936169</v>
      </c>
      <c r="FB46" s="144">
        <f t="shared" si="127"/>
        <v>22309.735544405859</v>
      </c>
      <c r="FC46" s="150">
        <f t="shared" si="128"/>
        <v>27.760928532992981</v>
      </c>
      <c r="FD46" s="5">
        <f t="shared" si="129"/>
        <v>49.199999999999996</v>
      </c>
      <c r="FE46" s="150">
        <f t="shared" si="130"/>
        <v>0.63928542622647888</v>
      </c>
      <c r="FF46" s="5">
        <f t="shared" si="131"/>
        <v>63.928542622647889</v>
      </c>
      <c r="FI46" s="59">
        <f t="shared" si="94"/>
        <v>-50</v>
      </c>
      <c r="FJ46">
        <f t="shared" si="95"/>
        <v>-50</v>
      </c>
      <c r="FL46">
        <f t="shared" si="181"/>
        <v>0.42129187282128189</v>
      </c>
    </row>
    <row r="47" spans="5:168">
      <c r="E47" s="147">
        <v>42</v>
      </c>
      <c r="F47" s="188">
        <f t="shared" si="182"/>
        <v>1.68</v>
      </c>
      <c r="G47" s="188"/>
      <c r="H47" s="188">
        <f t="shared" si="132"/>
        <v>50.4</v>
      </c>
      <c r="I47" s="465">
        <f t="shared" si="133"/>
        <v>33.898236820603664</v>
      </c>
      <c r="J47" s="149">
        <f t="shared" si="134"/>
        <v>30.454795558136489</v>
      </c>
      <c r="K47" s="149">
        <f t="shared" si="135"/>
        <v>64.454795558136482</v>
      </c>
      <c r="L47" s="379"/>
      <c r="M47" s="188">
        <f t="shared" si="136"/>
        <v>0.4732486756170825</v>
      </c>
      <c r="N47" s="149">
        <f t="shared" si="137"/>
        <v>244.80584582146699</v>
      </c>
      <c r="O47" s="149">
        <f t="shared" si="98"/>
        <v>50.4</v>
      </c>
      <c r="P47" s="188">
        <f t="shared" si="138"/>
        <v>8.160194860715567</v>
      </c>
      <c r="Q47" s="188">
        <f t="shared" si="139"/>
        <v>30</v>
      </c>
      <c r="R47" s="188">
        <f t="shared" si="140"/>
        <v>8.1021695359115675</v>
      </c>
      <c r="S47" s="149">
        <f t="shared" si="141"/>
        <v>271.87159284743387</v>
      </c>
      <c r="T47" s="149">
        <f t="shared" si="142"/>
        <v>30</v>
      </c>
      <c r="U47" s="188">
        <f t="shared" si="143"/>
        <v>6.3787215038067471</v>
      </c>
      <c r="V47" s="188">
        <f t="shared" si="11"/>
        <v>0.88441151752381386</v>
      </c>
      <c r="W47" s="188">
        <f t="shared" si="144"/>
        <v>0.98440953283241051</v>
      </c>
      <c r="X47" s="172">
        <f t="shared" si="145"/>
        <v>350</v>
      </c>
      <c r="Y47" s="379">
        <f t="shared" si="14"/>
        <v>350</v>
      </c>
      <c r="AA47" s="188">
        <f t="shared" si="146"/>
        <v>9.7520940160809175</v>
      </c>
      <c r="AB47" s="150">
        <f t="shared" si="147"/>
        <v>1.505012298903277</v>
      </c>
      <c r="AC47" s="150">
        <f t="shared" si="148"/>
        <v>2.5684787509959959</v>
      </c>
      <c r="AD47" s="150"/>
      <c r="AE47" s="150">
        <f t="shared" si="149"/>
        <v>0.93531570193838642</v>
      </c>
      <c r="AF47" s="314">
        <f t="shared" si="150"/>
        <v>592.74103797363682</v>
      </c>
      <c r="AG47" s="456">
        <f t="shared" si="151"/>
        <v>0.99200150205586446</v>
      </c>
      <c r="AI47" s="150">
        <f t="shared" si="152"/>
        <v>7.8870488690908793</v>
      </c>
      <c r="AJ47" s="150">
        <f t="shared" si="153"/>
        <v>7.8870488690908793</v>
      </c>
      <c r="AK47" s="150">
        <f t="shared" si="154"/>
        <v>2.5529205988776438</v>
      </c>
      <c r="AM47" s="314">
        <f t="shared" si="155"/>
        <v>1680</v>
      </c>
      <c r="AN47" s="144">
        <f t="shared" si="156"/>
        <v>350</v>
      </c>
      <c r="AP47">
        <f t="shared" si="157"/>
        <v>1680</v>
      </c>
      <c r="AQ47" s="144">
        <f t="shared" si="158"/>
        <v>350</v>
      </c>
      <c r="AR47" s="144"/>
      <c r="AS47" s="5">
        <f t="shared" si="101"/>
        <v>2.8571428571428572</v>
      </c>
      <c r="AT47" s="5">
        <f t="shared" si="159"/>
        <v>1.0935415278648408</v>
      </c>
      <c r="AU47" s="5">
        <f t="shared" si="102"/>
        <v>1.7636013292780164</v>
      </c>
      <c r="AV47" s="5">
        <f t="shared" si="160"/>
        <v>1.2171853071206553</v>
      </c>
      <c r="AW47" s="150">
        <f t="shared" si="103"/>
        <v>0.38273953475269429</v>
      </c>
      <c r="AX47" s="150">
        <f t="shared" si="161"/>
        <v>51.164056537669296</v>
      </c>
      <c r="AY47" s="150">
        <f t="shared" si="162"/>
        <v>2.4341817271816364</v>
      </c>
      <c r="AZ47" s="150">
        <f t="shared" si="104"/>
        <v>21.018996226263052</v>
      </c>
      <c r="BA47" s="144">
        <f t="shared" si="163"/>
        <v>6.1238325560431086</v>
      </c>
      <c r="BB47" s="5">
        <f t="shared" si="164"/>
        <v>1.5424280804652455</v>
      </c>
      <c r="BC47" s="5"/>
      <c r="BD47" s="150">
        <f t="shared" si="105"/>
        <v>2.8171214259931183</v>
      </c>
      <c r="BE47" s="150">
        <f t="shared" si="165"/>
        <v>3.5775699609772</v>
      </c>
      <c r="BF47" s="150"/>
      <c r="BG47" s="456">
        <f t="shared" si="166"/>
        <v>9.5234077545474E-2</v>
      </c>
      <c r="BH47" s="456">
        <f t="shared" si="167"/>
        <v>3.2471375069212409</v>
      </c>
      <c r="BI47" s="456">
        <f t="shared" si="168"/>
        <v>4.0250000000000001E-2</v>
      </c>
      <c r="BJ47" s="456">
        <f t="shared" si="169"/>
        <v>0.75246944393365689</v>
      </c>
      <c r="BK47">
        <f t="shared" si="170"/>
        <v>1.5254206569271648E-2</v>
      </c>
      <c r="BL47" s="144">
        <f t="shared" si="106"/>
        <v>55.504206569271652</v>
      </c>
      <c r="BM47" s="456">
        <f t="shared" si="171"/>
        <v>4.2159511566627055</v>
      </c>
      <c r="BN47" s="144">
        <f t="shared" si="107"/>
        <v>4215.9511566627052</v>
      </c>
      <c r="BO47" s="456">
        <f t="shared" si="172"/>
        <v>1.1266079999999998</v>
      </c>
      <c r="BP47" s="456"/>
      <c r="BR47" s="144">
        <f t="shared" si="109"/>
        <v>1126.6079999999997</v>
      </c>
      <c r="BS47" s="456">
        <f t="shared" si="173"/>
        <v>0.11110642380305301</v>
      </c>
      <c r="BT47" s="456">
        <f t="shared" si="174"/>
        <v>0.17918609555960968</v>
      </c>
      <c r="BU47" s="456">
        <f t="shared" si="175"/>
        <v>20.018265486039379</v>
      </c>
      <c r="BV47" s="456">
        <f t="shared" si="176"/>
        <v>20.862731808241232</v>
      </c>
      <c r="BW47" s="456">
        <f t="shared" si="177"/>
        <v>2.1771938952199701</v>
      </c>
      <c r="BX47" s="144">
        <f t="shared" si="110"/>
        <v>23039.925703461202</v>
      </c>
      <c r="BY47" s="150">
        <f t="shared" si="45"/>
        <v>28.437989066693181</v>
      </c>
      <c r="BZ47" s="5">
        <f t="shared" si="111"/>
        <v>50.4</v>
      </c>
      <c r="CA47" s="150">
        <f t="shared" si="112"/>
        <v>0.6392857123405824</v>
      </c>
      <c r="CB47" s="5">
        <f t="shared" si="113"/>
        <v>63.928571234058239</v>
      </c>
      <c r="CE47" s="59">
        <f t="shared" si="178"/>
        <v>-50</v>
      </c>
      <c r="CF47">
        <f t="shared" si="179"/>
        <v>-50</v>
      </c>
      <c r="CG47" s="150">
        <f t="shared" si="180"/>
        <v>0.42923187206916497</v>
      </c>
      <c r="CI47" s="147">
        <v>42</v>
      </c>
      <c r="CJ47" s="188">
        <f t="shared" si="114"/>
        <v>1.68</v>
      </c>
      <c r="CK47" s="188"/>
      <c r="CL47" s="188">
        <f t="shared" si="49"/>
        <v>50.4</v>
      </c>
      <c r="CM47" s="465">
        <f t="shared" si="50"/>
        <v>34</v>
      </c>
      <c r="CN47" s="149">
        <f t="shared" si="51"/>
        <v>30.4</v>
      </c>
      <c r="CO47" s="379">
        <f t="shared" si="52"/>
        <v>64.400000000000006</v>
      </c>
      <c r="CP47" s="379"/>
      <c r="CQ47" s="188">
        <f t="shared" si="53"/>
        <v>0.47204968944099374</v>
      </c>
      <c r="CR47" s="149">
        <f t="shared" si="54"/>
        <v>244.918674788055</v>
      </c>
      <c r="CS47" s="149">
        <f t="shared" si="115"/>
        <v>50.4</v>
      </c>
      <c r="CT47" s="188">
        <f t="shared" si="55"/>
        <v>8.1639558262685004</v>
      </c>
      <c r="CU47" s="188">
        <f t="shared" si="56"/>
        <v>30</v>
      </c>
      <c r="CV47" s="188">
        <f t="shared" si="57"/>
        <v>8.1059037580776696</v>
      </c>
      <c r="CW47" s="149">
        <f t="shared" si="58"/>
        <v>272.68760750619538</v>
      </c>
      <c r="CX47" s="149">
        <f t="shared" si="59"/>
        <v>30</v>
      </c>
      <c r="CY47" s="188">
        <f t="shared" si="60"/>
        <v>6.2804953560371519</v>
      </c>
      <c r="CZ47" s="188">
        <f t="shared" si="61"/>
        <v>0.86818612274631213</v>
      </c>
      <c r="DA47" s="188">
        <f t="shared" si="62"/>
        <v>0.97099763728205957</v>
      </c>
      <c r="DB47" s="172">
        <f t="shared" si="63"/>
        <v>350</v>
      </c>
      <c r="DC47" s="379">
        <f t="shared" si="116"/>
        <v>350</v>
      </c>
      <c r="DE47" s="188">
        <f t="shared" si="64"/>
        <v>9.7566501161056465</v>
      </c>
      <c r="DF47" s="150">
        <f t="shared" si="65"/>
        <v>1.5084294587400178</v>
      </c>
      <c r="DG47" s="150">
        <f t="shared" si="66"/>
        <v>2.5755132294067704</v>
      </c>
      <c r="DH47" s="150"/>
      <c r="DI47" s="150">
        <f t="shared" si="67"/>
        <v>0.93700159489633172</v>
      </c>
      <c r="DJ47" s="314">
        <f t="shared" si="117"/>
        <v>591.67455319148928</v>
      </c>
      <c r="DK47" s="456">
        <f t="shared" si="68"/>
        <v>0.99378957034459414</v>
      </c>
      <c r="DM47" s="150">
        <f t="shared" si="69"/>
        <v>7.8799503184523054</v>
      </c>
      <c r="DN47" s="150">
        <f t="shared" si="70"/>
        <v>7.8799503184523054</v>
      </c>
      <c r="DO47" s="150">
        <f t="shared" si="71"/>
        <v>2.5476624132194408</v>
      </c>
      <c r="DQ47" s="314">
        <f t="shared" si="72"/>
        <v>1680</v>
      </c>
      <c r="DR47" s="144">
        <f t="shared" si="73"/>
        <v>350</v>
      </c>
      <c r="DT47">
        <f t="shared" si="74"/>
        <v>1680</v>
      </c>
      <c r="DU47" s="144">
        <f t="shared" si="75"/>
        <v>350</v>
      </c>
      <c r="DV47" s="144"/>
      <c r="DW47" s="5">
        <f t="shared" si="118"/>
        <v>2.8571428571428572</v>
      </c>
      <c r="DX47" s="5">
        <f t="shared" si="76"/>
        <v>1.0892872499037007</v>
      </c>
      <c r="DY47" s="5">
        <f t="shared" si="119"/>
        <v>1.7678556072391565</v>
      </c>
      <c r="DZ47" s="5">
        <f t="shared" si="77"/>
        <v>1.2182817926554552</v>
      </c>
      <c r="EA47" s="150">
        <f t="shared" si="120"/>
        <v>0.38125053746629523</v>
      </c>
      <c r="EB47" s="150">
        <f t="shared" si="78"/>
        <v>51.071999999999996</v>
      </c>
      <c r="EC47" s="150">
        <f t="shared" si="79"/>
        <v>2.43785751216733</v>
      </c>
      <c r="ED47" s="150">
        <f t="shared" si="121"/>
        <v>20.949542680447891</v>
      </c>
      <c r="EE47" s="144">
        <f t="shared" si="80"/>
        <v>6.1000085994607236</v>
      </c>
      <c r="EF47" s="5">
        <f t="shared" si="81"/>
        <v>1.5415211523331052</v>
      </c>
      <c r="EG47" s="5"/>
      <c r="EH47" s="150">
        <f t="shared" si="122"/>
        <v>2.8091057214344919</v>
      </c>
      <c r="EI47" s="150">
        <f t="shared" si="82"/>
        <v>3.5786586015195039</v>
      </c>
      <c r="EJ47" s="150"/>
      <c r="EK47" s="456">
        <f t="shared" si="83"/>
        <v>9.4692899450351975E-2</v>
      </c>
      <c r="EL47" s="456">
        <f t="shared" si="84"/>
        <v>3.3746675233803849</v>
      </c>
      <c r="EM47" s="456">
        <f t="shared" si="85"/>
        <v>4.0250000000000001E-2</v>
      </c>
      <c r="EN47" s="456">
        <f t="shared" si="86"/>
        <v>0.75119058000000016</v>
      </c>
      <c r="EO47">
        <f t="shared" si="87"/>
        <v>1.5299999999999999E-2</v>
      </c>
      <c r="EP47" s="144">
        <f t="shared" si="123"/>
        <v>55.550000000000004</v>
      </c>
      <c r="EQ47" s="456">
        <f t="shared" si="88"/>
        <v>4.4006791097973883</v>
      </c>
      <c r="ER47" s="144">
        <f t="shared" si="124"/>
        <v>4400.6791097973883</v>
      </c>
      <c r="ES47" s="456">
        <f t="shared" si="125"/>
        <v>1.1266079999999998</v>
      </c>
      <c r="ET47" s="456"/>
      <c r="EV47" s="144">
        <f t="shared" si="126"/>
        <v>1126.6079999999997</v>
      </c>
      <c r="EW47" s="456">
        <f t="shared" si="89"/>
        <v>0.11047504935874397</v>
      </c>
      <c r="EX47" s="456">
        <f t="shared" si="90"/>
        <v>0.17929516340721344</v>
      </c>
      <c r="EY47" s="456">
        <f t="shared" si="91"/>
        <v>19.973253477349374</v>
      </c>
      <c r="EZ47" s="456">
        <f t="shared" si="92"/>
        <v>20.815096127876654</v>
      </c>
      <c r="FA47" s="456">
        <f t="shared" si="93"/>
        <v>2.1732765957446811</v>
      </c>
      <c r="FB47" s="144">
        <f t="shared" si="127"/>
        <v>22988.372723621334</v>
      </c>
      <c r="FC47" s="150">
        <f t="shared" si="128"/>
        <v>28.515659833418724</v>
      </c>
      <c r="FD47" s="5">
        <f t="shared" si="129"/>
        <v>50.4</v>
      </c>
      <c r="FE47" s="150">
        <f t="shared" si="130"/>
        <v>0.6386565113488023</v>
      </c>
      <c r="FF47" s="5">
        <f t="shared" si="131"/>
        <v>63.865651134880231</v>
      </c>
      <c r="FI47" s="59">
        <f t="shared" si="94"/>
        <v>-50</v>
      </c>
      <c r="FJ47">
        <f t="shared" si="95"/>
        <v>-50</v>
      </c>
      <c r="FL47">
        <f t="shared" si="181"/>
        <v>0.42639862742940932</v>
      </c>
    </row>
    <row r="48" spans="5:168">
      <c r="E48" s="147">
        <v>43</v>
      </c>
      <c r="F48" s="188">
        <f t="shared" si="182"/>
        <v>1.72</v>
      </c>
      <c r="G48" s="188"/>
      <c r="H48" s="188">
        <f t="shared" si="132"/>
        <v>51.6</v>
      </c>
      <c r="I48" s="465">
        <f t="shared" si="133"/>
        <v>33.897032480701945</v>
      </c>
      <c r="J48" s="149">
        <f t="shared" si="134"/>
        <v>30.455444048852797</v>
      </c>
      <c r="K48" s="149">
        <f t="shared" si="135"/>
        <v>64.455444048852797</v>
      </c>
      <c r="L48" s="379"/>
      <c r="M48" s="188">
        <f t="shared" si="136"/>
        <v>0.47326287569411546</v>
      </c>
      <c r="N48" s="149">
        <f t="shared" si="137"/>
        <v>244.80449360324999</v>
      </c>
      <c r="O48" s="149">
        <f t="shared" si="98"/>
        <v>51.6</v>
      </c>
      <c r="P48" s="188">
        <f t="shared" si="138"/>
        <v>8.1601497867749995</v>
      </c>
      <c r="Q48" s="188">
        <f t="shared" si="139"/>
        <v>30</v>
      </c>
      <c r="R48" s="188">
        <f t="shared" si="140"/>
        <v>8.1021247824817362</v>
      </c>
      <c r="S48" s="149">
        <f t="shared" si="141"/>
        <v>264.75375505573197</v>
      </c>
      <c r="T48" s="149">
        <f t="shared" si="142"/>
        <v>30</v>
      </c>
      <c r="U48" s="188">
        <f t="shared" si="143"/>
        <v>6.5307718808183672</v>
      </c>
      <c r="V48" s="188">
        <f t="shared" si="11"/>
        <v>0.90552551635076628</v>
      </c>
      <c r="W48" s="188">
        <f t="shared" si="144"/>
        <v>1.0078535643942625</v>
      </c>
      <c r="X48" s="172">
        <f t="shared" si="145"/>
        <v>350</v>
      </c>
      <c r="Y48" s="379">
        <f t="shared" si="14"/>
        <v>350</v>
      </c>
      <c r="AA48" s="188">
        <f t="shared" si="146"/>
        <v>9.7520394252685509</v>
      </c>
      <c r="AB48" s="150">
        <f t="shared" si="147"/>
        <v>1.5049718278689388</v>
      </c>
      <c r="AC48" s="150">
        <f t="shared" si="148"/>
        <v>2.5683953048768644</v>
      </c>
      <c r="AD48" s="150"/>
      <c r="AE48" s="150">
        <f t="shared" si="149"/>
        <v>0.93529578617066522</v>
      </c>
      <c r="AF48" s="314">
        <f t="shared" si="150"/>
        <v>606.86684190452331</v>
      </c>
      <c r="AG48" s="456">
        <f t="shared" si="151"/>
        <v>0.99198037927191762</v>
      </c>
      <c r="AI48" s="150">
        <f t="shared" si="152"/>
        <v>7.9804749395142496</v>
      </c>
      <c r="AJ48" s="150">
        <f t="shared" si="153"/>
        <v>7.9804749395142496</v>
      </c>
      <c r="AK48" s="150">
        <f t="shared" si="154"/>
        <v>2.6221250954875472</v>
      </c>
      <c r="AM48" s="314">
        <f t="shared" si="155"/>
        <v>1720</v>
      </c>
      <c r="AN48" s="144">
        <f t="shared" si="156"/>
        <v>350</v>
      </c>
      <c r="AP48">
        <f t="shared" si="157"/>
        <v>1720</v>
      </c>
      <c r="AQ48" s="144">
        <f t="shared" si="158"/>
        <v>350</v>
      </c>
      <c r="AR48" s="144"/>
      <c r="AS48" s="5">
        <f t="shared" si="101"/>
        <v>2.8571428571428572</v>
      </c>
      <c r="AT48" s="5">
        <f t="shared" si="159"/>
        <v>1.1065343916778241</v>
      </c>
      <c r="AU48" s="5">
        <f t="shared" si="102"/>
        <v>1.7506084654650331</v>
      </c>
      <c r="AV48" s="5">
        <f t="shared" si="160"/>
        <v>1.231577256123765</v>
      </c>
      <c r="AW48" s="150">
        <f t="shared" si="103"/>
        <v>0.38728703708723844</v>
      </c>
      <c r="AX48" s="150">
        <f t="shared" si="161"/>
        <v>52.383363764026811</v>
      </c>
      <c r="AY48" s="150">
        <f t="shared" si="162"/>
        <v>2.4448702228204087</v>
      </c>
      <c r="AZ48" s="150">
        <f t="shared" si="104"/>
        <v>21.425825908909481</v>
      </c>
      <c r="BA48" s="144">
        <f t="shared" si="163"/>
        <v>6.344130512286192</v>
      </c>
      <c r="BB48" s="5">
        <f t="shared" si="164"/>
        <v>1.5675742649608846</v>
      </c>
      <c r="BC48" s="5"/>
      <c r="BD48" s="150">
        <f t="shared" si="105"/>
        <v>2.8673756394450765</v>
      </c>
      <c r="BE48" s="150">
        <f t="shared" si="165"/>
        <v>3.6065889280207593</v>
      </c>
      <c r="BF48" s="150"/>
      <c r="BG48" s="456">
        <f t="shared" si="166"/>
        <v>9.8662116692196739E-2</v>
      </c>
      <c r="BH48" s="456">
        <f t="shared" si="167"/>
        <v>3.2856345448623099</v>
      </c>
      <c r="BI48" s="456">
        <f t="shared" si="168"/>
        <v>4.0250000000000001E-2</v>
      </c>
      <c r="BJ48" s="456">
        <f t="shared" si="169"/>
        <v>0.7524845854572394</v>
      </c>
      <c r="BK48">
        <f t="shared" si="170"/>
        <v>1.5253664616315875E-2</v>
      </c>
      <c r="BL48" s="144">
        <f t="shared" si="106"/>
        <v>55.503664616315874</v>
      </c>
      <c r="BM48" s="456">
        <f t="shared" si="171"/>
        <v>4.2633622637298965</v>
      </c>
      <c r="BN48" s="144">
        <f t="shared" si="107"/>
        <v>4263.3622637298968</v>
      </c>
      <c r="BO48" s="456">
        <f t="shared" si="172"/>
        <v>1.153432</v>
      </c>
      <c r="BP48" s="456"/>
      <c r="BR48" s="144">
        <f t="shared" si="109"/>
        <v>1153.432</v>
      </c>
      <c r="BS48" s="456">
        <f t="shared" si="173"/>
        <v>0.11510580280756287</v>
      </c>
      <c r="BT48" s="456">
        <f t="shared" si="174"/>
        <v>0.182104771740107</v>
      </c>
      <c r="BU48" s="456">
        <f t="shared" si="175"/>
        <v>20.616358641976767</v>
      </c>
      <c r="BV48" s="456">
        <f t="shared" si="176"/>
        <v>21.496007001733144</v>
      </c>
      <c r="BW48" s="456">
        <f t="shared" si="177"/>
        <v>2.2290793091075241</v>
      </c>
      <c r="BX48" s="144">
        <f t="shared" si="110"/>
        <v>23725.086310840667</v>
      </c>
      <c r="BY48" s="150">
        <f t="shared" si="45"/>
        <v>29.197384239186881</v>
      </c>
      <c r="BZ48" s="5">
        <f t="shared" si="111"/>
        <v>51.6</v>
      </c>
      <c r="CA48" s="150">
        <f t="shared" si="112"/>
        <v>0.63863453607912601</v>
      </c>
      <c r="CB48" s="5">
        <f t="shared" si="113"/>
        <v>63.863453607912604</v>
      </c>
      <c r="CE48" s="59">
        <f t="shared" si="178"/>
        <v>-50</v>
      </c>
      <c r="CF48">
        <f t="shared" si="179"/>
        <v>-50</v>
      </c>
      <c r="CG48" s="150">
        <f t="shared" si="180"/>
        <v>0.43431171601358703</v>
      </c>
      <c r="CI48" s="147">
        <v>43</v>
      </c>
      <c r="CJ48" s="188">
        <f t="shared" si="114"/>
        <v>1.72</v>
      </c>
      <c r="CK48" s="188"/>
      <c r="CL48" s="188">
        <f t="shared" si="49"/>
        <v>51.6</v>
      </c>
      <c r="CM48" s="465">
        <f t="shared" si="50"/>
        <v>34</v>
      </c>
      <c r="CN48" s="149">
        <f t="shared" si="51"/>
        <v>30.4</v>
      </c>
      <c r="CO48" s="379">
        <f t="shared" si="52"/>
        <v>64.400000000000006</v>
      </c>
      <c r="CP48" s="379"/>
      <c r="CQ48" s="188">
        <f t="shared" si="53"/>
        <v>0.47204968944099374</v>
      </c>
      <c r="CR48" s="149">
        <f t="shared" si="54"/>
        <v>244.918674788055</v>
      </c>
      <c r="CS48" s="149">
        <f t="shared" si="115"/>
        <v>51.6</v>
      </c>
      <c r="CT48" s="188">
        <f t="shared" si="55"/>
        <v>8.1639558262685004</v>
      </c>
      <c r="CU48" s="188">
        <f t="shared" si="56"/>
        <v>30</v>
      </c>
      <c r="CV48" s="188">
        <f t="shared" si="57"/>
        <v>8.1059037580776696</v>
      </c>
      <c r="CW48" s="149">
        <f t="shared" si="58"/>
        <v>265.55783078170515</v>
      </c>
      <c r="CX48" s="149">
        <f t="shared" si="59"/>
        <v>30</v>
      </c>
      <c r="CY48" s="188">
        <f t="shared" si="60"/>
        <v>6.4300309597523224</v>
      </c>
      <c r="CZ48" s="188">
        <f t="shared" si="61"/>
        <v>0.88885722090693875</v>
      </c>
      <c r="DA48" s="188">
        <f t="shared" si="62"/>
        <v>0.99411662864591821</v>
      </c>
      <c r="DB48" s="172">
        <f t="shared" si="63"/>
        <v>350</v>
      </c>
      <c r="DC48" s="379">
        <f t="shared" si="116"/>
        <v>350</v>
      </c>
      <c r="DE48" s="188">
        <f t="shared" si="64"/>
        <v>9.7566501161056465</v>
      </c>
      <c r="DF48" s="150">
        <f t="shared" si="65"/>
        <v>1.5084294587400178</v>
      </c>
      <c r="DG48" s="150">
        <f t="shared" si="66"/>
        <v>2.5755132294067704</v>
      </c>
      <c r="DH48" s="150"/>
      <c r="DI48" s="150">
        <f t="shared" si="67"/>
        <v>0.93700159489633172</v>
      </c>
      <c r="DJ48" s="314">
        <f t="shared" si="117"/>
        <v>605.76204255319158</v>
      </c>
      <c r="DK48" s="456">
        <f t="shared" si="68"/>
        <v>0.99378957034459414</v>
      </c>
      <c r="DM48" s="150">
        <f t="shared" si="69"/>
        <v>7.9732074144702976</v>
      </c>
      <c r="DN48" s="150">
        <f t="shared" si="70"/>
        <v>7.9732074144702976</v>
      </c>
      <c r="DO48" s="150">
        <f t="shared" si="71"/>
        <v>2.6167417436031384</v>
      </c>
      <c r="DQ48" s="314">
        <f t="shared" si="72"/>
        <v>1720</v>
      </c>
      <c r="DR48" s="144">
        <f t="shared" si="73"/>
        <v>350</v>
      </c>
      <c r="DT48">
        <f t="shared" si="74"/>
        <v>1720</v>
      </c>
      <c r="DU48" s="144">
        <f t="shared" si="75"/>
        <v>350</v>
      </c>
      <c r="DV48" s="144"/>
      <c r="DW48" s="5">
        <f t="shared" si="118"/>
        <v>2.8571428571428572</v>
      </c>
      <c r="DX48" s="5">
        <f t="shared" si="76"/>
        <v>1.1021786720003059</v>
      </c>
      <c r="DY48" s="5">
        <f t="shared" si="119"/>
        <v>1.7549641851425513</v>
      </c>
      <c r="DZ48" s="5">
        <f t="shared" si="77"/>
        <v>1.2326998305266579</v>
      </c>
      <c r="EA48" s="150">
        <f t="shared" si="120"/>
        <v>0.38576253520010706</v>
      </c>
      <c r="EB48" s="150">
        <f t="shared" si="78"/>
        <v>52.288000000000004</v>
      </c>
      <c r="EC48" s="150">
        <f t="shared" si="79"/>
        <v>2.4487213542939723</v>
      </c>
      <c r="ED48" s="150">
        <f t="shared" si="121"/>
        <v>21.353184962556078</v>
      </c>
      <c r="EE48" s="144">
        <f t="shared" si="80"/>
        <v>6.3191577194684214</v>
      </c>
      <c r="EF48" s="5">
        <f t="shared" si="81"/>
        <v>1.5667154317189558</v>
      </c>
      <c r="EG48" s="5"/>
      <c r="EH48" s="150">
        <f t="shared" si="122"/>
        <v>2.8591204916959594</v>
      </c>
      <c r="EI48" s="150">
        <f t="shared" si="82"/>
        <v>3.6077844778597341</v>
      </c>
      <c r="EJ48" s="150"/>
      <c r="EK48" s="456">
        <f t="shared" si="83"/>
        <v>9.8094839832428921E-2</v>
      </c>
      <c r="EL48" s="456">
        <f t="shared" si="84"/>
        <v>3.4146058073210503</v>
      </c>
      <c r="EM48" s="456">
        <f t="shared" si="85"/>
        <v>4.0250000000000001E-2</v>
      </c>
      <c r="EN48" s="456">
        <f t="shared" si="86"/>
        <v>0.75119058000000016</v>
      </c>
      <c r="EO48">
        <f t="shared" si="87"/>
        <v>1.5299999999999999E-2</v>
      </c>
      <c r="EP48" s="144">
        <f t="shared" si="123"/>
        <v>55.550000000000004</v>
      </c>
      <c r="EQ48" s="456">
        <f t="shared" si="88"/>
        <v>4.4496359857583689</v>
      </c>
      <c r="ER48" s="144">
        <f t="shared" si="124"/>
        <v>4449.6359857583693</v>
      </c>
      <c r="ES48" s="456">
        <f t="shared" si="125"/>
        <v>1.153432</v>
      </c>
      <c r="ET48" s="456"/>
      <c r="EV48" s="144">
        <f t="shared" si="126"/>
        <v>1153.432</v>
      </c>
      <c r="EW48" s="456">
        <f t="shared" si="89"/>
        <v>0.11444397980450041</v>
      </c>
      <c r="EX48" s="456">
        <f t="shared" si="90"/>
        <v>0.18222552374159887</v>
      </c>
      <c r="EY48" s="456">
        <f t="shared" si="91"/>
        <v>20.569454295438064</v>
      </c>
      <c r="EZ48" s="456">
        <f t="shared" si="92"/>
        <v>21.446322057244217</v>
      </c>
      <c r="FA48" s="456">
        <f t="shared" si="93"/>
        <v>2.2250212765957449</v>
      </c>
      <c r="FB48" s="144">
        <f t="shared" si="127"/>
        <v>23671.343333839959</v>
      </c>
      <c r="FC48" s="150">
        <f t="shared" si="128"/>
        <v>29.274411319598329</v>
      </c>
      <c r="FD48" s="5">
        <f t="shared" si="129"/>
        <v>51.6</v>
      </c>
      <c r="FE48" s="150">
        <f t="shared" si="130"/>
        <v>0.63802628245524873</v>
      </c>
      <c r="FF48" s="5">
        <f t="shared" si="131"/>
        <v>63.802628245524872</v>
      </c>
      <c r="FI48" s="59">
        <f t="shared" si="94"/>
        <v>-50</v>
      </c>
      <c r="FJ48">
        <f t="shared" si="95"/>
        <v>-50</v>
      </c>
      <c r="FL48">
        <f t="shared" si="181"/>
        <v>0.43144494068433026</v>
      </c>
    </row>
    <row r="49" spans="5:168">
      <c r="E49" s="147">
        <v>44</v>
      </c>
      <c r="F49" s="188">
        <f t="shared" si="182"/>
        <v>1.76</v>
      </c>
      <c r="G49" s="188"/>
      <c r="H49" s="188">
        <f t="shared" si="132"/>
        <v>52.8</v>
      </c>
      <c r="I49" s="465">
        <f t="shared" si="133"/>
        <v>33.895842065208939</v>
      </c>
      <c r="J49" s="149">
        <f t="shared" si="134"/>
        <v>30.456085041810571</v>
      </c>
      <c r="K49" s="149">
        <f t="shared" si="135"/>
        <v>64.456085041810567</v>
      </c>
      <c r="L49" s="379"/>
      <c r="M49" s="188">
        <f t="shared" si="136"/>
        <v>0.47327691183105541</v>
      </c>
      <c r="N49" s="149">
        <f t="shared" si="137"/>
        <v>244.80315662998953</v>
      </c>
      <c r="O49" s="149">
        <f t="shared" si="98"/>
        <v>52.8</v>
      </c>
      <c r="P49" s="188">
        <f t="shared" si="138"/>
        <v>8.1601052209996503</v>
      </c>
      <c r="Q49" s="188">
        <f t="shared" si="139"/>
        <v>30</v>
      </c>
      <c r="R49" s="188">
        <f t="shared" si="140"/>
        <v>8.1020805336036723</v>
      </c>
      <c r="S49" s="149">
        <f t="shared" si="141"/>
        <v>257.95968454825498</v>
      </c>
      <c r="T49" s="149">
        <f t="shared" si="142"/>
        <v>30</v>
      </c>
      <c r="U49" s="188">
        <f t="shared" si="143"/>
        <v>6.6828283761712983</v>
      </c>
      <c r="V49" s="188">
        <f t="shared" si="11"/>
        <v>0.92664148327041995</v>
      </c>
      <c r="W49" s="188">
        <f t="shared" si="144"/>
        <v>1.0312977956584359</v>
      </c>
      <c r="X49" s="172">
        <f t="shared" si="145"/>
        <v>350</v>
      </c>
      <c r="Y49" s="379">
        <f t="shared" si="14"/>
        <v>350</v>
      </c>
      <c r="AA49" s="188">
        <f t="shared" si="146"/>
        <v>9.7519854502000758</v>
      </c>
      <c r="AB49" s="150">
        <f t="shared" si="147"/>
        <v>1.5049318240679423</v>
      </c>
      <c r="AC49" s="150">
        <f t="shared" si="148"/>
        <v>2.5683128190743858</v>
      </c>
      <c r="AD49" s="150"/>
      <c r="AE49" s="150">
        <f t="shared" si="149"/>
        <v>0.93527610149971852</v>
      </c>
      <c r="AF49" s="314">
        <f t="shared" si="150"/>
        <v>620.99309398442369</v>
      </c>
      <c r="AG49" s="456">
        <f t="shared" si="151"/>
        <v>0.99195950159061053</v>
      </c>
      <c r="AI49" s="150">
        <f t="shared" si="152"/>
        <v>8.0728227831565338</v>
      </c>
      <c r="AJ49" s="150">
        <f t="shared" si="153"/>
        <v>8.0728227831565338</v>
      </c>
      <c r="AK49" s="150">
        <f t="shared" si="154"/>
        <v>2.6905309055929432</v>
      </c>
      <c r="AM49" s="314">
        <f t="shared" si="155"/>
        <v>1760</v>
      </c>
      <c r="AN49" s="144">
        <f t="shared" si="156"/>
        <v>350</v>
      </c>
      <c r="AP49">
        <f t="shared" si="157"/>
        <v>1760</v>
      </c>
      <c r="AQ49" s="144">
        <f t="shared" si="158"/>
        <v>350</v>
      </c>
      <c r="AR49" s="144"/>
      <c r="AS49" s="5">
        <f t="shared" si="101"/>
        <v>2.8571428571428572</v>
      </c>
      <c r="AT49" s="5">
        <f t="shared" si="159"/>
        <v>1.1193782118715989</v>
      </c>
      <c r="AU49" s="5">
        <f t="shared" si="102"/>
        <v>1.7377646452712583</v>
      </c>
      <c r="AV49" s="5">
        <f t="shared" si="160"/>
        <v>1.245802506420244</v>
      </c>
      <c r="AW49" s="150">
        <f t="shared" si="103"/>
        <v>0.39178237415505962</v>
      </c>
      <c r="AX49" s="150">
        <f t="shared" si="161"/>
        <v>53.602709673586617</v>
      </c>
      <c r="AY49" s="150">
        <f t="shared" si="162"/>
        <v>2.4550165535192052</v>
      </c>
      <c r="AZ49" s="150">
        <f t="shared" si="104"/>
        <v>21.83395040524206</v>
      </c>
      <c r="BA49" s="144">
        <f t="shared" si="163"/>
        <v>6.5670188429800467</v>
      </c>
      <c r="BB49" s="5">
        <f t="shared" si="164"/>
        <v>1.5923169971496072</v>
      </c>
      <c r="BC49" s="5"/>
      <c r="BD49" s="150">
        <f t="shared" si="105"/>
        <v>2.9173412870682247</v>
      </c>
      <c r="BE49" s="150">
        <f t="shared" si="165"/>
        <v>3.6349152733157593</v>
      </c>
      <c r="BF49" s="150"/>
      <c r="BG49" s="456">
        <f t="shared" si="166"/>
        <v>0.10213056222279462</v>
      </c>
      <c r="BH49" s="456">
        <f t="shared" si="167"/>
        <v>3.3236880498690797</v>
      </c>
      <c r="BI49" s="456">
        <f t="shared" si="168"/>
        <v>4.0250000000000001E-2</v>
      </c>
      <c r="BJ49" s="456">
        <f t="shared" si="169"/>
        <v>0.75249955206636265</v>
      </c>
      <c r="BK49">
        <f t="shared" si="170"/>
        <v>1.5253128929344021E-2</v>
      </c>
      <c r="BL49" s="144">
        <f t="shared" si="106"/>
        <v>55.503128929344022</v>
      </c>
      <c r="BM49" s="456">
        <f t="shared" si="171"/>
        <v>4.3104927891158988</v>
      </c>
      <c r="BN49" s="144">
        <f t="shared" si="107"/>
        <v>4310.4927891158986</v>
      </c>
      <c r="BO49" s="456">
        <f t="shared" si="172"/>
        <v>1.180256</v>
      </c>
      <c r="BP49" s="456"/>
      <c r="BR49" s="144">
        <f t="shared" si="109"/>
        <v>1180.2559999999999</v>
      </c>
      <c r="BS49" s="456">
        <f t="shared" si="173"/>
        <v>0.11915232259326039</v>
      </c>
      <c r="BT49" s="456">
        <f t="shared" si="174"/>
        <v>0.18497652661857852</v>
      </c>
      <c r="BU49" s="456">
        <f t="shared" si="175"/>
        <v>21.217961756602723</v>
      </c>
      <c r="BV49" s="456">
        <f t="shared" si="176"/>
        <v>22.133598804286539</v>
      </c>
      <c r="BW49" s="456">
        <f t="shared" si="177"/>
        <v>2.2809663690887922</v>
      </c>
      <c r="BX49" s="144">
        <f t="shared" si="110"/>
        <v>24414.565173375329</v>
      </c>
      <c r="BY49" s="150">
        <f t="shared" si="45"/>
        <v>29.960817091420573</v>
      </c>
      <c r="BZ49" s="5">
        <f t="shared" si="111"/>
        <v>52.8</v>
      </c>
      <c r="CA49" s="150">
        <f t="shared" si="112"/>
        <v>0.63798306802209581</v>
      </c>
      <c r="CB49" s="5">
        <f t="shared" si="113"/>
        <v>63.798306802209581</v>
      </c>
      <c r="CE49" s="59">
        <f t="shared" si="178"/>
        <v>-50</v>
      </c>
      <c r="CF49">
        <f t="shared" si="179"/>
        <v>-50</v>
      </c>
      <c r="CG49" s="150">
        <f t="shared" si="180"/>
        <v>0.43933282751614783</v>
      </c>
      <c r="CI49" s="147">
        <v>44</v>
      </c>
      <c r="CJ49" s="188">
        <f t="shared" si="114"/>
        <v>1.76</v>
      </c>
      <c r="CK49" s="188"/>
      <c r="CL49" s="188">
        <f t="shared" si="49"/>
        <v>52.8</v>
      </c>
      <c r="CM49" s="465">
        <f t="shared" si="50"/>
        <v>34</v>
      </c>
      <c r="CN49" s="149">
        <f t="shared" si="51"/>
        <v>30.4</v>
      </c>
      <c r="CO49" s="379">
        <f t="shared" si="52"/>
        <v>64.400000000000006</v>
      </c>
      <c r="CP49" s="379"/>
      <c r="CQ49" s="188">
        <f t="shared" si="53"/>
        <v>0.47204968944099374</v>
      </c>
      <c r="CR49" s="149">
        <f t="shared" si="54"/>
        <v>244.918674788055</v>
      </c>
      <c r="CS49" s="149">
        <f t="shared" si="115"/>
        <v>52.8</v>
      </c>
      <c r="CT49" s="188">
        <f t="shared" si="55"/>
        <v>8.1639558262685004</v>
      </c>
      <c r="CU49" s="188">
        <f t="shared" si="56"/>
        <v>30</v>
      </c>
      <c r="CV49" s="188">
        <f t="shared" si="57"/>
        <v>8.1059037580776696</v>
      </c>
      <c r="CW49" s="149">
        <f t="shared" si="58"/>
        <v>258.75220333084025</v>
      </c>
      <c r="CX49" s="149">
        <f t="shared" si="59"/>
        <v>30</v>
      </c>
      <c r="CY49" s="188">
        <f t="shared" si="60"/>
        <v>6.579566563467492</v>
      </c>
      <c r="CZ49" s="188">
        <f t="shared" si="61"/>
        <v>0.90952831906756515</v>
      </c>
      <c r="DA49" s="188">
        <f t="shared" si="62"/>
        <v>1.017235620009777</v>
      </c>
      <c r="DB49" s="172">
        <f t="shared" si="63"/>
        <v>350</v>
      </c>
      <c r="DC49" s="379">
        <f t="shared" si="116"/>
        <v>350</v>
      </c>
      <c r="DE49" s="188">
        <f t="shared" si="64"/>
        <v>9.7566501161056465</v>
      </c>
      <c r="DF49" s="150">
        <f t="shared" si="65"/>
        <v>1.5084294587400178</v>
      </c>
      <c r="DG49" s="150">
        <f t="shared" si="66"/>
        <v>2.5755132294067704</v>
      </c>
      <c r="DH49" s="150"/>
      <c r="DI49" s="150">
        <f t="shared" si="67"/>
        <v>0.93700159489633172</v>
      </c>
      <c r="DJ49" s="314">
        <f t="shared" si="117"/>
        <v>619.84953191489365</v>
      </c>
      <c r="DK49" s="456">
        <f t="shared" si="68"/>
        <v>0.99378957034459414</v>
      </c>
      <c r="DM49" s="150">
        <f t="shared" si="69"/>
        <v>8.0653862850486995</v>
      </c>
      <c r="DN49" s="150">
        <f t="shared" si="70"/>
        <v>8.0653862850486995</v>
      </c>
      <c r="DO49" s="150">
        <f t="shared" si="71"/>
        <v>2.6850223884760291</v>
      </c>
      <c r="DQ49" s="314">
        <f t="shared" si="72"/>
        <v>1760</v>
      </c>
      <c r="DR49" s="144">
        <f t="shared" si="73"/>
        <v>350</v>
      </c>
      <c r="DT49">
        <f t="shared" si="74"/>
        <v>1760</v>
      </c>
      <c r="DU49" s="144">
        <f t="shared" si="75"/>
        <v>350</v>
      </c>
      <c r="DV49" s="144"/>
      <c r="DW49" s="5">
        <f t="shared" si="118"/>
        <v>2.8571428571428572</v>
      </c>
      <c r="DX49" s="5">
        <f t="shared" si="76"/>
        <v>1.1149210452861438</v>
      </c>
      <c r="DY49" s="5">
        <f t="shared" si="119"/>
        <v>1.7422218118567134</v>
      </c>
      <c r="DZ49" s="5">
        <f t="shared" si="77"/>
        <v>1.2469511690700295</v>
      </c>
      <c r="EA49" s="150">
        <f t="shared" si="120"/>
        <v>0.3902223658501503</v>
      </c>
      <c r="EB49" s="150">
        <f t="shared" si="78"/>
        <v>53.503999999999984</v>
      </c>
      <c r="EC49" s="150">
        <f t="shared" si="79"/>
        <v>2.4590460837008208</v>
      </c>
      <c r="ED49" s="150">
        <f t="shared" si="121"/>
        <v>21.758030626037481</v>
      </c>
      <c r="EE49" s="144">
        <f t="shared" si="80"/>
        <v>6.5408701323453764</v>
      </c>
      <c r="EF49" s="5">
        <f t="shared" si="81"/>
        <v>1.5915105824573432</v>
      </c>
      <c r="EG49" s="5"/>
      <c r="EH49" s="150">
        <f t="shared" si="122"/>
        <v>2.9088452927513484</v>
      </c>
      <c r="EI49" s="150">
        <f t="shared" si="82"/>
        <v>3.6362211665210276</v>
      </c>
      <c r="EJ49" s="150"/>
      <c r="EK49" s="456">
        <f t="shared" si="83"/>
        <v>0.10153657124594014</v>
      </c>
      <c r="EL49" s="456">
        <f t="shared" si="84"/>
        <v>3.4540823304349564</v>
      </c>
      <c r="EM49" s="456">
        <f t="shared" si="85"/>
        <v>4.0250000000000001E-2</v>
      </c>
      <c r="EN49" s="456">
        <f t="shared" si="86"/>
        <v>0.75119058000000016</v>
      </c>
      <c r="EO49">
        <f t="shared" si="87"/>
        <v>1.5299999999999999E-2</v>
      </c>
      <c r="EP49" s="144">
        <f t="shared" si="123"/>
        <v>55.550000000000004</v>
      </c>
      <c r="EQ49" s="456">
        <f t="shared" si="88"/>
        <v>4.4982961524183507</v>
      </c>
      <c r="ER49" s="144">
        <f t="shared" si="124"/>
        <v>4498.2961524183511</v>
      </c>
      <c r="ES49" s="456">
        <f t="shared" si="125"/>
        <v>1.180256</v>
      </c>
      <c r="ET49" s="456"/>
      <c r="EV49" s="144">
        <f t="shared" si="126"/>
        <v>1180.2559999999999</v>
      </c>
      <c r="EW49" s="456">
        <f t="shared" si="89"/>
        <v>0.11845933312026349</v>
      </c>
      <c r="EX49" s="456">
        <f t="shared" si="90"/>
        <v>0.1851094612059776</v>
      </c>
      <c r="EY49" s="456">
        <f t="shared" si="91"/>
        <v>21.16913176835353</v>
      </c>
      <c r="EZ49" s="456">
        <f t="shared" si="92"/>
        <v>22.081825320442007</v>
      </c>
      <c r="FA49" s="456">
        <f t="shared" si="93"/>
        <v>2.2767659574468087</v>
      </c>
      <c r="FB49" s="144">
        <f t="shared" si="127"/>
        <v>24358.591277888816</v>
      </c>
      <c r="FC49" s="150">
        <f t="shared" si="128"/>
        <v>30.037143430307168</v>
      </c>
      <c r="FD49" s="5">
        <f t="shared" si="129"/>
        <v>52.8</v>
      </c>
      <c r="FE49" s="150">
        <f t="shared" si="130"/>
        <v>0.63739522892193734</v>
      </c>
      <c r="FF49" s="5">
        <f t="shared" si="131"/>
        <v>63.739522892193733</v>
      </c>
      <c r="FI49" s="59">
        <f t="shared" si="94"/>
        <v>-50</v>
      </c>
      <c r="FJ49">
        <f t="shared" si="95"/>
        <v>-50</v>
      </c>
      <c r="FL49">
        <f t="shared" si="181"/>
        <v>0.43643290917451028</v>
      </c>
    </row>
    <row r="50" spans="5:168">
      <c r="E50" s="147">
        <v>45</v>
      </c>
      <c r="F50" s="188">
        <f t="shared" si="182"/>
        <v>1.8</v>
      </c>
      <c r="G50" s="188"/>
      <c r="H50" s="188">
        <f t="shared" si="132"/>
        <v>54</v>
      </c>
      <c r="I50" s="465">
        <f t="shared" si="133"/>
        <v>33.894665102034118</v>
      </c>
      <c r="J50" s="149">
        <f t="shared" si="134"/>
        <v>30.456718791212399</v>
      </c>
      <c r="K50" s="149">
        <f t="shared" si="135"/>
        <v>64.456718791212396</v>
      </c>
      <c r="L50" s="379"/>
      <c r="M50" s="188">
        <f t="shared" si="136"/>
        <v>0.47329078958610232</v>
      </c>
      <c r="N50" s="149">
        <f t="shared" si="137"/>
        <v>244.80183438481373</v>
      </c>
      <c r="O50" s="149">
        <f t="shared" si="98"/>
        <v>54</v>
      </c>
      <c r="P50" s="188">
        <f t="shared" si="138"/>
        <v>8.1600611461604569</v>
      </c>
      <c r="Q50" s="188">
        <f t="shared" si="139"/>
        <v>30</v>
      </c>
      <c r="R50" s="188">
        <f t="shared" si="140"/>
        <v>8.1020367721708269</v>
      </c>
      <c r="S50" s="149">
        <f t="shared" si="141"/>
        <v>251.46779299919953</v>
      </c>
      <c r="T50" s="149">
        <f t="shared" si="142"/>
        <v>30</v>
      </c>
      <c r="U50" s="188">
        <f t="shared" si="143"/>
        <v>6.8348909204968242</v>
      </c>
      <c r="V50" s="188">
        <f t="shared" si="11"/>
        <v>0.94775939604746884</v>
      </c>
      <c r="W50" s="188">
        <f t="shared" si="144"/>
        <v>1.0547422244185978</v>
      </c>
      <c r="X50" s="172">
        <f t="shared" si="145"/>
        <v>350</v>
      </c>
      <c r="Y50" s="379">
        <f t="shared" si="14"/>
        <v>350</v>
      </c>
      <c r="AA50" s="188">
        <f t="shared" si="146"/>
        <v>9.7519320699990342</v>
      </c>
      <c r="AB50" s="150">
        <f t="shared" si="147"/>
        <v>1.5048922716592783</v>
      </c>
      <c r="AC50" s="150">
        <f t="shared" si="148"/>
        <v>2.5682312610303675</v>
      </c>
      <c r="AD50" s="150"/>
      <c r="AE50" s="150">
        <f t="shared" si="149"/>
        <v>0.93525664009043374</v>
      </c>
      <c r="AF50" s="314">
        <f t="shared" si="150"/>
        <v>635.11978909079312</v>
      </c>
      <c r="AG50" s="456">
        <f t="shared" si="151"/>
        <v>0.99193886070197512</v>
      </c>
      <c r="AI50" s="150">
        <f t="shared" si="152"/>
        <v>8.164128955984717</v>
      </c>
      <c r="AJ50" s="150">
        <f t="shared" si="153"/>
        <v>8.164128955984717</v>
      </c>
      <c r="AK50" s="150">
        <f t="shared" si="154"/>
        <v>2.7581651076878937</v>
      </c>
      <c r="AM50" s="314">
        <f t="shared" si="155"/>
        <v>1800</v>
      </c>
      <c r="AN50" s="144">
        <f t="shared" si="156"/>
        <v>350</v>
      </c>
      <c r="AP50">
        <f t="shared" si="157"/>
        <v>1800</v>
      </c>
      <c r="AQ50" s="144">
        <f t="shared" si="158"/>
        <v>350</v>
      </c>
      <c r="AR50" s="144"/>
      <c r="AS50" s="5">
        <f t="shared" si="101"/>
        <v>2.8571428571428572</v>
      </c>
      <c r="AT50" s="5">
        <f t="shared" si="159"/>
        <v>1.1320780417100325</v>
      </c>
      <c r="AU50" s="5">
        <f t="shared" si="102"/>
        <v>1.7250648154328247</v>
      </c>
      <c r="AV50" s="5">
        <f t="shared" si="160"/>
        <v>1.2598667097454823</v>
      </c>
      <c r="AW50" s="150">
        <f t="shared" si="103"/>
        <v>0.39622731459851135</v>
      </c>
      <c r="AX50" s="150">
        <f t="shared" si="161"/>
        <v>54.822093824182318</v>
      </c>
      <c r="AY50" s="150">
        <f t="shared" si="162"/>
        <v>2.4646390318594724</v>
      </c>
      <c r="AZ50" s="150">
        <f t="shared" si="104"/>
        <v>22.243457607997559</v>
      </c>
      <c r="BA50" s="144">
        <f t="shared" si="163"/>
        <v>6.7924682502601952</v>
      </c>
      <c r="BB50" s="5">
        <f t="shared" si="164"/>
        <v>1.616660802673948</v>
      </c>
      <c r="BC50" s="5"/>
      <c r="BD50" s="150">
        <f t="shared" si="105"/>
        <v>2.9670265608203326</v>
      </c>
      <c r="BE50" s="150">
        <f t="shared" si="165"/>
        <v>3.6625702164876928</v>
      </c>
      <c r="BF50" s="150"/>
      <c r="BG50" s="456">
        <f t="shared" si="166"/>
        <v>0.10563895935135997</v>
      </c>
      <c r="BH50" s="456">
        <f t="shared" si="167"/>
        <v>3.3613130594094103</v>
      </c>
      <c r="BI50" s="456">
        <f t="shared" si="168"/>
        <v>4.0250000000000001E-2</v>
      </c>
      <c r="BJ50" s="456">
        <f t="shared" si="169"/>
        <v>0.7525143496912936</v>
      </c>
      <c r="BK50">
        <f t="shared" si="170"/>
        <v>1.5252599295915353E-2</v>
      </c>
      <c r="BL50" s="144">
        <f t="shared" si="106"/>
        <v>55.502599295915353</v>
      </c>
      <c r="BM50" s="456">
        <f t="shared" si="171"/>
        <v>4.3573577689565619</v>
      </c>
      <c r="BN50" s="144">
        <f t="shared" si="107"/>
        <v>4357.3577689565618</v>
      </c>
      <c r="BO50" s="456">
        <f t="shared" si="172"/>
        <v>1.2070799999999999</v>
      </c>
      <c r="BP50" s="456"/>
      <c r="BR50" s="144">
        <f t="shared" si="109"/>
        <v>1207.08</v>
      </c>
      <c r="BS50" s="456">
        <f t="shared" si="173"/>
        <v>0.12324545257658663</v>
      </c>
      <c r="BT50" s="456">
        <f t="shared" si="174"/>
        <v>0.18780188826983787</v>
      </c>
      <c r="BU50" s="456">
        <f t="shared" si="175"/>
        <v>21.823015199003059</v>
      </c>
      <c r="BV50" s="456">
        <f t="shared" si="176"/>
        <v>22.775453439978783</v>
      </c>
      <c r="BW50" s="456">
        <f t="shared" si="177"/>
        <v>2.3328550563481838</v>
      </c>
      <c r="BX50" s="144">
        <f t="shared" si="110"/>
        <v>25108.308496326965</v>
      </c>
      <c r="BY50" s="150">
        <f t="shared" si="45"/>
        <v>30.728248864579445</v>
      </c>
      <c r="BZ50" s="5">
        <f t="shared" si="111"/>
        <v>54</v>
      </c>
      <c r="CA50" s="150">
        <f t="shared" si="112"/>
        <v>0.63733171313746628</v>
      </c>
      <c r="CB50" s="5">
        <f t="shared" si="113"/>
        <v>63.733171313746631</v>
      </c>
      <c r="CE50" s="59">
        <f t="shared" si="178"/>
        <v>-50</v>
      </c>
      <c r="CF50">
        <f t="shared" si="179"/>
        <v>-50</v>
      </c>
      <c r="CG50" s="150">
        <f t="shared" si="180"/>
        <v>0.44429719783046123</v>
      </c>
      <c r="CI50" s="147">
        <v>45</v>
      </c>
      <c r="CJ50" s="188">
        <f t="shared" si="114"/>
        <v>1.8</v>
      </c>
      <c r="CK50" s="188"/>
      <c r="CL50" s="188">
        <f t="shared" si="49"/>
        <v>54</v>
      </c>
      <c r="CM50" s="465">
        <f t="shared" si="50"/>
        <v>34</v>
      </c>
      <c r="CN50" s="149">
        <f t="shared" si="51"/>
        <v>30.4</v>
      </c>
      <c r="CO50" s="379">
        <f t="shared" si="52"/>
        <v>64.400000000000006</v>
      </c>
      <c r="CP50" s="379"/>
      <c r="CQ50" s="188">
        <f t="shared" si="53"/>
        <v>0.47204968944099374</v>
      </c>
      <c r="CR50" s="149">
        <f t="shared" si="54"/>
        <v>244.918674788055</v>
      </c>
      <c r="CS50" s="149">
        <f t="shared" si="115"/>
        <v>54</v>
      </c>
      <c r="CT50" s="188">
        <f t="shared" si="55"/>
        <v>8.1639558262685004</v>
      </c>
      <c r="CU50" s="188">
        <f t="shared" si="56"/>
        <v>30</v>
      </c>
      <c r="CV50" s="188">
        <f t="shared" si="57"/>
        <v>8.1059037580776696</v>
      </c>
      <c r="CW50" s="149">
        <f t="shared" si="58"/>
        <v>252.24911579194782</v>
      </c>
      <c r="CX50" s="149">
        <f t="shared" si="59"/>
        <v>30</v>
      </c>
      <c r="CY50" s="188">
        <f t="shared" si="60"/>
        <v>6.7291021671826625</v>
      </c>
      <c r="CZ50" s="188">
        <f t="shared" si="61"/>
        <v>0.93019941722819155</v>
      </c>
      <c r="DA50" s="188">
        <f t="shared" si="62"/>
        <v>1.0403546113736353</v>
      </c>
      <c r="DB50" s="172">
        <f t="shared" si="63"/>
        <v>350</v>
      </c>
      <c r="DC50" s="379">
        <f t="shared" si="116"/>
        <v>350</v>
      </c>
      <c r="DE50" s="188">
        <f t="shared" si="64"/>
        <v>9.7566501161056465</v>
      </c>
      <c r="DF50" s="150">
        <f t="shared" si="65"/>
        <v>1.5084294587400178</v>
      </c>
      <c r="DG50" s="150">
        <f t="shared" si="66"/>
        <v>2.5755132294067704</v>
      </c>
      <c r="DH50" s="150"/>
      <c r="DI50" s="150">
        <f t="shared" si="67"/>
        <v>0.93700159489633172</v>
      </c>
      <c r="DJ50" s="314">
        <f t="shared" si="117"/>
        <v>633.93702127659571</v>
      </c>
      <c r="DK50" s="456">
        <f t="shared" si="68"/>
        <v>0.99378957034459414</v>
      </c>
      <c r="DM50" s="150">
        <f t="shared" si="69"/>
        <v>8.1565234861391289</v>
      </c>
      <c r="DN50" s="150">
        <f t="shared" si="70"/>
        <v>8.1565234861391289</v>
      </c>
      <c r="DO50" s="150">
        <f t="shared" si="71"/>
        <v>2.7525314263207914</v>
      </c>
      <c r="DQ50" s="314">
        <f t="shared" si="72"/>
        <v>1800</v>
      </c>
      <c r="DR50" s="144">
        <f t="shared" si="73"/>
        <v>350</v>
      </c>
      <c r="DT50">
        <f t="shared" si="74"/>
        <v>1800</v>
      </c>
      <c r="DU50" s="144">
        <f t="shared" si="75"/>
        <v>350</v>
      </c>
      <c r="DV50" s="144"/>
      <c r="DW50" s="5">
        <f t="shared" si="118"/>
        <v>2.8571428571428572</v>
      </c>
      <c r="DX50" s="5">
        <f t="shared" si="76"/>
        <v>1.1275194230839383</v>
      </c>
      <c r="DY50" s="5">
        <f t="shared" si="119"/>
        <v>1.7296234340589189</v>
      </c>
      <c r="DZ50" s="5">
        <f t="shared" si="77"/>
        <v>1.261041460028089</v>
      </c>
      <c r="EA50" s="150">
        <f t="shared" si="120"/>
        <v>0.39463179807937837</v>
      </c>
      <c r="EB50" s="150">
        <f t="shared" si="78"/>
        <v>54.72</v>
      </c>
      <c r="EC50" s="150">
        <f t="shared" si="79"/>
        <v>2.4688499783636826</v>
      </c>
      <c r="ED50" s="150">
        <f t="shared" si="121"/>
        <v>22.164165696397482</v>
      </c>
      <c r="EE50" s="144">
        <f t="shared" si="80"/>
        <v>6.7651165385036292</v>
      </c>
      <c r="EF50" s="5">
        <f t="shared" si="81"/>
        <v>1.6159111667678479</v>
      </c>
      <c r="EG50" s="5"/>
      <c r="EH50" s="150">
        <f t="shared" si="122"/>
        <v>2.9582883404306783</v>
      </c>
      <c r="EI50" s="150">
        <f t="shared" si="82"/>
        <v>3.663989886474166</v>
      </c>
      <c r="EJ50" s="150"/>
      <c r="EK50" s="456">
        <f t="shared" si="83"/>
        <v>0.10501763886153717</v>
      </c>
      <c r="EL50" s="456">
        <f t="shared" si="84"/>
        <v>3.4931127481739437</v>
      </c>
      <c r="EM50" s="456">
        <f t="shared" si="85"/>
        <v>4.0250000000000001E-2</v>
      </c>
      <c r="EN50" s="456">
        <f t="shared" si="86"/>
        <v>0.75119058000000016</v>
      </c>
      <c r="EO50">
        <f t="shared" si="87"/>
        <v>1.5299999999999999E-2</v>
      </c>
      <c r="EP50" s="144">
        <f t="shared" si="123"/>
        <v>55.550000000000004</v>
      </c>
      <c r="EQ50" s="456">
        <f t="shared" si="88"/>
        <v>4.5466752384636635</v>
      </c>
      <c r="ER50" s="144">
        <f t="shared" si="124"/>
        <v>4546.6752384636638</v>
      </c>
      <c r="ES50" s="456">
        <f t="shared" si="125"/>
        <v>1.2070799999999999</v>
      </c>
      <c r="ET50" s="456"/>
      <c r="EV50" s="144">
        <f t="shared" si="126"/>
        <v>1207.08</v>
      </c>
      <c r="EW50" s="456">
        <f t="shared" si="89"/>
        <v>0.12252057867179336</v>
      </c>
      <c r="EX50" s="456">
        <f t="shared" si="90"/>
        <v>0.18794750643458963</v>
      </c>
      <c r="EY50" s="456">
        <f t="shared" si="91"/>
        <v>21.772226455876801</v>
      </c>
      <c r="EZ50" s="456">
        <f t="shared" si="92"/>
        <v>22.721552226234614</v>
      </c>
      <c r="FA50" s="456">
        <f t="shared" si="93"/>
        <v>2.3285106382978729</v>
      </c>
      <c r="FB50" s="144">
        <f t="shared" si="127"/>
        <v>25050.062864532487</v>
      </c>
      <c r="FC50" s="150">
        <f t="shared" si="128"/>
        <v>30.803818102996146</v>
      </c>
      <c r="FD50" s="5">
        <f t="shared" si="129"/>
        <v>54</v>
      </c>
      <c r="FE50" s="150">
        <f t="shared" si="130"/>
        <v>0.63676378266855604</v>
      </c>
      <c r="FF50" s="5">
        <f t="shared" si="131"/>
        <v>63.676378266855608</v>
      </c>
      <c r="FI50" s="59">
        <f t="shared" si="94"/>
        <v>-50</v>
      </c>
      <c r="FJ50">
        <f t="shared" si="95"/>
        <v>-50</v>
      </c>
      <c r="FL50">
        <f t="shared" si="181"/>
        <v>0.44136451100983121</v>
      </c>
    </row>
    <row r="51" spans="5:168">
      <c r="E51" s="147">
        <v>46</v>
      </c>
      <c r="F51" s="188">
        <f t="shared" si="182"/>
        <v>1.84</v>
      </c>
      <c r="G51" s="188"/>
      <c r="H51" s="188">
        <f t="shared" si="132"/>
        <v>55.2</v>
      </c>
      <c r="I51" s="465">
        <f t="shared" si="133"/>
        <v>33.893501145175044</v>
      </c>
      <c r="J51" s="149">
        <f t="shared" si="134"/>
        <v>30.457345537213438</v>
      </c>
      <c r="K51" s="149">
        <f t="shared" si="135"/>
        <v>64.457345537213442</v>
      </c>
      <c r="L51" s="379"/>
      <c r="M51" s="188">
        <f t="shared" si="136"/>
        <v>0.47330451421030562</v>
      </c>
      <c r="N51" s="149">
        <f t="shared" si="137"/>
        <v>244.8005263794137</v>
      </c>
      <c r="O51" s="149">
        <f t="shared" si="98"/>
        <v>55.2</v>
      </c>
      <c r="P51" s="188">
        <f t="shared" si="138"/>
        <v>8.1600175459804571</v>
      </c>
      <c r="Q51" s="188">
        <f t="shared" si="139"/>
        <v>30</v>
      </c>
      <c r="R51" s="188">
        <f t="shared" si="140"/>
        <v>8.1019934820219763</v>
      </c>
      <c r="S51" s="149">
        <f t="shared" si="141"/>
        <v>245.25836956495627</v>
      </c>
      <c r="T51" s="149">
        <f t="shared" si="142"/>
        <v>30</v>
      </c>
      <c r="U51" s="188">
        <f t="shared" si="143"/>
        <v>6.9869594467521186</v>
      </c>
      <c r="V51" s="188">
        <f t="shared" si="11"/>
        <v>0.96887923319216473</v>
      </c>
      <c r="W51" s="188">
        <f t="shared" si="144"/>
        <v>1.0781868485423958</v>
      </c>
      <c r="X51" s="172">
        <f t="shared" si="145"/>
        <v>350</v>
      </c>
      <c r="Y51" s="379">
        <f t="shared" si="14"/>
        <v>350</v>
      </c>
      <c r="AA51" s="188">
        <f t="shared" si="146"/>
        <v>9.7518792649426338</v>
      </c>
      <c r="AB51" s="150">
        <f t="shared" si="147"/>
        <v>1.5048531556773266</v>
      </c>
      <c r="AC51" s="150">
        <f t="shared" si="148"/>
        <v>2.5681505999858119</v>
      </c>
      <c r="AD51" s="150"/>
      <c r="AE51" s="150">
        <f t="shared" si="149"/>
        <v>0.93523739454067278</v>
      </c>
      <c r="AF51" s="314">
        <f t="shared" si="150"/>
        <v>649.24692227283845</v>
      </c>
      <c r="AG51" s="456">
        <f t="shared" si="151"/>
        <v>0.99191844875525892</v>
      </c>
      <c r="AI51" s="150">
        <f t="shared" si="152"/>
        <v>8.2544279938552929</v>
      </c>
      <c r="AJ51" s="150">
        <f t="shared" si="153"/>
        <v>8.2544279938552929</v>
      </c>
      <c r="AK51" s="150">
        <f t="shared" si="154"/>
        <v>2.8250532838883204</v>
      </c>
      <c r="AM51" s="314">
        <f t="shared" si="155"/>
        <v>1840</v>
      </c>
      <c r="AN51" s="144">
        <f t="shared" si="156"/>
        <v>350</v>
      </c>
      <c r="AP51">
        <f t="shared" si="157"/>
        <v>1840</v>
      </c>
      <c r="AQ51" s="144">
        <f t="shared" si="158"/>
        <v>350</v>
      </c>
      <c r="AR51" s="144"/>
      <c r="AS51" s="5">
        <f t="shared" si="101"/>
        <v>2.8571428571428572</v>
      </c>
      <c r="AT51" s="5">
        <f t="shared" si="159"/>
        <v>1.1446386552084691</v>
      </c>
      <c r="AU51" s="5">
        <f t="shared" si="102"/>
        <v>1.7125042019343881</v>
      </c>
      <c r="AV51" s="5">
        <f t="shared" si="160"/>
        <v>1.2737752055154747</v>
      </c>
      <c r="AW51" s="150">
        <f t="shared" si="103"/>
        <v>0.40062352932296419</v>
      </c>
      <c r="AX51" s="150">
        <f t="shared" si="161"/>
        <v>56.041515788472722</v>
      </c>
      <c r="AY51" s="150">
        <f t="shared" si="162"/>
        <v>2.4737549592073553</v>
      </c>
      <c r="AZ51" s="150">
        <f t="shared" si="104"/>
        <v>22.654432921856429</v>
      </c>
      <c r="BA51" s="144">
        <f t="shared" si="163"/>
        <v>7.0204504186119436</v>
      </c>
      <c r="BB51" s="5">
        <f t="shared" si="164"/>
        <v>1.6406100554217415</v>
      </c>
      <c r="BC51" s="5"/>
      <c r="BD51" s="150">
        <f t="shared" si="105"/>
        <v>3.0164392438382719</v>
      </c>
      <c r="BE51" s="150">
        <f t="shared" si="165"/>
        <v>3.6895737951891365</v>
      </c>
      <c r="BF51" s="150"/>
      <c r="BG51" s="456">
        <f t="shared" si="166"/>
        <v>0.10918686854121126</v>
      </c>
      <c r="BH51" s="456">
        <f t="shared" si="167"/>
        <v>3.3985237799690107</v>
      </c>
      <c r="BI51" s="456">
        <f t="shared" si="168"/>
        <v>4.0250000000000001E-2</v>
      </c>
      <c r="BJ51" s="456">
        <f t="shared" si="169"/>
        <v>0.752528983934588</v>
      </c>
      <c r="BK51">
        <f t="shared" si="170"/>
        <v>1.525207551532877E-2</v>
      </c>
      <c r="BL51" s="144">
        <f t="shared" si="106"/>
        <v>55.502075515328769</v>
      </c>
      <c r="BM51" s="456">
        <f t="shared" si="171"/>
        <v>4.4039714369941763</v>
      </c>
      <c r="BN51" s="144">
        <f t="shared" si="107"/>
        <v>4403.9714369941767</v>
      </c>
      <c r="BO51" s="456">
        <f t="shared" si="172"/>
        <v>1.2339039999999999</v>
      </c>
      <c r="BP51" s="456"/>
      <c r="BR51" s="144">
        <f t="shared" si="109"/>
        <v>1233.904</v>
      </c>
      <c r="BS51" s="456">
        <f t="shared" si="173"/>
        <v>0.12738467996474648</v>
      </c>
      <c r="BT51" s="456">
        <f t="shared" si="174"/>
        <v>0.19058136706204915</v>
      </c>
      <c r="BU51" s="456">
        <f t="shared" si="175"/>
        <v>22.431461662216432</v>
      </c>
      <c r="BV51" s="456">
        <f t="shared" si="176"/>
        <v>23.421519395534418</v>
      </c>
      <c r="BW51" s="456">
        <f t="shared" si="177"/>
        <v>2.3847453527009672</v>
      </c>
      <c r="BX51" s="144">
        <f t="shared" si="110"/>
        <v>25806.264748235386</v>
      </c>
      <c r="BY51" s="150">
        <f t="shared" si="45"/>
        <v>31.499642260744888</v>
      </c>
      <c r="BZ51" s="5">
        <f t="shared" si="111"/>
        <v>55.2</v>
      </c>
      <c r="CA51" s="150">
        <f t="shared" si="112"/>
        <v>0.63668082774769386</v>
      </c>
      <c r="CB51" s="5">
        <f t="shared" si="113"/>
        <v>63.668082774769388</v>
      </c>
      <c r="CE51" s="59">
        <f t="shared" si="178"/>
        <v>-50</v>
      </c>
      <c r="CF51">
        <f t="shared" si="179"/>
        <v>-50</v>
      </c>
      <c r="CG51" s="150">
        <f t="shared" si="180"/>
        <v>0.44920670817193575</v>
      </c>
      <c r="CI51" s="147">
        <v>46</v>
      </c>
      <c r="CJ51" s="188">
        <f t="shared" si="114"/>
        <v>1.84</v>
      </c>
      <c r="CK51" s="188"/>
      <c r="CL51" s="188">
        <f t="shared" si="49"/>
        <v>55.2</v>
      </c>
      <c r="CM51" s="465">
        <f t="shared" si="50"/>
        <v>34</v>
      </c>
      <c r="CN51" s="149">
        <f t="shared" si="51"/>
        <v>30.4</v>
      </c>
      <c r="CO51" s="379">
        <f t="shared" si="52"/>
        <v>64.400000000000006</v>
      </c>
      <c r="CP51" s="379"/>
      <c r="CQ51" s="188">
        <f t="shared" si="53"/>
        <v>0.47204968944099374</v>
      </c>
      <c r="CR51" s="149">
        <f t="shared" si="54"/>
        <v>244.918674788055</v>
      </c>
      <c r="CS51" s="149">
        <f t="shared" si="115"/>
        <v>55.2</v>
      </c>
      <c r="CT51" s="188">
        <f t="shared" si="55"/>
        <v>8.1639558262685004</v>
      </c>
      <c r="CU51" s="188">
        <f t="shared" si="56"/>
        <v>30</v>
      </c>
      <c r="CV51" s="188">
        <f t="shared" si="57"/>
        <v>8.1059037580776696</v>
      </c>
      <c r="CW51" s="149">
        <f t="shared" si="58"/>
        <v>246.02883788499037</v>
      </c>
      <c r="CX51" s="149">
        <f t="shared" si="59"/>
        <v>30</v>
      </c>
      <c r="CY51" s="188">
        <f t="shared" si="60"/>
        <v>6.8786377708978339</v>
      </c>
      <c r="CZ51" s="188">
        <f t="shared" si="61"/>
        <v>0.95087051538881817</v>
      </c>
      <c r="DA51" s="188">
        <f t="shared" si="62"/>
        <v>1.063473602737494</v>
      </c>
      <c r="DB51" s="172">
        <f t="shared" si="63"/>
        <v>350</v>
      </c>
      <c r="DC51" s="379">
        <f t="shared" si="116"/>
        <v>350</v>
      </c>
      <c r="DE51" s="188">
        <f t="shared" si="64"/>
        <v>9.7566501161056465</v>
      </c>
      <c r="DF51" s="150">
        <f t="shared" si="65"/>
        <v>1.5084294587400178</v>
      </c>
      <c r="DG51" s="150">
        <f t="shared" si="66"/>
        <v>2.5755132294067704</v>
      </c>
      <c r="DH51" s="150"/>
      <c r="DI51" s="150">
        <f t="shared" si="67"/>
        <v>0.93700159489633172</v>
      </c>
      <c r="DJ51" s="314">
        <f t="shared" si="117"/>
        <v>648.0245106382979</v>
      </c>
      <c r="DK51" s="456">
        <f t="shared" si="68"/>
        <v>0.99378957034459414</v>
      </c>
      <c r="DM51" s="150">
        <f t="shared" si="69"/>
        <v>8.2466535535832204</v>
      </c>
      <c r="DN51" s="150">
        <f t="shared" si="70"/>
        <v>8.2466535535832204</v>
      </c>
      <c r="DO51" s="150">
        <f t="shared" si="71"/>
        <v>2.8192944392423405</v>
      </c>
      <c r="DQ51" s="314">
        <f t="shared" si="72"/>
        <v>1840</v>
      </c>
      <c r="DR51" s="144">
        <f t="shared" si="73"/>
        <v>350</v>
      </c>
      <c r="DT51">
        <f t="shared" si="74"/>
        <v>1840</v>
      </c>
      <c r="DU51" s="144">
        <f t="shared" si="75"/>
        <v>350</v>
      </c>
      <c r="DV51" s="144"/>
      <c r="DW51" s="5">
        <f t="shared" si="118"/>
        <v>2.8571428571428572</v>
      </c>
      <c r="DX51" s="5">
        <f t="shared" si="76"/>
        <v>1.1399785794659159</v>
      </c>
      <c r="DY51" s="5">
        <f t="shared" si="119"/>
        <v>1.7171642776769414</v>
      </c>
      <c r="DZ51" s="5">
        <f t="shared" si="77"/>
        <v>1.2749760428237216</v>
      </c>
      <c r="EA51" s="150">
        <f t="shared" si="120"/>
        <v>0.39899250281307053</v>
      </c>
      <c r="EB51" s="150">
        <f t="shared" si="78"/>
        <v>55.936000000000007</v>
      </c>
      <c r="EC51" s="150">
        <f t="shared" si="79"/>
        <v>2.4781503062033745</v>
      </c>
      <c r="ED51" s="150">
        <f t="shared" si="121"/>
        <v>22.571673663207378</v>
      </c>
      <c r="EE51" s="144">
        <f t="shared" si="80"/>
        <v>6.9918686207242846</v>
      </c>
      <c r="EF51" s="5">
        <f t="shared" si="81"/>
        <v>1.6399215939060061</v>
      </c>
      <c r="EG51" s="5"/>
      <c r="EH51" s="150">
        <f t="shared" si="122"/>
        <v>3.0074574408125292</v>
      </c>
      <c r="EI51" s="150">
        <f t="shared" si="82"/>
        <v>3.6911106755704672</v>
      </c>
      <c r="EJ51" s="150"/>
      <c r="EK51" s="456">
        <f t="shared" si="83"/>
        <v>0.10853760309958377</v>
      </c>
      <c r="EL51" s="456">
        <f t="shared" si="84"/>
        <v>3.5317118508575498</v>
      </c>
      <c r="EM51" s="456">
        <f t="shared" si="85"/>
        <v>4.0250000000000001E-2</v>
      </c>
      <c r="EN51" s="456">
        <f t="shared" si="86"/>
        <v>0.75119058000000016</v>
      </c>
      <c r="EO51">
        <f t="shared" si="87"/>
        <v>1.5299999999999999E-2</v>
      </c>
      <c r="EP51" s="144">
        <f t="shared" si="123"/>
        <v>55.550000000000004</v>
      </c>
      <c r="EQ51" s="456">
        <f t="shared" si="88"/>
        <v>4.5947880365792733</v>
      </c>
      <c r="ER51" s="144">
        <f t="shared" si="124"/>
        <v>4594.7880365792735</v>
      </c>
      <c r="ES51" s="456">
        <f t="shared" si="125"/>
        <v>1.2339039999999999</v>
      </c>
      <c r="ET51" s="456"/>
      <c r="EV51" s="144">
        <f t="shared" si="126"/>
        <v>1233.904</v>
      </c>
      <c r="EW51" s="456">
        <f t="shared" si="89"/>
        <v>0.12662720361618107</v>
      </c>
      <c r="EX51" s="456">
        <f t="shared" si="90"/>
        <v>0.19074017227034379</v>
      </c>
      <c r="EY51" s="456">
        <f t="shared" si="91"/>
        <v>22.378681236397682</v>
      </c>
      <c r="EZ51" s="456">
        <f t="shared" si="92"/>
        <v>23.365451340770953</v>
      </c>
      <c r="FA51" s="456">
        <f t="shared" si="93"/>
        <v>2.3802553191489366</v>
      </c>
      <c r="FB51" s="144">
        <f t="shared" si="127"/>
        <v>25745.706659919888</v>
      </c>
      <c r="FC51" s="150">
        <f t="shared" si="128"/>
        <v>31.574398696499163</v>
      </c>
      <c r="FD51" s="5">
        <f t="shared" si="129"/>
        <v>55.2</v>
      </c>
      <c r="FE51" s="150">
        <f t="shared" si="130"/>
        <v>0.63613232507743089</v>
      </c>
      <c r="FF51" s="5">
        <f t="shared" si="131"/>
        <v>63.613232507743092</v>
      </c>
      <c r="FI51" s="59">
        <f t="shared" si="94"/>
        <v>-50</v>
      </c>
      <c r="FJ51">
        <f t="shared" si="95"/>
        <v>-50</v>
      </c>
      <c r="FL51">
        <f t="shared" si="181"/>
        <v>0.44624161498830256</v>
      </c>
    </row>
    <row r="52" spans="5:168">
      <c r="E52" s="147">
        <v>47</v>
      </c>
      <c r="F52" s="188">
        <f t="shared" si="182"/>
        <v>1.88</v>
      </c>
      <c r="G52" s="188"/>
      <c r="H52" s="188">
        <f t="shared" si="132"/>
        <v>56.4</v>
      </c>
      <c r="I52" s="465">
        <f t="shared" si="133"/>
        <v>33.892349772742591</v>
      </c>
      <c r="J52" s="149">
        <f t="shared" si="134"/>
        <v>30.457965506984756</v>
      </c>
      <c r="K52" s="149">
        <f t="shared" si="135"/>
        <v>64.457965506984749</v>
      </c>
      <c r="L52" s="379"/>
      <c r="M52" s="188">
        <f t="shared" si="136"/>
        <v>0.47331809067081454</v>
      </c>
      <c r="N52" s="149">
        <f t="shared" si="137"/>
        <v>244.79923215188123</v>
      </c>
      <c r="O52" s="149">
        <f t="shared" si="98"/>
        <v>56.4</v>
      </c>
      <c r="P52" s="188">
        <f t="shared" si="138"/>
        <v>8.159974405062707</v>
      </c>
      <c r="Q52" s="188">
        <f t="shared" si="139"/>
        <v>30</v>
      </c>
      <c r="R52" s="188">
        <f t="shared" si="140"/>
        <v>8.1019506478696659</v>
      </c>
      <c r="S52" s="149">
        <f t="shared" si="141"/>
        <v>239.31338113533945</v>
      </c>
      <c r="T52" s="149">
        <f t="shared" si="142"/>
        <v>30</v>
      </c>
      <c r="U52" s="188">
        <f t="shared" si="143"/>
        <v>7.1390338900931072</v>
      </c>
      <c r="V52" s="188">
        <f t="shared" si="11"/>
        <v>0.99000097391956188</v>
      </c>
      <c r="W52" s="188">
        <f t="shared" si="144"/>
        <v>1.1016316659674126</v>
      </c>
      <c r="X52" s="172">
        <f t="shared" si="145"/>
        <v>350</v>
      </c>
      <c r="Y52" s="379">
        <f t="shared" si="14"/>
        <v>350</v>
      </c>
      <c r="AA52" s="188">
        <f t="shared" si="146"/>
        <v>9.7518270163744027</v>
      </c>
      <c r="AB52" s="150">
        <f t="shared" si="147"/>
        <v>1.5048144619655877</v>
      </c>
      <c r="AC52" s="150">
        <f t="shared" si="148"/>
        <v>2.5680708068447125</v>
      </c>
      <c r="AD52" s="150"/>
      <c r="AE52" s="150">
        <f t="shared" si="149"/>
        <v>0.93521835784849816</v>
      </c>
      <c r="AF52" s="314">
        <f t="shared" si="150"/>
        <v>663.37448874212805</v>
      </c>
      <c r="AG52" s="456">
        <f t="shared" si="151"/>
        <v>0.99189825832416478</v>
      </c>
      <c r="AI52" s="150">
        <f t="shared" si="152"/>
        <v>8.3437525654292983</v>
      </c>
      <c r="AJ52" s="150">
        <f t="shared" si="153"/>
        <v>8.3437525654292983</v>
      </c>
      <c r="AK52" s="150">
        <f t="shared" si="154"/>
        <v>2.8912196332023985</v>
      </c>
      <c r="AM52" s="314">
        <f t="shared" si="155"/>
        <v>1880</v>
      </c>
      <c r="AN52" s="144">
        <f t="shared" si="156"/>
        <v>350</v>
      </c>
      <c r="AP52">
        <f t="shared" si="157"/>
        <v>1880</v>
      </c>
      <c r="AQ52" s="144">
        <f t="shared" si="158"/>
        <v>350</v>
      </c>
      <c r="AR52" s="144"/>
      <c r="AS52" s="5">
        <f t="shared" si="101"/>
        <v>2.8571428571428572</v>
      </c>
      <c r="AT52" s="5">
        <f t="shared" si="159"/>
        <v>1.1570645682718725</v>
      </c>
      <c r="AU52" s="5">
        <f t="shared" si="102"/>
        <v>1.7000782888709847</v>
      </c>
      <c r="AV52" s="5">
        <f t="shared" si="160"/>
        <v>1.2875330444682722</v>
      </c>
      <c r="AW52" s="150">
        <f t="shared" si="103"/>
        <v>0.40497259889515536</v>
      </c>
      <c r="AX52" s="150">
        <f t="shared" si="161"/>
        <v>57.260975153131326</v>
      </c>
      <c r="AY52" s="150">
        <f t="shared" si="162"/>
        <v>2.4823807022346376</v>
      </c>
      <c r="AZ52" s="150">
        <f t="shared" si="104"/>
        <v>23.066959512529657</v>
      </c>
      <c r="BA52" s="144">
        <f t="shared" si="163"/>
        <v>7.2509379611704006</v>
      </c>
      <c r="BB52" s="5">
        <f t="shared" si="164"/>
        <v>1.664168985821884</v>
      </c>
      <c r="BC52" s="5"/>
      <c r="BD52" s="150">
        <f t="shared" si="105"/>
        <v>3.0655867392623288</v>
      </c>
      <c r="BE52" s="150">
        <f t="shared" si="165"/>
        <v>3.7159449540812131</v>
      </c>
      <c r="BF52" s="150"/>
      <c r="BG52" s="456">
        <f t="shared" si="166"/>
        <v>0.11277386467129245</v>
      </c>
      <c r="BH52" s="456">
        <f t="shared" si="167"/>
        <v>3.435333649953781</v>
      </c>
      <c r="BI52" s="456">
        <f t="shared" si="168"/>
        <v>4.0250000000000001E-2</v>
      </c>
      <c r="BJ52" s="456">
        <f t="shared" si="169"/>
        <v>0.75254346009589645</v>
      </c>
      <c r="BK52">
        <f t="shared" si="170"/>
        <v>1.5251557397734166E-2</v>
      </c>
      <c r="BL52" s="144">
        <f t="shared" si="106"/>
        <v>55.501557397734167</v>
      </c>
      <c r="BM52" s="456">
        <f t="shared" si="171"/>
        <v>4.4503472863382996</v>
      </c>
      <c r="BN52" s="144">
        <f t="shared" si="107"/>
        <v>4450.3472863382995</v>
      </c>
      <c r="BO52" s="456">
        <f t="shared" si="172"/>
        <v>1.2607279999999998</v>
      </c>
      <c r="BP52" s="456"/>
      <c r="BR52" s="144">
        <f t="shared" si="109"/>
        <v>1260.7279999999998</v>
      </c>
      <c r="BS52" s="456">
        <f t="shared" si="173"/>
        <v>0.13156950878317453</v>
      </c>
      <c r="BT52" s="456">
        <f t="shared" si="174"/>
        <v>0.19331545662466282</v>
      </c>
      <c r="BU52" s="456">
        <f t="shared" si="175"/>
        <v>23.043246023932415</v>
      </c>
      <c r="BV52" s="456">
        <f t="shared" si="176"/>
        <v>24.071747283724452</v>
      </c>
      <c r="BW52" s="456">
        <f t="shared" si="177"/>
        <v>2.4366372405587802</v>
      </c>
      <c r="BX52" s="144">
        <f t="shared" si="110"/>
        <v>26508.384524283232</v>
      </c>
      <c r="BY52" s="150">
        <f t="shared" si="45"/>
        <v>32.274961368019262</v>
      </c>
      <c r="BZ52" s="5">
        <f t="shared" si="111"/>
        <v>56.4</v>
      </c>
      <c r="CA52" s="150">
        <f t="shared" si="112"/>
        <v>0.63603072535806848</v>
      </c>
      <c r="CB52" s="5">
        <f t="shared" si="113"/>
        <v>63.603072535806845</v>
      </c>
      <c r="CE52" s="59">
        <f t="shared" si="178"/>
        <v>-50</v>
      </c>
      <c r="CF52">
        <f t="shared" si="179"/>
        <v>-50</v>
      </c>
      <c r="CG52" s="150">
        <f t="shared" si="180"/>
        <v>0.45406313804726905</v>
      </c>
      <c r="CI52" s="147">
        <v>47</v>
      </c>
      <c r="CJ52" s="188">
        <f t="shared" si="114"/>
        <v>1.88</v>
      </c>
      <c r="CK52" s="188"/>
      <c r="CL52" s="188">
        <f t="shared" si="49"/>
        <v>56.4</v>
      </c>
      <c r="CM52" s="465">
        <f t="shared" si="50"/>
        <v>34</v>
      </c>
      <c r="CN52" s="149">
        <f t="shared" si="51"/>
        <v>30.4</v>
      </c>
      <c r="CO52" s="379">
        <f t="shared" si="52"/>
        <v>64.400000000000006</v>
      </c>
      <c r="CP52" s="379"/>
      <c r="CQ52" s="188">
        <f t="shared" si="53"/>
        <v>0.47204968944099374</v>
      </c>
      <c r="CR52" s="149">
        <f t="shared" si="54"/>
        <v>244.918674788055</v>
      </c>
      <c r="CS52" s="149">
        <f t="shared" si="115"/>
        <v>56.4</v>
      </c>
      <c r="CT52" s="188">
        <f t="shared" si="55"/>
        <v>8.1639558262685004</v>
      </c>
      <c r="CU52" s="188">
        <f t="shared" si="56"/>
        <v>30</v>
      </c>
      <c r="CV52" s="188">
        <f t="shared" si="57"/>
        <v>8.1059037580776696</v>
      </c>
      <c r="CW52" s="149">
        <f t="shared" si="58"/>
        <v>240.07331850933949</v>
      </c>
      <c r="CX52" s="149">
        <f t="shared" si="59"/>
        <v>30</v>
      </c>
      <c r="CY52" s="188">
        <f t="shared" si="60"/>
        <v>7.0281733746130035</v>
      </c>
      <c r="CZ52" s="188">
        <f t="shared" si="61"/>
        <v>0.97154161354944468</v>
      </c>
      <c r="DA52" s="188">
        <f t="shared" si="62"/>
        <v>1.0865925941013528</v>
      </c>
      <c r="DB52" s="172">
        <f t="shared" si="63"/>
        <v>350</v>
      </c>
      <c r="DC52" s="379">
        <f t="shared" si="116"/>
        <v>350</v>
      </c>
      <c r="DE52" s="188">
        <f t="shared" si="64"/>
        <v>9.7566501161056465</v>
      </c>
      <c r="DF52" s="150">
        <f t="shared" si="65"/>
        <v>1.5084294587400178</v>
      </c>
      <c r="DG52" s="150">
        <f t="shared" si="66"/>
        <v>2.5755132294067704</v>
      </c>
      <c r="DH52" s="150"/>
      <c r="DI52" s="150">
        <f t="shared" si="67"/>
        <v>0.93700159489633172</v>
      </c>
      <c r="DJ52" s="314">
        <f t="shared" si="117"/>
        <v>662.11199999999997</v>
      </c>
      <c r="DK52" s="456">
        <f t="shared" si="68"/>
        <v>0.99378957034459414</v>
      </c>
      <c r="DM52" s="150">
        <f t="shared" si="69"/>
        <v>8.3358091560276435</v>
      </c>
      <c r="DN52" s="150">
        <f t="shared" si="70"/>
        <v>8.3358091560276435</v>
      </c>
      <c r="DO52" s="150">
        <f t="shared" si="71"/>
        <v>2.8853356262382097</v>
      </c>
      <c r="DQ52" s="314">
        <f t="shared" si="72"/>
        <v>1880</v>
      </c>
      <c r="DR52" s="144">
        <f t="shared" si="73"/>
        <v>350</v>
      </c>
      <c r="DT52">
        <f t="shared" si="74"/>
        <v>1880</v>
      </c>
      <c r="DU52" s="144">
        <f t="shared" si="75"/>
        <v>350</v>
      </c>
      <c r="DV52" s="144"/>
      <c r="DW52" s="5">
        <f t="shared" si="118"/>
        <v>2.8571428571428572</v>
      </c>
      <c r="DX52" s="5">
        <f t="shared" si="76"/>
        <v>1.1523030303920565</v>
      </c>
      <c r="DY52" s="5">
        <f t="shared" si="119"/>
        <v>1.7048398267508007</v>
      </c>
      <c r="DZ52" s="5">
        <f t="shared" si="77"/>
        <v>1.2887599682016424</v>
      </c>
      <c r="EA52" s="150">
        <f t="shared" si="120"/>
        <v>0.40330606063721974</v>
      </c>
      <c r="EB52" s="150">
        <f t="shared" si="78"/>
        <v>57.152000000000008</v>
      </c>
      <c r="EC52" s="150">
        <f t="shared" si="79"/>
        <v>2.4869634015432336</v>
      </c>
      <c r="ED52" s="150">
        <f t="shared" si="121"/>
        <v>22.980635728107426</v>
      </c>
      <c r="EE52" s="144">
        <f t="shared" si="80"/>
        <v>7.2210989904568867</v>
      </c>
      <c r="EF52" s="5">
        <f t="shared" si="81"/>
        <v>1.6635461285250024</v>
      </c>
      <c r="EG52" s="5"/>
      <c r="EH52" s="150">
        <f t="shared" si="122"/>
        <v>3.056360019104142</v>
      </c>
      <c r="EI52" s="150">
        <f t="shared" si="82"/>
        <v>3.717602479492192</v>
      </c>
      <c r="EJ52" s="150"/>
      <c r="EK52" s="456">
        <f t="shared" si="83"/>
        <v>0.11209603879653925</v>
      </c>
      <c r="EL52" s="456">
        <f t="shared" si="84"/>
        <v>3.5698936291603989</v>
      </c>
      <c r="EM52" s="456">
        <f t="shared" si="85"/>
        <v>4.0250000000000001E-2</v>
      </c>
      <c r="EN52" s="456">
        <f t="shared" si="86"/>
        <v>0.75119058000000016</v>
      </c>
      <c r="EO52">
        <f t="shared" si="87"/>
        <v>1.5299999999999999E-2</v>
      </c>
      <c r="EP52" s="144">
        <f t="shared" si="123"/>
        <v>55.550000000000004</v>
      </c>
      <c r="EQ52" s="456">
        <f t="shared" si="88"/>
        <v>4.6426485677511149</v>
      </c>
      <c r="ER52" s="144">
        <f t="shared" si="124"/>
        <v>4642.6485677511146</v>
      </c>
      <c r="ES52" s="456">
        <f t="shared" si="125"/>
        <v>1.2607279999999998</v>
      </c>
      <c r="ET52" s="456"/>
      <c r="EV52" s="144">
        <f t="shared" si="126"/>
        <v>1260.7279999999998</v>
      </c>
      <c r="EW52" s="456">
        <f t="shared" si="89"/>
        <v>0.1307787119292958</v>
      </c>
      <c r="EX52" s="456">
        <f t="shared" si="90"/>
        <v>0.19348795473737093</v>
      </c>
      <c r="EY52" s="456">
        <f t="shared" si="91"/>
        <v>22.98844116787664</v>
      </c>
      <c r="EZ52" s="456">
        <f t="shared" si="92"/>
        <v>24.013473351238915</v>
      </c>
      <c r="FA52" s="456">
        <f t="shared" si="93"/>
        <v>2.4320000000000004</v>
      </c>
      <c r="FB52" s="144">
        <f t="shared" si="127"/>
        <v>26445.473351238918</v>
      </c>
      <c r="FC52" s="150">
        <f t="shared" si="128"/>
        <v>32.348849918990034</v>
      </c>
      <c r="FD52" s="5">
        <f t="shared" si="129"/>
        <v>56.4</v>
      </c>
      <c r="FE52" s="150">
        <f t="shared" si="130"/>
        <v>0.63550119298990271</v>
      </c>
      <c r="FF52" s="5">
        <f t="shared" si="131"/>
        <v>63.550119298990268</v>
      </c>
      <c r="FI52" s="59">
        <f t="shared" si="94"/>
        <v>-50</v>
      </c>
      <c r="FJ52">
        <f t="shared" si="95"/>
        <v>-50</v>
      </c>
      <c r="FL52">
        <f t="shared" si="181"/>
        <v>0.45106598887057475</v>
      </c>
    </row>
    <row r="53" spans="5:168">
      <c r="E53" s="147">
        <v>48</v>
      </c>
      <c r="F53" s="188">
        <f t="shared" si="182"/>
        <v>1.92</v>
      </c>
      <c r="G53" s="188"/>
      <c r="H53" s="188">
        <f t="shared" si="132"/>
        <v>57.599999999999994</v>
      </c>
      <c r="I53" s="465">
        <f t="shared" si="133"/>
        <v>33.891210585174314</v>
      </c>
      <c r="J53" s="149">
        <f t="shared" si="134"/>
        <v>30.458578915675368</v>
      </c>
      <c r="K53" s="149">
        <f t="shared" si="135"/>
        <v>64.458578915675361</v>
      </c>
      <c r="L53" s="379"/>
      <c r="M53" s="188">
        <f t="shared" si="136"/>
        <v>0.47333152367191289</v>
      </c>
      <c r="N53" s="149">
        <f t="shared" si="137"/>
        <v>244.79795126475264</v>
      </c>
      <c r="O53" s="149">
        <f t="shared" si="98"/>
        <v>57.599999999999994</v>
      </c>
      <c r="P53" s="188">
        <f t="shared" si="138"/>
        <v>8.1599317088250878</v>
      </c>
      <c r="Q53" s="188">
        <f t="shared" si="139"/>
        <v>30</v>
      </c>
      <c r="R53" s="188">
        <f t="shared" si="140"/>
        <v>8.1019082552354664</v>
      </c>
      <c r="S53" s="149">
        <f t="shared" si="141"/>
        <v>233.61629755495719</v>
      </c>
      <c r="T53" s="149">
        <f t="shared" si="142"/>
        <v>30</v>
      </c>
      <c r="U53" s="188">
        <f t="shared" si="143"/>
        <v>7.2911141877568522</v>
      </c>
      <c r="V53" s="188">
        <f t="shared" si="11"/>
        <v>1.0111245981118133</v>
      </c>
      <c r="W53" s="188">
        <f t="shared" si="144"/>
        <v>1.1250766746974272</v>
      </c>
      <c r="X53" s="172">
        <f t="shared" si="145"/>
        <v>350</v>
      </c>
      <c r="Y53" s="379">
        <f t="shared" si="14"/>
        <v>350</v>
      </c>
      <c r="AA53" s="188">
        <f t="shared" si="146"/>
        <v>9.7517753066251824</v>
      </c>
      <c r="AB53" s="150">
        <f t="shared" si="147"/>
        <v>1.5047761771167345</v>
      </c>
      <c r="AC53" s="150">
        <f t="shared" si="148"/>
        <v>2.5679918540508426</v>
      </c>
      <c r="AD53" s="150"/>
      <c r="AE53" s="150">
        <f t="shared" si="149"/>
        <v>0.93519952338252021</v>
      </c>
      <c r="AF53" s="314">
        <f t="shared" si="150"/>
        <v>677.50248386390763</v>
      </c>
      <c r="AG53" s="456">
        <f t="shared" si="151"/>
        <v>0.9918782823754001</v>
      </c>
      <c r="AI53" s="150">
        <f t="shared" si="152"/>
        <v>8.4321336105193154</v>
      </c>
      <c r="AJ53" s="150">
        <f t="shared" si="153"/>
        <v>8.4321336105193154</v>
      </c>
      <c r="AK53" s="150">
        <f t="shared" si="154"/>
        <v>2.9566870740098183</v>
      </c>
      <c r="AM53" s="314">
        <f t="shared" si="155"/>
        <v>1920</v>
      </c>
      <c r="AN53" s="144">
        <f t="shared" si="156"/>
        <v>350</v>
      </c>
      <c r="AP53">
        <f t="shared" si="157"/>
        <v>1920</v>
      </c>
      <c r="AQ53" s="144">
        <f t="shared" si="158"/>
        <v>350</v>
      </c>
      <c r="AR53" s="144"/>
      <c r="AS53" s="5">
        <f t="shared" si="101"/>
        <v>2.8571428571428572</v>
      </c>
      <c r="AT53" s="5">
        <f t="shared" si="159"/>
        <v>1.1693600578191605</v>
      </c>
      <c r="AU53" s="5">
        <f t="shared" si="102"/>
        <v>1.6877827993236967</v>
      </c>
      <c r="AV53" s="5">
        <f t="shared" si="160"/>
        <v>1.3011450100531401</v>
      </c>
      <c r="AW53" s="150">
        <f t="shared" si="103"/>
        <v>0.40927602023670617</v>
      </c>
      <c r="AX53" s="150">
        <f t="shared" si="161"/>
        <v>58.480471518096728</v>
      </c>
      <c r="AY53" s="150">
        <f t="shared" si="162"/>
        <v>2.4905317621509009</v>
      </c>
      <c r="AZ53" s="150">
        <f t="shared" si="104"/>
        <v>23.481118533333287</v>
      </c>
      <c r="BA53" s="144">
        <f t="shared" si="163"/>
        <v>7.4839043700426267</v>
      </c>
      <c r="BB53" s="5">
        <f t="shared" si="164"/>
        <v>1.6873416885187424</v>
      </c>
      <c r="BC53" s="5"/>
      <c r="BD53" s="150">
        <f t="shared" si="105"/>
        <v>3.1144760964594824</v>
      </c>
      <c r="BE53" s="150">
        <f t="shared" si="165"/>
        <v>3.7417016253480635</v>
      </c>
      <c r="BF53" s="150"/>
      <c r="BG53" s="456">
        <f t="shared" si="166"/>
        <v>0.11639953626500994</v>
      </c>
      <c r="BH53" s="456">
        <f t="shared" si="167"/>
        <v>3.4717553965995243</v>
      </c>
      <c r="BI53" s="456">
        <f t="shared" si="168"/>
        <v>4.0250000000000001E-2</v>
      </c>
      <c r="BJ53" s="456">
        <f t="shared" si="169"/>
        <v>0.75255778319440958</v>
      </c>
      <c r="BK53">
        <f t="shared" si="170"/>
        <v>1.525104476332844E-2</v>
      </c>
      <c r="BL53" s="144">
        <f t="shared" si="106"/>
        <v>55.501044763328444</v>
      </c>
      <c r="BM53" s="456">
        <f t="shared" si="171"/>
        <v>4.4964981253236447</v>
      </c>
      <c r="BN53" s="144">
        <f t="shared" si="107"/>
        <v>4496.4981253236447</v>
      </c>
      <c r="BO53" s="456">
        <f t="shared" si="172"/>
        <v>1.2875519999999998</v>
      </c>
      <c r="BP53" s="456"/>
      <c r="BR53" s="144">
        <f t="shared" si="109"/>
        <v>1287.5519999999999</v>
      </c>
      <c r="BS53" s="456">
        <f t="shared" si="173"/>
        <v>0.13579945897584492</v>
      </c>
      <c r="BT53" s="456">
        <f t="shared" si="174"/>
        <v>0.19600463474385277</v>
      </c>
      <c r="BU53" s="456">
        <f t="shared" si="175"/>
        <v>23.658315218336153</v>
      </c>
      <c r="BV53" s="456">
        <f t="shared" si="176"/>
        <v>24.726089717751005</v>
      </c>
      <c r="BW53" s="456">
        <f t="shared" si="177"/>
        <v>2.4885307028977333</v>
      </c>
      <c r="BX53" s="144">
        <f t="shared" si="110"/>
        <v>27214.620420648738</v>
      </c>
      <c r="BY53" s="150">
        <f t="shared" si="45"/>
        <v>33.054171590735713</v>
      </c>
      <c r="BZ53" s="5">
        <f t="shared" si="111"/>
        <v>57.599999999999994</v>
      </c>
      <c r="CA53" s="150">
        <f t="shared" si="112"/>
        <v>0.63538168171718601</v>
      </c>
      <c r="CB53" s="5">
        <f t="shared" si="113"/>
        <v>63.538168171718603</v>
      </c>
      <c r="CE53" s="59">
        <f t="shared" si="178"/>
        <v>-50</v>
      </c>
      <c r="CF53">
        <f t="shared" si="179"/>
        <v>-50</v>
      </c>
      <c r="CG53" s="150">
        <f t="shared" si="180"/>
        <v>0.45886817279039954</v>
      </c>
      <c r="CI53" s="147">
        <v>48</v>
      </c>
      <c r="CJ53" s="188">
        <f t="shared" si="114"/>
        <v>1.92</v>
      </c>
      <c r="CK53" s="188"/>
      <c r="CL53" s="188">
        <f t="shared" si="49"/>
        <v>57.599999999999994</v>
      </c>
      <c r="CM53" s="465">
        <f t="shared" si="50"/>
        <v>34</v>
      </c>
      <c r="CN53" s="149">
        <f t="shared" si="51"/>
        <v>30.4</v>
      </c>
      <c r="CO53" s="379">
        <f t="shared" si="52"/>
        <v>64.400000000000006</v>
      </c>
      <c r="CP53" s="379"/>
      <c r="CQ53" s="188">
        <f t="shared" si="53"/>
        <v>0.47204968944099374</v>
      </c>
      <c r="CR53" s="149">
        <f t="shared" si="54"/>
        <v>244.918674788055</v>
      </c>
      <c r="CS53" s="149">
        <f t="shared" si="115"/>
        <v>57.599999999999994</v>
      </c>
      <c r="CT53" s="188">
        <f t="shared" si="55"/>
        <v>8.1639558262685004</v>
      </c>
      <c r="CU53" s="188">
        <f t="shared" si="56"/>
        <v>30</v>
      </c>
      <c r="CV53" s="188">
        <f t="shared" si="57"/>
        <v>8.1059037580776696</v>
      </c>
      <c r="CW53" s="149">
        <f t="shared" si="58"/>
        <v>234.36601082934732</v>
      </c>
      <c r="CX53" s="149">
        <f t="shared" si="59"/>
        <v>30</v>
      </c>
      <c r="CY53" s="188">
        <f t="shared" si="60"/>
        <v>7.1777089783281731</v>
      </c>
      <c r="CZ53" s="188">
        <f t="shared" si="61"/>
        <v>0.99221271171007097</v>
      </c>
      <c r="DA53" s="188">
        <f t="shared" si="62"/>
        <v>1.1097115854652111</v>
      </c>
      <c r="DB53" s="172">
        <f t="shared" si="63"/>
        <v>350</v>
      </c>
      <c r="DC53" s="379">
        <f t="shared" si="116"/>
        <v>350</v>
      </c>
      <c r="DE53" s="188">
        <f t="shared" si="64"/>
        <v>9.7566501161056465</v>
      </c>
      <c r="DF53" s="150">
        <f t="shared" si="65"/>
        <v>1.5084294587400178</v>
      </c>
      <c r="DG53" s="150">
        <f t="shared" si="66"/>
        <v>2.5755132294067704</v>
      </c>
      <c r="DH53" s="150"/>
      <c r="DI53" s="150">
        <f t="shared" si="67"/>
        <v>0.93700159489633172</v>
      </c>
      <c r="DJ53" s="314">
        <f t="shared" si="117"/>
        <v>676.19948936170215</v>
      </c>
      <c r="DK53" s="456">
        <f t="shared" si="68"/>
        <v>0.99378957034459414</v>
      </c>
      <c r="DM53" s="150">
        <f t="shared" si="69"/>
        <v>8.424021233271068</v>
      </c>
      <c r="DN53" s="150">
        <f t="shared" si="70"/>
        <v>8.424021233271068</v>
      </c>
      <c r="DO53" s="150">
        <f t="shared" si="71"/>
        <v>2.9506779056777832</v>
      </c>
      <c r="DQ53" s="314">
        <f t="shared" si="72"/>
        <v>1920</v>
      </c>
      <c r="DR53" s="144">
        <f t="shared" si="73"/>
        <v>350</v>
      </c>
      <c r="DT53">
        <f t="shared" si="74"/>
        <v>1920</v>
      </c>
      <c r="DU53" s="144">
        <f t="shared" si="75"/>
        <v>350</v>
      </c>
      <c r="DV53" s="144"/>
      <c r="DW53" s="5">
        <f t="shared" si="118"/>
        <v>2.8571428571428572</v>
      </c>
      <c r="DX53" s="5">
        <f t="shared" si="76"/>
        <v>1.1644970528345298</v>
      </c>
      <c r="DY53" s="5">
        <f t="shared" si="119"/>
        <v>1.6926458043083275</v>
      </c>
      <c r="DZ53" s="5">
        <f t="shared" si="77"/>
        <v>1.3023980196175664</v>
      </c>
      <c r="EA53" s="150">
        <f t="shared" si="120"/>
        <v>0.40757396849208538</v>
      </c>
      <c r="EB53" s="150">
        <f t="shared" si="78"/>
        <v>58.367999999999981</v>
      </c>
      <c r="EC53" s="150">
        <f t="shared" si="79"/>
        <v>2.4953047342825938</v>
      </c>
      <c r="ED53" s="150">
        <f t="shared" si="121"/>
        <v>23.391131030247063</v>
      </c>
      <c r="EE53" s="144">
        <f t="shared" si="80"/>
        <v>7.4527811381409901</v>
      </c>
      <c r="EF53" s="5">
        <f t="shared" si="81"/>
        <v>1.6867888984110662</v>
      </c>
      <c r="EG53" s="5"/>
      <c r="EH53" s="150">
        <f t="shared" si="122"/>
        <v>3.1050031459160139</v>
      </c>
      <c r="EI53" s="150">
        <f t="shared" si="82"/>
        <v>3.7434832322386939</v>
      </c>
      <c r="EJ53" s="150"/>
      <c r="EK53" s="456">
        <f t="shared" si="83"/>
        <v>0.11569253443378011</v>
      </c>
      <c r="EL53" s="456">
        <f t="shared" si="84"/>
        <v>3.6076713333606678</v>
      </c>
      <c r="EM53" s="456">
        <f t="shared" si="85"/>
        <v>4.0250000000000001E-2</v>
      </c>
      <c r="EN53" s="456">
        <f t="shared" si="86"/>
        <v>0.75119058000000016</v>
      </c>
      <c r="EO53">
        <f t="shared" si="87"/>
        <v>1.5299999999999999E-2</v>
      </c>
      <c r="EP53" s="144">
        <f t="shared" si="123"/>
        <v>55.550000000000004</v>
      </c>
      <c r="EQ53" s="456">
        <f t="shared" si="88"/>
        <v>4.6902701394226396</v>
      </c>
      <c r="ER53" s="144">
        <f t="shared" si="124"/>
        <v>4690.2701394226397</v>
      </c>
      <c r="ES53" s="456">
        <f t="shared" si="125"/>
        <v>1.2875519999999998</v>
      </c>
      <c r="ET53" s="456"/>
      <c r="EV53" s="144">
        <f t="shared" si="126"/>
        <v>1287.5519999999999</v>
      </c>
      <c r="EW53" s="456">
        <f t="shared" si="89"/>
        <v>0.13497462350607681</v>
      </c>
      <c r="EX53" s="456">
        <f t="shared" si="90"/>
        <v>0.19619133394073163</v>
      </c>
      <c r="EY53" s="456">
        <f t="shared" si="91"/>
        <v>23.601453359934471</v>
      </c>
      <c r="EZ53" s="456">
        <f t="shared" si="92"/>
        <v>24.665570940486791</v>
      </c>
      <c r="FA53" s="456">
        <f t="shared" si="93"/>
        <v>2.4837446808510633</v>
      </c>
      <c r="FB53" s="144">
        <f t="shared" si="127"/>
        <v>27149.315621337857</v>
      </c>
      <c r="FC53" s="150">
        <f t="shared" si="128"/>
        <v>33.12713776076049</v>
      </c>
      <c r="FD53" s="5">
        <f t="shared" si="129"/>
        <v>57.599999999999994</v>
      </c>
      <c r="FE53" s="150">
        <f t="shared" si="130"/>
        <v>0.63487068391693502</v>
      </c>
      <c r="FF53" s="5">
        <f t="shared" si="131"/>
        <v>63.487068391693505</v>
      </c>
      <c r="FI53" s="59">
        <f t="shared" si="94"/>
        <v>-50</v>
      </c>
      <c r="FJ53">
        <f t="shared" si="95"/>
        <v>-50</v>
      </c>
      <c r="FL53">
        <f t="shared" si="181"/>
        <v>0.45583930686614826</v>
      </c>
    </row>
    <row r="54" spans="5:168">
      <c r="E54" s="147">
        <v>49</v>
      </c>
      <c r="F54" s="188">
        <f t="shared" si="182"/>
        <v>1.96</v>
      </c>
      <c r="G54" s="188"/>
      <c r="H54" s="188">
        <f t="shared" si="132"/>
        <v>58.8</v>
      </c>
      <c r="I54" s="465">
        <f t="shared" si="133"/>
        <v>33.890083203614466</v>
      </c>
      <c r="J54" s="149">
        <f t="shared" si="134"/>
        <v>30.459185967284519</v>
      </c>
      <c r="K54" s="149">
        <f t="shared" si="135"/>
        <v>64.459185967284526</v>
      </c>
      <c r="L54" s="379"/>
      <c r="M54" s="188">
        <f t="shared" si="136"/>
        <v>0.47334481767409253</v>
      </c>
      <c r="N54" s="149">
        <f t="shared" si="137"/>
        <v>244.7966833032354</v>
      </c>
      <c r="O54" s="149">
        <f t="shared" si="98"/>
        <v>58.8</v>
      </c>
      <c r="P54" s="188">
        <f t="shared" si="138"/>
        <v>8.1598894434411804</v>
      </c>
      <c r="Q54" s="188">
        <f t="shared" si="139"/>
        <v>30</v>
      </c>
      <c r="R54" s="188">
        <f t="shared" si="140"/>
        <v>8.1018662903912713</v>
      </c>
      <c r="S54" s="149">
        <f t="shared" si="141"/>
        <v>228.15193824738873</v>
      </c>
      <c r="T54" s="149">
        <f t="shared" si="142"/>
        <v>30</v>
      </c>
      <c r="U54" s="188">
        <f t="shared" si="143"/>
        <v>7.4432002789525473</v>
      </c>
      <c r="V54" s="188">
        <f t="shared" si="11"/>
        <v>1.0322500862832329</v>
      </c>
      <c r="W54" s="188">
        <f t="shared" si="144"/>
        <v>1.1485218727989452</v>
      </c>
      <c r="X54" s="172">
        <f t="shared" si="145"/>
        <v>350</v>
      </c>
      <c r="Y54" s="379">
        <f t="shared" si="14"/>
        <v>350</v>
      </c>
      <c r="AA54" s="188">
        <f t="shared" si="146"/>
        <v>9.7517241189415049</v>
      </c>
      <c r="AB54" s="150">
        <f t="shared" si="147"/>
        <v>1.5047382884182561</v>
      </c>
      <c r="AC54" s="150">
        <f t="shared" si="148"/>
        <v>2.5679137154760365</v>
      </c>
      <c r="AD54" s="150"/>
      <c r="AE54" s="150">
        <f t="shared" si="149"/>
        <v>0.93518088485501139</v>
      </c>
      <c r="AF54" s="314">
        <f t="shared" si="150"/>
        <v>691.63090314905082</v>
      </c>
      <c r="AG54" s="456">
        <f t="shared" si="151"/>
        <v>0.99185851424016369</v>
      </c>
      <c r="AI54" s="150">
        <f t="shared" si="152"/>
        <v>8.5196004655296171</v>
      </c>
      <c r="AJ54" s="150">
        <f t="shared" si="153"/>
        <v>8.5196004655296171</v>
      </c>
      <c r="AK54" s="150">
        <f t="shared" si="154"/>
        <v>3.0214773369804124</v>
      </c>
      <c r="AM54" s="314">
        <f t="shared" si="155"/>
        <v>1960</v>
      </c>
      <c r="AN54" s="144">
        <f t="shared" si="156"/>
        <v>350</v>
      </c>
      <c r="AP54">
        <f t="shared" si="157"/>
        <v>1960</v>
      </c>
      <c r="AQ54" s="144">
        <f t="shared" si="158"/>
        <v>350</v>
      </c>
      <c r="AR54" s="144"/>
      <c r="AS54" s="5">
        <f t="shared" si="101"/>
        <v>2.8571428571428572</v>
      </c>
      <c r="AT54" s="5">
        <f t="shared" si="159"/>
        <v>1.1815291791233666</v>
      </c>
      <c r="AU54" s="5">
        <f t="shared" si="102"/>
        <v>1.6756136780194906</v>
      </c>
      <c r="AV54" s="5">
        <f t="shared" si="160"/>
        <v>1.3146156378242504</v>
      </c>
      <c r="AW54" s="150">
        <f t="shared" si="103"/>
        <v>0.41353521269317833</v>
      </c>
      <c r="AX54" s="150">
        <f t="shared" si="161"/>
        <v>59.700004495877657</v>
      </c>
      <c r="AY54" s="150">
        <f t="shared" si="162"/>
        <v>2.4982228374779627</v>
      </c>
      <c r="AZ54" s="150">
        <f t="shared" si="104"/>
        <v>23.896989331883123</v>
      </c>
      <c r="BA54" s="144">
        <f t="shared" si="163"/>
        <v>7.7193239702726624</v>
      </c>
      <c r="BB54" s="5">
        <f t="shared" si="164"/>
        <v>1.7101321294837895</v>
      </c>
      <c r="BC54" s="5"/>
      <c r="BD54" s="150">
        <f t="shared" si="105"/>
        <v>3.1631140349295301</v>
      </c>
      <c r="BE54" s="150">
        <f t="shared" si="165"/>
        <v>3.766860801708674</v>
      </c>
      <c r="BF54" s="150"/>
      <c r="BG54" s="456">
        <f t="shared" si="166"/>
        <v>0.12006348477561807</v>
      </c>
      <c r="BH54" s="456">
        <f t="shared" si="167"/>
        <v>3.5078010875723584</v>
      </c>
      <c r="BI54" s="456">
        <f t="shared" si="168"/>
        <v>4.0250000000000001E-2</v>
      </c>
      <c r="BJ54" s="456">
        <f t="shared" si="169"/>
        <v>0.75257195798920529</v>
      </c>
      <c r="BK54">
        <f t="shared" si="170"/>
        <v>1.5250537441626509E-2</v>
      </c>
      <c r="BL54" s="144">
        <f t="shared" si="106"/>
        <v>55.500537441626506</v>
      </c>
      <c r="BM54" s="456">
        <f t="shared" si="171"/>
        <v>4.5424361281400412</v>
      </c>
      <c r="BN54" s="144">
        <f t="shared" si="107"/>
        <v>4542.4361281400415</v>
      </c>
      <c r="BO54" s="456">
        <f t="shared" si="172"/>
        <v>1.3143759999999998</v>
      </c>
      <c r="BP54" s="456"/>
      <c r="BR54" s="144">
        <f t="shared" si="109"/>
        <v>1314.3759999999997</v>
      </c>
      <c r="BS54" s="456">
        <f t="shared" si="173"/>
        <v>0.14007406557155441</v>
      </c>
      <c r="BT54" s="456">
        <f t="shared" si="174"/>
        <v>0.1986493641922904</v>
      </c>
      <c r="BU54" s="456">
        <f t="shared" si="175"/>
        <v>24.276618117992374</v>
      </c>
      <c r="BV54" s="456">
        <f t="shared" si="176"/>
        <v>25.384501195522894</v>
      </c>
      <c r="BW54" s="456">
        <f t="shared" si="177"/>
        <v>2.5404257232288368</v>
      </c>
      <c r="BX54" s="144">
        <f t="shared" si="110"/>
        <v>27924.926918751731</v>
      </c>
      <c r="BY54" s="150">
        <f t="shared" si="45"/>
        <v>33.837239584333396</v>
      </c>
      <c r="BZ54" s="5">
        <f t="shared" si="111"/>
        <v>58.8</v>
      </c>
      <c r="CA54" s="150">
        <f t="shared" si="112"/>
        <v>0.63473393922182586</v>
      </c>
      <c r="CB54" s="5">
        <f t="shared" si="113"/>
        <v>63.473393922182588</v>
      </c>
      <c r="CE54" s="59">
        <f t="shared" si="178"/>
        <v>-50</v>
      </c>
      <c r="CF54">
        <f t="shared" si="179"/>
        <v>-50</v>
      </c>
      <c r="CG54" s="150">
        <f t="shared" si="180"/>
        <v>0.46362341039540561</v>
      </c>
      <c r="CI54" s="147">
        <v>49</v>
      </c>
      <c r="CJ54" s="188">
        <f t="shared" si="114"/>
        <v>1.96</v>
      </c>
      <c r="CK54" s="188"/>
      <c r="CL54" s="188">
        <f t="shared" si="49"/>
        <v>58.8</v>
      </c>
      <c r="CM54" s="465">
        <f t="shared" si="50"/>
        <v>34</v>
      </c>
      <c r="CN54" s="149">
        <f t="shared" si="51"/>
        <v>30.4</v>
      </c>
      <c r="CO54" s="379">
        <f t="shared" si="52"/>
        <v>64.400000000000006</v>
      </c>
      <c r="CP54" s="379"/>
      <c r="CQ54" s="188">
        <f t="shared" si="53"/>
        <v>0.47204968944099374</v>
      </c>
      <c r="CR54" s="149">
        <f t="shared" si="54"/>
        <v>244.918674788055</v>
      </c>
      <c r="CS54" s="149">
        <f t="shared" si="115"/>
        <v>58.8</v>
      </c>
      <c r="CT54" s="188">
        <f t="shared" si="55"/>
        <v>8.1639558262685004</v>
      </c>
      <c r="CU54" s="188">
        <f t="shared" si="56"/>
        <v>30</v>
      </c>
      <c r="CV54" s="188">
        <f t="shared" si="57"/>
        <v>8.1059037580776696</v>
      </c>
      <c r="CW54" s="149">
        <f t="shared" si="58"/>
        <v>228.8917187780128</v>
      </c>
      <c r="CX54" s="149">
        <f t="shared" si="59"/>
        <v>30</v>
      </c>
      <c r="CY54" s="188">
        <f t="shared" si="60"/>
        <v>7.3272445820433436</v>
      </c>
      <c r="CZ54" s="188">
        <f t="shared" si="61"/>
        <v>1.0128838098706974</v>
      </c>
      <c r="DA54" s="188">
        <f t="shared" si="62"/>
        <v>1.1328305768290694</v>
      </c>
      <c r="DB54" s="172">
        <f t="shared" si="63"/>
        <v>350</v>
      </c>
      <c r="DC54" s="379">
        <f t="shared" si="116"/>
        <v>350</v>
      </c>
      <c r="DE54" s="188">
        <f t="shared" si="64"/>
        <v>9.7566501161056465</v>
      </c>
      <c r="DF54" s="150">
        <f t="shared" si="65"/>
        <v>1.5084294587400178</v>
      </c>
      <c r="DG54" s="150">
        <f t="shared" si="66"/>
        <v>2.5755132294067704</v>
      </c>
      <c r="DH54" s="150"/>
      <c r="DI54" s="150">
        <f t="shared" si="67"/>
        <v>0.93700159489633172</v>
      </c>
      <c r="DJ54" s="314">
        <f t="shared" si="117"/>
        <v>690.28697872340422</v>
      </c>
      <c r="DK54" s="456">
        <f t="shared" si="68"/>
        <v>0.99378957034459414</v>
      </c>
      <c r="DM54" s="150">
        <f t="shared" si="69"/>
        <v>8.5113191217043056</v>
      </c>
      <c r="DN54" s="150">
        <f t="shared" si="70"/>
        <v>8.5113191217043056</v>
      </c>
      <c r="DO54" s="150">
        <f t="shared" si="71"/>
        <v>3.0153430082209223</v>
      </c>
      <c r="DQ54" s="314">
        <f t="shared" si="72"/>
        <v>1960</v>
      </c>
      <c r="DR54" s="144">
        <f t="shared" si="73"/>
        <v>350</v>
      </c>
      <c r="DT54">
        <f t="shared" si="74"/>
        <v>1960</v>
      </c>
      <c r="DU54" s="144">
        <f t="shared" si="75"/>
        <v>350</v>
      </c>
      <c r="DV54" s="144"/>
      <c r="DW54" s="5">
        <f t="shared" si="118"/>
        <v>2.8571428571428572</v>
      </c>
      <c r="DX54" s="5">
        <f t="shared" si="76"/>
        <v>1.1765647021179479</v>
      </c>
      <c r="DY54" s="5">
        <f t="shared" si="119"/>
        <v>1.6805781550249093</v>
      </c>
      <c r="DZ54" s="5">
        <f t="shared" si="77"/>
        <v>1.3158947326319157</v>
      </c>
      <c r="EA54" s="150">
        <f t="shared" si="120"/>
        <v>0.41179764574128175</v>
      </c>
      <c r="EB54" s="150">
        <f t="shared" si="78"/>
        <v>59.583999999999989</v>
      </c>
      <c r="EC54" s="150">
        <f t="shared" si="79"/>
        <v>2.5031889726168592</v>
      </c>
      <c r="ED54" s="150">
        <f t="shared" si="121"/>
        <v>23.8032368517948</v>
      </c>
      <c r="EE54" s="144">
        <f t="shared" si="80"/>
        <v>7.6868893871705941</v>
      </c>
      <c r="EF54" s="5">
        <f t="shared" si="81"/>
        <v>1.7096539016516374</v>
      </c>
      <c r="EG54" s="5"/>
      <c r="EH54" s="150">
        <f t="shared" si="122"/>
        <v>3.1533935612153292</v>
      </c>
      <c r="EI54" s="150">
        <f t="shared" si="82"/>
        <v>3.7687699291124352</v>
      </c>
      <c r="EJ54" s="150"/>
      <c r="EK54" s="456">
        <f t="shared" si="83"/>
        <v>0.11932669142297156</v>
      </c>
      <c r="EL54" s="456">
        <f t="shared" si="84"/>
        <v>3.6450575270610868</v>
      </c>
      <c r="EM54" s="456">
        <f t="shared" si="85"/>
        <v>4.0250000000000001E-2</v>
      </c>
      <c r="EN54" s="456">
        <f t="shared" si="86"/>
        <v>0.75119058000000016</v>
      </c>
      <c r="EO54">
        <f t="shared" si="87"/>
        <v>1.5299999999999999E-2</v>
      </c>
      <c r="EP54" s="144">
        <f t="shared" si="123"/>
        <v>55.550000000000004</v>
      </c>
      <c r="EQ54" s="456">
        <f t="shared" si="88"/>
        <v>4.7376653982083212</v>
      </c>
      <c r="ER54" s="144">
        <f t="shared" si="124"/>
        <v>4737.6653982083208</v>
      </c>
      <c r="ES54" s="456">
        <f t="shared" si="125"/>
        <v>1.3143759999999998</v>
      </c>
      <c r="ET54" s="456"/>
      <c r="EV54" s="144">
        <f t="shared" si="126"/>
        <v>1314.3759999999997</v>
      </c>
      <c r="EW54" s="456">
        <f t="shared" si="89"/>
        <v>0.13921447332680015</v>
      </c>
      <c r="EX54" s="456">
        <f t="shared" si="90"/>
        <v>0.1988507749001501</v>
      </c>
      <c r="EY54" s="456">
        <f t="shared" si="91"/>
        <v>24.217666855965042</v>
      </c>
      <c r="EZ54" s="456">
        <f t="shared" si="92"/>
        <v>25.321698671519687</v>
      </c>
      <c r="FA54" s="456">
        <f t="shared" si="93"/>
        <v>2.5354893617021275</v>
      </c>
      <c r="FB54" s="144">
        <f t="shared" si="127"/>
        <v>27857.188033221813</v>
      </c>
      <c r="FC54" s="150">
        <f t="shared" si="128"/>
        <v>33.909229431430134</v>
      </c>
      <c r="FD54" s="5">
        <f t="shared" si="129"/>
        <v>58.8</v>
      </c>
      <c r="FE54" s="150">
        <f t="shared" si="130"/>
        <v>0.6342410605784381</v>
      </c>
      <c r="FF54" s="5">
        <f t="shared" si="131"/>
        <v>63.424106057843808</v>
      </c>
      <c r="FI54" s="59">
        <f t="shared" si="94"/>
        <v>-50</v>
      </c>
      <c r="FJ54">
        <f t="shared" si="95"/>
        <v>-50</v>
      </c>
      <c r="FL54">
        <f t="shared" si="181"/>
        <v>0.46056315642117052</v>
      </c>
    </row>
    <row r="55" spans="5:168">
      <c r="E55" s="147">
        <v>50</v>
      </c>
      <c r="F55" s="188">
        <f t="shared" si="182"/>
        <v>2</v>
      </c>
      <c r="G55" s="188"/>
      <c r="H55" s="188">
        <f t="shared" si="132"/>
        <v>60</v>
      </c>
      <c r="I55" s="465">
        <f t="shared" si="133"/>
        <v>33.888967268442123</v>
      </c>
      <c r="J55" s="149">
        <f t="shared" si="134"/>
        <v>30.45978685545424</v>
      </c>
      <c r="K55" s="149">
        <f t="shared" si="135"/>
        <v>64.45978685545424</v>
      </c>
      <c r="L55" s="379"/>
      <c r="M55" s="188">
        <f t="shared" si="136"/>
        <v>0.47335797691138198</v>
      </c>
      <c r="N55" s="149">
        <f t="shared" si="137"/>
        <v>244.79542787359611</v>
      </c>
      <c r="O55" s="149">
        <f t="shared" si="98"/>
        <v>60</v>
      </c>
      <c r="P55" s="188">
        <f t="shared" si="138"/>
        <v>8.1598475957865375</v>
      </c>
      <c r="Q55" s="188">
        <f t="shared" si="139"/>
        <v>30</v>
      </c>
      <c r="R55" s="188">
        <f t="shared" si="140"/>
        <v>8.1018247403059629</v>
      </c>
      <c r="S55" s="149">
        <f t="shared" si="141"/>
        <v>222.90633724563091</v>
      </c>
      <c r="T55" s="149">
        <f t="shared" si="142"/>
        <v>30</v>
      </c>
      <c r="U55" s="188">
        <f t="shared" si="143"/>
        <v>7.595292104760353</v>
      </c>
      <c r="V55" s="188">
        <f t="shared" si="11"/>
        <v>1.053377419547866</v>
      </c>
      <c r="W55" s="188">
        <f t="shared" si="144"/>
        <v>1.1719672583979841</v>
      </c>
      <c r="X55" s="172">
        <f t="shared" si="145"/>
        <v>350</v>
      </c>
      <c r="Y55" s="379">
        <f t="shared" si="14"/>
        <v>350</v>
      </c>
      <c r="AA55" s="188">
        <f t="shared" si="146"/>
        <v>9.7516734374204788</v>
      </c>
      <c r="AB55" s="150">
        <f t="shared" si="147"/>
        <v>1.5047007838030637</v>
      </c>
      <c r="AC55" s="150">
        <f t="shared" si="148"/>
        <v>2.5678363663186694</v>
      </c>
      <c r="AD55" s="150"/>
      <c r="AE55" s="150">
        <f t="shared" si="149"/>
        <v>0.93516243629747797</v>
      </c>
      <c r="AF55" s="314">
        <f t="shared" si="150"/>
        <v>705.75974224658864</v>
      </c>
      <c r="AG55" s="456">
        <f t="shared" si="151"/>
        <v>0.9918389475882341</v>
      </c>
      <c r="AI55" s="150">
        <f t="shared" si="152"/>
        <v>8.6061809774314018</v>
      </c>
      <c r="AJ55" s="150">
        <f t="shared" si="153"/>
        <v>8.6061809774314018</v>
      </c>
      <c r="AK55" s="150">
        <f t="shared" si="154"/>
        <v>3.0856110495002529</v>
      </c>
      <c r="AM55" s="314">
        <f t="shared" si="155"/>
        <v>2000</v>
      </c>
      <c r="AN55" s="144">
        <f t="shared" si="156"/>
        <v>350</v>
      </c>
      <c r="AP55">
        <f t="shared" si="157"/>
        <v>2000</v>
      </c>
      <c r="AQ55" s="144">
        <f t="shared" si="158"/>
        <v>350</v>
      </c>
      <c r="AR55" s="144"/>
      <c r="AS55" s="5">
        <f t="shared" si="101"/>
        <v>2.8571428571428572</v>
      </c>
      <c r="AT55" s="5">
        <f t="shared" si="159"/>
        <v>1.1935757815669497</v>
      </c>
      <c r="AU55" s="5">
        <f t="shared" si="102"/>
        <v>1.6635670755759076</v>
      </c>
      <c r="AV55" s="5">
        <f t="shared" si="160"/>
        <v>1.3279492330618403</v>
      </c>
      <c r="AW55" s="150">
        <f t="shared" si="103"/>
        <v>0.41775152354843237</v>
      </c>
      <c r="AX55" s="150">
        <f t="shared" si="161"/>
        <v>60.919573710908494</v>
      </c>
      <c r="AY55" s="150">
        <f t="shared" si="162"/>
        <v>2.5054678810879483</v>
      </c>
      <c r="AZ55" s="150">
        <f t="shared" si="104"/>
        <v>24.314649639194503</v>
      </c>
      <c r="BA55" s="144">
        <f t="shared" si="163"/>
        <v>7.9571718771129971</v>
      </c>
      <c r="BB55" s="5">
        <f t="shared" si="164"/>
        <v>1.7325441526164502</v>
      </c>
      <c r="BC55" s="5"/>
      <c r="BD55" s="150">
        <f t="shared" si="105"/>
        <v>3.2115069661418656</v>
      </c>
      <c r="BE55" s="150">
        <f t="shared" si="165"/>
        <v>3.7914386027632014</v>
      </c>
      <c r="BF55" s="150"/>
      <c r="BG55" s="456">
        <f t="shared" si="166"/>
        <v>0.12376532392293275</v>
      </c>
      <c r="BH55" s="456">
        <f t="shared" si="167"/>
        <v>3.5434821778529764</v>
      </c>
      <c r="BI55" s="456">
        <f t="shared" si="168"/>
        <v>4.0250000000000001E-2</v>
      </c>
      <c r="BJ55" s="456">
        <f t="shared" si="169"/>
        <v>0.75258598899773843</v>
      </c>
      <c r="BK55">
        <f t="shared" si="170"/>
        <v>1.5250035270798955E-2</v>
      </c>
      <c r="BL55" s="144">
        <f t="shared" si="106"/>
        <v>55.500035270798953</v>
      </c>
      <c r="BM55" s="456">
        <f t="shared" si="171"/>
        <v>4.5881728808202906</v>
      </c>
      <c r="BN55" s="144">
        <f t="shared" si="107"/>
        <v>4588.1728808202906</v>
      </c>
      <c r="BO55" s="456">
        <f t="shared" si="172"/>
        <v>1.3411999999999999</v>
      </c>
      <c r="BP55" s="456"/>
      <c r="BR55" s="144">
        <f t="shared" si="109"/>
        <v>1341.2</v>
      </c>
      <c r="BS55" s="456">
        <f t="shared" si="173"/>
        <v>0.1443928779100882</v>
      </c>
      <c r="BT55" s="456">
        <f t="shared" si="174"/>
        <v>0.20125009349932169</v>
      </c>
      <c r="BU55" s="456">
        <f t="shared" si="175"/>
        <v>24.898105424793737</v>
      </c>
      <c r="BV55" s="456">
        <f t="shared" si="176"/>
        <v>26.046937992858876</v>
      </c>
      <c r="BW55" s="456">
        <f t="shared" si="177"/>
        <v>2.5923222855705745</v>
      </c>
      <c r="BX55" s="144">
        <f t="shared" si="110"/>
        <v>28639.26027842945</v>
      </c>
      <c r="BY55" s="150">
        <f t="shared" si="45"/>
        <v>34.624133194520539</v>
      </c>
      <c r="BZ55" s="5">
        <f t="shared" si="111"/>
        <v>60</v>
      </c>
      <c r="CA55" s="150">
        <f t="shared" si="112"/>
        <v>0.63408771076039261</v>
      </c>
      <c r="CB55" s="5">
        <f t="shared" si="113"/>
        <v>63.408771076039258</v>
      </c>
      <c r="CE55" s="59">
        <f t="shared" si="178"/>
        <v>-50</v>
      </c>
      <c r="CF55">
        <f t="shared" si="179"/>
        <v>-50</v>
      </c>
      <c r="CG55" s="150">
        <f t="shared" si="180"/>
        <v>0.46833036772489284</v>
      </c>
      <c r="CI55" s="147">
        <v>50</v>
      </c>
      <c r="CJ55" s="188">
        <f t="shared" si="114"/>
        <v>2</v>
      </c>
      <c r="CK55" s="188"/>
      <c r="CL55" s="188">
        <f t="shared" si="49"/>
        <v>60</v>
      </c>
      <c r="CM55" s="465">
        <f t="shared" si="50"/>
        <v>34</v>
      </c>
      <c r="CN55" s="149">
        <f t="shared" si="51"/>
        <v>30.4</v>
      </c>
      <c r="CO55" s="379">
        <f t="shared" si="52"/>
        <v>64.400000000000006</v>
      </c>
      <c r="CP55" s="379"/>
      <c r="CQ55" s="188">
        <f t="shared" si="53"/>
        <v>0.47204968944099374</v>
      </c>
      <c r="CR55" s="149">
        <f t="shared" si="54"/>
        <v>244.918674788055</v>
      </c>
      <c r="CS55" s="149">
        <f t="shared" si="115"/>
        <v>60</v>
      </c>
      <c r="CT55" s="188">
        <f t="shared" si="55"/>
        <v>8.1639558262685004</v>
      </c>
      <c r="CU55" s="188">
        <f t="shared" si="56"/>
        <v>30</v>
      </c>
      <c r="CV55" s="188">
        <f t="shared" si="57"/>
        <v>8.1059037580776696</v>
      </c>
      <c r="CW55" s="149">
        <f t="shared" si="58"/>
        <v>223.63646198020939</v>
      </c>
      <c r="CX55" s="149">
        <f t="shared" si="59"/>
        <v>30</v>
      </c>
      <c r="CY55" s="188">
        <f t="shared" si="60"/>
        <v>7.4767801857585141</v>
      </c>
      <c r="CZ55" s="188">
        <f t="shared" si="61"/>
        <v>1.033554908031324</v>
      </c>
      <c r="DA55" s="188">
        <f t="shared" si="62"/>
        <v>1.1559495681929282</v>
      </c>
      <c r="DB55" s="172">
        <f t="shared" si="63"/>
        <v>350</v>
      </c>
      <c r="DC55" s="379">
        <f t="shared" si="116"/>
        <v>350</v>
      </c>
      <c r="DE55" s="188">
        <f t="shared" si="64"/>
        <v>9.7566501161056465</v>
      </c>
      <c r="DF55" s="150">
        <f t="shared" si="65"/>
        <v>1.5084294587400178</v>
      </c>
      <c r="DG55" s="150">
        <f t="shared" si="66"/>
        <v>2.5755132294067704</v>
      </c>
      <c r="DH55" s="150"/>
      <c r="DI55" s="150">
        <f t="shared" si="67"/>
        <v>0.93700159489633172</v>
      </c>
      <c r="DJ55" s="314">
        <f t="shared" si="117"/>
        <v>704.3744680851064</v>
      </c>
      <c r="DK55" s="456">
        <f t="shared" si="68"/>
        <v>0.99378957034459414</v>
      </c>
      <c r="DM55" s="150">
        <f t="shared" si="69"/>
        <v>8.597730668285493</v>
      </c>
      <c r="DN55" s="150">
        <f t="shared" si="70"/>
        <v>8.597730668285493</v>
      </c>
      <c r="DO55" s="150">
        <f t="shared" si="71"/>
        <v>3.0793515612440236</v>
      </c>
      <c r="DQ55" s="314">
        <f t="shared" si="72"/>
        <v>2000</v>
      </c>
      <c r="DR55" s="144">
        <f t="shared" si="73"/>
        <v>350</v>
      </c>
      <c r="DT55">
        <f t="shared" si="74"/>
        <v>2000</v>
      </c>
      <c r="DU55" s="144">
        <f t="shared" si="75"/>
        <v>350</v>
      </c>
      <c r="DV55" s="144"/>
      <c r="DW55" s="5">
        <f t="shared" si="118"/>
        <v>2.8571428571428572</v>
      </c>
      <c r="DX55" s="5">
        <f t="shared" si="76"/>
        <v>1.1885098276747592</v>
      </c>
      <c r="DY55" s="5">
        <f t="shared" si="119"/>
        <v>1.668633029468098</v>
      </c>
      <c r="DZ55" s="5">
        <f t="shared" si="77"/>
        <v>1.3292544125309809</v>
      </c>
      <c r="EA55" s="150">
        <f t="shared" si="120"/>
        <v>0.41597843968616571</v>
      </c>
      <c r="EB55" s="150">
        <f t="shared" si="78"/>
        <v>60.800000000000011</v>
      </c>
      <c r="EC55" s="150">
        <f t="shared" si="79"/>
        <v>2.5106300400250996</v>
      </c>
      <c r="ED55" s="150">
        <f t="shared" si="121"/>
        <v>24.217028805802137</v>
      </c>
      <c r="EE55" s="144">
        <f t="shared" si="80"/>
        <v>7.9233988511650617</v>
      </c>
      <c r="EF55" s="5">
        <f t="shared" si="81"/>
        <v>1.7321450132886826</v>
      </c>
      <c r="EG55" s="5"/>
      <c r="EH55" s="150">
        <f t="shared" si="122"/>
        <v>3.2015376962063944</v>
      </c>
      <c r="EI55" s="150">
        <f t="shared" si="82"/>
        <v>3.7934786930417519</v>
      </c>
      <c r="EJ55" s="150"/>
      <c r="EK55" s="456">
        <f t="shared" si="83"/>
        <v>0.12299812344276657</v>
      </c>
      <c r="EL55" s="456">
        <f t="shared" si="84"/>
        <v>3.6820641359999455</v>
      </c>
      <c r="EM55" s="456">
        <f t="shared" si="85"/>
        <v>4.0250000000000001E-2</v>
      </c>
      <c r="EN55" s="456">
        <f t="shared" si="86"/>
        <v>0.75119058000000016</v>
      </c>
      <c r="EO55">
        <f t="shared" si="87"/>
        <v>1.5299999999999999E-2</v>
      </c>
      <c r="EP55" s="144">
        <f t="shared" si="123"/>
        <v>55.550000000000004</v>
      </c>
      <c r="EQ55" s="456">
        <f t="shared" si="88"/>
        <v>4.78484637777398</v>
      </c>
      <c r="ER55" s="144">
        <f t="shared" si="124"/>
        <v>4784.8463777739798</v>
      </c>
      <c r="ES55" s="456">
        <f t="shared" si="125"/>
        <v>1.3411999999999999</v>
      </c>
      <c r="ET55" s="456"/>
      <c r="EV55" s="144">
        <f t="shared" si="126"/>
        <v>1341.2</v>
      </c>
      <c r="EW55" s="456">
        <f t="shared" si="89"/>
        <v>0.14349781068322767</v>
      </c>
      <c r="EX55" s="456">
        <f t="shared" si="90"/>
        <v>0.20146672832386461</v>
      </c>
      <c r="EY55" s="456">
        <f t="shared" si="91"/>
        <v>24.837032524296749</v>
      </c>
      <c r="EZ55" s="456">
        <f t="shared" si="92"/>
        <v>25.98181288090802</v>
      </c>
      <c r="FA55" s="456">
        <f t="shared" si="93"/>
        <v>2.5872340425531921</v>
      </c>
      <c r="FB55" s="144">
        <f t="shared" si="127"/>
        <v>28569.04692346121</v>
      </c>
      <c r="FC55" s="150">
        <f t="shared" si="128"/>
        <v>34.69509330123519</v>
      </c>
      <c r="FD55" s="5">
        <f t="shared" si="129"/>
        <v>60</v>
      </c>
      <c r="FE55" s="150">
        <f t="shared" si="130"/>
        <v>0.63361255486737422</v>
      </c>
      <c r="FF55" s="5">
        <f t="shared" si="131"/>
        <v>63.36125548673742</v>
      </c>
      <c r="FI55" s="59">
        <f t="shared" si="94"/>
        <v>-50</v>
      </c>
      <c r="FJ55">
        <f t="shared" si="95"/>
        <v>-50</v>
      </c>
      <c r="FL55">
        <f t="shared" si="181"/>
        <v>0.46523904438584324</v>
      </c>
    </row>
    <row r="56" spans="5:168">
      <c r="E56" s="147">
        <v>51</v>
      </c>
      <c r="F56" s="188">
        <f t="shared" si="182"/>
        <v>2.04</v>
      </c>
      <c r="G56" s="188"/>
      <c r="H56" s="188">
        <f t="shared" si="132"/>
        <v>61.2</v>
      </c>
      <c r="I56" s="465">
        <f t="shared" si="133"/>
        <v>33.88786243793114</v>
      </c>
      <c r="J56" s="149">
        <f t="shared" si="134"/>
        <v>30.460381764190924</v>
      </c>
      <c r="K56" s="149">
        <f t="shared" si="135"/>
        <v>64.460381764190927</v>
      </c>
      <c r="L56" s="379"/>
      <c r="M56" s="188">
        <f t="shared" si="136"/>
        <v>0.4733710054071244</v>
      </c>
      <c r="N56" s="149">
        <f t="shared" si="137"/>
        <v>244.7941846016941</v>
      </c>
      <c r="O56" s="149">
        <f t="shared" si="98"/>
        <v>61.2</v>
      </c>
      <c r="P56" s="188">
        <f t="shared" si="138"/>
        <v>8.1598061533898036</v>
      </c>
      <c r="Q56" s="188">
        <f t="shared" si="139"/>
        <v>30</v>
      </c>
      <c r="R56" s="188">
        <f t="shared" si="140"/>
        <v>8.1017835925968633</v>
      </c>
      <c r="S56" s="149">
        <f t="shared" si="141"/>
        <v>217.8666241023364</v>
      </c>
      <c r="T56" s="149">
        <f t="shared" si="142"/>
        <v>30</v>
      </c>
      <c r="U56" s="188">
        <f t="shared" si="143"/>
        <v>7.7473896080373441</v>
      </c>
      <c r="V56" s="188">
        <f t="shared" si="11"/>
        <v>1.0745065795893414</v>
      </c>
      <c r="W56" s="188">
        <f t="shared" si="144"/>
        <v>1.1954128296770774</v>
      </c>
      <c r="X56" s="172">
        <f t="shared" si="145"/>
        <v>350</v>
      </c>
      <c r="Y56" s="379">
        <f t="shared" si="14"/>
        <v>350</v>
      </c>
      <c r="AA56" s="188">
        <f t="shared" si="146"/>
        <v>9.7516232469505617</v>
      </c>
      <c r="AB56" s="150">
        <f t="shared" si="147"/>
        <v>1.5046636518045304</v>
      </c>
      <c r="AC56" s="150">
        <f t="shared" si="148"/>
        <v>2.5677597830112524</v>
      </c>
      <c r="AD56" s="150"/>
      <c r="AE56" s="150">
        <f t="shared" si="149"/>
        <v>0.93514417203841915</v>
      </c>
      <c r="AF56" s="314">
        <f t="shared" si="150"/>
        <v>719.88899693676581</v>
      </c>
      <c r="AG56" s="456">
        <f t="shared" si="151"/>
        <v>0.99181957640438401</v>
      </c>
      <c r="AI56" s="150">
        <f t="shared" si="152"/>
        <v>8.691901607528342</v>
      </c>
      <c r="AJ56" s="150">
        <f t="shared" si="153"/>
        <v>8.691901607528342</v>
      </c>
      <c r="AK56" s="150">
        <f t="shared" si="154"/>
        <v>3.1491078125350231</v>
      </c>
      <c r="AM56" s="314">
        <f t="shared" si="155"/>
        <v>2040</v>
      </c>
      <c r="AN56" s="144">
        <f t="shared" si="156"/>
        <v>350</v>
      </c>
      <c r="AP56">
        <f t="shared" si="157"/>
        <v>2040</v>
      </c>
      <c r="AQ56" s="144">
        <f t="shared" si="158"/>
        <v>350</v>
      </c>
      <c r="AR56" s="144"/>
      <c r="AS56" s="5">
        <f t="shared" si="101"/>
        <v>2.8571428571428572</v>
      </c>
      <c r="AT56" s="5">
        <f t="shared" si="159"/>
        <v>1.2055035229857722</v>
      </c>
      <c r="AU56" s="5">
        <f t="shared" si="102"/>
        <v>1.651639334157085</v>
      </c>
      <c r="AV56" s="5">
        <f t="shared" si="160"/>
        <v>1.341149886814897</v>
      </c>
      <c r="AW56" s="150">
        <f t="shared" si="103"/>
        <v>0.42192623304502025</v>
      </c>
      <c r="AX56" s="150">
        <f t="shared" si="161"/>
        <v>62.13917879894948</v>
      </c>
      <c r="AY56" s="150">
        <f t="shared" si="162"/>
        <v>2.5122801521329765</v>
      </c>
      <c r="AZ56" s="150">
        <f t="shared" si="104"/>
        <v>24.7341757431758</v>
      </c>
      <c r="BA56" s="144">
        <f t="shared" si="163"/>
        <v>8.1974239563032505</v>
      </c>
      <c r="BB56" s="5">
        <f t="shared" si="164"/>
        <v>1.7545814858803774</v>
      </c>
      <c r="BC56" s="5"/>
      <c r="BD56" s="150">
        <f t="shared" si="105"/>
        <v>3.2596610135197315</v>
      </c>
      <c r="BE56" s="150">
        <f t="shared" si="165"/>
        <v>3.8154503354026392</v>
      </c>
      <c r="BF56" s="150"/>
      <c r="BG56" s="456">
        <f t="shared" si="166"/>
        <v>0.1275046790767258</v>
      </c>
      <c r="BH56" s="456">
        <f t="shared" si="167"/>
        <v>3.5788095524211196</v>
      </c>
      <c r="BI56" s="456">
        <f t="shared" si="168"/>
        <v>4.0250000000000001E-2</v>
      </c>
      <c r="BJ56" s="456">
        <f t="shared" si="169"/>
        <v>0.75259988051267634</v>
      </c>
      <c r="BK56">
        <f t="shared" si="170"/>
        <v>1.5249538097069013E-2</v>
      </c>
      <c r="BL56" s="144">
        <f t="shared" si="106"/>
        <v>55.499538097069014</v>
      </c>
      <c r="BM56" s="456">
        <f t="shared" si="171"/>
        <v>4.6337194230957204</v>
      </c>
      <c r="BN56" s="144">
        <f t="shared" si="107"/>
        <v>4633.7194230957202</v>
      </c>
      <c r="BO56" s="456">
        <f t="shared" si="172"/>
        <v>1.3680239999999999</v>
      </c>
      <c r="BP56" s="456"/>
      <c r="BR56" s="144">
        <f t="shared" si="109"/>
        <v>1368.0239999999999</v>
      </c>
      <c r="BS56" s="456">
        <f t="shared" si="173"/>
        <v>0.14875545892284678</v>
      </c>
      <c r="BT56" s="456">
        <f t="shared" si="174"/>
        <v>0.20380725766693758</v>
      </c>
      <c r="BU56" s="456">
        <f t="shared" si="175"/>
        <v>25.522729569109167</v>
      </c>
      <c r="BV56" s="456">
        <f t="shared" si="176"/>
        <v>26.713358064764414</v>
      </c>
      <c r="BW56" s="456">
        <f t="shared" si="177"/>
        <v>2.6442203744233823</v>
      </c>
      <c r="BX56" s="144">
        <f t="shared" si="110"/>
        <v>29357.578439187797</v>
      </c>
      <c r="BY56" s="150">
        <f t="shared" si="45"/>
        <v>35.414821400380582</v>
      </c>
      <c r="BZ56" s="5">
        <f t="shared" si="111"/>
        <v>61.2</v>
      </c>
      <c r="CA56" s="150">
        <f t="shared" si="112"/>
        <v>0.63344318307417513</v>
      </c>
      <c r="CB56" s="5">
        <f t="shared" si="113"/>
        <v>63.34431830741751</v>
      </c>
      <c r="CE56" s="59">
        <f t="shared" si="178"/>
        <v>-50</v>
      </c>
      <c r="CF56">
        <f t="shared" si="179"/>
        <v>-50</v>
      </c>
      <c r="CG56" s="150">
        <f t="shared" si="180"/>
        <v>0.47299048616224831</v>
      </c>
      <c r="CI56" s="147">
        <v>51</v>
      </c>
      <c r="CJ56" s="188">
        <f t="shared" si="114"/>
        <v>2.04</v>
      </c>
      <c r="CK56" s="188"/>
      <c r="CL56" s="188">
        <f t="shared" si="49"/>
        <v>61.2</v>
      </c>
      <c r="CM56" s="465">
        <f t="shared" si="50"/>
        <v>34</v>
      </c>
      <c r="CN56" s="149">
        <f t="shared" si="51"/>
        <v>30.4</v>
      </c>
      <c r="CO56" s="379">
        <f t="shared" si="52"/>
        <v>64.400000000000006</v>
      </c>
      <c r="CP56" s="379"/>
      <c r="CQ56" s="188">
        <f t="shared" si="53"/>
        <v>0.47204968944099374</v>
      </c>
      <c r="CR56" s="149">
        <f t="shared" si="54"/>
        <v>244.918674788055</v>
      </c>
      <c r="CS56" s="149">
        <f t="shared" si="115"/>
        <v>61.2</v>
      </c>
      <c r="CT56" s="188">
        <f t="shared" si="55"/>
        <v>8.1639558262685004</v>
      </c>
      <c r="CU56" s="188">
        <f t="shared" si="56"/>
        <v>30</v>
      </c>
      <c r="CV56" s="188">
        <f t="shared" si="57"/>
        <v>8.1059037580776696</v>
      </c>
      <c r="CW56" s="149">
        <f t="shared" si="58"/>
        <v>218.58735656729945</v>
      </c>
      <c r="CX56" s="149">
        <f t="shared" si="59"/>
        <v>30</v>
      </c>
      <c r="CY56" s="188">
        <f t="shared" si="60"/>
        <v>7.6263157894736846</v>
      </c>
      <c r="CZ56" s="188">
        <f t="shared" si="61"/>
        <v>1.0542260061919504</v>
      </c>
      <c r="DA56" s="188">
        <f t="shared" si="62"/>
        <v>1.1790685595567867</v>
      </c>
      <c r="DB56" s="172">
        <f t="shared" si="63"/>
        <v>350</v>
      </c>
      <c r="DC56" s="379">
        <f t="shared" si="116"/>
        <v>350</v>
      </c>
      <c r="DE56" s="188">
        <f t="shared" si="64"/>
        <v>9.7566501161056465</v>
      </c>
      <c r="DF56" s="150">
        <f t="shared" si="65"/>
        <v>1.5084294587400178</v>
      </c>
      <c r="DG56" s="150">
        <f t="shared" si="66"/>
        <v>2.5755132294067704</v>
      </c>
      <c r="DH56" s="150"/>
      <c r="DI56" s="150">
        <f t="shared" si="67"/>
        <v>0.93700159489633172</v>
      </c>
      <c r="DJ56" s="314">
        <f t="shared" si="117"/>
        <v>718.46195744680858</v>
      </c>
      <c r="DK56" s="456">
        <f t="shared" si="68"/>
        <v>0.99378957034459414</v>
      </c>
      <c r="DM56" s="150">
        <f t="shared" si="69"/>
        <v>8.6832823343056411</v>
      </c>
      <c r="DN56" s="150">
        <f t="shared" si="70"/>
        <v>8.6832823343056411</v>
      </c>
      <c r="DO56" s="150">
        <f t="shared" si="71"/>
        <v>3.1427231657033929</v>
      </c>
      <c r="DQ56" s="314">
        <f t="shared" si="72"/>
        <v>2040</v>
      </c>
      <c r="DR56" s="144">
        <f t="shared" si="73"/>
        <v>350</v>
      </c>
      <c r="DT56">
        <f t="shared" si="74"/>
        <v>2040</v>
      </c>
      <c r="DU56" s="144">
        <f t="shared" si="75"/>
        <v>350</v>
      </c>
      <c r="DV56" s="144"/>
      <c r="DW56" s="5">
        <f t="shared" si="118"/>
        <v>2.8571428571428572</v>
      </c>
      <c r="DX56" s="5">
        <f t="shared" si="76"/>
        <v>1.2003360873893092</v>
      </c>
      <c r="DY56" s="5">
        <f t="shared" si="119"/>
        <v>1.656806769753548</v>
      </c>
      <c r="DZ56" s="5">
        <f t="shared" si="77"/>
        <v>1.3424811503696221</v>
      </c>
      <c r="EA56" s="150">
        <f t="shared" si="120"/>
        <v>0.42011763058625823</v>
      </c>
      <c r="EB56" s="150">
        <f t="shared" si="78"/>
        <v>62.015999999999991</v>
      </c>
      <c r="EC56" s="150">
        <f t="shared" si="79"/>
        <v>2.5176411671528212</v>
      </c>
      <c r="ED56" s="150">
        <f t="shared" si="121"/>
        <v>24.632581008410089</v>
      </c>
      <c r="EE56" s="144">
        <f t="shared" si="80"/>
        <v>8.1622853942473039</v>
      </c>
      <c r="EF56" s="5">
        <f t="shared" si="81"/>
        <v>1.7542659915037566</v>
      </c>
      <c r="EG56" s="5"/>
      <c r="EH56" s="150">
        <f t="shared" si="122"/>
        <v>3.2494416933552843</v>
      </c>
      <c r="EI56" s="150">
        <f t="shared" si="82"/>
        <v>3.8176248349690525</v>
      </c>
      <c r="EJ56" s="150"/>
      <c r="EK56" s="456">
        <f t="shared" si="83"/>
        <v>0.1267064558221879</v>
      </c>
      <c r="EL56" s="456">
        <f t="shared" si="84"/>
        <v>3.7187024924897347</v>
      </c>
      <c r="EM56" s="456">
        <f t="shared" si="85"/>
        <v>4.0250000000000001E-2</v>
      </c>
      <c r="EN56" s="456">
        <f t="shared" si="86"/>
        <v>0.75119058000000016</v>
      </c>
      <c r="EO56">
        <f t="shared" si="87"/>
        <v>1.5299999999999999E-2</v>
      </c>
      <c r="EP56" s="144">
        <f t="shared" si="123"/>
        <v>55.550000000000004</v>
      </c>
      <c r="EQ56" s="456">
        <f t="shared" si="88"/>
        <v>4.8318245424146617</v>
      </c>
      <c r="ER56" s="144">
        <f t="shared" si="124"/>
        <v>4831.8245424146617</v>
      </c>
      <c r="ES56" s="456">
        <f t="shared" si="125"/>
        <v>1.3680239999999999</v>
      </c>
      <c r="ET56" s="456"/>
      <c r="EV56" s="144">
        <f t="shared" si="126"/>
        <v>1368.0239999999999</v>
      </c>
      <c r="EW56" s="456">
        <f t="shared" si="89"/>
        <v>0.14782419845921921</v>
      </c>
      <c r="EX56" s="456">
        <f t="shared" si="90"/>
        <v>0.20403963132801481</v>
      </c>
      <c r="EY56" s="456">
        <f t="shared" si="91"/>
        <v>25.459502957540195</v>
      </c>
      <c r="EZ56" s="456">
        <f t="shared" si="92"/>
        <v>26.645871580256188</v>
      </c>
      <c r="FA56" s="456">
        <f t="shared" si="93"/>
        <v>2.638978723404255</v>
      </c>
      <c r="FB56" s="144">
        <f t="shared" si="127"/>
        <v>29284.850303660442</v>
      </c>
      <c r="FC56" s="150">
        <f t="shared" si="128"/>
        <v>35.484698846075105</v>
      </c>
      <c r="FD56" s="5">
        <f t="shared" si="129"/>
        <v>61.2</v>
      </c>
      <c r="FE56" s="150">
        <f t="shared" si="130"/>
        <v>0.63298537131953225</v>
      </c>
      <c r="FF56" s="5">
        <f t="shared" si="131"/>
        <v>63.298537131953225</v>
      </c>
      <c r="FI56" s="59">
        <f t="shared" si="94"/>
        <v>-50</v>
      </c>
      <c r="FJ56">
        <f t="shared" si="95"/>
        <v>-50</v>
      </c>
      <c r="FL56">
        <f t="shared" si="181"/>
        <v>0.4698684026293678</v>
      </c>
    </row>
    <row r="57" spans="5:168">
      <c r="E57" s="147">
        <v>52</v>
      </c>
      <c r="F57" s="188">
        <f t="shared" si="182"/>
        <v>2.08</v>
      </c>
      <c r="G57" s="188"/>
      <c r="H57" s="188">
        <f t="shared" si="132"/>
        <v>62.400000000000006</v>
      </c>
      <c r="I57" s="465">
        <f t="shared" si="133"/>
        <v>33.886768387027772</v>
      </c>
      <c r="J57" s="149">
        <f t="shared" si="134"/>
        <v>30.460970868523503</v>
      </c>
      <c r="K57" s="149">
        <f t="shared" si="135"/>
        <v>64.460970868523503</v>
      </c>
      <c r="L57" s="379"/>
      <c r="M57" s="188">
        <f t="shared" si="136"/>
        <v>0.47338390698836863</v>
      </c>
      <c r="N57" s="149">
        <f t="shared" si="137"/>
        <v>244.79295313164224</v>
      </c>
      <c r="O57" s="149">
        <f t="shared" si="98"/>
        <v>62.400000000000006</v>
      </c>
      <c r="P57" s="188">
        <f t="shared" si="138"/>
        <v>8.1597651043880752</v>
      </c>
      <c r="Q57" s="188">
        <f t="shared" si="139"/>
        <v>30</v>
      </c>
      <c r="R57" s="188">
        <f t="shared" si="140"/>
        <v>8.1017428354854264</v>
      </c>
      <c r="S57" s="149">
        <f t="shared" si="141"/>
        <v>213.02091854207492</v>
      </c>
      <c r="T57" s="149">
        <f t="shared" si="142"/>
        <v>30</v>
      </c>
      <c r="U57" s="188">
        <f t="shared" si="143"/>
        <v>7.899492733329966</v>
      </c>
      <c r="V57" s="188">
        <f t="shared" si="11"/>
        <v>1.0956375486328078</v>
      </c>
      <c r="W57" s="188">
        <f t="shared" si="144"/>
        <v>1.2188585848724947</v>
      </c>
      <c r="X57" s="172">
        <f t="shared" si="145"/>
        <v>350</v>
      </c>
      <c r="Y57" s="379">
        <f t="shared" si="14"/>
        <v>350</v>
      </c>
      <c r="AA57" s="188">
        <f t="shared" si="146"/>
        <v>9.7515735331574742</v>
      </c>
      <c r="AB57" s="150">
        <f t="shared" si="147"/>
        <v>1.5046268815154711</v>
      </c>
      <c r="AC57" s="150">
        <f t="shared" si="148"/>
        <v>2.5676839431361187</v>
      </c>
      <c r="AD57" s="150"/>
      <c r="AE57" s="150">
        <f t="shared" si="149"/>
        <v>0.93512608668304054</v>
      </c>
      <c r="AF57" s="314">
        <f t="shared" si="150"/>
        <v>734.01866312457423</v>
      </c>
      <c r="AG57" s="456">
        <f t="shared" si="151"/>
        <v>0.99180039496686101</v>
      </c>
      <c r="AI57" s="150">
        <f t="shared" si="152"/>
        <v>8.7767875261085457</v>
      </c>
      <c r="AJ57" s="150">
        <f t="shared" si="153"/>
        <v>8.7767875261085457</v>
      </c>
      <c r="AK57" s="150">
        <f t="shared" si="154"/>
        <v>3.2119862707425817</v>
      </c>
      <c r="AM57" s="314">
        <f t="shared" si="155"/>
        <v>2080</v>
      </c>
      <c r="AN57" s="144">
        <f t="shared" si="156"/>
        <v>350</v>
      </c>
      <c r="AP57">
        <f t="shared" si="157"/>
        <v>2080</v>
      </c>
      <c r="AQ57" s="144">
        <f t="shared" si="158"/>
        <v>350</v>
      </c>
      <c r="AR57" s="144"/>
      <c r="AS57" s="5">
        <f t="shared" si="101"/>
        <v>2.8571428571428572</v>
      </c>
      <c r="AT57" s="5">
        <f t="shared" si="159"/>
        <v>1.2173158827532655</v>
      </c>
      <c r="AU57" s="5">
        <f t="shared" si="102"/>
        <v>1.6398269743895917</v>
      </c>
      <c r="AV57" s="5">
        <f t="shared" si="160"/>
        <v>1.3542214905348375</v>
      </c>
      <c r="AW57" s="150">
        <f t="shared" si="103"/>
        <v>0.42606055896364292</v>
      </c>
      <c r="AX57" s="150">
        <f t="shared" si="161"/>
        <v>63.35881940652888</v>
      </c>
      <c r="AY57" s="150">
        <f t="shared" si="162"/>
        <v>2.5186722634148051</v>
      </c>
      <c r="AZ57" s="150">
        <f t="shared" si="104"/>
        <v>25.155642648252801</v>
      </c>
      <c r="BA57" s="144">
        <f t="shared" si="163"/>
        <v>8.4400567870893077</v>
      </c>
      <c r="BB57" s="5">
        <f t="shared" si="164"/>
        <v>1.776247747016376</v>
      </c>
      <c r="BC57" s="5"/>
      <c r="BD57" s="150">
        <f t="shared" si="105"/>
        <v>3.3075820307623154</v>
      </c>
      <c r="BE57" s="150">
        <f t="shared" si="165"/>
        <v>3.8389105489183288</v>
      </c>
      <c r="BF57" s="150"/>
      <c r="BG57" s="456">
        <f t="shared" si="166"/>
        <v>0.13128118668266114</v>
      </c>
      <c r="BH57" s="456">
        <f t="shared" si="167"/>
        <v>3.6137935651911057</v>
      </c>
      <c r="BI57" s="456">
        <f t="shared" si="168"/>
        <v>4.0250000000000001E-2</v>
      </c>
      <c r="BJ57" s="456">
        <f t="shared" si="169"/>
        <v>0.75261363661725122</v>
      </c>
      <c r="BK57">
        <f t="shared" si="170"/>
        <v>1.5249045774162497E-2</v>
      </c>
      <c r="BL57" s="144">
        <f t="shared" si="106"/>
        <v>55.499045774162497</v>
      </c>
      <c r="BM57" s="456">
        <f t="shared" si="171"/>
        <v>4.6790862865644183</v>
      </c>
      <c r="BN57" s="144">
        <f t="shared" si="107"/>
        <v>4679.0862865644185</v>
      </c>
      <c r="BO57" s="456">
        <f t="shared" si="172"/>
        <v>1.3948479999999999</v>
      </c>
      <c r="BP57" s="456"/>
      <c r="BR57" s="144">
        <f t="shared" si="109"/>
        <v>1394.848</v>
      </c>
      <c r="BS57" s="456">
        <f t="shared" si="173"/>
        <v>0.15316138446310468</v>
      </c>
      <c r="BT57" s="456">
        <f t="shared" si="174"/>
        <v>0.20632127883634993</v>
      </c>
      <c r="BU57" s="456">
        <f t="shared" si="175"/>
        <v>26.150444616367018</v>
      </c>
      <c r="BV57" s="456">
        <f t="shared" si="176"/>
        <v>27.383720954026543</v>
      </c>
      <c r="BW57" s="456">
        <f t="shared" si="177"/>
        <v>2.6961199747459101</v>
      </c>
      <c r="BX57" s="144">
        <f t="shared" si="110"/>
        <v>30079.840928772457</v>
      </c>
      <c r="BY57" s="150">
        <f t="shared" si="45"/>
        <v>36.209274261111034</v>
      </c>
      <c r="BZ57" s="5">
        <f t="shared" si="111"/>
        <v>62.400000000000006</v>
      </c>
      <c r="CA57" s="150">
        <f t="shared" si="112"/>
        <v>0.63280051970333751</v>
      </c>
      <c r="CB57" s="5">
        <f t="shared" si="113"/>
        <v>63.280051970333751</v>
      </c>
      <c r="CE57" s="59">
        <f t="shared" si="178"/>
        <v>-50</v>
      </c>
      <c r="CF57">
        <f t="shared" si="179"/>
        <v>-50</v>
      </c>
      <c r="CG57" s="150">
        <f t="shared" si="180"/>
        <v>0.47760513676746263</v>
      </c>
      <c r="CI57" s="147">
        <v>52</v>
      </c>
      <c r="CJ57" s="188">
        <f t="shared" si="114"/>
        <v>2.08</v>
      </c>
      <c r="CK57" s="188"/>
      <c r="CL57" s="188">
        <f t="shared" si="49"/>
        <v>62.400000000000006</v>
      </c>
      <c r="CM57" s="465">
        <f t="shared" si="50"/>
        <v>34</v>
      </c>
      <c r="CN57" s="149">
        <f t="shared" si="51"/>
        <v>30.4</v>
      </c>
      <c r="CO57" s="379">
        <f t="shared" si="52"/>
        <v>64.400000000000006</v>
      </c>
      <c r="CP57" s="379"/>
      <c r="CQ57" s="188">
        <f t="shared" si="53"/>
        <v>0.47204968944099374</v>
      </c>
      <c r="CR57" s="149">
        <f t="shared" si="54"/>
        <v>244.918674788055</v>
      </c>
      <c r="CS57" s="149">
        <f t="shared" si="115"/>
        <v>62.400000000000006</v>
      </c>
      <c r="CT57" s="188">
        <f t="shared" si="55"/>
        <v>8.1639558262685004</v>
      </c>
      <c r="CU57" s="188">
        <f t="shared" si="56"/>
        <v>30</v>
      </c>
      <c r="CV57" s="188">
        <f t="shared" si="57"/>
        <v>8.1059037580776696</v>
      </c>
      <c r="CW57" s="149">
        <f t="shared" si="58"/>
        <v>213.7325097439099</v>
      </c>
      <c r="CX57" s="149">
        <f t="shared" si="59"/>
        <v>30</v>
      </c>
      <c r="CY57" s="188">
        <f t="shared" si="60"/>
        <v>7.775851393188856</v>
      </c>
      <c r="CZ57" s="188">
        <f t="shared" si="61"/>
        <v>1.0748971043525772</v>
      </c>
      <c r="DA57" s="188">
        <f t="shared" si="62"/>
        <v>1.2021875509206454</v>
      </c>
      <c r="DB57" s="172">
        <f t="shared" si="63"/>
        <v>350</v>
      </c>
      <c r="DC57" s="379">
        <f t="shared" si="116"/>
        <v>350</v>
      </c>
      <c r="DE57" s="188">
        <f t="shared" si="64"/>
        <v>9.7566501161056465</v>
      </c>
      <c r="DF57" s="150">
        <f t="shared" si="65"/>
        <v>1.5084294587400178</v>
      </c>
      <c r="DG57" s="150">
        <f t="shared" si="66"/>
        <v>2.5755132294067704</v>
      </c>
      <c r="DH57" s="150"/>
      <c r="DI57" s="150">
        <f t="shared" si="67"/>
        <v>0.93700159489633172</v>
      </c>
      <c r="DJ57" s="314">
        <f t="shared" si="117"/>
        <v>732.54944680851065</v>
      </c>
      <c r="DK57" s="456">
        <f t="shared" si="68"/>
        <v>0.99378957034459414</v>
      </c>
      <c r="DM57" s="150">
        <f t="shared" si="69"/>
        <v>8.7679992900405725</v>
      </c>
      <c r="DN57" s="150">
        <f t="shared" si="70"/>
        <v>8.7679992900405725</v>
      </c>
      <c r="DO57" s="150">
        <f t="shared" si="71"/>
        <v>3.2054764662477861</v>
      </c>
      <c r="DQ57" s="314">
        <f t="shared" si="72"/>
        <v>2080</v>
      </c>
      <c r="DR57" s="144">
        <f t="shared" si="73"/>
        <v>350</v>
      </c>
      <c r="DT57">
        <f t="shared" si="74"/>
        <v>2080</v>
      </c>
      <c r="DU57" s="144">
        <f t="shared" si="75"/>
        <v>350</v>
      </c>
      <c r="DV57" s="144"/>
      <c r="DW57" s="5">
        <f t="shared" si="118"/>
        <v>2.8571428571428572</v>
      </c>
      <c r="DX57" s="5">
        <f t="shared" si="76"/>
        <v>1.2120469606820792</v>
      </c>
      <c r="DY57" s="5">
        <f t="shared" si="119"/>
        <v>1.645095896460778</v>
      </c>
      <c r="DZ57" s="5">
        <f t="shared" si="77"/>
        <v>1.3555788376049569</v>
      </c>
      <c r="EA57" s="150">
        <f t="shared" si="120"/>
        <v>0.42421643623872768</v>
      </c>
      <c r="EB57" s="150">
        <f t="shared" si="78"/>
        <v>63.232000000000014</v>
      </c>
      <c r="EC57" s="150">
        <f t="shared" si="79"/>
        <v>2.5242349391379331</v>
      </c>
      <c r="ED57" s="150">
        <f t="shared" si="121"/>
        <v>25.049966237134313</v>
      </c>
      <c r="EE57" s="144">
        <f t="shared" si="80"/>
        <v>8.4035255940624154</v>
      </c>
      <c r="EF57" s="5">
        <f t="shared" si="81"/>
        <v>1.7760204833763416</v>
      </c>
      <c r="EG57" s="5"/>
      <c r="EH57" s="150">
        <f t="shared" si="122"/>
        <v>3.2971114247493452</v>
      </c>
      <c r="EI57" s="150">
        <f t="shared" si="82"/>
        <v>3.8412229089407628</v>
      </c>
      <c r="EJ57" s="150"/>
      <c r="EK57" s="456">
        <f t="shared" si="83"/>
        <v>0.13045132496655187</v>
      </c>
      <c r="EL57" s="456">
        <f t="shared" si="84"/>
        <v>3.7549833759527762</v>
      </c>
      <c r="EM57" s="456">
        <f t="shared" si="85"/>
        <v>4.0250000000000001E-2</v>
      </c>
      <c r="EN57" s="456">
        <f t="shared" si="86"/>
        <v>0.75119058000000016</v>
      </c>
      <c r="EO57">
        <f t="shared" si="87"/>
        <v>1.5299999999999999E-2</v>
      </c>
      <c r="EP57" s="144">
        <f t="shared" si="123"/>
        <v>55.550000000000004</v>
      </c>
      <c r="EQ57" s="456">
        <f t="shared" si="88"/>
        <v>4.8786108267933805</v>
      </c>
      <c r="ER57" s="144">
        <f t="shared" si="124"/>
        <v>4878.6108267933805</v>
      </c>
      <c r="ES57" s="456">
        <f t="shared" si="125"/>
        <v>1.3948479999999999</v>
      </c>
      <c r="ET57" s="456"/>
      <c r="EV57" s="144">
        <f t="shared" si="126"/>
        <v>1394.848</v>
      </c>
      <c r="EW57" s="456">
        <f t="shared" si="89"/>
        <v>0.1521932124609772</v>
      </c>
      <c r="EX57" s="456">
        <f t="shared" si="90"/>
        <v>0.20656990810639872</v>
      </c>
      <c r="EY57" s="456">
        <f t="shared" si="91"/>
        <v>26.085032379357777</v>
      </c>
      <c r="EZ57" s="456">
        <f t="shared" si="92"/>
        <v>27.313834364976476</v>
      </c>
      <c r="FA57" s="456">
        <f t="shared" si="93"/>
        <v>2.6907234042553196</v>
      </c>
      <c r="FB57" s="144">
        <f t="shared" si="127"/>
        <v>30004.557769231797</v>
      </c>
      <c r="FC57" s="150">
        <f t="shared" si="128"/>
        <v>36.278016596025182</v>
      </c>
      <c r="FD57" s="5">
        <f t="shared" si="129"/>
        <v>62.400000000000006</v>
      </c>
      <c r="FE57" s="150">
        <f t="shared" si="130"/>
        <v>0.6323596901573062</v>
      </c>
      <c r="FF57" s="5">
        <f t="shared" si="131"/>
        <v>63.235969015730618</v>
      </c>
      <c r="FI57" s="59">
        <f t="shared" si="94"/>
        <v>-50</v>
      </c>
      <c r="FJ57">
        <f t="shared" si="95"/>
        <v>-50</v>
      </c>
      <c r="FL57">
        <f t="shared" si="181"/>
        <v>0.47445259316173488</v>
      </c>
    </row>
    <row r="58" spans="5:168">
      <c r="E58" s="147">
        <v>53</v>
      </c>
      <c r="F58" s="188">
        <f t="shared" si="182"/>
        <v>2.12</v>
      </c>
      <c r="G58" s="188"/>
      <c r="H58" s="188">
        <f t="shared" si="132"/>
        <v>63.6</v>
      </c>
      <c r="I58" s="465">
        <f t="shared" si="133"/>
        <v>33.885684806233662</v>
      </c>
      <c r="J58" s="149">
        <f t="shared" si="134"/>
        <v>30.46155433510495</v>
      </c>
      <c r="K58" s="149">
        <f t="shared" si="135"/>
        <v>64.46155433510495</v>
      </c>
      <c r="L58" s="379"/>
      <c r="M58" s="188">
        <f t="shared" si="136"/>
        <v>0.47339668529902079</v>
      </c>
      <c r="N58" s="149">
        <f t="shared" si="137"/>
        <v>244.79173312458457</v>
      </c>
      <c r="O58" s="149">
        <f t="shared" si="98"/>
        <v>63.6</v>
      </c>
      <c r="P58" s="188">
        <f t="shared" si="138"/>
        <v>8.1597244374861528</v>
      </c>
      <c r="Q58" s="188">
        <f t="shared" si="139"/>
        <v>30</v>
      </c>
      <c r="R58" s="188">
        <f t="shared" si="140"/>
        <v>8.1017024577567724</v>
      </c>
      <c r="S58" s="149">
        <f t="shared" si="141"/>
        <v>208.35823704054113</v>
      </c>
      <c r="T58" s="149">
        <f t="shared" si="142"/>
        <v>30</v>
      </c>
      <c r="U58" s="188">
        <f t="shared" si="143"/>
        <v>8.0516014267923808</v>
      </c>
      <c r="V58" s="188">
        <f t="shared" si="11"/>
        <v>1.1167703094187615</v>
      </c>
      <c r="W58" s="188">
        <f t="shared" si="144"/>
        <v>1.2423045222716409</v>
      </c>
      <c r="X58" s="172">
        <f t="shared" si="145"/>
        <v>350</v>
      </c>
      <c r="Y58" s="379">
        <f t="shared" si="14"/>
        <v>350</v>
      </c>
      <c r="AA58" s="188">
        <f t="shared" si="146"/>
        <v>9.7515242823548274</v>
      </c>
      <c r="AB58" s="150">
        <f t="shared" si="147"/>
        <v>1.5045904625506623</v>
      </c>
      <c r="AC58" s="150">
        <f t="shared" si="148"/>
        <v>2.5676088253483962</v>
      </c>
      <c r="AD58" s="150"/>
      <c r="AE58" s="150">
        <f t="shared" si="149"/>
        <v>0.93510817509471467</v>
      </c>
      <c r="AF58" s="314">
        <f t="shared" si="150"/>
        <v>748.14873683372446</v>
      </c>
      <c r="AG58" s="456">
        <f t="shared" si="151"/>
        <v>0.99178139782772778</v>
      </c>
      <c r="AI58" s="150">
        <f t="shared" si="152"/>
        <v>8.8608626989425048</v>
      </c>
      <c r="AJ58" s="150">
        <f t="shared" si="153"/>
        <v>8.8608626989425048</v>
      </c>
      <c r="AK58" s="150">
        <f t="shared" si="154"/>
        <v>3.2742641765455138</v>
      </c>
      <c r="AM58" s="314">
        <f t="shared" si="155"/>
        <v>2120</v>
      </c>
      <c r="AN58" s="144">
        <f t="shared" si="156"/>
        <v>350</v>
      </c>
      <c r="AP58">
        <f t="shared" si="157"/>
        <v>2120</v>
      </c>
      <c r="AQ58" s="144">
        <f t="shared" si="158"/>
        <v>350</v>
      </c>
      <c r="AR58" s="144"/>
      <c r="AS58" s="5">
        <f t="shared" si="101"/>
        <v>2.8571428571428572</v>
      </c>
      <c r="AT58" s="5">
        <f t="shared" si="159"/>
        <v>1.2290161737374274</v>
      </c>
      <c r="AU58" s="5">
        <f t="shared" si="102"/>
        <v>1.6281266834054298</v>
      </c>
      <c r="AV58" s="5">
        <f t="shared" si="160"/>
        <v>1.3671677494485375</v>
      </c>
      <c r="AW58" s="150">
        <f t="shared" si="103"/>
        <v>0.43015566080809958</v>
      </c>
      <c r="AX58" s="150">
        <f t="shared" si="161"/>
        <v>64.578495190422515</v>
      </c>
      <c r="AY58" s="150">
        <f t="shared" si="162"/>
        <v>2.524656224674525</v>
      </c>
      <c r="AZ58" s="150">
        <f t="shared" si="104"/>
        <v>25.579124222644563</v>
      </c>
      <c r="BA58" s="144">
        <f t="shared" si="163"/>
        <v>8.6850476277444884</v>
      </c>
      <c r="BB58" s="5">
        <f t="shared" si="164"/>
        <v>1.7975464488687933</v>
      </c>
      <c r="BC58" s="5"/>
      <c r="BD58" s="150">
        <f t="shared" si="105"/>
        <v>3.3552756186721648</v>
      </c>
      <c r="BE58" s="150">
        <f t="shared" si="165"/>
        <v>3.8618330853686142</v>
      </c>
      <c r="BF58" s="150"/>
      <c r="BG58" s="456">
        <f t="shared" si="166"/>
        <v>0.13509449372707055</v>
      </c>
      <c r="BH58" s="456">
        <f t="shared" si="167"/>
        <v>3.648444074593189</v>
      </c>
      <c r="BI58" s="456">
        <f t="shared" si="168"/>
        <v>4.0250000000000001E-2</v>
      </c>
      <c r="BJ58" s="456">
        <f t="shared" si="169"/>
        <v>0.75262726119929368</v>
      </c>
      <c r="BK58">
        <f t="shared" si="170"/>
        <v>1.5248558162805148E-2</v>
      </c>
      <c r="BL58" s="144">
        <f t="shared" si="106"/>
        <v>55.498558162805146</v>
      </c>
      <c r="BM58" s="456">
        <f t="shared" si="171"/>
        <v>4.7242835295617311</v>
      </c>
      <c r="BN58" s="144">
        <f t="shared" si="107"/>
        <v>4724.2835295617315</v>
      </c>
      <c r="BO58" s="456">
        <f t="shared" si="172"/>
        <v>1.4216719999999998</v>
      </c>
      <c r="BP58" s="456"/>
      <c r="BR58" s="144">
        <f t="shared" si="109"/>
        <v>1421.6719999999998</v>
      </c>
      <c r="BS58" s="456">
        <f t="shared" si="173"/>
        <v>0.1576102426815823</v>
      </c>
      <c r="BT58" s="456">
        <f t="shared" si="174"/>
        <v>0.20879256690946738</v>
      </c>
      <c r="BU58" s="456">
        <f t="shared" si="175"/>
        <v>26.781206180391635</v>
      </c>
      <c r="BV58" s="456">
        <f t="shared" si="176"/>
        <v>28.057987706453801</v>
      </c>
      <c r="BW58" s="456">
        <f t="shared" si="177"/>
        <v>2.748021071932873</v>
      </c>
      <c r="BX58" s="144">
        <f t="shared" si="110"/>
        <v>30806.008778386673</v>
      </c>
      <c r="BY58" s="150">
        <f t="shared" si="45"/>
        <v>37.007462866111211</v>
      </c>
      <c r="BZ58" s="5">
        <f t="shared" si="111"/>
        <v>63.6</v>
      </c>
      <c r="CA58" s="150">
        <f t="shared" si="112"/>
        <v>0.63215986357432674</v>
      </c>
      <c r="CB58" s="5">
        <f t="shared" si="113"/>
        <v>63.215986357432676</v>
      </c>
      <c r="CE58" s="59">
        <f t="shared" si="178"/>
        <v>-50</v>
      </c>
      <c r="CF58">
        <f t="shared" si="179"/>
        <v>-50</v>
      </c>
      <c r="CG58" s="150">
        <f t="shared" si="180"/>
        <v>0.48217562498879318</v>
      </c>
      <c r="CI58" s="147">
        <v>53</v>
      </c>
      <c r="CJ58" s="188">
        <f t="shared" si="114"/>
        <v>2.12</v>
      </c>
      <c r="CK58" s="188"/>
      <c r="CL58" s="188">
        <f t="shared" si="49"/>
        <v>63.6</v>
      </c>
      <c r="CM58" s="465">
        <f t="shared" si="50"/>
        <v>34</v>
      </c>
      <c r="CN58" s="149">
        <f t="shared" si="51"/>
        <v>30.4</v>
      </c>
      <c r="CO58" s="379">
        <f t="shared" si="52"/>
        <v>64.400000000000006</v>
      </c>
      <c r="CP58" s="379"/>
      <c r="CQ58" s="188">
        <f t="shared" si="53"/>
        <v>0.47204968944099374</v>
      </c>
      <c r="CR58" s="149">
        <f t="shared" si="54"/>
        <v>244.918674788055</v>
      </c>
      <c r="CS58" s="149">
        <f t="shared" si="115"/>
        <v>63.6</v>
      </c>
      <c r="CT58" s="188">
        <f t="shared" si="55"/>
        <v>8.1639558262685004</v>
      </c>
      <c r="CU58" s="188">
        <f t="shared" si="56"/>
        <v>30</v>
      </c>
      <c r="CV58" s="188">
        <f t="shared" si="57"/>
        <v>8.1059037580776696</v>
      </c>
      <c r="CW58" s="149">
        <f t="shared" si="58"/>
        <v>209.06092629054626</v>
      </c>
      <c r="CX58" s="149">
        <f t="shared" si="59"/>
        <v>30</v>
      </c>
      <c r="CY58" s="188">
        <f t="shared" si="60"/>
        <v>7.9253869969040256</v>
      </c>
      <c r="CZ58" s="188">
        <f t="shared" si="61"/>
        <v>1.0955682025132034</v>
      </c>
      <c r="DA58" s="188">
        <f t="shared" si="62"/>
        <v>1.225306542284504</v>
      </c>
      <c r="DB58" s="172">
        <f t="shared" si="63"/>
        <v>350</v>
      </c>
      <c r="DC58" s="379">
        <f t="shared" si="116"/>
        <v>350</v>
      </c>
      <c r="DE58" s="188">
        <f t="shared" si="64"/>
        <v>9.7566501161056465</v>
      </c>
      <c r="DF58" s="150">
        <f t="shared" si="65"/>
        <v>1.5084294587400178</v>
      </c>
      <c r="DG58" s="150">
        <f t="shared" si="66"/>
        <v>2.5755132294067704</v>
      </c>
      <c r="DH58" s="150"/>
      <c r="DI58" s="150">
        <f t="shared" si="67"/>
        <v>0.93700159489633172</v>
      </c>
      <c r="DJ58" s="314">
        <f t="shared" si="117"/>
        <v>746.63693617021283</v>
      </c>
      <c r="DK58" s="456">
        <f t="shared" si="68"/>
        <v>0.99378957034459414</v>
      </c>
      <c r="DM58" s="150">
        <f t="shared" si="69"/>
        <v>8.8519055012488419</v>
      </c>
      <c r="DN58" s="150">
        <f t="shared" si="70"/>
        <v>8.8519055012488419</v>
      </c>
      <c r="DO58" s="150">
        <f t="shared" si="71"/>
        <v>3.267629215290949</v>
      </c>
      <c r="DQ58" s="314">
        <f t="shared" si="72"/>
        <v>2120</v>
      </c>
      <c r="DR58" s="144">
        <f t="shared" si="73"/>
        <v>350</v>
      </c>
      <c r="DT58">
        <f t="shared" si="74"/>
        <v>2120</v>
      </c>
      <c r="DU58" s="144">
        <f t="shared" si="75"/>
        <v>350</v>
      </c>
      <c r="DV58" s="144"/>
      <c r="DW58" s="5">
        <f t="shared" si="118"/>
        <v>2.8571428571428572</v>
      </c>
      <c r="DX58" s="5">
        <f t="shared" si="76"/>
        <v>1.2236457604667517</v>
      </c>
      <c r="DY58" s="5">
        <f t="shared" si="119"/>
        <v>1.6334970966761055</v>
      </c>
      <c r="DZ58" s="5">
        <f t="shared" si="77"/>
        <v>1.3685511794693932</v>
      </c>
      <c r="EA58" s="150">
        <f t="shared" si="120"/>
        <v>0.42827601616336308</v>
      </c>
      <c r="EB58" s="150">
        <f t="shared" si="78"/>
        <v>64.447999999999993</v>
      </c>
      <c r="EC58" s="150">
        <f t="shared" si="79"/>
        <v>2.5304233388597153</v>
      </c>
      <c r="ED58" s="150">
        <f t="shared" si="121"/>
        <v>25.469256076748881</v>
      </c>
      <c r="EE58" s="144">
        <f t="shared" si="80"/>
        <v>8.6470967072983775</v>
      </c>
      <c r="EF58" s="5">
        <f t="shared" si="81"/>
        <v>1.7974120302526004</v>
      </c>
      <c r="EG58" s="5"/>
      <c r="EH58" s="150">
        <f t="shared" si="122"/>
        <v>3.344552508959306</v>
      </c>
      <c r="EI58" s="150">
        <f t="shared" si="82"/>
        <v>3.8642867624561523</v>
      </c>
      <c r="EJ58" s="150"/>
      <c r="EK58" s="456">
        <f t="shared" si="83"/>
        <v>0.13423237782223188</v>
      </c>
      <c r="EL58" s="456">
        <f t="shared" si="84"/>
        <v>3.790917049964829</v>
      </c>
      <c r="EM58" s="456">
        <f t="shared" si="85"/>
        <v>4.0250000000000001E-2</v>
      </c>
      <c r="EN58" s="456">
        <f t="shared" si="86"/>
        <v>0.75119058000000016</v>
      </c>
      <c r="EO58">
        <f t="shared" si="87"/>
        <v>1.5299999999999999E-2</v>
      </c>
      <c r="EP58" s="144">
        <f t="shared" si="123"/>
        <v>55.550000000000004</v>
      </c>
      <c r="EQ58" s="456">
        <f t="shared" si="88"/>
        <v>4.9252156722462326</v>
      </c>
      <c r="ER58" s="144">
        <f t="shared" si="124"/>
        <v>4925.2156722462323</v>
      </c>
      <c r="ES58" s="456">
        <f t="shared" si="125"/>
        <v>1.4216719999999998</v>
      </c>
      <c r="ET58" s="456"/>
      <c r="EV58" s="144">
        <f t="shared" si="126"/>
        <v>1421.6719999999998</v>
      </c>
      <c r="EW58" s="456">
        <f t="shared" si="89"/>
        <v>0.15660444079260386</v>
      </c>
      <c r="EX58" s="456">
        <f t="shared" si="90"/>
        <v>0.20905797055491393</v>
      </c>
      <c r="EY58" s="456">
        <f t="shared" si="91"/>
        <v>26.713576557974946</v>
      </c>
      <c r="EZ58" s="456">
        <f t="shared" si="92"/>
        <v>27.985662329696606</v>
      </c>
      <c r="FA58" s="456">
        <f t="shared" si="93"/>
        <v>2.7424680851063834</v>
      </c>
      <c r="FB58" s="144">
        <f t="shared" si="127"/>
        <v>30728.130414802989</v>
      </c>
      <c r="FC58" s="150">
        <f t="shared" si="128"/>
        <v>37.075018087049216</v>
      </c>
      <c r="FD58" s="5">
        <f t="shared" si="129"/>
        <v>63.6</v>
      </c>
      <c r="FE58" s="150">
        <f t="shared" si="130"/>
        <v>0.6317356699653921</v>
      </c>
      <c r="FF58" s="5">
        <f t="shared" si="131"/>
        <v>63.173566996539208</v>
      </c>
      <c r="FI58" s="59">
        <f t="shared" si="94"/>
        <v>-50</v>
      </c>
      <c r="FJ58">
        <f t="shared" si="95"/>
        <v>-50</v>
      </c>
      <c r="FL58">
        <f t="shared" si="181"/>
        <v>0.47899291281428769</v>
      </c>
    </row>
    <row r="59" spans="5:168">
      <c r="E59" s="147">
        <v>54</v>
      </c>
      <c r="F59" s="188">
        <f t="shared" si="182"/>
        <v>2.16</v>
      </c>
      <c r="G59" s="188"/>
      <c r="H59" s="188">
        <f t="shared" si="132"/>
        <v>64.800000000000011</v>
      </c>
      <c r="I59" s="465">
        <f t="shared" si="133"/>
        <v>33.884611400583161</v>
      </c>
      <c r="J59" s="149">
        <f t="shared" si="134"/>
        <v>30.462132322762912</v>
      </c>
      <c r="K59" s="149">
        <f t="shared" si="135"/>
        <v>64.462132322762912</v>
      </c>
      <c r="L59" s="379"/>
      <c r="M59" s="188">
        <f t="shared" si="136"/>
        <v>0.47340934381188499</v>
      </c>
      <c r="N59" s="149">
        <f t="shared" si="137"/>
        <v>244.79052425757658</v>
      </c>
      <c r="O59" s="149">
        <f t="shared" si="98"/>
        <v>64.800000000000011</v>
      </c>
      <c r="P59" s="188">
        <f t="shared" si="138"/>
        <v>8.1596841419192199</v>
      </c>
      <c r="Q59" s="188">
        <f t="shared" si="139"/>
        <v>30</v>
      </c>
      <c r="R59" s="188">
        <f t="shared" si="140"/>
        <v>8.1016624487226228</v>
      </c>
      <c r="S59" s="149">
        <f t="shared" si="141"/>
        <v>203.86840978454265</v>
      </c>
      <c r="T59" s="149">
        <f t="shared" si="142"/>
        <v>30</v>
      </c>
      <c r="U59" s="188">
        <f t="shared" si="143"/>
        <v>8.2037156361102586</v>
      </c>
      <c r="V59" s="188">
        <f t="shared" si="11"/>
        <v>1.137904845178618</v>
      </c>
      <c r="W59" s="188">
        <f t="shared" si="144"/>
        <v>1.2657506402106344</v>
      </c>
      <c r="X59" s="172">
        <f t="shared" si="145"/>
        <v>350</v>
      </c>
      <c r="Y59" s="379">
        <f t="shared" si="14"/>
        <v>350</v>
      </c>
      <c r="AA59" s="188">
        <f t="shared" si="146"/>
        <v>9.7514754814988844</v>
      </c>
      <c r="AB59" s="150">
        <f t="shared" si="147"/>
        <v>1.5045543850125263</v>
      </c>
      <c r="AC59" s="150">
        <f t="shared" si="148"/>
        <v>2.5675344093054746</v>
      </c>
      <c r="AD59" s="150"/>
      <c r="AE59" s="150">
        <f t="shared" si="149"/>
        <v>0.9350904323780086</v>
      </c>
      <c r="AF59" s="314">
        <f t="shared" si="150"/>
        <v>762.2792142010195</v>
      </c>
      <c r="AG59" s="456">
        <f t="shared" si="151"/>
        <v>0.99176257979485771</v>
      </c>
      <c r="AI59" s="150">
        <f t="shared" si="152"/>
        <v>8.9441499664695101</v>
      </c>
      <c r="AJ59" s="150">
        <f t="shared" si="153"/>
        <v>8.9441499664695101</v>
      </c>
      <c r="AK59" s="150">
        <f t="shared" si="154"/>
        <v>3.3359584487877401</v>
      </c>
      <c r="AM59" s="314">
        <f t="shared" si="155"/>
        <v>2160</v>
      </c>
      <c r="AN59" s="144">
        <f t="shared" si="156"/>
        <v>350</v>
      </c>
      <c r="AP59">
        <f t="shared" si="157"/>
        <v>2160</v>
      </c>
      <c r="AQ59" s="144">
        <f t="shared" si="158"/>
        <v>350</v>
      </c>
      <c r="AR59" s="144"/>
      <c r="AS59" s="5">
        <f t="shared" si="101"/>
        <v>2.8571428571428572</v>
      </c>
      <c r="AT59" s="5">
        <f t="shared" si="159"/>
        <v>1.2406075532471126</v>
      </c>
      <c r="AU59" s="5">
        <f t="shared" si="102"/>
        <v>1.6165353038957446</v>
      </c>
      <c r="AV59" s="5">
        <f t="shared" si="160"/>
        <v>1.3799921948009546</v>
      </c>
      <c r="AW59" s="150">
        <f t="shared" si="103"/>
        <v>0.43421264363648937</v>
      </c>
      <c r="AX59" s="150">
        <f t="shared" si="161"/>
        <v>65.798205817167897</v>
      </c>
      <c r="AY59" s="150">
        <f t="shared" si="162"/>
        <v>2.5302434822237831</v>
      </c>
      <c r="AZ59" s="150">
        <f t="shared" si="104"/>
        <v>26.004693334626872</v>
      </c>
      <c r="BA59" s="144">
        <f t="shared" si="163"/>
        <v>8.9323743833792122</v>
      </c>
      <c r="BB59" s="5">
        <f t="shared" si="164"/>
        <v>1.8184810043583846</v>
      </c>
      <c r="BC59" s="5"/>
      <c r="BD59" s="150">
        <f t="shared" si="105"/>
        <v>3.4027471406357068</v>
      </c>
      <c r="BE59" s="150">
        <f t="shared" si="165"/>
        <v>3.884231125691977</v>
      </c>
      <c r="BF59" s="150"/>
      <c r="BG59" s="456">
        <f t="shared" si="166"/>
        <v>0.13894425723725376</v>
      </c>
      <c r="BH59" s="456">
        <f t="shared" si="167"/>
        <v>3.6827704761472706</v>
      </c>
      <c r="BI59" s="456">
        <f t="shared" si="168"/>
        <v>4.0250000000000001E-2</v>
      </c>
      <c r="BJ59" s="456">
        <f t="shared" si="169"/>
        <v>0.75264075796407826</v>
      </c>
      <c r="BK59">
        <f t="shared" si="170"/>
        <v>1.5248075130262422E-2</v>
      </c>
      <c r="BL59" s="144">
        <f t="shared" si="106"/>
        <v>55.498075130262421</v>
      </c>
      <c r="BM59" s="456">
        <f t="shared" si="171"/>
        <v>4.7693207690748523</v>
      </c>
      <c r="BN59" s="144">
        <f t="shared" si="107"/>
        <v>4769.3207690748523</v>
      </c>
      <c r="BO59" s="456">
        <f t="shared" si="172"/>
        <v>1.448496</v>
      </c>
      <c r="BP59" s="456"/>
      <c r="BR59" s="144">
        <f t="shared" si="109"/>
        <v>1448.4960000000001</v>
      </c>
      <c r="BS59" s="456">
        <f t="shared" si="173"/>
        <v>0.16210163344346271</v>
      </c>
      <c r="BT59" s="456">
        <f t="shared" si="174"/>
        <v>0.21122152012912107</v>
      </c>
      <c r="BU59" s="456">
        <f t="shared" si="175"/>
        <v>27.414971342886822</v>
      </c>
      <c r="BV59" s="456">
        <f t="shared" si="176"/>
        <v>28.736120792162659</v>
      </c>
      <c r="BW59" s="456">
        <f t="shared" si="177"/>
        <v>2.7999236517943791</v>
      </c>
      <c r="BX59" s="144">
        <f t="shared" si="110"/>
        <v>31536.044443957038</v>
      </c>
      <c r="BY59" s="150">
        <f t="shared" si="45"/>
        <v>37.809359288162149</v>
      </c>
      <c r="BZ59" s="5">
        <f t="shared" si="111"/>
        <v>64.800000000000011</v>
      </c>
      <c r="CA59" s="150">
        <f t="shared" si="112"/>
        <v>0.6315213392768535</v>
      </c>
      <c r="CB59" s="5">
        <f t="shared" si="113"/>
        <v>63.152133927685348</v>
      </c>
      <c r="CE59" s="59">
        <f t="shared" si="178"/>
        <v>-50</v>
      </c>
      <c r="CF59">
        <f t="shared" si="179"/>
        <v>-50</v>
      </c>
      <c r="CG59" s="150">
        <f t="shared" si="180"/>
        <v>0.48670319497615799</v>
      </c>
      <c r="CI59" s="147">
        <v>54</v>
      </c>
      <c r="CJ59" s="188">
        <f t="shared" si="114"/>
        <v>2.16</v>
      </c>
      <c r="CK59" s="188"/>
      <c r="CL59" s="188">
        <f t="shared" si="49"/>
        <v>64.800000000000011</v>
      </c>
      <c r="CM59" s="465">
        <f t="shared" si="50"/>
        <v>34</v>
      </c>
      <c r="CN59" s="149">
        <f t="shared" si="51"/>
        <v>30.4</v>
      </c>
      <c r="CO59" s="379">
        <f t="shared" si="52"/>
        <v>64.400000000000006</v>
      </c>
      <c r="CP59" s="379"/>
      <c r="CQ59" s="188">
        <f t="shared" si="53"/>
        <v>0.47204968944099374</v>
      </c>
      <c r="CR59" s="149">
        <f t="shared" si="54"/>
        <v>244.918674788055</v>
      </c>
      <c r="CS59" s="149">
        <f t="shared" si="115"/>
        <v>64.800000000000011</v>
      </c>
      <c r="CT59" s="188">
        <f t="shared" si="55"/>
        <v>8.1639558262685004</v>
      </c>
      <c r="CU59" s="188">
        <f t="shared" si="56"/>
        <v>30</v>
      </c>
      <c r="CV59" s="188">
        <f t="shared" si="57"/>
        <v>8.1059037580776696</v>
      </c>
      <c r="CW59" s="149">
        <f t="shared" si="58"/>
        <v>204.5624254548066</v>
      </c>
      <c r="CX59" s="149">
        <f t="shared" si="59"/>
        <v>30</v>
      </c>
      <c r="CY59" s="188">
        <f t="shared" si="60"/>
        <v>8.0749226006191961</v>
      </c>
      <c r="CZ59" s="188">
        <f t="shared" si="61"/>
        <v>1.11623930067383</v>
      </c>
      <c r="DA59" s="188">
        <f t="shared" si="62"/>
        <v>1.2484255336483625</v>
      </c>
      <c r="DB59" s="172">
        <f t="shared" si="63"/>
        <v>350</v>
      </c>
      <c r="DC59" s="379">
        <f t="shared" si="116"/>
        <v>350</v>
      </c>
      <c r="DE59" s="188">
        <f t="shared" si="64"/>
        <v>9.7566501161056465</v>
      </c>
      <c r="DF59" s="150">
        <f t="shared" si="65"/>
        <v>1.5084294587400178</v>
      </c>
      <c r="DG59" s="150">
        <f t="shared" si="66"/>
        <v>2.5755132294067704</v>
      </c>
      <c r="DH59" s="150"/>
      <c r="DI59" s="150">
        <f t="shared" si="67"/>
        <v>0.93700159489633172</v>
      </c>
      <c r="DJ59" s="314">
        <f t="shared" si="117"/>
        <v>760.7244255319149</v>
      </c>
      <c r="DK59" s="456">
        <f t="shared" si="68"/>
        <v>0.99378957034459414</v>
      </c>
      <c r="DM59" s="150">
        <f t="shared" si="69"/>
        <v>8.9350238083581548</v>
      </c>
      <c r="DN59" s="150">
        <f t="shared" si="70"/>
        <v>8.9350238083581548</v>
      </c>
      <c r="DO59" s="150">
        <f t="shared" si="71"/>
        <v>3.3291983316682181</v>
      </c>
      <c r="DQ59" s="314">
        <f t="shared" si="72"/>
        <v>2160</v>
      </c>
      <c r="DR59" s="144">
        <f t="shared" si="73"/>
        <v>350</v>
      </c>
      <c r="DT59">
        <f t="shared" si="74"/>
        <v>2160</v>
      </c>
      <c r="DU59" s="144">
        <f t="shared" si="75"/>
        <v>350</v>
      </c>
      <c r="DV59" s="144"/>
      <c r="DW59" s="5">
        <f t="shared" si="118"/>
        <v>2.8571428571428572</v>
      </c>
      <c r="DX59" s="5">
        <f t="shared" si="76"/>
        <v>1.2351356440965684</v>
      </c>
      <c r="DY59" s="5">
        <f t="shared" si="119"/>
        <v>1.6220072130462888</v>
      </c>
      <c r="DZ59" s="5">
        <f t="shared" si="77"/>
        <v>1.3814017072132674</v>
      </c>
      <c r="EA59" s="150">
        <f t="shared" si="120"/>
        <v>0.43229747543379893</v>
      </c>
      <c r="EB59" s="150">
        <f t="shared" si="78"/>
        <v>65.664000000000001</v>
      </c>
      <c r="EC59" s="150">
        <f t="shared" si="79"/>
        <v>2.5362177865320183</v>
      </c>
      <c r="ED59" s="150">
        <f t="shared" si="121"/>
        <v>25.890521054103896</v>
      </c>
      <c r="EE59" s="144">
        <f t="shared" si="80"/>
        <v>8.892976637495293</v>
      </c>
      <c r="EF59" s="5">
        <f t="shared" si="81"/>
        <v>1.8184440727577771</v>
      </c>
      <c r="EG59" s="5"/>
      <c r="EH59" s="150">
        <f t="shared" si="122"/>
        <v>3.3917703265520527</v>
      </c>
      <c r="EI59" s="150">
        <f t="shared" si="82"/>
        <v>3.8868295825642618</v>
      </c>
      <c r="EJ59" s="150"/>
      <c r="EK59" s="456">
        <f t="shared" si="83"/>
        <v>0.13804927137694822</v>
      </c>
      <c r="EL59" s="456">
        <f t="shared" si="84"/>
        <v>3.8265132961674637</v>
      </c>
      <c r="EM59" s="456">
        <f t="shared" si="85"/>
        <v>4.0250000000000001E-2</v>
      </c>
      <c r="EN59" s="456">
        <f t="shared" si="86"/>
        <v>0.75119058000000016</v>
      </c>
      <c r="EO59">
        <f t="shared" si="87"/>
        <v>1.5299999999999999E-2</v>
      </c>
      <c r="EP59" s="144">
        <f t="shared" si="123"/>
        <v>55.550000000000004</v>
      </c>
      <c r="EQ59" s="456">
        <f t="shared" si="88"/>
        <v>4.9716490600098249</v>
      </c>
      <c r="ER59" s="144">
        <f t="shared" si="124"/>
        <v>4971.649060009825</v>
      </c>
      <c r="ES59" s="456">
        <f t="shared" si="125"/>
        <v>1.448496</v>
      </c>
      <c r="ET59" s="456"/>
      <c r="EV59" s="144">
        <f t="shared" si="126"/>
        <v>1448.4960000000001</v>
      </c>
      <c r="EW59" s="456">
        <f t="shared" si="89"/>
        <v>0.16105748327310626</v>
      </c>
      <c r="EX59" s="456">
        <f t="shared" si="90"/>
        <v>0.21150421885455342</v>
      </c>
      <c r="EY59" s="456">
        <f t="shared" si="91"/>
        <v>27.34509272582773</v>
      </c>
      <c r="EZ59" s="456">
        <f t="shared" si="92"/>
        <v>28.661317989703303</v>
      </c>
      <c r="FA59" s="456">
        <f t="shared" si="93"/>
        <v>2.7942127659574476</v>
      </c>
      <c r="FB59" s="144">
        <f t="shared" si="127"/>
        <v>31455.530755660751</v>
      </c>
      <c r="FC59" s="150">
        <f t="shared" si="128"/>
        <v>37.875675815670576</v>
      </c>
      <c r="FD59" s="5">
        <f t="shared" si="129"/>
        <v>64.800000000000011</v>
      </c>
      <c r="FE59" s="150">
        <f t="shared" si="130"/>
        <v>0.63111345004763142</v>
      </c>
      <c r="FF59" s="5">
        <f t="shared" si="131"/>
        <v>63.111345004763145</v>
      </c>
      <c r="FI59" s="59">
        <f t="shared" si="94"/>
        <v>-50</v>
      </c>
      <c r="FJ59">
        <f t="shared" si="95"/>
        <v>-50</v>
      </c>
      <c r="FL59">
        <f t="shared" si="181"/>
        <v>0.48349059752464357</v>
      </c>
    </row>
    <row r="60" spans="5:168">
      <c r="E60" s="147">
        <v>55</v>
      </c>
      <c r="F60" s="188">
        <f t="shared" si="182"/>
        <v>2.2000000000000002</v>
      </c>
      <c r="G60" s="188"/>
      <c r="H60" s="188">
        <f t="shared" si="132"/>
        <v>66</v>
      </c>
      <c r="I60" s="465">
        <f t="shared" si="133"/>
        <v>33.8835478887056</v>
      </c>
      <c r="J60" s="149">
        <f t="shared" si="134"/>
        <v>30.462704983004677</v>
      </c>
      <c r="K60" s="149">
        <f t="shared" si="135"/>
        <v>64.46270498300467</v>
      </c>
      <c r="L60" s="379"/>
      <c r="M60" s="188">
        <f t="shared" si="136"/>
        <v>0.47342188583970352</v>
      </c>
      <c r="N60" s="149">
        <f t="shared" si="137"/>
        <v>244.78932622255806</v>
      </c>
      <c r="O60" s="149">
        <f t="shared" si="98"/>
        <v>66</v>
      </c>
      <c r="P60" s="188">
        <f t="shared" si="138"/>
        <v>8.1596442074186015</v>
      </c>
      <c r="Q60" s="188">
        <f t="shared" si="139"/>
        <v>30</v>
      </c>
      <c r="R60" s="188">
        <f t="shared" si="140"/>
        <v>8.1016227981873286</v>
      </c>
      <c r="S60" s="149">
        <f t="shared" si="141"/>
        <v>199.54200669151277</v>
      </c>
      <c r="T60" s="149">
        <f t="shared" si="142"/>
        <v>30</v>
      </c>
      <c r="U60" s="188">
        <f t="shared" si="143"/>
        <v>8.3558353104295335</v>
      </c>
      <c r="V60" s="188">
        <f t="shared" si="11"/>
        <v>1.1590411396118729</v>
      </c>
      <c r="W60" s="188">
        <f t="shared" si="144"/>
        <v>1.2891969370720402</v>
      </c>
      <c r="X60" s="172">
        <f t="shared" si="145"/>
        <v>350</v>
      </c>
      <c r="Y60" s="379">
        <f t="shared" si="14"/>
        <v>350</v>
      </c>
      <c r="AA60" s="188">
        <f t="shared" si="146"/>
        <v>9.7514271181470988</v>
      </c>
      <c r="AB60" s="150">
        <f t="shared" si="147"/>
        <v>1.5045186394596655</v>
      </c>
      <c r="AC60" s="150">
        <f t="shared" si="148"/>
        <v>2.5674606756023328</v>
      </c>
      <c r="AD60" s="150"/>
      <c r="AE60" s="150">
        <f t="shared" si="149"/>
        <v>0.93507285386312033</v>
      </c>
      <c r="AF60" s="314">
        <f t="shared" si="150"/>
        <v>776.41009147109173</v>
      </c>
      <c r="AG60" s="456">
        <f t="shared" si="151"/>
        <v>0.99174393591543064</v>
      </c>
      <c r="AI60" s="150">
        <f t="shared" si="152"/>
        <v>9.0266711164140183</v>
      </c>
      <c r="AJ60" s="150">
        <f t="shared" si="153"/>
        <v>9.0266711164140183</v>
      </c>
      <c r="AK60" s="150">
        <f t="shared" si="154"/>
        <v>3.3970852265244131</v>
      </c>
      <c r="AM60" s="314">
        <f t="shared" si="155"/>
        <v>2200</v>
      </c>
      <c r="AN60" s="144">
        <f t="shared" si="156"/>
        <v>350</v>
      </c>
      <c r="AP60">
        <f t="shared" si="157"/>
        <v>2200</v>
      </c>
      <c r="AQ60">
        <f t="shared" si="158"/>
        <v>350</v>
      </c>
      <c r="AS60" s="5">
        <f t="shared" si="101"/>
        <v>2.8571428571428572</v>
      </c>
      <c r="AT60" s="5">
        <f t="shared" si="159"/>
        <v>1.2520930330701152</v>
      </c>
      <c r="AU60" s="5">
        <f t="shared" si="102"/>
        <v>1.605049824072742</v>
      </c>
      <c r="AV60" s="5">
        <f t="shared" si="160"/>
        <v>1.3926981950819941</v>
      </c>
      <c r="AW60" s="150">
        <f t="shared" si="103"/>
        <v>0.43823256157454032</v>
      </c>
      <c r="AX60" s="150">
        <f t="shared" si="161"/>
        <v>67.0179509626103</v>
      </c>
      <c r="AY60" s="150">
        <f t="shared" si="162"/>
        <v>2.5354449552884932</v>
      </c>
      <c r="AZ60" s="150">
        <f t="shared" si="104"/>
        <v>26.432421978959795</v>
      </c>
      <c r="BA60" s="144">
        <f t="shared" si="163"/>
        <v>9.1820155758475117</v>
      </c>
      <c r="BB60" s="5">
        <f t="shared" si="164"/>
        <v>1.8390547311312369</v>
      </c>
      <c r="BC60" s="5"/>
      <c r="BD60" s="150">
        <f t="shared" si="105"/>
        <v>3.4500017368876086</v>
      </c>
      <c r="BE60" s="150">
        <f t="shared" si="165"/>
        <v>3.9061172319973774</v>
      </c>
      <c r="BF60" s="150"/>
      <c r="BG60" s="456">
        <f t="shared" si="166"/>
        <v>0.14283014381433021</v>
      </c>
      <c r="BH60" s="456">
        <f t="shared" si="167"/>
        <v>3.7167817323339896</v>
      </c>
      <c r="BI60" s="456">
        <f t="shared" si="168"/>
        <v>4.0250000000000001E-2</v>
      </c>
      <c r="BJ60" s="456">
        <f t="shared" si="169"/>
        <v>0.75265413044610285</v>
      </c>
      <c r="BK60">
        <f t="shared" si="170"/>
        <v>1.524759654991752E-2</v>
      </c>
      <c r="BL60" s="144">
        <f t="shared" si="106"/>
        <v>55.497596549917525</v>
      </c>
      <c r="BM60" s="456">
        <f t="shared" si="171"/>
        <v>4.8142072100023032</v>
      </c>
      <c r="BN60" s="144">
        <f t="shared" si="107"/>
        <v>4814.2072100023033</v>
      </c>
      <c r="BO60" s="456">
        <f t="shared" si="172"/>
        <v>1.47532</v>
      </c>
      <c r="BP60" s="456"/>
      <c r="BR60" s="144">
        <f t="shared" si="109"/>
        <v>1475.32</v>
      </c>
      <c r="BS60" s="456">
        <f t="shared" si="173"/>
        <v>0.16663516778338522</v>
      </c>
      <c r="BT60" s="456">
        <f t="shared" si="174"/>
        <v>0.21360852562149596</v>
      </c>
      <c r="BU60" s="456">
        <f t="shared" si="175"/>
        <v>28.051698578523844</v>
      </c>
      <c r="BV60" s="456">
        <f t="shared" si="176"/>
        <v>29.418084032375138</v>
      </c>
      <c r="BW60" s="456">
        <f t="shared" si="177"/>
        <v>2.8518277005366093</v>
      </c>
      <c r="BX60" s="144">
        <f t="shared" si="110"/>
        <v>32269.911732911743</v>
      </c>
      <c r="BY60" s="150">
        <f t="shared" si="45"/>
        <v>38.614936539463969</v>
      </c>
      <c r="BZ60" s="5">
        <f t="shared" si="111"/>
        <v>66</v>
      </c>
      <c r="CA60" s="150">
        <f t="shared" si="112"/>
        <v>0.63088505507148851</v>
      </c>
      <c r="CB60" s="5">
        <f t="shared" si="113"/>
        <v>63.088505507148852</v>
      </c>
      <c r="CE60" s="59">
        <f t="shared" si="178"/>
        <v>-50</v>
      </c>
      <c r="CF60">
        <f t="shared" si="179"/>
        <v>-50</v>
      </c>
      <c r="CG60" s="150">
        <f t="shared" si="180"/>
        <v>0.49118903353664839</v>
      </c>
      <c r="CI60" s="147">
        <v>55</v>
      </c>
      <c r="CJ60" s="188">
        <f t="shared" si="114"/>
        <v>2.2000000000000002</v>
      </c>
      <c r="CK60" s="188"/>
      <c r="CL60" s="188">
        <f t="shared" si="49"/>
        <v>66</v>
      </c>
      <c r="CM60" s="465">
        <f t="shared" si="50"/>
        <v>34</v>
      </c>
      <c r="CN60" s="149">
        <f t="shared" si="51"/>
        <v>30.4</v>
      </c>
      <c r="CO60" s="379">
        <f t="shared" si="52"/>
        <v>64.400000000000006</v>
      </c>
      <c r="CP60" s="379"/>
      <c r="CQ60" s="188">
        <f t="shared" si="53"/>
        <v>0.47204968944099374</v>
      </c>
      <c r="CR60" s="149">
        <f t="shared" si="54"/>
        <v>244.918674788055</v>
      </c>
      <c r="CS60" s="149">
        <f t="shared" si="115"/>
        <v>66</v>
      </c>
      <c r="CT60" s="188">
        <f t="shared" si="55"/>
        <v>8.1639558262685004</v>
      </c>
      <c r="CU60" s="188">
        <f t="shared" si="56"/>
        <v>30</v>
      </c>
      <c r="CV60" s="188">
        <f t="shared" si="57"/>
        <v>8.1059037580776696</v>
      </c>
      <c r="CW60" s="149">
        <f t="shared" si="58"/>
        <v>200.22756690901008</v>
      </c>
      <c r="CX60" s="149">
        <f t="shared" si="59"/>
        <v>30</v>
      </c>
      <c r="CY60" s="188">
        <f t="shared" si="60"/>
        <v>8.2244582043343666</v>
      </c>
      <c r="CZ60" s="188">
        <f t="shared" si="61"/>
        <v>1.1369103988344564</v>
      </c>
      <c r="DA60" s="188">
        <f t="shared" si="62"/>
        <v>1.271544525012221</v>
      </c>
      <c r="DB60" s="172">
        <f t="shared" si="63"/>
        <v>350</v>
      </c>
      <c r="DC60" s="379">
        <f t="shared" si="116"/>
        <v>350</v>
      </c>
      <c r="DE60" s="188">
        <f t="shared" si="64"/>
        <v>9.7566501161056465</v>
      </c>
      <c r="DF60" s="150">
        <f t="shared" si="65"/>
        <v>1.5084294587400178</v>
      </c>
      <c r="DG60" s="150">
        <f t="shared" si="66"/>
        <v>2.5755132294067704</v>
      </c>
      <c r="DH60" s="150"/>
      <c r="DI60" s="150">
        <f t="shared" si="67"/>
        <v>0.93700159489633172</v>
      </c>
      <c r="DJ60" s="314">
        <f t="shared" si="117"/>
        <v>774.8119148936172</v>
      </c>
      <c r="DK60" s="456">
        <f t="shared" si="68"/>
        <v>0.99378957034459414</v>
      </c>
      <c r="DM60" s="150">
        <f t="shared" si="69"/>
        <v>9.0173759990816951</v>
      </c>
      <c r="DN60" s="150">
        <f t="shared" si="70"/>
        <v>9.0173759990816951</v>
      </c>
      <c r="DO60" s="150">
        <f t="shared" si="71"/>
        <v>3.3901999544263957</v>
      </c>
      <c r="DQ60" s="314">
        <f t="shared" si="72"/>
        <v>2200</v>
      </c>
      <c r="DR60" s="144">
        <f t="shared" si="73"/>
        <v>350</v>
      </c>
      <c r="DT60">
        <f t="shared" si="74"/>
        <v>2200</v>
      </c>
      <c r="DU60">
        <f t="shared" si="75"/>
        <v>350</v>
      </c>
      <c r="DW60" s="5">
        <f t="shared" si="118"/>
        <v>2.8571428571428572</v>
      </c>
      <c r="DX60" s="5">
        <f t="shared" si="76"/>
        <v>1.2465196234024696</v>
      </c>
      <c r="DY60" s="5">
        <f t="shared" si="119"/>
        <v>1.6106232337403876</v>
      </c>
      <c r="DZ60" s="5">
        <f t="shared" si="77"/>
        <v>1.3941337893317096</v>
      </c>
      <c r="EA60" s="150">
        <f t="shared" si="120"/>
        <v>0.43628186819086434</v>
      </c>
      <c r="EB60" s="150">
        <f t="shared" si="78"/>
        <v>66.88000000000001</v>
      </c>
      <c r="EC60" s="150">
        <f t="shared" si="79"/>
        <v>2.5416291760114356</v>
      </c>
      <c r="ED60" s="150">
        <f t="shared" si="121"/>
        <v>26.313830763051918</v>
      </c>
      <c r="EE60" s="144">
        <f t="shared" si="80"/>
        <v>9.1411439049514449</v>
      </c>
      <c r="EF60" s="5">
        <f t="shared" si="81"/>
        <v>1.8391199554821034</v>
      </c>
      <c r="EG60" s="5"/>
      <c r="EH60" s="150">
        <f t="shared" si="122"/>
        <v>3.4387700343849685</v>
      </c>
      <c r="EI60" s="150">
        <f t="shared" si="82"/>
        <v>3.9088639381395125</v>
      </c>
      <c r="EJ60" s="150"/>
      <c r="EK60" s="456">
        <f t="shared" si="83"/>
        <v>0.14190167219260796</v>
      </c>
      <c r="EL60" s="456">
        <f t="shared" si="84"/>
        <v>3.8617814453667272</v>
      </c>
      <c r="EM60" s="456">
        <f t="shared" si="85"/>
        <v>4.0250000000000001E-2</v>
      </c>
      <c r="EN60" s="456">
        <f t="shared" si="86"/>
        <v>0.75119058000000016</v>
      </c>
      <c r="EO60">
        <f t="shared" si="87"/>
        <v>1.5299999999999999E-2</v>
      </c>
      <c r="EP60" s="144">
        <f t="shared" si="123"/>
        <v>55.550000000000004</v>
      </c>
      <c r="EQ60" s="456">
        <f t="shared" si="88"/>
        <v>5.0179205416841404</v>
      </c>
      <c r="ER60" s="144">
        <f t="shared" si="124"/>
        <v>5017.9205416841405</v>
      </c>
      <c r="ES60" s="456">
        <f t="shared" si="125"/>
        <v>1.47532</v>
      </c>
      <c r="ET60" s="456"/>
      <c r="EV60" s="144">
        <f t="shared" si="126"/>
        <v>1475.32</v>
      </c>
      <c r="EW60" s="456">
        <f t="shared" si="89"/>
        <v>0.16555195089137598</v>
      </c>
      <c r="EX60" s="456">
        <f t="shared" si="90"/>
        <v>0.21390904201642555</v>
      </c>
      <c r="EY60" s="456">
        <f t="shared" si="91"/>
        <v>27.979539504804713</v>
      </c>
      <c r="EZ60" s="456">
        <f t="shared" si="92"/>
        <v>29.340765207887149</v>
      </c>
      <c r="FA60" s="456">
        <f t="shared" si="93"/>
        <v>2.8459574468085114</v>
      </c>
      <c r="FB60" s="144">
        <f t="shared" si="127"/>
        <v>32186.722654695659</v>
      </c>
      <c r="FC60" s="150">
        <f t="shared" si="128"/>
        <v>38.679963196379802</v>
      </c>
      <c r="FD60" s="5">
        <f t="shared" si="129"/>
        <v>66</v>
      </c>
      <c r="FE60" s="150">
        <f t="shared" si="130"/>
        <v>0.63049315250697857</v>
      </c>
      <c r="FF60" s="5">
        <f t="shared" si="131"/>
        <v>63.049315250697859</v>
      </c>
      <c r="FI60" s="59">
        <f t="shared" si="94"/>
        <v>-50</v>
      </c>
      <c r="FJ60">
        <f t="shared" si="95"/>
        <v>-50</v>
      </c>
      <c r="FL60">
        <f t="shared" si="181"/>
        <v>0.48794682626609831</v>
      </c>
    </row>
    <row r="61" spans="5:168">
      <c r="E61" s="147">
        <v>56</v>
      </c>
      <c r="F61" s="188">
        <f t="shared" si="182"/>
        <v>2.2400000000000002</v>
      </c>
      <c r="G61" s="188"/>
      <c r="H61" s="188">
        <f t="shared" si="132"/>
        <v>67.2</v>
      </c>
      <c r="I61" s="465">
        <f t="shared" si="133"/>
        <v>33.882494001963863</v>
      </c>
      <c r="J61" s="149">
        <f t="shared" si="134"/>
        <v>30.463272460480994</v>
      </c>
      <c r="K61" s="149">
        <f t="shared" si="135"/>
        <v>64.463272460480994</v>
      </c>
      <c r="L61" s="379"/>
      <c r="M61" s="188">
        <f t="shared" si="136"/>
        <v>0.47343431454529877</v>
      </c>
      <c r="N61" s="149">
        <f t="shared" si="137"/>
        <v>244.78813872541036</v>
      </c>
      <c r="O61" s="149">
        <f t="shared" si="98"/>
        <v>67.2</v>
      </c>
      <c r="P61" s="188">
        <f t="shared" si="138"/>
        <v>8.1596046241803446</v>
      </c>
      <c r="Q61" s="188">
        <f t="shared" si="139"/>
        <v>30</v>
      </c>
      <c r="R61" s="188">
        <f t="shared" si="140"/>
        <v>8.1015834964166444</v>
      </c>
      <c r="S61" s="149">
        <f t="shared" si="141"/>
        <v>195.37027135604535</v>
      </c>
      <c r="T61" s="149">
        <f t="shared" si="142"/>
        <v>30</v>
      </c>
      <c r="U61" s="188">
        <f t="shared" si="143"/>
        <v>8.5079604002897007</v>
      </c>
      <c r="V61" s="188">
        <f t="shared" si="11"/>
        <v>1.1801791768647221</v>
      </c>
      <c r="W61" s="188">
        <f t="shared" si="144"/>
        <v>1.312643411282749</v>
      </c>
      <c r="X61" s="172">
        <f t="shared" si="145"/>
        <v>350</v>
      </c>
      <c r="Y61" s="379">
        <f t="shared" si="14"/>
        <v>350</v>
      </c>
      <c r="AA61" s="188">
        <f t="shared" si="146"/>
        <v>9.7513791804200221</v>
      </c>
      <c r="AB61" s="150">
        <f t="shared" si="147"/>
        <v>1.5044832168779563</v>
      </c>
      <c r="AC61" s="150">
        <f t="shared" si="148"/>
        <v>2.5673876057121325</v>
      </c>
      <c r="AD61" s="150"/>
      <c r="AE61" s="150">
        <f t="shared" si="149"/>
        <v>0.93505543509158262</v>
      </c>
      <c r="AF61" s="314">
        <f t="shared" si="150"/>
        <v>790.54136499147808</v>
      </c>
      <c r="AG61" s="456">
        <f t="shared" si="151"/>
        <v>0.99172546146076945</v>
      </c>
      <c r="AI61" s="150">
        <f t="shared" si="152"/>
        <v>9.108446950486158</v>
      </c>
      <c r="AJ61" s="150">
        <f t="shared" si="153"/>
        <v>9.108446950486158</v>
      </c>
      <c r="AK61" s="150">
        <f t="shared" si="154"/>
        <v>3.4576599184297017</v>
      </c>
      <c r="AM61" s="314">
        <f t="shared" si="155"/>
        <v>2240</v>
      </c>
      <c r="AN61" s="144">
        <f t="shared" si="156"/>
        <v>350</v>
      </c>
      <c r="AP61">
        <f t="shared" si="157"/>
        <v>2240</v>
      </c>
      <c r="AQ61">
        <f t="shared" si="158"/>
        <v>350</v>
      </c>
      <c r="AS61" s="5">
        <f t="shared" si="101"/>
        <v>2.8571428571428572</v>
      </c>
      <c r="AT61" s="5">
        <f t="shared" si="159"/>
        <v>1.2634754886934725</v>
      </c>
      <c r="AU61" s="5">
        <f t="shared" si="102"/>
        <v>1.5936673684493847</v>
      </c>
      <c r="AV61" s="5">
        <f t="shared" si="160"/>
        <v>1.4052889663387467</v>
      </c>
      <c r="AW61" s="150">
        <f t="shared" si="103"/>
        <v>0.44221642104271536</v>
      </c>
      <c r="AX61" s="150">
        <f t="shared" si="161"/>
        <v>68.237730311477421</v>
      </c>
      <c r="AY61" s="150">
        <f t="shared" si="162"/>
        <v>2.5402710693923676</v>
      </c>
      <c r="AZ61" s="150">
        <f t="shared" si="104"/>
        <v>26.862381394517818</v>
      </c>
      <c r="BA61" s="144">
        <f t="shared" si="163"/>
        <v>9.4339503155779276</v>
      </c>
      <c r="BB61" s="5">
        <f t="shared" si="164"/>
        <v>1.8592708559104183</v>
      </c>
      <c r="BC61" s="5"/>
      <c r="BD61" s="150">
        <f t="shared" si="105"/>
        <v>3.4970443376748102</v>
      </c>
      <c r="BE61" s="150">
        <f t="shared" si="165"/>
        <v>3.9275033864118751</v>
      </c>
      <c r="BF61" s="150"/>
      <c r="BG61" s="456">
        <f t="shared" si="166"/>
        <v>0.14675182919596141</v>
      </c>
      <c r="BH61" s="456">
        <f t="shared" si="167"/>
        <v>3.7504864000323064</v>
      </c>
      <c r="BI61" s="456">
        <f t="shared" si="168"/>
        <v>4.0250000000000001E-2</v>
      </c>
      <c r="BJ61" s="456">
        <f t="shared" si="169"/>
        <v>0.7526673820199109</v>
      </c>
      <c r="BK61">
        <f t="shared" si="170"/>
        <v>1.5247122300883738E-2</v>
      </c>
      <c r="BL61" s="144">
        <f t="shared" si="106"/>
        <v>55.497122300883738</v>
      </c>
      <c r="BM61" s="456">
        <f t="shared" si="171"/>
        <v>4.8589516720236814</v>
      </c>
      <c r="BN61" s="144">
        <f t="shared" si="107"/>
        <v>4858.9516720236816</v>
      </c>
      <c r="BO61" s="456">
        <f t="shared" si="172"/>
        <v>1.5021439999999999</v>
      </c>
      <c r="BP61" s="456"/>
      <c r="BR61" s="144">
        <f t="shared" si="109"/>
        <v>1502.144</v>
      </c>
      <c r="BS61" s="456">
        <f t="shared" si="173"/>
        <v>0.17121046739528831</v>
      </c>
      <c r="BT61" s="456">
        <f t="shared" si="174"/>
        <v>0.21595395990387445</v>
      </c>
      <c r="BU61" s="456">
        <f t="shared" si="175"/>
        <v>28.691347685149299</v>
      </c>
      <c r="BV61" s="456">
        <f t="shared" si="176"/>
        <v>30.103842531249491</v>
      </c>
      <c r="BW61" s="456">
        <f t="shared" si="177"/>
        <v>2.9037332047437205</v>
      </c>
      <c r="BX61" s="144">
        <f t="shared" si="110"/>
        <v>33007.575735993218</v>
      </c>
      <c r="BY61" s="150">
        <f t="shared" si="45"/>
        <v>39.424168530317779</v>
      </c>
      <c r="BZ61" s="5">
        <f t="shared" si="111"/>
        <v>67.2</v>
      </c>
      <c r="CA61" s="150">
        <f t="shared" si="112"/>
        <v>0.63025110466293754</v>
      </c>
      <c r="CB61" s="5">
        <f t="shared" si="113"/>
        <v>63.025110466293754</v>
      </c>
      <c r="CE61" s="59">
        <f t="shared" si="178"/>
        <v>-50</v>
      </c>
      <c r="CF61">
        <f t="shared" si="179"/>
        <v>-50</v>
      </c>
      <c r="CG61" s="150">
        <f t="shared" si="180"/>
        <v>0.49563427376779884</v>
      </c>
      <c r="CI61" s="147">
        <v>56</v>
      </c>
      <c r="CJ61" s="188">
        <f t="shared" si="114"/>
        <v>2.2400000000000002</v>
      </c>
      <c r="CK61" s="188"/>
      <c r="CL61" s="188">
        <f t="shared" si="49"/>
        <v>67.2</v>
      </c>
      <c r="CM61" s="465">
        <f t="shared" si="50"/>
        <v>34</v>
      </c>
      <c r="CN61" s="149">
        <f t="shared" si="51"/>
        <v>30.4</v>
      </c>
      <c r="CO61" s="379">
        <f t="shared" si="52"/>
        <v>64.400000000000006</v>
      </c>
      <c r="CP61" s="379"/>
      <c r="CQ61" s="188">
        <f t="shared" si="53"/>
        <v>0.47204968944099374</v>
      </c>
      <c r="CR61" s="149">
        <f t="shared" si="54"/>
        <v>244.918674788055</v>
      </c>
      <c r="CS61" s="149">
        <f t="shared" si="115"/>
        <v>67.2</v>
      </c>
      <c r="CT61" s="188">
        <f t="shared" si="55"/>
        <v>8.1639558262685004</v>
      </c>
      <c r="CU61" s="188">
        <f t="shared" si="56"/>
        <v>30</v>
      </c>
      <c r="CV61" s="188">
        <f t="shared" si="57"/>
        <v>8.1059037580776696</v>
      </c>
      <c r="CW61" s="149">
        <f t="shared" si="58"/>
        <v>196.04758464093825</v>
      </c>
      <c r="CX61" s="149">
        <f t="shared" si="59"/>
        <v>30</v>
      </c>
      <c r="CY61" s="188">
        <f t="shared" si="60"/>
        <v>8.3739938080495371</v>
      </c>
      <c r="CZ61" s="188">
        <f t="shared" si="61"/>
        <v>1.1575814969950831</v>
      </c>
      <c r="DA61" s="188">
        <f t="shared" si="62"/>
        <v>1.2946635163760798</v>
      </c>
      <c r="DB61" s="172">
        <f t="shared" si="63"/>
        <v>350</v>
      </c>
      <c r="DC61" s="379">
        <f t="shared" si="116"/>
        <v>350</v>
      </c>
      <c r="DE61" s="188">
        <f t="shared" si="64"/>
        <v>9.7566501161056465</v>
      </c>
      <c r="DF61" s="150">
        <f t="shared" si="65"/>
        <v>1.5084294587400178</v>
      </c>
      <c r="DG61" s="150">
        <f t="shared" si="66"/>
        <v>2.5755132294067704</v>
      </c>
      <c r="DH61" s="150"/>
      <c r="DI61" s="150">
        <f t="shared" si="67"/>
        <v>0.93700159489633172</v>
      </c>
      <c r="DJ61" s="314">
        <f t="shared" si="117"/>
        <v>788.89940425531927</v>
      </c>
      <c r="DK61" s="456">
        <f t="shared" si="68"/>
        <v>0.99378957034459414</v>
      </c>
      <c r="DM61" s="150">
        <f t="shared" si="69"/>
        <v>9.098982875118633</v>
      </c>
      <c r="DN61" s="150">
        <f t="shared" si="70"/>
        <v>9.098982875118633</v>
      </c>
      <c r="DO61" s="150">
        <f t="shared" si="71"/>
        <v>3.4506494922315349</v>
      </c>
      <c r="DQ61" s="314">
        <f t="shared" si="72"/>
        <v>2240</v>
      </c>
      <c r="DR61" s="144">
        <f t="shared" si="73"/>
        <v>350</v>
      </c>
      <c r="DT61">
        <f t="shared" si="74"/>
        <v>2240</v>
      </c>
      <c r="DU61">
        <f t="shared" si="75"/>
        <v>350</v>
      </c>
      <c r="DW61" s="5">
        <f t="shared" si="118"/>
        <v>2.8571428571428572</v>
      </c>
      <c r="DX61" s="5">
        <f t="shared" si="76"/>
        <v>1.2578005739134581</v>
      </c>
      <c r="DY61" s="5">
        <f t="shared" si="119"/>
        <v>1.5993422832293991</v>
      </c>
      <c r="DZ61" s="5">
        <f t="shared" si="77"/>
        <v>1.4067506418768938</v>
      </c>
      <c r="EA61" s="150">
        <f t="shared" si="120"/>
        <v>0.44023020086971032</v>
      </c>
      <c r="EB61" s="150">
        <f t="shared" si="78"/>
        <v>68.096000000000018</v>
      </c>
      <c r="EC61" s="150">
        <f t="shared" si="79"/>
        <v>2.5466679081475516</v>
      </c>
      <c r="ED61" s="150">
        <f t="shared" si="121"/>
        <v>26.739253980521202</v>
      </c>
      <c r="EE61" s="144">
        <f t="shared" si="80"/>
        <v>9.3915776185538213</v>
      </c>
      <c r="EF61" s="5">
        <f t="shared" si="81"/>
        <v>1.8594429313670522</v>
      </c>
      <c r="EG61" s="5"/>
      <c r="EH61" s="150">
        <f t="shared" si="122"/>
        <v>3.4855565787979312</v>
      </c>
      <c r="EI61" s="150">
        <f t="shared" si="82"/>
        <v>3.9304018187159744</v>
      </c>
      <c r="EJ61" s="150"/>
      <c r="EK61" s="456">
        <f t="shared" si="83"/>
        <v>0.14578925596801848</v>
      </c>
      <c r="EL61" s="456">
        <f t="shared" si="84"/>
        <v>3.8967304060983063</v>
      </c>
      <c r="EM61" s="456">
        <f t="shared" si="85"/>
        <v>4.0250000000000001E-2</v>
      </c>
      <c r="EN61" s="456">
        <f t="shared" si="86"/>
        <v>0.75119058000000016</v>
      </c>
      <c r="EO61">
        <f t="shared" si="87"/>
        <v>1.5299999999999999E-2</v>
      </c>
      <c r="EP61" s="144">
        <f t="shared" si="123"/>
        <v>55.550000000000004</v>
      </c>
      <c r="EQ61" s="456">
        <f t="shared" si="88"/>
        <v>5.0640392672071384</v>
      </c>
      <c r="ER61" s="144">
        <f t="shared" si="124"/>
        <v>5064.0392672071384</v>
      </c>
      <c r="ES61" s="456">
        <f t="shared" si="125"/>
        <v>1.5021439999999999</v>
      </c>
      <c r="ET61" s="456"/>
      <c r="EV61" s="144">
        <f t="shared" si="126"/>
        <v>1502.144</v>
      </c>
      <c r="EW61" s="456">
        <f t="shared" si="89"/>
        <v>0.17008746529602156</v>
      </c>
      <c r="EX61" s="456">
        <f t="shared" si="90"/>
        <v>0.21627281839192175</v>
      </c>
      <c r="EY61" s="456">
        <f t="shared" si="91"/>
        <v>28.616876836599509</v>
      </c>
      <c r="EZ61" s="456">
        <f t="shared" si="92"/>
        <v>30.023969126711297</v>
      </c>
      <c r="FA61" s="456">
        <f t="shared" si="93"/>
        <v>2.8977021276595756</v>
      </c>
      <c r="FB61" s="144">
        <f t="shared" si="127"/>
        <v>32921.671254370871</v>
      </c>
      <c r="FC61" s="150">
        <f t="shared" si="128"/>
        <v>39.487854521578015</v>
      </c>
      <c r="FD61" s="5">
        <f t="shared" si="129"/>
        <v>67.2</v>
      </c>
      <c r="FE61" s="150">
        <f t="shared" si="130"/>
        <v>0.62987488408447234</v>
      </c>
      <c r="FF61" s="5">
        <f t="shared" si="131"/>
        <v>62.987488408447234</v>
      </c>
      <c r="FI61" s="59">
        <f t="shared" si="94"/>
        <v>-50</v>
      </c>
      <c r="FJ61">
        <f t="shared" si="95"/>
        <v>-50</v>
      </c>
      <c r="FL61">
        <f t="shared" si="181"/>
        <v>0.49236272465691283</v>
      </c>
    </row>
    <row r="62" spans="5:168">
      <c r="E62" s="147">
        <v>57</v>
      </c>
      <c r="F62" s="188">
        <f t="shared" si="182"/>
        <v>2.2799999999999998</v>
      </c>
      <c r="G62" s="188"/>
      <c r="H62" s="188">
        <f t="shared" si="132"/>
        <v>68.399999999999991</v>
      </c>
      <c r="I62" s="465">
        <f t="shared" si="133"/>
        <v>33.881449483661974</v>
      </c>
      <c r="J62" s="149">
        <f t="shared" si="134"/>
        <v>30.463834893412781</v>
      </c>
      <c r="K62" s="149">
        <f t="shared" si="135"/>
        <v>64.463834893412781</v>
      </c>
      <c r="L62" s="379"/>
      <c r="M62" s="188">
        <f t="shared" si="136"/>
        <v>0.47344663295090345</v>
      </c>
      <c r="N62" s="149">
        <f t="shared" si="137"/>
        <v>244.78696148508877</v>
      </c>
      <c r="O62" s="149">
        <f t="shared" si="98"/>
        <v>68.399999999999991</v>
      </c>
      <c r="P62" s="188">
        <f t="shared" si="138"/>
        <v>8.1595653828362931</v>
      </c>
      <c r="Q62" s="188">
        <f t="shared" si="139"/>
        <v>30</v>
      </c>
      <c r="R62" s="188">
        <f t="shared" si="140"/>
        <v>8.1015445341090349</v>
      </c>
      <c r="S62" s="149">
        <f t="shared" si="141"/>
        <v>191.34506194990763</v>
      </c>
      <c r="T62" s="149">
        <f t="shared" si="142"/>
        <v>30</v>
      </c>
      <c r="U62" s="188">
        <f t="shared" si="143"/>
        <v>8.6600908575612987</v>
      </c>
      <c r="V62" s="188">
        <f t="shared" si="11"/>
        <v>1.2013189415100225</v>
      </c>
      <c r="W62" s="188">
        <f t="shared" si="144"/>
        <v>1.3360900613119862</v>
      </c>
      <c r="X62" s="172">
        <f t="shared" si="145"/>
        <v>350</v>
      </c>
      <c r="Y62" s="379">
        <f t="shared" si="14"/>
        <v>350</v>
      </c>
      <c r="AA62" s="188">
        <f t="shared" si="146"/>
        <v>9.7513316569662525</v>
      </c>
      <c r="AB62" s="150">
        <f t="shared" si="147"/>
        <v>1.5044481086539607</v>
      </c>
      <c r="AC62" s="150">
        <f t="shared" si="148"/>
        <v>2.5673151819315647</v>
      </c>
      <c r="AD62" s="150"/>
      <c r="AE62" s="150">
        <f t="shared" si="149"/>
        <v>0.93503817180311022</v>
      </c>
      <c r="AF62" s="314">
        <f t="shared" si="150"/>
        <v>804.67303120800489</v>
      </c>
      <c r="AG62" s="456">
        <f t="shared" si="151"/>
        <v>0.99170715191238967</v>
      </c>
      <c r="AI62" s="150">
        <f t="shared" si="152"/>
        <v>9.1894973457449929</v>
      </c>
      <c r="AJ62" s="150">
        <f t="shared" si="153"/>
        <v>9.1894973457449929</v>
      </c>
      <c r="AK62" s="150">
        <f t="shared" si="154"/>
        <v>3.5176972482510607</v>
      </c>
      <c r="AM62" s="314">
        <f t="shared" si="155"/>
        <v>2280</v>
      </c>
      <c r="AN62" s="144">
        <f t="shared" si="156"/>
        <v>350</v>
      </c>
      <c r="AP62">
        <f t="shared" si="157"/>
        <v>2280</v>
      </c>
      <c r="AQ62">
        <f t="shared" si="158"/>
        <v>350</v>
      </c>
      <c r="AS62" s="5">
        <f t="shared" si="101"/>
        <v>2.8571428571428572</v>
      </c>
      <c r="AT62" s="5">
        <f t="shared" si="159"/>
        <v>1.2747576677859809</v>
      </c>
      <c r="AU62" s="5">
        <f t="shared" si="102"/>
        <v>1.5823851893568763</v>
      </c>
      <c r="AV62" s="5">
        <f t="shared" si="160"/>
        <v>1.4177675816625639</v>
      </c>
      <c r="AW62" s="150">
        <f t="shared" si="103"/>
        <v>0.44616518372509328</v>
      </c>
      <c r="AX62" s="150">
        <f t="shared" si="161"/>
        <v>69.457543556981122</v>
      </c>
      <c r="AY62" s="150">
        <f t="shared" si="162"/>
        <v>2.5447317870697104</v>
      </c>
      <c r="AZ62" s="150">
        <f t="shared" si="104"/>
        <v>27.294642174043155</v>
      </c>
      <c r="BA62" s="144">
        <f t="shared" si="163"/>
        <v>9.6881582751734534</v>
      </c>
      <c r="BB62" s="5">
        <f t="shared" si="164"/>
        <v>1.8791325185743264</v>
      </c>
      <c r="BC62" s="5"/>
      <c r="BD62" s="150">
        <f t="shared" si="105"/>
        <v>3.5438796754232613</v>
      </c>
      <c r="BE62" s="150">
        <f t="shared" si="165"/>
        <v>3.9484010268217027</v>
      </c>
      <c r="BF62" s="150"/>
      <c r="BG62" s="456">
        <f t="shared" si="166"/>
        <v>0.15070899784653696</v>
      </c>
      <c r="BH62" s="456">
        <f t="shared" si="167"/>
        <v>3.7838926557615653</v>
      </c>
      <c r="BI62" s="456">
        <f t="shared" si="168"/>
        <v>4.0250000000000001E-2</v>
      </c>
      <c r="BJ62" s="456">
        <f t="shared" si="169"/>
        <v>0.75268051591004381</v>
      </c>
      <c r="BK62">
        <f t="shared" si="170"/>
        <v>1.5246652267647888E-2</v>
      </c>
      <c r="BL62" s="144">
        <f t="shared" si="106"/>
        <v>55.496652267647889</v>
      </c>
      <c r="BM62" s="456">
        <f t="shared" si="171"/>
        <v>4.9035626143142066</v>
      </c>
      <c r="BN62" s="144">
        <f t="shared" si="107"/>
        <v>4903.5626143142063</v>
      </c>
      <c r="BO62" s="456">
        <f t="shared" si="172"/>
        <v>1.5289679999999999</v>
      </c>
      <c r="BP62" s="456"/>
      <c r="BR62" s="144">
        <f t="shared" si="109"/>
        <v>1528.9679999999998</v>
      </c>
      <c r="BS62" s="456">
        <f t="shared" si="173"/>
        <v>0.17582716415429311</v>
      </c>
      <c r="BT62" s="456">
        <f t="shared" si="174"/>
        <v>0.21825818936049346</v>
      </c>
      <c r="BU62" s="456">
        <f t="shared" si="175"/>
        <v>29.33387971867657</v>
      </c>
      <c r="BV62" s="456">
        <f t="shared" si="176"/>
        <v>30.793362612313512</v>
      </c>
      <c r="BW62" s="456">
        <f t="shared" si="177"/>
        <v>2.9556401513608996</v>
      </c>
      <c r="BX62" s="144">
        <f t="shared" si="110"/>
        <v>33749.002763674413</v>
      </c>
      <c r="BY62" s="150">
        <f t="shared" si="45"/>
        <v>40.237030030256264</v>
      </c>
      <c r="BZ62" s="5">
        <f t="shared" si="111"/>
        <v>68.399999999999991</v>
      </c>
      <c r="CA62" s="150">
        <f t="shared" si="112"/>
        <v>0.62961956876904734</v>
      </c>
      <c r="CB62" s="5">
        <f t="shared" si="113"/>
        <v>62.961956876904736</v>
      </c>
      <c r="CE62" s="59">
        <f t="shared" si="178"/>
        <v>-50</v>
      </c>
      <c r="CF62">
        <f t="shared" si="179"/>
        <v>-50</v>
      </c>
      <c r="CG62" s="150">
        <f t="shared" si="180"/>
        <v>0.50003999840012792</v>
      </c>
      <c r="CI62" s="147">
        <v>57</v>
      </c>
      <c r="CJ62" s="188">
        <f t="shared" si="114"/>
        <v>2.2799999999999998</v>
      </c>
      <c r="CK62" s="188"/>
      <c r="CL62" s="188">
        <f t="shared" si="49"/>
        <v>68.399999999999991</v>
      </c>
      <c r="CM62" s="465">
        <f t="shared" si="50"/>
        <v>34</v>
      </c>
      <c r="CN62" s="149">
        <f t="shared" si="51"/>
        <v>30.4</v>
      </c>
      <c r="CO62" s="379">
        <f t="shared" si="52"/>
        <v>64.400000000000006</v>
      </c>
      <c r="CP62" s="379"/>
      <c r="CQ62" s="188">
        <f t="shared" si="53"/>
        <v>0.47204968944099374</v>
      </c>
      <c r="CR62" s="149">
        <f t="shared" si="54"/>
        <v>244.918674788055</v>
      </c>
      <c r="CS62" s="149">
        <f t="shared" si="115"/>
        <v>68.399999999999991</v>
      </c>
      <c r="CT62" s="188">
        <f t="shared" si="55"/>
        <v>8.1639558262685004</v>
      </c>
      <c r="CU62" s="188">
        <f t="shared" si="56"/>
        <v>30</v>
      </c>
      <c r="CV62" s="188">
        <f t="shared" si="57"/>
        <v>8.1059037580776696</v>
      </c>
      <c r="CW62" s="149">
        <f t="shared" si="58"/>
        <v>192.01432780344746</v>
      </c>
      <c r="CX62" s="149">
        <f t="shared" si="59"/>
        <v>30</v>
      </c>
      <c r="CY62" s="188">
        <f t="shared" si="60"/>
        <v>8.5235294117647058</v>
      </c>
      <c r="CZ62" s="188">
        <f t="shared" si="61"/>
        <v>1.1782525951557092</v>
      </c>
      <c r="DA62" s="188">
        <f t="shared" si="62"/>
        <v>1.3177825077399381</v>
      </c>
      <c r="DB62" s="172">
        <f t="shared" si="63"/>
        <v>350</v>
      </c>
      <c r="DC62" s="379">
        <f t="shared" si="116"/>
        <v>350</v>
      </c>
      <c r="DE62" s="188">
        <f t="shared" si="64"/>
        <v>9.7566501161056465</v>
      </c>
      <c r="DF62" s="150">
        <f t="shared" si="65"/>
        <v>1.5084294587400178</v>
      </c>
      <c r="DG62" s="150">
        <f t="shared" si="66"/>
        <v>2.5755132294067704</v>
      </c>
      <c r="DH62" s="150"/>
      <c r="DI62" s="150">
        <f t="shared" si="67"/>
        <v>0.93700159489633172</v>
      </c>
      <c r="DJ62" s="314">
        <f t="shared" si="117"/>
        <v>802.98689361702122</v>
      </c>
      <c r="DK62" s="456">
        <f t="shared" si="68"/>
        <v>0.99378957034459414</v>
      </c>
      <c r="DM62" s="150">
        <f t="shared" si="69"/>
        <v>9.1798643135173652</v>
      </c>
      <c r="DN62" s="150">
        <f t="shared" si="70"/>
        <v>9.1798643135173652</v>
      </c>
      <c r="DO62" s="150">
        <f t="shared" si="71"/>
        <v>3.510561668823188</v>
      </c>
      <c r="DQ62" s="314">
        <f t="shared" si="72"/>
        <v>2280</v>
      </c>
      <c r="DR62" s="144">
        <f t="shared" si="73"/>
        <v>350</v>
      </c>
      <c r="DT62">
        <f t="shared" si="74"/>
        <v>2280</v>
      </c>
      <c r="DU62">
        <f t="shared" si="75"/>
        <v>350</v>
      </c>
      <c r="DW62" s="5">
        <f t="shared" si="118"/>
        <v>2.8571428571428572</v>
      </c>
      <c r="DX62" s="5">
        <f t="shared" si="76"/>
        <v>1.2689812433391652</v>
      </c>
      <c r="DY62" s="5">
        <f t="shared" si="119"/>
        <v>1.588161613803692</v>
      </c>
      <c r="DZ62" s="5">
        <f t="shared" si="77"/>
        <v>1.4192553379451189</v>
      </c>
      <c r="EA62" s="150">
        <f t="shared" si="120"/>
        <v>0.4441434351687078</v>
      </c>
      <c r="EB62" s="150">
        <f t="shared" si="78"/>
        <v>69.311999999999983</v>
      </c>
      <c r="EC62" s="150">
        <f t="shared" si="79"/>
        <v>2.5513439214645657</v>
      </c>
      <c r="ED62" s="150">
        <f t="shared" si="121"/>
        <v>27.166858774654077</v>
      </c>
      <c r="EE62" s="144">
        <f t="shared" si="80"/>
        <v>9.6442574493776547</v>
      </c>
      <c r="EF62" s="5">
        <f t="shared" si="81"/>
        <v>1.8794161658161335</v>
      </c>
      <c r="EG62" s="5"/>
      <c r="EH62" s="150">
        <f t="shared" si="122"/>
        <v>3.5321347078061076</v>
      </c>
      <c r="EI62" s="150">
        <f t="shared" si="82"/>
        <v>3.9514546702163598</v>
      </c>
      <c r="EJ62" s="150"/>
      <c r="EK62" s="456">
        <f t="shared" si="83"/>
        <v>0.14971170712906245</v>
      </c>
      <c r="EL62" s="456">
        <f t="shared" si="84"/>
        <v>3.9313686909069476</v>
      </c>
      <c r="EM62" s="456">
        <f t="shared" si="85"/>
        <v>4.0250000000000001E-2</v>
      </c>
      <c r="EN62" s="456">
        <f t="shared" si="86"/>
        <v>0.75119058000000016</v>
      </c>
      <c r="EO62">
        <f t="shared" si="87"/>
        <v>1.5299999999999999E-2</v>
      </c>
      <c r="EP62" s="144">
        <f t="shared" si="123"/>
        <v>55.550000000000004</v>
      </c>
      <c r="EQ62" s="456">
        <f t="shared" si="88"/>
        <v>5.1100140105852638</v>
      </c>
      <c r="ER62" s="144">
        <f t="shared" si="124"/>
        <v>5110.0140105852643</v>
      </c>
      <c r="ES62" s="456">
        <f t="shared" si="125"/>
        <v>1.5289679999999999</v>
      </c>
      <c r="ET62" s="456"/>
      <c r="EV62" s="144">
        <f t="shared" si="126"/>
        <v>1528.9679999999998</v>
      </c>
      <c r="EW62" s="456">
        <f t="shared" si="89"/>
        <v>0.17466365831723951</v>
      </c>
      <c r="EX62" s="456">
        <f t="shared" si="90"/>
        <v>0.21859591615084553</v>
      </c>
      <c r="EY62" s="456">
        <f t="shared" si="91"/>
        <v>29.257065917738959</v>
      </c>
      <c r="EZ62" s="456">
        <f t="shared" si="92"/>
        <v>30.710896104775184</v>
      </c>
      <c r="FA62" s="456">
        <f t="shared" si="93"/>
        <v>2.949446808510638</v>
      </c>
      <c r="FB62" s="144">
        <f t="shared" si="127"/>
        <v>33660.342913285822</v>
      </c>
      <c r="FC62" s="150">
        <f t="shared" si="128"/>
        <v>40.299324923871083</v>
      </c>
      <c r="FD62" s="5">
        <f t="shared" si="129"/>
        <v>68.399999999999991</v>
      </c>
      <c r="FE62" s="150">
        <f t="shared" si="130"/>
        <v>0.62925873778797414</v>
      </c>
      <c r="FF62" s="5">
        <f t="shared" si="131"/>
        <v>62.925873778797417</v>
      </c>
      <c r="FI62" s="59">
        <f t="shared" si="94"/>
        <v>-50</v>
      </c>
      <c r="FJ62">
        <f t="shared" si="95"/>
        <v>-50</v>
      </c>
      <c r="FL62">
        <f t="shared" si="181"/>
        <v>0.49673936828079168</v>
      </c>
    </row>
    <row r="63" spans="5:168">
      <c r="E63" s="147">
        <v>58</v>
      </c>
      <c r="F63" s="188">
        <f t="shared" si="182"/>
        <v>2.3199999999999998</v>
      </c>
      <c r="G63" s="188"/>
      <c r="H63" s="188">
        <f t="shared" si="132"/>
        <v>69.599999999999994</v>
      </c>
      <c r="I63" s="465">
        <f t="shared" si="133"/>
        <v>33.8804140883149</v>
      </c>
      <c r="J63" s="149">
        <f t="shared" si="134"/>
        <v>30.464392413984282</v>
      </c>
      <c r="K63" s="149">
        <f t="shared" si="135"/>
        <v>64.464392413984285</v>
      </c>
      <c r="L63" s="379"/>
      <c r="M63" s="188">
        <f t="shared" si="136"/>
        <v>0.47345884394675702</v>
      </c>
      <c r="N63" s="149">
        <f t="shared" si="137"/>
        <v>244.78579423282301</v>
      </c>
      <c r="O63" s="149">
        <f t="shared" si="98"/>
        <v>69.599999999999994</v>
      </c>
      <c r="P63" s="188">
        <f t="shared" si="138"/>
        <v>8.1595264744274338</v>
      </c>
      <c r="Q63" s="188">
        <f t="shared" si="139"/>
        <v>30</v>
      </c>
      <c r="R63" s="188">
        <f t="shared" si="140"/>
        <v>8.1015059023691887</v>
      </c>
      <c r="S63" s="149">
        <f t="shared" si="141"/>
        <v>187.45879823627283</v>
      </c>
      <c r="T63" s="149">
        <f t="shared" si="142"/>
        <v>30</v>
      </c>
      <c r="U63" s="188">
        <f t="shared" si="143"/>
        <v>8.8122266353872831</v>
      </c>
      <c r="V63" s="188">
        <f t="shared" si="11"/>
        <v>1.2224604185284973</v>
      </c>
      <c r="W63" s="188">
        <f t="shared" si="144"/>
        <v>1.3595368856694507</v>
      </c>
      <c r="X63" s="172">
        <f t="shared" si="145"/>
        <v>350</v>
      </c>
      <c r="Y63" s="379">
        <f t="shared" si="14"/>
        <v>350</v>
      </c>
      <c r="AA63" s="188">
        <f t="shared" si="146"/>
        <v>9.7512845369301608</v>
      </c>
      <c r="AB63" s="150">
        <f t="shared" si="147"/>
        <v>1.5044133065504242</v>
      </c>
      <c r="AC63" s="150">
        <f t="shared" si="148"/>
        <v>2.567243387330497</v>
      </c>
      <c r="AD63" s="150"/>
      <c r="AE63" s="150">
        <f t="shared" si="149"/>
        <v>0.9350210599234825</v>
      </c>
      <c r="AF63" s="314">
        <f t="shared" si="150"/>
        <v>818.8050866604575</v>
      </c>
      <c r="AG63" s="456">
        <f t="shared" si="151"/>
        <v>0.99168900294914808</v>
      </c>
      <c r="AI63" s="150">
        <f t="shared" si="152"/>
        <v>9.2698413111374212</v>
      </c>
      <c r="AJ63" s="150">
        <f t="shared" si="153"/>
        <v>9.2698413111374212</v>
      </c>
      <c r="AK63" s="150">
        <f t="shared" si="154"/>
        <v>3.5772112966898968</v>
      </c>
      <c r="AM63" s="314">
        <f t="shared" si="155"/>
        <v>2320</v>
      </c>
      <c r="AN63" s="144">
        <f t="shared" si="156"/>
        <v>350</v>
      </c>
      <c r="AP63">
        <f t="shared" si="157"/>
        <v>2320</v>
      </c>
      <c r="AQ63">
        <f t="shared" si="158"/>
        <v>350</v>
      </c>
      <c r="AS63" s="5">
        <f t="shared" si="101"/>
        <v>2.8571428571428572</v>
      </c>
      <c r="AT63" s="5">
        <f t="shared" si="159"/>
        <v>1.2859421980138148</v>
      </c>
      <c r="AU63" s="5">
        <f t="shared" si="102"/>
        <v>1.5712006591290424</v>
      </c>
      <c r="AV63" s="5">
        <f t="shared" si="160"/>
        <v>1.4301369799302626</v>
      </c>
      <c r="AW63" s="150">
        <f t="shared" si="103"/>
        <v>0.45007976930483518</v>
      </c>
      <c r="AX63" s="150">
        <f t="shared" si="161"/>
        <v>70.677390400443514</v>
      </c>
      <c r="AY63" s="150">
        <f t="shared" si="162"/>
        <v>2.5488366361641299</v>
      </c>
      <c r="AZ63" s="150">
        <f t="shared" si="104"/>
        <v>27.729274366837966</v>
      </c>
      <c r="BA63" s="144">
        <f t="shared" si="163"/>
        <v>9.9446196646401681</v>
      </c>
      <c r="BB63" s="5">
        <f t="shared" si="164"/>
        <v>1.8986427759834406</v>
      </c>
      <c r="BC63" s="5"/>
      <c r="BD63" s="150">
        <f t="shared" si="105"/>
        <v>3.5905122959990154</v>
      </c>
      <c r="BE63" s="150">
        <f t="shared" si="165"/>
        <v>3.9688210798048322</v>
      </c>
      <c r="BF63" s="150"/>
      <c r="BG63" s="456">
        <f t="shared" si="166"/>
        <v>0.15470134257264148</v>
      </c>
      <c r="BH63" s="456">
        <f t="shared" si="167"/>
        <v>3.817008318939056</v>
      </c>
      <c r="BI63" s="456">
        <f t="shared" si="168"/>
        <v>4.0250000000000001E-2</v>
      </c>
      <c r="BJ63" s="456">
        <f t="shared" si="169"/>
        <v>0.75269353520021498</v>
      </c>
      <c r="BK63">
        <f t="shared" si="170"/>
        <v>1.5246186339741705E-2</v>
      </c>
      <c r="BL63" s="144">
        <f t="shared" si="106"/>
        <v>55.496186339741712</v>
      </c>
      <c r="BM63" s="456">
        <f t="shared" si="171"/>
        <v>4.948048158312023</v>
      </c>
      <c r="BN63" s="144">
        <f t="shared" si="107"/>
        <v>4948.0481583120227</v>
      </c>
      <c r="BO63" s="456">
        <f t="shared" si="172"/>
        <v>1.5557919999999998</v>
      </c>
      <c r="BP63" s="456"/>
      <c r="BR63" s="144">
        <f t="shared" si="109"/>
        <v>1555.7919999999999</v>
      </c>
      <c r="BS63" s="456">
        <f t="shared" si="173"/>
        <v>0.18048489966808171</v>
      </c>
      <c r="BT63" s="456">
        <f t="shared" si="174"/>
        <v>0.22052157068904474</v>
      </c>
      <c r="BU63" s="456">
        <f t="shared" si="175"/>
        <v>29.979256932270843</v>
      </c>
      <c r="BV63" s="456">
        <f t="shared" si="176"/>
        <v>31.486611759115942</v>
      </c>
      <c r="BW63" s="456">
        <f t="shared" si="177"/>
        <v>3.0075485276784484</v>
      </c>
      <c r="BX63" s="144">
        <f t="shared" si="110"/>
        <v>34494.160286794388</v>
      </c>
      <c r="BY63" s="150">
        <f t="shared" si="45"/>
        <v>41.053496631446158</v>
      </c>
      <c r="BZ63" s="5">
        <f t="shared" si="111"/>
        <v>69.599999999999994</v>
      </c>
      <c r="CA63" s="150">
        <f t="shared" si="112"/>
        <v>0.62899051651134774</v>
      </c>
      <c r="CB63" s="5">
        <f t="shared" si="113"/>
        <v>62.899051651134776</v>
      </c>
      <c r="CE63" s="59">
        <f t="shared" si="178"/>
        <v>-50</v>
      </c>
      <c r="CF63">
        <f t="shared" si="179"/>
        <v>-50</v>
      </c>
      <c r="CG63" s="150">
        <f t="shared" si="180"/>
        <v>0.50440724287689076</v>
      </c>
      <c r="CI63" s="147">
        <v>58</v>
      </c>
      <c r="CJ63" s="188">
        <f t="shared" si="114"/>
        <v>2.3199999999999998</v>
      </c>
      <c r="CK63" s="188"/>
      <c r="CL63" s="188">
        <f t="shared" si="49"/>
        <v>69.599999999999994</v>
      </c>
      <c r="CM63" s="465">
        <f t="shared" si="50"/>
        <v>34</v>
      </c>
      <c r="CN63" s="149">
        <f t="shared" si="51"/>
        <v>30.4</v>
      </c>
      <c r="CO63" s="379">
        <f t="shared" si="52"/>
        <v>64.400000000000006</v>
      </c>
      <c r="CP63" s="379"/>
      <c r="CQ63" s="188">
        <f t="shared" si="53"/>
        <v>0.47204968944099374</v>
      </c>
      <c r="CR63" s="149">
        <f t="shared" si="54"/>
        <v>244.918674788055</v>
      </c>
      <c r="CS63" s="149">
        <f t="shared" si="115"/>
        <v>69.599999999999994</v>
      </c>
      <c r="CT63" s="188">
        <f t="shared" si="55"/>
        <v>8.1639558262685004</v>
      </c>
      <c r="CU63" s="188">
        <f t="shared" si="56"/>
        <v>30</v>
      </c>
      <c r="CV63" s="188">
        <f t="shared" si="57"/>
        <v>8.1059037580776696</v>
      </c>
      <c r="CW63" s="149">
        <f t="shared" si="58"/>
        <v>188.12020768308773</v>
      </c>
      <c r="CX63" s="149">
        <f t="shared" si="59"/>
        <v>30</v>
      </c>
      <c r="CY63" s="188">
        <f t="shared" si="60"/>
        <v>8.6730650154798763</v>
      </c>
      <c r="CZ63" s="188">
        <f t="shared" si="61"/>
        <v>1.1989236933163359</v>
      </c>
      <c r="DA63" s="188">
        <f t="shared" si="62"/>
        <v>1.3409014991037966</v>
      </c>
      <c r="DB63" s="172">
        <f t="shared" si="63"/>
        <v>350</v>
      </c>
      <c r="DC63" s="379">
        <f t="shared" si="116"/>
        <v>350</v>
      </c>
      <c r="DE63" s="188">
        <f t="shared" si="64"/>
        <v>9.7566501161056465</v>
      </c>
      <c r="DF63" s="150">
        <f t="shared" si="65"/>
        <v>1.5084294587400178</v>
      </c>
      <c r="DG63" s="150">
        <f t="shared" si="66"/>
        <v>2.5755132294067704</v>
      </c>
      <c r="DH63" s="150"/>
      <c r="DI63" s="150">
        <f t="shared" si="67"/>
        <v>0.93700159489633172</v>
      </c>
      <c r="DJ63" s="314">
        <f t="shared" si="117"/>
        <v>817.07438297872341</v>
      </c>
      <c r="DK63" s="456">
        <f t="shared" si="68"/>
        <v>0.99378957034459414</v>
      </c>
      <c r="DM63" s="150">
        <f t="shared" si="69"/>
        <v>9.2600393232144107</v>
      </c>
      <c r="DN63" s="150">
        <f t="shared" si="70"/>
        <v>9.2600393232144107</v>
      </c>
      <c r="DO63" s="150">
        <f t="shared" si="71"/>
        <v>3.5699505648950742</v>
      </c>
      <c r="DQ63" s="314">
        <f t="shared" si="72"/>
        <v>2320</v>
      </c>
      <c r="DR63" s="144">
        <f t="shared" si="73"/>
        <v>350</v>
      </c>
      <c r="DT63">
        <f t="shared" si="74"/>
        <v>2320</v>
      </c>
      <c r="DU63">
        <f t="shared" si="75"/>
        <v>350</v>
      </c>
      <c r="DW63" s="5">
        <f t="shared" si="118"/>
        <v>2.8571428571428572</v>
      </c>
      <c r="DX63" s="5">
        <f t="shared" si="76"/>
        <v>1.2800642593855216</v>
      </c>
      <c r="DY63" s="5">
        <f t="shared" si="119"/>
        <v>1.5770785977573356</v>
      </c>
      <c r="DZ63" s="5">
        <f t="shared" si="77"/>
        <v>1.4316508164180177</v>
      </c>
      <c r="EA63" s="150">
        <f t="shared" si="120"/>
        <v>0.44802249078493256</v>
      </c>
      <c r="EB63" s="150">
        <f t="shared" si="78"/>
        <v>70.528000000000006</v>
      </c>
      <c r="EC63" s="150">
        <f t="shared" si="79"/>
        <v>2.5556667204307342</v>
      </c>
      <c r="ED63" s="150">
        <f t="shared" si="121"/>
        <v>27.596712605825676</v>
      </c>
      <c r="EE63" s="144">
        <f t="shared" si="80"/>
        <v>9.8991636059147012</v>
      </c>
      <c r="EF63" s="5">
        <f t="shared" si="81"/>
        <v>1.8990427405520856</v>
      </c>
      <c r="EG63" s="5"/>
      <c r="EH63" s="150">
        <f t="shared" si="122"/>
        <v>3.5785089823854093</v>
      </c>
      <c r="EI63" s="150">
        <f t="shared" si="82"/>
        <v>3.9720334278736886</v>
      </c>
      <c r="EJ63" s="150"/>
      <c r="EK63" s="456">
        <f t="shared" si="83"/>
        <v>0.15366871844415669</v>
      </c>
      <c r="EL63" s="456">
        <f t="shared" si="84"/>
        <v>3.9657044405598043</v>
      </c>
      <c r="EM63" s="456">
        <f t="shared" si="85"/>
        <v>4.0250000000000001E-2</v>
      </c>
      <c r="EN63" s="456">
        <f t="shared" si="86"/>
        <v>0.75119058000000016</v>
      </c>
      <c r="EO63">
        <f t="shared" si="87"/>
        <v>1.5299999999999999E-2</v>
      </c>
      <c r="EP63" s="144">
        <f t="shared" si="123"/>
        <v>55.550000000000004</v>
      </c>
      <c r="EQ63" s="456">
        <f t="shared" si="88"/>
        <v>5.1558531935963732</v>
      </c>
      <c r="ER63" s="144">
        <f t="shared" si="124"/>
        <v>5155.8531935963729</v>
      </c>
      <c r="ES63" s="456">
        <f t="shared" si="125"/>
        <v>1.5557919999999998</v>
      </c>
      <c r="ET63" s="456"/>
      <c r="EV63" s="144">
        <f t="shared" si="126"/>
        <v>1555.7919999999999</v>
      </c>
      <c r="EW63" s="456">
        <f t="shared" si="89"/>
        <v>0.17928017151818282</v>
      </c>
      <c r="EX63" s="456">
        <f t="shared" si="90"/>
        <v>0.22087869373004407</v>
      </c>
      <c r="EY63" s="456">
        <f t="shared" si="91"/>
        <v>29.900069138896352</v>
      </c>
      <c r="EZ63" s="456">
        <f t="shared" si="92"/>
        <v>31.40151365758792</v>
      </c>
      <c r="FA63" s="456">
        <f t="shared" si="93"/>
        <v>3.0011914893617027</v>
      </c>
      <c r="FB63" s="144">
        <f t="shared" si="127"/>
        <v>34402.705146949622</v>
      </c>
      <c r="FC63" s="150">
        <f t="shared" si="128"/>
        <v>41.114350340545997</v>
      </c>
      <c r="FD63" s="5">
        <f t="shared" si="129"/>
        <v>69.599999999999994</v>
      </c>
      <c r="FE63" s="150">
        <f t="shared" si="130"/>
        <v>0.62864479433711651</v>
      </c>
      <c r="FF63" s="5">
        <f t="shared" si="131"/>
        <v>62.864479433711651</v>
      </c>
      <c r="FI63" s="59">
        <f t="shared" si="94"/>
        <v>-50</v>
      </c>
      <c r="FJ63">
        <f t="shared" si="95"/>
        <v>-50</v>
      </c>
      <c r="FL63">
        <f t="shared" si="181"/>
        <v>0.50107778574630613</v>
      </c>
    </row>
    <row r="64" spans="5:168">
      <c r="E64" s="147">
        <v>59</v>
      </c>
      <c r="F64" s="188">
        <f t="shared" si="182"/>
        <v>2.36</v>
      </c>
      <c r="G64" s="188"/>
      <c r="H64" s="188">
        <f t="shared" si="132"/>
        <v>70.8</v>
      </c>
      <c r="I64" s="465">
        <f t="shared" si="133"/>
        <v>33.879387580974843</v>
      </c>
      <c r="J64" s="149">
        <f t="shared" si="134"/>
        <v>30.464945148705851</v>
      </c>
      <c r="K64" s="149">
        <f t="shared" si="135"/>
        <v>64.464945148705851</v>
      </c>
      <c r="L64" s="379"/>
      <c r="M64" s="188">
        <f t="shared" si="136"/>
        <v>0.47347095029903785</v>
      </c>
      <c r="N64" s="149">
        <f t="shared" si="137"/>
        <v>244.78463671137942</v>
      </c>
      <c r="O64" s="149">
        <f t="shared" si="98"/>
        <v>70.8</v>
      </c>
      <c r="P64" s="188">
        <f t="shared" si="138"/>
        <v>8.1594878903793138</v>
      </c>
      <c r="Q64" s="188">
        <f t="shared" si="139"/>
        <v>30</v>
      </c>
      <c r="R64" s="188">
        <f t="shared" si="140"/>
        <v>8.1014675926836262</v>
      </c>
      <c r="S64" s="149">
        <f t="shared" si="141"/>
        <v>183.70441397271753</v>
      </c>
      <c r="T64" s="149">
        <f t="shared" si="142"/>
        <v>30</v>
      </c>
      <c r="U64" s="188">
        <f t="shared" si="143"/>
        <v>8.9643676881279077</v>
      </c>
      <c r="V64" s="188">
        <f t="shared" si="11"/>
        <v>1.2436035932910698</v>
      </c>
      <c r="W64" s="188">
        <f t="shared" si="144"/>
        <v>1.382983882903559</v>
      </c>
      <c r="X64" s="172">
        <f t="shared" si="145"/>
        <v>350</v>
      </c>
      <c r="Y64" s="379">
        <f t="shared" si="14"/>
        <v>350</v>
      </c>
      <c r="AA64" s="188">
        <f t="shared" si="146"/>
        <v>9.7512378099220811</v>
      </c>
      <c r="AB64" s="150">
        <f t="shared" si="147"/>
        <v>1.5043788026836697</v>
      </c>
      <c r="AC64" s="150">
        <f t="shared" si="148"/>
        <v>2.5671722057055044</v>
      </c>
      <c r="AD64" s="150"/>
      <c r="AE64" s="150">
        <f t="shared" si="149"/>
        <v>0.9350040955533615</v>
      </c>
      <c r="AF64" s="314">
        <f t="shared" si="150"/>
        <v>832.9375279785105</v>
      </c>
      <c r="AG64" s="456">
        <f t="shared" si="151"/>
        <v>0.99167101043538342</v>
      </c>
      <c r="AI64" s="150">
        <f t="shared" si="152"/>
        <v>9.3494970396683339</v>
      </c>
      <c r="AJ64" s="150">
        <f t="shared" si="153"/>
        <v>9.3494970396683339</v>
      </c>
      <c r="AK64" s="150">
        <f t="shared" si="154"/>
        <v>3.6362155400461287</v>
      </c>
      <c r="AM64" s="314">
        <f t="shared" si="155"/>
        <v>2360</v>
      </c>
      <c r="AN64" s="144">
        <f t="shared" si="156"/>
        <v>350</v>
      </c>
      <c r="AP64">
        <f t="shared" si="157"/>
        <v>2360</v>
      </c>
      <c r="AQ64">
        <f t="shared" si="158"/>
        <v>350</v>
      </c>
      <c r="AS64" s="5">
        <f t="shared" si="101"/>
        <v>2.8571428571428572</v>
      </c>
      <c r="AT64" s="5">
        <f t="shared" si="159"/>
        <v>1.2970315942522348</v>
      </c>
      <c r="AU64" s="5">
        <f t="shared" si="102"/>
        <v>1.5601112628906224</v>
      </c>
      <c r="AV64" s="5">
        <f t="shared" si="160"/>
        <v>1.4423999738698972</v>
      </c>
      <c r="AW64" s="150">
        <f t="shared" si="103"/>
        <v>0.45396105798828218</v>
      </c>
      <c r="AX64" s="150">
        <f t="shared" si="161"/>
        <v>71.897270550945819</v>
      </c>
      <c r="AY64" s="150">
        <f t="shared" si="162"/>
        <v>2.5525947359410921</v>
      </c>
      <c r="AZ64" s="150">
        <f t="shared" si="104"/>
        <v>28.166347575122884</v>
      </c>
      <c r="BA64" s="144">
        <f t="shared" si="163"/>
        <v>10.20331520811758</v>
      </c>
      <c r="BB64" s="5">
        <f t="shared" si="164"/>
        <v>1.9178046055750737</v>
      </c>
      <c r="BC64" s="5"/>
      <c r="BD64" s="150">
        <f t="shared" si="105"/>
        <v>3.6369465691455383</v>
      </c>
      <c r="BE64" s="150">
        <f t="shared" si="165"/>
        <v>3.9887739910198148</v>
      </c>
      <c r="BF64" s="150"/>
      <c r="BG64" s="456">
        <f t="shared" si="166"/>
        <v>0.15872856416183401</v>
      </c>
      <c r="BH64" s="456">
        <f t="shared" si="167"/>
        <v>3.849840873340447</v>
      </c>
      <c r="BI64" s="456">
        <f t="shared" si="168"/>
        <v>4.0250000000000001E-2</v>
      </c>
      <c r="BJ64" s="456">
        <f t="shared" si="169"/>
        <v>0.75270644284177168</v>
      </c>
      <c r="BK64">
        <f t="shared" si="170"/>
        <v>1.5245724411438679E-2</v>
      </c>
      <c r="BL64" s="144">
        <f t="shared" si="106"/>
        <v>55.49572441143868</v>
      </c>
      <c r="BM64" s="456">
        <f t="shared" si="171"/>
        <v>4.9924161087228587</v>
      </c>
      <c r="BN64" s="144">
        <f t="shared" si="107"/>
        <v>4992.4161087228586</v>
      </c>
      <c r="BO64" s="456">
        <f t="shared" si="172"/>
        <v>1.5826159999999998</v>
      </c>
      <c r="BP64" s="456"/>
      <c r="BR64" s="144">
        <f t="shared" si="109"/>
        <v>1582.6159999999998</v>
      </c>
      <c r="BS64" s="456">
        <f t="shared" si="173"/>
        <v>0.18518332485547301</v>
      </c>
      <c r="BT64" s="456">
        <f t="shared" si="174"/>
        <v>0.22274445132010598</v>
      </c>
      <c r="BU64" s="456">
        <f t="shared" si="175"/>
        <v>30.627442719474015</v>
      </c>
      <c r="BV64" s="456">
        <f t="shared" si="176"/>
        <v>32.183558559747269</v>
      </c>
      <c r="BW64" s="456">
        <f t="shared" si="177"/>
        <v>3.0594583213168431</v>
      </c>
      <c r="BX64" s="144">
        <f t="shared" si="110"/>
        <v>35243.016881064112</v>
      </c>
      <c r="BY64" s="150">
        <f t="shared" si="45"/>
        <v>41.87354471419841</v>
      </c>
      <c r="BZ64" s="5">
        <f t="shared" si="111"/>
        <v>70.8</v>
      </c>
      <c r="CA64" s="150">
        <f t="shared" si="112"/>
        <v>0.62836400664936409</v>
      </c>
      <c r="CB64" s="5">
        <f t="shared" si="113"/>
        <v>62.836400664936406</v>
      </c>
      <c r="CE64" s="59">
        <f t="shared" si="178"/>
        <v>-50</v>
      </c>
      <c r="CF64">
        <f t="shared" si="179"/>
        <v>-50</v>
      </c>
      <c r="CG64" s="150">
        <f t="shared" si="180"/>
        <v>0.50873699819585882</v>
      </c>
      <c r="CI64" s="147">
        <v>59</v>
      </c>
      <c r="CJ64" s="188">
        <f t="shared" si="114"/>
        <v>2.36</v>
      </c>
      <c r="CK64" s="188"/>
      <c r="CL64" s="188">
        <f t="shared" si="49"/>
        <v>70.8</v>
      </c>
      <c r="CM64" s="465">
        <f t="shared" si="50"/>
        <v>34</v>
      </c>
      <c r="CN64" s="149">
        <f t="shared" si="51"/>
        <v>30.4</v>
      </c>
      <c r="CO64" s="379">
        <f t="shared" si="52"/>
        <v>64.400000000000006</v>
      </c>
      <c r="CP64" s="379"/>
      <c r="CQ64" s="188">
        <f t="shared" si="53"/>
        <v>0.47204968944099374</v>
      </c>
      <c r="CR64" s="149">
        <f t="shared" si="54"/>
        <v>244.918674788055</v>
      </c>
      <c r="CS64" s="149">
        <f t="shared" si="115"/>
        <v>70.8</v>
      </c>
      <c r="CT64" s="188">
        <f t="shared" si="55"/>
        <v>8.1639558262685004</v>
      </c>
      <c r="CU64" s="188">
        <f t="shared" si="56"/>
        <v>30</v>
      </c>
      <c r="CV64" s="188">
        <f t="shared" si="57"/>
        <v>8.1059037580776696</v>
      </c>
      <c r="CW64" s="149">
        <f t="shared" si="58"/>
        <v>184.35815006174604</v>
      </c>
      <c r="CX64" s="149">
        <f t="shared" si="59"/>
        <v>30</v>
      </c>
      <c r="CY64" s="188">
        <f t="shared" si="60"/>
        <v>8.8226006191950468</v>
      </c>
      <c r="CZ64" s="188">
        <f t="shared" si="61"/>
        <v>1.2195947914769623</v>
      </c>
      <c r="DA64" s="188">
        <f t="shared" si="62"/>
        <v>1.3640204904676554</v>
      </c>
      <c r="DB64" s="172">
        <f t="shared" si="63"/>
        <v>350</v>
      </c>
      <c r="DC64" s="379">
        <f t="shared" si="116"/>
        <v>350</v>
      </c>
      <c r="DE64" s="188">
        <f t="shared" si="64"/>
        <v>9.7566501161056465</v>
      </c>
      <c r="DF64" s="150">
        <f t="shared" si="65"/>
        <v>1.5084294587400178</v>
      </c>
      <c r="DG64" s="150">
        <f t="shared" si="66"/>
        <v>2.5755132294067704</v>
      </c>
      <c r="DH64" s="150"/>
      <c r="DI64" s="150">
        <f t="shared" si="67"/>
        <v>0.93700159489633172</v>
      </c>
      <c r="DJ64" s="314">
        <f t="shared" si="117"/>
        <v>831.16187234042548</v>
      </c>
      <c r="DK64" s="456">
        <f t="shared" si="68"/>
        <v>0.99378957034459414</v>
      </c>
      <c r="DM64" s="150">
        <f t="shared" si="69"/>
        <v>9.3395260972045424</v>
      </c>
      <c r="DN64" s="150">
        <f t="shared" si="70"/>
        <v>9.3395260972045424</v>
      </c>
      <c r="DO64" s="150">
        <f t="shared" si="71"/>
        <v>3.6288296567396161</v>
      </c>
      <c r="DQ64" s="314">
        <f t="shared" si="72"/>
        <v>2360</v>
      </c>
      <c r="DR64" s="144">
        <f t="shared" si="73"/>
        <v>350</v>
      </c>
      <c r="DT64">
        <f t="shared" si="74"/>
        <v>2360</v>
      </c>
      <c r="DU64">
        <f t="shared" si="75"/>
        <v>350</v>
      </c>
      <c r="DW64" s="5">
        <f t="shared" si="118"/>
        <v>2.8571428571428572</v>
      </c>
      <c r="DX64" s="5">
        <f t="shared" si="76"/>
        <v>1.2910521369665104</v>
      </c>
      <c r="DY64" s="5">
        <f t="shared" si="119"/>
        <v>1.5660907201763468</v>
      </c>
      <c r="DZ64" s="5">
        <f t="shared" si="77"/>
        <v>1.443939890028334</v>
      </c>
      <c r="EA64" s="150">
        <f t="shared" si="120"/>
        <v>0.45186824793827862</v>
      </c>
      <c r="EB64" s="150">
        <f t="shared" si="78"/>
        <v>71.743999999999971</v>
      </c>
      <c r="EC64" s="150">
        <f t="shared" si="79"/>
        <v>2.5596454015434484</v>
      </c>
      <c r="ED64" s="150">
        <f t="shared" si="121"/>
        <v>28.028882421267742</v>
      </c>
      <c r="EE64" s="144">
        <f t="shared" si="80"/>
        <v>10.156276810803215</v>
      </c>
      <c r="EF64" s="5">
        <f t="shared" si="81"/>
        <v>1.9183256572402305</v>
      </c>
      <c r="EG64" s="5"/>
      <c r="EH64" s="150">
        <f t="shared" si="122"/>
        <v>3.6246837869325668</v>
      </c>
      <c r="EI64" s="150">
        <f t="shared" si="82"/>
        <v>3.9921485466103452</v>
      </c>
      <c r="EJ64" s="150"/>
      <c r="EK64" s="456">
        <f t="shared" si="83"/>
        <v>0.15765999066302175</v>
      </c>
      <c r="EL64" s="456">
        <f t="shared" si="84"/>
        <v>3.9997454463888182</v>
      </c>
      <c r="EM64" s="456">
        <f t="shared" si="85"/>
        <v>4.0250000000000001E-2</v>
      </c>
      <c r="EN64" s="456">
        <f t="shared" si="86"/>
        <v>0.75119058000000016</v>
      </c>
      <c r="EO64">
        <f t="shared" si="87"/>
        <v>1.5299999999999999E-2</v>
      </c>
      <c r="EP64" s="144">
        <f t="shared" si="123"/>
        <v>55.550000000000004</v>
      </c>
      <c r="EQ64" s="456">
        <f t="shared" si="88"/>
        <v>5.2015649076572403</v>
      </c>
      <c r="ER64" s="144">
        <f t="shared" si="124"/>
        <v>5201.5649076572399</v>
      </c>
      <c r="ES64" s="456">
        <f t="shared" si="125"/>
        <v>1.5826159999999998</v>
      </c>
      <c r="ET64" s="456"/>
      <c r="EV64" s="144">
        <f t="shared" si="126"/>
        <v>1582.6159999999998</v>
      </c>
      <c r="EW64" s="456">
        <f t="shared" si="89"/>
        <v>0.18393665577352539</v>
      </c>
      <c r="EX64" s="456">
        <f t="shared" si="90"/>
        <v>0.22312150025484329</v>
      </c>
      <c r="EY64" s="456">
        <f t="shared" si="91"/>
        <v>30.545850028137654</v>
      </c>
      <c r="EZ64" s="456">
        <f t="shared" si="92"/>
        <v>32.095790402204379</v>
      </c>
      <c r="FA64" s="456">
        <f t="shared" si="93"/>
        <v>3.0529361702127651</v>
      </c>
      <c r="FB64" s="144">
        <f t="shared" si="127"/>
        <v>35148.726572417145</v>
      </c>
      <c r="FC64" s="150">
        <f t="shared" si="128"/>
        <v>41.932907480074384</v>
      </c>
      <c r="FD64" s="5">
        <f t="shared" si="129"/>
        <v>70.8</v>
      </c>
      <c r="FE64" s="150">
        <f t="shared" si="130"/>
        <v>0.62803312344724149</v>
      </c>
      <c r="FF64" s="5">
        <f t="shared" si="131"/>
        <v>62.803312344724148</v>
      </c>
      <c r="FI64" s="59">
        <f t="shared" si="94"/>
        <v>-50</v>
      </c>
      <c r="FJ64">
        <f t="shared" si="95"/>
        <v>-50</v>
      </c>
      <c r="FL64">
        <f t="shared" si="181"/>
        <v>0.5053789615099169</v>
      </c>
    </row>
    <row r="65" spans="5:168">
      <c r="E65" s="147">
        <v>60</v>
      </c>
      <c r="F65" s="188">
        <f t="shared" si="182"/>
        <v>2.4</v>
      </c>
      <c r="G65" s="188"/>
      <c r="H65" s="188">
        <f t="shared" si="132"/>
        <v>72</v>
      </c>
      <c r="I65" s="465">
        <f t="shared" si="133"/>
        <v>33.878369736608668</v>
      </c>
      <c r="J65" s="149">
        <f t="shared" si="134"/>
        <v>30.465493218749177</v>
      </c>
      <c r="K65" s="149">
        <f t="shared" si="135"/>
        <v>64.465493218749174</v>
      </c>
      <c r="L65" s="379"/>
      <c r="M65" s="188">
        <f t="shared" si="136"/>
        <v>0.47348295465719303</v>
      </c>
      <c r="N65" s="149">
        <f t="shared" si="137"/>
        <v>244.7834886743797</v>
      </c>
      <c r="O65" s="149">
        <f t="shared" si="98"/>
        <v>72</v>
      </c>
      <c r="P65" s="188">
        <f t="shared" si="138"/>
        <v>8.1594496224793236</v>
      </c>
      <c r="Q65" s="188">
        <f t="shared" si="139"/>
        <v>30</v>
      </c>
      <c r="R65" s="188">
        <f t="shared" si="140"/>
        <v>8.1014295968981322</v>
      </c>
      <c r="S65" s="149">
        <f t="shared" si="141"/>
        <v>180.07531407426049</v>
      </c>
      <c r="T65" s="149">
        <f t="shared" si="142"/>
        <v>30</v>
      </c>
      <c r="U65" s="188">
        <f t="shared" si="143"/>
        <v>9.1165139713089332</v>
      </c>
      <c r="V65" s="188">
        <f t="shared" si="11"/>
        <v>1.2647484515422602</v>
      </c>
      <c r="W65" s="188">
        <f t="shared" si="144"/>
        <v>1.4064310515998</v>
      </c>
      <c r="X65" s="172">
        <f t="shared" si="145"/>
        <v>350</v>
      </c>
      <c r="Y65" s="379">
        <f t="shared" si="14"/>
        <v>348.28891711774043</v>
      </c>
      <c r="AA65" s="188">
        <f t="shared" si="146"/>
        <v>9.7511914659907912</v>
      </c>
      <c r="AB65" s="150">
        <f t="shared" si="147"/>
        <v>1.5043445895027063</v>
      </c>
      <c r="AC65" s="150">
        <f t="shared" si="148"/>
        <v>2.5671016215369367</v>
      </c>
      <c r="AD65" s="150"/>
      <c r="AE65" s="150">
        <f t="shared" si="149"/>
        <v>0.93498727495795941</v>
      </c>
      <c r="AF65" s="314">
        <f t="shared" si="150"/>
        <v>847.07035187790268</v>
      </c>
      <c r="AG65" s="456">
        <f t="shared" si="151"/>
        <v>0.99165317040995682</v>
      </c>
      <c r="AI65" s="150">
        <f t="shared" si="152"/>
        <v>9.4284819566076816</v>
      </c>
      <c r="AJ65" s="150">
        <f t="shared" si="153"/>
        <v>9.4284819566076816</v>
      </c>
      <c r="AK65" s="150">
        <f t="shared" si="154"/>
        <v>3.6947228859271268</v>
      </c>
      <c r="AM65" s="314">
        <f t="shared" si="155"/>
        <v>2400</v>
      </c>
      <c r="AN65" s="144">
        <f t="shared" si="156"/>
        <v>348.28891711774043</v>
      </c>
      <c r="AP65">
        <f t="shared" si="157"/>
        <v>2400</v>
      </c>
      <c r="AQ65">
        <f t="shared" si="158"/>
        <v>348.28891711774043</v>
      </c>
      <c r="AS65" s="5">
        <f t="shared" si="101"/>
        <v>2.8711795031420597</v>
      </c>
      <c r="AT65" s="5">
        <f t="shared" si="159"/>
        <v>1.3080282652494617</v>
      </c>
      <c r="AU65" s="5">
        <f t="shared" si="102"/>
        <v>1.563151237892598</v>
      </c>
      <c r="AV65" s="5">
        <f t="shared" si="160"/>
        <v>1.4545592575138193</v>
      </c>
      <c r="AW65" s="150">
        <f t="shared" si="103"/>
        <v>0.45557174806313155</v>
      </c>
      <c r="AX65" s="150">
        <f t="shared" si="161"/>
        <v>72.759727835081236</v>
      </c>
      <c r="AY65" s="150">
        <f t="shared" si="162"/>
        <v>2.5665659750271121</v>
      </c>
      <c r="AZ65" s="150">
        <f t="shared" si="104"/>
        <v>28.349058057746841</v>
      </c>
      <c r="BA65" s="144">
        <f t="shared" si="163"/>
        <v>10.464226121995694</v>
      </c>
      <c r="BB65" s="5">
        <f t="shared" si="164"/>
        <v>1.95416877916805</v>
      </c>
      <c r="BC65" s="5"/>
      <c r="BD65" s="150">
        <f t="shared" si="105"/>
        <v>3.6741724707342356</v>
      </c>
      <c r="BE65" s="150">
        <f t="shared" si="165"/>
        <v>4.0165342428505308</v>
      </c>
      <c r="BF65" s="150"/>
      <c r="BG65" s="456">
        <f t="shared" si="166"/>
        <v>0.1619945201364158</v>
      </c>
      <c r="BH65" s="456">
        <f t="shared" si="167"/>
        <v>3.8634171901242529</v>
      </c>
      <c r="BI65" s="456">
        <f t="shared" si="168"/>
        <v>4.0053225468540149E-2</v>
      </c>
      <c r="BJ65" s="456">
        <f t="shared" si="169"/>
        <v>0.7490393416342177</v>
      </c>
      <c r="BK65">
        <f t="shared" si="170"/>
        <v>1.52452663814739E-2</v>
      </c>
      <c r="BL65" s="144">
        <f t="shared" si="106"/>
        <v>55.298491850014052</v>
      </c>
      <c r="BM65" s="456">
        <f t="shared" si="171"/>
        <v>5.0110649510925356</v>
      </c>
      <c r="BN65" s="144">
        <f t="shared" si="107"/>
        <v>5011.0649510925359</v>
      </c>
      <c r="BO65" s="456">
        <f t="shared" si="172"/>
        <v>1.60944</v>
      </c>
      <c r="BP65" s="456"/>
      <c r="BR65" s="144">
        <f t="shared" si="109"/>
        <v>1609.44</v>
      </c>
      <c r="BS65" s="456">
        <f t="shared" si="173"/>
        <v>0.18899360682581845</v>
      </c>
      <c r="BT65" s="456">
        <f t="shared" si="174"/>
        <v>0.22585566253587244</v>
      </c>
      <c r="BU65" s="456">
        <f t="shared" si="175"/>
        <v>30.89751683985509</v>
      </c>
      <c r="BV65" s="456">
        <f t="shared" si="176"/>
        <v>32.490213231503155</v>
      </c>
      <c r="BW65" s="456">
        <f t="shared" si="177"/>
        <v>3.0961586312800531</v>
      </c>
      <c r="BX65" s="144">
        <f t="shared" si="110"/>
        <v>35586.371862783213</v>
      </c>
      <c r="BY65" s="150">
        <f t="shared" si="45"/>
        <v>42.262175305725762</v>
      </c>
      <c r="BZ65" s="5">
        <f t="shared" si="111"/>
        <v>72</v>
      </c>
      <c r="CA65" s="150">
        <f t="shared" si="112"/>
        <v>0.63012978535856767</v>
      </c>
      <c r="CB65" s="5">
        <f t="shared" si="113"/>
        <v>63.012978535856767</v>
      </c>
      <c r="CE65" s="59">
        <f t="shared" si="178"/>
        <v>-50</v>
      </c>
      <c r="CF65">
        <f t="shared" si="179"/>
        <v>-50</v>
      </c>
      <c r="CG65" s="150">
        <f t="shared" si="180"/>
        <v>0.51303021353522638</v>
      </c>
      <c r="CI65" s="147">
        <v>60</v>
      </c>
      <c r="CJ65" s="188">
        <f t="shared" si="114"/>
        <v>2.4</v>
      </c>
      <c r="CK65" s="188"/>
      <c r="CL65" s="188">
        <f t="shared" si="49"/>
        <v>72</v>
      </c>
      <c r="CM65" s="465">
        <f t="shared" si="50"/>
        <v>34</v>
      </c>
      <c r="CN65" s="149">
        <f t="shared" si="51"/>
        <v>30.4</v>
      </c>
      <c r="CO65" s="379">
        <f t="shared" si="52"/>
        <v>64.400000000000006</v>
      </c>
      <c r="CP65" s="379"/>
      <c r="CQ65" s="188">
        <f t="shared" si="53"/>
        <v>0.47204968944099374</v>
      </c>
      <c r="CR65" s="149">
        <f t="shared" si="54"/>
        <v>244.918674788055</v>
      </c>
      <c r="CS65" s="149">
        <f t="shared" si="115"/>
        <v>72</v>
      </c>
      <c r="CT65" s="188">
        <f t="shared" si="55"/>
        <v>8.1639558262685004</v>
      </c>
      <c r="CU65" s="188">
        <f t="shared" si="56"/>
        <v>30</v>
      </c>
      <c r="CV65" s="188">
        <f t="shared" si="57"/>
        <v>8.1059037580776696</v>
      </c>
      <c r="CW65" s="149">
        <f t="shared" si="58"/>
        <v>180.72155234212613</v>
      </c>
      <c r="CX65" s="149">
        <f t="shared" si="59"/>
        <v>30</v>
      </c>
      <c r="CY65" s="188">
        <f t="shared" si="60"/>
        <v>8.9721362229102173</v>
      </c>
      <c r="CZ65" s="188">
        <f t="shared" si="61"/>
        <v>1.2402658896375889</v>
      </c>
      <c r="DA65" s="188">
        <f t="shared" si="62"/>
        <v>1.3871394818315139</v>
      </c>
      <c r="DB65" s="172">
        <f t="shared" si="63"/>
        <v>350</v>
      </c>
      <c r="DC65" s="379">
        <f t="shared" si="116"/>
        <v>350</v>
      </c>
      <c r="DE65" s="188">
        <f t="shared" si="64"/>
        <v>9.7566501161056465</v>
      </c>
      <c r="DF65" s="150">
        <f t="shared" si="65"/>
        <v>1.5084294587400178</v>
      </c>
      <c r="DG65" s="150">
        <f t="shared" si="66"/>
        <v>2.5755132294067704</v>
      </c>
      <c r="DH65" s="150"/>
      <c r="DI65" s="150">
        <f t="shared" si="67"/>
        <v>0.93700159489633172</v>
      </c>
      <c r="DJ65" s="314">
        <f t="shared" si="117"/>
        <v>845.24936170212766</v>
      </c>
      <c r="DK65" s="456">
        <f t="shared" si="68"/>
        <v>0.99378957034459414</v>
      </c>
      <c r="DM65" s="150">
        <f t="shared" si="69"/>
        <v>9.418342060747861</v>
      </c>
      <c r="DN65" s="150">
        <f t="shared" si="70"/>
        <v>9.418342060747861</v>
      </c>
      <c r="DO65" s="150">
        <f t="shared" si="71"/>
        <v>3.6872118519568895</v>
      </c>
      <c r="DQ65" s="314">
        <f t="shared" si="72"/>
        <v>2400</v>
      </c>
      <c r="DR65" s="144">
        <f t="shared" si="73"/>
        <v>350</v>
      </c>
      <c r="DT65">
        <f t="shared" si="74"/>
        <v>2400</v>
      </c>
      <c r="DU65">
        <f t="shared" si="75"/>
        <v>350</v>
      </c>
      <c r="DW65" s="5">
        <f t="shared" si="118"/>
        <v>2.8571428571428572</v>
      </c>
      <c r="DX65" s="5">
        <f t="shared" si="76"/>
        <v>1.3019472848680866</v>
      </c>
      <c r="DY65" s="5">
        <f t="shared" si="119"/>
        <v>1.5551955722747706</v>
      </c>
      <c r="DZ65" s="5">
        <f t="shared" si="77"/>
        <v>1.4561252528129915</v>
      </c>
      <c r="EA65" s="150">
        <f t="shared" si="120"/>
        <v>0.45568154970383029</v>
      </c>
      <c r="EB65" s="150">
        <f t="shared" si="78"/>
        <v>72.95999999999998</v>
      </c>
      <c r="EC65" s="150">
        <f t="shared" si="79"/>
        <v>2.5632886774327548</v>
      </c>
      <c r="ED65" s="150">
        <f t="shared" si="121"/>
        <v>28.463434743944873</v>
      </c>
      <c r="EE65" s="144">
        <f t="shared" si="80"/>
        <v>10.415578278944693</v>
      </c>
      <c r="EF65" s="5">
        <f t="shared" si="81"/>
        <v>1.9372678408959079</v>
      </c>
      <c r="EG65" s="5"/>
      <c r="EH65" s="150">
        <f t="shared" si="122"/>
        <v>3.6706633389731675</v>
      </c>
      <c r="EI65" s="150">
        <f t="shared" si="82"/>
        <v>4.0118100291101912</v>
      </c>
      <c r="EJ65" s="150"/>
      <c r="EK65" s="456">
        <f t="shared" si="83"/>
        <v>0.16168523217697972</v>
      </c>
      <c r="EL65" s="456">
        <f t="shared" si="84"/>
        <v>4.0334991709358796</v>
      </c>
      <c r="EM65" s="456">
        <f t="shared" si="85"/>
        <v>4.0250000000000001E-2</v>
      </c>
      <c r="EN65" s="456">
        <f t="shared" si="86"/>
        <v>0.75119058000000016</v>
      </c>
      <c r="EO65">
        <f t="shared" si="87"/>
        <v>1.5299999999999999E-2</v>
      </c>
      <c r="EP65" s="144">
        <f t="shared" si="123"/>
        <v>55.550000000000004</v>
      </c>
      <c r="EQ65" s="456">
        <f t="shared" si="88"/>
        <v>5.2471569340268136</v>
      </c>
      <c r="ER65" s="144">
        <f t="shared" si="124"/>
        <v>5247.1569340268134</v>
      </c>
      <c r="ES65" s="456">
        <f t="shared" si="125"/>
        <v>1.60944</v>
      </c>
      <c r="ET65" s="456"/>
      <c r="EV65" s="144">
        <f t="shared" si="126"/>
        <v>1609.44</v>
      </c>
      <c r="EW65" s="456">
        <f t="shared" si="89"/>
        <v>0.18863277087314301</v>
      </c>
      <c r="EX65" s="456">
        <f t="shared" si="90"/>
        <v>0.22532467593536762</v>
      </c>
      <c r="EY65" s="456">
        <f t="shared" si="91"/>
        <v>31.194373197784316</v>
      </c>
      <c r="EZ65" s="456">
        <f t="shared" si="92"/>
        <v>32.793696005412052</v>
      </c>
      <c r="FA65" s="456">
        <f t="shared" si="93"/>
        <v>3.1046808510638293</v>
      </c>
      <c r="FB65" s="144">
        <f t="shared" si="127"/>
        <v>35898.376856475879</v>
      </c>
      <c r="FC65" s="150">
        <f t="shared" si="128"/>
        <v>42.754973790502689</v>
      </c>
      <c r="FD65" s="5">
        <f t="shared" si="129"/>
        <v>72</v>
      </c>
      <c r="FE65" s="150">
        <f t="shared" si="130"/>
        <v>0.62742378497200124</v>
      </c>
      <c r="FF65" s="5">
        <f t="shared" si="131"/>
        <v>62.742378497200122</v>
      </c>
      <c r="FI65" s="59">
        <f t="shared" si="94"/>
        <v>-50</v>
      </c>
      <c r="FJ65">
        <f t="shared" si="95"/>
        <v>-50</v>
      </c>
      <c r="FL65">
        <f t="shared" si="181"/>
        <v>0.5096438384845472</v>
      </c>
    </row>
    <row r="66" spans="5:168">
      <c r="E66" s="147">
        <v>61</v>
      </c>
      <c r="F66" s="188">
        <f t="shared" si="182"/>
        <v>2.44</v>
      </c>
      <c r="G66" s="188"/>
      <c r="H66" s="188">
        <f t="shared" si="132"/>
        <v>73.2</v>
      </c>
      <c r="I66" s="465">
        <f t="shared" si="133"/>
        <v>33.877360339521879</v>
      </c>
      <c r="J66" s="149">
        <f t="shared" si="134"/>
        <v>30.466036740257447</v>
      </c>
      <c r="K66" s="149">
        <f t="shared" si="135"/>
        <v>64.466036740257451</v>
      </c>
      <c r="L66" s="379"/>
      <c r="M66" s="188">
        <f t="shared" si="136"/>
        <v>0.47349485956072057</v>
      </c>
      <c r="N66" s="149">
        <f t="shared" si="137"/>
        <v>244.7823498856699</v>
      </c>
      <c r="O66" s="149">
        <f t="shared" si="98"/>
        <v>73.2</v>
      </c>
      <c r="P66" s="188">
        <f t="shared" si="138"/>
        <v>8.1594116628556641</v>
      </c>
      <c r="Q66" s="188">
        <f t="shared" si="139"/>
        <v>30</v>
      </c>
      <c r="R66" s="188">
        <f t="shared" si="140"/>
        <v>8.1013919071968878</v>
      </c>
      <c r="S66" s="149">
        <f t="shared" si="141"/>
        <v>176.56533599017752</v>
      </c>
      <c r="T66" s="149">
        <f t="shared" si="142"/>
        <v>30</v>
      </c>
      <c r="U66" s="188">
        <f t="shared" si="143"/>
        <v>9.2686654415728302</v>
      </c>
      <c r="V66" s="188">
        <f t="shared" si="11"/>
        <v>1.2858949793845456</v>
      </c>
      <c r="W66" s="188">
        <f t="shared" si="144"/>
        <v>1.429878390379181</v>
      </c>
      <c r="X66" s="172">
        <f t="shared" si="145"/>
        <v>350</v>
      </c>
      <c r="Y66" s="379">
        <f t="shared" si="14"/>
        <v>342.96218299059115</v>
      </c>
      <c r="AA66" s="188">
        <f t="shared" si="146"/>
        <v>9.7511454955980348</v>
      </c>
      <c r="AB66" s="150">
        <f t="shared" si="147"/>
        <v>1.5043106597699023</v>
      </c>
      <c r="AC66" s="150">
        <f t="shared" si="148"/>
        <v>2.5670316199491934</v>
      </c>
      <c r="AD66" s="150"/>
      <c r="AE66" s="150">
        <f t="shared" si="149"/>
        <v>0.93497059455747822</v>
      </c>
      <c r="AF66" s="314">
        <f t="shared" si="150"/>
        <v>861.20355515683502</v>
      </c>
      <c r="AG66" s="456">
        <f t="shared" si="151"/>
        <v>0.99163547907611327</v>
      </c>
      <c r="AI66" s="150">
        <f t="shared" si="152"/>
        <v>9.5068127640963027</v>
      </c>
      <c r="AJ66" s="150">
        <f t="shared" si="153"/>
        <v>9.5068127640963027</v>
      </c>
      <c r="AK66" s="150">
        <f t="shared" si="154"/>
        <v>3.7527457062890681</v>
      </c>
      <c r="AM66" s="314">
        <f t="shared" si="155"/>
        <v>2440</v>
      </c>
      <c r="AN66" s="144">
        <f t="shared" si="156"/>
        <v>342.96218299059115</v>
      </c>
      <c r="AP66">
        <f t="shared" si="157"/>
        <v>2440</v>
      </c>
      <c r="AQ66">
        <f t="shared" si="158"/>
        <v>342.96218299059115</v>
      </c>
      <c r="AS66" s="5">
        <f t="shared" si="101"/>
        <v>2.9157733697637274</v>
      </c>
      <c r="AT66" s="5">
        <f t="shared" si="159"/>
        <v>1.3189345197927318</v>
      </c>
      <c r="AU66" s="5">
        <f t="shared" si="102"/>
        <v>1.5968388499709956</v>
      </c>
      <c r="AV66" s="5">
        <f t="shared" si="160"/>
        <v>1.4666174130949676</v>
      </c>
      <c r="AW66" s="150">
        <f t="shared" si="103"/>
        <v>0.45234466212976232</v>
      </c>
      <c r="AX66" s="150">
        <f t="shared" si="161"/>
        <v>72.842355030642864</v>
      </c>
      <c r="AY66" s="150">
        <f t="shared" si="162"/>
        <v>2.6032283781951242</v>
      </c>
      <c r="AZ66" s="150">
        <f t="shared" si="104"/>
        <v>27.981546160443319</v>
      </c>
      <c r="BA66" s="144">
        <f t="shared" si="163"/>
        <v>10.727334094314219</v>
      </c>
      <c r="BB66" s="5">
        <f t="shared" si="164"/>
        <v>2.0296151045037512</v>
      </c>
      <c r="BC66" s="5"/>
      <c r="BD66" s="150">
        <f t="shared" si="105"/>
        <v>3.6915524911261088</v>
      </c>
      <c r="BE66" s="150">
        <f t="shared" si="165"/>
        <v>4.0618882943513785</v>
      </c>
      <c r="BF66" s="150"/>
      <c r="BG66" s="456">
        <f t="shared" si="166"/>
        <v>0.16353071753687257</v>
      </c>
      <c r="BH66" s="456">
        <f t="shared" si="167"/>
        <v>3.835968353374883</v>
      </c>
      <c r="BI66" s="456">
        <f t="shared" si="168"/>
        <v>3.9440651043917981E-2</v>
      </c>
      <c r="BJ66" s="456">
        <f t="shared" si="169"/>
        <v>0.7375959640511498</v>
      </c>
      <c r="BK66">
        <f t="shared" si="170"/>
        <v>1.5244812152784845E-2</v>
      </c>
      <c r="BL66" s="144">
        <f t="shared" si="106"/>
        <v>54.685463196702827</v>
      </c>
      <c r="BM66" s="456">
        <f t="shared" si="171"/>
        <v>4.9745333156983307</v>
      </c>
      <c r="BN66" s="144">
        <f t="shared" si="107"/>
        <v>4974.5333156983306</v>
      </c>
      <c r="BO66" s="456">
        <f t="shared" si="172"/>
        <v>1.6362639999999999</v>
      </c>
      <c r="BP66" s="456"/>
      <c r="BR66" s="144">
        <f t="shared" si="109"/>
        <v>1636.2639999999999</v>
      </c>
      <c r="BS66" s="456">
        <f t="shared" si="173"/>
        <v>0.19078583712635133</v>
      </c>
      <c r="BT66" s="456">
        <f t="shared" si="174"/>
        <v>0.23098511122104254</v>
      </c>
      <c r="BU66" s="456">
        <f t="shared" si="175"/>
        <v>30.350995682872444</v>
      </c>
      <c r="BV66" s="456">
        <f t="shared" si="176"/>
        <v>31.952109376704186</v>
      </c>
      <c r="BW66" s="456">
        <f t="shared" si="177"/>
        <v>3.0996746821550154</v>
      </c>
      <c r="BX66" s="144">
        <f t="shared" si="110"/>
        <v>35051.784058859201</v>
      </c>
      <c r="BY66" s="150">
        <f t="shared" si="45"/>
        <v>41.717266837754238</v>
      </c>
      <c r="BZ66" s="5">
        <f t="shared" si="111"/>
        <v>73.2</v>
      </c>
      <c r="CA66" s="150">
        <f t="shared" si="112"/>
        <v>0.63697999451507414</v>
      </c>
      <c r="CB66" s="5">
        <f t="shared" si="113"/>
        <v>63.697999451507414</v>
      </c>
      <c r="CE66" s="59">
        <f t="shared" si="178"/>
        <v>-50</v>
      </c>
      <c r="CF66">
        <f t="shared" si="179"/>
        <v>-50</v>
      </c>
      <c r="CG66" s="150">
        <f t="shared" si="180"/>
        <v>0.51728779868335062</v>
      </c>
      <c r="CI66" s="147">
        <v>61</v>
      </c>
      <c r="CJ66" s="188">
        <f t="shared" si="114"/>
        <v>2.44</v>
      </c>
      <c r="CK66" s="188"/>
      <c r="CL66" s="188">
        <f t="shared" si="49"/>
        <v>73.2</v>
      </c>
      <c r="CM66" s="465">
        <f t="shared" si="50"/>
        <v>34</v>
      </c>
      <c r="CN66" s="149">
        <f t="shared" si="51"/>
        <v>30.4</v>
      </c>
      <c r="CO66" s="379">
        <f t="shared" si="52"/>
        <v>64.400000000000006</v>
      </c>
      <c r="CP66" s="379"/>
      <c r="CQ66" s="188">
        <f t="shared" si="53"/>
        <v>0.47204968944099374</v>
      </c>
      <c r="CR66" s="149">
        <f t="shared" si="54"/>
        <v>244.918674788055</v>
      </c>
      <c r="CS66" s="149">
        <f t="shared" si="115"/>
        <v>73.2</v>
      </c>
      <c r="CT66" s="188">
        <f t="shared" si="55"/>
        <v>8.1639558262685004</v>
      </c>
      <c r="CU66" s="188">
        <f t="shared" si="56"/>
        <v>30</v>
      </c>
      <c r="CV66" s="188">
        <f t="shared" si="57"/>
        <v>8.1059037580776696</v>
      </c>
      <c r="CW66" s="149">
        <f t="shared" si="58"/>
        <v>177.20424489039578</v>
      </c>
      <c r="CX66" s="149">
        <f t="shared" si="59"/>
        <v>30</v>
      </c>
      <c r="CY66" s="188">
        <f t="shared" si="60"/>
        <v>9.1216718266253878</v>
      </c>
      <c r="CZ66" s="188">
        <f t="shared" si="61"/>
        <v>1.2609369877982153</v>
      </c>
      <c r="DA66" s="188">
        <f t="shared" si="62"/>
        <v>1.4102584731953725</v>
      </c>
      <c r="DB66" s="172">
        <f t="shared" si="63"/>
        <v>350</v>
      </c>
      <c r="DC66" s="379">
        <f t="shared" si="116"/>
        <v>350</v>
      </c>
      <c r="DE66" s="188">
        <f t="shared" si="64"/>
        <v>9.7566501161056465</v>
      </c>
      <c r="DF66" s="150">
        <f t="shared" si="65"/>
        <v>1.5084294587400178</v>
      </c>
      <c r="DG66" s="150">
        <f t="shared" si="66"/>
        <v>2.5755132294067704</v>
      </c>
      <c r="DH66" s="150"/>
      <c r="DI66" s="150">
        <f t="shared" si="67"/>
        <v>0.93700159489633172</v>
      </c>
      <c r="DJ66" s="314">
        <f t="shared" si="117"/>
        <v>859.33685106382973</v>
      </c>
      <c r="DK66" s="456">
        <f t="shared" si="68"/>
        <v>0.99378957034459414</v>
      </c>
      <c r="DM66" s="150">
        <f t="shared" si="69"/>
        <v>9.4965039159755946</v>
      </c>
      <c r="DN66" s="150">
        <f t="shared" si="70"/>
        <v>9.4965039159755946</v>
      </c>
      <c r="DO66" s="150">
        <f t="shared" si="71"/>
        <v>3.7451095224959507</v>
      </c>
      <c r="DQ66" s="314">
        <f t="shared" si="72"/>
        <v>2440</v>
      </c>
      <c r="DR66" s="144">
        <f t="shared" si="73"/>
        <v>350</v>
      </c>
      <c r="DT66">
        <f t="shared" si="74"/>
        <v>2440</v>
      </c>
      <c r="DU66">
        <f t="shared" si="75"/>
        <v>350</v>
      </c>
      <c r="DW66" s="5">
        <f t="shared" si="118"/>
        <v>2.8571428571428572</v>
      </c>
      <c r="DX66" s="5">
        <f t="shared" si="76"/>
        <v>1.3127520119142733</v>
      </c>
      <c r="DY66" s="5">
        <f t="shared" si="119"/>
        <v>1.5443908452285839</v>
      </c>
      <c r="DZ66" s="5">
        <f t="shared" si="77"/>
        <v>1.4682094870093847</v>
      </c>
      <c r="EA66" s="150">
        <f t="shared" si="120"/>
        <v>0.45946320416999564</v>
      </c>
      <c r="EB66" s="150">
        <f t="shared" si="78"/>
        <v>74.175999999999988</v>
      </c>
      <c r="EC66" s="150">
        <f t="shared" si="79"/>
        <v>2.5666048991642683</v>
      </c>
      <c r="ED66" s="150">
        <f t="shared" si="121"/>
        <v>28.900435756260343</v>
      </c>
      <c r="EE66" s="144">
        <f t="shared" si="80"/>
        <v>10.677049696902756</v>
      </c>
      <c r="EF66" s="5">
        <f t="shared" si="81"/>
        <v>1.9558721430922548</v>
      </c>
      <c r="EG66" s="5"/>
      <c r="EH66" s="150">
        <f t="shared" si="122"/>
        <v>3.716451698183298</v>
      </c>
      <c r="EI66" s="150">
        <f t="shared" si="82"/>
        <v>4.0310274517940314</v>
      </c>
      <c r="EJ66" s="150"/>
      <c r="EK66" s="456">
        <f t="shared" si="83"/>
        <v>0.16574415869915424</v>
      </c>
      <c r="EL66" s="456">
        <f t="shared" si="84"/>
        <v>4.0669727670557085</v>
      </c>
      <c r="EM66" s="456">
        <f t="shared" si="85"/>
        <v>4.0250000000000001E-2</v>
      </c>
      <c r="EN66" s="456">
        <f t="shared" si="86"/>
        <v>0.75119058000000016</v>
      </c>
      <c r="EO66">
        <f t="shared" si="87"/>
        <v>1.5299999999999999E-2</v>
      </c>
      <c r="EP66" s="144">
        <f t="shared" si="123"/>
        <v>55.550000000000004</v>
      </c>
      <c r="EQ66" s="456">
        <f t="shared" si="88"/>
        <v>5.2926367624977297</v>
      </c>
      <c r="ER66" s="144">
        <f t="shared" si="124"/>
        <v>5292.6367624977302</v>
      </c>
      <c r="ES66" s="456">
        <f t="shared" si="125"/>
        <v>1.6362639999999999</v>
      </c>
      <c r="ET66" s="456"/>
      <c r="EV66" s="144">
        <f t="shared" si="126"/>
        <v>1636.2639999999999</v>
      </c>
      <c r="EW66" s="456">
        <f t="shared" si="89"/>
        <v>0.19336818514901327</v>
      </c>
      <c r="EX66" s="456">
        <f t="shared" si="90"/>
        <v>0.22748855243963914</v>
      </c>
      <c r="EY66" s="456">
        <f t="shared" si="91"/>
        <v>31.845604294604055</v>
      </c>
      <c r="EZ66" s="456">
        <f t="shared" si="92"/>
        <v>33.495201135184331</v>
      </c>
      <c r="FA66" s="456">
        <f t="shared" si="93"/>
        <v>3.1564255319148931</v>
      </c>
      <c r="FB66" s="144">
        <f t="shared" si="127"/>
        <v>36651.626667099219</v>
      </c>
      <c r="FC66" s="150">
        <f t="shared" si="128"/>
        <v>43.580527429596955</v>
      </c>
      <c r="FD66" s="5">
        <f t="shared" si="129"/>
        <v>73.2</v>
      </c>
      <c r="FE66" s="150">
        <f t="shared" si="130"/>
        <v>0.62681682992166499</v>
      </c>
      <c r="FF66" s="5">
        <f t="shared" si="131"/>
        <v>62.6816829921665</v>
      </c>
      <c r="FI66" s="59">
        <f t="shared" si="94"/>
        <v>-50</v>
      </c>
      <c r="FJ66">
        <f t="shared" si="95"/>
        <v>-50</v>
      </c>
      <c r="FL66">
        <f t="shared" si="181"/>
        <v>0.51387332045328471</v>
      </c>
    </row>
    <row r="67" spans="5:168">
      <c r="E67" s="147">
        <v>62</v>
      </c>
      <c r="F67" s="188">
        <f t="shared" si="182"/>
        <v>2.48</v>
      </c>
      <c r="G67" s="188"/>
      <c r="H67" s="188">
        <f t="shared" si="132"/>
        <v>74.400000000000006</v>
      </c>
      <c r="I67" s="465">
        <f t="shared" si="133"/>
        <v>33.875829507600805</v>
      </c>
      <c r="J67" s="149">
        <f t="shared" si="134"/>
        <v>30.466861034368794</v>
      </c>
      <c r="K67" s="149">
        <f t="shared" si="135"/>
        <v>64.46686103436879</v>
      </c>
      <c r="L67" s="379"/>
      <c r="M67" s="188">
        <f t="shared" si="136"/>
        <v>0.4735105653884123</v>
      </c>
      <c r="N67" s="149">
        <f t="shared" si="137"/>
        <v>244.77940785792592</v>
      </c>
      <c r="O67" s="149">
        <f t="shared" si="98"/>
        <v>74.400000000000006</v>
      </c>
      <c r="P67" s="188">
        <f t="shared" si="138"/>
        <v>8.159313595264198</v>
      </c>
      <c r="Q67" s="188">
        <f t="shared" si="139"/>
        <v>30</v>
      </c>
      <c r="R67" s="188">
        <f t="shared" si="140"/>
        <v>8.1012945369421807</v>
      </c>
      <c r="S67" s="149">
        <f t="shared" si="141"/>
        <v>173.16600844947862</v>
      </c>
      <c r="T67" s="149">
        <f t="shared" si="142"/>
        <v>30</v>
      </c>
      <c r="U67" s="188">
        <f t="shared" si="143"/>
        <v>9.420891805092328</v>
      </c>
      <c r="V67" s="188">
        <f t="shared" si="11"/>
        <v>1.3070732769510227</v>
      </c>
      <c r="W67" s="188">
        <f t="shared" si="144"/>
        <v>1.4533230526763155</v>
      </c>
      <c r="X67" s="172">
        <f t="shared" si="145"/>
        <v>350</v>
      </c>
      <c r="Y67" s="379">
        <f t="shared" si="14"/>
        <v>337.79260904768194</v>
      </c>
      <c r="AA67" s="188">
        <f t="shared" si="146"/>
        <v>9.7510757567443491</v>
      </c>
      <c r="AB67" s="150">
        <f t="shared" si="147"/>
        <v>1.5042592016617291</v>
      </c>
      <c r="AC67" s="150">
        <f t="shared" si="148"/>
        <v>2.5669254508070769</v>
      </c>
      <c r="AD67" s="150"/>
      <c r="AE67" s="150">
        <f t="shared" si="149"/>
        <v>0.93494529852338715</v>
      </c>
      <c r="AF67" s="314">
        <f t="shared" si="150"/>
        <v>875.34532907170728</v>
      </c>
      <c r="AG67" s="456">
        <f t="shared" si="151"/>
        <v>0.99160864994904696</v>
      </c>
      <c r="AI67" s="150">
        <f t="shared" si="152"/>
        <v>9.584550344553266</v>
      </c>
      <c r="AJ67" s="150">
        <f t="shared" si="153"/>
        <v>9.584550344553266</v>
      </c>
      <c r="AK67" s="150">
        <f t="shared" si="154"/>
        <v>3.8103290992201524</v>
      </c>
      <c r="AM67" s="314">
        <f t="shared" si="155"/>
        <v>2480</v>
      </c>
      <c r="AN67" s="144">
        <f t="shared" si="156"/>
        <v>337.79260904768194</v>
      </c>
      <c r="AP67">
        <f t="shared" si="157"/>
        <v>2480</v>
      </c>
      <c r="AQ67">
        <f t="shared" si="158"/>
        <v>337.79260904768194</v>
      </c>
      <c r="AS67" s="5">
        <f t="shared" si="101"/>
        <v>2.9603963296273381</v>
      </c>
      <c r="AT67" s="5">
        <f t="shared" si="159"/>
        <v>1.3297795884021957</v>
      </c>
      <c r="AU67" s="5">
        <f t="shared" si="102"/>
        <v>1.6306167412251424</v>
      </c>
      <c r="AV67" s="5">
        <f t="shared" si="160"/>
        <v>1.4785699967116297</v>
      </c>
      <c r="AW67" s="150">
        <f t="shared" si="103"/>
        <v>0.44918971662473028</v>
      </c>
      <c r="AX67" s="150">
        <f t="shared" si="161"/>
        <v>72.922490246187522</v>
      </c>
      <c r="AY67" s="150">
        <f t="shared" si="162"/>
        <v>2.6396344456539618</v>
      </c>
      <c r="AZ67" s="150">
        <f t="shared" si="104"/>
        <v>27.625980698293695</v>
      </c>
      <c r="BA67" s="144">
        <f t="shared" si="163"/>
        <v>10.99284459745815</v>
      </c>
      <c r="BB67" s="5">
        <f t="shared" si="164"/>
        <v>2.1066188820718668</v>
      </c>
      <c r="BC67" s="5"/>
      <c r="BD67" s="150">
        <f t="shared" si="105"/>
        <v>3.7087368395947351</v>
      </c>
      <c r="BE67" s="150">
        <f t="shared" si="165"/>
        <v>4.1068811552959383</v>
      </c>
      <c r="BF67" s="150"/>
      <c r="BG67" s="456">
        <f t="shared" si="166"/>
        <v>0.16505674734440573</v>
      </c>
      <c r="BH67" s="456">
        <f t="shared" si="167"/>
        <v>3.8090903938900613</v>
      </c>
      <c r="BI67" s="456">
        <f t="shared" si="168"/>
        <v>3.8846150040483432E-2</v>
      </c>
      <c r="BJ67" s="456">
        <f t="shared" si="169"/>
        <v>0.72649653267421677</v>
      </c>
      <c r="BK67">
        <f t="shared" si="170"/>
        <v>1.5244123278420361E-2</v>
      </c>
      <c r="BL67" s="144">
        <f t="shared" si="106"/>
        <v>54.09027331890379</v>
      </c>
      <c r="BM67" s="456">
        <f t="shared" si="171"/>
        <v>4.93890023243054</v>
      </c>
      <c r="BN67" s="144">
        <f t="shared" si="107"/>
        <v>4938.9002324305402</v>
      </c>
      <c r="BO67" s="456">
        <f t="shared" si="172"/>
        <v>1.6630879999999999</v>
      </c>
      <c r="BP67" s="456"/>
      <c r="BR67" s="144">
        <f t="shared" si="109"/>
        <v>1663.088</v>
      </c>
      <c r="BS67" s="456">
        <f t="shared" si="173"/>
        <v>0.19256620523514004</v>
      </c>
      <c r="BT67" s="456">
        <f t="shared" si="174"/>
        <v>0.23613061953214862</v>
      </c>
      <c r="BU67" s="456">
        <f t="shared" si="175"/>
        <v>29.821172777350544</v>
      </c>
      <c r="BV67" s="456">
        <f t="shared" si="176"/>
        <v>31.430696006312548</v>
      </c>
      <c r="BW67" s="456">
        <f t="shared" si="177"/>
        <v>3.1030846913271288</v>
      </c>
      <c r="BX67" s="144">
        <f t="shared" si="110"/>
        <v>34533.780697639675</v>
      </c>
      <c r="BY67" s="150">
        <f t="shared" si="45"/>
        <v>41.189859203389119</v>
      </c>
      <c r="BZ67" s="5">
        <f t="shared" si="111"/>
        <v>74.400000000000006</v>
      </c>
      <c r="CA67" s="150">
        <f t="shared" si="112"/>
        <v>0.64365507937065281</v>
      </c>
      <c r="CB67" s="5">
        <f t="shared" si="113"/>
        <v>64.365507937065274</v>
      </c>
      <c r="CE67" s="59">
        <f t="shared" si="178"/>
        <v>-50</v>
      </c>
      <c r="CF67">
        <f t="shared" si="179"/>
        <v>-50</v>
      </c>
      <c r="CG67" s="150">
        <f t="shared" si="180"/>
        <v>0.51928601356194581</v>
      </c>
      <c r="CI67" s="147">
        <v>62</v>
      </c>
      <c r="CJ67" s="188">
        <f t="shared" si="114"/>
        <v>2.48</v>
      </c>
      <c r="CK67" s="188"/>
      <c r="CL67" s="188">
        <f t="shared" si="49"/>
        <v>74.400000000000006</v>
      </c>
      <c r="CM67" s="465">
        <f t="shared" si="50"/>
        <v>34</v>
      </c>
      <c r="CN67" s="149">
        <f t="shared" si="51"/>
        <v>30.4</v>
      </c>
      <c r="CO67" s="379">
        <f t="shared" si="52"/>
        <v>64.400000000000006</v>
      </c>
      <c r="CP67" s="379"/>
      <c r="CQ67" s="188">
        <f t="shared" si="53"/>
        <v>0.47204968944099374</v>
      </c>
      <c r="CR67" s="149">
        <f t="shared" si="54"/>
        <v>244.918674788055</v>
      </c>
      <c r="CS67" s="149">
        <f t="shared" si="115"/>
        <v>74.400000000000006</v>
      </c>
      <c r="CT67" s="188">
        <f t="shared" si="55"/>
        <v>8.1639558262685004</v>
      </c>
      <c r="CU67" s="188">
        <f t="shared" si="56"/>
        <v>30</v>
      </c>
      <c r="CV67" s="188">
        <f t="shared" si="57"/>
        <v>8.1059037580776696</v>
      </c>
      <c r="CW67" s="149">
        <f t="shared" si="58"/>
        <v>173.80045611987015</v>
      </c>
      <c r="CX67" s="149">
        <f t="shared" si="59"/>
        <v>30</v>
      </c>
      <c r="CY67" s="188">
        <f t="shared" si="60"/>
        <v>9.2712074303405583</v>
      </c>
      <c r="CZ67" s="188">
        <f t="shared" si="61"/>
        <v>1.2816080859588419</v>
      </c>
      <c r="DA67" s="188">
        <f t="shared" si="62"/>
        <v>1.4333774645592312</v>
      </c>
      <c r="DB67" s="172">
        <f t="shared" si="63"/>
        <v>350</v>
      </c>
      <c r="DC67" s="379">
        <f t="shared" si="116"/>
        <v>350</v>
      </c>
      <c r="DE67" s="188">
        <f t="shared" si="64"/>
        <v>9.7566501161056465</v>
      </c>
      <c r="DF67" s="150">
        <f t="shared" si="65"/>
        <v>1.5084294587400178</v>
      </c>
      <c r="DG67" s="150">
        <f t="shared" si="66"/>
        <v>2.5755132294067704</v>
      </c>
      <c r="DH67" s="150"/>
      <c r="DI67" s="150">
        <f t="shared" si="67"/>
        <v>0.93700159489633172</v>
      </c>
      <c r="DJ67" s="314">
        <f t="shared" si="117"/>
        <v>873.42434042553191</v>
      </c>
      <c r="DK67" s="456">
        <f t="shared" si="68"/>
        <v>0.99378957034459414</v>
      </c>
      <c r="DM67" s="150">
        <f t="shared" si="69"/>
        <v>9.5740276832181426</v>
      </c>
      <c r="DN67" s="150">
        <f t="shared" si="70"/>
        <v>9.5740276832181426</v>
      </c>
      <c r="DO67" s="150">
        <f t="shared" si="71"/>
        <v>3.8025345352682089</v>
      </c>
      <c r="DQ67" s="314">
        <f t="shared" si="72"/>
        <v>2480</v>
      </c>
      <c r="DR67" s="144">
        <f t="shared" si="73"/>
        <v>350</v>
      </c>
      <c r="DT67">
        <f t="shared" si="74"/>
        <v>2480</v>
      </c>
      <c r="DU67">
        <f t="shared" si="75"/>
        <v>350</v>
      </c>
      <c r="DW67" s="5">
        <f t="shared" si="118"/>
        <v>2.8571428571428572</v>
      </c>
      <c r="DX67" s="5">
        <f t="shared" si="76"/>
        <v>1.323468532680155</v>
      </c>
      <c r="DY67" s="5">
        <f t="shared" si="119"/>
        <v>1.5336743244627022</v>
      </c>
      <c r="DZ67" s="5">
        <f t="shared" si="77"/>
        <v>1.4801950694449102</v>
      </c>
      <c r="EA67" s="150">
        <f t="shared" si="120"/>
        <v>0.46321398643805423</v>
      </c>
      <c r="EB67" s="150">
        <f t="shared" si="78"/>
        <v>75.391999999999982</v>
      </c>
      <c r="EC67" s="150">
        <f t="shared" si="79"/>
        <v>2.5696020769031889</v>
      </c>
      <c r="ED67" s="150">
        <f t="shared" si="121"/>
        <v>29.339951379110133</v>
      </c>
      <c r="EE67" s="144">
        <f t="shared" si="80"/>
        <v>10.940673203489281</v>
      </c>
      <c r="EF67" s="5">
        <f t="shared" si="81"/>
        <v>1.9741413449831324</v>
      </c>
      <c r="EG67" s="5"/>
      <c r="EH67" s="150">
        <f t="shared" si="122"/>
        <v>3.7620527747837982</v>
      </c>
      <c r="EI67" s="150">
        <f t="shared" si="82"/>
        <v>4.0498099888863894</v>
      </c>
      <c r="EJ67" s="150"/>
      <c r="EK67" s="456">
        <f t="shared" si="83"/>
        <v>0.16983649296310172</v>
      </c>
      <c r="EL67" s="456">
        <f t="shared" si="84"/>
        <v>4.100173095615002</v>
      </c>
      <c r="EM67" s="456">
        <f t="shared" si="85"/>
        <v>4.0250000000000001E-2</v>
      </c>
      <c r="EN67" s="456">
        <f t="shared" si="86"/>
        <v>0.75119058000000016</v>
      </c>
      <c r="EO67">
        <f t="shared" si="87"/>
        <v>1.5299999999999999E-2</v>
      </c>
      <c r="EP67" s="144">
        <f t="shared" si="123"/>
        <v>55.550000000000004</v>
      </c>
      <c r="EQ67" s="456">
        <f t="shared" si="88"/>
        <v>5.3380116087125069</v>
      </c>
      <c r="ER67" s="144">
        <f t="shared" si="124"/>
        <v>5338.011608712507</v>
      </c>
      <c r="ES67" s="456">
        <f t="shared" si="125"/>
        <v>1.6630879999999999</v>
      </c>
      <c r="ET67" s="456"/>
      <c r="EV67" s="144">
        <f t="shared" si="126"/>
        <v>1663.088</v>
      </c>
      <c r="EW67" s="456">
        <f t="shared" si="89"/>
        <v>0.19814257512361866</v>
      </c>
      <c r="EX67" s="456">
        <f t="shared" si="90"/>
        <v>0.22961345324517568</v>
      </c>
      <c r="EY67" s="456">
        <f t="shared" si="91"/>
        <v>32.499509953071396</v>
      </c>
      <c r="EZ67" s="456">
        <f t="shared" si="92"/>
        <v>34.200277415145798</v>
      </c>
      <c r="FA67" s="456">
        <f t="shared" si="93"/>
        <v>3.2081702127659577</v>
      </c>
      <c r="FB67" s="144">
        <f t="shared" si="127"/>
        <v>37408.447627911752</v>
      </c>
      <c r="FC67" s="150">
        <f t="shared" si="128"/>
        <v>44.409547236624263</v>
      </c>
      <c r="FD67" s="5">
        <f t="shared" si="129"/>
        <v>74.400000000000006</v>
      </c>
      <c r="FE67" s="150">
        <f t="shared" si="130"/>
        <v>0.62621230137190054</v>
      </c>
      <c r="FF67" s="5">
        <f t="shared" si="131"/>
        <v>62.621230137190054</v>
      </c>
      <c r="FI67" s="59">
        <f t="shared" si="94"/>
        <v>-50</v>
      </c>
      <c r="FJ67">
        <f t="shared" si="95"/>
        <v>-50</v>
      </c>
      <c r="FL67">
        <f t="shared" si="181"/>
        <v>0.51806827430571856</v>
      </c>
    </row>
    <row r="68" spans="5:168">
      <c r="E68" s="147">
        <v>63</v>
      </c>
      <c r="F68" s="188">
        <f t="shared" si="182"/>
        <v>2.52</v>
      </c>
      <c r="G68" s="188"/>
      <c r="H68" s="188">
        <f t="shared" si="132"/>
        <v>75.599999999999994</v>
      </c>
      <c r="I68" s="465">
        <f t="shared" si="133"/>
        <v>33.872916209768952</v>
      </c>
      <c r="J68" s="149">
        <f t="shared" si="134"/>
        <v>30.468429733201333</v>
      </c>
      <c r="K68" s="149">
        <f t="shared" si="135"/>
        <v>64.468429733201333</v>
      </c>
      <c r="L68" s="379"/>
      <c r="M68" s="188">
        <f t="shared" si="136"/>
        <v>0.47353641055846418</v>
      </c>
      <c r="N68" s="149">
        <f t="shared" si="137"/>
        <v>244.7717164078023</v>
      </c>
      <c r="O68" s="149">
        <f t="shared" si="98"/>
        <v>75.599999999999994</v>
      </c>
      <c r="P68" s="188">
        <f t="shared" si="138"/>
        <v>8.1590572135934103</v>
      </c>
      <c r="Q68" s="188">
        <f t="shared" si="139"/>
        <v>30</v>
      </c>
      <c r="R68" s="188">
        <f t="shared" si="140"/>
        <v>8.1010399783442466</v>
      </c>
      <c r="S68" s="149">
        <f t="shared" si="141"/>
        <v>169.86777180006288</v>
      </c>
      <c r="T68" s="149">
        <f t="shared" si="142"/>
        <v>30</v>
      </c>
      <c r="U68" s="188">
        <f t="shared" si="143"/>
        <v>9.5733116232147246</v>
      </c>
      <c r="V68" s="188">
        <f t="shared" si="11"/>
        <v>1.3283345416871066</v>
      </c>
      <c r="W68" s="188">
        <f t="shared" si="144"/>
        <v>1.4767602079630247</v>
      </c>
      <c r="X68" s="172">
        <f t="shared" si="145"/>
        <v>350</v>
      </c>
      <c r="Y68" s="379">
        <f t="shared" si="14"/>
        <v>332.76820975991694</v>
      </c>
      <c r="AA68" s="188">
        <f t="shared" si="146"/>
        <v>9.7509429679272657</v>
      </c>
      <c r="AB68" s="150">
        <f t="shared" si="147"/>
        <v>1.5041612695687427</v>
      </c>
      <c r="AC68" s="150">
        <f t="shared" si="148"/>
        <v>2.5667233819727291</v>
      </c>
      <c r="AD68" s="150"/>
      <c r="AE68" s="150">
        <f t="shared" si="149"/>
        <v>0.93489716189110494</v>
      </c>
      <c r="AF68" s="314">
        <f t="shared" si="150"/>
        <v>889.50959944925285</v>
      </c>
      <c r="AG68" s="456">
        <f t="shared" si="151"/>
        <v>0.99155759594511128</v>
      </c>
      <c r="AI68" s="150">
        <f t="shared" si="152"/>
        <v>9.6617846481294354</v>
      </c>
      <c r="AJ68" s="150">
        <f t="shared" si="153"/>
        <v>9.6617846481294354</v>
      </c>
      <c r="AK68" s="150">
        <f t="shared" si="154"/>
        <v>3.867539694461759</v>
      </c>
      <c r="AM68" s="314">
        <f t="shared" si="155"/>
        <v>2520</v>
      </c>
      <c r="AN68" s="144">
        <f t="shared" si="156"/>
        <v>332.76820975991694</v>
      </c>
      <c r="AP68">
        <f t="shared" si="157"/>
        <v>2520</v>
      </c>
      <c r="AQ68">
        <f t="shared" si="158"/>
        <v>332.76820975991694</v>
      </c>
      <c r="AS68" s="5">
        <f t="shared" si="101"/>
        <v>3.0050947496501315</v>
      </c>
      <c r="AT68" s="5">
        <f t="shared" si="159"/>
        <v>1.3406105209539645</v>
      </c>
      <c r="AU68" s="5">
        <f t="shared" si="102"/>
        <v>1.664484228696167</v>
      </c>
      <c r="AV68" s="5">
        <f t="shared" si="160"/>
        <v>1.4904078826459775</v>
      </c>
      <c r="AW68" s="150">
        <f t="shared" si="103"/>
        <v>0.44611256304316038</v>
      </c>
      <c r="AX68" s="150">
        <f t="shared" si="161"/>
        <v>73.000258678895293</v>
      </c>
      <c r="AY68" s="150">
        <f t="shared" si="162"/>
        <v>2.6757705675906767</v>
      </c>
      <c r="AZ68" s="150">
        <f t="shared" si="104"/>
        <v>27.281957415589016</v>
      </c>
      <c r="BA68" s="144">
        <f t="shared" si="163"/>
        <v>11.261128376013303</v>
      </c>
      <c r="BB68" s="5">
        <f t="shared" si="164"/>
        <v>2.1852441726626659</v>
      </c>
      <c r="BC68" s="5"/>
      <c r="BD68" s="150">
        <f t="shared" si="105"/>
        <v>3.7257949757110569</v>
      </c>
      <c r="BE68" s="150">
        <f t="shared" si="165"/>
        <v>4.1515233342203581</v>
      </c>
      <c r="BF68" s="150"/>
      <c r="BG68" s="456">
        <f t="shared" si="166"/>
        <v>0.16657857841240506</v>
      </c>
      <c r="BH68" s="456">
        <f t="shared" si="167"/>
        <v>3.7827631048336796</v>
      </c>
      <c r="BI68" s="456">
        <f t="shared" si="168"/>
        <v>3.8268344122390455E-2</v>
      </c>
      <c r="BJ68" s="456">
        <f t="shared" si="169"/>
        <v>0.71572529915983563</v>
      </c>
      <c r="BK68">
        <f t="shared" si="170"/>
        <v>1.5242812294396028E-2</v>
      </c>
      <c r="BL68" s="144">
        <f t="shared" si="106"/>
        <v>53.511156416786484</v>
      </c>
      <c r="BM68" s="456">
        <f t="shared" si="171"/>
        <v>4.90414468550689</v>
      </c>
      <c r="BN68" s="144">
        <f t="shared" si="107"/>
        <v>4904.1446855068898</v>
      </c>
      <c r="BO68" s="456">
        <f t="shared" si="172"/>
        <v>1.6899119999999996</v>
      </c>
      <c r="BP68" s="456"/>
      <c r="BR68" s="144">
        <f t="shared" si="109"/>
        <v>1689.9119999999996</v>
      </c>
      <c r="BS68" s="456">
        <f t="shared" si="173"/>
        <v>0.19434167481447259</v>
      </c>
      <c r="BT68" s="456">
        <f t="shared" si="174"/>
        <v>0.24129204392406567</v>
      </c>
      <c r="BU68" s="456">
        <f t="shared" si="175"/>
        <v>29.306770485157507</v>
      </c>
      <c r="BV68" s="456">
        <f t="shared" si="176"/>
        <v>30.924703793551092</v>
      </c>
      <c r="BW68" s="456">
        <f t="shared" si="177"/>
        <v>3.10639398633597</v>
      </c>
      <c r="BX68" s="144">
        <f t="shared" si="110"/>
        <v>34031.097779887059</v>
      </c>
      <c r="BY68" s="150">
        <f t="shared" si="45"/>
        <v>40.678665621810737</v>
      </c>
      <c r="BZ68" s="5">
        <f t="shared" si="111"/>
        <v>75.599999999999994</v>
      </c>
      <c r="CA68" s="150">
        <f t="shared" si="112"/>
        <v>0.65016225973803643</v>
      </c>
      <c r="CB68" s="5">
        <f t="shared" si="113"/>
        <v>65.016225973803643</v>
      </c>
      <c r="CE68" s="59">
        <f t="shared" si="178"/>
        <v>-50</v>
      </c>
      <c r="CF68">
        <f t="shared" si="179"/>
        <v>-50</v>
      </c>
      <c r="CG68" s="150">
        <f t="shared" si="180"/>
        <v>0.51556535952286786</v>
      </c>
      <c r="CI68" s="147">
        <v>63</v>
      </c>
      <c r="CJ68" s="188">
        <f t="shared" si="114"/>
        <v>2.52</v>
      </c>
      <c r="CK68" s="188"/>
      <c r="CL68" s="188">
        <f t="shared" si="49"/>
        <v>75.599999999999994</v>
      </c>
      <c r="CM68" s="465">
        <f t="shared" si="50"/>
        <v>34</v>
      </c>
      <c r="CN68" s="149">
        <f t="shared" si="51"/>
        <v>30.4</v>
      </c>
      <c r="CO68" s="379">
        <f t="shared" si="52"/>
        <v>64.400000000000006</v>
      </c>
      <c r="CP68" s="379"/>
      <c r="CQ68" s="188">
        <f t="shared" si="53"/>
        <v>0.47204968944099374</v>
      </c>
      <c r="CR68" s="149">
        <f t="shared" si="54"/>
        <v>244.918674788055</v>
      </c>
      <c r="CS68" s="149">
        <f t="shared" si="115"/>
        <v>75.599999999999994</v>
      </c>
      <c r="CT68" s="188">
        <f t="shared" si="55"/>
        <v>8.1639558262685004</v>
      </c>
      <c r="CU68" s="188">
        <f t="shared" si="56"/>
        <v>30</v>
      </c>
      <c r="CV68" s="188">
        <f t="shared" si="57"/>
        <v>8.1059037580776696</v>
      </c>
      <c r="CW68" s="149">
        <f t="shared" si="58"/>
        <v>170.50478090006004</v>
      </c>
      <c r="CX68" s="149">
        <f t="shared" si="59"/>
        <v>30</v>
      </c>
      <c r="CY68" s="188">
        <f t="shared" si="60"/>
        <v>9.420743034055727</v>
      </c>
      <c r="CZ68" s="188">
        <f t="shared" si="61"/>
        <v>1.3022791841194679</v>
      </c>
      <c r="DA68" s="188">
        <f t="shared" si="62"/>
        <v>1.4564964559230893</v>
      </c>
      <c r="DB68" s="172">
        <f t="shared" si="63"/>
        <v>350</v>
      </c>
      <c r="DC68" s="379">
        <f t="shared" si="116"/>
        <v>350</v>
      </c>
      <c r="DE68" s="188">
        <f t="shared" si="64"/>
        <v>9.7566501161056465</v>
      </c>
      <c r="DF68" s="150">
        <f t="shared" si="65"/>
        <v>1.5084294587400178</v>
      </c>
      <c r="DG68" s="150">
        <f t="shared" si="66"/>
        <v>2.5755132294067704</v>
      </c>
      <c r="DH68" s="150"/>
      <c r="DI68" s="150">
        <f t="shared" si="67"/>
        <v>0.93700159489633172</v>
      </c>
      <c r="DJ68" s="314">
        <f t="shared" si="117"/>
        <v>887.51182978723409</v>
      </c>
      <c r="DK68" s="456">
        <f t="shared" si="68"/>
        <v>0.99378957034459414</v>
      </c>
      <c r="DM68" s="150">
        <f t="shared" si="69"/>
        <v>9.6509287393449803</v>
      </c>
      <c r="DN68" s="150">
        <f t="shared" si="70"/>
        <v>9.6509287393449803</v>
      </c>
      <c r="DO68" s="150">
        <f t="shared" si="71"/>
        <v>3.8594982805473483</v>
      </c>
      <c r="DQ68" s="314">
        <f t="shared" si="72"/>
        <v>2520</v>
      </c>
      <c r="DR68" s="144">
        <f t="shared" si="73"/>
        <v>350</v>
      </c>
      <c r="DT68">
        <f t="shared" si="74"/>
        <v>2520</v>
      </c>
      <c r="DU68">
        <f t="shared" si="75"/>
        <v>350</v>
      </c>
      <c r="DW68" s="5">
        <f t="shared" si="118"/>
        <v>2.8571428571428572</v>
      </c>
      <c r="DX68" s="5">
        <f t="shared" si="76"/>
        <v>1.3340989727918062</v>
      </c>
      <c r="DY68" s="5">
        <f t="shared" si="119"/>
        <v>1.523043884351051</v>
      </c>
      <c r="DZ68" s="5">
        <f t="shared" si="77"/>
        <v>1.4920843774645201</v>
      </c>
      <c r="EA68" s="150">
        <f t="shared" si="120"/>
        <v>0.46693464047713218</v>
      </c>
      <c r="EB68" s="150">
        <f t="shared" si="78"/>
        <v>76.607999999999976</v>
      </c>
      <c r="EC68" s="150">
        <f t="shared" si="79"/>
        <v>2.5722878990842548</v>
      </c>
      <c r="ED68" s="150">
        <f t="shared" si="121"/>
        <v>29.78204734675024</v>
      </c>
      <c r="EE68" s="144">
        <f t="shared" si="80"/>
        <v>11.206431371451171</v>
      </c>
      <c r="EF68" s="5">
        <f t="shared" si="81"/>
        <v>1.9920781601546613</v>
      </c>
      <c r="EG68" s="5"/>
      <c r="EH68" s="150">
        <f t="shared" si="122"/>
        <v>3.80747033736013</v>
      </c>
      <c r="EI68" s="150">
        <f t="shared" si="82"/>
        <v>4.0681664347419515</v>
      </c>
      <c r="EJ68" s="150"/>
      <c r="EK68" s="456">
        <f t="shared" si="83"/>
        <v>0.17396196443852716</v>
      </c>
      <c r="EL68" s="456">
        <f t="shared" si="84"/>
        <v>4.1331067419118819</v>
      </c>
      <c r="EM68" s="456">
        <f t="shared" si="85"/>
        <v>4.0250000000000001E-2</v>
      </c>
      <c r="EN68" s="456">
        <f t="shared" si="86"/>
        <v>0.75119058000000016</v>
      </c>
      <c r="EO68">
        <f t="shared" si="87"/>
        <v>1.5299999999999999E-2</v>
      </c>
      <c r="EP68" s="144">
        <f t="shared" si="123"/>
        <v>55.550000000000004</v>
      </c>
      <c r="EQ68" s="456">
        <f t="shared" si="88"/>
        <v>5.383288430226437</v>
      </c>
      <c r="ER68" s="144">
        <f t="shared" si="124"/>
        <v>5383.2884302264374</v>
      </c>
      <c r="ES68" s="456">
        <f t="shared" si="125"/>
        <v>1.6899119999999996</v>
      </c>
      <c r="ET68" s="456"/>
      <c r="EV68" s="144">
        <f t="shared" si="126"/>
        <v>1689.9119999999996</v>
      </c>
      <c r="EW68" s="456">
        <f t="shared" si="89"/>
        <v>0.20295562517828167</v>
      </c>
      <c r="EX68" s="456">
        <f t="shared" si="90"/>
        <v>0.2316996939706546</v>
      </c>
      <c r="EY68" s="456">
        <f t="shared" si="91"/>
        <v>33.156057751461198</v>
      </c>
      <c r="EZ68" s="456">
        <f t="shared" si="92"/>
        <v>34.908897381816352</v>
      </c>
      <c r="FA68" s="456">
        <f t="shared" si="93"/>
        <v>3.259914893617021</v>
      </c>
      <c r="FB68" s="144">
        <f t="shared" si="127"/>
        <v>38168.812275433374</v>
      </c>
      <c r="FC68" s="150">
        <f t="shared" si="128"/>
        <v>45.24201270565981</v>
      </c>
      <c r="FD68" s="5">
        <f t="shared" si="129"/>
        <v>75.599999999999994</v>
      </c>
      <c r="FE68" s="150">
        <f t="shared" si="130"/>
        <v>0.62561023527589055</v>
      </c>
      <c r="FF68" s="5">
        <f t="shared" si="131"/>
        <v>62.561023527589057</v>
      </c>
      <c r="FI68" s="59">
        <f t="shared" si="94"/>
        <v>-50</v>
      </c>
      <c r="FJ68">
        <f t="shared" si="95"/>
        <v>-50</v>
      </c>
      <c r="FL68">
        <f t="shared" si="181"/>
        <v>0.52222953211258205</v>
      </c>
    </row>
    <row r="69" spans="5:168">
      <c r="E69" s="147">
        <v>64</v>
      </c>
      <c r="F69" s="188">
        <f t="shared" si="182"/>
        <v>2.56</v>
      </c>
      <c r="G69" s="188"/>
      <c r="H69" s="188">
        <f t="shared" ref="H69:H100" si="183">F69*Vout</f>
        <v>76.8</v>
      </c>
      <c r="I69" s="465">
        <f t="shared" ref="I69:I105" si="184">Vin-F69*(Rdcr_pri+RON/1000)/CG69/Nps</f>
        <v>33.869968030206017</v>
      </c>
      <c r="J69" s="149">
        <f t="shared" ref="J69:J105" si="185">(T69+Vfwd1+F69/CG69*Rdcr_sec)*Nps</f>
        <v>30.470017214504448</v>
      </c>
      <c r="K69" s="149">
        <f t="shared" ref="K69:K105" si="186">(Vout+Vfwd1+F69/CG69*Rdcr_sec)*Nps+VIN_nom</f>
        <v>64.470017214504452</v>
      </c>
      <c r="L69" s="379"/>
      <c r="M69" s="188">
        <f t="shared" ref="M69:M105" si="187">(Vout+Vfwd1+F69/FL69*Rdcr_sec)*Nps/((Vout+Vfwd1+F69/FL69*Rdcr_sec)*Nps+I69)</f>
        <v>0.47356247956383191</v>
      </c>
      <c r="N69" s="149">
        <f t="shared" ref="N69:N100" si="188">M69*I69*(Isw_max+VIN_nom/Lmag*ILIM_delay)*0.5*Efficiency</f>
        <v>244.76388627508894</v>
      </c>
      <c r="O69" s="149">
        <f t="shared" si="98"/>
        <v>76.8</v>
      </c>
      <c r="P69" s="188">
        <f t="shared" ref="P69:P100" si="189">N69/Vout</f>
        <v>8.1587962091696316</v>
      </c>
      <c r="Q69" s="188">
        <f t="shared" ref="Q69:Q105" si="190">MIN(Vout,N69/F69)</f>
        <v>30</v>
      </c>
      <c r="R69" s="188">
        <f t="shared" ref="R69:R100" si="191">Isw_max/2*I69*Nps*(Q69+Vfwd1+F69/FL69*Rdcr_sec)/Q69/(I69+Nps*(Q69+Vfwd1+F69/FL69*Rdcr_sec))</f>
        <v>8.1007808298646875</v>
      </c>
      <c r="S69" s="149">
        <f t="shared" ref="S69:S105" si="192">(SQRT(Isw_max^2*Nps^2*I69^2+4*Isw_max*F69/Efficiency*(Nps^2*Vfwd1*I69-Nps*I69^2)+4*(F69/Efficiency)^2*Nps^2*Vfwd1^2+8*(F69/Efficiency)^2*Nps*Vfwd1*I69+4*(F69/Efficiency)^2*I69^2)-2*F69/Efficiency*I69-2*F69/Efficiency*Nps*Vfwd1+Isw_max*Nps*I69)/(4*F69/Efficiency*Nps)</f>
        <v>166.67258091061558</v>
      </c>
      <c r="T69" s="149">
        <f t="shared" ref="T69:T100" si="193">MIN(Vout, S69)</f>
        <v>30</v>
      </c>
      <c r="U69" s="188">
        <f t="shared" ref="U69:U105" si="194">MIN(2*(Vout+Vfwd1+F69/FL69*Rdcr_sec)*F69/(I69*M69), Isw_max)</f>
        <v>9.7257505425485959</v>
      </c>
      <c r="V69" s="188">
        <f t="shared" ref="V69:V104" si="195">L*U69/I69*1000000</f>
        <v>1.3496035044737054</v>
      </c>
      <c r="W69" s="188">
        <f t="shared" ref="W69:W105" si="196">L*U69/J69*1000000</f>
        <v>1.5001969716058734</v>
      </c>
      <c r="X69" s="172">
        <f t="shared" ref="X69:X105" si="197">IF(1/((350000*L)*(1/I69+1/J69))&gt;Isw_min, 350, 0.001/((Isw_min*L)*(1/I69+1/J69)))</f>
        <v>350</v>
      </c>
      <c r="Y69" s="379">
        <f t="shared" ref="Y69:Y104" si="198">MIN(1/(V69+W69+0.2)*1000, 350)</f>
        <v>327.89030228150142</v>
      </c>
      <c r="AA69" s="188">
        <f t="shared" ref="AA69:AA105" si="199">1/((X69*1000*L)*(1/I69+1/J69))</f>
        <v>9.7508084956260745</v>
      </c>
      <c r="AB69" s="150">
        <f t="shared" ref="AB69:AB100" si="200">L*AA69/J69*1000000</f>
        <v>1.5040621607403282</v>
      </c>
      <c r="AC69" s="150">
        <f t="shared" ref="AC69:AC100" si="201">0.5*AB69*AA69*Nps*X69/1000</f>
        <v>2.5665188666068879</v>
      </c>
      <c r="AD69" s="150"/>
      <c r="AE69" s="150">
        <f t="shared" ref="AE69:AE105" si="202">L*Isw_min/J69*1000000</f>
        <v>0.93484845395128369</v>
      </c>
      <c r="AF69" s="314">
        <f t="shared" ref="AF69:AF100" si="203">MAX(12, F69/(0.5*AE69/1000000*Isw_min*Nps)/1000)</f>
        <v>903.67588075834135</v>
      </c>
      <c r="AG69" s="456">
        <f t="shared" ref="AG69:AG105" si="204">0.5*AE69/1000000*Isw_min*Nps*X69*1000</f>
        <v>0.99150593600893722</v>
      </c>
      <c r="AI69" s="150">
        <f t="shared" ref="AI69:AI105" si="205">SQRT(F69/Efficiency/(0.5*L/J69*Fsw_DCM*Nps))</f>
        <v>9.738417268977491</v>
      </c>
      <c r="AJ69" s="150">
        <f t="shared" ref="AJ69:AJ100" si="206">MAX(IF(F69&gt;AC69,U69,AI69),Isw_min)</f>
        <v>9.738417268977491</v>
      </c>
      <c r="AK69" s="150">
        <f t="shared" ref="AK69:AK100" si="207">IF(F69&gt;AG69, (AJ69-Isw_min)/1.08*0.8+1.2, AF69*0.2/350+1)</f>
        <v>3.9243045987936522</v>
      </c>
      <c r="AM69" s="314">
        <f t="shared" ref="AM69:AM105" si="208">F69*1000</f>
        <v>2560</v>
      </c>
      <c r="AN69" s="144">
        <f t="shared" ref="AN69:AN105" si="209">IF(F69&gt;AG69, Y69, AF69)</f>
        <v>327.89030228150142</v>
      </c>
      <c r="AP69">
        <f t="shared" ref="AP69:AP105" si="210">IF(H69&gt;N69, "",AM69)</f>
        <v>2560</v>
      </c>
      <c r="AQ69">
        <f t="shared" ref="AQ69:AQ105" si="211">IF(H69&gt;N69, "",AN69)</f>
        <v>327.89030228150142</v>
      </c>
      <c r="AS69" s="5">
        <f t="shared" si="101"/>
        <v>3.0498004760795787</v>
      </c>
      <c r="AT69" s="5">
        <f t="shared" ref="AT69:AT105" si="212">L*AJ69/I69*1000000</f>
        <v>1.3513612154394408</v>
      </c>
      <c r="AU69" s="5">
        <f t="shared" si="102"/>
        <v>1.6984392606401379</v>
      </c>
      <c r="AV69" s="5">
        <f t="shared" ref="AV69:AV105" si="213">L*AJ69/J69*1000000</f>
        <v>1.5021508140929547</v>
      </c>
      <c r="AW69" s="150">
        <f t="shared" si="103"/>
        <v>0.44309823742193538</v>
      </c>
      <c r="AX69" s="150">
        <f t="shared" ref="AX69:AX132" si="214">0.5*L*AJ69^2*AN69*1000</f>
        <v>73.075735076472071</v>
      </c>
      <c r="AY69" s="150">
        <f t="shared" ref="AY69:AY132" si="215">AJ69*Nps/2*(1-AW69)</f>
        <v>2.7116708709071133</v>
      </c>
      <c r="AZ69" s="150">
        <f t="shared" si="104"/>
        <v>26.948600532787609</v>
      </c>
      <c r="BA69" s="144">
        <f t="shared" ref="BA69:BA105" si="216">F69*AT69/Vout_ripple*1000</f>
        <v>11.531615705083228</v>
      </c>
      <c r="BB69" s="5">
        <f t="shared" ref="BB69:BB105" si="217">H69/Efficiency/I69*AU69/Vinripple1</f>
        <v>2.2654137504878702</v>
      </c>
      <c r="BC69" s="5"/>
      <c r="BD69" s="150">
        <f t="shared" si="105"/>
        <v>3.7426374849237396</v>
      </c>
      <c r="BE69" s="150">
        <f t="shared" ref="BE69:BE132" si="218">AJ69*Nps*SQRT((1-AW69)/3)</f>
        <v>4.1958219248060775</v>
      </c>
      <c r="BF69" s="150"/>
      <c r="BG69" s="456">
        <f t="shared" ref="BG69:BG105" si="219">Rdson*BD69^2</f>
        <v>0.16808802412267554</v>
      </c>
      <c r="BH69" s="456">
        <f t="shared" ref="BH69:BH105" si="220">0.5*K69*AJ69*AN69*1000*Tfall</f>
        <v>3.7569689537481699</v>
      </c>
      <c r="BI69" s="456">
        <f t="shared" ref="BI69:BI105" si="221">Qg*Vdd*AN69*1000</f>
        <v>3.7707384762372669E-2</v>
      </c>
      <c r="BJ69" s="456">
        <f t="shared" ref="BJ69:BJ105" si="222">0.5*(Coss+Csw)*K69^2*AN69*1000</f>
        <v>0.70526851880417885</v>
      </c>
      <c r="BK69">
        <f t="shared" ref="BK69:BK105" si="223">I69*IQ</f>
        <v>1.5241485613592707E-2</v>
      </c>
      <c r="BL69" s="144">
        <f t="shared" si="106"/>
        <v>52.948870375965377</v>
      </c>
      <c r="BM69" s="456">
        <f t="shared" ref="BM69:BM105" si="224">(BH69+BI69*0+BJ69+BK69*0+BG69*(1+RdsonTC*(Ta-25)))/(1-BG69*RdsonTC*ThetaJA)</f>
        <v>4.8702144995797676</v>
      </c>
      <c r="BN69" s="144">
        <f t="shared" si="107"/>
        <v>4870.214499579768</v>
      </c>
      <c r="BO69" s="456">
        <f t="shared" ref="BO69:BO105" si="225">Vfwd2*F69*(1+Diode_TC/1000*(Ta-25))</f>
        <v>1.7167359999999998</v>
      </c>
      <c r="BP69" s="456"/>
      <c r="BR69" s="144">
        <f t="shared" si="109"/>
        <v>1716.7359999999999</v>
      </c>
      <c r="BS69" s="456">
        <f t="shared" ref="BS69:BS105" si="226">Rdcr_pri*BD69^2</f>
        <v>0.19610269480978815</v>
      </c>
      <c r="BT69" s="456">
        <f t="shared" ref="BT69:BT105" si="227">Rdcr_sec*BE69^2</f>
        <v>0.24646890274556729</v>
      </c>
      <c r="BU69" s="456">
        <f t="shared" ref="BU69:BU105" si="228">AJ69^2.5*AN69^2.5*k_core</f>
        <v>28.807951849927758</v>
      </c>
      <c r="BV69" s="456">
        <f t="shared" ref="BV69:BV100" si="229">(BU69+(BS69+BT69)*(1+Ltc*(Ta-25)))/(1-(BS69+BT69)*Ltc*ThetaCa)</f>
        <v>30.434288775192222</v>
      </c>
      <c r="BW69" s="456">
        <f t="shared" ref="BW69:BW105" si="230">0.5*Lleak*0.000000001*AJ69^2*AN69*1000</f>
        <v>3.1096057479349821</v>
      </c>
      <c r="BX69" s="144">
        <f t="shared" si="110"/>
        <v>33543.894523127208</v>
      </c>
      <c r="BY69" s="150">
        <f t="shared" ref="BY69:BY104" si="231">SUM(BM69,BO69:BQ69,BV69, BW69)+BK69+BI69</f>
        <v>40.183793893082935</v>
      </c>
      <c r="BZ69" s="5">
        <f t="shared" si="111"/>
        <v>76.8</v>
      </c>
      <c r="CA69" s="150">
        <f t="shared" si="112"/>
        <v>0.65650119084179459</v>
      </c>
      <c r="CB69" s="5">
        <f t="shared" si="113"/>
        <v>65.650119084179465</v>
      </c>
      <c r="CE69" s="59">
        <f t="shared" ref="CE69:CE105" si="232">IF(ABS(F69-Ioutmax_Vinnom)&lt;Iout/200, AN69, -50)</f>
        <v>-50</v>
      </c>
      <c r="CF69">
        <f t="shared" ref="CF69:CF105" si="233">IF(ABS(F69-Ioutmax_Vinnom)&lt;Iout/200, N69*CA69, -50)</f>
        <v>-50</v>
      </c>
      <c r="CG69" s="150">
        <f t="shared" ref="CG69:CG105" si="234">MIN(SQRT(2*DU69*1000*Ls1_*CL69)/CU69,1-EA69-0.00000005*DU69*1000)</f>
        <v>0.51187411915282077</v>
      </c>
      <c r="CI69" s="147">
        <v>64</v>
      </c>
      <c r="CJ69" s="188">
        <f t="shared" si="114"/>
        <v>2.56</v>
      </c>
      <c r="CK69" s="188"/>
      <c r="CL69" s="188">
        <f t="shared" ref="CL69:CL105" si="235">CJ69*Vout</f>
        <v>76.8</v>
      </c>
      <c r="CM69" s="465">
        <f t="shared" ref="CM69:CM105" si="236">Vin</f>
        <v>34</v>
      </c>
      <c r="CN69" s="149">
        <f t="shared" ref="CN69:CN105" si="237">(CX69+Vfwd1)*Nps</f>
        <v>30.4</v>
      </c>
      <c r="CO69" s="379">
        <f t="shared" ref="CO69:CO105" si="238">(Vout+Vfwd1)*Nps+CM69</f>
        <v>64.400000000000006</v>
      </c>
      <c r="CP69" s="379"/>
      <c r="CQ69" s="188">
        <f t="shared" ref="CQ69:CQ105" si="239">(Vout+Vfwd1)*Nps/((Vout+Vfwd1)*Nps+CM69)</f>
        <v>0.47204968944099374</v>
      </c>
      <c r="CR69" s="149">
        <f t="shared" ref="CR69:CR105" si="240">CQ69*CM69*(Isw_max+VIN_nom/Lmag*ILIM_delay)*0.5*Efficiency</f>
        <v>244.918674788055</v>
      </c>
      <c r="CS69" s="149">
        <f t="shared" si="115"/>
        <v>76.8</v>
      </c>
      <c r="CT69" s="188">
        <f t="shared" ref="CT69:CT105" si="241">CR69/Vout</f>
        <v>8.1639558262685004</v>
      </c>
      <c r="CU69" s="188">
        <f t="shared" ref="CU69:CU105" si="242">MIN(Vout,CR69/CJ69)</f>
        <v>30</v>
      </c>
      <c r="CV69" s="188">
        <f t="shared" ref="CV69:CV105" si="243">Isw_max/2*CM69*Nps*(CU69+Vfwd1)/CU69/(CM69+Nps*(CU69+Vfwd1))</f>
        <v>8.1059037580776696</v>
      </c>
      <c r="CW69" s="149">
        <f t="shared" ref="CW69:CW105" si="244">(SQRT(Isw_max^2*Nps^2*CM69^2+4*Isw_max*CJ69/Efficiency*(Nps^2*Vfwd1*CM69-Nps*CM69^2)+4*(CJ69/Efficiency)^2*Nps^2*Vfwd1^2+8*(CJ69/Efficiency)^2*Nps*Vfwd1*CM69+4*(CJ69/Efficiency)^2*CM69^2)-2*CJ69/Efficiency*CM69-2*CJ69/Efficiency*Nps*Vfwd1+Isw_max*Nps*CM69)/(4*CJ69/Efficiency*Nps)</f>
        <v>167.31215192737338</v>
      </c>
      <c r="CX69" s="149">
        <f t="shared" ref="CX69:CX105" si="245">MIN(Vout, CW69)</f>
        <v>30</v>
      </c>
      <c r="CY69" s="188">
        <f t="shared" ref="CY69:CY105" si="246">MIN(2*Vout*CJ69/(CM69*CQ69), Isw_max)</f>
        <v>9.5702786377708975</v>
      </c>
      <c r="CZ69" s="188">
        <f t="shared" ref="CZ69:CZ105" si="247">L*CY69/CM69*1000000</f>
        <v>1.3229502822800947</v>
      </c>
      <c r="DA69" s="188">
        <f t="shared" ref="DA69:DA105" si="248">L*CY69/CN69*1000000</f>
        <v>1.4796154472869478</v>
      </c>
      <c r="DB69" s="172">
        <f t="shared" ref="DB69:DB105" si="249">IF(1/((350000*L)*(1/CM69+1/CN69))&gt;Isw_min, 350, 0.001/((Isw_min*L)*(1/CM69+1/CN69)))</f>
        <v>350</v>
      </c>
      <c r="DC69" s="379">
        <f t="shared" si="116"/>
        <v>350</v>
      </c>
      <c r="DE69" s="188">
        <f t="shared" ref="DE69:DE105" si="250">1/((DB69*1000*L)*(1/CM69+1/CN69))</f>
        <v>9.7566501161056465</v>
      </c>
      <c r="DF69" s="150">
        <f t="shared" ref="DF69:DF105" si="251">L*DE69/CN69*1000000</f>
        <v>1.5084294587400178</v>
      </c>
      <c r="DG69" s="150">
        <f t="shared" ref="DG69:DG105" si="252">0.5*DF69*DE69*Nps*DB69/1000</f>
        <v>2.5755132294067704</v>
      </c>
      <c r="DH69" s="150"/>
      <c r="DI69" s="150">
        <f t="shared" ref="DI69:DI105" si="253">L*Isw_min/CN69*1000000</f>
        <v>0.93700159489633172</v>
      </c>
      <c r="DJ69" s="314">
        <f t="shared" si="117"/>
        <v>901.59931914893616</v>
      </c>
      <c r="DK69" s="456">
        <f t="shared" ref="DK69:DK105" si="254">0.5*DI69/1000000*Isw_min*Nps*DB69*1000</f>
        <v>0.99378957034459414</v>
      </c>
      <c r="DM69" s="150">
        <f t="shared" ref="DM69:DM105" si="255">SQRT(CJ69/Efficiency/(0.5*L/CN69*Fsw_DCM*Nps))</f>
        <v>9.7272218533763493</v>
      </c>
      <c r="DN69" s="150">
        <f t="shared" ref="DN69:DN105" si="256">MAX(IF(CJ69&gt;DG69,CY69,DM69),Isw_min)</f>
        <v>9.7272218533763493</v>
      </c>
      <c r="DO69" s="150">
        <f t="shared" ref="DO69:DO105" si="257">IF(CJ69&gt;DK69, (DN69-Isw_min)/1.08*0.8+1.2, DJ69*0.2/350+1)</f>
        <v>3.9160116983483624</v>
      </c>
      <c r="DQ69" s="314">
        <f t="shared" ref="DQ69:DQ105" si="258">CJ69*1000</f>
        <v>2560</v>
      </c>
      <c r="DR69" s="144">
        <f t="shared" ref="DR69:DR105" si="259">IF(CJ69&gt;DK69, DC69, DJ69)</f>
        <v>350</v>
      </c>
      <c r="DT69">
        <f t="shared" ref="DT69:DT105" si="260">IF(CL69&gt;CR69, "",DQ69)</f>
        <v>2560</v>
      </c>
      <c r="DU69">
        <f t="shared" ref="DU69:DU105" si="261">IF(CL69&gt;CR69, "",DR69)</f>
        <v>350</v>
      </c>
      <c r="DW69" s="5">
        <f t="shared" si="118"/>
        <v>2.8571428571428572</v>
      </c>
      <c r="DX69" s="5">
        <f t="shared" ref="DX69:DX105" si="262">L*DN69/CM69*1000000</f>
        <v>1.3446453738490836</v>
      </c>
      <c r="DY69" s="5">
        <f t="shared" si="119"/>
        <v>1.5124974832937736</v>
      </c>
      <c r="DZ69" s="5">
        <f t="shared" ref="DZ69:DZ105" si="263">L*DN69/CN69*1000000</f>
        <v>1.5038796944364752</v>
      </c>
      <c r="EA69" s="150">
        <f t="shared" si="120"/>
        <v>0.47062588084717921</v>
      </c>
      <c r="EB69" s="150">
        <f t="shared" ref="EB69:EB105" si="264">0.5*L*DN69^2*DR69*1000</f>
        <v>77.823999999999984</v>
      </c>
      <c r="EC69" s="150">
        <f t="shared" ref="EC69:EC105" si="265">DN69*Nps/2*(1-EA69)</f>
        <v>2.5746697502175868</v>
      </c>
      <c r="ED69" s="150">
        <f t="shared" si="121"/>
        <v>30.226789277895946</v>
      </c>
      <c r="EE69" s="144">
        <f t="shared" ref="EE69:EE105" si="266">CJ69*DX69/Vout_ripple*1000</f>
        <v>11.474307190178846</v>
      </c>
      <c r="EF69" s="5">
        <f t="shared" ref="EF69:EF105" si="267">CL69/Efficiency/CM69*DY69/Vinripple1</f>
        <v>2.0096852373176781</v>
      </c>
      <c r="EG69" s="5"/>
      <c r="EH69" s="150">
        <f t="shared" si="122"/>
        <v>3.8527080201556649</v>
      </c>
      <c r="EI69" s="150">
        <f t="shared" ref="EI69:EI105" si="268">DN69*Nps*SQRT((1-EA69)/3)</f>
        <v>4.0861052245827389</v>
      </c>
      <c r="EJ69" s="150"/>
      <c r="EK69" s="456">
        <f t="shared" ref="EK69:EK105" si="269">Rdson*EH69^2</f>
        <v>0.17812030906286141</v>
      </c>
      <c r="EL69" s="456">
        <f t="shared" ref="EL69:EL105" si="270">0.5*CO69*DN69*DR69*1000*Trise</f>
        <v>4.1657800309269559</v>
      </c>
      <c r="EM69" s="456">
        <f t="shared" ref="EM69:EM105" si="271">Qg*Vdd*DR69*1000</f>
        <v>4.0250000000000001E-2</v>
      </c>
      <c r="EN69" s="456">
        <f t="shared" ref="EN69:EN105" si="272">0.5*(Coss+Csw)*CO69^2*DR69*1000</f>
        <v>0.75119058000000016</v>
      </c>
      <c r="EO69">
        <f t="shared" ref="EO69:EO105" si="273">CM69*IQ</f>
        <v>1.5299999999999999E-2</v>
      </c>
      <c r="EP69" s="144">
        <f t="shared" si="123"/>
        <v>55.550000000000004</v>
      </c>
      <c r="EQ69" s="456">
        <f t="shared" ref="EQ69:EQ105" si="274">(EL69+EM69+EN69+EO69+EK69*(1+RdsonTC*(Ta-25)))/(1-EK69*RdsonTC*ThetaJA)</f>
        <v>5.4284739414267307</v>
      </c>
      <c r="ER69" s="144">
        <f t="shared" si="124"/>
        <v>5428.4739414267306</v>
      </c>
      <c r="ES69" s="456">
        <f t="shared" si="125"/>
        <v>1.7167359999999998</v>
      </c>
      <c r="ET69" s="456"/>
      <c r="EV69" s="144">
        <f t="shared" si="126"/>
        <v>1716.7359999999999</v>
      </c>
      <c r="EW69" s="456">
        <f t="shared" ref="EW69:EW105" si="275">Rdcr_pri*EH69^2</f>
        <v>0.20780702724000499</v>
      </c>
      <c r="EX69" s="456">
        <f t="shared" ref="EX69:EX105" si="276">Rdcr_sec*EI69^2</f>
        <v>0.233747582689073</v>
      </c>
      <c r="EY69" s="456">
        <f t="shared" ref="EY69:EY105" si="277">DN69^2.5*DR69^2.5*k_core</f>
        <v>33.815216170561712</v>
      </c>
      <c r="EZ69" s="456">
        <f t="shared" ref="EZ69:EZ105" si="278">(EY69+(EW69+EX69)*(1+Ltc*(Ta-25)))/(1-(EW69+EX69)*Ltc*ThetaCa)</f>
        <v>35.621034444423998</v>
      </c>
      <c r="FA69" s="456">
        <f t="shared" ref="FA69:FA105" si="279">0.5*Lleak*0.000000001*DN69^2*DR69*1000</f>
        <v>3.3116595744680848</v>
      </c>
      <c r="FB69" s="144">
        <f t="shared" si="127"/>
        <v>38932.694018892085</v>
      </c>
      <c r="FC69" s="150">
        <f t="shared" si="128"/>
        <v>46.077903960318814</v>
      </c>
      <c r="FD69" s="5">
        <f t="shared" si="129"/>
        <v>76.8</v>
      </c>
      <c r="FE69" s="150">
        <f t="shared" si="130"/>
        <v>0.62501066119097515</v>
      </c>
      <c r="FF69" s="5">
        <f t="shared" si="131"/>
        <v>62.501066119097516</v>
      </c>
      <c r="FI69" s="59">
        <f t="shared" ref="FI69:FI105" si="280">IF(ABS(CJ69-Ioutmax_Vinnom)&lt;Iout/200, DR69, -50)</f>
        <v>-50</v>
      </c>
      <c r="FJ69">
        <f t="shared" ref="FJ69:FJ105" si="281">IF(ABS(CJ69-Ioutmax_Vinnom)&lt;Iout/200, CR69*FE69, -50)</f>
        <v>-50</v>
      </c>
      <c r="FL69">
        <f t="shared" ref="FL69:FL105" si="282">MIN(SQRT(2*L*DR69*1000*CJ69*(CX69+Vfwd1))/(Nps*(CX69+Vfwd1)), 1-EA69)</f>
        <v>0.52635789305276626</v>
      </c>
    </row>
    <row r="70" spans="5:168">
      <c r="E70" s="147">
        <v>65</v>
      </c>
      <c r="F70" s="188">
        <f t="shared" ref="F70:F101" si="283">IF(PLOT_TYPE=1, E70/100*Iout_max, min_I*EXP(N70*rr/100))</f>
        <v>2.6</v>
      </c>
      <c r="G70" s="188"/>
      <c r="H70" s="188">
        <f t="shared" si="183"/>
        <v>78</v>
      </c>
      <c r="I70" s="465">
        <f t="shared" si="184"/>
        <v>33.868028682723484</v>
      </c>
      <c r="J70" s="149">
        <f t="shared" si="185"/>
        <v>30.47106147853351</v>
      </c>
      <c r="K70" s="149">
        <f t="shared" si="186"/>
        <v>64.471061478533514</v>
      </c>
      <c r="L70" s="379"/>
      <c r="M70" s="188">
        <f t="shared" si="187"/>
        <v>0.47358185524475721</v>
      </c>
      <c r="N70" s="149">
        <f t="shared" si="188"/>
        <v>244.75988530866644</v>
      </c>
      <c r="O70" s="149">
        <f t="shared" ref="O70:O133" si="284">T70*F70</f>
        <v>78</v>
      </c>
      <c r="P70" s="188">
        <f t="shared" si="189"/>
        <v>8.1586628436222153</v>
      </c>
      <c r="Q70" s="188">
        <f t="shared" si="190"/>
        <v>30</v>
      </c>
      <c r="R70" s="188">
        <f t="shared" si="191"/>
        <v>8.1006484126499192</v>
      </c>
      <c r="S70" s="149">
        <f t="shared" si="192"/>
        <v>163.58072049200095</v>
      </c>
      <c r="T70" s="149">
        <f t="shared" si="193"/>
        <v>30</v>
      </c>
      <c r="U70" s="188">
        <f t="shared" si="194"/>
        <v>9.878078960248855</v>
      </c>
      <c r="V70" s="188">
        <f t="shared" si="195"/>
        <v>1.370820001013304</v>
      </c>
      <c r="W70" s="188">
        <f t="shared" si="196"/>
        <v>1.523641411241182</v>
      </c>
      <c r="X70" s="172">
        <f t="shared" si="197"/>
        <v>350</v>
      </c>
      <c r="Y70" s="379">
        <f t="shared" si="198"/>
        <v>323.15801258334147</v>
      </c>
      <c r="AA70" s="188">
        <f t="shared" si="199"/>
        <v>9.7507199868265975</v>
      </c>
      <c r="AB70" s="150">
        <f t="shared" si="200"/>
        <v>1.5039969634917558</v>
      </c>
      <c r="AC70" s="150">
        <f t="shared" si="201"/>
        <v>2.5663843191079758</v>
      </c>
      <c r="AD70" s="150"/>
      <c r="AE70" s="150">
        <f t="shared" si="202"/>
        <v>0.93481641605809207</v>
      </c>
      <c r="AF70" s="314">
        <f t="shared" si="203"/>
        <v>917.82727096084886</v>
      </c>
      <c r="AG70" s="456">
        <f t="shared" si="204"/>
        <v>0.99147195642524921</v>
      </c>
      <c r="AI70" s="150">
        <f t="shared" si="205"/>
        <v>9.8143719344182596</v>
      </c>
      <c r="AJ70" s="150">
        <f t="shared" si="153"/>
        <v>9.878078960248855</v>
      </c>
      <c r="AK70" s="150">
        <f t="shared" si="207"/>
        <v>4.0277577034391072</v>
      </c>
      <c r="AM70" s="314">
        <f t="shared" si="208"/>
        <v>2600</v>
      </c>
      <c r="AN70" s="144">
        <f t="shared" si="209"/>
        <v>323.15801258334147</v>
      </c>
      <c r="AP70">
        <f t="shared" si="210"/>
        <v>2600</v>
      </c>
      <c r="AQ70">
        <f t="shared" si="211"/>
        <v>323.15801258334147</v>
      </c>
      <c r="AS70" s="5">
        <f t="shared" ref="AS70:AS133" si="285">1/AN70*1000</f>
        <v>3.0944614122544865</v>
      </c>
      <c r="AT70" s="5">
        <f t="shared" si="212"/>
        <v>1.370820001013304</v>
      </c>
      <c r="AU70" s="5">
        <f t="shared" ref="AU70:AU105" si="286">AS70-AT70</f>
        <v>1.7236414112411824</v>
      </c>
      <c r="AV70" s="5">
        <f t="shared" si="213"/>
        <v>1.523641411241182</v>
      </c>
      <c r="AW70" s="150">
        <f t="shared" ref="AW70:AW105" si="287">AT70/AS70</f>
        <v>0.44299146713695348</v>
      </c>
      <c r="AX70" s="150">
        <f t="shared" si="214"/>
        <v>74.101632795440139</v>
      </c>
      <c r="AY70" s="150">
        <f t="shared" si="215"/>
        <v>2.7510871345767716</v>
      </c>
      <c r="AZ70" s="150">
        <f t="shared" ref="AZ70:AZ133" si="288">AX70/AY70</f>
        <v>26.935400142038745</v>
      </c>
      <c r="BA70" s="144">
        <f t="shared" si="216"/>
        <v>11.880440008781969</v>
      </c>
      <c r="BB70" s="5">
        <f t="shared" si="217"/>
        <v>2.3350849355733998</v>
      </c>
      <c r="BC70" s="5"/>
      <c r="BD70" s="150">
        <f t="shared" ref="BD70:BD133" si="289">AJ70*SQRT(AW70/3)</f>
        <v>3.7958544080423167</v>
      </c>
      <c r="BE70" s="150">
        <f t="shared" si="218"/>
        <v>4.2564034850934984</v>
      </c>
      <c r="BF70" s="150"/>
      <c r="BG70" s="456">
        <f t="shared" si="219"/>
        <v>0.17290212824465145</v>
      </c>
      <c r="BH70" s="456">
        <f t="shared" si="220"/>
        <v>3.7559094321892283</v>
      </c>
      <c r="BI70" s="456">
        <f t="shared" si="221"/>
        <v>3.7163171447084274E-2</v>
      </c>
      <c r="BJ70" s="456">
        <f t="shared" si="222"/>
        <v>0.69511222098589942</v>
      </c>
      <c r="BK70">
        <f t="shared" si="223"/>
        <v>1.5240612907225568E-2</v>
      </c>
      <c r="BL70" s="144">
        <f t="shared" ref="BL70:BL105" si="290">(BK70+BI70)*1000</f>
        <v>52.403784354309842</v>
      </c>
      <c r="BM70" s="456">
        <f t="shared" si="224"/>
        <v>4.8707033793751862</v>
      </c>
      <c r="BN70" s="144">
        <f t="shared" ref="BN70:BN105" si="291">BM70*1000</f>
        <v>4870.7033793751862</v>
      </c>
      <c r="BO70" s="456">
        <f t="shared" si="225"/>
        <v>1.7435599999999998</v>
      </c>
      <c r="BP70" s="456"/>
      <c r="BR70" s="144">
        <f t="shared" ref="BR70:BR105" si="292">SUM(BO70:BQ70)*1000</f>
        <v>1743.5599999999997</v>
      </c>
      <c r="BS70" s="456">
        <f t="shared" si="226"/>
        <v>0.20171914961876003</v>
      </c>
      <c r="BT70" s="456">
        <f t="shared" si="227"/>
        <v>0.2536375887908251</v>
      </c>
      <c r="BU70" s="456">
        <f t="shared" si="228"/>
        <v>28.786479761217588</v>
      </c>
      <c r="BV70" s="456">
        <f t="shared" si="229"/>
        <v>30.460763219991222</v>
      </c>
      <c r="BW70" s="456">
        <f t="shared" si="230"/>
        <v>3.1532609700187297</v>
      </c>
      <c r="BX70" s="144">
        <f t="shared" ref="BX70:BX105" si="293">1000*(BV70+BW70)</f>
        <v>33614.02419000995</v>
      </c>
      <c r="BY70" s="150">
        <f t="shared" si="231"/>
        <v>40.280691353739449</v>
      </c>
      <c r="BZ70" s="5">
        <f t="shared" ref="BZ70:BZ105" si="294">MIN(H70,O70)</f>
        <v>78</v>
      </c>
      <c r="CA70" s="150">
        <f t="shared" ref="CA70:CA104" si="295">BZ70/(BZ70+BY70)</f>
        <v>0.65944829293165963</v>
      </c>
      <c r="CB70" s="5">
        <f t="shared" ref="CB70:CB104" si="296">CA70*100</f>
        <v>65.944829293165967</v>
      </c>
      <c r="CE70" s="59">
        <f t="shared" si="232"/>
        <v>-50</v>
      </c>
      <c r="CF70">
        <f t="shared" si="233"/>
        <v>-50</v>
      </c>
      <c r="CG70" s="150">
        <f t="shared" si="234"/>
        <v>0.51223251684574767</v>
      </c>
      <c r="CI70" s="147">
        <v>65</v>
      </c>
      <c r="CJ70" s="188">
        <f t="shared" ref="CJ70:CJ105" si="297">IF(PLOT_TYPE=1, CI70/100*Iout_max, min_I*EXP(CR70*rr/100))</f>
        <v>2.6</v>
      </c>
      <c r="CK70" s="188"/>
      <c r="CL70" s="188">
        <f t="shared" si="235"/>
        <v>78</v>
      </c>
      <c r="CM70" s="465">
        <f t="shared" si="236"/>
        <v>34</v>
      </c>
      <c r="CN70" s="149">
        <f t="shared" si="237"/>
        <v>30.4</v>
      </c>
      <c r="CO70" s="379">
        <f t="shared" si="238"/>
        <v>64.400000000000006</v>
      </c>
      <c r="CP70" s="379"/>
      <c r="CQ70" s="188">
        <f t="shared" si="239"/>
        <v>0.47204968944099374</v>
      </c>
      <c r="CR70" s="149">
        <f t="shared" si="240"/>
        <v>244.918674788055</v>
      </c>
      <c r="CS70" s="149">
        <f t="shared" ref="CS70:CS105" si="298">CX70*CJ70</f>
        <v>78</v>
      </c>
      <c r="CT70" s="188">
        <f t="shared" si="241"/>
        <v>8.1639558262685004</v>
      </c>
      <c r="CU70" s="188">
        <f t="shared" si="242"/>
        <v>30</v>
      </c>
      <c r="CV70" s="188">
        <f t="shared" si="243"/>
        <v>8.1059037580776696</v>
      </c>
      <c r="CW70" s="149">
        <f t="shared" si="244"/>
        <v>164.21781373852281</v>
      </c>
      <c r="CX70" s="149">
        <f t="shared" si="245"/>
        <v>30</v>
      </c>
      <c r="CY70" s="188">
        <f t="shared" si="246"/>
        <v>9.719814241486068</v>
      </c>
      <c r="CZ70" s="188">
        <f t="shared" si="247"/>
        <v>1.3436213804407211</v>
      </c>
      <c r="DA70" s="188">
        <f t="shared" si="248"/>
        <v>1.5027344386508066</v>
      </c>
      <c r="DB70" s="172">
        <f t="shared" si="249"/>
        <v>350</v>
      </c>
      <c r="DC70" s="379">
        <f t="shared" ref="DC70:DC105" si="299">MIN(1/(CZ70+DA70)*1000, 350)</f>
        <v>350</v>
      </c>
      <c r="DE70" s="188">
        <f t="shared" si="250"/>
        <v>9.7566501161056465</v>
      </c>
      <c r="DF70" s="150">
        <f t="shared" si="251"/>
        <v>1.5084294587400178</v>
      </c>
      <c r="DG70" s="150">
        <f t="shared" si="252"/>
        <v>2.5755132294067704</v>
      </c>
      <c r="DH70" s="150"/>
      <c r="DI70" s="150">
        <f t="shared" si="253"/>
        <v>0.93700159489633172</v>
      </c>
      <c r="DJ70" s="314">
        <f t="shared" ref="DJ70:DJ105" si="300">MAX(12, CJ70/(0.5*DI70/1000000*Isw_min*Nps)/1000)</f>
        <v>915.68680851063834</v>
      </c>
      <c r="DK70" s="456">
        <f t="shared" si="254"/>
        <v>0.99378957034459414</v>
      </c>
      <c r="DM70" s="150">
        <f t="shared" si="255"/>
        <v>9.8029212196003073</v>
      </c>
      <c r="DN70" s="150">
        <f t="shared" si="256"/>
        <v>9.719814241486068</v>
      </c>
      <c r="DO70" s="150">
        <f t="shared" si="257"/>
        <v>3.9105245784296354</v>
      </c>
      <c r="DQ70" s="314">
        <f t="shared" si="258"/>
        <v>2600</v>
      </c>
      <c r="DR70" s="144">
        <f t="shared" si="259"/>
        <v>350</v>
      </c>
      <c r="DT70">
        <f t="shared" si="260"/>
        <v>2600</v>
      </c>
      <c r="DU70">
        <f t="shared" si="261"/>
        <v>350</v>
      </c>
      <c r="DW70" s="5">
        <f t="shared" ref="DW70:DW105" si="301">1/DR70*1000</f>
        <v>2.8571428571428572</v>
      </c>
      <c r="DX70" s="5">
        <f t="shared" si="262"/>
        <v>1.3436213804407211</v>
      </c>
      <c r="DY70" s="5">
        <f t="shared" ref="DY70:DY105" si="302">DW70-DX70</f>
        <v>1.5135214767021361</v>
      </c>
      <c r="DZ70" s="5">
        <f t="shared" si="263"/>
        <v>1.5027344386508066</v>
      </c>
      <c r="EA70" s="150">
        <f t="shared" ref="EA70:EA105" si="303">DX70/DW70</f>
        <v>0.47026748315425237</v>
      </c>
      <c r="EB70" s="150">
        <f t="shared" si="264"/>
        <v>77.705513861198696</v>
      </c>
      <c r="EC70" s="150">
        <f t="shared" si="265"/>
        <v>2.5744508307077782</v>
      </c>
      <c r="ED70" s="150">
        <f t="shared" ref="ED70:ED105" si="304">EB70/EC70</f>
        <v>30.183335775667384</v>
      </c>
      <c r="EE70" s="144">
        <f t="shared" si="266"/>
        <v>11.644718630486251</v>
      </c>
      <c r="EF70" s="5">
        <f t="shared" si="267"/>
        <v>2.0424684287675881</v>
      </c>
      <c r="EG70" s="5"/>
      <c r="EH70" s="150">
        <f t="shared" ref="EH70:EH105" si="305">DN70*SQRT(EA70/3)</f>
        <v>3.848307904883097</v>
      </c>
      <c r="EI70" s="150">
        <f t="shared" si="268"/>
        <v>4.0843754192711117</v>
      </c>
      <c r="EJ70" s="150"/>
      <c r="EK70" s="456">
        <f t="shared" si="269"/>
        <v>0.17771368476942878</v>
      </c>
      <c r="EL70" s="456">
        <f t="shared" si="270"/>
        <v>4.1626076470588238</v>
      </c>
      <c r="EM70" s="456">
        <f t="shared" si="271"/>
        <v>4.0250000000000001E-2</v>
      </c>
      <c r="EN70" s="456">
        <f t="shared" si="272"/>
        <v>0.75119058000000016</v>
      </c>
      <c r="EO70">
        <f t="shared" si="273"/>
        <v>1.5299999999999999E-2</v>
      </c>
      <c r="EP70" s="144">
        <f t="shared" ref="EP70:EP105" si="306">(EO70+EM70)*1000</f>
        <v>55.550000000000004</v>
      </c>
      <c r="EQ70" s="456">
        <f t="shared" si="274"/>
        <v>5.4240749312954231</v>
      </c>
      <c r="ER70" s="144">
        <f t="shared" ref="ER70:ER105" si="307">EQ70*1000</f>
        <v>5424.0749312954231</v>
      </c>
      <c r="ES70" s="456">
        <f t="shared" ref="ES70:ES105" si="308">Vfwd2*CJ70*(1+Diode_TC/1000*(Ta-25))</f>
        <v>1.7435599999999998</v>
      </c>
      <c r="ET70" s="456"/>
      <c r="EV70" s="144">
        <f t="shared" ref="EV70:EV105" si="309">SUM(ES70:EU70)*1000</f>
        <v>1743.5599999999997</v>
      </c>
      <c r="EW70" s="456">
        <f t="shared" si="275"/>
        <v>0.20733263223100024</v>
      </c>
      <c r="EX70" s="456">
        <f t="shared" si="276"/>
        <v>0.23354971591764498</v>
      </c>
      <c r="EY70" s="456">
        <f t="shared" si="277"/>
        <v>33.750874328720656</v>
      </c>
      <c r="EZ70" s="456">
        <f t="shared" si="278"/>
        <v>35.551490406057511</v>
      </c>
      <c r="FA70" s="456">
        <f t="shared" si="279"/>
        <v>3.3066176111148389</v>
      </c>
      <c r="FB70" s="144">
        <f t="shared" ref="FB70:FB105" si="310">1000*(EZ70+FA70)</f>
        <v>38858.108017172352</v>
      </c>
      <c r="FC70" s="150">
        <f t="shared" ref="FC70:FC105" si="311">SUM(EQ70,ES70:EU70,EZ70, FA70)</f>
        <v>46.025742948467773</v>
      </c>
      <c r="FD70" s="5">
        <f t="shared" ref="FD70:FD105" si="312">MIN(CL70,CS70)</f>
        <v>78</v>
      </c>
      <c r="FE70" s="150">
        <f t="shared" ref="FE70:FE105" si="313">FD70/(FD70+FC70)</f>
        <v>0.62890169529086148</v>
      </c>
      <c r="FF70" s="5">
        <f t="shared" ref="FF70:FF105" si="314">FE70*100</f>
        <v>62.890169529086151</v>
      </c>
      <c r="FI70" s="59">
        <f t="shared" si="280"/>
        <v>-50</v>
      </c>
      <c r="FJ70">
        <f t="shared" si="281"/>
        <v>-50</v>
      </c>
      <c r="FL70">
        <f t="shared" si="282"/>
        <v>0.52973251684574763</v>
      </c>
    </row>
    <row r="71" spans="5:168">
      <c r="E71" s="147">
        <v>66</v>
      </c>
      <c r="F71" s="188">
        <f t="shared" si="283"/>
        <v>2.64</v>
      </c>
      <c r="G71" s="188"/>
      <c r="H71" s="188">
        <f t="shared" si="183"/>
        <v>79.2</v>
      </c>
      <c r="I71" s="465">
        <f t="shared" si="184"/>
        <v>33.865583118802363</v>
      </c>
      <c r="J71" s="149">
        <f t="shared" si="185"/>
        <v>30.472378320644879</v>
      </c>
      <c r="K71" s="149">
        <f t="shared" si="186"/>
        <v>64.472378320644879</v>
      </c>
      <c r="L71" s="379"/>
      <c r="M71" s="188">
        <f t="shared" si="187"/>
        <v>0.473610434395415</v>
      </c>
      <c r="N71" s="149">
        <f t="shared" si="188"/>
        <v>244.75698094278056</v>
      </c>
      <c r="O71" s="149">
        <f t="shared" si="284"/>
        <v>79.2</v>
      </c>
      <c r="P71" s="188">
        <f t="shared" si="189"/>
        <v>8.1585660314260178</v>
      </c>
      <c r="Q71" s="188">
        <f t="shared" si="190"/>
        <v>30</v>
      </c>
      <c r="R71" s="188">
        <f t="shared" si="191"/>
        <v>8.1005522888636463</v>
      </c>
      <c r="S71" s="149">
        <f t="shared" si="192"/>
        <v>160.58026822053489</v>
      </c>
      <c r="T71" s="149">
        <f t="shared" si="193"/>
        <v>30</v>
      </c>
      <c r="U71" s="188">
        <f t="shared" si="194"/>
        <v>10.030593965014587</v>
      </c>
      <c r="V71" s="188">
        <f t="shared" si="195"/>
        <v>1.3920856307179326</v>
      </c>
      <c r="W71" s="188">
        <f t="shared" si="196"/>
        <v>1.5470991840380535</v>
      </c>
      <c r="X71" s="172">
        <f t="shared" si="197"/>
        <v>350</v>
      </c>
      <c r="Y71" s="379">
        <f t="shared" si="198"/>
        <v>318.55403839220327</v>
      </c>
      <c r="AA71" s="188">
        <f t="shared" si="199"/>
        <v>9.750608317027849</v>
      </c>
      <c r="AB71" s="150">
        <f t="shared" si="200"/>
        <v>1.5039147456036523</v>
      </c>
      <c r="AC71" s="150">
        <f t="shared" si="201"/>
        <v>2.5662146346521642</v>
      </c>
      <c r="AD71" s="150"/>
      <c r="AE71" s="150">
        <f t="shared" si="202"/>
        <v>0.9347760186329187</v>
      </c>
      <c r="AF71" s="314">
        <f t="shared" si="203"/>
        <v>931.98796570980005</v>
      </c>
      <c r="AG71" s="456">
        <f t="shared" si="204"/>
        <v>0.99142911067127737</v>
      </c>
      <c r="AI71" s="150">
        <f t="shared" si="205"/>
        <v>9.8897926419266735</v>
      </c>
      <c r="AJ71" s="150">
        <f t="shared" si="153"/>
        <v>10.030593965014587</v>
      </c>
      <c r="AK71" s="150">
        <f t="shared" si="207"/>
        <v>4.1407317810433524</v>
      </c>
      <c r="AM71" s="314">
        <f t="shared" si="208"/>
        <v>2640</v>
      </c>
      <c r="AN71" s="144">
        <f t="shared" si="209"/>
        <v>318.55403839220327</v>
      </c>
      <c r="AP71">
        <f t="shared" si="210"/>
        <v>2640</v>
      </c>
      <c r="AQ71">
        <f t="shared" si="211"/>
        <v>318.55403839220327</v>
      </c>
      <c r="AS71" s="5">
        <f t="shared" si="285"/>
        <v>3.1391848147559864</v>
      </c>
      <c r="AT71" s="5">
        <f t="shared" si="212"/>
        <v>1.3920856307179326</v>
      </c>
      <c r="AU71" s="5">
        <f t="shared" si="286"/>
        <v>1.7470991840380539</v>
      </c>
      <c r="AV71" s="5">
        <f t="shared" si="213"/>
        <v>1.5470991840380535</v>
      </c>
      <c r="AW71" s="150">
        <f t="shared" si="287"/>
        <v>0.44345449945295479</v>
      </c>
      <c r="AX71" s="150">
        <f t="shared" si="214"/>
        <v>75.318953768638949</v>
      </c>
      <c r="AY71" s="150">
        <f t="shared" si="215"/>
        <v>2.7912409695216072</v>
      </c>
      <c r="AZ71" s="150">
        <f t="shared" si="288"/>
        <v>26.984038494371884</v>
      </c>
      <c r="BA71" s="144">
        <f t="shared" si="216"/>
        <v>12.250353550317808</v>
      </c>
      <c r="BB71" s="5">
        <f t="shared" si="217"/>
        <v>2.4034509484921651</v>
      </c>
      <c r="BC71" s="5"/>
      <c r="BD71" s="150">
        <f t="shared" si="289"/>
        <v>3.856475318362492</v>
      </c>
      <c r="BE71" s="150">
        <f t="shared" si="218"/>
        <v>4.3203244340971194</v>
      </c>
      <c r="BF71" s="150"/>
      <c r="BG71" s="456">
        <f t="shared" si="219"/>
        <v>0.178468822573669</v>
      </c>
      <c r="BH71" s="456">
        <f t="shared" si="220"/>
        <v>3.7596405559888209</v>
      </c>
      <c r="BI71" s="456">
        <f t="shared" si="221"/>
        <v>3.6633714415103373E-2</v>
      </c>
      <c r="BJ71" s="456">
        <f t="shared" si="222"/>
        <v>0.68523707347826013</v>
      </c>
      <c r="BK71">
        <f t="shared" si="223"/>
        <v>1.5239512403461063E-2</v>
      </c>
      <c r="BL71" s="144">
        <f t="shared" si="290"/>
        <v>51.873226818564433</v>
      </c>
      <c r="BM71" s="456">
        <f t="shared" si="224"/>
        <v>4.8783975413179226</v>
      </c>
      <c r="BN71" s="144">
        <f t="shared" si="291"/>
        <v>4878.3975413179223</v>
      </c>
      <c r="BO71" s="456">
        <f t="shared" si="225"/>
        <v>1.7703839999999997</v>
      </c>
      <c r="BP71" s="456"/>
      <c r="BR71" s="144">
        <f t="shared" si="292"/>
        <v>1770.3839999999998</v>
      </c>
      <c r="BS71" s="456">
        <f t="shared" si="226"/>
        <v>0.20821362633594717</v>
      </c>
      <c r="BT71" s="456">
        <f t="shared" si="227"/>
        <v>0.26131284502199237</v>
      </c>
      <c r="BU71" s="456">
        <f t="shared" si="228"/>
        <v>28.856550788380652</v>
      </c>
      <c r="BV71" s="456">
        <f t="shared" si="229"/>
        <v>30.587702494395703</v>
      </c>
      <c r="BW71" s="456">
        <f t="shared" si="230"/>
        <v>3.2050618624952749</v>
      </c>
      <c r="BX71" s="144">
        <f t="shared" si="293"/>
        <v>33792.764356890977</v>
      </c>
      <c r="BY71" s="150">
        <f t="shared" si="231"/>
        <v>40.493419125027465</v>
      </c>
      <c r="BZ71" s="5">
        <f t="shared" si="294"/>
        <v>79.2</v>
      </c>
      <c r="CA71" s="150">
        <f t="shared" si="295"/>
        <v>0.66169051380569643</v>
      </c>
      <c r="CB71" s="5">
        <f t="shared" si="296"/>
        <v>66.169051380569641</v>
      </c>
      <c r="CE71" s="59">
        <f t="shared" si="232"/>
        <v>-50</v>
      </c>
      <c r="CF71">
        <f t="shared" si="233"/>
        <v>-50</v>
      </c>
      <c r="CG71" s="150">
        <f t="shared" si="234"/>
        <v>0.51065014593723346</v>
      </c>
      <c r="CI71" s="147">
        <v>66</v>
      </c>
      <c r="CJ71" s="188">
        <f t="shared" si="297"/>
        <v>2.64</v>
      </c>
      <c r="CK71" s="188"/>
      <c r="CL71" s="188">
        <f t="shared" si="235"/>
        <v>79.2</v>
      </c>
      <c r="CM71" s="465">
        <f t="shared" si="236"/>
        <v>34</v>
      </c>
      <c r="CN71" s="149">
        <f t="shared" si="237"/>
        <v>30.4</v>
      </c>
      <c r="CO71" s="379">
        <f t="shared" si="238"/>
        <v>64.400000000000006</v>
      </c>
      <c r="CP71" s="379"/>
      <c r="CQ71" s="188">
        <f t="shared" si="239"/>
        <v>0.47204968944099374</v>
      </c>
      <c r="CR71" s="149">
        <f t="shared" si="240"/>
        <v>244.918674788055</v>
      </c>
      <c r="CS71" s="149">
        <f t="shared" si="298"/>
        <v>79.2</v>
      </c>
      <c r="CT71" s="188">
        <f t="shared" si="241"/>
        <v>8.1639558262685004</v>
      </c>
      <c r="CU71" s="188">
        <f t="shared" si="242"/>
        <v>30</v>
      </c>
      <c r="CV71" s="188">
        <f t="shared" si="243"/>
        <v>8.1059037580776696</v>
      </c>
      <c r="CW71" s="149">
        <f t="shared" si="244"/>
        <v>161.21729908635254</v>
      </c>
      <c r="CX71" s="149">
        <f t="shared" si="245"/>
        <v>30</v>
      </c>
      <c r="CY71" s="188">
        <f t="shared" si="246"/>
        <v>9.8693498452012385</v>
      </c>
      <c r="CZ71" s="188">
        <f t="shared" si="247"/>
        <v>1.3642924786013477</v>
      </c>
      <c r="DA71" s="188">
        <f t="shared" si="248"/>
        <v>1.5258534300146653</v>
      </c>
      <c r="DB71" s="172">
        <f t="shared" si="249"/>
        <v>350</v>
      </c>
      <c r="DC71" s="379">
        <f t="shared" si="299"/>
        <v>346.00329243545497</v>
      </c>
      <c r="DE71" s="188">
        <f t="shared" si="250"/>
        <v>9.7566501161056465</v>
      </c>
      <c r="DF71" s="150">
        <f t="shared" si="251"/>
        <v>1.5084294587400178</v>
      </c>
      <c r="DG71" s="150">
        <f t="shared" si="252"/>
        <v>2.5755132294067704</v>
      </c>
      <c r="DH71" s="150"/>
      <c r="DI71" s="150">
        <f t="shared" si="253"/>
        <v>0.93700159489633172</v>
      </c>
      <c r="DJ71" s="314">
        <f t="shared" si="300"/>
        <v>929.77429787234053</v>
      </c>
      <c r="DK71" s="456">
        <f t="shared" si="254"/>
        <v>0.99378957034459414</v>
      </c>
      <c r="DM71" s="150">
        <f t="shared" si="255"/>
        <v>9.8780404884054569</v>
      </c>
      <c r="DN71" s="150">
        <f t="shared" si="256"/>
        <v>9.8693498452012385</v>
      </c>
      <c r="DO71" s="150">
        <f t="shared" si="257"/>
        <v>4.0212916922927242</v>
      </c>
      <c r="DQ71" s="314">
        <f t="shared" si="258"/>
        <v>2640</v>
      </c>
      <c r="DR71" s="144">
        <f t="shared" si="259"/>
        <v>346.00329243545497</v>
      </c>
      <c r="DT71">
        <f t="shared" si="260"/>
        <v>2640</v>
      </c>
      <c r="DU71">
        <f t="shared" si="261"/>
        <v>346.00329243545497</v>
      </c>
      <c r="DW71" s="5">
        <f t="shared" si="301"/>
        <v>2.8901459086160131</v>
      </c>
      <c r="DX71" s="5">
        <f t="shared" si="262"/>
        <v>1.3642924786013477</v>
      </c>
      <c r="DY71" s="5">
        <f t="shared" si="302"/>
        <v>1.5258534300146653</v>
      </c>
      <c r="DZ71" s="5">
        <f t="shared" si="263"/>
        <v>1.5258534300146653</v>
      </c>
      <c r="EA71" s="150">
        <f t="shared" si="303"/>
        <v>0.47204968944099379</v>
      </c>
      <c r="EB71" s="150">
        <f t="shared" si="264"/>
        <v>79.199999999999989</v>
      </c>
      <c r="EC71" s="150">
        <f t="shared" si="265"/>
        <v>2.6052631578947367</v>
      </c>
      <c r="ED71" s="150">
        <f t="shared" si="304"/>
        <v>30.4</v>
      </c>
      <c r="EE71" s="144">
        <f t="shared" si="266"/>
        <v>12.00577381169186</v>
      </c>
      <c r="EF71" s="5">
        <f t="shared" si="267"/>
        <v>2.0907887829958733</v>
      </c>
      <c r="EG71" s="5"/>
      <c r="EH71" s="150">
        <f t="shared" si="305"/>
        <v>3.9149099299481502</v>
      </c>
      <c r="EI71" s="150">
        <f t="shared" si="268"/>
        <v>4.1402297475765693</v>
      </c>
      <c r="EJ71" s="150"/>
      <c r="EK71" s="456">
        <f t="shared" si="269"/>
        <v>0.18391823711527958</v>
      </c>
      <c r="EL71" s="456">
        <f t="shared" si="270"/>
        <v>4.1783829787234046</v>
      </c>
      <c r="EM71" s="456">
        <f t="shared" si="271"/>
        <v>3.9790378630077325E-2</v>
      </c>
      <c r="EN71" s="456">
        <f t="shared" si="272"/>
        <v>0.74261261121856881</v>
      </c>
      <c r="EO71">
        <f t="shared" si="273"/>
        <v>1.5299999999999999E-2</v>
      </c>
      <c r="EP71" s="144">
        <f t="shared" si="306"/>
        <v>55.090378630077325</v>
      </c>
      <c r="EQ71" s="456">
        <f t="shared" si="274"/>
        <v>5.447721986461338</v>
      </c>
      <c r="ER71" s="144">
        <f t="shared" si="307"/>
        <v>5447.721986461338</v>
      </c>
      <c r="ES71" s="456">
        <f t="shared" si="308"/>
        <v>1.7703839999999997</v>
      </c>
      <c r="ET71" s="456"/>
      <c r="EV71" s="144">
        <f t="shared" si="309"/>
        <v>1770.3839999999998</v>
      </c>
      <c r="EW71" s="456">
        <f t="shared" si="275"/>
        <v>0.21457127663449285</v>
      </c>
      <c r="EX71" s="456">
        <f t="shared" si="276"/>
        <v>0.23998103307805121</v>
      </c>
      <c r="EY71" s="456">
        <f t="shared" si="277"/>
        <v>34.071554045454661</v>
      </c>
      <c r="EZ71" s="456">
        <f t="shared" si="278"/>
        <v>35.942208002598193</v>
      </c>
      <c r="FA71" s="456">
        <f t="shared" si="279"/>
        <v>3.3702127659574472</v>
      </c>
      <c r="FB71" s="144">
        <f t="shared" si="310"/>
        <v>39312.420768555639</v>
      </c>
      <c r="FC71" s="150">
        <f t="shared" si="311"/>
        <v>46.530526755016979</v>
      </c>
      <c r="FD71" s="5">
        <f t="shared" si="312"/>
        <v>79.2</v>
      </c>
      <c r="FE71" s="150">
        <f t="shared" si="313"/>
        <v>0.62991862075245553</v>
      </c>
      <c r="FF71" s="5">
        <f t="shared" si="314"/>
        <v>62.99186207524555</v>
      </c>
      <c r="FI71" s="59">
        <f t="shared" si="280"/>
        <v>-50</v>
      </c>
      <c r="FJ71">
        <f t="shared" si="281"/>
        <v>-50</v>
      </c>
      <c r="FL71">
        <f t="shared" si="282"/>
        <v>0.52795031055900621</v>
      </c>
    </row>
    <row r="72" spans="5:168">
      <c r="E72" s="147">
        <v>67</v>
      </c>
      <c r="F72" s="188">
        <f t="shared" si="283"/>
        <v>2.68</v>
      </c>
      <c r="G72" s="188"/>
      <c r="H72" s="188">
        <f t="shared" si="183"/>
        <v>80.400000000000006</v>
      </c>
      <c r="I72" s="465">
        <f t="shared" si="184"/>
        <v>33.863615462543052</v>
      </c>
      <c r="J72" s="149">
        <f t="shared" si="185"/>
        <v>30.473437827861432</v>
      </c>
      <c r="K72" s="149">
        <f t="shared" si="186"/>
        <v>64.473437827861432</v>
      </c>
      <c r="L72" s="379"/>
      <c r="M72" s="188">
        <f t="shared" si="187"/>
        <v>0.47363359837136859</v>
      </c>
      <c r="N72" s="149">
        <f t="shared" si="188"/>
        <v>244.75473029404941</v>
      </c>
      <c r="O72" s="149">
        <f t="shared" si="284"/>
        <v>80.400000000000006</v>
      </c>
      <c r="P72" s="188">
        <f t="shared" si="189"/>
        <v>8.1584910098016472</v>
      </c>
      <c r="Q72" s="188">
        <f t="shared" si="190"/>
        <v>30</v>
      </c>
      <c r="R72" s="188">
        <f t="shared" si="191"/>
        <v>8.1004778007013041</v>
      </c>
      <c r="S72" s="149">
        <f t="shared" si="192"/>
        <v>157.67173405277279</v>
      </c>
      <c r="T72" s="149">
        <f t="shared" si="193"/>
        <v>30</v>
      </c>
      <c r="U72" s="188">
        <f t="shared" si="194"/>
        <v>10.183020769212497</v>
      </c>
      <c r="V72" s="188">
        <f t="shared" si="195"/>
        <v>1.4133221441826691</v>
      </c>
      <c r="W72" s="188">
        <f t="shared" si="196"/>
        <v>1.570554588742227</v>
      </c>
      <c r="X72" s="172">
        <f t="shared" si="197"/>
        <v>350</v>
      </c>
      <c r="Y72" s="379">
        <f t="shared" si="198"/>
        <v>314.08251131674348</v>
      </c>
      <c r="AA72" s="188">
        <f t="shared" si="199"/>
        <v>9.7505184225132506</v>
      </c>
      <c r="AB72" s="150">
        <f t="shared" si="200"/>
        <v>1.5038485924916847</v>
      </c>
      <c r="AC72" s="150">
        <f t="shared" si="201"/>
        <v>2.5660780960081389</v>
      </c>
      <c r="AD72" s="150"/>
      <c r="AE72" s="150">
        <f t="shared" si="202"/>
        <v>0.93474351813385459</v>
      </c>
      <c r="AF72" s="314">
        <f t="shared" si="203"/>
        <v>946.14189116351235</v>
      </c>
      <c r="AG72" s="456">
        <f t="shared" si="204"/>
        <v>0.99139464044499725</v>
      </c>
      <c r="AI72" s="150">
        <f t="shared" si="205"/>
        <v>9.9646068726287886</v>
      </c>
      <c r="AJ72" s="150">
        <f t="shared" si="206"/>
        <v>10.183020769212497</v>
      </c>
      <c r="AK72" s="150">
        <f t="shared" si="207"/>
        <v>4.2536405248936573</v>
      </c>
      <c r="AM72" s="314">
        <f t="shared" si="208"/>
        <v>2680</v>
      </c>
      <c r="AN72" s="144">
        <f t="shared" si="209"/>
        <v>314.08251131674348</v>
      </c>
      <c r="AP72">
        <f t="shared" si="210"/>
        <v>2680</v>
      </c>
      <c r="AQ72">
        <f t="shared" si="211"/>
        <v>314.08251131674348</v>
      </c>
      <c r="AS72" s="5">
        <f t="shared" si="285"/>
        <v>3.1838767329248965</v>
      </c>
      <c r="AT72" s="5">
        <f t="shared" si="212"/>
        <v>1.4133221441826691</v>
      </c>
      <c r="AU72" s="5">
        <f t="shared" si="286"/>
        <v>1.7705545887422274</v>
      </c>
      <c r="AV72" s="5">
        <f t="shared" si="213"/>
        <v>1.570554588742227</v>
      </c>
      <c r="AW72" s="150">
        <f t="shared" si="287"/>
        <v>0.44389976834445732</v>
      </c>
      <c r="AX72" s="150">
        <f t="shared" si="214"/>
        <v>76.535844069484853</v>
      </c>
      <c r="AY72" s="150">
        <f t="shared" si="215"/>
        <v>2.831390104356136</v>
      </c>
      <c r="AZ72" s="150">
        <f t="shared" si="288"/>
        <v>27.031190068699228</v>
      </c>
      <c r="BA72" s="144">
        <f t="shared" si="216"/>
        <v>12.62567782136518</v>
      </c>
      <c r="BB72" s="5">
        <f t="shared" si="217"/>
        <v>2.4727665926025248</v>
      </c>
      <c r="BC72" s="5"/>
      <c r="BD72" s="150">
        <f t="shared" si="289"/>
        <v>3.9170441027816936</v>
      </c>
      <c r="BE72" s="150">
        <f t="shared" si="218"/>
        <v>4.3842220319688243</v>
      </c>
      <c r="BF72" s="150"/>
      <c r="BG72" s="456">
        <f t="shared" si="219"/>
        <v>0.18411881403764213</v>
      </c>
      <c r="BH72" s="456">
        <f t="shared" si="220"/>
        <v>3.7632587598497742</v>
      </c>
      <c r="BI72" s="456">
        <f t="shared" si="221"/>
        <v>3.6119488801425501E-2</v>
      </c>
      <c r="BJ72" s="456">
        <f t="shared" si="222"/>
        <v>0.67564064075397867</v>
      </c>
      <c r="BK72">
        <f t="shared" si="223"/>
        <v>1.5238626958144373E-2</v>
      </c>
      <c r="BL72" s="144">
        <f t="shared" si="290"/>
        <v>51.358115759569877</v>
      </c>
      <c r="BM72" s="456">
        <f t="shared" si="224"/>
        <v>4.8864981207688034</v>
      </c>
      <c r="BN72" s="144">
        <f t="shared" si="291"/>
        <v>4886.4981207688033</v>
      </c>
      <c r="BO72" s="456">
        <f t="shared" si="225"/>
        <v>1.7972079999999999</v>
      </c>
      <c r="BP72" s="456"/>
      <c r="BR72" s="144">
        <f t="shared" si="292"/>
        <v>1797.2079999999999</v>
      </c>
      <c r="BS72" s="456">
        <f t="shared" si="226"/>
        <v>0.2148052830439158</v>
      </c>
      <c r="BT72" s="456">
        <f t="shared" si="227"/>
        <v>0.26909963955841187</v>
      </c>
      <c r="BU72" s="456">
        <f t="shared" si="228"/>
        <v>28.924839989363228</v>
      </c>
      <c r="BV72" s="456">
        <f t="shared" si="229"/>
        <v>30.713890310470486</v>
      </c>
      <c r="BW72" s="456">
        <f t="shared" si="230"/>
        <v>3.2568444284887175</v>
      </c>
      <c r="BX72" s="144">
        <f t="shared" si="293"/>
        <v>33970.734738959203</v>
      </c>
      <c r="BY72" s="150">
        <f t="shared" si="231"/>
        <v>40.705798975487582</v>
      </c>
      <c r="BZ72" s="5">
        <f t="shared" si="294"/>
        <v>80.400000000000006</v>
      </c>
      <c r="CA72" s="150">
        <f t="shared" si="295"/>
        <v>0.66388232999704133</v>
      </c>
      <c r="CB72" s="5">
        <f t="shared" si="296"/>
        <v>66.38823299970413</v>
      </c>
      <c r="CE72" s="59">
        <f t="shared" si="232"/>
        <v>-50</v>
      </c>
      <c r="CF72">
        <f t="shared" si="233"/>
        <v>-50</v>
      </c>
      <c r="CG72" s="150">
        <f t="shared" si="234"/>
        <v>0.51090835734949869</v>
      </c>
      <c r="CI72" s="147">
        <v>67</v>
      </c>
      <c r="CJ72" s="188">
        <f t="shared" si="297"/>
        <v>2.68</v>
      </c>
      <c r="CK72" s="188"/>
      <c r="CL72" s="188">
        <f t="shared" si="235"/>
        <v>80.400000000000006</v>
      </c>
      <c r="CM72" s="465">
        <f t="shared" si="236"/>
        <v>34</v>
      </c>
      <c r="CN72" s="149">
        <f t="shared" si="237"/>
        <v>30.4</v>
      </c>
      <c r="CO72" s="379">
        <f t="shared" si="238"/>
        <v>64.400000000000006</v>
      </c>
      <c r="CP72" s="379"/>
      <c r="CQ72" s="188">
        <f t="shared" si="239"/>
        <v>0.47204968944099374</v>
      </c>
      <c r="CR72" s="149">
        <f t="shared" si="240"/>
        <v>244.918674788055</v>
      </c>
      <c r="CS72" s="149">
        <f t="shared" si="298"/>
        <v>80.400000000000006</v>
      </c>
      <c r="CT72" s="188">
        <f t="shared" si="241"/>
        <v>8.1639558262685004</v>
      </c>
      <c r="CU72" s="188">
        <f t="shared" si="242"/>
        <v>30</v>
      </c>
      <c r="CV72" s="188">
        <f t="shared" si="243"/>
        <v>8.1059037580776696</v>
      </c>
      <c r="CW72" s="149">
        <f t="shared" si="244"/>
        <v>158.30640743126409</v>
      </c>
      <c r="CX72" s="149">
        <f t="shared" si="245"/>
        <v>30</v>
      </c>
      <c r="CY72" s="188">
        <f t="shared" si="246"/>
        <v>10.018885448916411</v>
      </c>
      <c r="CZ72" s="188">
        <f t="shared" si="247"/>
        <v>1.3849635767619741</v>
      </c>
      <c r="DA72" s="188">
        <f t="shared" si="248"/>
        <v>1.5489724213785239</v>
      </c>
      <c r="DB72" s="172">
        <f t="shared" si="249"/>
        <v>350</v>
      </c>
      <c r="DC72" s="379">
        <f t="shared" si="299"/>
        <v>340.83906419014966</v>
      </c>
      <c r="DE72" s="188">
        <f t="shared" si="250"/>
        <v>9.7566501161056465</v>
      </c>
      <c r="DF72" s="150">
        <f t="shared" si="251"/>
        <v>1.5084294587400178</v>
      </c>
      <c r="DG72" s="150">
        <f t="shared" si="252"/>
        <v>2.5755132294067704</v>
      </c>
      <c r="DH72" s="150"/>
      <c r="DI72" s="150">
        <f t="shared" si="253"/>
        <v>0.93700159489633172</v>
      </c>
      <c r="DJ72" s="314">
        <f t="shared" si="300"/>
        <v>943.86178723404271</v>
      </c>
      <c r="DK72" s="456">
        <f t="shared" si="254"/>
        <v>0.99378957034459414</v>
      </c>
      <c r="DM72" s="150">
        <f t="shared" si="255"/>
        <v>9.9525927950190471</v>
      </c>
      <c r="DN72" s="150">
        <f t="shared" si="256"/>
        <v>10.018885448916411</v>
      </c>
      <c r="DO72" s="150">
        <f t="shared" si="257"/>
        <v>4.1320588061558148</v>
      </c>
      <c r="DQ72" s="314">
        <f t="shared" si="258"/>
        <v>2680</v>
      </c>
      <c r="DR72" s="144">
        <f t="shared" si="259"/>
        <v>340.83906419014966</v>
      </c>
      <c r="DT72">
        <f t="shared" si="260"/>
        <v>2680</v>
      </c>
      <c r="DU72">
        <f t="shared" si="261"/>
        <v>340.83906419014966</v>
      </c>
      <c r="DW72" s="5">
        <f t="shared" si="301"/>
        <v>2.9339359981404982</v>
      </c>
      <c r="DX72" s="5">
        <f t="shared" si="262"/>
        <v>1.3849635767619741</v>
      </c>
      <c r="DY72" s="5">
        <f t="shared" si="302"/>
        <v>1.5489724213785241</v>
      </c>
      <c r="DZ72" s="5">
        <f t="shared" si="263"/>
        <v>1.5489724213785239</v>
      </c>
      <c r="EA72" s="150">
        <f t="shared" si="303"/>
        <v>0.47204968944099374</v>
      </c>
      <c r="EB72" s="150">
        <f t="shared" si="264"/>
        <v>80.400000000000034</v>
      </c>
      <c r="EC72" s="150">
        <f t="shared" si="265"/>
        <v>2.6447368421052637</v>
      </c>
      <c r="ED72" s="150">
        <f t="shared" si="304"/>
        <v>30.400000000000006</v>
      </c>
      <c r="EE72" s="144">
        <f t="shared" si="266"/>
        <v>12.372341285740303</v>
      </c>
      <c r="EF72" s="5">
        <f t="shared" si="267"/>
        <v>2.1546259979036906</v>
      </c>
      <c r="EG72" s="5"/>
      <c r="EH72" s="150">
        <f t="shared" si="305"/>
        <v>3.9742267470685766</v>
      </c>
      <c r="EI72" s="150">
        <f t="shared" si="268"/>
        <v>4.2029605013277305</v>
      </c>
      <c r="EJ72" s="150"/>
      <c r="EK72" s="456">
        <f t="shared" si="269"/>
        <v>0.18953373884538335</v>
      </c>
      <c r="EL72" s="456">
        <f t="shared" si="270"/>
        <v>4.1783829787234046</v>
      </c>
      <c r="EM72" s="456">
        <f t="shared" si="271"/>
        <v>3.9196492381867218E-2</v>
      </c>
      <c r="EN72" s="456">
        <f t="shared" si="272"/>
        <v>0.73152884090187376</v>
      </c>
      <c r="EO72">
        <f t="shared" si="273"/>
        <v>1.5299999999999999E-2</v>
      </c>
      <c r="EP72" s="144">
        <f t="shared" si="306"/>
        <v>54.49649238186722</v>
      </c>
      <c r="EQ72" s="456">
        <f t="shared" si="274"/>
        <v>5.4505729931719236</v>
      </c>
      <c r="ER72" s="144">
        <f t="shared" si="307"/>
        <v>5450.5729931719234</v>
      </c>
      <c r="ES72" s="456">
        <f t="shared" si="308"/>
        <v>1.7972079999999999</v>
      </c>
      <c r="ET72" s="456"/>
      <c r="EV72" s="144">
        <f t="shared" si="309"/>
        <v>1797.2079999999999</v>
      </c>
      <c r="EW72" s="456">
        <f t="shared" si="275"/>
        <v>0.22112269531961393</v>
      </c>
      <c r="EX72" s="456">
        <f t="shared" si="276"/>
        <v>0.24730827766009467</v>
      </c>
      <c r="EY72" s="456">
        <f t="shared" si="277"/>
        <v>34.071554045454661</v>
      </c>
      <c r="EZ72" s="456">
        <f t="shared" si="278"/>
        <v>36.001547651565346</v>
      </c>
      <c r="FA72" s="456">
        <f t="shared" si="279"/>
        <v>3.4212765957446818</v>
      </c>
      <c r="FB72" s="144">
        <f t="shared" si="310"/>
        <v>39422.824247310025</v>
      </c>
      <c r="FC72" s="150">
        <f t="shared" si="311"/>
        <v>46.670605240481947</v>
      </c>
      <c r="FD72" s="5">
        <f t="shared" si="312"/>
        <v>80.400000000000006</v>
      </c>
      <c r="FE72" s="150">
        <f t="shared" si="313"/>
        <v>0.63271910799387854</v>
      </c>
      <c r="FF72" s="5">
        <f t="shared" si="314"/>
        <v>63.271910799387854</v>
      </c>
      <c r="FI72" s="59">
        <f t="shared" si="280"/>
        <v>-50</v>
      </c>
      <c r="FJ72">
        <f t="shared" si="281"/>
        <v>-50</v>
      </c>
      <c r="FL72">
        <f t="shared" si="282"/>
        <v>0.52795031055900621</v>
      </c>
    </row>
    <row r="73" spans="5:168">
      <c r="E73" s="147">
        <v>68</v>
      </c>
      <c r="F73" s="188">
        <f t="shared" si="283"/>
        <v>2.72</v>
      </c>
      <c r="G73" s="188"/>
      <c r="H73" s="188">
        <f t="shared" si="183"/>
        <v>81.600000000000009</v>
      </c>
      <c r="I73" s="465">
        <f t="shared" si="184"/>
        <v>33.861647738659627</v>
      </c>
      <c r="J73" s="149">
        <f t="shared" si="185"/>
        <v>30.474497371490965</v>
      </c>
      <c r="K73" s="149">
        <f t="shared" si="186"/>
        <v>64.474497371490969</v>
      </c>
      <c r="L73" s="379"/>
      <c r="M73" s="188">
        <f t="shared" si="187"/>
        <v>0.47365676349831592</v>
      </c>
      <c r="N73" s="149">
        <f t="shared" si="188"/>
        <v>244.75247836021711</v>
      </c>
      <c r="O73" s="149">
        <f t="shared" si="284"/>
        <v>81.600000000000009</v>
      </c>
      <c r="P73" s="188">
        <f t="shared" si="189"/>
        <v>8.15841594534057</v>
      </c>
      <c r="Q73" s="188">
        <f t="shared" si="190"/>
        <v>30</v>
      </c>
      <c r="R73" s="188">
        <f t="shared" si="191"/>
        <v>8.1004032700068649</v>
      </c>
      <c r="S73" s="149">
        <f t="shared" si="192"/>
        <v>154.84885766057508</v>
      </c>
      <c r="T73" s="149">
        <f t="shared" si="193"/>
        <v>30</v>
      </c>
      <c r="U73" s="188">
        <f t="shared" si="194"/>
        <v>10.335461012393184</v>
      </c>
      <c r="V73" s="188">
        <f t="shared" si="195"/>
        <v>1.434562993896729</v>
      </c>
      <c r="W73" s="188">
        <f t="shared" si="196"/>
        <v>1.5940104332513672</v>
      </c>
      <c r="X73" s="172">
        <f t="shared" si="197"/>
        <v>350</v>
      </c>
      <c r="Y73" s="379">
        <f t="shared" si="198"/>
        <v>309.73432154006559</v>
      </c>
      <c r="AA73" s="188">
        <f t="shared" si="199"/>
        <v>9.7504284829722447</v>
      </c>
      <c r="AB73" s="150">
        <f t="shared" si="200"/>
        <v>1.5037824352384868</v>
      </c>
      <c r="AC73" s="150">
        <f t="shared" si="201"/>
        <v>2.5659415405299737</v>
      </c>
      <c r="AD73" s="150"/>
      <c r="AE73" s="150">
        <f t="shared" si="202"/>
        <v>0.93471101877782548</v>
      </c>
      <c r="AF73" s="314">
        <f t="shared" si="203"/>
        <v>960.29679972495705</v>
      </c>
      <c r="AG73" s="456">
        <f t="shared" si="204"/>
        <v>0.99136017143102706</v>
      </c>
      <c r="AI73" s="150">
        <f t="shared" si="205"/>
        <v>10.038868707407518</v>
      </c>
      <c r="AJ73" s="150">
        <f t="shared" si="206"/>
        <v>10.335461012393184</v>
      </c>
      <c r="AK73" s="150">
        <f t="shared" si="207"/>
        <v>4.3665592235460169</v>
      </c>
      <c r="AM73" s="314">
        <f t="shared" si="208"/>
        <v>2720</v>
      </c>
      <c r="AN73" s="144">
        <f t="shared" si="209"/>
        <v>309.73432154006559</v>
      </c>
      <c r="AP73">
        <f t="shared" si="210"/>
        <v>2720</v>
      </c>
      <c r="AQ73">
        <f t="shared" si="211"/>
        <v>309.73432154006559</v>
      </c>
      <c r="AS73" s="5">
        <f t="shared" si="285"/>
        <v>3.2285734271480964</v>
      </c>
      <c r="AT73" s="5">
        <f t="shared" si="212"/>
        <v>1.434562993896729</v>
      </c>
      <c r="AU73" s="5">
        <f t="shared" si="286"/>
        <v>1.7940104332513673</v>
      </c>
      <c r="AV73" s="5">
        <f t="shared" si="213"/>
        <v>1.5940104332513672</v>
      </c>
      <c r="AW73" s="150">
        <f t="shared" si="287"/>
        <v>0.44433339562108864</v>
      </c>
      <c r="AX73" s="150">
        <f t="shared" si="214"/>
        <v>77.752954473669149</v>
      </c>
      <c r="AY73" s="150">
        <f t="shared" si="215"/>
        <v>2.8715352627235728</v>
      </c>
      <c r="AZ73" s="150">
        <f t="shared" si="288"/>
        <v>27.077137266258955</v>
      </c>
      <c r="BA73" s="144">
        <f t="shared" si="216"/>
        <v>13.006704477997012</v>
      </c>
      <c r="BB73" s="5">
        <f t="shared" si="217"/>
        <v>2.5430688270302788</v>
      </c>
      <c r="BC73" s="5"/>
      <c r="BD73" s="150">
        <f t="shared" si="289"/>
        <v>3.9776237810832118</v>
      </c>
      <c r="BE73" s="150">
        <f t="shared" si="218"/>
        <v>4.4481187599247471</v>
      </c>
      <c r="BF73" s="150"/>
      <c r="BG73" s="456">
        <f t="shared" si="219"/>
        <v>0.18985789132606448</v>
      </c>
      <c r="BH73" s="456">
        <f t="shared" si="220"/>
        <v>3.7667779462560071</v>
      </c>
      <c r="BI73" s="456">
        <f t="shared" si="221"/>
        <v>3.5619446977107547E-2</v>
      </c>
      <c r="BJ73" s="456">
        <f t="shared" si="222"/>
        <v>0.66630890341908966</v>
      </c>
      <c r="BK73">
        <f t="shared" si="223"/>
        <v>1.5237741482396832E-2</v>
      </c>
      <c r="BL73" s="144">
        <f t="shared" si="290"/>
        <v>50.857188459504378</v>
      </c>
      <c r="BM73" s="456">
        <f t="shared" si="224"/>
        <v>4.895021962620743</v>
      </c>
      <c r="BN73" s="144">
        <f t="shared" si="291"/>
        <v>4895.0219626207427</v>
      </c>
      <c r="BO73" s="456">
        <f t="shared" si="225"/>
        <v>1.8240319999999999</v>
      </c>
      <c r="BP73" s="456"/>
      <c r="BR73" s="144">
        <f t="shared" si="292"/>
        <v>1824.0319999999999</v>
      </c>
      <c r="BS73" s="456">
        <f t="shared" si="226"/>
        <v>0.22150087321374187</v>
      </c>
      <c r="BT73" s="456">
        <f t="shared" si="227"/>
        <v>0.27700064703352262</v>
      </c>
      <c r="BU73" s="456">
        <f t="shared" si="228"/>
        <v>28.991318494984871</v>
      </c>
      <c r="BV73" s="456">
        <f t="shared" si="229"/>
        <v>30.839336885769363</v>
      </c>
      <c r="BW73" s="456">
        <f t="shared" si="230"/>
        <v>3.3086363605816662</v>
      </c>
      <c r="BX73" s="144">
        <f t="shared" si="293"/>
        <v>34147.97324635103</v>
      </c>
      <c r="BY73" s="150">
        <f t="shared" si="231"/>
        <v>40.917884397431273</v>
      </c>
      <c r="BZ73" s="5">
        <f t="shared" si="294"/>
        <v>81.600000000000009</v>
      </c>
      <c r="CA73" s="150">
        <f t="shared" si="295"/>
        <v>0.66602521257468628</v>
      </c>
      <c r="CB73" s="5">
        <f t="shared" si="296"/>
        <v>66.602521257468624</v>
      </c>
      <c r="CE73" s="59">
        <f t="shared" si="232"/>
        <v>-50</v>
      </c>
      <c r="CF73">
        <f t="shared" si="233"/>
        <v>-50</v>
      </c>
      <c r="CG73" s="150">
        <f t="shared" si="234"/>
        <v>0.51115897430846202</v>
      </c>
      <c r="CI73" s="147">
        <v>68</v>
      </c>
      <c r="CJ73" s="188">
        <f t="shared" si="297"/>
        <v>2.72</v>
      </c>
      <c r="CK73" s="188"/>
      <c r="CL73" s="188">
        <f t="shared" si="235"/>
        <v>81.600000000000009</v>
      </c>
      <c r="CM73" s="465">
        <f t="shared" si="236"/>
        <v>34</v>
      </c>
      <c r="CN73" s="149">
        <f t="shared" si="237"/>
        <v>30.4</v>
      </c>
      <c r="CO73" s="379">
        <f t="shared" si="238"/>
        <v>64.400000000000006</v>
      </c>
      <c r="CP73" s="379"/>
      <c r="CQ73" s="188">
        <f t="shared" si="239"/>
        <v>0.47204968944099374</v>
      </c>
      <c r="CR73" s="149">
        <f t="shared" si="240"/>
        <v>244.918674788055</v>
      </c>
      <c r="CS73" s="149">
        <f t="shared" si="298"/>
        <v>81.600000000000009</v>
      </c>
      <c r="CT73" s="188">
        <f t="shared" si="241"/>
        <v>8.1639558262685004</v>
      </c>
      <c r="CU73" s="188">
        <f t="shared" si="242"/>
        <v>30</v>
      </c>
      <c r="CV73" s="188">
        <f t="shared" si="243"/>
        <v>8.1059037580776696</v>
      </c>
      <c r="CW73" s="149">
        <f t="shared" si="244"/>
        <v>155.48118533045934</v>
      </c>
      <c r="CX73" s="149">
        <f t="shared" si="245"/>
        <v>30</v>
      </c>
      <c r="CY73" s="188">
        <f t="shared" si="246"/>
        <v>10.168421052631581</v>
      </c>
      <c r="CZ73" s="188">
        <f t="shared" si="247"/>
        <v>1.405634674922601</v>
      </c>
      <c r="DA73" s="188">
        <f t="shared" si="248"/>
        <v>1.5720914127423826</v>
      </c>
      <c r="DB73" s="172">
        <f t="shared" si="249"/>
        <v>350</v>
      </c>
      <c r="DC73" s="379">
        <f t="shared" si="299"/>
        <v>335.82672501088274</v>
      </c>
      <c r="DE73" s="188">
        <f t="shared" si="250"/>
        <v>9.7566501161056465</v>
      </c>
      <c r="DF73" s="150">
        <f t="shared" si="251"/>
        <v>1.5084294587400178</v>
      </c>
      <c r="DG73" s="150">
        <f t="shared" si="252"/>
        <v>2.5755132294067704</v>
      </c>
      <c r="DH73" s="150"/>
      <c r="DI73" s="150">
        <f t="shared" si="253"/>
        <v>0.93700159489633172</v>
      </c>
      <c r="DJ73" s="314">
        <f t="shared" si="300"/>
        <v>957.94927659574478</v>
      </c>
      <c r="DK73" s="456">
        <f t="shared" si="254"/>
        <v>0.99378957034459414</v>
      </c>
      <c r="DM73" s="150">
        <f t="shared" si="255"/>
        <v>10.026590786321769</v>
      </c>
      <c r="DN73" s="150">
        <f t="shared" si="256"/>
        <v>10.168421052631581</v>
      </c>
      <c r="DO73" s="150">
        <f t="shared" si="257"/>
        <v>4.2428259200189045</v>
      </c>
      <c r="DQ73" s="314">
        <f t="shared" si="258"/>
        <v>2720</v>
      </c>
      <c r="DR73" s="144">
        <f t="shared" si="259"/>
        <v>335.82672501088274</v>
      </c>
      <c r="DT73">
        <f t="shared" si="260"/>
        <v>2720</v>
      </c>
      <c r="DU73">
        <f t="shared" si="261"/>
        <v>335.82672501088274</v>
      </c>
      <c r="DW73" s="5">
        <f t="shared" si="301"/>
        <v>2.9777260876649834</v>
      </c>
      <c r="DX73" s="5">
        <f t="shared" si="262"/>
        <v>1.405634674922601</v>
      </c>
      <c r="DY73" s="5">
        <f t="shared" si="302"/>
        <v>1.5720914127423824</v>
      </c>
      <c r="DZ73" s="5">
        <f t="shared" si="263"/>
        <v>1.5720914127423826</v>
      </c>
      <c r="EA73" s="150">
        <f t="shared" si="303"/>
        <v>0.47204968944099385</v>
      </c>
      <c r="EB73" s="150">
        <f t="shared" si="264"/>
        <v>81.600000000000037</v>
      </c>
      <c r="EC73" s="150">
        <f t="shared" si="265"/>
        <v>2.6842105263157903</v>
      </c>
      <c r="ED73" s="150">
        <f t="shared" si="304"/>
        <v>30.400000000000006</v>
      </c>
      <c r="EE73" s="144">
        <f t="shared" si="266"/>
        <v>12.744421052631582</v>
      </c>
      <c r="EF73" s="5">
        <f t="shared" si="267"/>
        <v>2.2194231709304222</v>
      </c>
      <c r="EG73" s="5"/>
      <c r="EH73" s="150">
        <f t="shared" si="305"/>
        <v>4.0335435641890047</v>
      </c>
      <c r="EI73" s="150">
        <f t="shared" si="268"/>
        <v>4.2656912550788899</v>
      </c>
      <c r="EJ73" s="150"/>
      <c r="EK73" s="456">
        <f t="shared" si="269"/>
        <v>0.19523368421052648</v>
      </c>
      <c r="EL73" s="456">
        <f t="shared" si="270"/>
        <v>4.1783829787234055</v>
      </c>
      <c r="EM73" s="456">
        <f t="shared" si="271"/>
        <v>3.8620073376251521E-2</v>
      </c>
      <c r="EN73" s="456">
        <f t="shared" si="272"/>
        <v>0.7207710638297874</v>
      </c>
      <c r="EO73">
        <f t="shared" si="273"/>
        <v>1.5299999999999999E-2</v>
      </c>
      <c r="EP73" s="144">
        <f t="shared" si="306"/>
        <v>53.920073376251523</v>
      </c>
      <c r="EQ73" s="456">
        <f t="shared" si="274"/>
        <v>5.4540193446799767</v>
      </c>
      <c r="ER73" s="144">
        <f t="shared" si="307"/>
        <v>5454.0193446799767</v>
      </c>
      <c r="ES73" s="456">
        <f t="shared" si="308"/>
        <v>1.8240319999999999</v>
      </c>
      <c r="ET73" s="456"/>
      <c r="EV73" s="144">
        <f t="shared" si="309"/>
        <v>1824.0319999999999</v>
      </c>
      <c r="EW73" s="456">
        <f t="shared" si="275"/>
        <v>0.22777263157894753</v>
      </c>
      <c r="EX73" s="456">
        <f t="shared" si="276"/>
        <v>0.25474570637119126</v>
      </c>
      <c r="EY73" s="456">
        <f t="shared" si="277"/>
        <v>34.071554045454633</v>
      </c>
      <c r="EZ73" s="456">
        <f t="shared" si="278"/>
        <v>36.06191979264382</v>
      </c>
      <c r="FA73" s="456">
        <f t="shared" si="279"/>
        <v>3.4723404255319164</v>
      </c>
      <c r="FB73" s="144">
        <f t="shared" si="310"/>
        <v>39534.260218175739</v>
      </c>
      <c r="FC73" s="150">
        <f t="shared" si="311"/>
        <v>46.812311562855719</v>
      </c>
      <c r="FD73" s="5">
        <f t="shared" si="312"/>
        <v>81.600000000000009</v>
      </c>
      <c r="FE73" s="150">
        <f t="shared" si="313"/>
        <v>0.63545308862427996</v>
      </c>
      <c r="FF73" s="5">
        <f t="shared" si="314"/>
        <v>63.545308862427994</v>
      </c>
      <c r="FI73" s="59">
        <f t="shared" si="280"/>
        <v>-50</v>
      </c>
      <c r="FJ73">
        <f t="shared" si="281"/>
        <v>-50</v>
      </c>
      <c r="FL73">
        <f t="shared" si="282"/>
        <v>0.52795031055900621</v>
      </c>
    </row>
    <row r="74" spans="5:168">
      <c r="E74" s="147">
        <v>69</v>
      </c>
      <c r="F74" s="188">
        <f t="shared" si="283"/>
        <v>2.76</v>
      </c>
      <c r="G74" s="188"/>
      <c r="H74" s="188">
        <f t="shared" si="183"/>
        <v>82.8</v>
      </c>
      <c r="I74" s="465">
        <f t="shared" si="184"/>
        <v>33.859679950187413</v>
      </c>
      <c r="J74" s="149">
        <f t="shared" si="185"/>
        <v>30.475556949899083</v>
      </c>
      <c r="K74" s="149">
        <f t="shared" si="186"/>
        <v>64.475556949899087</v>
      </c>
      <c r="L74" s="379"/>
      <c r="M74" s="188">
        <f t="shared" si="187"/>
        <v>0.47367992975402978</v>
      </c>
      <c r="N74" s="149">
        <f t="shared" si="188"/>
        <v>244.75022515156408</v>
      </c>
      <c r="O74" s="149">
        <f t="shared" si="284"/>
        <v>82.8</v>
      </c>
      <c r="P74" s="188">
        <f t="shared" si="189"/>
        <v>8.1583408383854685</v>
      </c>
      <c r="Q74" s="188">
        <f t="shared" si="190"/>
        <v>30</v>
      </c>
      <c r="R74" s="188">
        <f t="shared" si="191"/>
        <v>8.1003286971205579</v>
      </c>
      <c r="S74" s="149">
        <f t="shared" si="192"/>
        <v>152.10791532097417</v>
      </c>
      <c r="T74" s="149">
        <f t="shared" si="193"/>
        <v>30</v>
      </c>
      <c r="U74" s="188">
        <f t="shared" si="194"/>
        <v>10.487914696888311</v>
      </c>
      <c r="V74" s="188">
        <f t="shared" si="195"/>
        <v>1.4558081809365189</v>
      </c>
      <c r="W74" s="188">
        <f t="shared" si="196"/>
        <v>1.6174667178818625</v>
      </c>
      <c r="X74" s="172">
        <f t="shared" si="197"/>
        <v>350</v>
      </c>
      <c r="Y74" s="379">
        <f t="shared" si="198"/>
        <v>305.5044354389513</v>
      </c>
      <c r="AA74" s="188">
        <f t="shared" si="199"/>
        <v>9.7503384985375732</v>
      </c>
      <c r="AB74" s="150">
        <f t="shared" si="200"/>
        <v>1.5037162739458432</v>
      </c>
      <c r="AC74" s="150">
        <f t="shared" si="201"/>
        <v>2.5658049684280351</v>
      </c>
      <c r="AD74" s="150"/>
      <c r="AE74" s="150">
        <f t="shared" si="202"/>
        <v>0.93467852061495493</v>
      </c>
      <c r="AF74" s="314">
        <f t="shared" si="203"/>
        <v>974.4526913924966</v>
      </c>
      <c r="AG74" s="456">
        <f t="shared" si="204"/>
        <v>0.99132570368252793</v>
      </c>
      <c r="AI74" s="150">
        <f t="shared" si="205"/>
        <v>10.112590315824624</v>
      </c>
      <c r="AJ74" s="150">
        <f t="shared" si="206"/>
        <v>10.487914696888311</v>
      </c>
      <c r="AK74" s="150">
        <f t="shared" si="207"/>
        <v>4.4794878787275927</v>
      </c>
      <c r="AM74" s="314">
        <f t="shared" si="208"/>
        <v>2760</v>
      </c>
      <c r="AN74" s="144">
        <f t="shared" si="209"/>
        <v>305.5044354389513</v>
      </c>
      <c r="AP74">
        <f t="shared" si="210"/>
        <v>2760</v>
      </c>
      <c r="AQ74">
        <f t="shared" si="211"/>
        <v>305.5044354389513</v>
      </c>
      <c r="AS74" s="5">
        <f t="shared" si="285"/>
        <v>3.2732748988183813</v>
      </c>
      <c r="AT74" s="5">
        <f t="shared" si="212"/>
        <v>1.4558081809365189</v>
      </c>
      <c r="AU74" s="5">
        <f t="shared" si="286"/>
        <v>1.8174667178818624</v>
      </c>
      <c r="AV74" s="5">
        <f t="shared" si="213"/>
        <v>1.6174667178818625</v>
      </c>
      <c r="AW74" s="150">
        <f t="shared" si="287"/>
        <v>0.44475585642441784</v>
      </c>
      <c r="AX74" s="150">
        <f t="shared" si="214"/>
        <v>78.970279463220891</v>
      </c>
      <c r="AY74" s="150">
        <f t="shared" si="215"/>
        <v>2.9116766068837556</v>
      </c>
      <c r="AZ74" s="150">
        <f t="shared" si="288"/>
        <v>27.121926685305702</v>
      </c>
      <c r="BA74" s="144">
        <f t="shared" si="216"/>
        <v>13.393435264615974</v>
      </c>
      <c r="BB74" s="5">
        <f t="shared" si="217"/>
        <v>2.614357851927958</v>
      </c>
      <c r="BC74" s="5"/>
      <c r="BD74" s="150">
        <f t="shared" si="289"/>
        <v>4.0382142477982255</v>
      </c>
      <c r="BE74" s="150">
        <f t="shared" si="218"/>
        <v>4.5120147663707861</v>
      </c>
      <c r="BF74" s="150"/>
      <c r="BG74" s="456">
        <f t="shared" si="219"/>
        <v>0.19568609173344706</v>
      </c>
      <c r="BH74" s="456">
        <f t="shared" si="220"/>
        <v>3.7702021555337359</v>
      </c>
      <c r="BI74" s="456">
        <f t="shared" si="221"/>
        <v>3.51330100754794E-2</v>
      </c>
      <c r="BJ74" s="456">
        <f t="shared" si="222"/>
        <v>0.65723105873155707</v>
      </c>
      <c r="BK74">
        <f t="shared" si="223"/>
        <v>1.5236855977584335E-2</v>
      </c>
      <c r="BL74" s="144">
        <f t="shared" si="290"/>
        <v>50.369866053063731</v>
      </c>
      <c r="BM74" s="456">
        <f t="shared" si="224"/>
        <v>4.9039644535346483</v>
      </c>
      <c r="BN74" s="144">
        <f t="shared" si="291"/>
        <v>4903.9644535346479</v>
      </c>
      <c r="BO74" s="456">
        <f t="shared" si="225"/>
        <v>1.8508559999999996</v>
      </c>
      <c r="BP74" s="456"/>
      <c r="BR74" s="144">
        <f t="shared" si="292"/>
        <v>1850.8559999999995</v>
      </c>
      <c r="BS74" s="456">
        <f t="shared" si="226"/>
        <v>0.22830044035568822</v>
      </c>
      <c r="BT74" s="456">
        <f t="shared" si="227"/>
        <v>0.28501588152727231</v>
      </c>
      <c r="BU74" s="456">
        <f t="shared" si="228"/>
        <v>29.056056410847763</v>
      </c>
      <c r="BV74" s="456">
        <f t="shared" si="229"/>
        <v>30.96411969245251</v>
      </c>
      <c r="BW74" s="456">
        <f t="shared" si="230"/>
        <v>3.3604374239668471</v>
      </c>
      <c r="BX74" s="144">
        <f t="shared" si="293"/>
        <v>34324.557116419353</v>
      </c>
      <c r="BY74" s="150">
        <f t="shared" si="231"/>
        <v>41.129747436007065</v>
      </c>
      <c r="BZ74" s="5">
        <f t="shared" si="294"/>
        <v>82.8</v>
      </c>
      <c r="CA74" s="150">
        <f t="shared" si="295"/>
        <v>0.66812046109232159</v>
      </c>
      <c r="CB74" s="5">
        <f t="shared" si="296"/>
        <v>66.812046109232156</v>
      </c>
      <c r="CE74" s="59">
        <f t="shared" si="232"/>
        <v>-50</v>
      </c>
      <c r="CF74">
        <f t="shared" si="233"/>
        <v>-50</v>
      </c>
      <c r="CG74" s="150">
        <f t="shared" si="234"/>
        <v>0.51140232700774535</v>
      </c>
      <c r="CI74" s="147">
        <v>69</v>
      </c>
      <c r="CJ74" s="188">
        <f t="shared" si="297"/>
        <v>2.76</v>
      </c>
      <c r="CK74" s="188"/>
      <c r="CL74" s="188">
        <f t="shared" si="235"/>
        <v>82.8</v>
      </c>
      <c r="CM74" s="465">
        <f t="shared" si="236"/>
        <v>34</v>
      </c>
      <c r="CN74" s="149">
        <f t="shared" si="237"/>
        <v>30.4</v>
      </c>
      <c r="CO74" s="379">
        <f t="shared" si="238"/>
        <v>64.400000000000006</v>
      </c>
      <c r="CP74" s="379"/>
      <c r="CQ74" s="188">
        <f t="shared" si="239"/>
        <v>0.47204968944099374</v>
      </c>
      <c r="CR74" s="149">
        <f t="shared" si="240"/>
        <v>244.918674788055</v>
      </c>
      <c r="CS74" s="149">
        <f t="shared" si="298"/>
        <v>82.8</v>
      </c>
      <c r="CT74" s="188">
        <f t="shared" si="241"/>
        <v>8.1639558262685004</v>
      </c>
      <c r="CU74" s="188">
        <f t="shared" si="242"/>
        <v>30</v>
      </c>
      <c r="CV74" s="188">
        <f t="shared" si="243"/>
        <v>8.1059037580776696</v>
      </c>
      <c r="CW74" s="149">
        <f t="shared" si="244"/>
        <v>152.73790853246831</v>
      </c>
      <c r="CX74" s="149">
        <f t="shared" si="245"/>
        <v>30</v>
      </c>
      <c r="CY74" s="188">
        <f t="shared" si="246"/>
        <v>10.31795665634675</v>
      </c>
      <c r="CZ74" s="188">
        <f t="shared" si="247"/>
        <v>1.4263057730832271</v>
      </c>
      <c r="DA74" s="188">
        <f t="shared" si="248"/>
        <v>1.5952104041062412</v>
      </c>
      <c r="DB74" s="172">
        <f t="shared" si="249"/>
        <v>350</v>
      </c>
      <c r="DC74" s="379">
        <f t="shared" si="299"/>
        <v>330.95967102521774</v>
      </c>
      <c r="DE74" s="188">
        <f t="shared" si="250"/>
        <v>9.7566501161056465</v>
      </c>
      <c r="DF74" s="150">
        <f t="shared" si="251"/>
        <v>1.5084294587400178</v>
      </c>
      <c r="DG74" s="150">
        <f t="shared" si="252"/>
        <v>2.5755132294067704</v>
      </c>
      <c r="DH74" s="150"/>
      <c r="DI74" s="150">
        <f t="shared" si="253"/>
        <v>0.93700159489633172</v>
      </c>
      <c r="DJ74" s="314">
        <f t="shared" si="300"/>
        <v>972.03676595744673</v>
      </c>
      <c r="DK74" s="456">
        <f t="shared" si="254"/>
        <v>0.99378957034459414</v>
      </c>
      <c r="DM74" s="150">
        <f t="shared" si="255"/>
        <v>10.10004664589427</v>
      </c>
      <c r="DN74" s="150">
        <f t="shared" si="256"/>
        <v>10.31795665634675</v>
      </c>
      <c r="DO74" s="150">
        <f t="shared" si="257"/>
        <v>4.3535930338819924</v>
      </c>
      <c r="DQ74" s="314">
        <f t="shared" si="258"/>
        <v>2760</v>
      </c>
      <c r="DR74" s="144">
        <f t="shared" si="259"/>
        <v>330.95967102521774</v>
      </c>
      <c r="DT74">
        <f t="shared" si="260"/>
        <v>2760</v>
      </c>
      <c r="DU74">
        <f t="shared" si="261"/>
        <v>330.95967102521774</v>
      </c>
      <c r="DW74" s="5">
        <f t="shared" si="301"/>
        <v>3.0215161771894685</v>
      </c>
      <c r="DX74" s="5">
        <f t="shared" si="262"/>
        <v>1.4263057730832271</v>
      </c>
      <c r="DY74" s="5">
        <f t="shared" si="302"/>
        <v>1.5952104041062414</v>
      </c>
      <c r="DZ74" s="5">
        <f t="shared" si="263"/>
        <v>1.5952104041062412</v>
      </c>
      <c r="EA74" s="150">
        <f t="shared" si="303"/>
        <v>0.47204968944099374</v>
      </c>
      <c r="EB74" s="150">
        <f t="shared" si="264"/>
        <v>82.8</v>
      </c>
      <c r="EC74" s="150">
        <f t="shared" si="265"/>
        <v>2.7236842105263159</v>
      </c>
      <c r="ED74" s="150">
        <f t="shared" si="304"/>
        <v>30.4</v>
      </c>
      <c r="EE74" s="144">
        <f t="shared" si="266"/>
        <v>13.122013112365689</v>
      </c>
      <c r="EF74" s="5">
        <f t="shared" si="267"/>
        <v>2.2851803020760686</v>
      </c>
      <c r="EG74" s="5"/>
      <c r="EH74" s="150">
        <f t="shared" si="305"/>
        <v>4.0928603813094293</v>
      </c>
      <c r="EI74" s="150">
        <f t="shared" si="268"/>
        <v>4.3284220088300502</v>
      </c>
      <c r="EJ74" s="150"/>
      <c r="EK74" s="456">
        <f t="shared" si="269"/>
        <v>0.20101807321070841</v>
      </c>
      <c r="EL74" s="456">
        <f t="shared" si="270"/>
        <v>4.1783829787234046</v>
      </c>
      <c r="EM74" s="456">
        <f t="shared" si="271"/>
        <v>3.8060362167900041E-2</v>
      </c>
      <c r="EN74" s="456">
        <f t="shared" si="272"/>
        <v>0.71032510638297874</v>
      </c>
      <c r="EO74">
        <f t="shared" si="273"/>
        <v>1.5299999999999999E-2</v>
      </c>
      <c r="EP74" s="144">
        <f t="shared" si="306"/>
        <v>53.360362167900043</v>
      </c>
      <c r="EQ74" s="456">
        <f t="shared" si="274"/>
        <v>5.4580481169228294</v>
      </c>
      <c r="ER74" s="144">
        <f t="shared" si="307"/>
        <v>5458.0481169228296</v>
      </c>
      <c r="ES74" s="456">
        <f t="shared" si="308"/>
        <v>1.8508559999999996</v>
      </c>
      <c r="ET74" s="456"/>
      <c r="EV74" s="144">
        <f t="shared" si="309"/>
        <v>1850.8559999999995</v>
      </c>
      <c r="EW74" s="456">
        <f t="shared" si="275"/>
        <v>0.23452108541249314</v>
      </c>
      <c r="EX74" s="456">
        <f t="shared" si="276"/>
        <v>0.26229331921134114</v>
      </c>
      <c r="EY74" s="456">
        <f t="shared" si="277"/>
        <v>34.071554045454597</v>
      </c>
      <c r="EZ74" s="456">
        <f t="shared" si="278"/>
        <v>36.123331210248068</v>
      </c>
      <c r="FA74" s="456">
        <f t="shared" si="279"/>
        <v>3.5234042553191491</v>
      </c>
      <c r="FB74" s="144">
        <f t="shared" si="310"/>
        <v>39646.735465567217</v>
      </c>
      <c r="FC74" s="150">
        <f t="shared" si="311"/>
        <v>46.955639582490051</v>
      </c>
      <c r="FD74" s="5">
        <f t="shared" si="312"/>
        <v>82.8</v>
      </c>
      <c r="FE74" s="150">
        <f t="shared" si="313"/>
        <v>0.63812255302677023</v>
      </c>
      <c r="FF74" s="5">
        <f t="shared" si="314"/>
        <v>63.812255302677023</v>
      </c>
      <c r="FI74" s="59">
        <f t="shared" si="280"/>
        <v>-50</v>
      </c>
      <c r="FJ74">
        <f t="shared" si="281"/>
        <v>-50</v>
      </c>
      <c r="FL74">
        <f t="shared" si="282"/>
        <v>0.52795031055900621</v>
      </c>
    </row>
    <row r="75" spans="5:168">
      <c r="E75" s="147">
        <v>70</v>
      </c>
      <c r="F75" s="188">
        <f t="shared" si="283"/>
        <v>2.8</v>
      </c>
      <c r="G75" s="188"/>
      <c r="H75" s="188">
        <f t="shared" si="183"/>
        <v>84</v>
      </c>
      <c r="I75" s="465">
        <f t="shared" si="184"/>
        <v>33.857712099982741</v>
      </c>
      <c r="J75" s="149">
        <f t="shared" si="185"/>
        <v>30.476616561547754</v>
      </c>
      <c r="K75" s="149">
        <f t="shared" si="186"/>
        <v>64.476616561547758</v>
      </c>
      <c r="L75" s="379"/>
      <c r="M75" s="188">
        <f t="shared" si="187"/>
        <v>0.47370309711759534</v>
      </c>
      <c r="N75" s="149">
        <f t="shared" si="188"/>
        <v>244.74797067776151</v>
      </c>
      <c r="O75" s="149">
        <f t="shared" si="284"/>
        <v>84</v>
      </c>
      <c r="P75" s="188">
        <f t="shared" si="189"/>
        <v>8.1582656892587178</v>
      </c>
      <c r="Q75" s="188">
        <f t="shared" si="190"/>
        <v>30</v>
      </c>
      <c r="R75" s="188">
        <f t="shared" si="191"/>
        <v>8.1002540823624791</v>
      </c>
      <c r="S75" s="149">
        <f t="shared" si="192"/>
        <v>149.44539610044478</v>
      </c>
      <c r="T75" s="149">
        <f t="shared" si="193"/>
        <v>30</v>
      </c>
      <c r="U75" s="188">
        <f t="shared" si="194"/>
        <v>10.640381825030914</v>
      </c>
      <c r="V75" s="188">
        <f t="shared" si="195"/>
        <v>1.4770577063791264</v>
      </c>
      <c r="W75" s="188">
        <f t="shared" si="196"/>
        <v>1.6409234429501105</v>
      </c>
      <c r="X75" s="172">
        <f t="shared" si="197"/>
        <v>350</v>
      </c>
      <c r="Y75" s="379">
        <f t="shared" si="198"/>
        <v>301.3880896225586</v>
      </c>
      <c r="AA75" s="188">
        <f t="shared" si="199"/>
        <v>9.7502484693340321</v>
      </c>
      <c r="AB75" s="150">
        <f t="shared" si="200"/>
        <v>1.5036501087095302</v>
      </c>
      <c r="AC75" s="150">
        <f t="shared" si="201"/>
        <v>2.565668379900333</v>
      </c>
      <c r="AD75" s="150"/>
      <c r="AE75" s="150">
        <f t="shared" si="202"/>
        <v>0.9346460236923978</v>
      </c>
      <c r="AF75" s="314">
        <f t="shared" si="203"/>
        <v>988.60956616458952</v>
      </c>
      <c r="AG75" s="456">
        <f t="shared" si="204"/>
        <v>0.99129123724951262</v>
      </c>
      <c r="AI75" s="150">
        <f t="shared" si="205"/>
        <v>10.185783427862164</v>
      </c>
      <c r="AJ75" s="150">
        <f t="shared" si="206"/>
        <v>10.640381825030914</v>
      </c>
      <c r="AK75" s="150">
        <f t="shared" si="207"/>
        <v>4.5924264921665587</v>
      </c>
      <c r="AM75" s="314">
        <f t="shared" si="208"/>
        <v>2800</v>
      </c>
      <c r="AN75" s="144">
        <f t="shared" si="209"/>
        <v>301.3880896225586</v>
      </c>
      <c r="AP75">
        <f t="shared" si="210"/>
        <v>2800</v>
      </c>
      <c r="AQ75">
        <f t="shared" si="211"/>
        <v>301.3880896225586</v>
      </c>
      <c r="AS75" s="5">
        <f t="shared" si="285"/>
        <v>3.3179811493292366</v>
      </c>
      <c r="AT75" s="5">
        <f t="shared" si="212"/>
        <v>1.4770577063791264</v>
      </c>
      <c r="AU75" s="5">
        <f t="shared" si="286"/>
        <v>1.8409234429501102</v>
      </c>
      <c r="AV75" s="5">
        <f t="shared" si="213"/>
        <v>1.6409234429501105</v>
      </c>
      <c r="AW75" s="150">
        <f t="shared" si="287"/>
        <v>0.445167600387883</v>
      </c>
      <c r="AX75" s="150">
        <f t="shared" si="214"/>
        <v>80.187813816404685</v>
      </c>
      <c r="AY75" s="150">
        <f t="shared" si="215"/>
        <v>2.9518142903855291</v>
      </c>
      <c r="AZ75" s="150">
        <f t="shared" si="288"/>
        <v>27.165602550806661</v>
      </c>
      <c r="BA75" s="144">
        <f t="shared" si="216"/>
        <v>13.785871926205179</v>
      </c>
      <c r="BB75" s="5">
        <f t="shared" si="217"/>
        <v>2.6866338675211323</v>
      </c>
      <c r="BC75" s="5"/>
      <c r="BD75" s="150">
        <f t="shared" si="289"/>
        <v>4.0988154032548954</v>
      </c>
      <c r="BE75" s="150">
        <f t="shared" si="218"/>
        <v>4.575910191884212</v>
      </c>
      <c r="BF75" s="150"/>
      <c r="BG75" s="456">
        <f t="shared" si="219"/>
        <v>0.20160345251951509</v>
      </c>
      <c r="BH75" s="456">
        <f t="shared" si="220"/>
        <v>3.7735352111024003</v>
      </c>
      <c r="BI75" s="456">
        <f t="shared" si="221"/>
        <v>3.465963030659424E-2</v>
      </c>
      <c r="BJ75" s="456">
        <f t="shared" si="222"/>
        <v>0.64839688390146011</v>
      </c>
      <c r="BK75">
        <f t="shared" si="223"/>
        <v>1.5235970444992234E-2</v>
      </c>
      <c r="BL75" s="144">
        <f t="shared" si="290"/>
        <v>49.895600751586471</v>
      </c>
      <c r="BM75" s="456">
        <f t="shared" si="224"/>
        <v>4.9133213909507116</v>
      </c>
      <c r="BN75" s="144">
        <f t="shared" si="291"/>
        <v>4913.3213909507112</v>
      </c>
      <c r="BO75" s="456">
        <f t="shared" si="225"/>
        <v>1.8776799999999996</v>
      </c>
      <c r="BP75" s="456"/>
      <c r="BR75" s="144">
        <f t="shared" si="292"/>
        <v>1877.6799999999996</v>
      </c>
      <c r="BS75" s="456">
        <f t="shared" si="226"/>
        <v>0.23520402793943426</v>
      </c>
      <c r="BT75" s="456">
        <f t="shared" si="227"/>
        <v>0.29314535717865731</v>
      </c>
      <c r="BU75" s="456">
        <f t="shared" si="228"/>
        <v>29.119120276793819</v>
      </c>
      <c r="BV75" s="456">
        <f t="shared" si="229"/>
        <v>31.08831279010095</v>
      </c>
      <c r="BW75" s="456">
        <f t="shared" si="230"/>
        <v>3.4122473964427531</v>
      </c>
      <c r="BX75" s="144">
        <f t="shared" si="293"/>
        <v>34500.560186543698</v>
      </c>
      <c r="BY75" s="150">
        <f t="shared" si="231"/>
        <v>41.341457178245996</v>
      </c>
      <c r="BZ75" s="5">
        <f t="shared" si="294"/>
        <v>84</v>
      </c>
      <c r="CA75" s="150">
        <f t="shared" si="295"/>
        <v>0.6701693269812955</v>
      </c>
      <c r="CB75" s="5">
        <f t="shared" si="296"/>
        <v>67.016932698129551</v>
      </c>
      <c r="CE75" s="59">
        <f t="shared" si="232"/>
        <v>-50</v>
      </c>
      <c r="CF75">
        <f t="shared" si="233"/>
        <v>-50</v>
      </c>
      <c r="CG75" s="150">
        <f t="shared" si="234"/>
        <v>0.51163872677276334</v>
      </c>
      <c r="CI75" s="147">
        <v>70</v>
      </c>
      <c r="CJ75" s="188">
        <f t="shared" si="297"/>
        <v>2.8</v>
      </c>
      <c r="CK75" s="188"/>
      <c r="CL75" s="188">
        <f t="shared" si="235"/>
        <v>84</v>
      </c>
      <c r="CM75" s="465">
        <f t="shared" si="236"/>
        <v>34</v>
      </c>
      <c r="CN75" s="149">
        <f t="shared" si="237"/>
        <v>30.4</v>
      </c>
      <c r="CO75" s="379">
        <f t="shared" si="238"/>
        <v>64.400000000000006</v>
      </c>
      <c r="CP75" s="379"/>
      <c r="CQ75" s="188">
        <f t="shared" si="239"/>
        <v>0.47204968944099374</v>
      </c>
      <c r="CR75" s="149">
        <f t="shared" si="240"/>
        <v>244.918674788055</v>
      </c>
      <c r="CS75" s="149">
        <f t="shared" si="298"/>
        <v>84</v>
      </c>
      <c r="CT75" s="188">
        <f t="shared" si="241"/>
        <v>8.1639558262685004</v>
      </c>
      <c r="CU75" s="188">
        <f t="shared" si="242"/>
        <v>30</v>
      </c>
      <c r="CV75" s="188">
        <f t="shared" si="243"/>
        <v>8.1059037580776696</v>
      </c>
      <c r="CW75" s="149">
        <f t="shared" si="244"/>
        <v>150.073065606433</v>
      </c>
      <c r="CX75" s="149">
        <f t="shared" si="245"/>
        <v>30</v>
      </c>
      <c r="CY75" s="188">
        <f t="shared" si="246"/>
        <v>10.46749226006192</v>
      </c>
      <c r="CZ75" s="188">
        <f t="shared" si="247"/>
        <v>1.4469768712438535</v>
      </c>
      <c r="DA75" s="188">
        <f t="shared" si="248"/>
        <v>1.6183293954700995</v>
      </c>
      <c r="DB75" s="172">
        <f t="shared" si="249"/>
        <v>350</v>
      </c>
      <c r="DC75" s="379">
        <f t="shared" si="299"/>
        <v>326.23167572485755</v>
      </c>
      <c r="DE75" s="188">
        <f t="shared" si="250"/>
        <v>9.7566501161056465</v>
      </c>
      <c r="DF75" s="150">
        <f t="shared" si="251"/>
        <v>1.5084294587400178</v>
      </c>
      <c r="DG75" s="150">
        <f t="shared" si="252"/>
        <v>2.5755132294067704</v>
      </c>
      <c r="DH75" s="150"/>
      <c r="DI75" s="150">
        <f t="shared" si="253"/>
        <v>0.93700159489633172</v>
      </c>
      <c r="DJ75" s="314">
        <f t="shared" si="300"/>
        <v>986.12425531914892</v>
      </c>
      <c r="DK75" s="456">
        <f t="shared" si="254"/>
        <v>0.99378957034459414</v>
      </c>
      <c r="DM75" s="150">
        <f t="shared" si="255"/>
        <v>10.17297211743587</v>
      </c>
      <c r="DN75" s="150">
        <f t="shared" si="256"/>
        <v>10.46749226006192</v>
      </c>
      <c r="DO75" s="150">
        <f t="shared" si="257"/>
        <v>4.4643601477450821</v>
      </c>
      <c r="DQ75" s="314">
        <f t="shared" si="258"/>
        <v>2800</v>
      </c>
      <c r="DR75" s="144">
        <f t="shared" si="259"/>
        <v>326.23167572485755</v>
      </c>
      <c r="DT75">
        <f t="shared" si="260"/>
        <v>2800</v>
      </c>
      <c r="DU75">
        <f t="shared" si="261"/>
        <v>326.23167572485755</v>
      </c>
      <c r="DW75" s="5">
        <f t="shared" si="301"/>
        <v>3.0653062667139528</v>
      </c>
      <c r="DX75" s="5">
        <f t="shared" si="262"/>
        <v>1.4469768712438535</v>
      </c>
      <c r="DY75" s="5">
        <f t="shared" si="302"/>
        <v>1.6183293954700992</v>
      </c>
      <c r="DZ75" s="5">
        <f t="shared" si="263"/>
        <v>1.6183293954700995</v>
      </c>
      <c r="EA75" s="150">
        <f t="shared" si="303"/>
        <v>0.47204968944099379</v>
      </c>
      <c r="EB75" s="150">
        <f t="shared" si="264"/>
        <v>84</v>
      </c>
      <c r="EC75" s="150">
        <f t="shared" si="265"/>
        <v>2.7631578947368425</v>
      </c>
      <c r="ED75" s="150">
        <f t="shared" si="304"/>
        <v>30.399999999999995</v>
      </c>
      <c r="EE75" s="144">
        <f t="shared" si="266"/>
        <v>13.505117464942632</v>
      </c>
      <c r="EF75" s="5">
        <f t="shared" si="267"/>
        <v>2.3518973913406285</v>
      </c>
      <c r="EG75" s="5"/>
      <c r="EH75" s="150">
        <f t="shared" si="305"/>
        <v>4.1521771984298566</v>
      </c>
      <c r="EI75" s="150">
        <f t="shared" si="268"/>
        <v>4.3911527625812097</v>
      </c>
      <c r="EJ75" s="150"/>
      <c r="EK75" s="456">
        <f t="shared" si="269"/>
        <v>0.20688690584592972</v>
      </c>
      <c r="EL75" s="456">
        <f t="shared" si="270"/>
        <v>4.1783829787234046</v>
      </c>
      <c r="EM75" s="456">
        <f t="shared" si="271"/>
        <v>3.7516642708358625E-2</v>
      </c>
      <c r="EN75" s="456">
        <f t="shared" si="272"/>
        <v>0.70017760486322211</v>
      </c>
      <c r="EO75">
        <f t="shared" si="273"/>
        <v>1.5299999999999999E-2</v>
      </c>
      <c r="EP75" s="144">
        <f t="shared" si="306"/>
        <v>52.816642708358629</v>
      </c>
      <c r="EQ75" s="456">
        <f t="shared" si="274"/>
        <v>5.4626472828309591</v>
      </c>
      <c r="ER75" s="144">
        <f t="shared" si="307"/>
        <v>5462.6472828309588</v>
      </c>
      <c r="ES75" s="456">
        <f t="shared" si="308"/>
        <v>1.8776799999999996</v>
      </c>
      <c r="ET75" s="456"/>
      <c r="EV75" s="144">
        <f t="shared" si="309"/>
        <v>1877.6799999999996</v>
      </c>
      <c r="EW75" s="456">
        <f t="shared" si="275"/>
        <v>0.24136805682025136</v>
      </c>
      <c r="EX75" s="456">
        <f t="shared" si="276"/>
        <v>0.26995111618054424</v>
      </c>
      <c r="EY75" s="456">
        <f t="shared" si="277"/>
        <v>34.07155404545469</v>
      </c>
      <c r="EZ75" s="456">
        <f t="shared" si="278"/>
        <v>36.185788829468919</v>
      </c>
      <c r="FA75" s="456">
        <f t="shared" si="279"/>
        <v>3.5744680851063841</v>
      </c>
      <c r="FB75" s="144">
        <f t="shared" si="310"/>
        <v>39760.2569145753</v>
      </c>
      <c r="FC75" s="150">
        <f t="shared" si="311"/>
        <v>47.100584197406256</v>
      </c>
      <c r="FD75" s="5">
        <f t="shared" si="312"/>
        <v>84</v>
      </c>
      <c r="FE75" s="150">
        <f t="shared" si="313"/>
        <v>0.64072941027872166</v>
      </c>
      <c r="FF75" s="5">
        <f t="shared" si="314"/>
        <v>64.072941027872162</v>
      </c>
      <c r="FI75" s="59">
        <f t="shared" si="280"/>
        <v>-50</v>
      </c>
      <c r="FJ75">
        <f t="shared" si="281"/>
        <v>-50</v>
      </c>
      <c r="FL75">
        <f t="shared" si="282"/>
        <v>0.52795031055900621</v>
      </c>
    </row>
    <row r="76" spans="5:168">
      <c r="E76" s="147">
        <v>71</v>
      </c>
      <c r="F76" s="188">
        <f t="shared" si="283"/>
        <v>2.84</v>
      </c>
      <c r="G76" s="188"/>
      <c r="H76" s="188">
        <f t="shared" si="183"/>
        <v>85.199999999999989</v>
      </c>
      <c r="I76" s="465">
        <f t="shared" si="184"/>
        <v>33.855744190735983</v>
      </c>
      <c r="J76" s="149">
        <f t="shared" si="185"/>
        <v>30.477676204988317</v>
      </c>
      <c r="K76" s="149">
        <f t="shared" si="186"/>
        <v>64.477676204988313</v>
      </c>
      <c r="L76" s="379"/>
      <c r="M76" s="188">
        <f t="shared" si="187"/>
        <v>0.47372626556931446</v>
      </c>
      <c r="N76" s="149">
        <f t="shared" si="188"/>
        <v>244.74571494791633</v>
      </c>
      <c r="O76" s="149">
        <f t="shared" si="284"/>
        <v>85.199999999999989</v>
      </c>
      <c r="P76" s="188">
        <f t="shared" si="189"/>
        <v>8.1581904982638775</v>
      </c>
      <c r="Q76" s="188">
        <f t="shared" si="190"/>
        <v>30</v>
      </c>
      <c r="R76" s="188">
        <f t="shared" si="191"/>
        <v>8.1001794260340247</v>
      </c>
      <c r="S76" s="149">
        <f t="shared" si="192"/>
        <v>146.85798686989452</v>
      </c>
      <c r="T76" s="149">
        <f t="shared" si="193"/>
        <v>30</v>
      </c>
      <c r="U76" s="188">
        <f t="shared" si="194"/>
        <v>10.792862399155323</v>
      </c>
      <c r="V76" s="188">
        <f t="shared" si="195"/>
        <v>1.4983115713022905</v>
      </c>
      <c r="W76" s="188">
        <f t="shared" si="196"/>
        <v>1.6643806087725139</v>
      </c>
      <c r="X76" s="172">
        <f t="shared" si="197"/>
        <v>350</v>
      </c>
      <c r="Y76" s="379">
        <f t="shared" si="198"/>
        <v>297.38077303815373</v>
      </c>
      <c r="AA76" s="188">
        <f t="shared" si="199"/>
        <v>9.7501583954790689</v>
      </c>
      <c r="AB76" s="150">
        <f t="shared" si="200"/>
        <v>1.5035839396197559</v>
      </c>
      <c r="AC76" s="150">
        <f t="shared" si="201"/>
        <v>2.5655317751334352</v>
      </c>
      <c r="AD76" s="150"/>
      <c r="AE76" s="150">
        <f t="shared" si="202"/>
        <v>0.93461352805455467</v>
      </c>
      <c r="AF76" s="314">
        <f t="shared" si="203"/>
        <v>1002.7674240397838</v>
      </c>
      <c r="AG76" s="456">
        <f t="shared" si="204"/>
        <v>0.99125677217907315</v>
      </c>
      <c r="AI76" s="150">
        <f t="shared" si="205"/>
        <v>10.258459355830096</v>
      </c>
      <c r="AJ76" s="150">
        <f t="shared" si="206"/>
        <v>10.792862399155323</v>
      </c>
      <c r="AK76" s="150">
        <f t="shared" si="207"/>
        <v>4.7053750655920465</v>
      </c>
      <c r="AM76" s="314">
        <f t="shared" si="208"/>
        <v>2840</v>
      </c>
      <c r="AN76" s="144">
        <f t="shared" si="209"/>
        <v>297.38077303815373</v>
      </c>
      <c r="AP76">
        <f t="shared" si="210"/>
        <v>2840</v>
      </c>
      <c r="AQ76">
        <f t="shared" si="211"/>
        <v>297.38077303815373</v>
      </c>
      <c r="AS76" s="5">
        <f t="shared" si="285"/>
        <v>3.3626921800748049</v>
      </c>
      <c r="AT76" s="5">
        <f t="shared" si="212"/>
        <v>1.4983115713022905</v>
      </c>
      <c r="AU76" s="5">
        <f t="shared" si="286"/>
        <v>1.8643806087725143</v>
      </c>
      <c r="AV76" s="5">
        <f t="shared" si="213"/>
        <v>1.6643806087725139</v>
      </c>
      <c r="AW76" s="150">
        <f t="shared" si="287"/>
        <v>0.44556905332588598</v>
      </c>
      <c r="AX76" s="150">
        <f t="shared" si="214"/>
        <v>81.405552588104371</v>
      </c>
      <c r="AY76" s="150">
        <f t="shared" si="215"/>
        <v>2.9919484586435674</v>
      </c>
      <c r="AZ76" s="150">
        <f t="shared" si="288"/>
        <v>27.208206863633762</v>
      </c>
      <c r="BA76" s="144">
        <f t="shared" si="216"/>
        <v>14.184016208328348</v>
      </c>
      <c r="BB76" s="5">
        <f t="shared" si="217"/>
        <v>2.7598970741084208</v>
      </c>
      <c r="BC76" s="5"/>
      <c r="BD76" s="150">
        <f t="shared" si="289"/>
        <v>4.1594271531903297</v>
      </c>
      <c r="BE76" s="150">
        <f t="shared" si="218"/>
        <v>4.6398051697246139</v>
      </c>
      <c r="BF76" s="150"/>
      <c r="BG76" s="456">
        <f t="shared" si="219"/>
        <v>0.20761001091236414</v>
      </c>
      <c r="BH76" s="456">
        <f t="shared" si="220"/>
        <v>3.7767807338378074</v>
      </c>
      <c r="BI76" s="456">
        <f t="shared" si="221"/>
        <v>3.4198788899387683E-2</v>
      </c>
      <c r="BJ76" s="456">
        <f t="shared" si="222"/>
        <v>0.63979669768754033</v>
      </c>
      <c r="BK76">
        <f t="shared" si="223"/>
        <v>1.5235084885831193E-2</v>
      </c>
      <c r="BL76" s="144">
        <f t="shared" si="290"/>
        <v>49.433873785218879</v>
      </c>
      <c r="BM76" s="456">
        <f t="shared" si="224"/>
        <v>4.9230889599027048</v>
      </c>
      <c r="BN76" s="144">
        <f t="shared" si="291"/>
        <v>4923.088959902705</v>
      </c>
      <c r="BO76" s="456">
        <f t="shared" si="225"/>
        <v>1.9045039999999998</v>
      </c>
      <c r="BP76" s="456"/>
      <c r="BR76" s="144">
        <f t="shared" si="292"/>
        <v>1904.5039999999997</v>
      </c>
      <c r="BS76" s="456">
        <f t="shared" si="226"/>
        <v>0.24221167939775815</v>
      </c>
      <c r="BT76" s="456">
        <f t="shared" si="227"/>
        <v>0.30138908818204557</v>
      </c>
      <c r="BU76" s="456">
        <f t="shared" si="228"/>
        <v>29.180573290234683</v>
      </c>
      <c r="BV76" s="456">
        <f t="shared" si="229"/>
        <v>31.211987051546568</v>
      </c>
      <c r="BW76" s="456">
        <f t="shared" si="230"/>
        <v>3.4640660675789099</v>
      </c>
      <c r="BX76" s="144">
        <f t="shared" si="293"/>
        <v>34676.053119125478</v>
      </c>
      <c r="BY76" s="150">
        <f t="shared" si="231"/>
        <v>41.553079952813405</v>
      </c>
      <c r="BZ76" s="5">
        <f t="shared" si="294"/>
        <v>85.199999999999989</v>
      </c>
      <c r="CA76" s="150">
        <f t="shared" si="295"/>
        <v>0.67217301569096033</v>
      </c>
      <c r="CB76" s="5">
        <f t="shared" si="296"/>
        <v>67.217301569096037</v>
      </c>
      <c r="CE76" s="59">
        <f t="shared" si="232"/>
        <v>-50</v>
      </c>
      <c r="CF76">
        <f t="shared" si="233"/>
        <v>-50</v>
      </c>
      <c r="CG76" s="150">
        <f t="shared" si="234"/>
        <v>0.511868467389471</v>
      </c>
      <c r="CI76" s="147">
        <v>71</v>
      </c>
      <c r="CJ76" s="188">
        <f t="shared" si="297"/>
        <v>2.84</v>
      </c>
      <c r="CK76" s="188"/>
      <c r="CL76" s="188">
        <f t="shared" si="235"/>
        <v>85.199999999999989</v>
      </c>
      <c r="CM76" s="465">
        <f t="shared" si="236"/>
        <v>34</v>
      </c>
      <c r="CN76" s="149">
        <f t="shared" si="237"/>
        <v>30.4</v>
      </c>
      <c r="CO76" s="379">
        <f t="shared" si="238"/>
        <v>64.400000000000006</v>
      </c>
      <c r="CP76" s="379"/>
      <c r="CQ76" s="188">
        <f t="shared" si="239"/>
        <v>0.47204968944099374</v>
      </c>
      <c r="CR76" s="149">
        <f t="shared" si="240"/>
        <v>244.918674788055</v>
      </c>
      <c r="CS76" s="149">
        <f t="shared" si="298"/>
        <v>85.199999999999989</v>
      </c>
      <c r="CT76" s="188">
        <f t="shared" si="241"/>
        <v>8.1639558262685004</v>
      </c>
      <c r="CU76" s="188">
        <f t="shared" si="242"/>
        <v>30</v>
      </c>
      <c r="CV76" s="188">
        <f t="shared" si="243"/>
        <v>8.1059037580776696</v>
      </c>
      <c r="CW76" s="149">
        <f t="shared" si="244"/>
        <v>147.48334295483443</v>
      </c>
      <c r="CX76" s="149">
        <f t="shared" si="245"/>
        <v>30</v>
      </c>
      <c r="CY76" s="188">
        <f t="shared" si="246"/>
        <v>10.617027863777089</v>
      </c>
      <c r="CZ76" s="188">
        <f t="shared" si="247"/>
        <v>1.4676479694044799</v>
      </c>
      <c r="DA76" s="188">
        <f t="shared" si="248"/>
        <v>1.641448386833958</v>
      </c>
      <c r="DB76" s="172">
        <f t="shared" si="249"/>
        <v>350</v>
      </c>
      <c r="DC76" s="379">
        <f t="shared" si="299"/>
        <v>321.6368633907046</v>
      </c>
      <c r="DE76" s="188">
        <f t="shared" si="250"/>
        <v>9.7566501161056465</v>
      </c>
      <c r="DF76" s="150">
        <f t="shared" si="251"/>
        <v>1.5084294587400178</v>
      </c>
      <c r="DG76" s="150">
        <f t="shared" si="252"/>
        <v>2.5755132294067704</v>
      </c>
      <c r="DH76" s="150"/>
      <c r="DI76" s="150">
        <f t="shared" si="253"/>
        <v>0.93700159489633172</v>
      </c>
      <c r="DJ76" s="314">
        <f t="shared" si="300"/>
        <v>1000.211744680851</v>
      </c>
      <c r="DK76" s="456">
        <f t="shared" si="254"/>
        <v>0.99378957034459414</v>
      </c>
      <c r="DM76" s="150">
        <f t="shared" si="255"/>
        <v>10.245378526682906</v>
      </c>
      <c r="DN76" s="150">
        <f t="shared" si="256"/>
        <v>10.617027863777089</v>
      </c>
      <c r="DO76" s="150">
        <f t="shared" si="257"/>
        <v>4.5751272616081691</v>
      </c>
      <c r="DQ76" s="314">
        <f t="shared" si="258"/>
        <v>2840</v>
      </c>
      <c r="DR76" s="144">
        <f t="shared" si="259"/>
        <v>321.6368633907046</v>
      </c>
      <c r="DT76">
        <f t="shared" si="260"/>
        <v>2840</v>
      </c>
      <c r="DU76">
        <f t="shared" si="261"/>
        <v>321.6368633907046</v>
      </c>
      <c r="DW76" s="5">
        <f t="shared" si="301"/>
        <v>3.1090963562384379</v>
      </c>
      <c r="DX76" s="5">
        <f t="shared" si="262"/>
        <v>1.4676479694044799</v>
      </c>
      <c r="DY76" s="5">
        <f t="shared" si="302"/>
        <v>1.641448386833958</v>
      </c>
      <c r="DZ76" s="5">
        <f t="shared" si="263"/>
        <v>1.641448386833958</v>
      </c>
      <c r="EA76" s="150">
        <f t="shared" si="303"/>
        <v>0.47204968944099379</v>
      </c>
      <c r="EB76" s="150">
        <f t="shared" si="264"/>
        <v>85.2</v>
      </c>
      <c r="EC76" s="150">
        <f t="shared" si="265"/>
        <v>2.8026315789473681</v>
      </c>
      <c r="ED76" s="150">
        <f t="shared" si="304"/>
        <v>30.400000000000006</v>
      </c>
      <c r="EE76" s="144">
        <f t="shared" si="266"/>
        <v>13.893734110362407</v>
      </c>
      <c r="EF76" s="5">
        <f t="shared" si="267"/>
        <v>2.4195744387241032</v>
      </c>
      <c r="EG76" s="5"/>
      <c r="EH76" s="150">
        <f t="shared" si="305"/>
        <v>4.211494015550282</v>
      </c>
      <c r="EI76" s="150">
        <f t="shared" si="268"/>
        <v>4.4538835163323691</v>
      </c>
      <c r="EJ76" s="150"/>
      <c r="EK76" s="456">
        <f t="shared" si="269"/>
        <v>0.21284018211619005</v>
      </c>
      <c r="EL76" s="456">
        <f t="shared" si="270"/>
        <v>4.1783829787234046</v>
      </c>
      <c r="EM76" s="456">
        <f t="shared" si="271"/>
        <v>3.6988239289931037E-2</v>
      </c>
      <c r="EN76" s="456">
        <f t="shared" si="272"/>
        <v>0.69031594845669775</v>
      </c>
      <c r="EO76">
        <f t="shared" si="273"/>
        <v>1.5299999999999999E-2</v>
      </c>
      <c r="EP76" s="144">
        <f t="shared" si="306"/>
        <v>52.288239289931035</v>
      </c>
      <c r="EQ76" s="456">
        <f t="shared" si="274"/>
        <v>5.4678056529850423</v>
      </c>
      <c r="ER76" s="144">
        <f t="shared" si="307"/>
        <v>5467.8056529850419</v>
      </c>
      <c r="ES76" s="456">
        <f t="shared" si="308"/>
        <v>1.9045039999999998</v>
      </c>
      <c r="ET76" s="456"/>
      <c r="EV76" s="144">
        <f t="shared" si="309"/>
        <v>1904.5039999999997</v>
      </c>
      <c r="EW76" s="456">
        <f t="shared" si="275"/>
        <v>0.24831354580222173</v>
      </c>
      <c r="EX76" s="456">
        <f t="shared" si="276"/>
        <v>0.27771909727880068</v>
      </c>
      <c r="EY76" s="456">
        <f t="shared" si="277"/>
        <v>34.071554045454633</v>
      </c>
      <c r="EZ76" s="456">
        <f t="shared" si="278"/>
        <v>36.249299718119801</v>
      </c>
      <c r="FA76" s="456">
        <f t="shared" si="279"/>
        <v>3.6255319148936169</v>
      </c>
      <c r="FB76" s="144">
        <f t="shared" si="310"/>
        <v>39874.831633013411</v>
      </c>
      <c r="FC76" s="150">
        <f t="shared" si="311"/>
        <v>47.247141285998453</v>
      </c>
      <c r="FD76" s="5">
        <f t="shared" si="312"/>
        <v>85.199999999999989</v>
      </c>
      <c r="FE76" s="150">
        <f t="shared" si="313"/>
        <v>0.64327549219068614</v>
      </c>
      <c r="FF76" s="5">
        <f t="shared" si="314"/>
        <v>64.327549219068615</v>
      </c>
      <c r="FI76" s="59">
        <f t="shared" si="280"/>
        <v>-50</v>
      </c>
      <c r="FJ76">
        <f t="shared" si="281"/>
        <v>-50</v>
      </c>
      <c r="FL76">
        <f t="shared" si="282"/>
        <v>0.52795031055900621</v>
      </c>
    </row>
    <row r="77" spans="5:168">
      <c r="E77" s="147">
        <v>72</v>
      </c>
      <c r="F77" s="188">
        <f t="shared" si="283"/>
        <v>2.88</v>
      </c>
      <c r="G77" s="188"/>
      <c r="H77" s="188">
        <f t="shared" si="183"/>
        <v>86.399999999999991</v>
      </c>
      <c r="I77" s="465">
        <f t="shared" si="184"/>
        <v>33.853776224983406</v>
      </c>
      <c r="J77" s="149">
        <f t="shared" si="185"/>
        <v>30.478735878855087</v>
      </c>
      <c r="K77" s="149">
        <f t="shared" si="186"/>
        <v>64.47873587885509</v>
      </c>
      <c r="L77" s="379"/>
      <c r="M77" s="188">
        <f t="shared" si="187"/>
        <v>0.47374943509061923</v>
      </c>
      <c r="N77" s="149">
        <f t="shared" si="188"/>
        <v>244.74345797061122</v>
      </c>
      <c r="O77" s="149">
        <f t="shared" si="284"/>
        <v>86.399999999999991</v>
      </c>
      <c r="P77" s="188">
        <f t="shared" si="189"/>
        <v>8.1581152656870408</v>
      </c>
      <c r="Q77" s="188">
        <f t="shared" si="190"/>
        <v>30</v>
      </c>
      <c r="R77" s="188">
        <f t="shared" si="191"/>
        <v>8.1001047284192538</v>
      </c>
      <c r="S77" s="149">
        <f t="shared" si="192"/>
        <v>144.34255856840068</v>
      </c>
      <c r="T77" s="149">
        <f t="shared" si="193"/>
        <v>30</v>
      </c>
      <c r="U77" s="188">
        <f t="shared" si="194"/>
        <v>10.945356421597113</v>
      </c>
      <c r="V77" s="188">
        <f t="shared" si="195"/>
        <v>1.5195697767843814</v>
      </c>
      <c r="W77" s="188">
        <f t="shared" si="196"/>
        <v>1.6878382156654872</v>
      </c>
      <c r="X77" s="172">
        <f t="shared" si="197"/>
        <v>350</v>
      </c>
      <c r="Y77" s="379">
        <f t="shared" si="198"/>
        <v>293.47821048016527</v>
      </c>
      <c r="AA77" s="188">
        <f t="shared" si="199"/>
        <v>9.7500682770832992</v>
      </c>
      <c r="AB77" s="150">
        <f t="shared" si="200"/>
        <v>1.5035177667615558</v>
      </c>
      <c r="AC77" s="150">
        <f t="shared" si="201"/>
        <v>2.5653951543032703</v>
      </c>
      <c r="AD77" s="150"/>
      <c r="AE77" s="150">
        <f t="shared" si="202"/>
        <v>0.93458103374327006</v>
      </c>
      <c r="AF77" s="314">
        <f t="shared" si="203"/>
        <v>1016.9262650167105</v>
      </c>
      <c r="AG77" s="456">
        <f t="shared" si="204"/>
        <v>0.99122230851558957</v>
      </c>
      <c r="AI77" s="150">
        <f t="shared" si="205"/>
        <v>10.33062901488994</v>
      </c>
      <c r="AJ77" s="150">
        <f t="shared" si="206"/>
        <v>10.945356421597113</v>
      </c>
      <c r="AK77" s="150">
        <f t="shared" si="207"/>
        <v>4.8183336007341131</v>
      </c>
      <c r="AM77" s="314">
        <f t="shared" si="208"/>
        <v>2880</v>
      </c>
      <c r="AN77" s="144">
        <f t="shared" si="209"/>
        <v>293.47821048016527</v>
      </c>
      <c r="AP77">
        <f t="shared" si="210"/>
        <v>2880</v>
      </c>
      <c r="AQ77">
        <f t="shared" si="211"/>
        <v>293.47821048016527</v>
      </c>
      <c r="AS77" s="5">
        <f t="shared" si="285"/>
        <v>3.4074079924498686</v>
      </c>
      <c r="AT77" s="5">
        <f t="shared" si="212"/>
        <v>1.5195697767843814</v>
      </c>
      <c r="AU77" s="5">
        <f t="shared" si="286"/>
        <v>1.8878382156654872</v>
      </c>
      <c r="AV77" s="5">
        <f t="shared" si="213"/>
        <v>1.6878382156654872</v>
      </c>
      <c r="AW77" s="150">
        <f t="shared" si="287"/>
        <v>0.44596061879042448</v>
      </c>
      <c r="AX77" s="150">
        <f t="shared" si="214"/>
        <v>82.623491091745251</v>
      </c>
      <c r="AY77" s="150">
        <f t="shared" si="215"/>
        <v>3.0320792494699593</v>
      </c>
      <c r="AZ77" s="150">
        <f t="shared" si="288"/>
        <v>27.249779538641263</v>
      </c>
      <c r="BA77" s="144">
        <f t="shared" si="216"/>
        <v>14.587869857130062</v>
      </c>
      <c r="BB77" s="5">
        <f t="shared" si="217"/>
        <v>2.8341476720615173</v>
      </c>
      <c r="BC77" s="5"/>
      <c r="BD77" s="150">
        <f t="shared" si="289"/>
        <v>4.2200494083933195</v>
      </c>
      <c r="BE77" s="150">
        <f t="shared" si="218"/>
        <v>4.7036998263053436</v>
      </c>
      <c r="BF77" s="150"/>
      <c r="BG77" s="456">
        <f t="shared" si="219"/>
        <v>0.21370580411136966</v>
      </c>
      <c r="BH77" s="456">
        <f t="shared" si="220"/>
        <v>3.7799421553088788</v>
      </c>
      <c r="BI77" s="456">
        <f t="shared" si="221"/>
        <v>3.3749994205219014E-2</v>
      </c>
      <c r="BJ77" s="456">
        <f t="shared" si="222"/>
        <v>0.63142132500547532</v>
      </c>
      <c r="BK77">
        <f t="shared" si="223"/>
        <v>1.5234199301242533E-2</v>
      </c>
      <c r="BL77" s="144">
        <f t="shared" si="290"/>
        <v>48.984193506461551</v>
      </c>
      <c r="BM77" s="456">
        <f t="shared" si="224"/>
        <v>4.9332637117423266</v>
      </c>
      <c r="BN77" s="144">
        <f t="shared" si="291"/>
        <v>4933.2637117423264</v>
      </c>
      <c r="BO77" s="456">
        <f t="shared" si="225"/>
        <v>1.9313279999999999</v>
      </c>
      <c r="BP77" s="456"/>
      <c r="BR77" s="144">
        <f t="shared" si="292"/>
        <v>1931.328</v>
      </c>
      <c r="BS77" s="456">
        <f t="shared" si="226"/>
        <v>0.24932343812993127</v>
      </c>
      <c r="BT77" s="456">
        <f t="shared" si="227"/>
        <v>0.30974708878378887</v>
      </c>
      <c r="BU77" s="456">
        <f t="shared" si="228"/>
        <v>29.240475512946478</v>
      </c>
      <c r="BV77" s="456">
        <f t="shared" si="229"/>
        <v>31.335210372219407</v>
      </c>
      <c r="BW77" s="456">
        <f t="shared" si="230"/>
        <v>3.515893237946607</v>
      </c>
      <c r="BX77" s="144">
        <f t="shared" si="293"/>
        <v>34851.103610166014</v>
      </c>
      <c r="BY77" s="150">
        <f t="shared" si="231"/>
        <v>41.764679515414798</v>
      </c>
      <c r="BZ77" s="5">
        <f t="shared" si="294"/>
        <v>86.399999999999991</v>
      </c>
      <c r="CA77" s="150">
        <f t="shared" si="295"/>
        <v>0.67413268871482168</v>
      </c>
      <c r="CB77" s="5">
        <f t="shared" si="296"/>
        <v>67.413268871482174</v>
      </c>
      <c r="CE77" s="59">
        <f t="shared" si="232"/>
        <v>-50</v>
      </c>
      <c r="CF77">
        <f t="shared" si="233"/>
        <v>-50</v>
      </c>
      <c r="CG77" s="150">
        <f t="shared" si="234"/>
        <v>0.51209182632238115</v>
      </c>
      <c r="CI77" s="147">
        <v>72</v>
      </c>
      <c r="CJ77" s="188">
        <f t="shared" si="297"/>
        <v>2.88</v>
      </c>
      <c r="CK77" s="188"/>
      <c r="CL77" s="188">
        <f t="shared" si="235"/>
        <v>86.399999999999991</v>
      </c>
      <c r="CM77" s="465">
        <f t="shared" si="236"/>
        <v>34</v>
      </c>
      <c r="CN77" s="149">
        <f t="shared" si="237"/>
        <v>30.4</v>
      </c>
      <c r="CO77" s="379">
        <f t="shared" si="238"/>
        <v>64.400000000000006</v>
      </c>
      <c r="CP77" s="379"/>
      <c r="CQ77" s="188">
        <f t="shared" si="239"/>
        <v>0.47204968944099374</v>
      </c>
      <c r="CR77" s="149">
        <f t="shared" si="240"/>
        <v>244.918674788055</v>
      </c>
      <c r="CS77" s="149">
        <f t="shared" si="298"/>
        <v>86.399999999999991</v>
      </c>
      <c r="CT77" s="188">
        <f t="shared" si="241"/>
        <v>8.1639558262685004</v>
      </c>
      <c r="CU77" s="188">
        <f t="shared" si="242"/>
        <v>30</v>
      </c>
      <c r="CV77" s="188">
        <f t="shared" si="243"/>
        <v>8.1059037580776696</v>
      </c>
      <c r="CW77" s="149">
        <f t="shared" si="244"/>
        <v>144.96561107515998</v>
      </c>
      <c r="CX77" s="149">
        <f t="shared" si="245"/>
        <v>30</v>
      </c>
      <c r="CY77" s="188">
        <f t="shared" si="246"/>
        <v>10.76656346749226</v>
      </c>
      <c r="CZ77" s="188">
        <f t="shared" si="247"/>
        <v>1.4883190675651063</v>
      </c>
      <c r="DA77" s="188">
        <f t="shared" si="248"/>
        <v>1.6645673781978165</v>
      </c>
      <c r="DB77" s="172">
        <f t="shared" si="249"/>
        <v>350</v>
      </c>
      <c r="DC77" s="379">
        <f t="shared" si="299"/>
        <v>317.1696847325004</v>
      </c>
      <c r="DE77" s="188">
        <f t="shared" si="250"/>
        <v>9.7566501161056465</v>
      </c>
      <c r="DF77" s="150">
        <f t="shared" si="251"/>
        <v>1.5084294587400178</v>
      </c>
      <c r="DG77" s="150">
        <f t="shared" si="252"/>
        <v>2.5755132294067704</v>
      </c>
      <c r="DH77" s="150"/>
      <c r="DI77" s="150">
        <f t="shared" si="253"/>
        <v>0.93700159489633172</v>
      </c>
      <c r="DJ77" s="314">
        <f t="shared" si="300"/>
        <v>1014.2992340425533</v>
      </c>
      <c r="DK77" s="456">
        <f t="shared" si="254"/>
        <v>0.99378957034459414</v>
      </c>
      <c r="DM77" s="150">
        <f t="shared" si="255"/>
        <v>10.31727680194259</v>
      </c>
      <c r="DN77" s="150">
        <f t="shared" si="256"/>
        <v>10.76656346749226</v>
      </c>
      <c r="DO77" s="150">
        <f t="shared" si="257"/>
        <v>4.6858943754712588</v>
      </c>
      <c r="DQ77" s="314">
        <f t="shared" si="258"/>
        <v>2880</v>
      </c>
      <c r="DR77" s="144">
        <f t="shared" si="259"/>
        <v>317.1696847325004</v>
      </c>
      <c r="DT77">
        <f t="shared" si="260"/>
        <v>2880</v>
      </c>
      <c r="DU77">
        <f t="shared" si="261"/>
        <v>317.1696847325004</v>
      </c>
      <c r="DW77" s="5">
        <f t="shared" si="301"/>
        <v>3.1528864457629227</v>
      </c>
      <c r="DX77" s="5">
        <f t="shared" si="262"/>
        <v>1.4883190675651063</v>
      </c>
      <c r="DY77" s="5">
        <f t="shared" si="302"/>
        <v>1.6645673781978163</v>
      </c>
      <c r="DZ77" s="5">
        <f t="shared" si="263"/>
        <v>1.6645673781978165</v>
      </c>
      <c r="EA77" s="150">
        <f t="shared" si="303"/>
        <v>0.47204968944099379</v>
      </c>
      <c r="EB77" s="150">
        <f t="shared" si="264"/>
        <v>86.399999999999991</v>
      </c>
      <c r="EC77" s="150">
        <f t="shared" si="265"/>
        <v>2.8421052631578947</v>
      </c>
      <c r="ED77" s="150">
        <f t="shared" si="304"/>
        <v>30.4</v>
      </c>
      <c r="EE77" s="144">
        <f t="shared" si="266"/>
        <v>14.28786304862502</v>
      </c>
      <c r="EF77" s="5">
        <f t="shared" si="267"/>
        <v>2.4882114442264931</v>
      </c>
      <c r="EG77" s="5"/>
      <c r="EH77" s="150">
        <f t="shared" si="305"/>
        <v>4.2708108326707093</v>
      </c>
      <c r="EI77" s="150">
        <f t="shared" si="268"/>
        <v>4.5166142700835294</v>
      </c>
      <c r="EJ77" s="150"/>
      <c r="EK77" s="456">
        <f t="shared" si="269"/>
        <v>0.21887790202148971</v>
      </c>
      <c r="EL77" s="456">
        <f t="shared" si="270"/>
        <v>4.1783829787234046</v>
      </c>
      <c r="EM77" s="456">
        <f t="shared" si="271"/>
        <v>3.6474513744237554E-2</v>
      </c>
      <c r="EN77" s="456">
        <f t="shared" si="272"/>
        <v>0.68072822695035484</v>
      </c>
      <c r="EO77">
        <f t="shared" si="273"/>
        <v>1.5299999999999999E-2</v>
      </c>
      <c r="EP77" s="144">
        <f t="shared" si="306"/>
        <v>51.774513744237552</v>
      </c>
      <c r="EQ77" s="456">
        <f t="shared" si="274"/>
        <v>5.4735128213014592</v>
      </c>
      <c r="ER77" s="144">
        <f t="shared" si="307"/>
        <v>5473.5128213014596</v>
      </c>
      <c r="ES77" s="456">
        <f t="shared" si="308"/>
        <v>1.9313279999999999</v>
      </c>
      <c r="ET77" s="456"/>
      <c r="EV77" s="144">
        <f t="shared" si="309"/>
        <v>1931.328</v>
      </c>
      <c r="EW77" s="456">
        <f t="shared" si="275"/>
        <v>0.25535755235840468</v>
      </c>
      <c r="EX77" s="456">
        <f t="shared" si="276"/>
        <v>0.28559726250611045</v>
      </c>
      <c r="EY77" s="456">
        <f t="shared" si="277"/>
        <v>34.071554045454604</v>
      </c>
      <c r="EZ77" s="456">
        <f t="shared" si="278"/>
        <v>36.313871088836642</v>
      </c>
      <c r="FA77" s="456">
        <f t="shared" si="279"/>
        <v>3.676595744680851</v>
      </c>
      <c r="FB77" s="144">
        <f t="shared" si="310"/>
        <v>39990.466833517494</v>
      </c>
      <c r="FC77" s="150">
        <f t="shared" si="311"/>
        <v>47.39530765481895</v>
      </c>
      <c r="FD77" s="5">
        <f t="shared" si="312"/>
        <v>86.399999999999991</v>
      </c>
      <c r="FE77" s="150">
        <f t="shared" si="313"/>
        <v>0.64576255710629993</v>
      </c>
      <c r="FF77" s="5">
        <f t="shared" si="314"/>
        <v>64.576255710629994</v>
      </c>
      <c r="FI77" s="59">
        <f t="shared" si="280"/>
        <v>-50</v>
      </c>
      <c r="FJ77">
        <f t="shared" si="281"/>
        <v>-50</v>
      </c>
      <c r="FL77">
        <f t="shared" si="282"/>
        <v>0.52795031055900621</v>
      </c>
    </row>
    <row r="78" spans="5:168">
      <c r="E78" s="147">
        <v>73</v>
      </c>
      <c r="F78" s="188">
        <f t="shared" si="283"/>
        <v>2.92</v>
      </c>
      <c r="G78" s="188"/>
      <c r="H78" s="188">
        <f t="shared" si="183"/>
        <v>87.6</v>
      </c>
      <c r="I78" s="465">
        <f t="shared" si="184"/>
        <v>33.851808205118068</v>
      </c>
      <c r="J78" s="149">
        <f t="shared" si="185"/>
        <v>30.479795581859502</v>
      </c>
      <c r="K78" s="149">
        <f t="shared" si="186"/>
        <v>64.479795581859506</v>
      </c>
      <c r="L78" s="379"/>
      <c r="M78" s="188">
        <f t="shared" si="187"/>
        <v>0.47377260566399126</v>
      </c>
      <c r="N78" s="149">
        <f t="shared" si="188"/>
        <v>244.74119975394157</v>
      </c>
      <c r="O78" s="149">
        <f t="shared" si="284"/>
        <v>87.6</v>
      </c>
      <c r="P78" s="188">
        <f t="shared" si="189"/>
        <v>8.1580399917980522</v>
      </c>
      <c r="Q78" s="188">
        <f t="shared" si="190"/>
        <v>30</v>
      </c>
      <c r="R78" s="188">
        <f t="shared" si="191"/>
        <v>8.1000299897860959</v>
      </c>
      <c r="S78" s="149">
        <f t="shared" si="192"/>
        <v>141.8961535959516</v>
      </c>
      <c r="T78" s="149">
        <f t="shared" si="193"/>
        <v>30</v>
      </c>
      <c r="U78" s="188">
        <f t="shared" si="194"/>
        <v>11.097863894693065</v>
      </c>
      <c r="V78" s="188">
        <f t="shared" si="195"/>
        <v>1.5408323239043791</v>
      </c>
      <c r="W78" s="188">
        <f t="shared" si="196"/>
        <v>1.7112962639454565</v>
      </c>
      <c r="X78" s="172">
        <f t="shared" si="197"/>
        <v>350</v>
      </c>
      <c r="Y78" s="379">
        <f t="shared" si="198"/>
        <v>289.67634737582347</v>
      </c>
      <c r="AA78" s="188">
        <f t="shared" si="199"/>
        <v>9.7499781142509949</v>
      </c>
      <c r="AB78" s="150">
        <f t="shared" si="200"/>
        <v>1.5034515902151599</v>
      </c>
      <c r="AC78" s="150">
        <f t="shared" si="201"/>
        <v>2.5652585175758915</v>
      </c>
      <c r="AD78" s="150"/>
      <c r="AE78" s="150">
        <f t="shared" si="202"/>
        <v>0.93454854079801175</v>
      </c>
      <c r="AF78" s="314">
        <f t="shared" si="203"/>
        <v>1031.0860890940787</v>
      </c>
      <c r="AG78" s="456">
        <f t="shared" si="204"/>
        <v>0.9911878463009216</v>
      </c>
      <c r="AI78" s="150">
        <f t="shared" si="205"/>
        <v>10.402302942299826</v>
      </c>
      <c r="AJ78" s="150">
        <f t="shared" si="206"/>
        <v>11.097863894693065</v>
      </c>
      <c r="AK78" s="150">
        <f t="shared" si="207"/>
        <v>4.9313020993237071</v>
      </c>
      <c r="AM78" s="314">
        <f t="shared" si="208"/>
        <v>2920</v>
      </c>
      <c r="AN78" s="144">
        <f t="shared" si="209"/>
        <v>289.67634737582347</v>
      </c>
      <c r="AP78">
        <f t="shared" si="210"/>
        <v>2920</v>
      </c>
      <c r="AQ78">
        <f t="shared" si="211"/>
        <v>289.67634737582347</v>
      </c>
      <c r="AS78" s="5">
        <f t="shared" si="285"/>
        <v>3.452128587849836</v>
      </c>
      <c r="AT78" s="5">
        <f t="shared" si="212"/>
        <v>1.5408323239043791</v>
      </c>
      <c r="AU78" s="5">
        <f t="shared" si="286"/>
        <v>1.9112962639454569</v>
      </c>
      <c r="AV78" s="5">
        <f t="shared" si="213"/>
        <v>1.7112962639454565</v>
      </c>
      <c r="AW78" s="150">
        <f t="shared" si="287"/>
        <v>0.44634267950722223</v>
      </c>
      <c r="AX78" s="150">
        <f t="shared" si="214"/>
        <v>83.841624882615761</v>
      </c>
      <c r="AY78" s="150">
        <f t="shared" si="215"/>
        <v>3.0722067935646522</v>
      </c>
      <c r="AZ78" s="150">
        <f t="shared" si="288"/>
        <v>27.290358532582736</v>
      </c>
      <c r="BA78" s="144">
        <f t="shared" si="216"/>
        <v>14.997434619335957</v>
      </c>
      <c r="BB78" s="5">
        <f t="shared" si="217"/>
        <v>2.9093858618252173</v>
      </c>
      <c r="BC78" s="5"/>
      <c r="BD78" s="150">
        <f t="shared" si="289"/>
        <v>4.2806820843750319</v>
      </c>
      <c r="BE78" s="150">
        <f t="shared" si="218"/>
        <v>4.7675942816289716</v>
      </c>
      <c r="BF78" s="150"/>
      <c r="BG78" s="456">
        <f t="shared" si="219"/>
        <v>0.21989086928987242</v>
      </c>
      <c r="BH78" s="456">
        <f t="shared" si="220"/>
        <v>3.7830227299897135</v>
      </c>
      <c r="BI78" s="456">
        <f t="shared" si="221"/>
        <v>3.3312779948219698E-2</v>
      </c>
      <c r="BJ78" s="456">
        <f t="shared" si="222"/>
        <v>0.62326206427587971</v>
      </c>
      <c r="BK78">
        <f t="shared" si="223"/>
        <v>1.523331369230313E-2</v>
      </c>
      <c r="BL78" s="144">
        <f t="shared" si="290"/>
        <v>48.546093640522827</v>
      </c>
      <c r="BM78" s="456">
        <f t="shared" si="224"/>
        <v>4.9438425446039469</v>
      </c>
      <c r="BN78" s="144">
        <f t="shared" si="291"/>
        <v>4943.8425446039473</v>
      </c>
      <c r="BO78" s="456">
        <f t="shared" si="225"/>
        <v>1.9581519999999999</v>
      </c>
      <c r="BP78" s="456"/>
      <c r="BR78" s="144">
        <f t="shared" si="292"/>
        <v>1958.1519999999998</v>
      </c>
      <c r="BS78" s="456">
        <f t="shared" si="226"/>
        <v>0.25653934750485119</v>
      </c>
      <c r="BT78" s="456">
        <f t="shared" si="227"/>
        <v>0.31821937327909777</v>
      </c>
      <c r="BU78" s="456">
        <f t="shared" si="228"/>
        <v>29.298884062735326</v>
      </c>
      <c r="BV78" s="456">
        <f t="shared" si="229"/>
        <v>31.458047864420593</v>
      </c>
      <c r="BW78" s="456">
        <f t="shared" si="230"/>
        <v>3.5677287184091817</v>
      </c>
      <c r="BX78" s="144">
        <f t="shared" si="293"/>
        <v>35025.776582829778</v>
      </c>
      <c r="BY78" s="150">
        <f t="shared" si="231"/>
        <v>41.97631722107424</v>
      </c>
      <c r="BZ78" s="5">
        <f t="shared" si="294"/>
        <v>87.6</v>
      </c>
      <c r="CA78" s="150">
        <f t="shared" si="295"/>
        <v>0.67604946550952572</v>
      </c>
      <c r="CB78" s="5">
        <f t="shared" si="296"/>
        <v>67.604946550952576</v>
      </c>
      <c r="CE78" s="59">
        <f t="shared" si="232"/>
        <v>-50</v>
      </c>
      <c r="CF78">
        <f t="shared" si="233"/>
        <v>-50</v>
      </c>
      <c r="CG78" s="150">
        <f t="shared" si="234"/>
        <v>0.51230906583247193</v>
      </c>
      <c r="CI78" s="147">
        <v>73</v>
      </c>
      <c r="CJ78" s="188">
        <f t="shared" si="297"/>
        <v>2.92</v>
      </c>
      <c r="CK78" s="188"/>
      <c r="CL78" s="188">
        <f t="shared" si="235"/>
        <v>87.6</v>
      </c>
      <c r="CM78" s="465">
        <f t="shared" si="236"/>
        <v>34</v>
      </c>
      <c r="CN78" s="149">
        <f t="shared" si="237"/>
        <v>30.4</v>
      </c>
      <c r="CO78" s="379">
        <f t="shared" si="238"/>
        <v>64.400000000000006</v>
      </c>
      <c r="CP78" s="379"/>
      <c r="CQ78" s="188">
        <f t="shared" si="239"/>
        <v>0.47204968944099374</v>
      </c>
      <c r="CR78" s="149">
        <f t="shared" si="240"/>
        <v>244.918674788055</v>
      </c>
      <c r="CS78" s="149">
        <f t="shared" si="298"/>
        <v>87.6</v>
      </c>
      <c r="CT78" s="188">
        <f t="shared" si="241"/>
        <v>8.1639558262685004</v>
      </c>
      <c r="CU78" s="188">
        <f t="shared" si="242"/>
        <v>30</v>
      </c>
      <c r="CV78" s="188">
        <f t="shared" si="243"/>
        <v>8.1059037580776696</v>
      </c>
      <c r="CW78" s="149">
        <f t="shared" si="244"/>
        <v>142.51691195075082</v>
      </c>
      <c r="CX78" s="149">
        <f t="shared" si="245"/>
        <v>30</v>
      </c>
      <c r="CY78" s="188">
        <f t="shared" si="246"/>
        <v>10.91609907120743</v>
      </c>
      <c r="CZ78" s="188">
        <f t="shared" si="247"/>
        <v>1.5089901657257327</v>
      </c>
      <c r="DA78" s="188">
        <f t="shared" si="248"/>
        <v>1.6876863695616751</v>
      </c>
      <c r="DB78" s="172">
        <f t="shared" si="249"/>
        <v>350</v>
      </c>
      <c r="DC78" s="379">
        <f t="shared" si="299"/>
        <v>312.82489453068536</v>
      </c>
      <c r="DE78" s="188">
        <f t="shared" si="250"/>
        <v>9.7566501161056465</v>
      </c>
      <c r="DF78" s="150">
        <f t="shared" si="251"/>
        <v>1.5084294587400178</v>
      </c>
      <c r="DG78" s="150">
        <f t="shared" si="252"/>
        <v>2.5755132294067704</v>
      </c>
      <c r="DH78" s="150"/>
      <c r="DI78" s="150">
        <f t="shared" si="253"/>
        <v>0.93700159489633172</v>
      </c>
      <c r="DJ78" s="314">
        <f t="shared" si="300"/>
        <v>1028.3867234042552</v>
      </c>
      <c r="DK78" s="456">
        <f t="shared" si="254"/>
        <v>0.99378957034459414</v>
      </c>
      <c r="DM78" s="150">
        <f t="shared" si="255"/>
        <v>10.388677493347759</v>
      </c>
      <c r="DN78" s="150">
        <f t="shared" si="256"/>
        <v>10.91609907120743</v>
      </c>
      <c r="DO78" s="150">
        <f t="shared" si="257"/>
        <v>4.7966614893343476</v>
      </c>
      <c r="DQ78" s="314">
        <f t="shared" si="258"/>
        <v>2920</v>
      </c>
      <c r="DR78" s="144">
        <f t="shared" si="259"/>
        <v>312.82489453068536</v>
      </c>
      <c r="DT78">
        <f t="shared" si="260"/>
        <v>2920</v>
      </c>
      <c r="DU78">
        <f t="shared" si="261"/>
        <v>312.82489453068536</v>
      </c>
      <c r="DW78" s="5">
        <f t="shared" si="301"/>
        <v>3.1966765352874074</v>
      </c>
      <c r="DX78" s="5">
        <f t="shared" si="262"/>
        <v>1.5089901657257327</v>
      </c>
      <c r="DY78" s="5">
        <f t="shared" si="302"/>
        <v>1.6876863695616746</v>
      </c>
      <c r="DZ78" s="5">
        <f t="shared" si="263"/>
        <v>1.6876863695616751</v>
      </c>
      <c r="EA78" s="150">
        <f t="shared" si="303"/>
        <v>0.47204968944099379</v>
      </c>
      <c r="EB78" s="150">
        <f t="shared" si="264"/>
        <v>87.6</v>
      </c>
      <c r="EC78" s="150">
        <f t="shared" si="265"/>
        <v>2.8815789473684208</v>
      </c>
      <c r="ED78" s="150">
        <f t="shared" si="304"/>
        <v>30.400000000000002</v>
      </c>
      <c r="EE78" s="144">
        <f t="shared" si="266"/>
        <v>14.687504279730467</v>
      </c>
      <c r="EF78" s="5">
        <f t="shared" si="267"/>
        <v>2.5578084078477969</v>
      </c>
      <c r="EG78" s="5"/>
      <c r="EH78" s="150">
        <f t="shared" si="305"/>
        <v>4.3301276497911356</v>
      </c>
      <c r="EI78" s="150">
        <f t="shared" si="268"/>
        <v>4.5793450238346898</v>
      </c>
      <c r="EJ78" s="150"/>
      <c r="EK78" s="456">
        <f t="shared" si="269"/>
        <v>0.22500006556182844</v>
      </c>
      <c r="EL78" s="456">
        <f t="shared" si="270"/>
        <v>4.1783829787234055</v>
      </c>
      <c r="EM78" s="456">
        <f t="shared" si="271"/>
        <v>3.5974862871028815E-2</v>
      </c>
      <c r="EN78" s="456">
        <f t="shared" si="272"/>
        <v>0.67140318274555544</v>
      </c>
      <c r="EO78">
        <f t="shared" si="273"/>
        <v>1.5299999999999999E-2</v>
      </c>
      <c r="EP78" s="144">
        <f t="shared" si="306"/>
        <v>51.274862871028816</v>
      </c>
      <c r="EQ78" s="456">
        <f t="shared" si="274"/>
        <v>5.4797591152665577</v>
      </c>
      <c r="ER78" s="144">
        <f t="shared" si="307"/>
        <v>5479.7591152665573</v>
      </c>
      <c r="ES78" s="456">
        <f t="shared" si="308"/>
        <v>1.9581519999999999</v>
      </c>
      <c r="ET78" s="456"/>
      <c r="EV78" s="144">
        <f t="shared" si="309"/>
        <v>1958.1519999999998</v>
      </c>
      <c r="EW78" s="456">
        <f t="shared" si="275"/>
        <v>0.26250007648879986</v>
      </c>
      <c r="EX78" s="456">
        <f t="shared" si="276"/>
        <v>0.29358561186247351</v>
      </c>
      <c r="EY78" s="456">
        <f t="shared" si="277"/>
        <v>34.071554045454661</v>
      </c>
      <c r="EZ78" s="456">
        <f t="shared" si="278"/>
        <v>36.379510301229558</v>
      </c>
      <c r="FA78" s="456">
        <f t="shared" si="279"/>
        <v>3.727659574468086</v>
      </c>
      <c r="FB78" s="144">
        <f t="shared" si="310"/>
        <v>40107.16987569764</v>
      </c>
      <c r="FC78" s="150">
        <f t="shared" si="311"/>
        <v>47.545080990964202</v>
      </c>
      <c r="FD78" s="5">
        <f t="shared" si="312"/>
        <v>87.6</v>
      </c>
      <c r="FE78" s="150">
        <f t="shared" si="313"/>
        <v>0.6481922934794565</v>
      </c>
      <c r="FF78" s="5">
        <f t="shared" si="314"/>
        <v>64.819229347945651</v>
      </c>
      <c r="FI78" s="59">
        <f t="shared" si="280"/>
        <v>-50</v>
      </c>
      <c r="FJ78">
        <f t="shared" si="281"/>
        <v>-50</v>
      </c>
      <c r="FL78">
        <f t="shared" si="282"/>
        <v>0.52795031055900621</v>
      </c>
    </row>
    <row r="79" spans="5:168">
      <c r="E79" s="147">
        <v>74</v>
      </c>
      <c r="F79" s="188">
        <f t="shared" si="283"/>
        <v>2.96</v>
      </c>
      <c r="G79" s="188"/>
      <c r="H79" s="188">
        <f t="shared" si="183"/>
        <v>88.8</v>
      </c>
      <c r="I79" s="465">
        <f t="shared" si="184"/>
        <v>33.849840133399773</v>
      </c>
      <c r="J79" s="149">
        <f t="shared" si="185"/>
        <v>30.480855312784737</v>
      </c>
      <c r="K79" s="149">
        <f t="shared" si="186"/>
        <v>64.48085531278474</v>
      </c>
      <c r="L79" s="379"/>
      <c r="M79" s="188">
        <f t="shared" si="187"/>
        <v>0.47379577727288974</v>
      </c>
      <c r="N79" s="149">
        <f t="shared" si="188"/>
        <v>244.73894030554968</v>
      </c>
      <c r="O79" s="149">
        <f t="shared" si="284"/>
        <v>88.8</v>
      </c>
      <c r="P79" s="188">
        <f t="shared" si="189"/>
        <v>8.1579646768516554</v>
      </c>
      <c r="Q79" s="188">
        <f t="shared" si="190"/>
        <v>30</v>
      </c>
      <c r="R79" s="188">
        <f t="shared" si="191"/>
        <v>8.0999552103874777</v>
      </c>
      <c r="S79" s="149">
        <f t="shared" si="192"/>
        <v>139.51597422839535</v>
      </c>
      <c r="T79" s="149">
        <f t="shared" si="193"/>
        <v>30</v>
      </c>
      <c r="U79" s="188">
        <f t="shared" si="194"/>
        <v>11.250384820781104</v>
      </c>
      <c r="V79" s="188">
        <f t="shared" si="195"/>
        <v>1.5620992137418526</v>
      </c>
      <c r="W79" s="188">
        <f t="shared" si="196"/>
        <v>1.7347547539288637</v>
      </c>
      <c r="X79" s="172">
        <f t="shared" si="197"/>
        <v>350</v>
      </c>
      <c r="Y79" s="379">
        <f t="shared" si="198"/>
        <v>285.97133573356177</v>
      </c>
      <c r="AA79" s="188">
        <f t="shared" si="199"/>
        <v>9.749887907080522</v>
      </c>
      <c r="AB79" s="150">
        <f t="shared" si="200"/>
        <v>1.5033854100563266</v>
      </c>
      <c r="AC79" s="150">
        <f t="shared" si="201"/>
        <v>2.5651218651081571</v>
      </c>
      <c r="AD79" s="150"/>
      <c r="AE79" s="150">
        <f t="shared" si="202"/>
        <v>0.93451604925603715</v>
      </c>
      <c r="AF79" s="314">
        <f t="shared" si="203"/>
        <v>1045.2468962706685</v>
      </c>
      <c r="AG79" s="456">
        <f t="shared" si="204"/>
        <v>0.99115338557458488</v>
      </c>
      <c r="AI79" s="150">
        <f t="shared" si="205"/>
        <v>10.473491315476956</v>
      </c>
      <c r="AJ79" s="150">
        <f t="shared" si="206"/>
        <v>11.250384820781104</v>
      </c>
      <c r="AK79" s="150">
        <f t="shared" si="207"/>
        <v>5.0442805630926246</v>
      </c>
      <c r="AM79" s="314">
        <f t="shared" si="208"/>
        <v>2960</v>
      </c>
      <c r="AN79" s="144">
        <f t="shared" si="209"/>
        <v>285.97133573356177</v>
      </c>
      <c r="AP79">
        <f t="shared" si="210"/>
        <v>2960</v>
      </c>
      <c r="AQ79">
        <f t="shared" si="211"/>
        <v>285.97133573356177</v>
      </c>
      <c r="AS79" s="5">
        <f t="shared" si="285"/>
        <v>3.4968539676707162</v>
      </c>
      <c r="AT79" s="5">
        <f t="shared" si="212"/>
        <v>1.5620992137418526</v>
      </c>
      <c r="AU79" s="5">
        <f t="shared" si="286"/>
        <v>1.9347547539288636</v>
      </c>
      <c r="AV79" s="5">
        <f t="shared" si="213"/>
        <v>1.7347547539288637</v>
      </c>
      <c r="AW79" s="150">
        <f t="shared" si="287"/>
        <v>0.4467155987021042</v>
      </c>
      <c r="AX79" s="150">
        <f t="shared" si="214"/>
        <v>85.059949742463559</v>
      </c>
      <c r="AY79" s="150">
        <f t="shared" si="215"/>
        <v>3.1123312149684037</v>
      </c>
      <c r="AZ79" s="150">
        <f t="shared" si="288"/>
        <v>27.329979962729347</v>
      </c>
      <c r="BA79" s="144">
        <f t="shared" si="216"/>
        <v>15.412712242252944</v>
      </c>
      <c r="BB79" s="5">
        <f t="shared" si="217"/>
        <v>2.9856118439174333</v>
      </c>
      <c r="BC79" s="5"/>
      <c r="BD79" s="150">
        <f t="shared" si="289"/>
        <v>4.3413251010651264</v>
      </c>
      <c r="BE79" s="150">
        <f t="shared" si="218"/>
        <v>4.8314886496899163</v>
      </c>
      <c r="BF79" s="150"/>
      <c r="BG79" s="456">
        <f t="shared" si="219"/>
        <v>0.22616524359765755</v>
      </c>
      <c r="BH79" s="456">
        <f t="shared" si="220"/>
        <v>3.7860255465383532</v>
      </c>
      <c r="BI79" s="456">
        <f t="shared" si="221"/>
        <v>3.2886703609359608E-2</v>
      </c>
      <c r="BJ79" s="456">
        <f t="shared" si="222"/>
        <v>0.61531065726775769</v>
      </c>
      <c r="BK79">
        <f t="shared" si="223"/>
        <v>1.5232428060029897E-2</v>
      </c>
      <c r="BL79" s="144">
        <f t="shared" si="290"/>
        <v>48.119131669389503</v>
      </c>
      <c r="BM79" s="456">
        <f t="shared" si="224"/>
        <v>4.954822685457529</v>
      </c>
      <c r="BN79" s="144">
        <f t="shared" si="291"/>
        <v>4954.8226854575287</v>
      </c>
      <c r="BO79" s="456">
        <f t="shared" si="225"/>
        <v>1.9849760000000001</v>
      </c>
      <c r="BP79" s="456"/>
      <c r="BR79" s="144">
        <f t="shared" si="292"/>
        <v>1984.9760000000001</v>
      </c>
      <c r="BS79" s="456">
        <f t="shared" si="226"/>
        <v>0.26385945086393381</v>
      </c>
      <c r="BT79" s="456">
        <f t="shared" si="227"/>
        <v>0.32680595600915485</v>
      </c>
      <c r="BU79" s="456">
        <f t="shared" si="228"/>
        <v>29.355853291248334</v>
      </c>
      <c r="BV79" s="456">
        <f t="shared" si="229"/>
        <v>31.580562037797904</v>
      </c>
      <c r="BW79" s="456">
        <f t="shared" si="230"/>
        <v>3.6195723294665343</v>
      </c>
      <c r="BX79" s="144">
        <f t="shared" si="293"/>
        <v>35200.134367264436</v>
      </c>
      <c r="BY79" s="150">
        <f t="shared" si="231"/>
        <v>42.18805218439136</v>
      </c>
      <c r="BZ79" s="5">
        <f t="shared" si="294"/>
        <v>88.8</v>
      </c>
      <c r="CA79" s="150">
        <f t="shared" si="295"/>
        <v>0.67792442531320785</v>
      </c>
      <c r="CB79" s="5">
        <f t="shared" si="296"/>
        <v>67.792442531320788</v>
      </c>
      <c r="CE79" s="59">
        <f t="shared" si="232"/>
        <v>-50</v>
      </c>
      <c r="CF79">
        <f t="shared" si="233"/>
        <v>-50</v>
      </c>
      <c r="CG79" s="150">
        <f t="shared" si="234"/>
        <v>0.51252043400445213</v>
      </c>
      <c r="CI79" s="147">
        <v>74</v>
      </c>
      <c r="CJ79" s="188">
        <f t="shared" si="297"/>
        <v>2.96</v>
      </c>
      <c r="CK79" s="188"/>
      <c r="CL79" s="188">
        <f t="shared" si="235"/>
        <v>88.8</v>
      </c>
      <c r="CM79" s="465">
        <f t="shared" si="236"/>
        <v>34</v>
      </c>
      <c r="CN79" s="149">
        <f t="shared" si="237"/>
        <v>30.4</v>
      </c>
      <c r="CO79" s="379">
        <f t="shared" si="238"/>
        <v>64.400000000000006</v>
      </c>
      <c r="CP79" s="379"/>
      <c r="CQ79" s="188">
        <f t="shared" si="239"/>
        <v>0.47204968944099374</v>
      </c>
      <c r="CR79" s="149">
        <f t="shared" si="240"/>
        <v>244.918674788055</v>
      </c>
      <c r="CS79" s="149">
        <f t="shared" si="298"/>
        <v>88.8</v>
      </c>
      <c r="CT79" s="188">
        <f t="shared" si="241"/>
        <v>8.1639558262685004</v>
      </c>
      <c r="CU79" s="188">
        <f t="shared" si="242"/>
        <v>30</v>
      </c>
      <c r="CV79" s="188">
        <f t="shared" si="243"/>
        <v>8.1059037580776696</v>
      </c>
      <c r="CW79" s="149">
        <f t="shared" si="244"/>
        <v>140.13444746401481</v>
      </c>
      <c r="CX79" s="149">
        <f t="shared" si="245"/>
        <v>30</v>
      </c>
      <c r="CY79" s="188">
        <f t="shared" si="246"/>
        <v>11.065634674922601</v>
      </c>
      <c r="CZ79" s="188">
        <f t="shared" si="247"/>
        <v>1.5296612638863596</v>
      </c>
      <c r="DA79" s="188">
        <f t="shared" si="248"/>
        <v>1.7108053609255338</v>
      </c>
      <c r="DB79" s="172">
        <f t="shared" si="249"/>
        <v>350</v>
      </c>
      <c r="DC79" s="379">
        <f t="shared" si="299"/>
        <v>308.59753109108146</v>
      </c>
      <c r="DE79" s="188">
        <f t="shared" si="250"/>
        <v>9.7566501161056465</v>
      </c>
      <c r="DF79" s="150">
        <f t="shared" si="251"/>
        <v>1.5084294587400178</v>
      </c>
      <c r="DG79" s="150">
        <f t="shared" si="252"/>
        <v>2.5755132294067704</v>
      </c>
      <c r="DH79" s="150"/>
      <c r="DI79" s="150">
        <f t="shared" si="253"/>
        <v>0.93700159489633172</v>
      </c>
      <c r="DJ79" s="314">
        <f t="shared" si="300"/>
        <v>1042.4742127659574</v>
      </c>
      <c r="DK79" s="456">
        <f t="shared" si="254"/>
        <v>0.99378957034459414</v>
      </c>
      <c r="DM79" s="150">
        <f t="shared" si="255"/>
        <v>10.459590790928573</v>
      </c>
      <c r="DN79" s="150">
        <f t="shared" si="256"/>
        <v>11.065634674922601</v>
      </c>
      <c r="DO79" s="150">
        <f t="shared" si="257"/>
        <v>4.9074286031974372</v>
      </c>
      <c r="DQ79" s="314">
        <f t="shared" si="258"/>
        <v>2960</v>
      </c>
      <c r="DR79" s="144">
        <f t="shared" si="259"/>
        <v>308.59753109108146</v>
      </c>
      <c r="DT79">
        <f t="shared" si="260"/>
        <v>2960</v>
      </c>
      <c r="DU79">
        <f t="shared" si="261"/>
        <v>308.59753109108146</v>
      </c>
      <c r="DW79" s="5">
        <f t="shared" si="301"/>
        <v>3.2404666248118934</v>
      </c>
      <c r="DX79" s="5">
        <f t="shared" si="262"/>
        <v>1.5296612638863596</v>
      </c>
      <c r="DY79" s="5">
        <f t="shared" si="302"/>
        <v>1.7108053609255338</v>
      </c>
      <c r="DZ79" s="5">
        <f t="shared" si="263"/>
        <v>1.7108053609255338</v>
      </c>
      <c r="EA79" s="150">
        <f t="shared" si="303"/>
        <v>0.47204968944099379</v>
      </c>
      <c r="EB79" s="150">
        <f t="shared" si="264"/>
        <v>88.799999999999983</v>
      </c>
      <c r="EC79" s="150">
        <f t="shared" si="265"/>
        <v>2.9210526315789473</v>
      </c>
      <c r="ED79" s="150">
        <f t="shared" si="304"/>
        <v>30.399999999999995</v>
      </c>
      <c r="EE79" s="144">
        <f t="shared" si="266"/>
        <v>15.092657803678748</v>
      </c>
      <c r="EF79" s="5">
        <f t="shared" si="267"/>
        <v>2.6283653295880174</v>
      </c>
      <c r="EG79" s="5"/>
      <c r="EH79" s="150">
        <f t="shared" si="305"/>
        <v>4.389444466911562</v>
      </c>
      <c r="EI79" s="150">
        <f t="shared" si="268"/>
        <v>4.6420757775858501</v>
      </c>
      <c r="EJ79" s="150"/>
      <c r="EK79" s="456">
        <f t="shared" si="269"/>
        <v>0.23120667273720633</v>
      </c>
      <c r="EL79" s="456">
        <f t="shared" si="270"/>
        <v>4.1783829787234046</v>
      </c>
      <c r="EM79" s="456">
        <f t="shared" si="271"/>
        <v>3.5488716075474373E-2</v>
      </c>
      <c r="EN79" s="456">
        <f t="shared" si="272"/>
        <v>0.66233016676250733</v>
      </c>
      <c r="EO79">
        <f t="shared" si="273"/>
        <v>1.5299999999999999E-2</v>
      </c>
      <c r="EP79" s="144">
        <f t="shared" si="306"/>
        <v>50.788716075474376</v>
      </c>
      <c r="EQ79" s="456">
        <f t="shared" si="274"/>
        <v>5.4865355502919648</v>
      </c>
      <c r="ER79" s="144">
        <f t="shared" si="307"/>
        <v>5486.5355502919647</v>
      </c>
      <c r="ES79" s="456">
        <f t="shared" si="308"/>
        <v>1.9849760000000001</v>
      </c>
      <c r="ET79" s="456"/>
      <c r="EV79" s="144">
        <f t="shared" si="309"/>
        <v>1984.9760000000001</v>
      </c>
      <c r="EW79" s="456">
        <f t="shared" si="275"/>
        <v>0.2697411181934074</v>
      </c>
      <c r="EX79" s="456">
        <f t="shared" si="276"/>
        <v>0.30168414534788984</v>
      </c>
      <c r="EY79" s="456">
        <f t="shared" si="277"/>
        <v>34.071554045454661</v>
      </c>
      <c r="EZ79" s="456">
        <f t="shared" si="278"/>
        <v>36.4462248640897</v>
      </c>
      <c r="FA79" s="456">
        <f t="shared" si="279"/>
        <v>3.7787234042553197</v>
      </c>
      <c r="FB79" s="144">
        <f t="shared" si="310"/>
        <v>40224.948268345019</v>
      </c>
      <c r="FC79" s="150">
        <f t="shared" si="311"/>
        <v>47.696459818636981</v>
      </c>
      <c r="FD79" s="5">
        <f t="shared" si="312"/>
        <v>88.8</v>
      </c>
      <c r="FE79" s="150">
        <f t="shared" si="313"/>
        <v>0.65056632324375785</v>
      </c>
      <c r="FF79" s="5">
        <f t="shared" si="314"/>
        <v>65.056632324375784</v>
      </c>
      <c r="FI79" s="59">
        <f t="shared" si="280"/>
        <v>-50</v>
      </c>
      <c r="FJ79">
        <f t="shared" si="281"/>
        <v>-50</v>
      </c>
      <c r="FL79">
        <f t="shared" si="282"/>
        <v>0.52795031055900621</v>
      </c>
    </row>
    <row r="80" spans="5:168">
      <c r="E80" s="147">
        <v>75</v>
      </c>
      <c r="F80" s="188">
        <f t="shared" si="283"/>
        <v>3</v>
      </c>
      <c r="G80" s="188"/>
      <c r="H80" s="188">
        <f t="shared" si="183"/>
        <v>90</v>
      </c>
      <c r="I80" s="465">
        <f t="shared" si="184"/>
        <v>33.84787201196422</v>
      </c>
      <c r="J80" s="149">
        <f t="shared" si="185"/>
        <v>30.481915070480802</v>
      </c>
      <c r="K80" s="149">
        <f t="shared" si="186"/>
        <v>64.481915070480795</v>
      </c>
      <c r="L80" s="379"/>
      <c r="M80" s="188">
        <f t="shared" si="187"/>
        <v>0.47381894990168338</v>
      </c>
      <c r="N80" s="149">
        <f t="shared" si="188"/>
        <v>244.73667963265555</v>
      </c>
      <c r="O80" s="149">
        <f t="shared" si="284"/>
        <v>90</v>
      </c>
      <c r="P80" s="188">
        <f t="shared" si="189"/>
        <v>8.1578893210885184</v>
      </c>
      <c r="Q80" s="188">
        <f t="shared" si="190"/>
        <v>30</v>
      </c>
      <c r="R80" s="188">
        <f t="shared" si="191"/>
        <v>8.0998803904623582</v>
      </c>
      <c r="S80" s="149">
        <f t="shared" si="192"/>
        <v>137.1993719591899</v>
      </c>
      <c r="T80" s="149">
        <f t="shared" si="193"/>
        <v>30</v>
      </c>
      <c r="U80" s="188">
        <f t="shared" si="194"/>
        <v>11.402919202200279</v>
      </c>
      <c r="V80" s="188">
        <f t="shared" si="195"/>
        <v>1.5833704473769434</v>
      </c>
      <c r="W80" s="188">
        <f t="shared" si="196"/>
        <v>1.7582136859321664</v>
      </c>
      <c r="X80" s="172">
        <f t="shared" si="197"/>
        <v>350</v>
      </c>
      <c r="Y80" s="379">
        <f t="shared" si="198"/>
        <v>282.35952115180766</v>
      </c>
      <c r="AA80" s="188">
        <f t="shared" si="199"/>
        <v>9.7497976556647394</v>
      </c>
      <c r="AB80" s="150">
        <f t="shared" si="200"/>
        <v>1.5033192263566486</v>
      </c>
      <c r="AC80" s="150">
        <f t="shared" si="201"/>
        <v>2.5649851970483617</v>
      </c>
      <c r="AD80" s="150"/>
      <c r="AE80" s="150">
        <f t="shared" si="202"/>
        <v>0.93448355915254444</v>
      </c>
      <c r="AF80" s="314">
        <f t="shared" si="203"/>
        <v>1059.4086865453276</v>
      </c>
      <c r="AG80" s="456">
        <f t="shared" si="204"/>
        <v>0.99111892637391075</v>
      </c>
      <c r="AI80" s="150">
        <f t="shared" si="205"/>
        <v>10.544203968965116</v>
      </c>
      <c r="AJ80" s="150">
        <f t="shared" si="206"/>
        <v>11.402919202200279</v>
      </c>
      <c r="AK80" s="150">
        <f t="shared" si="207"/>
        <v>5.1572689937734948</v>
      </c>
      <c r="AM80" s="314">
        <f t="shared" si="208"/>
        <v>3000</v>
      </c>
      <c r="AN80" s="144">
        <f t="shared" si="209"/>
        <v>282.35952115180766</v>
      </c>
      <c r="AP80">
        <f t="shared" si="210"/>
        <v>3000</v>
      </c>
      <c r="AQ80">
        <f t="shared" si="211"/>
        <v>282.35952115180766</v>
      </c>
      <c r="AS80" s="5">
        <f t="shared" si="285"/>
        <v>3.5415841333091098</v>
      </c>
      <c r="AT80" s="5">
        <f t="shared" si="212"/>
        <v>1.5833704473769434</v>
      </c>
      <c r="AU80" s="5">
        <f t="shared" si="286"/>
        <v>1.9582136859321664</v>
      </c>
      <c r="AV80" s="5">
        <f t="shared" si="213"/>
        <v>1.7582136859321664</v>
      </c>
      <c r="AW80" s="150">
        <f t="shared" si="287"/>
        <v>0.44707972132727725</v>
      </c>
      <c r="AX80" s="150">
        <f t="shared" si="214"/>
        <v>86.278461665254454</v>
      </c>
      <c r="AY80" s="150">
        <f t="shared" si="215"/>
        <v>3.1524526314815597</v>
      </c>
      <c r="AZ80" s="150">
        <f t="shared" si="288"/>
        <v>27.368678216968519</v>
      </c>
      <c r="BA80" s="144">
        <f t="shared" si="216"/>
        <v>15.833704473769437</v>
      </c>
      <c r="BB80" s="5">
        <f t="shared" si="217"/>
        <v>3.0628258189292232</v>
      </c>
      <c r="BC80" s="5"/>
      <c r="BD80" s="150">
        <f t="shared" si="289"/>
        <v>4.4019783825310519</v>
      </c>
      <c r="BE80" s="150">
        <f t="shared" si="218"/>
        <v>4.8953830388471049</v>
      </c>
      <c r="BF80" s="150"/>
      <c r="BG80" s="456">
        <f t="shared" si="219"/>
        <v>0.23252896416324836</v>
      </c>
      <c r="BH80" s="456">
        <f t="shared" si="220"/>
        <v>3.7889535382244008</v>
      </c>
      <c r="BI80" s="456">
        <f t="shared" si="221"/>
        <v>3.2471344932457881E-2</v>
      </c>
      <c r="BJ80" s="456">
        <f t="shared" si="222"/>
        <v>0.60755926121769455</v>
      </c>
      <c r="BK80">
        <f t="shared" si="223"/>
        <v>1.5231542405383899E-2</v>
      </c>
      <c r="BL80" s="144">
        <f t="shared" si="290"/>
        <v>47.70288733784178</v>
      </c>
      <c r="BM80" s="456">
        <f t="shared" si="224"/>
        <v>4.9662016736128809</v>
      </c>
      <c r="BN80" s="144">
        <f t="shared" si="291"/>
        <v>4966.2016736128808</v>
      </c>
      <c r="BO80" s="456">
        <f t="shared" si="225"/>
        <v>2.0117999999999996</v>
      </c>
      <c r="BP80" s="456"/>
      <c r="BR80" s="144">
        <f t="shared" si="292"/>
        <v>2011.7999999999995</v>
      </c>
      <c r="BS80" s="456">
        <f t="shared" si="226"/>
        <v>0.27128379152378973</v>
      </c>
      <c r="BT80" s="456">
        <f t="shared" si="227"/>
        <v>0.33550685135844682</v>
      </c>
      <c r="BU80" s="456">
        <f t="shared" si="228"/>
        <v>29.411434949078533</v>
      </c>
      <c r="BV80" s="456">
        <f t="shared" si="229"/>
        <v>31.702812967174687</v>
      </c>
      <c r="BW80" s="456">
        <f t="shared" si="230"/>
        <v>3.6714239006491258</v>
      </c>
      <c r="BX80" s="144">
        <f t="shared" si="293"/>
        <v>35374.236867823813</v>
      </c>
      <c r="BY80" s="150">
        <f t="shared" si="231"/>
        <v>42.399941428774532</v>
      </c>
      <c r="BZ80" s="5">
        <f t="shared" si="294"/>
        <v>90</v>
      </c>
      <c r="CA80" s="150">
        <f t="shared" si="295"/>
        <v>0.67975860886929573</v>
      </c>
      <c r="CB80" s="5">
        <f t="shared" si="296"/>
        <v>67.975860886929567</v>
      </c>
      <c r="CE80" s="59">
        <f t="shared" si="232"/>
        <v>-50</v>
      </c>
      <c r="CF80">
        <f t="shared" si="233"/>
        <v>-50</v>
      </c>
      <c r="CG80" s="150">
        <f t="shared" si="234"/>
        <v>0.51272616569184626</v>
      </c>
      <c r="CI80" s="147">
        <v>75</v>
      </c>
      <c r="CJ80" s="188">
        <f t="shared" si="297"/>
        <v>3</v>
      </c>
      <c r="CK80" s="188"/>
      <c r="CL80" s="188">
        <f t="shared" si="235"/>
        <v>90</v>
      </c>
      <c r="CM80" s="465">
        <f t="shared" si="236"/>
        <v>34</v>
      </c>
      <c r="CN80" s="149">
        <f t="shared" si="237"/>
        <v>30.4</v>
      </c>
      <c r="CO80" s="379">
        <f t="shared" si="238"/>
        <v>64.400000000000006</v>
      </c>
      <c r="CP80" s="379"/>
      <c r="CQ80" s="188">
        <f t="shared" si="239"/>
        <v>0.47204968944099374</v>
      </c>
      <c r="CR80" s="149">
        <f t="shared" si="240"/>
        <v>244.918674788055</v>
      </c>
      <c r="CS80" s="149">
        <f t="shared" si="298"/>
        <v>90</v>
      </c>
      <c r="CT80" s="188">
        <f t="shared" si="241"/>
        <v>8.1639558262685004</v>
      </c>
      <c r="CU80" s="188">
        <f t="shared" si="242"/>
        <v>30</v>
      </c>
      <c r="CV80" s="188">
        <f t="shared" si="243"/>
        <v>8.1059037580776696</v>
      </c>
      <c r="CW80" s="149">
        <f t="shared" si="244"/>
        <v>137.8155687365836</v>
      </c>
      <c r="CX80" s="149">
        <f t="shared" si="245"/>
        <v>30</v>
      </c>
      <c r="CY80" s="188">
        <f t="shared" si="246"/>
        <v>11.215170278637771</v>
      </c>
      <c r="CZ80" s="188">
        <f t="shared" si="247"/>
        <v>1.550332362046986</v>
      </c>
      <c r="DA80" s="188">
        <f t="shared" si="248"/>
        <v>1.7339243522893926</v>
      </c>
      <c r="DB80" s="172">
        <f t="shared" si="249"/>
        <v>350</v>
      </c>
      <c r="DC80" s="379">
        <f t="shared" si="299"/>
        <v>304.48289734320031</v>
      </c>
      <c r="DE80" s="188">
        <f t="shared" si="250"/>
        <v>9.7566501161056465</v>
      </c>
      <c r="DF80" s="150">
        <f t="shared" si="251"/>
        <v>1.5084294587400178</v>
      </c>
      <c r="DG80" s="150">
        <f t="shared" si="252"/>
        <v>2.5755132294067704</v>
      </c>
      <c r="DH80" s="150"/>
      <c r="DI80" s="150">
        <f t="shared" si="253"/>
        <v>0.93700159489633172</v>
      </c>
      <c r="DJ80" s="314">
        <f t="shared" si="300"/>
        <v>1056.5617021276596</v>
      </c>
      <c r="DK80" s="456">
        <f t="shared" si="254"/>
        <v>0.99378957034459414</v>
      </c>
      <c r="DM80" s="150">
        <f t="shared" si="255"/>
        <v>10.530026541588835</v>
      </c>
      <c r="DN80" s="150">
        <f t="shared" si="256"/>
        <v>11.215170278637771</v>
      </c>
      <c r="DO80" s="150">
        <f t="shared" si="257"/>
        <v>5.018195717060526</v>
      </c>
      <c r="DQ80" s="314">
        <f t="shared" si="258"/>
        <v>3000</v>
      </c>
      <c r="DR80" s="144">
        <f t="shared" si="259"/>
        <v>304.48289734320031</v>
      </c>
      <c r="DT80">
        <f t="shared" si="260"/>
        <v>3000</v>
      </c>
      <c r="DU80">
        <f t="shared" si="261"/>
        <v>304.48289734320031</v>
      </c>
      <c r="DW80" s="5">
        <f t="shared" si="301"/>
        <v>3.284256714336379</v>
      </c>
      <c r="DX80" s="5">
        <f t="shared" si="262"/>
        <v>1.550332362046986</v>
      </c>
      <c r="DY80" s="5">
        <f t="shared" si="302"/>
        <v>1.733924352289393</v>
      </c>
      <c r="DZ80" s="5">
        <f t="shared" si="263"/>
        <v>1.7339243522893926</v>
      </c>
      <c r="EA80" s="150">
        <f t="shared" si="303"/>
        <v>0.47204968944099368</v>
      </c>
      <c r="EB80" s="150">
        <f t="shared" si="264"/>
        <v>89.999999999999986</v>
      </c>
      <c r="EC80" s="150">
        <f t="shared" si="265"/>
        <v>2.9605263157894743</v>
      </c>
      <c r="ED80" s="150">
        <f t="shared" si="304"/>
        <v>30.399999999999988</v>
      </c>
      <c r="EE80" s="144">
        <f t="shared" si="266"/>
        <v>15.503323620469859</v>
      </c>
      <c r="EF80" s="5">
        <f t="shared" si="267"/>
        <v>2.6998822094471513</v>
      </c>
      <c r="EG80" s="5"/>
      <c r="EH80" s="150">
        <f t="shared" si="305"/>
        <v>4.4487612840319883</v>
      </c>
      <c r="EI80" s="150">
        <f t="shared" si="268"/>
        <v>4.7048065313370113</v>
      </c>
      <c r="EJ80" s="150"/>
      <c r="EK80" s="456">
        <f t="shared" si="269"/>
        <v>0.23749772354762336</v>
      </c>
      <c r="EL80" s="456">
        <f t="shared" si="270"/>
        <v>4.1783829787234046</v>
      </c>
      <c r="EM80" s="456">
        <f t="shared" si="271"/>
        <v>3.501553319446804E-2</v>
      </c>
      <c r="EN80" s="456">
        <f t="shared" si="272"/>
        <v>0.6534990978723404</v>
      </c>
      <c r="EO80">
        <f t="shared" si="273"/>
        <v>1.5299999999999999E-2</v>
      </c>
      <c r="EP80" s="144">
        <f t="shared" si="306"/>
        <v>50.315533194468038</v>
      </c>
      <c r="EQ80" s="456">
        <f t="shared" si="274"/>
        <v>5.4938337878090024</v>
      </c>
      <c r="ER80" s="144">
        <f t="shared" si="307"/>
        <v>5493.8337878090024</v>
      </c>
      <c r="ES80" s="456">
        <f t="shared" si="308"/>
        <v>2.0117999999999996</v>
      </c>
      <c r="ET80" s="456"/>
      <c r="EV80" s="144">
        <f t="shared" si="309"/>
        <v>2011.7999999999995</v>
      </c>
      <c r="EW80" s="456">
        <f t="shared" si="275"/>
        <v>0.27708067747222725</v>
      </c>
      <c r="EX80" s="456">
        <f t="shared" si="276"/>
        <v>0.30989286296235957</v>
      </c>
      <c r="EY80" s="456">
        <f t="shared" si="277"/>
        <v>34.071554045454668</v>
      </c>
      <c r="EZ80" s="456">
        <f t="shared" si="278"/>
        <v>36.5140224376525</v>
      </c>
      <c r="FA80" s="456">
        <f t="shared" si="279"/>
        <v>3.8297872340425525</v>
      </c>
      <c r="FB80" s="144">
        <f t="shared" si="310"/>
        <v>40343.809671695053</v>
      </c>
      <c r="FC80" s="150">
        <f t="shared" si="311"/>
        <v>47.849443459504059</v>
      </c>
      <c r="FD80" s="5">
        <f t="shared" si="312"/>
        <v>90</v>
      </c>
      <c r="FE80" s="150">
        <f t="shared" si="313"/>
        <v>0.65288620498811978</v>
      </c>
      <c r="FF80" s="5">
        <f t="shared" si="314"/>
        <v>65.28862049881198</v>
      </c>
      <c r="FI80" s="59">
        <f t="shared" si="280"/>
        <v>-50</v>
      </c>
      <c r="FJ80">
        <f t="shared" si="281"/>
        <v>-50</v>
      </c>
      <c r="FL80">
        <f t="shared" si="282"/>
        <v>0.52795031055900632</v>
      </c>
    </row>
    <row r="81" spans="5:168">
      <c r="E81" s="147">
        <v>76</v>
      </c>
      <c r="F81" s="188">
        <f t="shared" si="283"/>
        <v>3.04</v>
      </c>
      <c r="G81" s="188"/>
      <c r="H81" s="188">
        <f t="shared" si="183"/>
        <v>91.2</v>
      </c>
      <c r="I81" s="465">
        <f t="shared" si="184"/>
        <v>33.845903842831426</v>
      </c>
      <c r="J81" s="149">
        <f t="shared" si="185"/>
        <v>30.48297485386</v>
      </c>
      <c r="K81" s="149">
        <f t="shared" si="186"/>
        <v>64.48297485386</v>
      </c>
      <c r="L81" s="379"/>
      <c r="M81" s="188">
        <f t="shared" si="187"/>
        <v>0.4738421235355893</v>
      </c>
      <c r="N81" s="149">
        <f t="shared" si="188"/>
        <v>244.73441774208581</v>
      </c>
      <c r="O81" s="149">
        <f t="shared" si="284"/>
        <v>91.2</v>
      </c>
      <c r="P81" s="188">
        <f t="shared" si="189"/>
        <v>8.1578139247361943</v>
      </c>
      <c r="Q81" s="188">
        <f t="shared" si="190"/>
        <v>30</v>
      </c>
      <c r="R81" s="188">
        <f t="shared" si="191"/>
        <v>8.0998055302366705</v>
      </c>
      <c r="S81" s="149">
        <f t="shared" si="192"/>
        <v>134.94383768259232</v>
      </c>
      <c r="T81" s="149">
        <f t="shared" si="193"/>
        <v>30</v>
      </c>
      <c r="U81" s="188">
        <f t="shared" si="194"/>
        <v>11.555467041290699</v>
      </c>
      <c r="V81" s="188">
        <f t="shared" si="195"/>
        <v>1.6046460258903472</v>
      </c>
      <c r="W81" s="188">
        <f t="shared" si="196"/>
        <v>1.7816730602718396</v>
      </c>
      <c r="X81" s="172">
        <f t="shared" si="197"/>
        <v>350</v>
      </c>
      <c r="Y81" s="379">
        <f t="shared" si="198"/>
        <v>278.83743079596576</v>
      </c>
      <c r="AA81" s="188">
        <f t="shared" si="199"/>
        <v>9.7497073600913886</v>
      </c>
      <c r="AB81" s="150">
        <f t="shared" si="200"/>
        <v>1.5032530391838372</v>
      </c>
      <c r="AC81" s="150">
        <f t="shared" si="201"/>
        <v>2.5648485135368211</v>
      </c>
      <c r="AD81" s="150"/>
      <c r="AE81" s="150">
        <f t="shared" si="202"/>
        <v>0.93445107052081244</v>
      </c>
      <c r="AF81" s="314">
        <f t="shared" si="203"/>
        <v>1073.5714599169655</v>
      </c>
      <c r="AG81" s="456">
        <f t="shared" si="204"/>
        <v>0.99108446873419509</v>
      </c>
      <c r="AI81" s="150">
        <f t="shared" si="205"/>
        <v>10.614450410387281</v>
      </c>
      <c r="AJ81" s="150">
        <f t="shared" si="206"/>
        <v>11.555467041290699</v>
      </c>
      <c r="AK81" s="150">
        <f t="shared" si="207"/>
        <v>5.2702673930997328</v>
      </c>
      <c r="AM81" s="314">
        <f t="shared" si="208"/>
        <v>3040</v>
      </c>
      <c r="AN81" s="144">
        <f t="shared" si="209"/>
        <v>278.83743079596576</v>
      </c>
      <c r="AP81">
        <f t="shared" si="210"/>
        <v>3040</v>
      </c>
      <c r="AQ81">
        <f t="shared" si="211"/>
        <v>278.83743079596576</v>
      </c>
      <c r="AS81" s="5">
        <f t="shared" si="285"/>
        <v>3.5863190861621868</v>
      </c>
      <c r="AT81" s="5">
        <f t="shared" si="212"/>
        <v>1.6046460258903472</v>
      </c>
      <c r="AU81" s="5">
        <f t="shared" si="286"/>
        <v>1.9816730602718395</v>
      </c>
      <c r="AV81" s="5">
        <f t="shared" si="213"/>
        <v>1.7816730602718396</v>
      </c>
      <c r="AW81" s="150">
        <f t="shared" si="287"/>
        <v>0.44743537519622123</v>
      </c>
      <c r="AX81" s="150">
        <f t="shared" si="214"/>
        <v>87.497156843992215</v>
      </c>
      <c r="AY81" s="150">
        <f t="shared" si="215"/>
        <v>3.1925711550516134</v>
      </c>
      <c r="AZ81" s="150">
        <f t="shared" si="288"/>
        <v>27.406486056088443</v>
      </c>
      <c r="BA81" s="144">
        <f t="shared" si="216"/>
        <v>16.260413062355518</v>
      </c>
      <c r="BB81" s="5">
        <f t="shared" si="217"/>
        <v>3.1410279875248066</v>
      </c>
      <c r="BC81" s="5"/>
      <c r="BD81" s="150">
        <f t="shared" si="289"/>
        <v>4.4626418567184709</v>
      </c>
      <c r="BE81" s="150">
        <f t="shared" si="218"/>
        <v>4.9592775521692198</v>
      </c>
      <c r="BF81" s="150"/>
      <c r="BG81" s="456">
        <f t="shared" si="219"/>
        <v>0.23898206809602815</v>
      </c>
      <c r="BH81" s="456">
        <f t="shared" si="220"/>
        <v>3.7918094925795089</v>
      </c>
      <c r="BI81" s="456">
        <f t="shared" si="221"/>
        <v>3.206630454153607E-2</v>
      </c>
      <c r="BJ81" s="456">
        <f t="shared" si="222"/>
        <v>0.6000004230269208</v>
      </c>
      <c r="BK81">
        <f t="shared" si="223"/>
        <v>1.5230656729274141E-2</v>
      </c>
      <c r="BL81" s="144">
        <f t="shared" si="290"/>
        <v>47.296961270810215</v>
      </c>
      <c r="BM81" s="456">
        <f t="shared" si="224"/>
        <v>4.9779773455520973</v>
      </c>
      <c r="BN81" s="144">
        <f t="shared" si="291"/>
        <v>4977.9773455520972</v>
      </c>
      <c r="BO81" s="456">
        <f t="shared" si="225"/>
        <v>2.0386239999999995</v>
      </c>
      <c r="BP81" s="456"/>
      <c r="BR81" s="144">
        <f t="shared" si="292"/>
        <v>2038.6239999999996</v>
      </c>
      <c r="BS81" s="456">
        <f t="shared" si="226"/>
        <v>0.2788124127786995</v>
      </c>
      <c r="BT81" s="456">
        <f t="shared" si="227"/>
        <v>0.3443220737522934</v>
      </c>
      <c r="BU81" s="456">
        <f t="shared" si="228"/>
        <v>29.465678339210747</v>
      </c>
      <c r="BV81" s="456">
        <f t="shared" si="229"/>
        <v>31.824858448781413</v>
      </c>
      <c r="BW81" s="456">
        <f t="shared" si="230"/>
        <v>3.7232832699571157</v>
      </c>
      <c r="BX81" s="144">
        <f t="shared" si="293"/>
        <v>35548.14171873853</v>
      </c>
      <c r="BY81" s="150">
        <f t="shared" si="231"/>
        <v>42.612040025561434</v>
      </c>
      <c r="BZ81" s="5">
        <f t="shared" si="294"/>
        <v>91.2</v>
      </c>
      <c r="CA81" s="150">
        <f t="shared" si="295"/>
        <v>0.6815530200614125</v>
      </c>
      <c r="CB81" s="5">
        <f t="shared" si="296"/>
        <v>68.155302006141255</v>
      </c>
      <c r="CE81" s="59">
        <f t="shared" si="232"/>
        <v>-50</v>
      </c>
      <c r="CF81">
        <f t="shared" si="233"/>
        <v>-50</v>
      </c>
      <c r="CG81" s="150">
        <f t="shared" si="234"/>
        <v>0.51292648338746671</v>
      </c>
      <c r="CI81" s="147">
        <v>76</v>
      </c>
      <c r="CJ81" s="188">
        <f t="shared" si="297"/>
        <v>3.04</v>
      </c>
      <c r="CK81" s="188"/>
      <c r="CL81" s="188">
        <f t="shared" si="235"/>
        <v>91.2</v>
      </c>
      <c r="CM81" s="465">
        <f t="shared" si="236"/>
        <v>34</v>
      </c>
      <c r="CN81" s="149">
        <f t="shared" si="237"/>
        <v>30.4</v>
      </c>
      <c r="CO81" s="379">
        <f t="shared" si="238"/>
        <v>64.400000000000006</v>
      </c>
      <c r="CP81" s="379"/>
      <c r="CQ81" s="188">
        <f t="shared" si="239"/>
        <v>0.47204968944099374</v>
      </c>
      <c r="CR81" s="149">
        <f t="shared" si="240"/>
        <v>244.918674788055</v>
      </c>
      <c r="CS81" s="149">
        <f t="shared" si="298"/>
        <v>91.2</v>
      </c>
      <c r="CT81" s="188">
        <f t="shared" si="241"/>
        <v>8.1639558262685004</v>
      </c>
      <c r="CU81" s="188">
        <f t="shared" si="242"/>
        <v>30</v>
      </c>
      <c r="CV81" s="188">
        <f t="shared" si="243"/>
        <v>8.1059037580776696</v>
      </c>
      <c r="CW81" s="149">
        <f t="shared" si="244"/>
        <v>135.55776631103859</v>
      </c>
      <c r="CX81" s="149">
        <f t="shared" si="245"/>
        <v>30</v>
      </c>
      <c r="CY81" s="188">
        <f t="shared" si="246"/>
        <v>11.364705882352942</v>
      </c>
      <c r="CZ81" s="188">
        <f t="shared" si="247"/>
        <v>1.5710034602076124</v>
      </c>
      <c r="DA81" s="188">
        <f t="shared" si="248"/>
        <v>1.7570433436532509</v>
      </c>
      <c r="DB81" s="172">
        <f t="shared" si="249"/>
        <v>350</v>
      </c>
      <c r="DC81" s="379">
        <f t="shared" si="299"/>
        <v>300.47654343078983</v>
      </c>
      <c r="DE81" s="188">
        <f t="shared" si="250"/>
        <v>9.7566501161056465</v>
      </c>
      <c r="DF81" s="150">
        <f t="shared" si="251"/>
        <v>1.5084294587400178</v>
      </c>
      <c r="DG81" s="150">
        <f t="shared" si="252"/>
        <v>2.5755132294067704</v>
      </c>
      <c r="DH81" s="150"/>
      <c r="DI81" s="150">
        <f t="shared" si="253"/>
        <v>0.93700159489633172</v>
      </c>
      <c r="DJ81" s="314">
        <f t="shared" si="300"/>
        <v>1070.6491914893618</v>
      </c>
      <c r="DK81" s="456">
        <f t="shared" si="254"/>
        <v>0.99378957034459414</v>
      </c>
      <c r="DM81" s="150">
        <f t="shared" si="255"/>
        <v>10.599994265066981</v>
      </c>
      <c r="DN81" s="150">
        <f t="shared" si="256"/>
        <v>11.364705882352942</v>
      </c>
      <c r="DO81" s="150">
        <f t="shared" si="257"/>
        <v>5.1289628309236157</v>
      </c>
      <c r="DQ81" s="314">
        <f t="shared" si="258"/>
        <v>3040</v>
      </c>
      <c r="DR81" s="144">
        <f t="shared" si="259"/>
        <v>300.47654343078983</v>
      </c>
      <c r="DT81">
        <f t="shared" si="260"/>
        <v>3040</v>
      </c>
      <c r="DU81">
        <f t="shared" si="261"/>
        <v>300.47654343078983</v>
      </c>
      <c r="DW81" s="5">
        <f t="shared" si="301"/>
        <v>3.3280468038608633</v>
      </c>
      <c r="DX81" s="5">
        <f t="shared" si="262"/>
        <v>1.5710034602076124</v>
      </c>
      <c r="DY81" s="5">
        <f t="shared" si="302"/>
        <v>1.7570433436532509</v>
      </c>
      <c r="DZ81" s="5">
        <f t="shared" si="263"/>
        <v>1.7570433436532509</v>
      </c>
      <c r="EA81" s="150">
        <f t="shared" si="303"/>
        <v>0.47204968944099374</v>
      </c>
      <c r="EB81" s="150">
        <f t="shared" si="264"/>
        <v>91.2</v>
      </c>
      <c r="EC81" s="150">
        <f t="shared" si="265"/>
        <v>3</v>
      </c>
      <c r="ED81" s="150">
        <f t="shared" si="304"/>
        <v>30.400000000000002</v>
      </c>
      <c r="EE81" s="144">
        <f t="shared" si="266"/>
        <v>15.919501730103807</v>
      </c>
      <c r="EF81" s="5">
        <f t="shared" si="267"/>
        <v>2.7723590474251982</v>
      </c>
      <c r="EG81" s="5"/>
      <c r="EH81" s="150">
        <f t="shared" si="305"/>
        <v>4.5080781011524147</v>
      </c>
      <c r="EI81" s="150">
        <f t="shared" si="268"/>
        <v>4.7675372850881708</v>
      </c>
      <c r="EJ81" s="150"/>
      <c r="EK81" s="456">
        <f t="shared" si="269"/>
        <v>0.24387321799307954</v>
      </c>
      <c r="EL81" s="456">
        <f t="shared" si="270"/>
        <v>4.1783829787234046</v>
      </c>
      <c r="EM81" s="456">
        <f t="shared" si="271"/>
        <v>3.4554802494540834E-2</v>
      </c>
      <c r="EN81" s="456">
        <f t="shared" si="272"/>
        <v>0.64490042553191507</v>
      </c>
      <c r="EO81">
        <f t="shared" si="273"/>
        <v>1.5299999999999999E-2</v>
      </c>
      <c r="EP81" s="144">
        <f t="shared" si="306"/>
        <v>49.854802494540834</v>
      </c>
      <c r="EQ81" s="456">
        <f t="shared" si="274"/>
        <v>5.5016460967604157</v>
      </c>
      <c r="ER81" s="144">
        <f t="shared" si="307"/>
        <v>5501.6460967604153</v>
      </c>
      <c r="ES81" s="456">
        <f t="shared" si="308"/>
        <v>2.0386239999999995</v>
      </c>
      <c r="ET81" s="456"/>
      <c r="EV81" s="144">
        <f t="shared" si="309"/>
        <v>2038.6239999999996</v>
      </c>
      <c r="EW81" s="456">
        <f t="shared" si="275"/>
        <v>0.28451875432525947</v>
      </c>
      <c r="EX81" s="456">
        <f t="shared" si="276"/>
        <v>0.31821176470588242</v>
      </c>
      <c r="EY81" s="456">
        <f t="shared" si="277"/>
        <v>34.071554045454569</v>
      </c>
      <c r="EZ81" s="456">
        <f t="shared" si="278"/>
        <v>36.582910835917382</v>
      </c>
      <c r="FA81" s="456">
        <f t="shared" si="279"/>
        <v>3.8808510638297875</v>
      </c>
      <c r="FB81" s="144">
        <f t="shared" si="310"/>
        <v>40463.761899747173</v>
      </c>
      <c r="FC81" s="150">
        <f t="shared" si="311"/>
        <v>48.004031996507585</v>
      </c>
      <c r="FD81" s="5">
        <f t="shared" si="312"/>
        <v>91.2</v>
      </c>
      <c r="FE81" s="150">
        <f t="shared" si="313"/>
        <v>0.65515343695136696</v>
      </c>
      <c r="FF81" s="5">
        <f t="shared" si="314"/>
        <v>65.515343695136693</v>
      </c>
      <c r="FI81" s="59">
        <f t="shared" si="280"/>
        <v>-50</v>
      </c>
      <c r="FJ81">
        <f t="shared" si="281"/>
        <v>-50</v>
      </c>
      <c r="FL81">
        <f t="shared" si="282"/>
        <v>0.52795031055900621</v>
      </c>
    </row>
    <row r="82" spans="5:168">
      <c r="E82" s="147">
        <v>77</v>
      </c>
      <c r="F82" s="188">
        <f t="shared" si="283"/>
        <v>3.08</v>
      </c>
      <c r="G82" s="188"/>
      <c r="H82" s="188">
        <f t="shared" si="183"/>
        <v>92.4</v>
      </c>
      <c r="I82" s="465">
        <f t="shared" si="184"/>
        <v>33.843935627913417</v>
      </c>
      <c r="J82" s="149">
        <f t="shared" si="185"/>
        <v>30.484034661892775</v>
      </c>
      <c r="K82" s="149">
        <f t="shared" si="186"/>
        <v>64.484034661892778</v>
      </c>
      <c r="L82" s="379"/>
      <c r="M82" s="188">
        <f t="shared" si="187"/>
        <v>0.47386529816061629</v>
      </c>
      <c r="N82" s="149">
        <f t="shared" si="188"/>
        <v>244.73215464029965</v>
      </c>
      <c r="O82" s="149">
        <f t="shared" si="284"/>
        <v>92.4</v>
      </c>
      <c r="P82" s="188">
        <f t="shared" si="189"/>
        <v>8.1577384880099881</v>
      </c>
      <c r="Q82" s="188">
        <f t="shared" si="190"/>
        <v>30</v>
      </c>
      <c r="R82" s="188">
        <f t="shared" si="191"/>
        <v>8.099730629924192</v>
      </c>
      <c r="S82" s="149">
        <f t="shared" si="192"/>
        <v>132.74699264179208</v>
      </c>
      <c r="T82" s="149">
        <f t="shared" si="193"/>
        <v>30</v>
      </c>
      <c r="U82" s="188">
        <f t="shared" si="194"/>
        <v>11.70802834039352</v>
      </c>
      <c r="V82" s="188">
        <f t="shared" si="195"/>
        <v>1.6259259503633021</v>
      </c>
      <c r="W82" s="188">
        <f t="shared" si="196"/>
        <v>1.8051328772643782</v>
      </c>
      <c r="X82" s="172">
        <f t="shared" si="197"/>
        <v>350</v>
      </c>
      <c r="Y82" s="379">
        <f t="shared" si="198"/>
        <v>275.40176226044258</v>
      </c>
      <c r="AA82" s="188">
        <f t="shared" si="199"/>
        <v>9.7496170204434218</v>
      </c>
      <c r="AB82" s="150">
        <f t="shared" si="200"/>
        <v>1.5031868486019786</v>
      </c>
      <c r="AC82" s="150">
        <f t="shared" si="201"/>
        <v>2.5647118147063979</v>
      </c>
      <c r="AD82" s="150"/>
      <c r="AE82" s="150">
        <f t="shared" si="202"/>
        <v>0.93441858339232842</v>
      </c>
      <c r="AF82" s="314">
        <f t="shared" si="203"/>
        <v>1087.735216384551</v>
      </c>
      <c r="AG82" s="456">
        <f t="shared" si="204"/>
        <v>0.99105001268883308</v>
      </c>
      <c r="AI82" s="150">
        <f t="shared" si="205"/>
        <v>10.684239835456518</v>
      </c>
      <c r="AJ82" s="150">
        <f t="shared" si="206"/>
        <v>11.70802834039352</v>
      </c>
      <c r="AK82" s="150">
        <f t="shared" si="207"/>
        <v>5.3832757628055257</v>
      </c>
      <c r="AM82" s="314">
        <f t="shared" si="208"/>
        <v>3080</v>
      </c>
      <c r="AN82" s="144">
        <f t="shared" si="209"/>
        <v>275.40176226044258</v>
      </c>
      <c r="AP82">
        <f t="shared" si="210"/>
        <v>3080</v>
      </c>
      <c r="AQ82">
        <f t="shared" si="211"/>
        <v>275.40176226044258</v>
      </c>
      <c r="AS82" s="5">
        <f t="shared" si="285"/>
        <v>3.6310588276276814</v>
      </c>
      <c r="AT82" s="5">
        <f t="shared" si="212"/>
        <v>1.6259259503633021</v>
      </c>
      <c r="AU82" s="5">
        <f t="shared" si="286"/>
        <v>2.0051328772643791</v>
      </c>
      <c r="AV82" s="5">
        <f t="shared" si="213"/>
        <v>1.8051328772643782</v>
      </c>
      <c r="AW82" s="150">
        <f t="shared" si="287"/>
        <v>0.44778287203503825</v>
      </c>
      <c r="AX82" s="150">
        <f t="shared" si="214"/>
        <v>88.716031658508996</v>
      </c>
      <c r="AY82" s="150">
        <f t="shared" si="215"/>
        <v>3.2326868921322434</v>
      </c>
      <c r="AZ82" s="150">
        <f t="shared" si="288"/>
        <v>27.44343470888791</v>
      </c>
      <c r="BA82" s="144">
        <f t="shared" si="216"/>
        <v>16.692839757063236</v>
      </c>
      <c r="BB82" s="5">
        <f t="shared" si="217"/>
        <v>3.2202185504415954</v>
      </c>
      <c r="BC82" s="5"/>
      <c r="BD82" s="150">
        <f t="shared" si="289"/>
        <v>4.5233154552109935</v>
      </c>
      <c r="BE82" s="150">
        <f t="shared" si="218"/>
        <v>5.0231722877548846</v>
      </c>
      <c r="BF82" s="150"/>
      <c r="BG82" s="456">
        <f t="shared" si="219"/>
        <v>0.24552459248820768</v>
      </c>
      <c r="BH82" s="456">
        <f t="shared" si="220"/>
        <v>3.7945960603374584</v>
      </c>
      <c r="BI82" s="456">
        <f t="shared" si="221"/>
        <v>3.1671202659950902E-2</v>
      </c>
      <c r="BJ82" s="456">
        <f t="shared" si="222"/>
        <v>0.59262705535779736</v>
      </c>
      <c r="BK82">
        <f t="shared" si="223"/>
        <v>1.5229771032561037E-2</v>
      </c>
      <c r="BL82" s="144">
        <f t="shared" si="290"/>
        <v>46.900973692511933</v>
      </c>
      <c r="BM82" s="456">
        <f t="shared" si="224"/>
        <v>4.9901478209792378</v>
      </c>
      <c r="BN82" s="144">
        <f t="shared" si="291"/>
        <v>4990.1478209792376</v>
      </c>
      <c r="BO82" s="456">
        <f t="shared" si="225"/>
        <v>2.0654479999999995</v>
      </c>
      <c r="BP82" s="456"/>
      <c r="BR82" s="144">
        <f t="shared" si="292"/>
        <v>2065.4479999999994</v>
      </c>
      <c r="BS82" s="456">
        <f t="shared" si="226"/>
        <v>0.28644535790290898</v>
      </c>
      <c r="BT82" s="456">
        <f t="shared" si="227"/>
        <v>0.35325163765456102</v>
      </c>
      <c r="BU82" s="456">
        <f t="shared" si="228"/>
        <v>29.518630459753954</v>
      </c>
      <c r="BV82" s="456">
        <f t="shared" si="229"/>
        <v>31.946754145837659</v>
      </c>
      <c r="BW82" s="456">
        <f t="shared" si="230"/>
        <v>3.7751502833408095</v>
      </c>
      <c r="BX82" s="144">
        <f t="shared" si="293"/>
        <v>35721.904429178467</v>
      </c>
      <c r="BY82" s="150">
        <f t="shared" si="231"/>
        <v>42.824401223850209</v>
      </c>
      <c r="BZ82" s="5">
        <f t="shared" si="294"/>
        <v>92.4</v>
      </c>
      <c r="CA82" s="150">
        <f t="shared" si="295"/>
        <v>0.68330862746466314</v>
      </c>
      <c r="CB82" s="5">
        <f t="shared" si="296"/>
        <v>68.330862746466309</v>
      </c>
      <c r="CE82" s="59">
        <f t="shared" si="232"/>
        <v>-50</v>
      </c>
      <c r="CF82">
        <f t="shared" si="233"/>
        <v>-50</v>
      </c>
      <c r="CG82" s="150">
        <f t="shared" si="234"/>
        <v>0.51312159802605817</v>
      </c>
      <c r="CI82" s="147">
        <v>77</v>
      </c>
      <c r="CJ82" s="188">
        <f t="shared" si="297"/>
        <v>3.08</v>
      </c>
      <c r="CK82" s="188"/>
      <c r="CL82" s="188">
        <f t="shared" si="235"/>
        <v>92.4</v>
      </c>
      <c r="CM82" s="465">
        <f t="shared" si="236"/>
        <v>34</v>
      </c>
      <c r="CN82" s="149">
        <f t="shared" si="237"/>
        <v>30.4</v>
      </c>
      <c r="CO82" s="379">
        <f t="shared" si="238"/>
        <v>64.400000000000006</v>
      </c>
      <c r="CP82" s="379"/>
      <c r="CQ82" s="188">
        <f t="shared" si="239"/>
        <v>0.47204968944099374</v>
      </c>
      <c r="CR82" s="149">
        <f t="shared" si="240"/>
        <v>244.918674788055</v>
      </c>
      <c r="CS82" s="149">
        <f t="shared" si="298"/>
        <v>92.4</v>
      </c>
      <c r="CT82" s="188">
        <f t="shared" si="241"/>
        <v>8.1639558262685004</v>
      </c>
      <c r="CU82" s="188">
        <f t="shared" si="242"/>
        <v>30</v>
      </c>
      <c r="CV82" s="188">
        <f t="shared" si="243"/>
        <v>8.1059037580776696</v>
      </c>
      <c r="CW82" s="149">
        <f t="shared" si="244"/>
        <v>133.35866109769844</v>
      </c>
      <c r="CX82" s="149">
        <f t="shared" si="245"/>
        <v>30</v>
      </c>
      <c r="CY82" s="188">
        <f t="shared" si="246"/>
        <v>11.514241486068112</v>
      </c>
      <c r="CZ82" s="188">
        <f t="shared" si="247"/>
        <v>1.591674558368239</v>
      </c>
      <c r="DA82" s="188">
        <f t="shared" si="248"/>
        <v>1.7801623350171094</v>
      </c>
      <c r="DB82" s="172">
        <f t="shared" si="249"/>
        <v>350</v>
      </c>
      <c r="DC82" s="379">
        <f t="shared" si="299"/>
        <v>296.57425065896138</v>
      </c>
      <c r="DE82" s="188">
        <f t="shared" si="250"/>
        <v>9.7566501161056465</v>
      </c>
      <c r="DF82" s="150">
        <f t="shared" si="251"/>
        <v>1.5084294587400178</v>
      </c>
      <c r="DG82" s="150">
        <f t="shared" si="252"/>
        <v>2.5755132294067704</v>
      </c>
      <c r="DH82" s="150"/>
      <c r="DI82" s="150">
        <f t="shared" si="253"/>
        <v>0.93700159489633172</v>
      </c>
      <c r="DJ82" s="314">
        <f t="shared" si="300"/>
        <v>1084.736680851064</v>
      </c>
      <c r="DK82" s="456">
        <f t="shared" si="254"/>
        <v>0.99378957034459414</v>
      </c>
      <c r="DM82" s="150">
        <f t="shared" si="255"/>
        <v>10.669503168954982</v>
      </c>
      <c r="DN82" s="150">
        <f t="shared" si="256"/>
        <v>11.514241486068112</v>
      </c>
      <c r="DO82" s="150">
        <f t="shared" si="257"/>
        <v>5.2397299447867054</v>
      </c>
      <c r="DQ82" s="314">
        <f t="shared" si="258"/>
        <v>3080</v>
      </c>
      <c r="DR82" s="144">
        <f t="shared" si="259"/>
        <v>296.57425065896138</v>
      </c>
      <c r="DT82">
        <f t="shared" si="260"/>
        <v>3080</v>
      </c>
      <c r="DU82">
        <f t="shared" si="261"/>
        <v>296.57425065896138</v>
      </c>
      <c r="DW82" s="5">
        <f t="shared" si="301"/>
        <v>3.3718368933853489</v>
      </c>
      <c r="DX82" s="5">
        <f t="shared" si="262"/>
        <v>1.591674558368239</v>
      </c>
      <c r="DY82" s="5">
        <f t="shared" si="302"/>
        <v>1.7801623350171099</v>
      </c>
      <c r="DZ82" s="5">
        <f t="shared" si="263"/>
        <v>1.7801623350171094</v>
      </c>
      <c r="EA82" s="150">
        <f t="shared" si="303"/>
        <v>0.47204968944099374</v>
      </c>
      <c r="EB82" s="150">
        <f t="shared" si="264"/>
        <v>92.4</v>
      </c>
      <c r="EC82" s="150">
        <f t="shared" si="265"/>
        <v>3.0394736842105265</v>
      </c>
      <c r="ED82" s="150">
        <f t="shared" si="304"/>
        <v>30.4</v>
      </c>
      <c r="EE82" s="144">
        <f t="shared" si="266"/>
        <v>16.341192132580588</v>
      </c>
      <c r="EF82" s="5">
        <f t="shared" si="267"/>
        <v>2.8457958435221617</v>
      </c>
      <c r="EG82" s="5"/>
      <c r="EH82" s="150">
        <f t="shared" si="305"/>
        <v>4.5673949182728411</v>
      </c>
      <c r="EI82" s="150">
        <f t="shared" si="268"/>
        <v>4.8302680388393311</v>
      </c>
      <c r="EJ82" s="150"/>
      <c r="EK82" s="456">
        <f t="shared" si="269"/>
        <v>0.25033315607357487</v>
      </c>
      <c r="EL82" s="456">
        <f t="shared" si="270"/>
        <v>4.1783829787234046</v>
      </c>
      <c r="EM82" s="456">
        <f t="shared" si="271"/>
        <v>3.4106038825780567E-2</v>
      </c>
      <c r="EN82" s="456">
        <f t="shared" si="272"/>
        <v>0.63652509533020185</v>
      </c>
      <c r="EO82">
        <f t="shared" si="273"/>
        <v>1.5299999999999999E-2</v>
      </c>
      <c r="EP82" s="144">
        <f t="shared" si="306"/>
        <v>49.40603882578057</v>
      </c>
      <c r="EQ82" s="456">
        <f t="shared" si="274"/>
        <v>5.5099653181833581</v>
      </c>
      <c r="ER82" s="144">
        <f t="shared" si="307"/>
        <v>5509.9653181833582</v>
      </c>
      <c r="ES82" s="456">
        <f t="shared" si="308"/>
        <v>2.0654479999999995</v>
      </c>
      <c r="ET82" s="456"/>
      <c r="EV82" s="144">
        <f t="shared" si="309"/>
        <v>2065.4479999999994</v>
      </c>
      <c r="EW82" s="456">
        <f t="shared" si="275"/>
        <v>0.29205534875250405</v>
      </c>
      <c r="EX82" s="456">
        <f t="shared" si="276"/>
        <v>0.32664085057845865</v>
      </c>
      <c r="EY82" s="456">
        <f t="shared" si="277"/>
        <v>34.071554045454604</v>
      </c>
      <c r="EZ82" s="456">
        <f t="shared" si="278"/>
        <v>36.652898029026943</v>
      </c>
      <c r="FA82" s="456">
        <f t="shared" si="279"/>
        <v>3.9319148936170216</v>
      </c>
      <c r="FB82" s="144">
        <f t="shared" si="310"/>
        <v>40584.812922643963</v>
      </c>
      <c r="FC82" s="150">
        <f t="shared" si="311"/>
        <v>48.160226240827321</v>
      </c>
      <c r="FD82" s="5">
        <f t="shared" si="312"/>
        <v>92.4</v>
      </c>
      <c r="FE82" s="150">
        <f t="shared" si="313"/>
        <v>0.65736945984767758</v>
      </c>
      <c r="FF82" s="5">
        <f t="shared" si="314"/>
        <v>65.736945984767758</v>
      </c>
      <c r="FI82" s="59">
        <f t="shared" si="280"/>
        <v>-50</v>
      </c>
      <c r="FJ82">
        <f t="shared" si="281"/>
        <v>-50</v>
      </c>
      <c r="FL82">
        <f t="shared" si="282"/>
        <v>0.52795031055900621</v>
      </c>
    </row>
    <row r="83" spans="5:168">
      <c r="E83" s="147">
        <v>78</v>
      </c>
      <c r="F83" s="188">
        <f t="shared" si="283"/>
        <v>3.12</v>
      </c>
      <c r="G83" s="188"/>
      <c r="H83" s="188">
        <f t="shared" si="183"/>
        <v>93.600000000000009</v>
      </c>
      <c r="I83" s="465">
        <f t="shared" si="184"/>
        <v>33.84196736902139</v>
      </c>
      <c r="J83" s="149">
        <f t="shared" si="185"/>
        <v>30.485094493603864</v>
      </c>
      <c r="K83" s="149">
        <f t="shared" si="186"/>
        <v>64.485094493603867</v>
      </c>
      <c r="L83" s="379"/>
      <c r="M83" s="188">
        <f t="shared" si="187"/>
        <v>0.47388847376351234</v>
      </c>
      <c r="N83" s="149">
        <f t="shared" si="188"/>
        <v>244.72989033341312</v>
      </c>
      <c r="O83" s="149">
        <f t="shared" si="284"/>
        <v>93.600000000000009</v>
      </c>
      <c r="P83" s="188">
        <f t="shared" si="189"/>
        <v>8.1576630111137707</v>
      </c>
      <c r="Q83" s="188">
        <f t="shared" si="190"/>
        <v>30</v>
      </c>
      <c r="R83" s="188">
        <f t="shared" si="191"/>
        <v>8.0996556897273404</v>
      </c>
      <c r="S83" s="149">
        <f t="shared" si="192"/>
        <v>130.60658007334152</v>
      </c>
      <c r="T83" s="149">
        <f t="shared" si="193"/>
        <v>30</v>
      </c>
      <c r="U83" s="188">
        <f t="shared" si="194"/>
        <v>11.860603101850909</v>
      </c>
      <c r="V83" s="188">
        <f t="shared" si="195"/>
        <v>1.6472102218775719</v>
      </c>
      <c r="W83" s="188">
        <f t="shared" si="196"/>
        <v>1.8285931372262993</v>
      </c>
      <c r="X83" s="172">
        <f t="shared" si="197"/>
        <v>350</v>
      </c>
      <c r="Y83" s="379">
        <f t="shared" si="198"/>
        <v>272.04937324062712</v>
      </c>
      <c r="AA83" s="188">
        <f t="shared" si="199"/>
        <v>9.7495266367993185</v>
      </c>
      <c r="AB83" s="150">
        <f t="shared" si="200"/>
        <v>1.5031206546717761</v>
      </c>
      <c r="AC83" s="150">
        <f t="shared" si="201"/>
        <v>2.5645751006829998</v>
      </c>
      <c r="AD83" s="150"/>
      <c r="AE83" s="150">
        <f t="shared" si="202"/>
        <v>0.93438609779690673</v>
      </c>
      <c r="AF83" s="314">
        <f t="shared" si="203"/>
        <v>1101.8999559471063</v>
      </c>
      <c r="AG83" s="456">
        <f t="shared" si="204"/>
        <v>0.99101555826944654</v>
      </c>
      <c r="AI83" s="150">
        <f t="shared" si="205"/>
        <v>10.753581142112276</v>
      </c>
      <c r="AJ83" s="150">
        <f t="shared" si="206"/>
        <v>11.860603101850909</v>
      </c>
      <c r="AK83" s="150">
        <f t="shared" si="207"/>
        <v>5.4962941046258145</v>
      </c>
      <c r="AM83" s="314">
        <f t="shared" si="208"/>
        <v>3120</v>
      </c>
      <c r="AN83" s="144">
        <f t="shared" si="209"/>
        <v>272.04937324062712</v>
      </c>
      <c r="AP83">
        <f t="shared" si="210"/>
        <v>3120</v>
      </c>
      <c r="AQ83">
        <f t="shared" si="211"/>
        <v>272.04937324062712</v>
      </c>
      <c r="AS83" s="5">
        <f t="shared" si="285"/>
        <v>3.6758033591038712</v>
      </c>
      <c r="AT83" s="5">
        <f t="shared" si="212"/>
        <v>1.6472102218775719</v>
      </c>
      <c r="AU83" s="5">
        <f t="shared" si="286"/>
        <v>2.0285931372262995</v>
      </c>
      <c r="AV83" s="5">
        <f t="shared" si="213"/>
        <v>1.8285931372262993</v>
      </c>
      <c r="AW83" s="150">
        <f t="shared" si="287"/>
        <v>0.4481225084573478</v>
      </c>
      <c r="AX83" s="150">
        <f t="shared" si="214"/>
        <v>89.93508266414355</v>
      </c>
      <c r="AY83" s="150">
        <f t="shared" si="215"/>
        <v>3.2727999440162399</v>
      </c>
      <c r="AZ83" s="150">
        <f t="shared" si="288"/>
        <v>27.479553960691856</v>
      </c>
      <c r="BA83" s="144">
        <f t="shared" si="216"/>
        <v>17.130986307526747</v>
      </c>
      <c r="BB83" s="5">
        <f t="shared" si="217"/>
        <v>3.3003977084902085</v>
      </c>
      <c r="BC83" s="5"/>
      <c r="BD83" s="150">
        <f t="shared" si="289"/>
        <v>4.5839991130075646</v>
      </c>
      <c r="BE83" s="150">
        <f t="shared" si="218"/>
        <v>5.0870673390298595</v>
      </c>
      <c r="BF83" s="150"/>
      <c r="BG83" s="456">
        <f t="shared" si="219"/>
        <v>0.25215657441664963</v>
      </c>
      <c r="BH83" s="456">
        <f t="shared" si="220"/>
        <v>3.7973157637241362</v>
      </c>
      <c r="BI83" s="456">
        <f t="shared" si="221"/>
        <v>3.1285677922672124E-2</v>
      </c>
      <c r="BJ83" s="456">
        <f t="shared" si="222"/>
        <v>0.5854324144685723</v>
      </c>
      <c r="BK83">
        <f t="shared" si="223"/>
        <v>1.5228885316059626E-2</v>
      </c>
      <c r="BL83" s="144">
        <f t="shared" si="290"/>
        <v>46.514563238731753</v>
      </c>
      <c r="BM83" s="456">
        <f t="shared" si="224"/>
        <v>5.0027114899871847</v>
      </c>
      <c r="BN83" s="144">
        <f t="shared" si="291"/>
        <v>5002.7114899871849</v>
      </c>
      <c r="BO83" s="456">
        <f t="shared" si="225"/>
        <v>2.0922719999999995</v>
      </c>
      <c r="BP83" s="456"/>
      <c r="BR83" s="144">
        <f t="shared" si="292"/>
        <v>2092.2719999999995</v>
      </c>
      <c r="BS83" s="456">
        <f t="shared" si="226"/>
        <v>0.29418267015275795</v>
      </c>
      <c r="BT83" s="456">
        <f t="shared" si="227"/>
        <v>0.36229555756554072</v>
      </c>
      <c r="BU83" s="456">
        <f t="shared" si="228"/>
        <v>29.570336136821446</v>
      </c>
      <c r="BV83" s="456">
        <f t="shared" si="229"/>
        <v>32.068553724348064</v>
      </c>
      <c r="BW83" s="456">
        <f t="shared" si="230"/>
        <v>3.8270247942188749</v>
      </c>
      <c r="BX83" s="144">
        <f t="shared" si="293"/>
        <v>35895.578518566937</v>
      </c>
      <c r="BY83" s="150">
        <f t="shared" si="231"/>
        <v>43.037076571792859</v>
      </c>
      <c r="BZ83" s="5">
        <f t="shared" si="294"/>
        <v>93.600000000000009</v>
      </c>
      <c r="CA83" s="150">
        <f t="shared" si="295"/>
        <v>0.68502636581821186</v>
      </c>
      <c r="CB83" s="5">
        <f t="shared" si="296"/>
        <v>68.502636581821179</v>
      </c>
      <c r="CE83" s="59">
        <f t="shared" si="232"/>
        <v>-50</v>
      </c>
      <c r="CF83">
        <f t="shared" si="233"/>
        <v>-50</v>
      </c>
      <c r="CG83" s="150">
        <f t="shared" si="234"/>
        <v>0.51331170972519846</v>
      </c>
      <c r="CI83" s="147">
        <v>78</v>
      </c>
      <c r="CJ83" s="188">
        <f t="shared" si="297"/>
        <v>3.12</v>
      </c>
      <c r="CK83" s="188"/>
      <c r="CL83" s="188">
        <f t="shared" si="235"/>
        <v>93.600000000000009</v>
      </c>
      <c r="CM83" s="465">
        <f t="shared" si="236"/>
        <v>34</v>
      </c>
      <c r="CN83" s="149">
        <f t="shared" si="237"/>
        <v>30.4</v>
      </c>
      <c r="CO83" s="379">
        <f t="shared" si="238"/>
        <v>64.400000000000006</v>
      </c>
      <c r="CP83" s="379"/>
      <c r="CQ83" s="188">
        <f t="shared" si="239"/>
        <v>0.47204968944099374</v>
      </c>
      <c r="CR83" s="149">
        <f t="shared" si="240"/>
        <v>244.918674788055</v>
      </c>
      <c r="CS83" s="149">
        <f t="shared" si="298"/>
        <v>93.600000000000009</v>
      </c>
      <c r="CT83" s="188">
        <f t="shared" si="241"/>
        <v>8.1639558262685004</v>
      </c>
      <c r="CU83" s="188">
        <f t="shared" si="242"/>
        <v>30</v>
      </c>
      <c r="CV83" s="188">
        <f t="shared" si="243"/>
        <v>8.1059037580776696</v>
      </c>
      <c r="CW83" s="149">
        <f t="shared" si="244"/>
        <v>131.21599601780952</v>
      </c>
      <c r="CX83" s="149">
        <f t="shared" si="245"/>
        <v>30</v>
      </c>
      <c r="CY83" s="188">
        <f t="shared" si="246"/>
        <v>11.663777089783283</v>
      </c>
      <c r="CZ83" s="188">
        <f t="shared" si="247"/>
        <v>1.6123456565288656</v>
      </c>
      <c r="DA83" s="188">
        <f t="shared" si="248"/>
        <v>1.8032813263809682</v>
      </c>
      <c r="DB83" s="172">
        <f t="shared" si="249"/>
        <v>350</v>
      </c>
      <c r="DC83" s="379">
        <f t="shared" si="299"/>
        <v>292.77201667615418</v>
      </c>
      <c r="DE83" s="188">
        <f t="shared" si="250"/>
        <v>9.7566501161056465</v>
      </c>
      <c r="DF83" s="150">
        <f t="shared" si="251"/>
        <v>1.5084294587400178</v>
      </c>
      <c r="DG83" s="150">
        <f t="shared" si="252"/>
        <v>2.5755132294067704</v>
      </c>
      <c r="DH83" s="150"/>
      <c r="DI83" s="150">
        <f t="shared" si="253"/>
        <v>0.93700159489633172</v>
      </c>
      <c r="DJ83" s="314">
        <f t="shared" si="300"/>
        <v>1098.8241702127659</v>
      </c>
      <c r="DK83" s="456">
        <f t="shared" si="254"/>
        <v>0.99378957034459414</v>
      </c>
      <c r="DM83" s="150">
        <f t="shared" si="255"/>
        <v>10.738562162842285</v>
      </c>
      <c r="DN83" s="150">
        <f t="shared" si="256"/>
        <v>11.663777089783283</v>
      </c>
      <c r="DO83" s="150">
        <f t="shared" si="257"/>
        <v>5.3504970586497942</v>
      </c>
      <c r="DQ83" s="314">
        <f t="shared" si="258"/>
        <v>3120</v>
      </c>
      <c r="DR83" s="144">
        <f t="shared" si="259"/>
        <v>292.77201667615418</v>
      </c>
      <c r="DT83">
        <f t="shared" si="260"/>
        <v>3120</v>
      </c>
      <c r="DU83">
        <f t="shared" si="261"/>
        <v>292.77201667615418</v>
      </c>
      <c r="DW83" s="5">
        <f t="shared" si="301"/>
        <v>3.4156269829098336</v>
      </c>
      <c r="DX83" s="5">
        <f t="shared" si="262"/>
        <v>1.6123456565288656</v>
      </c>
      <c r="DY83" s="5">
        <f t="shared" si="302"/>
        <v>1.8032813263809679</v>
      </c>
      <c r="DZ83" s="5">
        <f t="shared" si="263"/>
        <v>1.8032813263809682</v>
      </c>
      <c r="EA83" s="150">
        <f t="shared" si="303"/>
        <v>0.47204968944099379</v>
      </c>
      <c r="EB83" s="150">
        <f t="shared" si="264"/>
        <v>93.600000000000009</v>
      </c>
      <c r="EC83" s="150">
        <f t="shared" si="265"/>
        <v>3.0789473684210527</v>
      </c>
      <c r="ED83" s="150">
        <f t="shared" si="304"/>
        <v>30.400000000000002</v>
      </c>
      <c r="EE83" s="144">
        <f t="shared" si="266"/>
        <v>16.768394827900202</v>
      </c>
      <c r="EF83" s="5">
        <f t="shared" si="267"/>
        <v>2.9201925977380383</v>
      </c>
      <c r="EG83" s="5"/>
      <c r="EH83" s="150">
        <f t="shared" si="305"/>
        <v>4.6267117353932683</v>
      </c>
      <c r="EI83" s="150">
        <f t="shared" si="268"/>
        <v>4.8929987925904914</v>
      </c>
      <c r="EJ83" s="150"/>
      <c r="EK83" s="456">
        <f t="shared" si="269"/>
        <v>0.25687753778910943</v>
      </c>
      <c r="EL83" s="456">
        <f t="shared" si="270"/>
        <v>4.1783829787234046</v>
      </c>
      <c r="EM83" s="456">
        <f t="shared" si="271"/>
        <v>3.3668781917757733E-2</v>
      </c>
      <c r="EN83" s="456">
        <f t="shared" si="272"/>
        <v>0.62836451718494279</v>
      </c>
      <c r="EO83">
        <f t="shared" si="273"/>
        <v>1.5299999999999999E-2</v>
      </c>
      <c r="EP83" s="144">
        <f t="shared" si="306"/>
        <v>48.968781917757731</v>
      </c>
      <c r="EQ83" s="456">
        <f t="shared" si="274"/>
        <v>5.5187848326089757</v>
      </c>
      <c r="ER83" s="144">
        <f t="shared" si="307"/>
        <v>5518.7848326089761</v>
      </c>
      <c r="ES83" s="456">
        <f t="shared" si="308"/>
        <v>2.0922719999999995</v>
      </c>
      <c r="ET83" s="456"/>
      <c r="EV83" s="144">
        <f t="shared" si="309"/>
        <v>2092.2719999999995</v>
      </c>
      <c r="EW83" s="456">
        <f t="shared" si="275"/>
        <v>0.299690460753961</v>
      </c>
      <c r="EX83" s="456">
        <f t="shared" si="276"/>
        <v>0.33518012058008811</v>
      </c>
      <c r="EY83" s="456">
        <f t="shared" si="277"/>
        <v>34.071554045454661</v>
      </c>
      <c r="EZ83" s="456">
        <f t="shared" si="278"/>
        <v>36.723992145704941</v>
      </c>
      <c r="FA83" s="456">
        <f t="shared" si="279"/>
        <v>3.9829787234042557</v>
      </c>
      <c r="FB83" s="144">
        <f t="shared" si="310"/>
        <v>40706.970869109202</v>
      </c>
      <c r="FC83" s="150">
        <f t="shared" si="311"/>
        <v>48.318027701718172</v>
      </c>
      <c r="FD83" s="5">
        <f t="shared" si="312"/>
        <v>93.600000000000009</v>
      </c>
      <c r="FE83" s="150">
        <f t="shared" si="313"/>
        <v>0.65953565953387894</v>
      </c>
      <c r="FF83" s="5">
        <f t="shared" si="314"/>
        <v>65.953565953387894</v>
      </c>
      <c r="FI83" s="59">
        <f t="shared" si="280"/>
        <v>-50</v>
      </c>
      <c r="FJ83">
        <f t="shared" si="281"/>
        <v>-50</v>
      </c>
      <c r="FL83">
        <f t="shared" si="282"/>
        <v>0.52795031055900621</v>
      </c>
    </row>
    <row r="84" spans="5:168">
      <c r="E84" s="147">
        <v>79</v>
      </c>
      <c r="F84" s="188">
        <f t="shared" si="283"/>
        <v>3.16</v>
      </c>
      <c r="G84" s="188"/>
      <c r="H84" s="188">
        <f t="shared" si="183"/>
        <v>94.800000000000011</v>
      </c>
      <c r="I84" s="465">
        <f t="shared" si="184"/>
        <v>33.839999067872249</v>
      </c>
      <c r="J84" s="149">
        <f t="shared" si="185"/>
        <v>30.486154348068787</v>
      </c>
      <c r="K84" s="149">
        <f t="shared" si="186"/>
        <v>64.486154348068794</v>
      </c>
      <c r="L84" s="379"/>
      <c r="M84" s="188">
        <f t="shared" si="187"/>
        <v>0.47391165033171717</v>
      </c>
      <c r="N84" s="149">
        <f t="shared" si="188"/>
        <v>244.72762482722194</v>
      </c>
      <c r="O84" s="149">
        <f t="shared" si="284"/>
        <v>94.800000000000011</v>
      </c>
      <c r="P84" s="188">
        <f t="shared" si="189"/>
        <v>8.1575874942407314</v>
      </c>
      <c r="Q84" s="188">
        <f t="shared" si="190"/>
        <v>30</v>
      </c>
      <c r="R84" s="188">
        <f t="shared" si="191"/>
        <v>8.0995807098379338</v>
      </c>
      <c r="S84" s="149">
        <f t="shared" si="192"/>
        <v>128.5204574861848</v>
      </c>
      <c r="T84" s="149">
        <f t="shared" si="193"/>
        <v>30</v>
      </c>
      <c r="U84" s="188">
        <f t="shared" si="194"/>
        <v>12.013191328005991</v>
      </c>
      <c r="V84" s="188">
        <f t="shared" si="195"/>
        <v>1.6684988415154325</v>
      </c>
      <c r="W84" s="188">
        <f t="shared" si="196"/>
        <v>1.8520538404741387</v>
      </c>
      <c r="X84" s="172">
        <f t="shared" si="197"/>
        <v>350</v>
      </c>
      <c r="Y84" s="379">
        <f t="shared" si="198"/>
        <v>268.7772719469325</v>
      </c>
      <c r="AA84" s="188">
        <f t="shared" si="199"/>
        <v>9.7494362092333855</v>
      </c>
      <c r="AB84" s="150">
        <f t="shared" si="200"/>
        <v>1.5030544574507683</v>
      </c>
      <c r="AC84" s="150">
        <f t="shared" si="201"/>
        <v>2.5644383715860282</v>
      </c>
      <c r="AD84" s="150"/>
      <c r="AE84" s="150">
        <f t="shared" si="202"/>
        <v>0.93435361376279724</v>
      </c>
      <c r="AF84" s="314">
        <f t="shared" si="203"/>
        <v>1116.0656786037048</v>
      </c>
      <c r="AG84" s="456">
        <f t="shared" si="204"/>
        <v>0.99098110550599694</v>
      </c>
      <c r="AI84" s="150">
        <f t="shared" si="205"/>
        <v>10.822482943843527</v>
      </c>
      <c r="AJ84" s="150">
        <f t="shared" si="206"/>
        <v>12.013191328005991</v>
      </c>
      <c r="AK84" s="150">
        <f t="shared" si="207"/>
        <v>5.6093224202962446</v>
      </c>
      <c r="AM84" s="314">
        <f t="shared" si="208"/>
        <v>3160</v>
      </c>
      <c r="AN84" s="144">
        <f t="shared" si="209"/>
        <v>268.7772719469325</v>
      </c>
      <c r="AP84">
        <f t="shared" si="210"/>
        <v>3160</v>
      </c>
      <c r="AQ84">
        <f t="shared" si="211"/>
        <v>268.7772719469325</v>
      </c>
      <c r="AS84" s="5">
        <f t="shared" si="285"/>
        <v>3.7205526819895711</v>
      </c>
      <c r="AT84" s="5">
        <f t="shared" si="212"/>
        <v>1.6684988415154325</v>
      </c>
      <c r="AU84" s="5">
        <f t="shared" si="286"/>
        <v>2.0520538404741386</v>
      </c>
      <c r="AV84" s="5">
        <f t="shared" si="213"/>
        <v>1.8520538404741387</v>
      </c>
      <c r="AW84" s="150">
        <f t="shared" si="287"/>
        <v>0.44845456686913521</v>
      </c>
      <c r="AX84" s="150">
        <f t="shared" si="214"/>
        <v>91.15430658123249</v>
      </c>
      <c r="AY84" s="150">
        <f t="shared" si="215"/>
        <v>3.3129104071445066</v>
      </c>
      <c r="AZ84" s="150">
        <f t="shared" si="288"/>
        <v>27.514872235799768</v>
      </c>
      <c r="BA84" s="144">
        <f t="shared" si="216"/>
        <v>17.574854463962556</v>
      </c>
      <c r="BB84" s="5">
        <f t="shared" si="217"/>
        <v>3.3815656625545016</v>
      </c>
      <c r="BC84" s="5"/>
      <c r="BD84" s="150">
        <f t="shared" si="289"/>
        <v>4.6446927683159691</v>
      </c>
      <c r="BE84" s="150">
        <f t="shared" si="218"/>
        <v>5.1509627950231582</v>
      </c>
      <c r="BF84" s="150"/>
      <c r="BG84" s="456">
        <f t="shared" si="219"/>
        <v>0.2588780509445599</v>
      </c>
      <c r="BH84" s="456">
        <f t="shared" si="220"/>
        <v>3.7999710041518679</v>
      </c>
      <c r="BI84" s="456">
        <f t="shared" si="221"/>
        <v>3.0909386273897239E-2</v>
      </c>
      <c r="BJ84" s="456">
        <f t="shared" si="222"/>
        <v>0.57841007964070534</v>
      </c>
      <c r="BK84">
        <f t="shared" si="223"/>
        <v>1.5227999580542512E-2</v>
      </c>
      <c r="BL84" s="144">
        <f t="shared" si="290"/>
        <v>46.137385854439749</v>
      </c>
      <c r="BM84" s="456">
        <f t="shared" si="224"/>
        <v>5.0156670012512423</v>
      </c>
      <c r="BN84" s="144">
        <f t="shared" si="291"/>
        <v>5015.6670012512423</v>
      </c>
      <c r="BO84" s="456">
        <f t="shared" si="225"/>
        <v>2.1190959999999999</v>
      </c>
      <c r="BP84" s="456"/>
      <c r="BR84" s="144">
        <f t="shared" si="292"/>
        <v>2119.096</v>
      </c>
      <c r="BS84" s="456">
        <f t="shared" si="226"/>
        <v>0.30202439276865323</v>
      </c>
      <c r="BT84" s="456">
        <f t="shared" si="227"/>
        <v>0.37145384801997899</v>
      </c>
      <c r="BU84" s="456">
        <f t="shared" si="228"/>
        <v>29.620838148340926</v>
      </c>
      <c r="BV84" s="456">
        <f t="shared" si="229"/>
        <v>32.190308979896692</v>
      </c>
      <c r="BW84" s="456">
        <f t="shared" si="230"/>
        <v>3.8789066630311702</v>
      </c>
      <c r="BX84" s="144">
        <f t="shared" si="293"/>
        <v>36069.215642927855</v>
      </c>
      <c r="BY84" s="150">
        <f t="shared" si="231"/>
        <v>43.250116030033546</v>
      </c>
      <c r="BZ84" s="5">
        <f t="shared" si="294"/>
        <v>94.800000000000011</v>
      </c>
      <c r="CA84" s="150">
        <f t="shared" si="295"/>
        <v>0.68670713742374367</v>
      </c>
      <c r="CB84" s="5">
        <f t="shared" si="296"/>
        <v>68.670713742374375</v>
      </c>
      <c r="CE84" s="59">
        <f t="shared" si="232"/>
        <v>-50</v>
      </c>
      <c r="CF84">
        <f t="shared" si="233"/>
        <v>-50</v>
      </c>
      <c r="CG84" s="150">
        <f t="shared" si="234"/>
        <v>0.51349700846993029</v>
      </c>
      <c r="CI84" s="147">
        <v>79</v>
      </c>
      <c r="CJ84" s="188">
        <f t="shared" si="297"/>
        <v>3.16</v>
      </c>
      <c r="CK84" s="188"/>
      <c r="CL84" s="188">
        <f t="shared" si="235"/>
        <v>94.800000000000011</v>
      </c>
      <c r="CM84" s="465">
        <f t="shared" si="236"/>
        <v>34</v>
      </c>
      <c r="CN84" s="149">
        <f t="shared" si="237"/>
        <v>30.4</v>
      </c>
      <c r="CO84" s="379">
        <f t="shared" si="238"/>
        <v>64.400000000000006</v>
      </c>
      <c r="CP84" s="379"/>
      <c r="CQ84" s="188">
        <f t="shared" si="239"/>
        <v>0.47204968944099374</v>
      </c>
      <c r="CR84" s="149">
        <f t="shared" si="240"/>
        <v>244.918674788055</v>
      </c>
      <c r="CS84" s="149">
        <f t="shared" si="298"/>
        <v>94.800000000000011</v>
      </c>
      <c r="CT84" s="188">
        <f t="shared" si="241"/>
        <v>8.1639558262685004</v>
      </c>
      <c r="CU84" s="188">
        <f t="shared" si="242"/>
        <v>30</v>
      </c>
      <c r="CV84" s="188">
        <f t="shared" si="243"/>
        <v>8.1059037580776696</v>
      </c>
      <c r="CW84" s="149">
        <f t="shared" si="244"/>
        <v>129.12762828143221</v>
      </c>
      <c r="CX84" s="149">
        <f t="shared" si="245"/>
        <v>30</v>
      </c>
      <c r="CY84" s="188">
        <f t="shared" si="246"/>
        <v>11.813312693498453</v>
      </c>
      <c r="CZ84" s="188">
        <f t="shared" si="247"/>
        <v>1.6330167546894918</v>
      </c>
      <c r="DA84" s="188">
        <f t="shared" si="248"/>
        <v>1.8264003177448265</v>
      </c>
      <c r="DB84" s="172">
        <f t="shared" si="249"/>
        <v>350</v>
      </c>
      <c r="DC84" s="379">
        <f t="shared" si="299"/>
        <v>289.06604178151935</v>
      </c>
      <c r="DE84" s="188">
        <f t="shared" si="250"/>
        <v>9.7566501161056465</v>
      </c>
      <c r="DF84" s="150">
        <f t="shared" si="251"/>
        <v>1.5084294587400178</v>
      </c>
      <c r="DG84" s="150">
        <f t="shared" si="252"/>
        <v>2.5755132294067704</v>
      </c>
      <c r="DH84" s="150"/>
      <c r="DI84" s="150">
        <f t="shared" si="253"/>
        <v>0.93700159489633172</v>
      </c>
      <c r="DJ84" s="314">
        <f t="shared" si="300"/>
        <v>1112.9116595744681</v>
      </c>
      <c r="DK84" s="456">
        <f t="shared" si="254"/>
        <v>0.99378957034459414</v>
      </c>
      <c r="DM84" s="150">
        <f t="shared" si="255"/>
        <v>10.807179871646234</v>
      </c>
      <c r="DN84" s="150">
        <f t="shared" si="256"/>
        <v>11.813312693498453</v>
      </c>
      <c r="DO84" s="150">
        <f t="shared" si="257"/>
        <v>5.4612641725128839</v>
      </c>
      <c r="DQ84" s="314">
        <f t="shared" si="258"/>
        <v>3160</v>
      </c>
      <c r="DR84" s="144">
        <f t="shared" si="259"/>
        <v>289.06604178151935</v>
      </c>
      <c r="DT84">
        <f t="shared" si="260"/>
        <v>3160</v>
      </c>
      <c r="DU84">
        <f t="shared" si="261"/>
        <v>289.06604178151935</v>
      </c>
      <c r="DW84" s="5">
        <f t="shared" si="301"/>
        <v>3.4594170724343183</v>
      </c>
      <c r="DX84" s="5">
        <f t="shared" si="262"/>
        <v>1.6330167546894918</v>
      </c>
      <c r="DY84" s="5">
        <f t="shared" si="302"/>
        <v>1.8264003177448265</v>
      </c>
      <c r="DZ84" s="5">
        <f t="shared" si="263"/>
        <v>1.8264003177448265</v>
      </c>
      <c r="EA84" s="150">
        <f t="shared" si="303"/>
        <v>0.47204968944099379</v>
      </c>
      <c r="EB84" s="150">
        <f t="shared" si="264"/>
        <v>94.800000000000011</v>
      </c>
      <c r="EC84" s="150">
        <f t="shared" si="265"/>
        <v>3.1184210526315792</v>
      </c>
      <c r="ED84" s="150">
        <f t="shared" si="304"/>
        <v>30.400000000000002</v>
      </c>
      <c r="EE84" s="144">
        <f t="shared" si="266"/>
        <v>17.201109816062647</v>
      </c>
      <c r="EF84" s="5">
        <f t="shared" si="267"/>
        <v>2.9955493100728297</v>
      </c>
      <c r="EG84" s="5"/>
      <c r="EH84" s="150">
        <f t="shared" si="305"/>
        <v>4.6860285525136955</v>
      </c>
      <c r="EI84" s="150">
        <f t="shared" si="268"/>
        <v>4.9557295463416517</v>
      </c>
      <c r="EJ84" s="150"/>
      <c r="EK84" s="456">
        <f t="shared" si="269"/>
        <v>0.26350636313968323</v>
      </c>
      <c r="EL84" s="456">
        <f t="shared" si="270"/>
        <v>4.1783829787234055</v>
      </c>
      <c r="EM84" s="456">
        <f t="shared" si="271"/>
        <v>3.324259480487473E-2</v>
      </c>
      <c r="EN84" s="456">
        <f t="shared" si="272"/>
        <v>0.62041053595475371</v>
      </c>
      <c r="EO84">
        <f t="shared" si="273"/>
        <v>1.5299999999999999E-2</v>
      </c>
      <c r="EP84" s="144">
        <f t="shared" si="306"/>
        <v>48.542594804874732</v>
      </c>
      <c r="EQ84" s="456">
        <f t="shared" si="274"/>
        <v>5.5280985300318539</v>
      </c>
      <c r="ER84" s="144">
        <f t="shared" si="307"/>
        <v>5528.0985300318544</v>
      </c>
      <c r="ES84" s="456">
        <f t="shared" si="308"/>
        <v>2.1190959999999999</v>
      </c>
      <c r="ET84" s="456"/>
      <c r="EV84" s="144">
        <f t="shared" si="309"/>
        <v>2119.096</v>
      </c>
      <c r="EW84" s="456">
        <f t="shared" si="275"/>
        <v>0.30742409032963042</v>
      </c>
      <c r="EX84" s="456">
        <f t="shared" si="276"/>
        <v>0.34382957471077086</v>
      </c>
      <c r="EY84" s="456">
        <f t="shared" si="277"/>
        <v>34.071554045454604</v>
      </c>
      <c r="EZ84" s="456">
        <f t="shared" si="278"/>
        <v>36.796201475756831</v>
      </c>
      <c r="FA84" s="456">
        <f t="shared" si="279"/>
        <v>4.0340425531914894</v>
      </c>
      <c r="FB84" s="144">
        <f t="shared" si="310"/>
        <v>40830.24402894832</v>
      </c>
      <c r="FC84" s="150">
        <f t="shared" si="311"/>
        <v>48.477438558980175</v>
      </c>
      <c r="FD84" s="5">
        <f t="shared" si="312"/>
        <v>94.800000000000011</v>
      </c>
      <c r="FE84" s="150">
        <f t="shared" si="313"/>
        <v>0.66165336952876619</v>
      </c>
      <c r="FF84" s="5">
        <f t="shared" si="314"/>
        <v>66.165336952876615</v>
      </c>
      <c r="FI84" s="59">
        <f t="shared" si="280"/>
        <v>-50</v>
      </c>
      <c r="FJ84">
        <f t="shared" si="281"/>
        <v>-50</v>
      </c>
      <c r="FL84">
        <f t="shared" si="282"/>
        <v>0.52795031055900621</v>
      </c>
    </row>
    <row r="85" spans="5:168">
      <c r="E85" s="147">
        <v>80</v>
      </c>
      <c r="F85" s="188">
        <f t="shared" si="283"/>
        <v>3.2</v>
      </c>
      <c r="G85" s="188"/>
      <c r="H85" s="188">
        <f t="shared" si="183"/>
        <v>96</v>
      </c>
      <c r="I85" s="465">
        <f t="shared" si="184"/>
        <v>33.838030726094658</v>
      </c>
      <c r="J85" s="149">
        <f t="shared" si="185"/>
        <v>30.487214224410565</v>
      </c>
      <c r="K85" s="149">
        <f t="shared" si="186"/>
        <v>64.487214224410565</v>
      </c>
      <c r="L85" s="379"/>
      <c r="M85" s="188">
        <f t="shared" si="187"/>
        <v>0.47393482785331692</v>
      </c>
      <c r="N85" s="149">
        <f t="shared" si="188"/>
        <v>244.72535812722114</v>
      </c>
      <c r="O85" s="149">
        <f t="shared" si="284"/>
        <v>96</v>
      </c>
      <c r="P85" s="188">
        <f t="shared" si="189"/>
        <v>8.1575119375740375</v>
      </c>
      <c r="Q85" s="188">
        <f t="shared" si="190"/>
        <v>30</v>
      </c>
      <c r="R85" s="188">
        <f t="shared" si="191"/>
        <v>8.0995056904378391</v>
      </c>
      <c r="S85" s="149">
        <f t="shared" si="192"/>
        <v>126.48658951975922</v>
      </c>
      <c r="T85" s="149">
        <f t="shared" si="193"/>
        <v>30</v>
      </c>
      <c r="U85" s="188">
        <f t="shared" si="194"/>
        <v>12.16579302120287</v>
      </c>
      <c r="V85" s="188">
        <f t="shared" si="195"/>
        <v>1.6897918103596656</v>
      </c>
      <c r="W85" s="188">
        <f t="shared" si="196"/>
        <v>1.8755149873244601</v>
      </c>
      <c r="X85" s="172">
        <f t="shared" si="197"/>
        <v>350</v>
      </c>
      <c r="Y85" s="379">
        <f t="shared" si="198"/>
        <v>265.58260819943172</v>
      </c>
      <c r="AA85" s="188">
        <f t="shared" si="199"/>
        <v>9.7493457378160144</v>
      </c>
      <c r="AB85" s="150">
        <f t="shared" si="200"/>
        <v>1.5029882569935327</v>
      </c>
      <c r="AC85" s="150">
        <f t="shared" si="201"/>
        <v>2.5643016275287982</v>
      </c>
      <c r="AD85" s="150"/>
      <c r="AE85" s="150">
        <f t="shared" si="202"/>
        <v>0.93432113131678574</v>
      </c>
      <c r="AF85" s="314">
        <f t="shared" si="203"/>
        <v>1130.2323843534675</v>
      </c>
      <c r="AG85" s="456">
        <f t="shared" si="204"/>
        <v>0.99094665442689389</v>
      </c>
      <c r="AI85" s="150">
        <f t="shared" si="205"/>
        <v>10.890953582255204</v>
      </c>
      <c r="AJ85" s="150">
        <f t="shared" si="206"/>
        <v>12.16579302120287</v>
      </c>
      <c r="AK85" s="150">
        <f t="shared" si="207"/>
        <v>5.7223607115531916</v>
      </c>
      <c r="AM85" s="314">
        <f t="shared" si="208"/>
        <v>3200</v>
      </c>
      <c r="AN85" s="144">
        <f t="shared" si="209"/>
        <v>265.58260819943172</v>
      </c>
      <c r="AP85">
        <f t="shared" si="210"/>
        <v>3200</v>
      </c>
      <c r="AQ85">
        <f t="shared" si="211"/>
        <v>265.58260819943172</v>
      </c>
      <c r="AS85" s="5">
        <f t="shared" si="285"/>
        <v>3.7653067976841252</v>
      </c>
      <c r="AT85" s="5">
        <f t="shared" si="212"/>
        <v>1.6897918103596656</v>
      </c>
      <c r="AU85" s="5">
        <f t="shared" si="286"/>
        <v>2.0755149873244596</v>
      </c>
      <c r="AV85" s="5">
        <f t="shared" si="213"/>
        <v>1.8755149873244601</v>
      </c>
      <c r="AW85" s="150">
        <f t="shared" si="287"/>
        <v>0.44877931630935952</v>
      </c>
      <c r="AX85" s="150">
        <f t="shared" si="214"/>
        <v>92.373700285348519</v>
      </c>
      <c r="AY85" s="150">
        <f t="shared" si="215"/>
        <v>3.3530183733931342</v>
      </c>
      <c r="AZ85" s="150">
        <f t="shared" si="288"/>
        <v>27.549416674346954</v>
      </c>
      <c r="BA85" s="144">
        <f t="shared" si="216"/>
        <v>18.024445977169769</v>
      </c>
      <c r="BB85" s="5">
        <f t="shared" si="217"/>
        <v>3.4637226135915937</v>
      </c>
      <c r="BC85" s="5"/>
      <c r="BD85" s="150">
        <f t="shared" si="289"/>
        <v>4.705396362361201</v>
      </c>
      <c r="BE85" s="150">
        <f t="shared" si="218"/>
        <v>5.2148587406238329</v>
      </c>
      <c r="BF85" s="150"/>
      <c r="BG85" s="456">
        <f t="shared" si="219"/>
        <v>0.26568905912306429</v>
      </c>
      <c r="BH85" s="456">
        <f t="shared" si="220"/>
        <v>3.8025640693674605</v>
      </c>
      <c r="BI85" s="456">
        <f t="shared" si="221"/>
        <v>3.0541999942934651E-2</v>
      </c>
      <c r="BJ85" s="456">
        <f t="shared" si="222"/>
        <v>0.5715539340668323</v>
      </c>
      <c r="BK85">
        <f t="shared" si="223"/>
        <v>1.5227113826742595E-2</v>
      </c>
      <c r="BL85" s="144">
        <f t="shared" si="290"/>
        <v>45.769113769677247</v>
      </c>
      <c r="BM85" s="456">
        <f t="shared" si="224"/>
        <v>5.0290132511677816</v>
      </c>
      <c r="BN85" s="144">
        <f t="shared" si="291"/>
        <v>5029.0132511677821</v>
      </c>
      <c r="BO85" s="456">
        <f t="shared" si="225"/>
        <v>2.1459199999999998</v>
      </c>
      <c r="BP85" s="456"/>
      <c r="BR85" s="144">
        <f t="shared" si="292"/>
        <v>2145.9199999999996</v>
      </c>
      <c r="BS85" s="456">
        <f t="shared" si="226"/>
        <v>0.30997056897690828</v>
      </c>
      <c r="BT85" s="456">
        <f t="shared" si="227"/>
        <v>0.38072652358525105</v>
      </c>
      <c r="BU85" s="456">
        <f t="shared" si="228"/>
        <v>29.670177339507639</v>
      </c>
      <c r="BV85" s="456">
        <f t="shared" si="229"/>
        <v>32.312069956155234</v>
      </c>
      <c r="BW85" s="456">
        <f t="shared" si="230"/>
        <v>3.9307957568233416</v>
      </c>
      <c r="BX85" s="144">
        <f t="shared" si="293"/>
        <v>36242.865712978579</v>
      </c>
      <c r="BY85" s="150">
        <f t="shared" si="231"/>
        <v>43.46356807791603</v>
      </c>
      <c r="BZ85" s="5">
        <f t="shared" si="294"/>
        <v>96</v>
      </c>
      <c r="CA85" s="150">
        <f t="shared" si="295"/>
        <v>0.68835181347408492</v>
      </c>
      <c r="CB85" s="5">
        <f t="shared" si="296"/>
        <v>68.835181347408493</v>
      </c>
      <c r="CE85" s="59">
        <f t="shared" si="232"/>
        <v>-50</v>
      </c>
      <c r="CF85">
        <f t="shared" si="233"/>
        <v>-50</v>
      </c>
      <c r="CG85" s="150">
        <f t="shared" si="234"/>
        <v>0.51367767474604364</v>
      </c>
      <c r="CI85" s="147">
        <v>80</v>
      </c>
      <c r="CJ85" s="188">
        <f t="shared" si="297"/>
        <v>3.2</v>
      </c>
      <c r="CK85" s="188"/>
      <c r="CL85" s="188">
        <f t="shared" si="235"/>
        <v>96</v>
      </c>
      <c r="CM85" s="465">
        <f t="shared" si="236"/>
        <v>34</v>
      </c>
      <c r="CN85" s="149">
        <f t="shared" si="237"/>
        <v>30.4</v>
      </c>
      <c r="CO85" s="379">
        <f t="shared" si="238"/>
        <v>64.400000000000006</v>
      </c>
      <c r="CP85" s="379"/>
      <c r="CQ85" s="188">
        <f t="shared" si="239"/>
        <v>0.47204968944099374</v>
      </c>
      <c r="CR85" s="149">
        <f t="shared" si="240"/>
        <v>244.918674788055</v>
      </c>
      <c r="CS85" s="149">
        <f t="shared" si="298"/>
        <v>96</v>
      </c>
      <c r="CT85" s="188">
        <f t="shared" si="241"/>
        <v>8.1639558262685004</v>
      </c>
      <c r="CU85" s="188">
        <f t="shared" si="242"/>
        <v>30</v>
      </c>
      <c r="CV85" s="188">
        <f t="shared" si="243"/>
        <v>8.1059037580776696</v>
      </c>
      <c r="CW85" s="149">
        <f t="shared" si="244"/>
        <v>127.0915222444881</v>
      </c>
      <c r="CX85" s="149">
        <f t="shared" si="245"/>
        <v>30</v>
      </c>
      <c r="CY85" s="188">
        <f t="shared" si="246"/>
        <v>11.962848297213624</v>
      </c>
      <c r="CZ85" s="188">
        <f t="shared" si="247"/>
        <v>1.6536878528501187</v>
      </c>
      <c r="DA85" s="188">
        <f t="shared" si="248"/>
        <v>1.8495193091086852</v>
      </c>
      <c r="DB85" s="172">
        <f t="shared" si="249"/>
        <v>350</v>
      </c>
      <c r="DC85" s="379">
        <f t="shared" si="299"/>
        <v>285.45271625925034</v>
      </c>
      <c r="DE85" s="188">
        <f t="shared" si="250"/>
        <v>9.7566501161056465</v>
      </c>
      <c r="DF85" s="150">
        <f t="shared" si="251"/>
        <v>1.5084294587400178</v>
      </c>
      <c r="DG85" s="150">
        <f t="shared" si="252"/>
        <v>2.5755132294067704</v>
      </c>
      <c r="DH85" s="150"/>
      <c r="DI85" s="150">
        <f t="shared" si="253"/>
        <v>0.93700159489633172</v>
      </c>
      <c r="DJ85" s="314">
        <f t="shared" si="300"/>
        <v>1126.9991489361703</v>
      </c>
      <c r="DK85" s="456">
        <f t="shared" si="254"/>
        <v>0.99378957034459414</v>
      </c>
      <c r="DM85" s="150">
        <f t="shared" si="255"/>
        <v>10.875364648185505</v>
      </c>
      <c r="DN85" s="150">
        <f t="shared" si="256"/>
        <v>11.962848297213624</v>
      </c>
      <c r="DO85" s="150">
        <f t="shared" si="257"/>
        <v>5.5720312863759727</v>
      </c>
      <c r="DQ85" s="314">
        <f t="shared" si="258"/>
        <v>3200</v>
      </c>
      <c r="DR85" s="144">
        <f t="shared" si="259"/>
        <v>285.45271625925034</v>
      </c>
      <c r="DT85">
        <f t="shared" si="260"/>
        <v>3200</v>
      </c>
      <c r="DU85">
        <f t="shared" si="261"/>
        <v>285.45271625925034</v>
      </c>
      <c r="DW85" s="5">
        <f t="shared" si="301"/>
        <v>3.5032071619588034</v>
      </c>
      <c r="DX85" s="5">
        <f t="shared" si="262"/>
        <v>1.6536878528501187</v>
      </c>
      <c r="DY85" s="5">
        <f t="shared" si="302"/>
        <v>1.8495193091086848</v>
      </c>
      <c r="DZ85" s="5">
        <f t="shared" si="263"/>
        <v>1.8495193091086852</v>
      </c>
      <c r="EA85" s="150">
        <f t="shared" si="303"/>
        <v>0.47204968944099385</v>
      </c>
      <c r="EB85" s="150">
        <f t="shared" si="264"/>
        <v>96.000000000000014</v>
      </c>
      <c r="EC85" s="150">
        <f t="shared" si="265"/>
        <v>3.1578947368421058</v>
      </c>
      <c r="ED85" s="150">
        <f t="shared" si="304"/>
        <v>30.4</v>
      </c>
      <c r="EE85" s="144">
        <f t="shared" si="266"/>
        <v>17.63933709706793</v>
      </c>
      <c r="EF85" s="5">
        <f t="shared" si="267"/>
        <v>3.0718659805265354</v>
      </c>
      <c r="EG85" s="5"/>
      <c r="EH85" s="150">
        <f t="shared" si="305"/>
        <v>4.7453453696341228</v>
      </c>
      <c r="EI85" s="150">
        <f t="shared" si="268"/>
        <v>5.0184603000928112</v>
      </c>
      <c r="EJ85" s="150"/>
      <c r="EK85" s="456">
        <f t="shared" si="269"/>
        <v>0.27021963212529615</v>
      </c>
      <c r="EL85" s="456">
        <f t="shared" si="270"/>
        <v>4.1783829787234046</v>
      </c>
      <c r="EM85" s="456">
        <f t="shared" si="271"/>
        <v>3.2827062369813788E-2</v>
      </c>
      <c r="EN85" s="456">
        <f t="shared" si="272"/>
        <v>0.61265540425531928</v>
      </c>
      <c r="EO85">
        <f t="shared" si="273"/>
        <v>1.5299999999999999E-2</v>
      </c>
      <c r="EP85" s="144">
        <f t="shared" si="306"/>
        <v>48.127062369813785</v>
      </c>
      <c r="EQ85" s="456">
        <f t="shared" si="274"/>
        <v>5.5379007822273421</v>
      </c>
      <c r="ER85" s="144">
        <f t="shared" si="307"/>
        <v>5537.9007822273425</v>
      </c>
      <c r="ES85" s="456">
        <f t="shared" si="308"/>
        <v>2.1459199999999998</v>
      </c>
      <c r="ET85" s="456"/>
      <c r="EV85" s="144">
        <f t="shared" si="309"/>
        <v>2145.9199999999996</v>
      </c>
      <c r="EW85" s="456">
        <f t="shared" si="275"/>
        <v>0.31525623747951215</v>
      </c>
      <c r="EX85" s="456">
        <f t="shared" si="276"/>
        <v>0.35258921297050683</v>
      </c>
      <c r="EY85" s="456">
        <f t="shared" si="277"/>
        <v>34.071554045454661</v>
      </c>
      <c r="EZ85" s="456">
        <f t="shared" si="278"/>
        <v>36.869534472633354</v>
      </c>
      <c r="FA85" s="456">
        <f t="shared" si="279"/>
        <v>4.085106382978724</v>
      </c>
      <c r="FB85" s="144">
        <f t="shared" si="310"/>
        <v>40954.640855612073</v>
      </c>
      <c r="FC85" s="150">
        <f t="shared" si="311"/>
        <v>48.63846163783942</v>
      </c>
      <c r="FD85" s="5">
        <f t="shared" si="312"/>
        <v>96</v>
      </c>
      <c r="FE85" s="150">
        <f t="shared" si="313"/>
        <v>0.66372387339388761</v>
      </c>
      <c r="FF85" s="5">
        <f t="shared" si="314"/>
        <v>66.372387339388766</v>
      </c>
      <c r="FI85" s="59">
        <f t="shared" si="280"/>
        <v>-50</v>
      </c>
      <c r="FJ85">
        <f t="shared" si="281"/>
        <v>-50</v>
      </c>
      <c r="FL85">
        <f t="shared" si="282"/>
        <v>0.52795031055900621</v>
      </c>
    </row>
    <row r="86" spans="5:168">
      <c r="E86" s="147">
        <v>81</v>
      </c>
      <c r="F86" s="188">
        <f t="shared" si="283"/>
        <v>3.24</v>
      </c>
      <c r="G86" s="188"/>
      <c r="H86" s="188">
        <f t="shared" si="183"/>
        <v>97.2</v>
      </c>
      <c r="I86" s="465">
        <f t="shared" si="184"/>
        <v>33.836062345234659</v>
      </c>
      <c r="J86" s="149">
        <f t="shared" si="185"/>
        <v>30.488274121796721</v>
      </c>
      <c r="K86" s="149">
        <f t="shared" si="186"/>
        <v>64.488274121796721</v>
      </c>
      <c r="L86" s="379"/>
      <c r="M86" s="188">
        <f t="shared" si="187"/>
        <v>0.47395800631700413</v>
      </c>
      <c r="N86" s="149">
        <f t="shared" si="188"/>
        <v>244.72309023862528</v>
      </c>
      <c r="O86" s="149">
        <f t="shared" si="284"/>
        <v>97.2</v>
      </c>
      <c r="P86" s="188">
        <f t="shared" si="189"/>
        <v>8.1574363412875091</v>
      </c>
      <c r="Q86" s="188">
        <f t="shared" si="190"/>
        <v>30</v>
      </c>
      <c r="R86" s="188">
        <f t="shared" si="191"/>
        <v>8.0994306316996347</v>
      </c>
      <c r="S86" s="149">
        <f t="shared" si="192"/>
        <v>124.50304133112614</v>
      </c>
      <c r="T86" s="149">
        <f t="shared" si="193"/>
        <v>30</v>
      </c>
      <c r="U86" s="188">
        <f t="shared" si="194"/>
        <v>12.318408183786534</v>
      </c>
      <c r="V86" s="188">
        <f t="shared" si="195"/>
        <v>1.7110891294935398</v>
      </c>
      <c r="W86" s="188">
        <f t="shared" si="196"/>
        <v>1.8989765780938466</v>
      </c>
      <c r="X86" s="172">
        <f t="shared" si="197"/>
        <v>350</v>
      </c>
      <c r="Y86" s="379">
        <f t="shared" si="198"/>
        <v>262.46266514737374</v>
      </c>
      <c r="AA86" s="188">
        <f t="shared" si="199"/>
        <v>9.7492552226139395</v>
      </c>
      <c r="AB86" s="150">
        <f t="shared" si="200"/>
        <v>1.5029220533518735</v>
      </c>
      <c r="AC86" s="150">
        <f t="shared" si="201"/>
        <v>2.5641648686189233</v>
      </c>
      <c r="AD86" s="150"/>
      <c r="AE86" s="150">
        <f t="shared" si="202"/>
        <v>0.93428865048428755</v>
      </c>
      <c r="AF86" s="314">
        <f t="shared" si="203"/>
        <v>1144.4000731955605</v>
      </c>
      <c r="AG86" s="456">
        <f t="shared" si="204"/>
        <v>0.99091220505909305</v>
      </c>
      <c r="AI86" s="150">
        <f t="shared" si="205"/>
        <v>10.959001138929839</v>
      </c>
      <c r="AJ86" s="150">
        <f t="shared" si="206"/>
        <v>12.318408183786534</v>
      </c>
      <c r="AK86" s="150">
        <f t="shared" si="207"/>
        <v>5.8354089801336846</v>
      </c>
      <c r="AM86" s="314">
        <f t="shared" si="208"/>
        <v>3240</v>
      </c>
      <c r="AN86" s="144">
        <f t="shared" si="209"/>
        <v>262.46266514737374</v>
      </c>
      <c r="AP86">
        <f t="shared" si="210"/>
        <v>3240</v>
      </c>
      <c r="AQ86">
        <f t="shared" si="211"/>
        <v>262.46266514737374</v>
      </c>
      <c r="AS86" s="5">
        <f t="shared" si="285"/>
        <v>3.8100657075873872</v>
      </c>
      <c r="AT86" s="5">
        <f t="shared" si="212"/>
        <v>1.7110891294935398</v>
      </c>
      <c r="AU86" s="5">
        <f t="shared" si="286"/>
        <v>2.0989765780938474</v>
      </c>
      <c r="AV86" s="5">
        <f t="shared" si="213"/>
        <v>1.8989765780938466</v>
      </c>
      <c r="AW86" s="150">
        <f t="shared" si="287"/>
        <v>0.44909701323157414</v>
      </c>
      <c r="AX86" s="150">
        <f t="shared" si="214"/>
        <v>93.593260798222587</v>
      </c>
      <c r="AY86" s="150">
        <f t="shared" si="215"/>
        <v>3.3931239303403111</v>
      </c>
      <c r="AZ86" s="150">
        <f t="shared" si="288"/>
        <v>27.583213204015131</v>
      </c>
      <c r="BA86" s="144">
        <f t="shared" si="216"/>
        <v>18.479762598530229</v>
      </c>
      <c r="BB86" s="5">
        <f t="shared" si="217"/>
        <v>3.5468687626318802</v>
      </c>
      <c r="BC86" s="5"/>
      <c r="BD86" s="150">
        <f t="shared" si="289"/>
        <v>4.7661098392073393</v>
      </c>
      <c r="BE86" s="150">
        <f t="shared" si="218"/>
        <v>5.2787552568199265</v>
      </c>
      <c r="BF86" s="150"/>
      <c r="BG86" s="456">
        <f t="shared" si="219"/>
        <v>0.27258963599266811</v>
      </c>
      <c r="BH86" s="456">
        <f t="shared" si="220"/>
        <v>3.8050971400986837</v>
      </c>
      <c r="BI86" s="456">
        <f t="shared" si="221"/>
        <v>3.0183206491947983E-2</v>
      </c>
      <c r="BJ86" s="456">
        <f t="shared" si="222"/>
        <v>0.56485814707981041</v>
      </c>
      <c r="BK86">
        <f t="shared" si="223"/>
        <v>1.5226228055355596E-2</v>
      </c>
      <c r="BL86" s="144">
        <f t="shared" si="290"/>
        <v>45.409434547303576</v>
      </c>
      <c r="BM86" s="456">
        <f t="shared" si="224"/>
        <v>5.0427493738639653</v>
      </c>
      <c r="BN86" s="144">
        <f t="shared" si="291"/>
        <v>5042.749373863965</v>
      </c>
      <c r="BO86" s="456">
        <f t="shared" si="225"/>
        <v>2.1727439999999998</v>
      </c>
      <c r="BP86" s="456"/>
      <c r="BR86" s="144">
        <f t="shared" si="292"/>
        <v>2172.7439999999997</v>
      </c>
      <c r="BS86" s="456">
        <f t="shared" si="226"/>
        <v>0.31802124199144616</v>
      </c>
      <c r="BT86" s="456">
        <f t="shared" si="227"/>
        <v>0.39011359885965613</v>
      </c>
      <c r="BU86" s="456">
        <f t="shared" si="228"/>
        <v>29.718392730529523</v>
      </c>
      <c r="BV86" s="456">
        <f t="shared" si="229"/>
        <v>32.43388505575615</v>
      </c>
      <c r="BW86" s="456">
        <f t="shared" si="230"/>
        <v>3.9826919488605363</v>
      </c>
      <c r="BX86" s="144">
        <f t="shared" si="293"/>
        <v>36416.577004616687</v>
      </c>
      <c r="BY86" s="150">
        <f t="shared" si="231"/>
        <v>43.677479813027951</v>
      </c>
      <c r="BZ86" s="5">
        <f t="shared" si="294"/>
        <v>97.2</v>
      </c>
      <c r="CA86" s="150">
        <f t="shared" si="295"/>
        <v>0.68996123531598852</v>
      </c>
      <c r="CB86" s="5">
        <f t="shared" si="296"/>
        <v>68.996123531598855</v>
      </c>
      <c r="CE86" s="59">
        <f t="shared" si="232"/>
        <v>-50</v>
      </c>
      <c r="CF86">
        <f t="shared" si="233"/>
        <v>-50</v>
      </c>
      <c r="CG86" s="150">
        <f t="shared" si="234"/>
        <v>0.51385388012645061</v>
      </c>
      <c r="CI86" s="147">
        <v>81</v>
      </c>
      <c r="CJ86" s="188">
        <f t="shared" si="297"/>
        <v>3.24</v>
      </c>
      <c r="CK86" s="188"/>
      <c r="CL86" s="188">
        <f t="shared" si="235"/>
        <v>97.2</v>
      </c>
      <c r="CM86" s="465">
        <f t="shared" si="236"/>
        <v>34</v>
      </c>
      <c r="CN86" s="149">
        <f t="shared" si="237"/>
        <v>30.4</v>
      </c>
      <c r="CO86" s="379">
        <f t="shared" si="238"/>
        <v>64.400000000000006</v>
      </c>
      <c r="CP86" s="379"/>
      <c r="CQ86" s="188">
        <f t="shared" si="239"/>
        <v>0.47204968944099374</v>
      </c>
      <c r="CR86" s="149">
        <f t="shared" si="240"/>
        <v>244.918674788055</v>
      </c>
      <c r="CS86" s="149">
        <f t="shared" si="298"/>
        <v>97.2</v>
      </c>
      <c r="CT86" s="188">
        <f t="shared" si="241"/>
        <v>8.1639558262685004</v>
      </c>
      <c r="CU86" s="188">
        <f t="shared" si="242"/>
        <v>30</v>
      </c>
      <c r="CV86" s="188">
        <f t="shared" si="243"/>
        <v>8.1059037580776696</v>
      </c>
      <c r="CW86" s="149">
        <f t="shared" si="244"/>
        <v>125.10574279491574</v>
      </c>
      <c r="CX86" s="149">
        <f t="shared" si="245"/>
        <v>30</v>
      </c>
      <c r="CY86" s="188">
        <f t="shared" si="246"/>
        <v>12.112383900928794</v>
      </c>
      <c r="CZ86" s="188">
        <f t="shared" si="247"/>
        <v>1.6743589510107451</v>
      </c>
      <c r="DA86" s="188">
        <f t="shared" si="248"/>
        <v>1.872638300472544</v>
      </c>
      <c r="DB86" s="172">
        <f t="shared" si="249"/>
        <v>350</v>
      </c>
      <c r="DC86" s="379">
        <f t="shared" si="299"/>
        <v>281.9286086511114</v>
      </c>
      <c r="DE86" s="188">
        <f t="shared" si="250"/>
        <v>9.7566501161056465</v>
      </c>
      <c r="DF86" s="150">
        <f t="shared" si="251"/>
        <v>1.5084294587400178</v>
      </c>
      <c r="DG86" s="150">
        <f t="shared" si="252"/>
        <v>2.5755132294067704</v>
      </c>
      <c r="DH86" s="150"/>
      <c r="DI86" s="150">
        <f t="shared" si="253"/>
        <v>0.93700159489633172</v>
      </c>
      <c r="DJ86" s="314">
        <f t="shared" si="300"/>
        <v>1141.0866382978725</v>
      </c>
      <c r="DK86" s="456">
        <f t="shared" si="254"/>
        <v>0.99378957034459414</v>
      </c>
      <c r="DM86" s="150">
        <f t="shared" si="255"/>
        <v>10.943124585048393</v>
      </c>
      <c r="DN86" s="150">
        <f t="shared" si="256"/>
        <v>12.112383900928794</v>
      </c>
      <c r="DO86" s="150">
        <f t="shared" si="257"/>
        <v>5.6827984002390615</v>
      </c>
      <c r="DQ86" s="314">
        <f t="shared" si="258"/>
        <v>3240</v>
      </c>
      <c r="DR86" s="144">
        <f t="shared" si="259"/>
        <v>281.9286086511114</v>
      </c>
      <c r="DT86">
        <f t="shared" si="260"/>
        <v>3240</v>
      </c>
      <c r="DU86">
        <f t="shared" si="261"/>
        <v>281.9286086511114</v>
      </c>
      <c r="DW86" s="5">
        <f t="shared" si="301"/>
        <v>3.546997251483289</v>
      </c>
      <c r="DX86" s="5">
        <f t="shared" si="262"/>
        <v>1.6743589510107451</v>
      </c>
      <c r="DY86" s="5">
        <f t="shared" si="302"/>
        <v>1.872638300472544</v>
      </c>
      <c r="DZ86" s="5">
        <f t="shared" si="263"/>
        <v>1.872638300472544</v>
      </c>
      <c r="EA86" s="150">
        <f t="shared" si="303"/>
        <v>0.47204968944099379</v>
      </c>
      <c r="EB86" s="150">
        <f t="shared" si="264"/>
        <v>97.2</v>
      </c>
      <c r="EC86" s="150">
        <f t="shared" si="265"/>
        <v>3.1973684210526319</v>
      </c>
      <c r="ED86" s="150">
        <f t="shared" si="304"/>
        <v>30.4</v>
      </c>
      <c r="EE86" s="144">
        <f t="shared" si="266"/>
        <v>18.08307667091605</v>
      </c>
      <c r="EF86" s="5">
        <f t="shared" si="267"/>
        <v>3.1491426090991568</v>
      </c>
      <c r="EG86" s="5"/>
      <c r="EH86" s="150">
        <f t="shared" si="305"/>
        <v>4.8046621867545483</v>
      </c>
      <c r="EI86" s="150">
        <f t="shared" si="268"/>
        <v>5.0811910538439715</v>
      </c>
      <c r="EJ86" s="150"/>
      <c r="EK86" s="456">
        <f t="shared" si="269"/>
        <v>0.27701734474594797</v>
      </c>
      <c r="EL86" s="456">
        <f t="shared" si="270"/>
        <v>4.1783829787234046</v>
      </c>
      <c r="EM86" s="456">
        <f t="shared" si="271"/>
        <v>3.2421789994877818E-2</v>
      </c>
      <c r="EN86" s="456">
        <f t="shared" si="272"/>
        <v>0.60509175728920406</v>
      </c>
      <c r="EO86">
        <f t="shared" si="273"/>
        <v>1.5299999999999999E-2</v>
      </c>
      <c r="EP86" s="144">
        <f t="shared" si="306"/>
        <v>47.721789994877817</v>
      </c>
      <c r="EQ86" s="456">
        <f t="shared" si="274"/>
        <v>5.5481864172168613</v>
      </c>
      <c r="ER86" s="144">
        <f t="shared" si="307"/>
        <v>5548.1864172168616</v>
      </c>
      <c r="ES86" s="456">
        <f t="shared" si="308"/>
        <v>2.1727439999999998</v>
      </c>
      <c r="ET86" s="456"/>
      <c r="EV86" s="144">
        <f t="shared" si="309"/>
        <v>2172.7439999999997</v>
      </c>
      <c r="EW86" s="456">
        <f t="shared" si="275"/>
        <v>0.32318690220360596</v>
      </c>
      <c r="EX86" s="456">
        <f t="shared" si="276"/>
        <v>0.36145903535929613</v>
      </c>
      <c r="EY86" s="456">
        <f t="shared" si="277"/>
        <v>34.071554045454604</v>
      </c>
      <c r="EZ86" s="456">
        <f t="shared" si="278"/>
        <v>36.943999756057366</v>
      </c>
      <c r="FA86" s="456">
        <f t="shared" si="279"/>
        <v>4.1361702127659585</v>
      </c>
      <c r="FB86" s="144">
        <f t="shared" si="310"/>
        <v>41080.169968823328</v>
      </c>
      <c r="FC86" s="150">
        <f t="shared" si="311"/>
        <v>48.80110038604019</v>
      </c>
      <c r="FD86" s="5">
        <f t="shared" si="312"/>
        <v>97.2</v>
      </c>
      <c r="FE86" s="150">
        <f t="shared" si="313"/>
        <v>0.66574840698456617</v>
      </c>
      <c r="FF86" s="5">
        <f t="shared" si="314"/>
        <v>66.574840698456612</v>
      </c>
      <c r="FI86" s="59">
        <f t="shared" si="280"/>
        <v>-50</v>
      </c>
      <c r="FJ86">
        <f t="shared" si="281"/>
        <v>-50</v>
      </c>
      <c r="FL86">
        <f t="shared" si="282"/>
        <v>0.52795031055900621</v>
      </c>
    </row>
    <row r="87" spans="5:168">
      <c r="E87" s="147">
        <v>82</v>
      </c>
      <c r="F87" s="188">
        <f t="shared" si="283"/>
        <v>3.28</v>
      </c>
      <c r="G87" s="188"/>
      <c r="H87" s="188">
        <f t="shared" si="183"/>
        <v>98.399999999999991</v>
      </c>
      <c r="I87" s="465">
        <f t="shared" si="184"/>
        <v>33.834093926760829</v>
      </c>
      <c r="J87" s="149">
        <f t="shared" si="185"/>
        <v>30.489334039436475</v>
      </c>
      <c r="K87" s="149">
        <f t="shared" si="186"/>
        <v>64.489334039436471</v>
      </c>
      <c r="L87" s="379"/>
      <c r="M87" s="188">
        <f t="shared" si="187"/>
        <v>0.4739811857120389</v>
      </c>
      <c r="N87" s="149">
        <f t="shared" si="188"/>
        <v>244.72082116638487</v>
      </c>
      <c r="O87" s="149">
        <f t="shared" si="284"/>
        <v>98.399999999999991</v>
      </c>
      <c r="P87" s="188">
        <f t="shared" si="189"/>
        <v>8.1573607055461625</v>
      </c>
      <c r="Q87" s="188">
        <f t="shared" si="190"/>
        <v>30</v>
      </c>
      <c r="R87" s="188">
        <f t="shared" si="191"/>
        <v>8.0993555337871666</v>
      </c>
      <c r="S87" s="149">
        <f t="shared" si="192"/>
        <v>122.56797246596955</v>
      </c>
      <c r="T87" s="149">
        <f t="shared" si="193"/>
        <v>30</v>
      </c>
      <c r="U87" s="188">
        <f t="shared" si="194"/>
        <v>12.471036818102908</v>
      </c>
      <c r="V87" s="188">
        <f t="shared" si="195"/>
        <v>1.7323908000008079</v>
      </c>
      <c r="W87" s="188">
        <f t="shared" si="196"/>
        <v>1.9224386130989108</v>
      </c>
      <c r="X87" s="172">
        <f t="shared" si="197"/>
        <v>350</v>
      </c>
      <c r="Y87" s="379">
        <f t="shared" si="198"/>
        <v>259.41485156301297</v>
      </c>
      <c r="AA87" s="188">
        <f t="shared" si="199"/>
        <v>9.7491646636904559</v>
      </c>
      <c r="AB87" s="150">
        <f t="shared" si="200"/>
        <v>1.5028558465749957</v>
      </c>
      <c r="AC87" s="150">
        <f t="shared" si="201"/>
        <v>2.5640280949586716</v>
      </c>
      <c r="AD87" s="150"/>
      <c r="AE87" s="150">
        <f t="shared" si="202"/>
        <v>0.93425617128943239</v>
      </c>
      <c r="AF87" s="314">
        <f t="shared" si="203"/>
        <v>1158.5687451291906</v>
      </c>
      <c r="AG87" s="456">
        <f t="shared" si="204"/>
        <v>0.99087775742818596</v>
      </c>
      <c r="AI87" s="150">
        <f t="shared" si="205"/>
        <v>11.026633446632067</v>
      </c>
      <c r="AJ87" s="150">
        <f t="shared" si="206"/>
        <v>12.471036818102908</v>
      </c>
      <c r="AK87" s="150">
        <f t="shared" si="207"/>
        <v>5.948467227775442</v>
      </c>
      <c r="AM87" s="314">
        <f t="shared" si="208"/>
        <v>3280</v>
      </c>
      <c r="AN87" s="144">
        <f t="shared" si="209"/>
        <v>259.41485156301297</v>
      </c>
      <c r="AP87">
        <f t="shared" si="210"/>
        <v>3280</v>
      </c>
      <c r="AQ87">
        <f t="shared" si="211"/>
        <v>259.41485156301297</v>
      </c>
      <c r="AS87" s="5">
        <f t="shared" si="285"/>
        <v>3.8548294130997189</v>
      </c>
      <c r="AT87" s="5">
        <f t="shared" si="212"/>
        <v>1.7323908000008079</v>
      </c>
      <c r="AU87" s="5">
        <f t="shared" si="286"/>
        <v>2.122438613098911</v>
      </c>
      <c r="AV87" s="5">
        <f t="shared" si="213"/>
        <v>1.9224386130989108</v>
      </c>
      <c r="AW87" s="150">
        <f t="shared" si="287"/>
        <v>0.44940790223133886</v>
      </c>
      <c r="AX87" s="150">
        <f t="shared" si="214"/>
        <v>94.812985279296797</v>
      </c>
      <c r="AY87" s="150">
        <f t="shared" si="215"/>
        <v>3.4332271615147443</v>
      </c>
      <c r="AZ87" s="150">
        <f t="shared" si="288"/>
        <v>27.616286606990837</v>
      </c>
      <c r="BA87" s="144">
        <f t="shared" si="216"/>
        <v>18.94080608000883</v>
      </c>
      <c r="BB87" s="5">
        <f t="shared" si="217"/>
        <v>3.6310043107790619</v>
      </c>
      <c r="BC87" s="5"/>
      <c r="BD87" s="150">
        <f t="shared" si="289"/>
        <v>4.8268331455919649</v>
      </c>
      <c r="BE87" s="150">
        <f t="shared" si="218"/>
        <v>5.3426524209211106</v>
      </c>
      <c r="BF87" s="150"/>
      <c r="BG87" s="456">
        <f t="shared" si="219"/>
        <v>0.27957981858462266</v>
      </c>
      <c r="BH87" s="456">
        <f t="shared" si="220"/>
        <v>3.8075722962397633</v>
      </c>
      <c r="BI87" s="456">
        <f t="shared" si="221"/>
        <v>2.9832707929746495E-2</v>
      </c>
      <c r="BJ87" s="456">
        <f t="shared" si="222"/>
        <v>0.558317157614313</v>
      </c>
      <c r="BK87">
        <f t="shared" si="223"/>
        <v>1.5225342267042372E-2</v>
      </c>
      <c r="BL87" s="144">
        <f t="shared" si="290"/>
        <v>45.058050196788862</v>
      </c>
      <c r="BM87" s="456">
        <f t="shared" si="224"/>
        <v>5.0568747320115408</v>
      </c>
      <c r="BN87" s="144">
        <f t="shared" si="291"/>
        <v>5056.8747320115408</v>
      </c>
      <c r="BO87" s="456">
        <f t="shared" si="225"/>
        <v>2.1995679999999997</v>
      </c>
      <c r="BP87" s="456"/>
      <c r="BR87" s="144">
        <f t="shared" si="292"/>
        <v>2199.5679999999998</v>
      </c>
      <c r="BS87" s="456">
        <f t="shared" si="226"/>
        <v>0.32617645501539311</v>
      </c>
      <c r="BT87" s="456">
        <f t="shared" si="227"/>
        <v>0.39961508847083888</v>
      </c>
      <c r="BU87" s="456">
        <f t="shared" si="228"/>
        <v>29.765521617257619</v>
      </c>
      <c r="BV87" s="456">
        <f t="shared" si="229"/>
        <v>32.555801144126669</v>
      </c>
      <c r="BW87" s="456">
        <f t="shared" si="230"/>
        <v>4.0345951182679505</v>
      </c>
      <c r="BX87" s="144">
        <f t="shared" si="293"/>
        <v>36590.396262394621</v>
      </c>
      <c r="BY87" s="150">
        <f t="shared" si="231"/>
        <v>43.891897044602956</v>
      </c>
      <c r="BZ87" s="5">
        <f t="shared" si="294"/>
        <v>98.399999999999991</v>
      </c>
      <c r="CA87" s="150">
        <f t="shared" si="295"/>
        <v>0.69153621565081425</v>
      </c>
      <c r="CB87" s="5">
        <f t="shared" si="296"/>
        <v>69.153621565081423</v>
      </c>
      <c r="CE87" s="59">
        <f t="shared" si="232"/>
        <v>-50</v>
      </c>
      <c r="CF87">
        <f t="shared" si="233"/>
        <v>-50</v>
      </c>
      <c r="CG87" s="150">
        <f t="shared" si="234"/>
        <v>0.51402578781465258</v>
      </c>
      <c r="CI87" s="147">
        <v>82</v>
      </c>
      <c r="CJ87" s="188">
        <f t="shared" si="297"/>
        <v>3.28</v>
      </c>
      <c r="CK87" s="188"/>
      <c r="CL87" s="188">
        <f t="shared" si="235"/>
        <v>98.399999999999991</v>
      </c>
      <c r="CM87" s="465">
        <f t="shared" si="236"/>
        <v>34</v>
      </c>
      <c r="CN87" s="149">
        <f t="shared" si="237"/>
        <v>30.4</v>
      </c>
      <c r="CO87" s="379">
        <f t="shared" si="238"/>
        <v>64.400000000000006</v>
      </c>
      <c r="CP87" s="379"/>
      <c r="CQ87" s="188">
        <f t="shared" si="239"/>
        <v>0.47204968944099374</v>
      </c>
      <c r="CR87" s="149">
        <f t="shared" si="240"/>
        <v>244.918674788055</v>
      </c>
      <c r="CS87" s="149">
        <f t="shared" si="298"/>
        <v>98.399999999999991</v>
      </c>
      <c r="CT87" s="188">
        <f t="shared" si="241"/>
        <v>8.1639558262685004</v>
      </c>
      <c r="CU87" s="188">
        <f t="shared" si="242"/>
        <v>30</v>
      </c>
      <c r="CV87" s="188">
        <f t="shared" si="243"/>
        <v>8.1059037580776696</v>
      </c>
      <c r="CW87" s="149">
        <f t="shared" si="244"/>
        <v>123.16844922276864</v>
      </c>
      <c r="CX87" s="149">
        <f t="shared" si="245"/>
        <v>30</v>
      </c>
      <c r="CY87" s="188">
        <f t="shared" si="246"/>
        <v>12.261919504643963</v>
      </c>
      <c r="CZ87" s="188">
        <f t="shared" si="247"/>
        <v>1.6950300491713712</v>
      </c>
      <c r="DA87" s="188">
        <f t="shared" si="248"/>
        <v>1.8957572918364021</v>
      </c>
      <c r="DB87" s="172">
        <f t="shared" si="249"/>
        <v>350</v>
      </c>
      <c r="DC87" s="379">
        <f t="shared" si="299"/>
        <v>278.4904548870735</v>
      </c>
      <c r="DE87" s="188">
        <f t="shared" si="250"/>
        <v>9.7566501161056465</v>
      </c>
      <c r="DF87" s="150">
        <f t="shared" si="251"/>
        <v>1.5084294587400178</v>
      </c>
      <c r="DG87" s="150">
        <f t="shared" si="252"/>
        <v>2.5755132294067704</v>
      </c>
      <c r="DH87" s="150"/>
      <c r="DI87" s="150">
        <f t="shared" si="253"/>
        <v>0.93700159489633172</v>
      </c>
      <c r="DJ87" s="314">
        <f t="shared" si="300"/>
        <v>1155.1741276595744</v>
      </c>
      <c r="DK87" s="456">
        <f t="shared" si="254"/>
        <v>0.99378957034459414</v>
      </c>
      <c r="DM87" s="150">
        <f t="shared" si="255"/>
        <v>11.010467525803712</v>
      </c>
      <c r="DN87" s="150">
        <f t="shared" si="256"/>
        <v>12.261919504643963</v>
      </c>
      <c r="DO87" s="150">
        <f t="shared" si="257"/>
        <v>5.7935655141021503</v>
      </c>
      <c r="DQ87" s="314">
        <f t="shared" si="258"/>
        <v>3280</v>
      </c>
      <c r="DR87" s="144">
        <f t="shared" si="259"/>
        <v>278.4904548870735</v>
      </c>
      <c r="DT87">
        <f t="shared" si="260"/>
        <v>3280</v>
      </c>
      <c r="DU87">
        <f t="shared" si="261"/>
        <v>278.4904548870735</v>
      </c>
      <c r="DW87" s="5">
        <f t="shared" si="301"/>
        <v>3.5907873410077737</v>
      </c>
      <c r="DX87" s="5">
        <f t="shared" si="262"/>
        <v>1.6950300491713712</v>
      </c>
      <c r="DY87" s="5">
        <f t="shared" si="302"/>
        <v>1.8957572918364025</v>
      </c>
      <c r="DZ87" s="5">
        <f t="shared" si="263"/>
        <v>1.8957572918364021</v>
      </c>
      <c r="EA87" s="150">
        <f t="shared" si="303"/>
        <v>0.47204968944099374</v>
      </c>
      <c r="EB87" s="150">
        <f t="shared" si="264"/>
        <v>98.399999999999977</v>
      </c>
      <c r="EC87" s="150">
        <f t="shared" si="265"/>
        <v>3.236842105263158</v>
      </c>
      <c r="ED87" s="150">
        <f t="shared" si="304"/>
        <v>30.399999999999991</v>
      </c>
      <c r="EE87" s="144">
        <f t="shared" si="266"/>
        <v>18.53232853760699</v>
      </c>
      <c r="EF87" s="5">
        <f t="shared" si="267"/>
        <v>3.2273791957906917</v>
      </c>
      <c r="EG87" s="5"/>
      <c r="EH87" s="150">
        <f t="shared" si="305"/>
        <v>4.8639790038749737</v>
      </c>
      <c r="EI87" s="150">
        <f t="shared" si="268"/>
        <v>5.143921807595131</v>
      </c>
      <c r="EJ87" s="150"/>
      <c r="EK87" s="456">
        <f t="shared" si="269"/>
        <v>0.28389950100163897</v>
      </c>
      <c r="EL87" s="456">
        <f t="shared" si="270"/>
        <v>4.1783829787234046</v>
      </c>
      <c r="EM87" s="456">
        <f t="shared" si="271"/>
        <v>3.2026402312013459E-2</v>
      </c>
      <c r="EN87" s="456">
        <f t="shared" si="272"/>
        <v>0.59771258951738471</v>
      </c>
      <c r="EO87">
        <f t="shared" si="273"/>
        <v>1.5299999999999999E-2</v>
      </c>
      <c r="EP87" s="144">
        <f t="shared" si="306"/>
        <v>47.326402312013457</v>
      </c>
      <c r="EQ87" s="456">
        <f t="shared" si="274"/>
        <v>5.558950695700756</v>
      </c>
      <c r="ER87" s="144">
        <f t="shared" si="307"/>
        <v>5558.9506957007561</v>
      </c>
      <c r="ES87" s="456">
        <f t="shared" si="308"/>
        <v>2.1995679999999997</v>
      </c>
      <c r="ET87" s="456"/>
      <c r="EV87" s="144">
        <f t="shared" si="309"/>
        <v>2199.5679999999998</v>
      </c>
      <c r="EW87" s="456">
        <f t="shared" si="275"/>
        <v>0.33121608450191214</v>
      </c>
      <c r="EX87" s="456">
        <f t="shared" si="276"/>
        <v>0.37043904187713861</v>
      </c>
      <c r="EY87" s="456">
        <f t="shared" si="277"/>
        <v>34.071554045454633</v>
      </c>
      <c r="EZ87" s="456">
        <f t="shared" si="278"/>
        <v>37.019606114718712</v>
      </c>
      <c r="FA87" s="456">
        <f t="shared" si="279"/>
        <v>4.1872340425531913</v>
      </c>
      <c r="FB87" s="144">
        <f t="shared" si="310"/>
        <v>41206.840157271909</v>
      </c>
      <c r="FC87" s="150">
        <f t="shared" si="311"/>
        <v>48.965358852972663</v>
      </c>
      <c r="FD87" s="5">
        <f t="shared" si="312"/>
        <v>98.399999999999991</v>
      </c>
      <c r="FE87" s="150">
        <f t="shared" si="313"/>
        <v>0.66772816057927353</v>
      </c>
      <c r="FF87" s="5">
        <f t="shared" si="314"/>
        <v>66.772816057927358</v>
      </c>
      <c r="FI87" s="59">
        <f t="shared" si="280"/>
        <v>-50</v>
      </c>
      <c r="FJ87">
        <f t="shared" si="281"/>
        <v>-50</v>
      </c>
      <c r="FL87">
        <f t="shared" si="282"/>
        <v>0.52795031055900621</v>
      </c>
    </row>
    <row r="88" spans="5:168">
      <c r="E88" s="147">
        <v>83</v>
      </c>
      <c r="F88" s="188">
        <f t="shared" si="283"/>
        <v>3.32</v>
      </c>
      <c r="G88" s="188"/>
      <c r="H88" s="188">
        <f t="shared" si="183"/>
        <v>99.6</v>
      </c>
      <c r="I88" s="465">
        <f t="shared" si="184"/>
        <v>33.832125472069073</v>
      </c>
      <c r="J88" s="149">
        <f t="shared" si="185"/>
        <v>30.49039397657819</v>
      </c>
      <c r="K88" s="149">
        <f t="shared" si="186"/>
        <v>64.49039397657819</v>
      </c>
      <c r="L88" s="379"/>
      <c r="M88" s="188">
        <f t="shared" si="187"/>
        <v>0.47400436602821411</v>
      </c>
      <c r="N88" s="149">
        <f t="shared" si="188"/>
        <v>244.71855091520356</v>
      </c>
      <c r="O88" s="149">
        <f t="shared" si="284"/>
        <v>99.6</v>
      </c>
      <c r="P88" s="188">
        <f t="shared" si="189"/>
        <v>8.1572850305067863</v>
      </c>
      <c r="Q88" s="188">
        <f t="shared" si="190"/>
        <v>30</v>
      </c>
      <c r="R88" s="188">
        <f t="shared" si="191"/>
        <v>8.0992803968561091</v>
      </c>
      <c r="S88" s="149">
        <f t="shared" si="192"/>
        <v>120.67963117265556</v>
      </c>
      <c r="T88" s="149">
        <f t="shared" si="193"/>
        <v>30</v>
      </c>
      <c r="U88" s="188">
        <f t="shared" si="194"/>
        <v>12.62367892649878</v>
      </c>
      <c r="V88" s="188">
        <f t="shared" si="195"/>
        <v>1.753696822965694</v>
      </c>
      <c r="W88" s="188">
        <f t="shared" si="196"/>
        <v>1.9459010926562901</v>
      </c>
      <c r="X88" s="172">
        <f t="shared" si="197"/>
        <v>350</v>
      </c>
      <c r="Y88" s="379">
        <f t="shared" si="198"/>
        <v>256.43669466381391</v>
      </c>
      <c r="AA88" s="188">
        <f t="shared" si="199"/>
        <v>9.749074061105647</v>
      </c>
      <c r="AB88" s="150">
        <f t="shared" si="200"/>
        <v>1.5027896367096663</v>
      </c>
      <c r="AC88" s="150">
        <f t="shared" si="201"/>
        <v>2.5638913066453028</v>
      </c>
      <c r="AD88" s="150"/>
      <c r="AE88" s="150">
        <f t="shared" si="202"/>
        <v>0.93422369375514447</v>
      </c>
      <c r="AF88" s="314">
        <f t="shared" si="203"/>
        <v>1172.7384001536054</v>
      </c>
      <c r="AG88" s="456">
        <f t="shared" si="204"/>
        <v>0.99084331155848659</v>
      </c>
      <c r="AI88" s="150">
        <f t="shared" si="205"/>
        <v>11.0938580999</v>
      </c>
      <c r="AJ88" s="150">
        <f t="shared" si="206"/>
        <v>12.62367892649878</v>
      </c>
      <c r="AK88" s="150">
        <f t="shared" si="207"/>
        <v>6.0615354562168289</v>
      </c>
      <c r="AM88" s="314">
        <f t="shared" si="208"/>
        <v>3320</v>
      </c>
      <c r="AN88" s="144">
        <f t="shared" si="209"/>
        <v>256.43669466381391</v>
      </c>
      <c r="AP88">
        <f t="shared" si="210"/>
        <v>3320</v>
      </c>
      <c r="AQ88">
        <f t="shared" si="211"/>
        <v>256.43669466381391</v>
      </c>
      <c r="AS88" s="5">
        <f t="shared" si="285"/>
        <v>3.8995979156219844</v>
      </c>
      <c r="AT88" s="5">
        <f t="shared" si="212"/>
        <v>1.753696822965694</v>
      </c>
      <c r="AU88" s="5">
        <f t="shared" si="286"/>
        <v>2.1459010926562905</v>
      </c>
      <c r="AV88" s="5">
        <f t="shared" si="213"/>
        <v>1.9459010926562901</v>
      </c>
      <c r="AW88" s="150">
        <f t="shared" si="287"/>
        <v>0.44971221672375417</v>
      </c>
      <c r="AX88" s="150">
        <f t="shared" si="214"/>
        <v>96.03287101785547</v>
      </c>
      <c r="AY88" s="150">
        <f t="shared" si="215"/>
        <v>3.4733281466270363</v>
      </c>
      <c r="AZ88" s="150">
        <f t="shared" si="288"/>
        <v>27.648660582534767</v>
      </c>
      <c r="BA88" s="144">
        <f t="shared" si="216"/>
        <v>19.407578174153681</v>
      </c>
      <c r="BB88" s="5">
        <f t="shared" si="217"/>
        <v>3.7161294592101766</v>
      </c>
      <c r="BC88" s="5"/>
      <c r="BD88" s="150">
        <f t="shared" si="289"/>
        <v>4.8875662307719789</v>
      </c>
      <c r="BE88" s="150">
        <f t="shared" si="218"/>
        <v>5.4065503067662144</v>
      </c>
      <c r="BF88" s="150"/>
      <c r="BG88" s="456">
        <f t="shared" si="219"/>
        <v>0.28665964392219129</v>
      </c>
      <c r="BH88" s="456">
        <f t="shared" si="220"/>
        <v>3.809991522612759</v>
      </c>
      <c r="BI88" s="456">
        <f t="shared" si="221"/>
        <v>2.9490219886338601E-2</v>
      </c>
      <c r="BJ88" s="456">
        <f t="shared" si="222"/>
        <v>0.55192565880238897</v>
      </c>
      <c r="BK88">
        <f t="shared" si="223"/>
        <v>1.5224456462431082E-2</v>
      </c>
      <c r="BL88" s="144">
        <f t="shared" si="290"/>
        <v>44.714676348769679</v>
      </c>
      <c r="BM88" s="456">
        <f t="shared" si="224"/>
        <v>5.0713889083839145</v>
      </c>
      <c r="BN88" s="144">
        <f t="shared" si="291"/>
        <v>5071.3889083839149</v>
      </c>
      <c r="BO88" s="456">
        <f t="shared" si="225"/>
        <v>2.2263919999999997</v>
      </c>
      <c r="BP88" s="456"/>
      <c r="BR88" s="144">
        <f t="shared" si="292"/>
        <v>2226.3919999999998</v>
      </c>
      <c r="BS88" s="456">
        <f t="shared" si="226"/>
        <v>0.33443625124255649</v>
      </c>
      <c r="BT88" s="456">
        <f t="shared" si="227"/>
        <v>0.40923100707431387</v>
      </c>
      <c r="BU88" s="456">
        <f t="shared" si="228"/>
        <v>29.81159966524195</v>
      </c>
      <c r="BV88" s="456">
        <f t="shared" si="229"/>
        <v>32.67786364682587</v>
      </c>
      <c r="BW88" s="456">
        <f t="shared" si="230"/>
        <v>4.0865051496959772</v>
      </c>
      <c r="BX88" s="144">
        <f t="shared" si="293"/>
        <v>36764.368796521849</v>
      </c>
      <c r="BY88" s="150">
        <f t="shared" si="231"/>
        <v>44.106864381254539</v>
      </c>
      <c r="BZ88" s="5">
        <f t="shared" si="294"/>
        <v>99.6</v>
      </c>
      <c r="CA88" s="150">
        <f t="shared" si="295"/>
        <v>0.69307753967660879</v>
      </c>
      <c r="CB88" s="5">
        <f t="shared" si="296"/>
        <v>69.307753967660872</v>
      </c>
      <c r="CE88" s="59">
        <f t="shared" si="232"/>
        <v>-50</v>
      </c>
      <c r="CF88">
        <f t="shared" si="233"/>
        <v>-50</v>
      </c>
      <c r="CG88" s="150">
        <f t="shared" si="234"/>
        <v>0.5141935531489219</v>
      </c>
      <c r="CI88" s="147">
        <v>83</v>
      </c>
      <c r="CJ88" s="188">
        <f t="shared" si="297"/>
        <v>3.32</v>
      </c>
      <c r="CK88" s="188"/>
      <c r="CL88" s="188">
        <f t="shared" si="235"/>
        <v>99.6</v>
      </c>
      <c r="CM88" s="465">
        <f t="shared" si="236"/>
        <v>34</v>
      </c>
      <c r="CN88" s="149">
        <f t="shared" si="237"/>
        <v>30.4</v>
      </c>
      <c r="CO88" s="379">
        <f t="shared" si="238"/>
        <v>64.400000000000006</v>
      </c>
      <c r="CP88" s="379"/>
      <c r="CQ88" s="188">
        <f t="shared" si="239"/>
        <v>0.47204968944099374</v>
      </c>
      <c r="CR88" s="149">
        <f t="shared" si="240"/>
        <v>244.918674788055</v>
      </c>
      <c r="CS88" s="149">
        <f t="shared" si="298"/>
        <v>99.6</v>
      </c>
      <c r="CT88" s="188">
        <f t="shared" si="241"/>
        <v>8.1639558262685004</v>
      </c>
      <c r="CU88" s="188">
        <f t="shared" si="242"/>
        <v>30</v>
      </c>
      <c r="CV88" s="188">
        <f t="shared" si="243"/>
        <v>8.1059037580776696</v>
      </c>
      <c r="CW88" s="149">
        <f t="shared" si="244"/>
        <v>121.27788953344017</v>
      </c>
      <c r="CX88" s="149">
        <f t="shared" si="245"/>
        <v>30</v>
      </c>
      <c r="CY88" s="188">
        <f t="shared" si="246"/>
        <v>12.411455108359133</v>
      </c>
      <c r="CZ88" s="188">
        <f t="shared" si="247"/>
        <v>1.7157011473319979</v>
      </c>
      <c r="DA88" s="188">
        <f t="shared" si="248"/>
        <v>1.918876283200261</v>
      </c>
      <c r="DB88" s="172">
        <f t="shared" si="249"/>
        <v>350</v>
      </c>
      <c r="DC88" s="379">
        <f t="shared" si="299"/>
        <v>275.13514820168706</v>
      </c>
      <c r="DE88" s="188">
        <f t="shared" si="250"/>
        <v>9.7566501161056465</v>
      </c>
      <c r="DF88" s="150">
        <f t="shared" si="251"/>
        <v>1.5084294587400178</v>
      </c>
      <c r="DG88" s="150">
        <f t="shared" si="252"/>
        <v>2.5755132294067704</v>
      </c>
      <c r="DH88" s="150"/>
      <c r="DI88" s="150">
        <f t="shared" si="253"/>
        <v>0.93700159489633172</v>
      </c>
      <c r="DJ88" s="314">
        <f t="shared" si="300"/>
        <v>1169.2616170212766</v>
      </c>
      <c r="DK88" s="456">
        <f t="shared" si="254"/>
        <v>0.99378957034459414</v>
      </c>
      <c r="DM88" s="150">
        <f t="shared" si="255"/>
        <v>11.077401075598267</v>
      </c>
      <c r="DN88" s="150">
        <f t="shared" si="256"/>
        <v>12.411455108359133</v>
      </c>
      <c r="DO88" s="150">
        <f t="shared" si="257"/>
        <v>5.9043326279652391</v>
      </c>
      <c r="DQ88" s="314">
        <f t="shared" si="258"/>
        <v>3320</v>
      </c>
      <c r="DR88" s="144">
        <f t="shared" si="259"/>
        <v>275.13514820168706</v>
      </c>
      <c r="DT88">
        <f t="shared" si="260"/>
        <v>3320</v>
      </c>
      <c r="DU88">
        <f t="shared" si="261"/>
        <v>275.13514820168706</v>
      </c>
      <c r="DW88" s="5">
        <f t="shared" si="301"/>
        <v>3.6345774305322589</v>
      </c>
      <c r="DX88" s="5">
        <f t="shared" si="262"/>
        <v>1.7157011473319979</v>
      </c>
      <c r="DY88" s="5">
        <f t="shared" si="302"/>
        <v>1.918876283200261</v>
      </c>
      <c r="DZ88" s="5">
        <f t="shared" si="263"/>
        <v>1.918876283200261</v>
      </c>
      <c r="EA88" s="150">
        <f t="shared" si="303"/>
        <v>0.47204968944099374</v>
      </c>
      <c r="EB88" s="150">
        <f t="shared" si="264"/>
        <v>99.6</v>
      </c>
      <c r="EC88" s="150">
        <f t="shared" si="265"/>
        <v>3.2763157894736841</v>
      </c>
      <c r="ED88" s="150">
        <f t="shared" si="304"/>
        <v>30.4</v>
      </c>
      <c r="EE88" s="144">
        <f t="shared" si="266"/>
        <v>18.987092697140778</v>
      </c>
      <c r="EF88" s="5">
        <f t="shared" si="267"/>
        <v>3.3065757406011413</v>
      </c>
      <c r="EG88" s="5"/>
      <c r="EH88" s="150">
        <f t="shared" si="305"/>
        <v>4.9232958209954001</v>
      </c>
      <c r="EI88" s="150">
        <f t="shared" si="268"/>
        <v>5.2066525613462913</v>
      </c>
      <c r="EJ88" s="150"/>
      <c r="EK88" s="456">
        <f t="shared" si="269"/>
        <v>0.29086610089236925</v>
      </c>
      <c r="EL88" s="456">
        <f t="shared" si="270"/>
        <v>4.1783829787234046</v>
      </c>
      <c r="EM88" s="456">
        <f t="shared" si="271"/>
        <v>3.1640542043194018E-2</v>
      </c>
      <c r="EN88" s="456">
        <f t="shared" si="272"/>
        <v>0.59051123301717512</v>
      </c>
      <c r="EO88">
        <f t="shared" si="273"/>
        <v>1.5299999999999999E-2</v>
      </c>
      <c r="EP88" s="144">
        <f t="shared" si="306"/>
        <v>46.940542043194021</v>
      </c>
      <c r="EQ88" s="456">
        <f t="shared" si="274"/>
        <v>5.5701892892959259</v>
      </c>
      <c r="ER88" s="144">
        <f t="shared" si="307"/>
        <v>5570.1892892959258</v>
      </c>
      <c r="ES88" s="456">
        <f t="shared" si="308"/>
        <v>2.2263919999999997</v>
      </c>
      <c r="ET88" s="456"/>
      <c r="EV88" s="144">
        <f t="shared" si="309"/>
        <v>2226.3919999999998</v>
      </c>
      <c r="EW88" s="456">
        <f t="shared" si="275"/>
        <v>0.3393437843744308</v>
      </c>
      <c r="EX88" s="456">
        <f t="shared" si="276"/>
        <v>0.37952923252403453</v>
      </c>
      <c r="EY88" s="456">
        <f t="shared" si="277"/>
        <v>34.071554045454569</v>
      </c>
      <c r="EZ88" s="456">
        <f t="shared" si="278"/>
        <v>37.096362509034996</v>
      </c>
      <c r="FA88" s="456">
        <f t="shared" si="279"/>
        <v>4.238297872340425</v>
      </c>
      <c r="FB88" s="144">
        <f t="shared" si="310"/>
        <v>41334.660381375419</v>
      </c>
      <c r="FC88" s="150">
        <f t="shared" si="311"/>
        <v>49.131241670671344</v>
      </c>
      <c r="FD88" s="5">
        <f t="shared" si="312"/>
        <v>99.6</v>
      </c>
      <c r="FE88" s="150">
        <f t="shared" si="313"/>
        <v>0.6696642808949288</v>
      </c>
      <c r="FF88" s="5">
        <f t="shared" si="314"/>
        <v>66.966428089492879</v>
      </c>
      <c r="FI88" s="59">
        <f t="shared" si="280"/>
        <v>-50</v>
      </c>
      <c r="FJ88">
        <f t="shared" si="281"/>
        <v>-50</v>
      </c>
      <c r="FL88">
        <f t="shared" si="282"/>
        <v>0.52795031055900621</v>
      </c>
    </row>
    <row r="89" spans="5:168">
      <c r="E89" s="147">
        <v>84</v>
      </c>
      <c r="F89" s="188">
        <f t="shared" si="283"/>
        <v>3.36</v>
      </c>
      <c r="G89" s="188"/>
      <c r="H89" s="188">
        <f t="shared" si="183"/>
        <v>100.8</v>
      </c>
      <c r="I89" s="465">
        <f t="shared" si="184"/>
        <v>33.830156982487082</v>
      </c>
      <c r="J89" s="149">
        <f t="shared" si="185"/>
        <v>30.491453932506957</v>
      </c>
      <c r="K89" s="149">
        <f t="shared" si="186"/>
        <v>64.491453932506957</v>
      </c>
      <c r="L89" s="379"/>
      <c r="M89" s="188">
        <f t="shared" si="187"/>
        <v>0.47402754725582313</v>
      </c>
      <c r="N89" s="149">
        <f t="shared" si="188"/>
        <v>244.71627948955282</v>
      </c>
      <c r="O89" s="149">
        <f t="shared" si="284"/>
        <v>100.8</v>
      </c>
      <c r="P89" s="188">
        <f t="shared" si="189"/>
        <v>8.1572093163184274</v>
      </c>
      <c r="Q89" s="188">
        <f t="shared" si="190"/>
        <v>30</v>
      </c>
      <c r="R89" s="188">
        <f t="shared" si="191"/>
        <v>8.0992052210544507</v>
      </c>
      <c r="S89" s="149">
        <f t="shared" si="192"/>
        <v>118.83634912243042</v>
      </c>
      <c r="T89" s="149">
        <f t="shared" si="193"/>
        <v>30</v>
      </c>
      <c r="U89" s="188">
        <f t="shared" si="194"/>
        <v>12.776334511321796</v>
      </c>
      <c r="V89" s="188">
        <f t="shared" si="195"/>
        <v>1.7750071994728842</v>
      </c>
      <c r="W89" s="188">
        <f t="shared" si="196"/>
        <v>1.9693640170826492</v>
      </c>
      <c r="X89" s="172">
        <f t="shared" si="197"/>
        <v>350</v>
      </c>
      <c r="Y89" s="379">
        <f t="shared" si="198"/>
        <v>253.52583342124203</v>
      </c>
      <c r="AA89" s="188">
        <f t="shared" si="199"/>
        <v>9.7489834149165624</v>
      </c>
      <c r="AB89" s="150">
        <f t="shared" si="200"/>
        <v>1.5027234238003613</v>
      </c>
      <c r="AC89" s="150">
        <f t="shared" si="201"/>
        <v>2.5637545037713623</v>
      </c>
      <c r="AD89" s="150"/>
      <c r="AE89" s="150">
        <f t="shared" si="202"/>
        <v>0.93419121790321613</v>
      </c>
      <c r="AF89" s="314">
        <f t="shared" si="203"/>
        <v>1186.9090382680879</v>
      </c>
      <c r="AG89" s="456">
        <f t="shared" si="204"/>
        <v>0.99080886747310803</v>
      </c>
      <c r="AI89" s="150">
        <f t="shared" si="205"/>
        <v>11.160682465063948</v>
      </c>
      <c r="AJ89" s="150">
        <f t="shared" si="206"/>
        <v>12.776334511321796</v>
      </c>
      <c r="AK89" s="150">
        <f t="shared" si="207"/>
        <v>6.1746136671968417</v>
      </c>
      <c r="AM89" s="314">
        <f t="shared" si="208"/>
        <v>3360</v>
      </c>
      <c r="AN89" s="144">
        <f t="shared" si="209"/>
        <v>253.52583342124203</v>
      </c>
      <c r="AP89">
        <f t="shared" si="210"/>
        <v>3360</v>
      </c>
      <c r="AQ89">
        <f t="shared" si="211"/>
        <v>253.52583342124203</v>
      </c>
      <c r="AS89" s="5">
        <f t="shared" si="285"/>
        <v>3.9443712165555334</v>
      </c>
      <c r="AT89" s="5">
        <f t="shared" si="212"/>
        <v>1.7750071994728842</v>
      </c>
      <c r="AU89" s="5">
        <f t="shared" si="286"/>
        <v>2.1693640170826489</v>
      </c>
      <c r="AV89" s="5">
        <f t="shared" si="213"/>
        <v>1.9693640170826492</v>
      </c>
      <c r="AW89" s="150">
        <f t="shared" si="287"/>
        <v>0.45001017957506778</v>
      </c>
      <c r="AX89" s="150">
        <f t="shared" si="214"/>
        <v>97.25291542569019</v>
      </c>
      <c r="AY89" s="150">
        <f t="shared" si="215"/>
        <v>3.5134269617853695</v>
      </c>
      <c r="AZ89" s="150">
        <f t="shared" si="288"/>
        <v>27.680357805494417</v>
      </c>
      <c r="BA89" s="144">
        <f t="shared" si="216"/>
        <v>19.880080634096302</v>
      </c>
      <c r="BB89" s="5">
        <f t="shared" si="217"/>
        <v>3.8022444091756089</v>
      </c>
      <c r="BC89" s="5"/>
      <c r="BD89" s="150">
        <f t="shared" si="289"/>
        <v>4.9483090463800039</v>
      </c>
      <c r="BE89" s="150">
        <f t="shared" si="218"/>
        <v>5.4704489849168629</v>
      </c>
      <c r="BF89" s="150"/>
      <c r="BG89" s="456">
        <f t="shared" si="219"/>
        <v>0.29382914902183421</v>
      </c>
      <c r="BH89" s="456">
        <f t="shared" si="220"/>
        <v>3.8123567143383847</v>
      </c>
      <c r="BI89" s="456">
        <f t="shared" si="221"/>
        <v>2.9155470843442836E-2</v>
      </c>
      <c r="BJ89" s="456">
        <f t="shared" si="222"/>
        <v>0.54567858361329813</v>
      </c>
      <c r="BK89">
        <f t="shared" si="223"/>
        <v>1.5223570642119186E-2</v>
      </c>
      <c r="BL89" s="144">
        <f t="shared" si="290"/>
        <v>44.37904148556202</v>
      </c>
      <c r="BM89" s="456">
        <f t="shared" si="224"/>
        <v>5.0862916981014106</v>
      </c>
      <c r="BN89" s="144">
        <f t="shared" si="291"/>
        <v>5086.2916981014105</v>
      </c>
      <c r="BO89" s="456">
        <f t="shared" si="225"/>
        <v>2.2532159999999997</v>
      </c>
      <c r="BP89" s="456"/>
      <c r="BR89" s="144">
        <f t="shared" si="292"/>
        <v>2253.2159999999994</v>
      </c>
      <c r="BS89" s="456">
        <f t="shared" si="226"/>
        <v>0.34280067385880658</v>
      </c>
      <c r="BT89" s="456">
        <f t="shared" si="227"/>
        <v>0.41896136935209111</v>
      </c>
      <c r="BU89" s="456">
        <f t="shared" si="228"/>
        <v>29.856660997708129</v>
      </c>
      <c r="BV89" s="456">
        <f t="shared" si="229"/>
        <v>32.800116640882813</v>
      </c>
      <c r="BW89" s="456">
        <f t="shared" si="230"/>
        <v>4.1384219330080931</v>
      </c>
      <c r="BX89" s="144">
        <f t="shared" si="293"/>
        <v>36938.53857389091</v>
      </c>
      <c r="BY89" s="150">
        <f t="shared" si="231"/>
        <v>44.322425313477872</v>
      </c>
      <c r="BZ89" s="5">
        <f t="shared" si="294"/>
        <v>100.8</v>
      </c>
      <c r="CA89" s="150">
        <f t="shared" si="295"/>
        <v>0.69458596617485324</v>
      </c>
      <c r="CB89" s="5">
        <f t="shared" si="296"/>
        <v>69.458596617485327</v>
      </c>
      <c r="CE89" s="59">
        <f t="shared" si="232"/>
        <v>-50</v>
      </c>
      <c r="CF89">
        <f t="shared" si="233"/>
        <v>-50</v>
      </c>
      <c r="CG89" s="150">
        <f t="shared" si="234"/>
        <v>0.51435732407047052</v>
      </c>
      <c r="CI89" s="147">
        <v>84</v>
      </c>
      <c r="CJ89" s="188">
        <f t="shared" si="297"/>
        <v>3.36</v>
      </c>
      <c r="CK89" s="188"/>
      <c r="CL89" s="188">
        <f t="shared" si="235"/>
        <v>100.8</v>
      </c>
      <c r="CM89" s="465">
        <f t="shared" si="236"/>
        <v>34</v>
      </c>
      <c r="CN89" s="149">
        <f t="shared" si="237"/>
        <v>30.4</v>
      </c>
      <c r="CO89" s="379">
        <f t="shared" si="238"/>
        <v>64.400000000000006</v>
      </c>
      <c r="CP89" s="379"/>
      <c r="CQ89" s="188">
        <f t="shared" si="239"/>
        <v>0.47204968944099374</v>
      </c>
      <c r="CR89" s="149">
        <f t="shared" si="240"/>
        <v>244.918674788055</v>
      </c>
      <c r="CS89" s="149">
        <f t="shared" si="298"/>
        <v>100.8</v>
      </c>
      <c r="CT89" s="188">
        <f t="shared" si="241"/>
        <v>8.1639558262685004</v>
      </c>
      <c r="CU89" s="188">
        <f t="shared" si="242"/>
        <v>30</v>
      </c>
      <c r="CV89" s="188">
        <f t="shared" si="243"/>
        <v>8.1059037580776696</v>
      </c>
      <c r="CW89" s="149">
        <f t="shared" si="244"/>
        <v>119.43239516708876</v>
      </c>
      <c r="CX89" s="149">
        <f t="shared" si="245"/>
        <v>30</v>
      </c>
      <c r="CY89" s="188">
        <f t="shared" si="246"/>
        <v>12.560990712074304</v>
      </c>
      <c r="CZ89" s="188">
        <f t="shared" si="247"/>
        <v>1.7363722454926243</v>
      </c>
      <c r="DA89" s="188">
        <f t="shared" si="248"/>
        <v>1.9419952745641191</v>
      </c>
      <c r="DB89" s="172">
        <f t="shared" si="249"/>
        <v>350</v>
      </c>
      <c r="DC89" s="379">
        <f t="shared" si="299"/>
        <v>271.85972977071464</v>
      </c>
      <c r="DE89" s="188">
        <f t="shared" si="250"/>
        <v>9.7566501161056465</v>
      </c>
      <c r="DF89" s="150">
        <f t="shared" si="251"/>
        <v>1.5084294587400178</v>
      </c>
      <c r="DG89" s="150">
        <f t="shared" si="252"/>
        <v>2.5755132294067704</v>
      </c>
      <c r="DH89" s="150"/>
      <c r="DI89" s="150">
        <f t="shared" si="253"/>
        <v>0.93700159489633172</v>
      </c>
      <c r="DJ89" s="314">
        <f t="shared" si="300"/>
        <v>1183.3491063829786</v>
      </c>
      <c r="DK89" s="456">
        <f t="shared" si="254"/>
        <v>0.99378957034459414</v>
      </c>
      <c r="DM89" s="150">
        <f t="shared" si="255"/>
        <v>11.143932611181439</v>
      </c>
      <c r="DN89" s="150">
        <f t="shared" si="256"/>
        <v>12.560990712074304</v>
      </c>
      <c r="DO89" s="150">
        <f t="shared" si="257"/>
        <v>6.0150997418283287</v>
      </c>
      <c r="DQ89" s="314">
        <f t="shared" si="258"/>
        <v>3360</v>
      </c>
      <c r="DR89" s="144">
        <f t="shared" si="259"/>
        <v>271.85972977071464</v>
      </c>
      <c r="DT89">
        <f t="shared" si="260"/>
        <v>3360</v>
      </c>
      <c r="DU89">
        <f t="shared" si="261"/>
        <v>271.85972977071464</v>
      </c>
      <c r="DW89" s="5">
        <f t="shared" si="301"/>
        <v>3.6783675200567436</v>
      </c>
      <c r="DX89" s="5">
        <f t="shared" si="262"/>
        <v>1.7363722454926243</v>
      </c>
      <c r="DY89" s="5">
        <f t="shared" si="302"/>
        <v>1.9419952745641194</v>
      </c>
      <c r="DZ89" s="5">
        <f t="shared" si="263"/>
        <v>1.9419952745641191</v>
      </c>
      <c r="EA89" s="150">
        <f t="shared" si="303"/>
        <v>0.47204968944099379</v>
      </c>
      <c r="EB89" s="150">
        <f t="shared" si="264"/>
        <v>100.80000000000001</v>
      </c>
      <c r="EC89" s="150">
        <f t="shared" si="265"/>
        <v>3.3157894736842106</v>
      </c>
      <c r="ED89" s="150">
        <f t="shared" si="304"/>
        <v>30.400000000000002</v>
      </c>
      <c r="EE89" s="144">
        <f t="shared" si="266"/>
        <v>19.447369149517392</v>
      </c>
      <c r="EF89" s="5">
        <f t="shared" si="267"/>
        <v>3.3867322435305054</v>
      </c>
      <c r="EG89" s="5"/>
      <c r="EH89" s="150">
        <f t="shared" si="305"/>
        <v>4.9826126381158273</v>
      </c>
      <c r="EI89" s="150">
        <f t="shared" si="268"/>
        <v>5.2693833150974516</v>
      </c>
      <c r="EJ89" s="150"/>
      <c r="EK89" s="456">
        <f t="shared" si="269"/>
        <v>0.29791714441813877</v>
      </c>
      <c r="EL89" s="456">
        <f t="shared" si="270"/>
        <v>4.1783829787234046</v>
      </c>
      <c r="EM89" s="456">
        <f t="shared" si="271"/>
        <v>3.1263868923632185E-2</v>
      </c>
      <c r="EN89" s="456">
        <f t="shared" si="272"/>
        <v>0.58348133738601837</v>
      </c>
      <c r="EO89">
        <f t="shared" si="273"/>
        <v>1.5299999999999999E-2</v>
      </c>
      <c r="EP89" s="144">
        <f t="shared" si="306"/>
        <v>46.563868923632185</v>
      </c>
      <c r="EQ89" s="456">
        <f t="shared" si="274"/>
        <v>5.5818982604308944</v>
      </c>
      <c r="ER89" s="144">
        <f t="shared" si="307"/>
        <v>5581.8982604308949</v>
      </c>
      <c r="ES89" s="456">
        <f t="shared" si="308"/>
        <v>2.2532159999999997</v>
      </c>
      <c r="ET89" s="456"/>
      <c r="EV89" s="144">
        <f t="shared" si="309"/>
        <v>2253.2159999999994</v>
      </c>
      <c r="EW89" s="456">
        <f t="shared" si="275"/>
        <v>0.34757000182116188</v>
      </c>
      <c r="EX89" s="456">
        <f t="shared" si="276"/>
        <v>0.38872960729998374</v>
      </c>
      <c r="EY89" s="456">
        <f t="shared" si="277"/>
        <v>34.071554045454661</v>
      </c>
      <c r="EZ89" s="456">
        <f t="shared" si="278"/>
        <v>37.174278073983679</v>
      </c>
      <c r="FA89" s="456">
        <f t="shared" si="279"/>
        <v>4.2893617021276604</v>
      </c>
      <c r="FB89" s="144">
        <f t="shared" si="310"/>
        <v>41463.639776111333</v>
      </c>
      <c r="FC89" s="150">
        <f t="shared" si="311"/>
        <v>49.298754036542235</v>
      </c>
      <c r="FD89" s="5">
        <f t="shared" si="312"/>
        <v>100.8</v>
      </c>
      <c r="FE89" s="150">
        <f t="shared" si="313"/>
        <v>0.67155787299513336</v>
      </c>
      <c r="FF89" s="5">
        <f t="shared" si="314"/>
        <v>67.155787299513335</v>
      </c>
      <c r="FI89" s="59">
        <f t="shared" si="280"/>
        <v>-50</v>
      </c>
      <c r="FJ89">
        <f t="shared" si="281"/>
        <v>-50</v>
      </c>
      <c r="FL89">
        <f t="shared" si="282"/>
        <v>0.52795031055900621</v>
      </c>
    </row>
    <row r="90" spans="5:168">
      <c r="E90" s="147">
        <v>85</v>
      </c>
      <c r="F90" s="188">
        <f t="shared" si="283"/>
        <v>3.4</v>
      </c>
      <c r="G90" s="188"/>
      <c r="H90" s="188">
        <f t="shared" si="183"/>
        <v>102</v>
      </c>
      <c r="I90" s="465">
        <f t="shared" si="184"/>
        <v>33.828188459278408</v>
      </c>
      <c r="J90" s="149">
        <f t="shared" si="185"/>
        <v>30.492513906542392</v>
      </c>
      <c r="K90" s="149">
        <f t="shared" si="186"/>
        <v>64.492513906542399</v>
      </c>
      <c r="L90" s="379"/>
      <c r="M90" s="188">
        <f t="shared" si="187"/>
        <v>0.47405072938562931</v>
      </c>
      <c r="N90" s="149">
        <f t="shared" si="188"/>
        <v>244.71400689368596</v>
      </c>
      <c r="O90" s="149">
        <f t="shared" si="284"/>
        <v>102</v>
      </c>
      <c r="P90" s="188">
        <f t="shared" si="189"/>
        <v>8.1571335631228656</v>
      </c>
      <c r="Q90" s="188">
        <f t="shared" si="190"/>
        <v>30</v>
      </c>
      <c r="R90" s="188">
        <f t="shared" si="191"/>
        <v>8.0991300065229606</v>
      </c>
      <c r="S90" s="149">
        <f t="shared" si="192"/>
        <v>117.03653650231087</v>
      </c>
      <c r="T90" s="149">
        <f t="shared" si="193"/>
        <v>30</v>
      </c>
      <c r="U90" s="188">
        <f t="shared" si="194"/>
        <v>12.929003574920451</v>
      </c>
      <c r="V90" s="188">
        <f t="shared" si="195"/>
        <v>1.7963219306075229</v>
      </c>
      <c r="W90" s="188">
        <f t="shared" si="196"/>
        <v>1.9928273866946815</v>
      </c>
      <c r="X90" s="172">
        <f t="shared" si="197"/>
        <v>350</v>
      </c>
      <c r="Y90" s="379">
        <f t="shared" si="198"/>
        <v>250.6800123180858</v>
      </c>
      <c r="AA90" s="188">
        <f t="shared" si="199"/>
        <v>9.7488927251774147</v>
      </c>
      <c r="AB90" s="150">
        <f t="shared" si="200"/>
        <v>1.5026572078894052</v>
      </c>
      <c r="AC90" s="150">
        <f t="shared" si="201"/>
        <v>2.5636176864249745</v>
      </c>
      <c r="AD90" s="150"/>
      <c r="AE90" s="150">
        <f t="shared" si="202"/>
        <v>0.93415874375437602</v>
      </c>
      <c r="AF90" s="314">
        <f t="shared" si="203"/>
        <v>1201.0806594719561</v>
      </c>
      <c r="AG90" s="456">
        <f t="shared" si="204"/>
        <v>0.99077442519403514</v>
      </c>
      <c r="AI90" s="150">
        <f t="shared" si="205"/>
        <v>11.227113689729899</v>
      </c>
      <c r="AJ90" s="150">
        <f t="shared" si="206"/>
        <v>12.929003574920451</v>
      </c>
      <c r="AK90" s="150">
        <f t="shared" si="207"/>
        <v>6.287701862455104</v>
      </c>
      <c r="AM90" s="314">
        <f t="shared" si="208"/>
        <v>3400</v>
      </c>
      <c r="AN90" s="144">
        <f t="shared" si="209"/>
        <v>250.6800123180858</v>
      </c>
      <c r="AP90">
        <f t="shared" si="210"/>
        <v>3400</v>
      </c>
      <c r="AQ90">
        <f t="shared" si="211"/>
        <v>250.6800123180858</v>
      </c>
      <c r="AS90" s="5">
        <f t="shared" si="285"/>
        <v>3.9891493173022035</v>
      </c>
      <c r="AT90" s="5">
        <f t="shared" si="212"/>
        <v>1.7963219306075229</v>
      </c>
      <c r="AU90" s="5">
        <f t="shared" si="286"/>
        <v>2.1928273866946806</v>
      </c>
      <c r="AV90" s="5">
        <f t="shared" si="213"/>
        <v>1.9928273866946815</v>
      </c>
      <c r="AW90" s="150">
        <f t="shared" si="287"/>
        <v>0.45030200369194151</v>
      </c>
      <c r="AX90" s="150">
        <f t="shared" si="214"/>
        <v>98.473116030256548</v>
      </c>
      <c r="AY90" s="150">
        <f t="shared" si="215"/>
        <v>3.5535236796967484</v>
      </c>
      <c r="AZ90" s="150">
        <f t="shared" si="288"/>
        <v>27.711399981063323</v>
      </c>
      <c r="BA90" s="144">
        <f t="shared" si="216"/>
        <v>20.358315213551926</v>
      </c>
      <c r="BB90" s="5">
        <f t="shared" si="217"/>
        <v>3.8893493619991304</v>
      </c>
      <c r="BC90" s="5"/>
      <c r="BD90" s="150">
        <f t="shared" si="289"/>
        <v>5.0090615462904937</v>
      </c>
      <c r="BE90" s="150">
        <f t="shared" si="218"/>
        <v>5.5343485228383011</v>
      </c>
      <c r="BF90" s="150"/>
      <c r="BG90" s="456">
        <f t="shared" si="219"/>
        <v>0.30108837089431334</v>
      </c>
      <c r="BH90" s="456">
        <f t="shared" si="220"/>
        <v>3.8146696818468082</v>
      </c>
      <c r="BI90" s="456">
        <f t="shared" si="221"/>
        <v>2.8828201416579869E-2</v>
      </c>
      <c r="BJ90" s="456">
        <f t="shared" si="222"/>
        <v>0.53957109145595539</v>
      </c>
      <c r="BK90">
        <f t="shared" si="223"/>
        <v>1.5222684806675284E-2</v>
      </c>
      <c r="BL90" s="144">
        <f t="shared" si="290"/>
        <v>44.050886223255155</v>
      </c>
      <c r="BM90" s="456">
        <f t="shared" si="224"/>
        <v>5.1015831015145769</v>
      </c>
      <c r="BN90" s="144">
        <f t="shared" si="291"/>
        <v>5101.5831015145768</v>
      </c>
      <c r="BO90" s="456">
        <f t="shared" si="225"/>
        <v>2.2800399999999996</v>
      </c>
      <c r="BP90" s="456"/>
      <c r="BR90" s="144">
        <f t="shared" si="292"/>
        <v>2280.0399999999995</v>
      </c>
      <c r="BS90" s="456">
        <f t="shared" si="226"/>
        <v>0.35126976604336557</v>
      </c>
      <c r="BT90" s="456">
        <f t="shared" si="227"/>
        <v>0.42880619001139481</v>
      </c>
      <c r="BU90" s="456">
        <f t="shared" si="228"/>
        <v>29.900738277907585</v>
      </c>
      <c r="BV90" s="456">
        <f t="shared" si="229"/>
        <v>32.922602940590906</v>
      </c>
      <c r="BW90" s="456">
        <f t="shared" si="230"/>
        <v>4.1903453629896408</v>
      </c>
      <c r="BX90" s="144">
        <f t="shared" si="293"/>
        <v>37112.948303580546</v>
      </c>
      <c r="BY90" s="150">
        <f t="shared" si="231"/>
        <v>44.538622291318376</v>
      </c>
      <c r="BZ90" s="5">
        <f t="shared" si="294"/>
        <v>102</v>
      </c>
      <c r="CA90" s="150">
        <f t="shared" si="295"/>
        <v>0.69606222854493804</v>
      </c>
      <c r="CB90" s="5">
        <f t="shared" si="296"/>
        <v>69.606222854493808</v>
      </c>
      <c r="CE90" s="59">
        <f t="shared" si="232"/>
        <v>-50</v>
      </c>
      <c r="CF90">
        <f t="shared" si="233"/>
        <v>-50</v>
      </c>
      <c r="CG90" s="150">
        <f t="shared" si="234"/>
        <v>0.51451724155857093</v>
      </c>
      <c r="CI90" s="147">
        <v>85</v>
      </c>
      <c r="CJ90" s="188">
        <f t="shared" si="297"/>
        <v>3.4</v>
      </c>
      <c r="CK90" s="188"/>
      <c r="CL90" s="188">
        <f t="shared" si="235"/>
        <v>102</v>
      </c>
      <c r="CM90" s="465">
        <f t="shared" si="236"/>
        <v>34</v>
      </c>
      <c r="CN90" s="149">
        <f t="shared" si="237"/>
        <v>30.4</v>
      </c>
      <c r="CO90" s="379">
        <f t="shared" si="238"/>
        <v>64.400000000000006</v>
      </c>
      <c r="CP90" s="379"/>
      <c r="CQ90" s="188">
        <f t="shared" si="239"/>
        <v>0.47204968944099374</v>
      </c>
      <c r="CR90" s="149">
        <f t="shared" si="240"/>
        <v>244.918674788055</v>
      </c>
      <c r="CS90" s="149">
        <f t="shared" si="298"/>
        <v>102</v>
      </c>
      <c r="CT90" s="188">
        <f t="shared" si="241"/>
        <v>8.1639558262685004</v>
      </c>
      <c r="CU90" s="188">
        <f t="shared" si="242"/>
        <v>30</v>
      </c>
      <c r="CV90" s="188">
        <f t="shared" si="243"/>
        <v>8.1059037580776696</v>
      </c>
      <c r="CW90" s="149">
        <f t="shared" si="244"/>
        <v>117.63037609081105</v>
      </c>
      <c r="CX90" s="149">
        <f t="shared" si="245"/>
        <v>30</v>
      </c>
      <c r="CY90" s="188">
        <f t="shared" si="246"/>
        <v>12.710526315789474</v>
      </c>
      <c r="CZ90" s="188">
        <f t="shared" si="247"/>
        <v>1.7570433436532507</v>
      </c>
      <c r="DA90" s="188">
        <f t="shared" si="248"/>
        <v>1.9651142659279779</v>
      </c>
      <c r="DB90" s="172">
        <f t="shared" si="249"/>
        <v>350</v>
      </c>
      <c r="DC90" s="379">
        <f t="shared" si="299"/>
        <v>268.6613800087062</v>
      </c>
      <c r="DE90" s="188">
        <f t="shared" si="250"/>
        <v>9.7566501161056465</v>
      </c>
      <c r="DF90" s="150">
        <f t="shared" si="251"/>
        <v>1.5084294587400178</v>
      </c>
      <c r="DG90" s="150">
        <f t="shared" si="252"/>
        <v>2.5755132294067704</v>
      </c>
      <c r="DH90" s="150"/>
      <c r="DI90" s="150">
        <f t="shared" si="253"/>
        <v>0.93700159489633172</v>
      </c>
      <c r="DJ90" s="314">
        <f t="shared" si="300"/>
        <v>1197.4365957446807</v>
      </c>
      <c r="DK90" s="456">
        <f t="shared" si="254"/>
        <v>0.99378957034459414</v>
      </c>
      <c r="DM90" s="150">
        <f t="shared" si="255"/>
        <v>11.210069290394271</v>
      </c>
      <c r="DN90" s="150">
        <f t="shared" si="256"/>
        <v>12.710526315789474</v>
      </c>
      <c r="DO90" s="150">
        <f t="shared" si="257"/>
        <v>6.1258668556914175</v>
      </c>
      <c r="DQ90" s="314">
        <f t="shared" si="258"/>
        <v>3400</v>
      </c>
      <c r="DR90" s="144">
        <f t="shared" si="259"/>
        <v>268.6613800087062</v>
      </c>
      <c r="DT90">
        <f t="shared" si="260"/>
        <v>3400</v>
      </c>
      <c r="DU90">
        <f t="shared" si="261"/>
        <v>268.6613800087062</v>
      </c>
      <c r="DW90" s="5">
        <f t="shared" si="301"/>
        <v>3.7221576095812288</v>
      </c>
      <c r="DX90" s="5">
        <f t="shared" si="262"/>
        <v>1.7570433436532507</v>
      </c>
      <c r="DY90" s="5">
        <f t="shared" si="302"/>
        <v>1.9651142659279781</v>
      </c>
      <c r="DZ90" s="5">
        <f t="shared" si="263"/>
        <v>1.9651142659279779</v>
      </c>
      <c r="EA90" s="150">
        <f t="shared" si="303"/>
        <v>0.47204968944099374</v>
      </c>
      <c r="EB90" s="150">
        <f t="shared" si="264"/>
        <v>102</v>
      </c>
      <c r="EC90" s="150">
        <f t="shared" si="265"/>
        <v>3.3552631578947372</v>
      </c>
      <c r="ED90" s="150">
        <f t="shared" si="304"/>
        <v>30.4</v>
      </c>
      <c r="EE90" s="144">
        <f t="shared" si="266"/>
        <v>19.913157894736841</v>
      </c>
      <c r="EF90" s="5">
        <f t="shared" si="267"/>
        <v>3.4678487045787847</v>
      </c>
      <c r="EG90" s="5"/>
      <c r="EH90" s="150">
        <f t="shared" si="305"/>
        <v>5.0419294552362537</v>
      </c>
      <c r="EI90" s="150">
        <f t="shared" si="268"/>
        <v>5.3321140688486119</v>
      </c>
      <c r="EJ90" s="150"/>
      <c r="EK90" s="456">
        <f t="shared" si="269"/>
        <v>0.30505263157894735</v>
      </c>
      <c r="EL90" s="456">
        <f t="shared" si="270"/>
        <v>4.1783829787234046</v>
      </c>
      <c r="EM90" s="456">
        <f t="shared" si="271"/>
        <v>3.0896058701001216E-2</v>
      </c>
      <c r="EN90" s="456">
        <f t="shared" si="272"/>
        <v>0.57661685106382998</v>
      </c>
      <c r="EO90">
        <f t="shared" si="273"/>
        <v>1.5299999999999999E-2</v>
      </c>
      <c r="EP90" s="144">
        <f t="shared" si="306"/>
        <v>46.196058701001213</v>
      </c>
      <c r="EQ90" s="456">
        <f t="shared" si="274"/>
        <v>5.5940740437651106</v>
      </c>
      <c r="ER90" s="144">
        <f t="shared" si="307"/>
        <v>5594.0740437651102</v>
      </c>
      <c r="ES90" s="456">
        <f t="shared" si="308"/>
        <v>2.2800399999999996</v>
      </c>
      <c r="ET90" s="456"/>
      <c r="EV90" s="144">
        <f t="shared" si="309"/>
        <v>2280.0399999999995</v>
      </c>
      <c r="EW90" s="456">
        <f t="shared" si="275"/>
        <v>0.35589473684210526</v>
      </c>
      <c r="EX90" s="456">
        <f t="shared" si="276"/>
        <v>0.39804016620498622</v>
      </c>
      <c r="EY90" s="456">
        <f t="shared" si="277"/>
        <v>34.071554045454569</v>
      </c>
      <c r="EZ90" s="456">
        <f t="shared" si="278"/>
        <v>37.253362122003431</v>
      </c>
      <c r="FA90" s="456">
        <f t="shared" si="279"/>
        <v>4.3404255319148941</v>
      </c>
      <c r="FB90" s="144">
        <f t="shared" si="310"/>
        <v>41593.787653918327</v>
      </c>
      <c r="FC90" s="150">
        <f t="shared" si="311"/>
        <v>49.467901697683438</v>
      </c>
      <c r="FD90" s="5">
        <f t="shared" si="312"/>
        <v>102</v>
      </c>
      <c r="FE90" s="150">
        <f t="shared" si="313"/>
        <v>0.67341000209789004</v>
      </c>
      <c r="FF90" s="5">
        <f t="shared" si="314"/>
        <v>67.341000209789001</v>
      </c>
      <c r="FI90" s="59">
        <f t="shared" si="280"/>
        <v>-50</v>
      </c>
      <c r="FJ90">
        <f t="shared" si="281"/>
        <v>-50</v>
      </c>
      <c r="FL90">
        <f t="shared" si="282"/>
        <v>0.52795031055900621</v>
      </c>
    </row>
    <row r="91" spans="5:168">
      <c r="E91" s="147">
        <v>86</v>
      </c>
      <c r="F91" s="188">
        <f t="shared" si="283"/>
        <v>3.44</v>
      </c>
      <c r="G91" s="188"/>
      <c r="H91" s="188">
        <f t="shared" si="183"/>
        <v>103.2</v>
      </c>
      <c r="I91" s="465">
        <f t="shared" si="184"/>
        <v>33.826219903646354</v>
      </c>
      <c r="J91" s="149">
        <f t="shared" si="185"/>
        <v>30.493573898036576</v>
      </c>
      <c r="K91" s="149">
        <f t="shared" si="186"/>
        <v>64.493573898036573</v>
      </c>
      <c r="L91" s="379"/>
      <c r="M91" s="188">
        <f t="shared" si="187"/>
        <v>0.47407391240883801</v>
      </c>
      <c r="N91" s="149">
        <f t="shared" si="188"/>
        <v>244.71173313165147</v>
      </c>
      <c r="O91" s="149">
        <f t="shared" si="284"/>
        <v>103.2</v>
      </c>
      <c r="P91" s="188">
        <f t="shared" si="189"/>
        <v>8.1570577710550491</v>
      </c>
      <c r="Q91" s="188">
        <f t="shared" si="190"/>
        <v>30</v>
      </c>
      <c r="R91" s="188">
        <f t="shared" si="191"/>
        <v>8.0990547533956239</v>
      </c>
      <c r="S91" s="149">
        <f t="shared" si="192"/>
        <v>115.27867745033187</v>
      </c>
      <c r="T91" s="149">
        <f t="shared" si="193"/>
        <v>30</v>
      </c>
      <c r="U91" s="188">
        <f t="shared" si="194"/>
        <v>13.08168611964404</v>
      </c>
      <c r="V91" s="188">
        <f t="shared" si="195"/>
        <v>1.8176410174551967</v>
      </c>
      <c r="W91" s="188">
        <f t="shared" si="196"/>
        <v>2.016291201809107</v>
      </c>
      <c r="X91" s="172">
        <f t="shared" si="197"/>
        <v>350</v>
      </c>
      <c r="Y91" s="379">
        <f t="shared" si="198"/>
        <v>247.89707551962215</v>
      </c>
      <c r="AA91" s="188">
        <f t="shared" si="199"/>
        <v>9.7488019919397502</v>
      </c>
      <c r="AB91" s="150">
        <f t="shared" si="200"/>
        <v>1.5025909890171005</v>
      </c>
      <c r="AC91" s="150">
        <f t="shared" si="201"/>
        <v>2.5634808546901104</v>
      </c>
      <c r="AD91" s="150"/>
      <c r="AE91" s="150">
        <f t="shared" si="202"/>
        <v>0.93412627132835258</v>
      </c>
      <c r="AF91" s="314">
        <f t="shared" si="203"/>
        <v>1215.2532637645604</v>
      </c>
      <c r="AG91" s="456">
        <f t="shared" si="204"/>
        <v>0.99073998474219238</v>
      </c>
      <c r="AI91" s="150">
        <f t="shared" si="205"/>
        <v>11.293158711762297</v>
      </c>
      <c r="AJ91" s="150">
        <f t="shared" si="206"/>
        <v>13.08168611964404</v>
      </c>
      <c r="AK91" s="150">
        <f t="shared" si="207"/>
        <v>6.4008000437318371</v>
      </c>
      <c r="AM91" s="314">
        <f t="shared" si="208"/>
        <v>3440</v>
      </c>
      <c r="AN91" s="144">
        <f t="shared" si="209"/>
        <v>247.89707551962215</v>
      </c>
      <c r="AP91">
        <f t="shared" si="210"/>
        <v>3440</v>
      </c>
      <c r="AQ91">
        <f t="shared" si="211"/>
        <v>247.89707551962215</v>
      </c>
      <c r="AS91" s="5">
        <f t="shared" si="285"/>
        <v>4.0339322192643037</v>
      </c>
      <c r="AT91" s="5">
        <f t="shared" si="212"/>
        <v>1.8176410174551967</v>
      </c>
      <c r="AU91" s="5">
        <f t="shared" si="286"/>
        <v>2.2162912018091072</v>
      </c>
      <c r="AV91" s="5">
        <f t="shared" si="213"/>
        <v>2.016291201809107</v>
      </c>
      <c r="AW91" s="150">
        <f t="shared" si="287"/>
        <v>0.45058789257165371</v>
      </c>
      <c r="AX91" s="150">
        <f t="shared" si="214"/>
        <v>99.693470468284133</v>
      </c>
      <c r="AY91" s="150">
        <f t="shared" si="215"/>
        <v>3.5936183698548887</v>
      </c>
      <c r="AZ91" s="150">
        <f t="shared" si="288"/>
        <v>27.741807896064874</v>
      </c>
      <c r="BA91" s="144">
        <f t="shared" si="216"/>
        <v>20.842283666819586</v>
      </c>
      <c r="BB91" s="5">
        <f t="shared" si="217"/>
        <v>3.9774445190779089</v>
      </c>
      <c r="BC91" s="5"/>
      <c r="BD91" s="150">
        <f t="shared" si="289"/>
        <v>5.069823686494777</v>
      </c>
      <c r="BE91" s="150">
        <f t="shared" si="218"/>
        <v>5.598248985068369</v>
      </c>
      <c r="BF91" s="150"/>
      <c r="BG91" s="456">
        <f t="shared" si="219"/>
        <v>0.30843734654572191</v>
      </c>
      <c r="BH91" s="456">
        <f t="shared" si="220"/>
        <v>3.8169321555562554</v>
      </c>
      <c r="BI91" s="456">
        <f t="shared" si="221"/>
        <v>2.850816368475655E-2</v>
      </c>
      <c r="BJ91" s="456">
        <f t="shared" si="222"/>
        <v>0.53359855566953351</v>
      </c>
      <c r="BK91">
        <f t="shared" si="223"/>
        <v>1.5221798956640858E-2</v>
      </c>
      <c r="BL91" s="144">
        <f t="shared" si="290"/>
        <v>43.729962641397407</v>
      </c>
      <c r="BM91" s="456">
        <f t="shared" si="224"/>
        <v>5.1172633176800169</v>
      </c>
      <c r="BN91" s="144">
        <f t="shared" si="291"/>
        <v>5117.2633176800173</v>
      </c>
      <c r="BO91" s="456">
        <f t="shared" si="225"/>
        <v>2.306864</v>
      </c>
      <c r="BP91" s="456"/>
      <c r="BR91" s="144">
        <f t="shared" si="292"/>
        <v>2306.864</v>
      </c>
      <c r="BS91" s="456">
        <f t="shared" si="226"/>
        <v>0.35984357097000891</v>
      </c>
      <c r="BT91" s="456">
        <f t="shared" si="227"/>
        <v>0.4387654837834663</v>
      </c>
      <c r="BU91" s="456">
        <f t="shared" si="228"/>
        <v>29.943862786255263</v>
      </c>
      <c r="BV91" s="456">
        <f t="shared" si="229"/>
        <v>33.0453641781749</v>
      </c>
      <c r="BW91" s="456">
        <f t="shared" si="230"/>
        <v>4.2422753390759214</v>
      </c>
      <c r="BX91" s="144">
        <f t="shared" si="293"/>
        <v>37287.639517250827</v>
      </c>
      <c r="BY91" s="150">
        <f t="shared" si="231"/>
        <v>44.755496797572235</v>
      </c>
      <c r="BZ91" s="5">
        <f t="shared" si="294"/>
        <v>103.2</v>
      </c>
      <c r="CA91" s="150">
        <f t="shared" si="295"/>
        <v>0.69750703578924678</v>
      </c>
      <c r="CB91" s="5">
        <f t="shared" si="296"/>
        <v>69.750703578924671</v>
      </c>
      <c r="CE91" s="59">
        <f t="shared" si="232"/>
        <v>-50</v>
      </c>
      <c r="CF91">
        <f t="shared" si="233"/>
        <v>-50</v>
      </c>
      <c r="CG91" s="150">
        <f t="shared" si="234"/>
        <v>0.51467344003532012</v>
      </c>
      <c r="CI91" s="147">
        <v>86</v>
      </c>
      <c r="CJ91" s="188">
        <f t="shared" si="297"/>
        <v>3.44</v>
      </c>
      <c r="CK91" s="188"/>
      <c r="CL91" s="188">
        <f t="shared" si="235"/>
        <v>103.2</v>
      </c>
      <c r="CM91" s="465">
        <f t="shared" si="236"/>
        <v>34</v>
      </c>
      <c r="CN91" s="149">
        <f t="shared" si="237"/>
        <v>30.4</v>
      </c>
      <c r="CO91" s="379">
        <f t="shared" si="238"/>
        <v>64.400000000000006</v>
      </c>
      <c r="CP91" s="379"/>
      <c r="CQ91" s="188">
        <f t="shared" si="239"/>
        <v>0.47204968944099374</v>
      </c>
      <c r="CR91" s="149">
        <f t="shared" si="240"/>
        <v>244.918674788055</v>
      </c>
      <c r="CS91" s="149">
        <f t="shared" si="298"/>
        <v>103.2</v>
      </c>
      <c r="CT91" s="188">
        <f t="shared" si="241"/>
        <v>8.1639558262685004</v>
      </c>
      <c r="CU91" s="188">
        <f t="shared" si="242"/>
        <v>30</v>
      </c>
      <c r="CV91" s="188">
        <f t="shared" si="243"/>
        <v>8.1059037580776696</v>
      </c>
      <c r="CW91" s="149">
        <f t="shared" si="244"/>
        <v>115.87031623322383</v>
      </c>
      <c r="CX91" s="149">
        <f t="shared" si="245"/>
        <v>30</v>
      </c>
      <c r="CY91" s="188">
        <f t="shared" si="246"/>
        <v>12.860061919504645</v>
      </c>
      <c r="CZ91" s="188">
        <f t="shared" si="247"/>
        <v>1.7777144418138775</v>
      </c>
      <c r="DA91" s="188">
        <f t="shared" si="248"/>
        <v>1.9882332572918364</v>
      </c>
      <c r="DB91" s="172">
        <f t="shared" si="249"/>
        <v>350</v>
      </c>
      <c r="DC91" s="379">
        <f t="shared" si="299"/>
        <v>265.53741047372125</v>
      </c>
      <c r="DE91" s="188">
        <f t="shared" si="250"/>
        <v>9.7566501161056465</v>
      </c>
      <c r="DF91" s="150">
        <f t="shared" si="251"/>
        <v>1.5084294587400178</v>
      </c>
      <c r="DG91" s="150">
        <f t="shared" si="252"/>
        <v>2.5755132294067704</v>
      </c>
      <c r="DH91" s="150"/>
      <c r="DI91" s="150">
        <f t="shared" si="253"/>
        <v>0.93700159489633172</v>
      </c>
      <c r="DJ91" s="314">
        <f t="shared" si="300"/>
        <v>1211.5240851063832</v>
      </c>
      <c r="DK91" s="456">
        <f t="shared" si="254"/>
        <v>0.99378957034459414</v>
      </c>
      <c r="DM91" s="150">
        <f t="shared" si="255"/>
        <v>11.275818061157615</v>
      </c>
      <c r="DN91" s="150">
        <f t="shared" si="256"/>
        <v>12.860061919504645</v>
      </c>
      <c r="DO91" s="150">
        <f t="shared" si="257"/>
        <v>6.2366339695545072</v>
      </c>
      <c r="DQ91" s="314">
        <f t="shared" si="258"/>
        <v>3440</v>
      </c>
      <c r="DR91" s="144">
        <f t="shared" si="259"/>
        <v>265.53741047372125</v>
      </c>
      <c r="DT91">
        <f t="shared" si="260"/>
        <v>3440</v>
      </c>
      <c r="DU91">
        <f t="shared" si="261"/>
        <v>265.53741047372125</v>
      </c>
      <c r="DW91" s="5">
        <f t="shared" si="301"/>
        <v>3.7659476991057139</v>
      </c>
      <c r="DX91" s="5">
        <f t="shared" si="262"/>
        <v>1.7777144418138775</v>
      </c>
      <c r="DY91" s="5">
        <f t="shared" si="302"/>
        <v>1.9882332572918364</v>
      </c>
      <c r="DZ91" s="5">
        <f t="shared" si="263"/>
        <v>1.9882332572918364</v>
      </c>
      <c r="EA91" s="150">
        <f t="shared" si="303"/>
        <v>0.47204968944099385</v>
      </c>
      <c r="EB91" s="150">
        <f t="shared" si="264"/>
        <v>103.2</v>
      </c>
      <c r="EC91" s="150">
        <f t="shared" si="265"/>
        <v>3.3947368421052633</v>
      </c>
      <c r="ED91" s="150">
        <f t="shared" si="304"/>
        <v>30.4</v>
      </c>
      <c r="EE91" s="144">
        <f t="shared" si="266"/>
        <v>20.384458932799127</v>
      </c>
      <c r="EF91" s="5">
        <f t="shared" si="267"/>
        <v>3.549925123745977</v>
      </c>
      <c r="EG91" s="5"/>
      <c r="EH91" s="150">
        <f t="shared" si="305"/>
        <v>5.1012462723566818</v>
      </c>
      <c r="EI91" s="150">
        <f t="shared" si="268"/>
        <v>5.3948448225997723</v>
      </c>
      <c r="EJ91" s="150"/>
      <c r="EK91" s="456">
        <f t="shared" si="269"/>
        <v>0.31227256237479528</v>
      </c>
      <c r="EL91" s="456">
        <f t="shared" si="270"/>
        <v>4.1783829787234055</v>
      </c>
      <c r="EM91" s="456">
        <f t="shared" si="271"/>
        <v>3.053680220447795E-2</v>
      </c>
      <c r="EN91" s="456">
        <f t="shared" si="272"/>
        <v>0.56991200395843655</v>
      </c>
      <c r="EO91">
        <f t="shared" si="273"/>
        <v>1.5299999999999999E-2</v>
      </c>
      <c r="EP91" s="144">
        <f t="shared" si="306"/>
        <v>45.836802204477948</v>
      </c>
      <c r="EQ91" s="456">
        <f t="shared" si="274"/>
        <v>5.6067134290116343</v>
      </c>
      <c r="ER91" s="144">
        <f t="shared" si="307"/>
        <v>5606.7134290116346</v>
      </c>
      <c r="ES91" s="456">
        <f t="shared" si="308"/>
        <v>2.306864</v>
      </c>
      <c r="ET91" s="456"/>
      <c r="EV91" s="144">
        <f t="shared" si="309"/>
        <v>2306.864</v>
      </c>
      <c r="EW91" s="456">
        <f t="shared" si="275"/>
        <v>0.36431798943726118</v>
      </c>
      <c r="EX91" s="456">
        <f t="shared" si="276"/>
        <v>0.40746090923904199</v>
      </c>
      <c r="EY91" s="456">
        <f t="shared" si="277"/>
        <v>34.071554045454661</v>
      </c>
      <c r="EZ91" s="456">
        <f t="shared" si="278"/>
        <v>37.333624145971086</v>
      </c>
      <c r="FA91" s="456">
        <f t="shared" si="279"/>
        <v>4.3914893617021287</v>
      </c>
      <c r="FB91" s="144">
        <f t="shared" si="310"/>
        <v>41725.113507673217</v>
      </c>
      <c r="FC91" s="150">
        <f t="shared" si="311"/>
        <v>49.638690936684846</v>
      </c>
      <c r="FD91" s="5">
        <f t="shared" si="312"/>
        <v>103.2</v>
      </c>
      <c r="FE91" s="150">
        <f t="shared" si="313"/>
        <v>0.67522169528886999</v>
      </c>
      <c r="FF91" s="5">
        <f t="shared" si="314"/>
        <v>67.522169528887005</v>
      </c>
      <c r="FI91" s="59">
        <f t="shared" si="280"/>
        <v>-50</v>
      </c>
      <c r="FJ91">
        <f t="shared" si="281"/>
        <v>-50</v>
      </c>
      <c r="FL91">
        <f t="shared" si="282"/>
        <v>0.52795031055900621</v>
      </c>
    </row>
    <row r="92" spans="5:168">
      <c r="E92" s="147">
        <v>87</v>
      </c>
      <c r="F92" s="188">
        <f t="shared" si="283"/>
        <v>3.48</v>
      </c>
      <c r="G92" s="188"/>
      <c r="H92" s="188">
        <f t="shared" si="183"/>
        <v>104.4</v>
      </c>
      <c r="I92" s="465">
        <f t="shared" si="184"/>
        <v>33.82425131673746</v>
      </c>
      <c r="J92" s="149">
        <f t="shared" si="185"/>
        <v>30.494633906372137</v>
      </c>
      <c r="K92" s="149">
        <f t="shared" si="186"/>
        <v>64.494633906372144</v>
      </c>
      <c r="L92" s="379"/>
      <c r="M92" s="188">
        <f t="shared" si="187"/>
        <v>0.47409709631707042</v>
      </c>
      <c r="N92" s="149">
        <f t="shared" si="188"/>
        <v>244.70945820730449</v>
      </c>
      <c r="O92" s="149">
        <f t="shared" si="284"/>
        <v>104.4</v>
      </c>
      <c r="P92" s="188">
        <f t="shared" si="189"/>
        <v>8.1569819402434831</v>
      </c>
      <c r="Q92" s="188">
        <f t="shared" si="190"/>
        <v>30</v>
      </c>
      <c r="R92" s="188">
        <f t="shared" si="191"/>
        <v>8.0989794618000381</v>
      </c>
      <c r="S92" s="149">
        <f t="shared" si="192"/>
        <v>113.56132580560495</v>
      </c>
      <c r="T92" s="149">
        <f t="shared" si="193"/>
        <v>30</v>
      </c>
      <c r="U92" s="188">
        <f t="shared" si="194"/>
        <v>13.234382147842698</v>
      </c>
      <c r="V92" s="188">
        <f t="shared" si="195"/>
        <v>1.8389644611019398</v>
      </c>
      <c r="W92" s="188">
        <f t="shared" si="196"/>
        <v>2.0397554627426788</v>
      </c>
      <c r="X92" s="172">
        <f t="shared" si="197"/>
        <v>350</v>
      </c>
      <c r="Y92" s="379">
        <f t="shared" si="198"/>
        <v>245.17496142696547</v>
      </c>
      <c r="AA92" s="188">
        <f t="shared" si="199"/>
        <v>9.748711215252591</v>
      </c>
      <c r="AB92" s="150">
        <f t="shared" si="200"/>
        <v>1.5025247672218451</v>
      </c>
      <c r="AC92" s="150">
        <f t="shared" si="201"/>
        <v>2.5633440086468182</v>
      </c>
      <c r="AD92" s="150"/>
      <c r="AE92" s="150">
        <f t="shared" si="202"/>
        <v>0.93409380064393255</v>
      </c>
      <c r="AF92" s="314">
        <f t="shared" si="203"/>
        <v>1229.4268511452831</v>
      </c>
      <c r="AG92" s="456">
        <f t="shared" si="204"/>
        <v>0.99070554613750428</v>
      </c>
      <c r="AI92" s="150">
        <f t="shared" si="205"/>
        <v>11.358824267798026</v>
      </c>
      <c r="AJ92" s="150">
        <f t="shared" si="206"/>
        <v>13.234382147842698</v>
      </c>
      <c r="AK92" s="150">
        <f t="shared" si="207"/>
        <v>6.5139082127678796</v>
      </c>
      <c r="AM92" s="314">
        <f t="shared" si="208"/>
        <v>3480</v>
      </c>
      <c r="AN92" s="144">
        <f t="shared" si="209"/>
        <v>245.17496142696547</v>
      </c>
      <c r="AP92">
        <f t="shared" si="210"/>
        <v>3480</v>
      </c>
      <c r="AQ92">
        <f t="shared" si="211"/>
        <v>245.17496142696547</v>
      </c>
      <c r="AS92" s="5">
        <f t="shared" si="285"/>
        <v>4.078719923844619</v>
      </c>
      <c r="AT92" s="5">
        <f t="shared" si="212"/>
        <v>1.8389644611019398</v>
      </c>
      <c r="AU92" s="5">
        <f t="shared" si="286"/>
        <v>2.2397554627426794</v>
      </c>
      <c r="AV92" s="5">
        <f t="shared" si="213"/>
        <v>2.0397554627426788</v>
      </c>
      <c r="AW92" s="150">
        <f t="shared" si="287"/>
        <v>0.45086804081622844</v>
      </c>
      <c r="AX92" s="150">
        <f t="shared" si="214"/>
        <v>100.91397647980627</v>
      </c>
      <c r="AY92" s="150">
        <f t="shared" si="215"/>
        <v>3.6337110987157959</v>
      </c>
      <c r="AZ92" s="150">
        <f t="shared" si="288"/>
        <v>27.771601467015547</v>
      </c>
      <c r="BA92" s="144">
        <f t="shared" si="216"/>
        <v>21.331987748782502</v>
      </c>
      <c r="BB92" s="5">
        <f t="shared" si="217"/>
        <v>4.0665300818825418</v>
      </c>
      <c r="BC92" s="5"/>
      <c r="BD92" s="150">
        <f t="shared" si="289"/>
        <v>5.1305954249844179</v>
      </c>
      <c r="BE92" s="150">
        <f t="shared" si="218"/>
        <v>5.6621504333755386</v>
      </c>
      <c r="BF92" s="150"/>
      <c r="BG92" s="456">
        <f t="shared" si="219"/>
        <v>0.31587611297845253</v>
      </c>
      <c r="BH92" s="456">
        <f t="shared" si="220"/>
        <v>3.8191457902448791</v>
      </c>
      <c r="BI92" s="456">
        <f t="shared" si="221"/>
        <v>2.819512056410103E-2</v>
      </c>
      <c r="BJ92" s="456">
        <f t="shared" si="222"/>
        <v>0.52775655183428427</v>
      </c>
      <c r="BK92">
        <f t="shared" si="223"/>
        <v>1.5220913092531856E-2</v>
      </c>
      <c r="BL92" s="144">
        <f t="shared" si="290"/>
        <v>43.416033656632884</v>
      </c>
      <c r="BM92" s="456">
        <f t="shared" si="224"/>
        <v>5.1333327383873746</v>
      </c>
      <c r="BN92" s="144">
        <f t="shared" si="291"/>
        <v>5133.3327383873748</v>
      </c>
      <c r="BO92" s="456">
        <f t="shared" si="225"/>
        <v>2.333688</v>
      </c>
      <c r="BP92" s="456"/>
      <c r="BR92" s="144">
        <f t="shared" si="292"/>
        <v>2333.6880000000001</v>
      </c>
      <c r="BS92" s="456">
        <f t="shared" si="226"/>
        <v>0.3685221318081946</v>
      </c>
      <c r="BT92" s="456">
        <f t="shared" si="227"/>
        <v>0.44883926542244723</v>
      </c>
      <c r="BU92" s="456">
        <f t="shared" si="228"/>
        <v>29.986064492636601</v>
      </c>
      <c r="BV92" s="456">
        <f t="shared" si="229"/>
        <v>33.168440879715064</v>
      </c>
      <c r="BW92" s="456">
        <f t="shared" si="230"/>
        <v>4.2942117650981393</v>
      </c>
      <c r="BX92" s="144">
        <f t="shared" si="293"/>
        <v>37462.652644813206</v>
      </c>
      <c r="BY92" s="150">
        <f t="shared" si="231"/>
        <v>44.973089416857214</v>
      </c>
      <c r="BZ92" s="5">
        <f t="shared" si="294"/>
        <v>104.4</v>
      </c>
      <c r="CA92" s="150">
        <f t="shared" si="295"/>
        <v>0.69892107345152177</v>
      </c>
      <c r="CB92" s="5">
        <f t="shared" si="296"/>
        <v>69.892107345152183</v>
      </c>
      <c r="CE92" s="59">
        <f t="shared" si="232"/>
        <v>-50</v>
      </c>
      <c r="CF92">
        <f t="shared" si="233"/>
        <v>-50</v>
      </c>
      <c r="CG92" s="150">
        <f t="shared" si="234"/>
        <v>0.51482604774248897</v>
      </c>
      <c r="CI92" s="147">
        <v>87</v>
      </c>
      <c r="CJ92" s="188">
        <f t="shared" si="297"/>
        <v>3.48</v>
      </c>
      <c r="CK92" s="188"/>
      <c r="CL92" s="188">
        <f t="shared" si="235"/>
        <v>104.4</v>
      </c>
      <c r="CM92" s="465">
        <f t="shared" si="236"/>
        <v>34</v>
      </c>
      <c r="CN92" s="149">
        <f t="shared" si="237"/>
        <v>30.4</v>
      </c>
      <c r="CO92" s="379">
        <f t="shared" si="238"/>
        <v>64.400000000000006</v>
      </c>
      <c r="CP92" s="379"/>
      <c r="CQ92" s="188">
        <f t="shared" si="239"/>
        <v>0.47204968944099374</v>
      </c>
      <c r="CR92" s="149">
        <f t="shared" si="240"/>
        <v>244.918674788055</v>
      </c>
      <c r="CS92" s="149">
        <f t="shared" si="298"/>
        <v>104.4</v>
      </c>
      <c r="CT92" s="188">
        <f t="shared" si="241"/>
        <v>8.1639558262685004</v>
      </c>
      <c r="CU92" s="188">
        <f t="shared" si="242"/>
        <v>30</v>
      </c>
      <c r="CV92" s="188">
        <f t="shared" si="243"/>
        <v>8.1059037580776696</v>
      </c>
      <c r="CW92" s="149">
        <f t="shared" si="244"/>
        <v>114.15076923390382</v>
      </c>
      <c r="CX92" s="149">
        <f t="shared" si="245"/>
        <v>30</v>
      </c>
      <c r="CY92" s="188">
        <f t="shared" si="246"/>
        <v>13.009597523219815</v>
      </c>
      <c r="CZ92" s="188">
        <f t="shared" si="247"/>
        <v>1.7983855399745039</v>
      </c>
      <c r="DA92" s="188">
        <f t="shared" si="248"/>
        <v>2.0113522486556952</v>
      </c>
      <c r="DB92" s="172">
        <f t="shared" si="249"/>
        <v>350</v>
      </c>
      <c r="DC92" s="379">
        <f t="shared" si="299"/>
        <v>262.48525633034512</v>
      </c>
      <c r="DE92" s="188">
        <f t="shared" si="250"/>
        <v>9.7566501161056465</v>
      </c>
      <c r="DF92" s="150">
        <f t="shared" si="251"/>
        <v>1.5084294587400178</v>
      </c>
      <c r="DG92" s="150">
        <f t="shared" si="252"/>
        <v>2.5755132294067704</v>
      </c>
      <c r="DH92" s="150"/>
      <c r="DI92" s="150">
        <f t="shared" si="253"/>
        <v>0.93700159489633172</v>
      </c>
      <c r="DJ92" s="314">
        <f t="shared" si="300"/>
        <v>1225.6115744680851</v>
      </c>
      <c r="DK92" s="456">
        <f t="shared" si="254"/>
        <v>0.99378957034459414</v>
      </c>
      <c r="DM92" s="150">
        <f t="shared" si="255"/>
        <v>11.34118566999129</v>
      </c>
      <c r="DN92" s="150">
        <f t="shared" si="256"/>
        <v>13.009597523219815</v>
      </c>
      <c r="DO92" s="150">
        <f t="shared" si="257"/>
        <v>6.347401083417596</v>
      </c>
      <c r="DQ92" s="314">
        <f t="shared" si="258"/>
        <v>3480</v>
      </c>
      <c r="DR92" s="144">
        <f t="shared" si="259"/>
        <v>262.48525633034512</v>
      </c>
      <c r="DT92">
        <f t="shared" si="260"/>
        <v>3480</v>
      </c>
      <c r="DU92">
        <f t="shared" si="261"/>
        <v>262.48525633034512</v>
      </c>
      <c r="DW92" s="5">
        <f t="shared" si="301"/>
        <v>3.8097377886301991</v>
      </c>
      <c r="DX92" s="5">
        <f t="shared" si="262"/>
        <v>1.7983855399745039</v>
      </c>
      <c r="DY92" s="5">
        <f t="shared" si="302"/>
        <v>2.0113522486556952</v>
      </c>
      <c r="DZ92" s="5">
        <f t="shared" si="263"/>
        <v>2.0113522486556952</v>
      </c>
      <c r="EA92" s="150">
        <f t="shared" si="303"/>
        <v>0.47204968944099379</v>
      </c>
      <c r="EB92" s="150">
        <f t="shared" si="264"/>
        <v>104.39999999999999</v>
      </c>
      <c r="EC92" s="150">
        <f t="shared" si="265"/>
        <v>3.4342105263157898</v>
      </c>
      <c r="ED92" s="150">
        <f t="shared" si="304"/>
        <v>30.399999999999995</v>
      </c>
      <c r="EE92" s="144">
        <f t="shared" si="266"/>
        <v>20.861272263704247</v>
      </c>
      <c r="EF92" s="5">
        <f t="shared" si="267"/>
        <v>3.6329615010320859</v>
      </c>
      <c r="EG92" s="5"/>
      <c r="EH92" s="150">
        <f t="shared" si="305"/>
        <v>5.1605630894771073</v>
      </c>
      <c r="EI92" s="150">
        <f t="shared" si="268"/>
        <v>5.4575755763509326</v>
      </c>
      <c r="EJ92" s="150"/>
      <c r="EK92" s="456">
        <f t="shared" si="269"/>
        <v>0.31957693680568211</v>
      </c>
      <c r="EL92" s="456">
        <f t="shared" si="270"/>
        <v>4.1783829787234046</v>
      </c>
      <c r="EM92" s="456">
        <f t="shared" si="271"/>
        <v>3.0185804477989693E-2</v>
      </c>
      <c r="EN92" s="456">
        <f t="shared" si="272"/>
        <v>0.56336129126925916</v>
      </c>
      <c r="EO92">
        <f t="shared" si="273"/>
        <v>1.5299999999999999E-2</v>
      </c>
      <c r="EP92" s="144">
        <f t="shared" si="306"/>
        <v>45.485804477989696</v>
      </c>
      <c r="EQ92" s="456">
        <f t="shared" si="274"/>
        <v>5.6198135450536757</v>
      </c>
      <c r="ER92" s="144">
        <f t="shared" si="307"/>
        <v>5619.8135450536756</v>
      </c>
      <c r="ES92" s="456">
        <f t="shared" si="308"/>
        <v>2.333688</v>
      </c>
      <c r="ET92" s="456"/>
      <c r="EV92" s="144">
        <f t="shared" si="309"/>
        <v>2333.6880000000001</v>
      </c>
      <c r="EW92" s="456">
        <f t="shared" si="275"/>
        <v>0.37283975960662913</v>
      </c>
      <c r="EX92" s="456">
        <f t="shared" si="276"/>
        <v>0.41699183640215104</v>
      </c>
      <c r="EY92" s="456">
        <f t="shared" si="277"/>
        <v>34.071554045454576</v>
      </c>
      <c r="EZ92" s="456">
        <f t="shared" si="278"/>
        <v>37.415073822250626</v>
      </c>
      <c r="FA92" s="456">
        <f t="shared" si="279"/>
        <v>4.4425531914893615</v>
      </c>
      <c r="FB92" s="144">
        <f t="shared" si="310"/>
        <v>41857.627013739984</v>
      </c>
      <c r="FC92" s="150">
        <f t="shared" si="311"/>
        <v>49.811128558793662</v>
      </c>
      <c r="FD92" s="5">
        <f t="shared" si="312"/>
        <v>104.4</v>
      </c>
      <c r="FE92" s="150">
        <f t="shared" si="313"/>
        <v>0.67699394314591932</v>
      </c>
      <c r="FF92" s="5">
        <f t="shared" si="314"/>
        <v>67.699394314591927</v>
      </c>
      <c r="FI92" s="59">
        <f t="shared" si="280"/>
        <v>-50</v>
      </c>
      <c r="FJ92">
        <f t="shared" si="281"/>
        <v>-50</v>
      </c>
      <c r="FL92">
        <f t="shared" si="282"/>
        <v>0.52795031055900621</v>
      </c>
    </row>
    <row r="93" spans="5:168">
      <c r="E93" s="147">
        <v>88</v>
      </c>
      <c r="F93" s="188">
        <f t="shared" si="283"/>
        <v>3.52</v>
      </c>
      <c r="G93" s="188"/>
      <c r="H93" s="188">
        <f t="shared" si="183"/>
        <v>105.6</v>
      </c>
      <c r="I93" s="465">
        <f t="shared" si="184"/>
        <v>33.822282699644845</v>
      </c>
      <c r="J93" s="149">
        <f t="shared" si="185"/>
        <v>30.495693930960464</v>
      </c>
      <c r="K93" s="149">
        <f t="shared" si="186"/>
        <v>64.495693930960471</v>
      </c>
      <c r="L93" s="379"/>
      <c r="M93" s="188">
        <f t="shared" si="187"/>
        <v>0.47412028110233972</v>
      </c>
      <c r="N93" s="149">
        <f t="shared" si="188"/>
        <v>244.70718212431871</v>
      </c>
      <c r="O93" s="149">
        <f t="shared" si="284"/>
        <v>105.6</v>
      </c>
      <c r="P93" s="188">
        <f t="shared" si="189"/>
        <v>8.1569060708106242</v>
      </c>
      <c r="Q93" s="188">
        <f t="shared" si="190"/>
        <v>30</v>
      </c>
      <c r="R93" s="188">
        <f t="shared" si="191"/>
        <v>8.0989041318577861</v>
      </c>
      <c r="S93" s="149">
        <f t="shared" si="192"/>
        <v>111.88310114814655</v>
      </c>
      <c r="T93" s="149">
        <f t="shared" si="193"/>
        <v>30</v>
      </c>
      <c r="U93" s="188">
        <f t="shared" si="194"/>
        <v>13.387091661867327</v>
      </c>
      <c r="V93" s="188">
        <f t="shared" si="195"/>
        <v>1.8602922626342169</v>
      </c>
      <c r="W93" s="188">
        <f t="shared" si="196"/>
        <v>2.0632201698121775</v>
      </c>
      <c r="X93" s="172">
        <f t="shared" si="197"/>
        <v>350</v>
      </c>
      <c r="Y93" s="379">
        <f t="shared" si="198"/>
        <v>242.51169758368374</v>
      </c>
      <c r="AA93" s="188">
        <f t="shared" si="199"/>
        <v>9.7486203951625985</v>
      </c>
      <c r="AB93" s="150">
        <f t="shared" si="200"/>
        <v>1.5024585425402437</v>
      </c>
      <c r="AC93" s="150">
        <f t="shared" si="201"/>
        <v>2.5632071483714665</v>
      </c>
      <c r="AD93" s="150"/>
      <c r="AE93" s="150">
        <f t="shared" si="202"/>
        <v>0.93406133171901728</v>
      </c>
      <c r="AF93" s="314">
        <f t="shared" si="203"/>
        <v>1243.6014216135334</v>
      </c>
      <c r="AG93" s="456">
        <f t="shared" si="204"/>
        <v>0.99067110939895764</v>
      </c>
      <c r="AI93" s="150">
        <f t="shared" si="205"/>
        <v>11.424116901321199</v>
      </c>
      <c r="AJ93" s="150">
        <f t="shared" si="206"/>
        <v>13.387091661867327</v>
      </c>
      <c r="AK93" s="150">
        <f t="shared" si="207"/>
        <v>6.627026371304642</v>
      </c>
      <c r="AM93" s="314">
        <f t="shared" si="208"/>
        <v>3520</v>
      </c>
      <c r="AN93" s="144">
        <f t="shared" si="209"/>
        <v>242.51169758368374</v>
      </c>
      <c r="AP93">
        <f t="shared" si="210"/>
        <v>3520</v>
      </c>
      <c r="AQ93">
        <f t="shared" si="211"/>
        <v>242.51169758368374</v>
      </c>
      <c r="AS93" s="5">
        <f t="shared" si="285"/>
        <v>4.1235124324463941</v>
      </c>
      <c r="AT93" s="5">
        <f t="shared" si="212"/>
        <v>1.8602922626342169</v>
      </c>
      <c r="AU93" s="5">
        <f t="shared" si="286"/>
        <v>2.2632201698121772</v>
      </c>
      <c r="AV93" s="5">
        <f t="shared" si="213"/>
        <v>2.0632201698121775</v>
      </c>
      <c r="AW93" s="150">
        <f t="shared" si="287"/>
        <v>0.45114263461321596</v>
      </c>
      <c r="AX93" s="150">
        <f t="shared" si="214"/>
        <v>102.13463190257609</v>
      </c>
      <c r="AY93" s="150">
        <f t="shared" si="215"/>
        <v>3.6738019298619431</v>
      </c>
      <c r="AZ93" s="150">
        <f t="shared" si="288"/>
        <v>27.800799785200773</v>
      </c>
      <c r="BA93" s="144">
        <f t="shared" si="216"/>
        <v>21.827429214908147</v>
      </c>
      <c r="BB93" s="5">
        <f t="shared" si="217"/>
        <v>4.1566062519570774</v>
      </c>
      <c r="BC93" s="5"/>
      <c r="BD93" s="150">
        <f t="shared" si="289"/>
        <v>5.1913767216421469</v>
      </c>
      <c r="BE93" s="150">
        <f t="shared" si="218"/>
        <v>5.7260529269068012</v>
      </c>
      <c r="BF93" s="150"/>
      <c r="BG93" s="456">
        <f t="shared" si="219"/>
        <v>0.32340470719209563</v>
      </c>
      <c r="BH93" s="456">
        <f t="shared" si="220"/>
        <v>3.8213121691390386</v>
      </c>
      <c r="BI93" s="456">
        <f t="shared" si="221"/>
        <v>2.7888845222123631E-2</v>
      </c>
      <c r="BJ93" s="456">
        <f t="shared" si="222"/>
        <v>0.52204084684051277</v>
      </c>
      <c r="BK93">
        <f t="shared" si="223"/>
        <v>1.5220027214840179E-2</v>
      </c>
      <c r="BL93" s="144">
        <f t="shared" si="290"/>
        <v>43.108872436963814</v>
      </c>
      <c r="BM93" s="456">
        <f t="shared" si="224"/>
        <v>5.1497919426996841</v>
      </c>
      <c r="BN93" s="144">
        <f t="shared" si="291"/>
        <v>5149.7919426996841</v>
      </c>
      <c r="BO93" s="456">
        <f t="shared" si="225"/>
        <v>2.3605119999999999</v>
      </c>
      <c r="BP93" s="456"/>
      <c r="BR93" s="144">
        <f t="shared" si="292"/>
        <v>2360.5119999999997</v>
      </c>
      <c r="BS93" s="456">
        <f t="shared" si="226"/>
        <v>0.37730549172411154</v>
      </c>
      <c r="BT93" s="456">
        <f t="shared" si="227"/>
        <v>0.45902754970433124</v>
      </c>
      <c r="BU93" s="456">
        <f t="shared" si="228"/>
        <v>30.027372124229878</v>
      </c>
      <c r="BV93" s="456">
        <f t="shared" si="229"/>
        <v>33.291872536676912</v>
      </c>
      <c r="BW93" s="456">
        <f t="shared" si="230"/>
        <v>4.3461545490457913</v>
      </c>
      <c r="BX93" s="144">
        <f t="shared" si="293"/>
        <v>37638.027085722708</v>
      </c>
      <c r="BY93" s="150">
        <f t="shared" si="231"/>
        <v>45.191439900859351</v>
      </c>
      <c r="BZ93" s="5">
        <f t="shared" si="294"/>
        <v>105.6</v>
      </c>
      <c r="CA93" s="150">
        <f t="shared" si="295"/>
        <v>0.70030500451105637</v>
      </c>
      <c r="CB93" s="5">
        <f t="shared" si="296"/>
        <v>70.030500451105638</v>
      </c>
      <c r="CE93" s="59">
        <f t="shared" si="232"/>
        <v>-50</v>
      </c>
      <c r="CF93">
        <f t="shared" si="233"/>
        <v>-50</v>
      </c>
      <c r="CG93" s="150">
        <f t="shared" si="234"/>
        <v>0.51497518709267665</v>
      </c>
      <c r="CI93" s="147">
        <v>88</v>
      </c>
      <c r="CJ93" s="188">
        <f t="shared" si="297"/>
        <v>3.52</v>
      </c>
      <c r="CK93" s="188"/>
      <c r="CL93" s="188">
        <f t="shared" si="235"/>
        <v>105.6</v>
      </c>
      <c r="CM93" s="465">
        <f t="shared" si="236"/>
        <v>34</v>
      </c>
      <c r="CN93" s="149">
        <f t="shared" si="237"/>
        <v>30.4</v>
      </c>
      <c r="CO93" s="379">
        <f t="shared" si="238"/>
        <v>64.400000000000006</v>
      </c>
      <c r="CP93" s="379"/>
      <c r="CQ93" s="188">
        <f t="shared" si="239"/>
        <v>0.47204968944099374</v>
      </c>
      <c r="CR93" s="149">
        <f t="shared" si="240"/>
        <v>244.918674788055</v>
      </c>
      <c r="CS93" s="149">
        <f t="shared" si="298"/>
        <v>105.6</v>
      </c>
      <c r="CT93" s="188">
        <f t="shared" si="241"/>
        <v>8.1639558262685004</v>
      </c>
      <c r="CU93" s="188">
        <f t="shared" si="242"/>
        <v>30</v>
      </c>
      <c r="CV93" s="188">
        <f t="shared" si="243"/>
        <v>8.1059037580776696</v>
      </c>
      <c r="CW93" s="149">
        <f t="shared" si="244"/>
        <v>112.47035448264057</v>
      </c>
      <c r="CX93" s="149">
        <f t="shared" si="245"/>
        <v>30</v>
      </c>
      <c r="CY93" s="188">
        <f t="shared" si="246"/>
        <v>13.159133126934984</v>
      </c>
      <c r="CZ93" s="188">
        <f t="shared" si="247"/>
        <v>1.8190566381351303</v>
      </c>
      <c r="DA93" s="188">
        <f t="shared" si="248"/>
        <v>2.0344712400195539</v>
      </c>
      <c r="DB93" s="172">
        <f t="shared" si="249"/>
        <v>350</v>
      </c>
      <c r="DC93" s="379">
        <f t="shared" si="299"/>
        <v>259.50246932659121</v>
      </c>
      <c r="DE93" s="188">
        <f t="shared" si="250"/>
        <v>9.7566501161056465</v>
      </c>
      <c r="DF93" s="150">
        <f t="shared" si="251"/>
        <v>1.5084294587400178</v>
      </c>
      <c r="DG93" s="150">
        <f t="shared" si="252"/>
        <v>2.5755132294067704</v>
      </c>
      <c r="DH93" s="150"/>
      <c r="DI93" s="150">
        <f t="shared" si="253"/>
        <v>0.93700159489633172</v>
      </c>
      <c r="DJ93" s="314">
        <f t="shared" si="300"/>
        <v>1239.6990638297873</v>
      </c>
      <c r="DK93" s="456">
        <f t="shared" si="254"/>
        <v>0.99378957034459414</v>
      </c>
      <c r="DM93" s="150">
        <f t="shared" si="255"/>
        <v>11.406178670093825</v>
      </c>
      <c r="DN93" s="150">
        <f t="shared" si="256"/>
        <v>13.159133126934984</v>
      </c>
      <c r="DO93" s="150">
        <f t="shared" si="257"/>
        <v>6.4581681972806839</v>
      </c>
      <c r="DQ93" s="314">
        <f t="shared" si="258"/>
        <v>3520</v>
      </c>
      <c r="DR93" s="144">
        <f t="shared" si="259"/>
        <v>259.50246932659121</v>
      </c>
      <c r="DT93">
        <f t="shared" si="260"/>
        <v>3520</v>
      </c>
      <c r="DU93">
        <f t="shared" si="261"/>
        <v>259.50246932659121</v>
      </c>
      <c r="DW93" s="5">
        <f t="shared" si="301"/>
        <v>3.8535278781546842</v>
      </c>
      <c r="DX93" s="5">
        <f t="shared" si="262"/>
        <v>1.8190566381351303</v>
      </c>
      <c r="DY93" s="5">
        <f t="shared" si="302"/>
        <v>2.0344712400195539</v>
      </c>
      <c r="DZ93" s="5">
        <f t="shared" si="263"/>
        <v>2.0344712400195539</v>
      </c>
      <c r="EA93" s="150">
        <f t="shared" si="303"/>
        <v>0.47204968944099374</v>
      </c>
      <c r="EB93" s="150">
        <f t="shared" si="264"/>
        <v>105.59999999999998</v>
      </c>
      <c r="EC93" s="150">
        <f t="shared" si="265"/>
        <v>3.4736842105263155</v>
      </c>
      <c r="ED93" s="150">
        <f t="shared" si="304"/>
        <v>30.4</v>
      </c>
      <c r="EE93" s="144">
        <f t="shared" si="266"/>
        <v>21.343597887452194</v>
      </c>
      <c r="EF93" s="5">
        <f t="shared" si="267"/>
        <v>3.7169578364371083</v>
      </c>
      <c r="EG93" s="5"/>
      <c r="EH93" s="150">
        <f t="shared" si="305"/>
        <v>5.2198799065975328</v>
      </c>
      <c r="EI93" s="150">
        <f t="shared" si="268"/>
        <v>5.520306330102092</v>
      </c>
      <c r="EJ93" s="150"/>
      <c r="EK93" s="456">
        <f t="shared" si="269"/>
        <v>0.32696575487160806</v>
      </c>
      <c r="EL93" s="456">
        <f t="shared" si="270"/>
        <v>4.1783829787234046</v>
      </c>
      <c r="EM93" s="456">
        <f t="shared" si="271"/>
        <v>2.984278397255799E-2</v>
      </c>
      <c r="EN93" s="456">
        <f t="shared" si="272"/>
        <v>0.55695945841392658</v>
      </c>
      <c r="EO93">
        <f t="shared" si="273"/>
        <v>1.5299999999999999E-2</v>
      </c>
      <c r="EP93" s="144">
        <f t="shared" si="306"/>
        <v>45.142783972557993</v>
      </c>
      <c r="EQ93" s="456">
        <f t="shared" si="274"/>
        <v>5.6333718452555201</v>
      </c>
      <c r="ER93" s="144">
        <f t="shared" si="307"/>
        <v>5633.3718452555204</v>
      </c>
      <c r="ES93" s="456">
        <f t="shared" si="308"/>
        <v>2.3605119999999999</v>
      </c>
      <c r="ET93" s="456"/>
      <c r="EV93" s="144">
        <f t="shared" si="309"/>
        <v>2360.5119999999997</v>
      </c>
      <c r="EW93" s="456">
        <f t="shared" si="275"/>
        <v>0.38146004735020939</v>
      </c>
      <c r="EX93" s="456">
        <f t="shared" si="276"/>
        <v>0.4266329476943132</v>
      </c>
      <c r="EY93" s="456">
        <f t="shared" si="277"/>
        <v>34.071554045454626</v>
      </c>
      <c r="EZ93" s="456">
        <f t="shared" si="278"/>
        <v>37.497721013822108</v>
      </c>
      <c r="FA93" s="456">
        <f t="shared" si="279"/>
        <v>4.4936170212765951</v>
      </c>
      <c r="FB93" s="144">
        <f t="shared" si="310"/>
        <v>41991.338035098706</v>
      </c>
      <c r="FC93" s="150">
        <f t="shared" si="311"/>
        <v>49.985221880354217</v>
      </c>
      <c r="FD93" s="5">
        <f t="shared" si="312"/>
        <v>105.6</v>
      </c>
      <c r="FE93" s="150">
        <f t="shared" si="313"/>
        <v>0.67872770128005422</v>
      </c>
      <c r="FF93" s="5">
        <f t="shared" si="314"/>
        <v>67.872770128005428</v>
      </c>
      <c r="FI93" s="59">
        <f t="shared" si="280"/>
        <v>-50</v>
      </c>
      <c r="FJ93">
        <f t="shared" si="281"/>
        <v>-50</v>
      </c>
      <c r="FL93">
        <f t="shared" si="282"/>
        <v>0.52795031055900621</v>
      </c>
    </row>
    <row r="94" spans="5:168">
      <c r="E94" s="147">
        <v>89</v>
      </c>
      <c r="F94" s="188">
        <f t="shared" si="283"/>
        <v>3.56</v>
      </c>
      <c r="G94" s="188"/>
      <c r="H94" s="188">
        <f t="shared" si="183"/>
        <v>106.8</v>
      </c>
      <c r="I94" s="465">
        <f t="shared" si="184"/>
        <v>33.820314053411288</v>
      </c>
      <c r="J94" s="149">
        <f t="shared" si="185"/>
        <v>30.496753971240075</v>
      </c>
      <c r="K94" s="149">
        <f t="shared" si="186"/>
        <v>64.496753971240082</v>
      </c>
      <c r="L94" s="379"/>
      <c r="M94" s="188">
        <f t="shared" si="187"/>
        <v>0.47414346675702818</v>
      </c>
      <c r="N94" s="149">
        <f t="shared" si="188"/>
        <v>244.7049048861964</v>
      </c>
      <c r="O94" s="149">
        <f t="shared" si="284"/>
        <v>106.8</v>
      </c>
      <c r="P94" s="188">
        <f t="shared" si="189"/>
        <v>8.1568301628732129</v>
      </c>
      <c r="Q94" s="188">
        <f t="shared" si="190"/>
        <v>30</v>
      </c>
      <c r="R94" s="188">
        <f t="shared" si="191"/>
        <v>8.0988287636847822</v>
      </c>
      <c r="S94" s="149">
        <f t="shared" si="192"/>
        <v>110.24268510568506</v>
      </c>
      <c r="T94" s="149">
        <f t="shared" si="193"/>
        <v>30</v>
      </c>
      <c r="U94" s="188">
        <f t="shared" si="194"/>
        <v>13.539814664069613</v>
      </c>
      <c r="V94" s="188">
        <f t="shared" si="195"/>
        <v>1.8816244231389216</v>
      </c>
      <c r="W94" s="188">
        <f t="shared" si="196"/>
        <v>2.086685323334414</v>
      </c>
      <c r="X94" s="172">
        <f t="shared" si="197"/>
        <v>350</v>
      </c>
      <c r="Y94" s="379">
        <f t="shared" si="198"/>
        <v>239.90539590923296</v>
      </c>
      <c r="AA94" s="188">
        <f t="shared" si="199"/>
        <v>9.7485295317142011</v>
      </c>
      <c r="AB94" s="150">
        <f t="shared" si="200"/>
        <v>1.5023923150072114</v>
      </c>
      <c r="AC94" s="150">
        <f t="shared" si="201"/>
        <v>2.5630702739369462</v>
      </c>
      <c r="AD94" s="150"/>
      <c r="AE94" s="150">
        <f t="shared" si="202"/>
        <v>0.93402886457067147</v>
      </c>
      <c r="AF94" s="314">
        <f t="shared" si="203"/>
        <v>1257.7769751687488</v>
      </c>
      <c r="AG94" s="456">
        <f t="shared" si="204"/>
        <v>0.99063667454465154</v>
      </c>
      <c r="AI94" s="150">
        <f t="shared" si="205"/>
        <v>11.489042970326102</v>
      </c>
      <c r="AJ94" s="150">
        <f t="shared" si="206"/>
        <v>13.539814664069613</v>
      </c>
      <c r="AK94" s="150">
        <f t="shared" si="207"/>
        <v>6.7401545210841132</v>
      </c>
      <c r="AM94" s="314">
        <f t="shared" si="208"/>
        <v>3560</v>
      </c>
      <c r="AN94" s="144">
        <f t="shared" si="209"/>
        <v>239.90539590923296</v>
      </c>
      <c r="AP94">
        <f t="shared" si="210"/>
        <v>3560</v>
      </c>
      <c r="AQ94">
        <f t="shared" si="211"/>
        <v>239.90539590923296</v>
      </c>
      <c r="AS94" s="5">
        <f t="shared" si="285"/>
        <v>4.1683097464733354</v>
      </c>
      <c r="AT94" s="5">
        <f t="shared" si="212"/>
        <v>1.8816244231389216</v>
      </c>
      <c r="AU94" s="5">
        <f t="shared" si="286"/>
        <v>2.2866853233344138</v>
      </c>
      <c r="AV94" s="5">
        <f t="shared" si="213"/>
        <v>2.086685323334414</v>
      </c>
      <c r="AW94" s="150">
        <f t="shared" si="287"/>
        <v>0.45141185218562507</v>
      </c>
      <c r="AX94" s="150">
        <f t="shared" si="214"/>
        <v>103.35543466684142</v>
      </c>
      <c r="AY94" s="150">
        <f t="shared" si="215"/>
        <v>3.713890924155931</v>
      </c>
      <c r="AZ94" s="150">
        <f t="shared" si="288"/>
        <v>27.829421158977997</v>
      </c>
      <c r="BA94" s="144">
        <f t="shared" si="216"/>
        <v>22.328609821248538</v>
      </c>
      <c r="BB94" s="5">
        <f t="shared" si="217"/>
        <v>4.2476732309190419</v>
      </c>
      <c r="BC94" s="5"/>
      <c r="BD94" s="150">
        <f t="shared" si="289"/>
        <v>5.2521675381398962</v>
      </c>
      <c r="BE94" s="150">
        <f t="shared" si="218"/>
        <v>5.7899565223261984</v>
      </c>
      <c r="BF94" s="150"/>
      <c r="BG94" s="456">
        <f t="shared" si="219"/>
        <v>0.33102316618428601</v>
      </c>
      <c r="BH94" s="456">
        <f t="shared" si="220"/>
        <v>3.823432807739275</v>
      </c>
      <c r="BI94" s="456">
        <f t="shared" si="221"/>
        <v>2.7589120529561795E-2</v>
      </c>
      <c r="BJ94" s="456">
        <f t="shared" si="222"/>
        <v>0.5164473886589499</v>
      </c>
      <c r="BK94">
        <f t="shared" si="223"/>
        <v>1.5219141324035079E-2</v>
      </c>
      <c r="BL94" s="144">
        <f t="shared" si="290"/>
        <v>42.808261853596875</v>
      </c>
      <c r="BM94" s="456">
        <f t="shared" si="224"/>
        <v>5.1666416919728491</v>
      </c>
      <c r="BN94" s="144">
        <f t="shared" si="291"/>
        <v>5166.641691972849</v>
      </c>
      <c r="BO94" s="456">
        <f t="shared" si="225"/>
        <v>2.3873359999999999</v>
      </c>
      <c r="BP94" s="456"/>
      <c r="BR94" s="144">
        <f t="shared" si="292"/>
        <v>2387.3359999999998</v>
      </c>
      <c r="BS94" s="456">
        <f t="shared" si="226"/>
        <v>0.38619369388166697</v>
      </c>
      <c r="BT94" s="456">
        <f t="shared" si="227"/>
        <v>0.46933035142598767</v>
      </c>
      <c r="BU94" s="456">
        <f t="shared" si="228"/>
        <v>30.067813229167758</v>
      </c>
      <c r="BV94" s="456">
        <f t="shared" si="229"/>
        <v>33.415697673373408</v>
      </c>
      <c r="BW94" s="456">
        <f t="shared" si="230"/>
        <v>4.3981036028443157</v>
      </c>
      <c r="BX94" s="144">
        <f t="shared" si="293"/>
        <v>37813.801276217724</v>
      </c>
      <c r="BY94" s="150">
        <f t="shared" si="231"/>
        <v>45.410587230044165</v>
      </c>
      <c r="BZ94" s="5">
        <f t="shared" si="294"/>
        <v>106.8</v>
      </c>
      <c r="CA94" s="150">
        <f t="shared" si="295"/>
        <v>0.70165947023505881</v>
      </c>
      <c r="CB94" s="5">
        <f t="shared" si="296"/>
        <v>70.165947023505879</v>
      </c>
      <c r="CE94" s="59">
        <f t="shared" si="232"/>
        <v>-50</v>
      </c>
      <c r="CF94">
        <f t="shared" si="233"/>
        <v>-50</v>
      </c>
      <c r="CG94" s="150">
        <f t="shared" si="234"/>
        <v>0.51512097499679266</v>
      </c>
      <c r="CI94" s="147">
        <v>89</v>
      </c>
      <c r="CJ94" s="188">
        <f t="shared" si="297"/>
        <v>3.56</v>
      </c>
      <c r="CK94" s="188"/>
      <c r="CL94" s="188">
        <f t="shared" si="235"/>
        <v>106.8</v>
      </c>
      <c r="CM94" s="465">
        <f t="shared" si="236"/>
        <v>34</v>
      </c>
      <c r="CN94" s="149">
        <f t="shared" si="237"/>
        <v>30.4</v>
      </c>
      <c r="CO94" s="379">
        <f t="shared" si="238"/>
        <v>64.400000000000006</v>
      </c>
      <c r="CP94" s="379"/>
      <c r="CQ94" s="188">
        <f t="shared" si="239"/>
        <v>0.47204968944099374</v>
      </c>
      <c r="CR94" s="149">
        <f t="shared" si="240"/>
        <v>244.918674788055</v>
      </c>
      <c r="CS94" s="149">
        <f t="shared" si="298"/>
        <v>106.8</v>
      </c>
      <c r="CT94" s="188">
        <f t="shared" si="241"/>
        <v>8.1639558262685004</v>
      </c>
      <c r="CU94" s="188">
        <f t="shared" si="242"/>
        <v>30</v>
      </c>
      <c r="CV94" s="188">
        <f t="shared" si="243"/>
        <v>8.1059037580776696</v>
      </c>
      <c r="CW94" s="149">
        <f t="shared" si="244"/>
        <v>110.82775342570793</v>
      </c>
      <c r="CX94" s="149">
        <f t="shared" si="245"/>
        <v>30</v>
      </c>
      <c r="CY94" s="188">
        <f t="shared" si="246"/>
        <v>13.308668730650155</v>
      </c>
      <c r="CZ94" s="188">
        <f t="shared" si="247"/>
        <v>1.8397277362957567</v>
      </c>
      <c r="DA94" s="188">
        <f t="shared" si="248"/>
        <v>2.0575902313834122</v>
      </c>
      <c r="DB94" s="172">
        <f t="shared" si="249"/>
        <v>350</v>
      </c>
      <c r="DC94" s="379">
        <f t="shared" si="299"/>
        <v>256.58671124426996</v>
      </c>
      <c r="DE94" s="188">
        <f t="shared" si="250"/>
        <v>9.7566501161056465</v>
      </c>
      <c r="DF94" s="150">
        <f t="shared" si="251"/>
        <v>1.5084294587400178</v>
      </c>
      <c r="DG94" s="150">
        <f t="shared" si="252"/>
        <v>2.5755132294067704</v>
      </c>
      <c r="DH94" s="150"/>
      <c r="DI94" s="150">
        <f t="shared" si="253"/>
        <v>0.93700159489633172</v>
      </c>
      <c r="DJ94" s="314">
        <f t="shared" si="300"/>
        <v>1253.7865531914892</v>
      </c>
      <c r="DK94" s="456">
        <f t="shared" si="254"/>
        <v>0.99378957034459414</v>
      </c>
      <c r="DM94" s="150">
        <f t="shared" si="255"/>
        <v>11.470803429010143</v>
      </c>
      <c r="DN94" s="150">
        <f t="shared" si="256"/>
        <v>13.308668730650155</v>
      </c>
      <c r="DO94" s="150">
        <f t="shared" si="257"/>
        <v>6.5689353111437736</v>
      </c>
      <c r="DQ94" s="314">
        <f t="shared" si="258"/>
        <v>3560</v>
      </c>
      <c r="DR94" s="144">
        <f t="shared" si="259"/>
        <v>256.58671124426996</v>
      </c>
      <c r="DT94">
        <f t="shared" si="260"/>
        <v>3560</v>
      </c>
      <c r="DU94">
        <f t="shared" si="261"/>
        <v>256.58671124426996</v>
      </c>
      <c r="DW94" s="5">
        <f t="shared" si="301"/>
        <v>3.8973179676791689</v>
      </c>
      <c r="DX94" s="5">
        <f t="shared" si="262"/>
        <v>1.8397277362957567</v>
      </c>
      <c r="DY94" s="5">
        <f t="shared" si="302"/>
        <v>2.0575902313834122</v>
      </c>
      <c r="DZ94" s="5">
        <f t="shared" si="263"/>
        <v>2.0575902313834122</v>
      </c>
      <c r="EA94" s="150">
        <f t="shared" si="303"/>
        <v>0.47204968944099379</v>
      </c>
      <c r="EB94" s="150">
        <f t="shared" si="264"/>
        <v>106.79999999999998</v>
      </c>
      <c r="EC94" s="150">
        <f t="shared" si="265"/>
        <v>3.513157894736842</v>
      </c>
      <c r="ED94" s="150">
        <f t="shared" si="304"/>
        <v>30.399999999999995</v>
      </c>
      <c r="EE94" s="144">
        <f t="shared" si="266"/>
        <v>21.831435804042979</v>
      </c>
      <c r="EF94" s="5">
        <f t="shared" si="267"/>
        <v>3.8019141299610451</v>
      </c>
      <c r="EG94" s="5"/>
      <c r="EH94" s="150">
        <f t="shared" si="305"/>
        <v>5.27919672371796</v>
      </c>
      <c r="EI94" s="150">
        <f t="shared" si="268"/>
        <v>5.5830370838532524</v>
      </c>
      <c r="EJ94" s="150"/>
      <c r="EK94" s="456">
        <f t="shared" si="269"/>
        <v>0.3344390165725733</v>
      </c>
      <c r="EL94" s="456">
        <f t="shared" si="270"/>
        <v>4.1783829787234046</v>
      </c>
      <c r="EM94" s="456">
        <f t="shared" si="271"/>
        <v>2.9507471793091048E-2</v>
      </c>
      <c r="EN94" s="456">
        <f t="shared" si="272"/>
        <v>0.55070148697107346</v>
      </c>
      <c r="EO94">
        <f t="shared" si="273"/>
        <v>1.5299999999999999E-2</v>
      </c>
      <c r="EP94" s="144">
        <f t="shared" si="306"/>
        <v>44.807471793091047</v>
      </c>
      <c r="EQ94" s="456">
        <f t="shared" si="274"/>
        <v>5.6473860938773486</v>
      </c>
      <c r="ER94" s="144">
        <f t="shared" si="307"/>
        <v>5647.3860938773487</v>
      </c>
      <c r="ES94" s="456">
        <f t="shared" si="308"/>
        <v>2.3873359999999999</v>
      </c>
      <c r="ET94" s="456"/>
      <c r="EV94" s="144">
        <f t="shared" si="309"/>
        <v>2387.3359999999998</v>
      </c>
      <c r="EW94" s="456">
        <f t="shared" si="275"/>
        <v>0.39017885266800217</v>
      </c>
      <c r="EX94" s="456">
        <f t="shared" si="276"/>
        <v>0.43638424311552881</v>
      </c>
      <c r="EY94" s="456">
        <f t="shared" si="277"/>
        <v>34.071554045454668</v>
      </c>
      <c r="EZ94" s="456">
        <f t="shared" si="278"/>
        <v>37.581575773486769</v>
      </c>
      <c r="FA94" s="456">
        <f t="shared" si="279"/>
        <v>4.5446808510638297</v>
      </c>
      <c r="FB94" s="144">
        <f t="shared" si="310"/>
        <v>42126.256624550602</v>
      </c>
      <c r="FC94" s="150">
        <f t="shared" si="311"/>
        <v>50.160978718427948</v>
      </c>
      <c r="FD94" s="5">
        <f t="shared" si="312"/>
        <v>106.8</v>
      </c>
      <c r="FE94" s="150">
        <f t="shared" si="313"/>
        <v>0.68042389179789931</v>
      </c>
      <c r="FF94" s="5">
        <f t="shared" si="314"/>
        <v>68.042389179789936</v>
      </c>
      <c r="FI94" s="59">
        <f t="shared" si="280"/>
        <v>-50</v>
      </c>
      <c r="FJ94">
        <f t="shared" si="281"/>
        <v>-50</v>
      </c>
      <c r="FL94">
        <f t="shared" si="282"/>
        <v>0.52795031055900621</v>
      </c>
    </row>
    <row r="95" spans="5:168">
      <c r="E95" s="147">
        <v>90</v>
      </c>
      <c r="F95" s="188">
        <f t="shared" si="283"/>
        <v>3.6</v>
      </c>
      <c r="G95" s="188"/>
      <c r="H95" s="188">
        <f t="shared" si="183"/>
        <v>108</v>
      </c>
      <c r="I95" s="465">
        <f t="shared" si="184"/>
        <v>33.81834537903206</v>
      </c>
      <c r="J95" s="149">
        <f t="shared" si="185"/>
        <v>30.497814026675044</v>
      </c>
      <c r="K95" s="149">
        <f t="shared" si="186"/>
        <v>64.497814026675044</v>
      </c>
      <c r="L95" s="379"/>
      <c r="M95" s="188">
        <f t="shared" si="187"/>
        <v>0.47416665327386609</v>
      </c>
      <c r="N95" s="149">
        <f t="shared" si="188"/>
        <v>244.7026264962783</v>
      </c>
      <c r="O95" s="149">
        <f t="shared" si="284"/>
        <v>108</v>
      </c>
      <c r="P95" s="188">
        <f t="shared" si="189"/>
        <v>8.1567542165426108</v>
      </c>
      <c r="Q95" s="188">
        <f t="shared" si="190"/>
        <v>30</v>
      </c>
      <c r="R95" s="188">
        <f t="shared" si="191"/>
        <v>8.0987533573915886</v>
      </c>
      <c r="S95" s="149">
        <f t="shared" si="192"/>
        <v>108.63881790668152</v>
      </c>
      <c r="T95" s="149">
        <f t="shared" si="193"/>
        <v>30</v>
      </c>
      <c r="U95" s="188">
        <f t="shared" si="194"/>
        <v>13.692551156802017</v>
      </c>
      <c r="V95" s="188">
        <f t="shared" si="195"/>
        <v>1.9029609437033734</v>
      </c>
      <c r="W95" s="188">
        <f t="shared" si="196"/>
        <v>2.1101509236262346</v>
      </c>
      <c r="X95" s="172">
        <f t="shared" si="197"/>
        <v>350</v>
      </c>
      <c r="Y95" s="379">
        <f t="shared" si="198"/>
        <v>237.35424823500568</v>
      </c>
      <c r="AA95" s="188">
        <f t="shared" si="199"/>
        <v>9.7484386249497188</v>
      </c>
      <c r="AB95" s="150">
        <f t="shared" si="200"/>
        <v>1.5023260846560693</v>
      </c>
      <c r="AC95" s="150">
        <f t="shared" si="201"/>
        <v>2.5629333854128742</v>
      </c>
      <c r="AD95" s="150"/>
      <c r="AE95" s="150">
        <f t="shared" si="202"/>
        <v>0.93399639921517286</v>
      </c>
      <c r="AF95" s="314">
        <f t="shared" si="203"/>
        <v>1271.9535118103922</v>
      </c>
      <c r="AG95" s="456">
        <f t="shared" si="204"/>
        <v>0.99060224159184995</v>
      </c>
      <c r="AI95" s="150">
        <f t="shared" si="205"/>
        <v>11.553608654593669</v>
      </c>
      <c r="AJ95" s="150">
        <f t="shared" si="206"/>
        <v>13.692551156802017</v>
      </c>
      <c r="AK95" s="150">
        <f t="shared" si="207"/>
        <v>6.8532926638488565</v>
      </c>
      <c r="AM95" s="314">
        <f t="shared" si="208"/>
        <v>3600</v>
      </c>
      <c r="AN95" s="144">
        <f t="shared" si="209"/>
        <v>237.35424823500568</v>
      </c>
      <c r="AP95">
        <f t="shared" si="210"/>
        <v>3600</v>
      </c>
      <c r="AQ95">
        <f t="shared" si="211"/>
        <v>237.35424823500568</v>
      </c>
      <c r="AS95" s="5">
        <f t="shared" si="285"/>
        <v>4.2131118673296077</v>
      </c>
      <c r="AT95" s="5">
        <f t="shared" si="212"/>
        <v>1.9029609437033734</v>
      </c>
      <c r="AU95" s="5">
        <f t="shared" si="286"/>
        <v>2.3101509236262343</v>
      </c>
      <c r="AV95" s="5">
        <f t="shared" si="213"/>
        <v>2.1101509236262346</v>
      </c>
      <c r="AW95" s="150">
        <f t="shared" si="287"/>
        <v>0.45167586421329114</v>
      </c>
      <c r="AX95" s="150">
        <f t="shared" si="214"/>
        <v>104.5763827904514</v>
      </c>
      <c r="AY95" s="150">
        <f t="shared" si="215"/>
        <v>3.7539781398843828</v>
      </c>
      <c r="AZ95" s="150">
        <f t="shared" si="288"/>
        <v>27.857483153503981</v>
      </c>
      <c r="BA95" s="144">
        <f t="shared" si="216"/>
        <v>22.835531324440481</v>
      </c>
      <c r="BB95" s="5">
        <f t="shared" si="217"/>
        <v>4.3397312204594689</v>
      </c>
      <c r="BC95" s="5"/>
      <c r="BD95" s="150">
        <f t="shared" si="289"/>
        <v>5.312967837843348</v>
      </c>
      <c r="BE95" s="150">
        <f t="shared" si="218"/>
        <v>5.8538612739446538</v>
      </c>
      <c r="BF95" s="150"/>
      <c r="BG95" s="456">
        <f t="shared" si="219"/>
        <v>0.33873152695149383</v>
      </c>
      <c r="BH95" s="456">
        <f t="shared" si="220"/>
        <v>3.8255091574033764</v>
      </c>
      <c r="BI95" s="456">
        <f t="shared" si="221"/>
        <v>2.7295738547025654E-2</v>
      </c>
      <c r="BJ95" s="456">
        <f t="shared" si="222"/>
        <v>0.51097229676056977</v>
      </c>
      <c r="BK95">
        <f t="shared" si="223"/>
        <v>1.5218255420564427E-2</v>
      </c>
      <c r="BL95" s="144">
        <f t="shared" si="290"/>
        <v>42.513993967590075</v>
      </c>
      <c r="BM95" s="456">
        <f t="shared" si="224"/>
        <v>5.1838829253229237</v>
      </c>
      <c r="BN95" s="144">
        <f t="shared" si="291"/>
        <v>5183.8829253229242</v>
      </c>
      <c r="BO95" s="456">
        <f t="shared" si="225"/>
        <v>2.4141599999999999</v>
      </c>
      <c r="BP95" s="456"/>
      <c r="BR95" s="144">
        <f t="shared" si="292"/>
        <v>2414.16</v>
      </c>
      <c r="BS95" s="456">
        <f t="shared" si="226"/>
        <v>0.39518678144340946</v>
      </c>
      <c r="BT95" s="456">
        <f t="shared" si="227"/>
        <v>0.47974768540424501</v>
      </c>
      <c r="BU95" s="456">
        <f t="shared" si="228"/>
        <v>30.107414236329376</v>
      </c>
      <c r="BV95" s="456">
        <f t="shared" si="229"/>
        <v>33.539953910653466</v>
      </c>
      <c r="BW95" s="456">
        <f t="shared" si="230"/>
        <v>4.4500588421468681</v>
      </c>
      <c r="BX95" s="144">
        <f t="shared" si="293"/>
        <v>37990.012752800336</v>
      </c>
      <c r="BY95" s="150">
        <f t="shared" si="231"/>
        <v>45.630569672090843</v>
      </c>
      <c r="BZ95" s="5">
        <f t="shared" si="294"/>
        <v>108</v>
      </c>
      <c r="CA95" s="150">
        <f t="shared" si="295"/>
        <v>0.70298509099142992</v>
      </c>
      <c r="CB95" s="5">
        <f t="shared" si="296"/>
        <v>70.29850909914299</v>
      </c>
      <c r="CE95" s="59">
        <f t="shared" si="232"/>
        <v>-50</v>
      </c>
      <c r="CF95">
        <f t="shared" si="233"/>
        <v>-50</v>
      </c>
      <c r="CG95" s="150">
        <f t="shared" si="234"/>
        <v>0.51526352316970614</v>
      </c>
      <c r="CI95" s="147">
        <v>90</v>
      </c>
      <c r="CJ95" s="188">
        <f t="shared" si="297"/>
        <v>3.6</v>
      </c>
      <c r="CK95" s="188"/>
      <c r="CL95" s="188">
        <f t="shared" si="235"/>
        <v>108</v>
      </c>
      <c r="CM95" s="465">
        <f t="shared" si="236"/>
        <v>34</v>
      </c>
      <c r="CN95" s="149">
        <f t="shared" si="237"/>
        <v>30.4</v>
      </c>
      <c r="CO95" s="379">
        <f t="shared" si="238"/>
        <v>64.400000000000006</v>
      </c>
      <c r="CP95" s="379"/>
      <c r="CQ95" s="188">
        <f t="shared" si="239"/>
        <v>0.47204968944099374</v>
      </c>
      <c r="CR95" s="149">
        <f t="shared" si="240"/>
        <v>244.918674788055</v>
      </c>
      <c r="CS95" s="149">
        <f t="shared" si="298"/>
        <v>108</v>
      </c>
      <c r="CT95" s="188">
        <f t="shared" si="241"/>
        <v>8.1639558262685004</v>
      </c>
      <c r="CU95" s="188">
        <f t="shared" si="242"/>
        <v>30</v>
      </c>
      <c r="CV95" s="188">
        <f t="shared" si="243"/>
        <v>8.1059037580776696</v>
      </c>
      <c r="CW95" s="149">
        <f t="shared" si="244"/>
        <v>109.22170611838567</v>
      </c>
      <c r="CX95" s="149">
        <f t="shared" si="245"/>
        <v>30</v>
      </c>
      <c r="CY95" s="188">
        <f t="shared" si="246"/>
        <v>13.458204334365325</v>
      </c>
      <c r="CZ95" s="188">
        <f t="shared" si="247"/>
        <v>1.8603988344563831</v>
      </c>
      <c r="DA95" s="188">
        <f t="shared" si="248"/>
        <v>2.0807092227472705</v>
      </c>
      <c r="DB95" s="172">
        <f t="shared" si="249"/>
        <v>350</v>
      </c>
      <c r="DC95" s="379">
        <f t="shared" si="299"/>
        <v>253.73574778600033</v>
      </c>
      <c r="DE95" s="188">
        <f t="shared" si="250"/>
        <v>9.7566501161056465</v>
      </c>
      <c r="DF95" s="150">
        <f t="shared" si="251"/>
        <v>1.5084294587400178</v>
      </c>
      <c r="DG95" s="150">
        <f t="shared" si="252"/>
        <v>2.5755132294067704</v>
      </c>
      <c r="DH95" s="150"/>
      <c r="DI95" s="150">
        <f t="shared" si="253"/>
        <v>0.93700159489633172</v>
      </c>
      <c r="DJ95" s="314">
        <f t="shared" si="300"/>
        <v>1267.8740425531914</v>
      </c>
      <c r="DK95" s="456">
        <f t="shared" si="254"/>
        <v>0.99378957034459414</v>
      </c>
      <c r="DM95" s="150">
        <f t="shared" si="255"/>
        <v>11.535066135912633</v>
      </c>
      <c r="DN95" s="150">
        <f t="shared" si="256"/>
        <v>13.458204334365325</v>
      </c>
      <c r="DO95" s="150">
        <f t="shared" si="257"/>
        <v>6.6797024250068633</v>
      </c>
      <c r="DQ95" s="314">
        <f t="shared" si="258"/>
        <v>3600</v>
      </c>
      <c r="DR95" s="144">
        <f t="shared" si="259"/>
        <v>253.73574778600033</v>
      </c>
      <c r="DT95">
        <f t="shared" si="260"/>
        <v>3600</v>
      </c>
      <c r="DU95">
        <f t="shared" si="261"/>
        <v>253.73574778600033</v>
      </c>
      <c r="DW95" s="5">
        <f t="shared" si="301"/>
        <v>3.9411080572036536</v>
      </c>
      <c r="DX95" s="5">
        <f t="shared" si="262"/>
        <v>1.8603988344563831</v>
      </c>
      <c r="DY95" s="5">
        <f t="shared" si="302"/>
        <v>2.0807092227472705</v>
      </c>
      <c r="DZ95" s="5">
        <f t="shared" si="263"/>
        <v>2.0807092227472705</v>
      </c>
      <c r="EA95" s="150">
        <f t="shared" si="303"/>
        <v>0.47204968944099379</v>
      </c>
      <c r="EB95" s="150">
        <f t="shared" si="264"/>
        <v>108</v>
      </c>
      <c r="EC95" s="150">
        <f t="shared" si="265"/>
        <v>3.5526315789473686</v>
      </c>
      <c r="ED95" s="150">
        <f t="shared" si="304"/>
        <v>30.4</v>
      </c>
      <c r="EE95" s="144">
        <f t="shared" si="266"/>
        <v>22.324786013476597</v>
      </c>
      <c r="EF95" s="5">
        <f t="shared" si="267"/>
        <v>3.8878303816038957</v>
      </c>
      <c r="EG95" s="5"/>
      <c r="EH95" s="150">
        <f t="shared" si="305"/>
        <v>5.3385135408383864</v>
      </c>
      <c r="EI95" s="150">
        <f t="shared" si="268"/>
        <v>5.6457678376044127</v>
      </c>
      <c r="EJ95" s="150"/>
      <c r="EK95" s="456">
        <f t="shared" si="269"/>
        <v>0.34199672190857766</v>
      </c>
      <c r="EL95" s="456">
        <f t="shared" si="270"/>
        <v>4.1783829787234055</v>
      </c>
      <c r="EM95" s="456">
        <f t="shared" si="271"/>
        <v>2.9179610995390043E-2</v>
      </c>
      <c r="EN95" s="456">
        <f t="shared" si="272"/>
        <v>0.54458258156028394</v>
      </c>
      <c r="EO95">
        <f t="shared" si="273"/>
        <v>1.5299999999999999E-2</v>
      </c>
      <c r="EP95" s="144">
        <f t="shared" si="306"/>
        <v>44.479610995390047</v>
      </c>
      <c r="EQ95" s="456">
        <f t="shared" si="274"/>
        <v>5.6618543535117523</v>
      </c>
      <c r="ER95" s="144">
        <f t="shared" si="307"/>
        <v>5661.8543535117524</v>
      </c>
      <c r="ES95" s="456">
        <f t="shared" si="308"/>
        <v>2.4141599999999999</v>
      </c>
      <c r="ET95" s="456"/>
      <c r="EV95" s="144">
        <f t="shared" si="309"/>
        <v>2414.16</v>
      </c>
      <c r="EW95" s="456">
        <f t="shared" si="275"/>
        <v>0.39899617556000727</v>
      </c>
      <c r="EX95" s="456">
        <f t="shared" si="276"/>
        <v>0.44624572266579771</v>
      </c>
      <c r="EY95" s="456">
        <f t="shared" si="277"/>
        <v>34.071554045454604</v>
      </c>
      <c r="EZ95" s="456">
        <f t="shared" si="278"/>
        <v>37.66664834715484</v>
      </c>
      <c r="FA95" s="456">
        <f t="shared" si="279"/>
        <v>4.5957446808510642</v>
      </c>
      <c r="FB95" s="144">
        <f t="shared" si="310"/>
        <v>42262.393028005899</v>
      </c>
      <c r="FC95" s="150">
        <f t="shared" si="311"/>
        <v>50.338407381517655</v>
      </c>
      <c r="FD95" s="5">
        <f t="shared" si="312"/>
        <v>108</v>
      </c>
      <c r="FE95" s="150">
        <f t="shared" si="313"/>
        <v>0.68208340469014028</v>
      </c>
      <c r="FF95" s="5">
        <f t="shared" si="314"/>
        <v>68.208340469014033</v>
      </c>
      <c r="FI95" s="59">
        <f t="shared" si="280"/>
        <v>-50</v>
      </c>
      <c r="FJ95">
        <f t="shared" si="281"/>
        <v>-50</v>
      </c>
      <c r="FL95">
        <f t="shared" si="282"/>
        <v>0.52795031055900621</v>
      </c>
    </row>
    <row r="96" spans="5:168">
      <c r="E96" s="147">
        <v>91</v>
      </c>
      <c r="F96" s="188">
        <f t="shared" si="283"/>
        <v>3.64</v>
      </c>
      <c r="G96" s="188"/>
      <c r="H96" s="188">
        <f t="shared" si="183"/>
        <v>109.2</v>
      </c>
      <c r="I96" s="465">
        <f t="shared" si="184"/>
        <v>33.816376677457626</v>
      </c>
      <c r="J96" s="149">
        <f t="shared" si="185"/>
        <v>30.498874096753582</v>
      </c>
      <c r="K96" s="149">
        <f t="shared" si="186"/>
        <v>64.498874096753582</v>
      </c>
      <c r="L96" s="379"/>
      <c r="M96" s="188">
        <f t="shared" si="187"/>
        <v>0.47418984064591263</v>
      </c>
      <c r="N96" s="149">
        <f t="shared" si="188"/>
        <v>244.7003469577528</v>
      </c>
      <c r="O96" s="149">
        <f t="shared" si="284"/>
        <v>109.2</v>
      </c>
      <c r="P96" s="188">
        <f t="shared" si="189"/>
        <v>8.1566782319250937</v>
      </c>
      <c r="Q96" s="188">
        <f t="shared" si="190"/>
        <v>30</v>
      </c>
      <c r="R96" s="188">
        <f t="shared" si="191"/>
        <v>8.0986779130837334</v>
      </c>
      <c r="S96" s="149">
        <f t="shared" si="192"/>
        <v>107.07029516062522</v>
      </c>
      <c r="T96" s="188">
        <f t="shared" si="193"/>
        <v>30</v>
      </c>
      <c r="U96" s="188">
        <f t="shared" si="194"/>
        <v>13.845301142417739</v>
      </c>
      <c r="V96" s="188">
        <f t="shared" si="195"/>
        <v>1.9243018254153084</v>
      </c>
      <c r="W96" s="188">
        <f t="shared" si="196"/>
        <v>2.1336169710045128</v>
      </c>
      <c r="X96" s="172">
        <f t="shared" si="197"/>
        <v>350</v>
      </c>
      <c r="Y96" s="379">
        <f t="shared" si="198"/>
        <v>234.85652212081362</v>
      </c>
      <c r="AA96" s="188">
        <f t="shared" si="199"/>
        <v>9.7483476749094908</v>
      </c>
      <c r="AB96" s="150">
        <f t="shared" si="200"/>
        <v>1.5022598515186358</v>
      </c>
      <c r="AC96" s="150">
        <f t="shared" si="201"/>
        <v>2.562796482865775</v>
      </c>
      <c r="AD96" s="150"/>
      <c r="AE96" s="150">
        <f t="shared" si="202"/>
        <v>0.93396393566805536</v>
      </c>
      <c r="AF96" s="314">
        <f t="shared" si="203"/>
        <v>1286.1310315379505</v>
      </c>
      <c r="AG96" s="456">
        <f t="shared" si="204"/>
        <v>0.99056781055702836</v>
      </c>
      <c r="AI96" s="150">
        <f t="shared" si="205"/>
        <v>11.617819962605086</v>
      </c>
      <c r="AJ96" s="150">
        <f t="shared" si="206"/>
        <v>13.845301142417739</v>
      </c>
      <c r="AK96" s="150">
        <f t="shared" si="207"/>
        <v>6.9664408013419843</v>
      </c>
      <c r="AM96" s="314">
        <f t="shared" si="208"/>
        <v>3640</v>
      </c>
      <c r="AN96" s="144">
        <f t="shared" si="209"/>
        <v>234.85652212081362</v>
      </c>
      <c r="AP96">
        <f t="shared" si="210"/>
        <v>3640</v>
      </c>
      <c r="AQ96">
        <f t="shared" si="211"/>
        <v>234.85652212081362</v>
      </c>
      <c r="AS96" s="5">
        <f t="shared" si="285"/>
        <v>4.2579187964198217</v>
      </c>
      <c r="AT96" s="5">
        <f t="shared" si="212"/>
        <v>1.9243018254153084</v>
      </c>
      <c r="AU96" s="5">
        <f t="shared" si="286"/>
        <v>2.3336169710045134</v>
      </c>
      <c r="AV96" s="5">
        <f t="shared" si="213"/>
        <v>2.1336169710045128</v>
      </c>
      <c r="AW96" s="150">
        <f t="shared" si="287"/>
        <v>0.45193483422777242</v>
      </c>
      <c r="AX96" s="150">
        <f t="shared" si="214"/>
        <v>105.79747437427027</v>
      </c>
      <c r="AY96" s="150">
        <f t="shared" si="215"/>
        <v>3.7940636328927946</v>
      </c>
      <c r="AZ96" s="150">
        <f t="shared" si="288"/>
        <v>27.885002628067333</v>
      </c>
      <c r="BA96" s="144">
        <f t="shared" si="216"/>
        <v>23.348195481705744</v>
      </c>
      <c r="BB96" s="5">
        <f t="shared" si="217"/>
        <v>4.4327804223429101</v>
      </c>
      <c r="BC96" s="5"/>
      <c r="BD96" s="150">
        <f t="shared" si="289"/>
        <v>5.3737775857225278</v>
      </c>
      <c r="BE96" s="150">
        <f t="shared" si="218"/>
        <v>5.9177672338417304</v>
      </c>
      <c r="BF96" s="150"/>
      <c r="BG96" s="456">
        <f t="shared" si="219"/>
        <v>0.3465298264897661</v>
      </c>
      <c r="BH96" s="456">
        <f t="shared" si="220"/>
        <v>3.8275426087043565</v>
      </c>
      <c r="BI96" s="456">
        <f t="shared" si="221"/>
        <v>2.7008500043893571E-2</v>
      </c>
      <c r="BJ96" s="456">
        <f t="shared" si="222"/>
        <v>0.50561185313825641</v>
      </c>
      <c r="BK96">
        <f t="shared" si="223"/>
        <v>1.5217369504855931E-2</v>
      </c>
      <c r="BL96" s="144">
        <f t="shared" si="290"/>
        <v>42.2258695487495</v>
      </c>
      <c r="BM96" s="456">
        <f t="shared" si="224"/>
        <v>5.2015167555127064</v>
      </c>
      <c r="BN96" s="144">
        <f t="shared" si="291"/>
        <v>5201.5167555127064</v>
      </c>
      <c r="BO96" s="456">
        <f t="shared" si="225"/>
        <v>2.4409839999999998</v>
      </c>
      <c r="BP96" s="456"/>
      <c r="BR96" s="144">
        <f t="shared" si="292"/>
        <v>2440.9839999999999</v>
      </c>
      <c r="BS96" s="456">
        <f t="shared" si="226"/>
        <v>0.40428479757139379</v>
      </c>
      <c r="BT96" s="456">
        <f t="shared" si="227"/>
        <v>0.49027956647503129</v>
      </c>
      <c r="BU96" s="456">
        <f t="shared" si="228"/>
        <v>30.146200511536801</v>
      </c>
      <c r="BV96" s="456">
        <f t="shared" si="229"/>
        <v>33.664678026093576</v>
      </c>
      <c r="BW96" s="456">
        <f t="shared" si="230"/>
        <v>4.50202018613916</v>
      </c>
      <c r="BX96" s="144">
        <f t="shared" si="293"/>
        <v>38166.698212232739</v>
      </c>
      <c r="BY96" s="150">
        <f t="shared" si="231"/>
        <v>45.851424837294189</v>
      </c>
      <c r="BZ96" s="5">
        <f t="shared" si="294"/>
        <v>109.2</v>
      </c>
      <c r="CA96" s="150">
        <f t="shared" si="295"/>
        <v>0.70428246702402675</v>
      </c>
      <c r="CB96" s="5">
        <f t="shared" si="296"/>
        <v>70.428246702402674</v>
      </c>
      <c r="CE96" s="59">
        <f t="shared" si="232"/>
        <v>-50</v>
      </c>
      <c r="CF96">
        <f t="shared" si="233"/>
        <v>-50</v>
      </c>
      <c r="CG96" s="150">
        <f t="shared" si="234"/>
        <v>0.51540293841574247</v>
      </c>
      <c r="CI96" s="147">
        <v>91</v>
      </c>
      <c r="CJ96" s="188">
        <f t="shared" si="297"/>
        <v>3.64</v>
      </c>
      <c r="CK96" s="188"/>
      <c r="CL96" s="188">
        <f t="shared" si="235"/>
        <v>109.2</v>
      </c>
      <c r="CM96" s="465">
        <f t="shared" si="236"/>
        <v>34</v>
      </c>
      <c r="CN96" s="149">
        <f t="shared" si="237"/>
        <v>30.4</v>
      </c>
      <c r="CO96" s="379">
        <f t="shared" si="238"/>
        <v>64.400000000000006</v>
      </c>
      <c r="CP96" s="379"/>
      <c r="CQ96" s="188">
        <f t="shared" si="239"/>
        <v>0.47204968944099374</v>
      </c>
      <c r="CR96" s="149">
        <f t="shared" si="240"/>
        <v>244.918674788055</v>
      </c>
      <c r="CS96" s="149">
        <f t="shared" si="298"/>
        <v>109.2</v>
      </c>
      <c r="CT96" s="188">
        <f t="shared" si="241"/>
        <v>8.1639558262685004</v>
      </c>
      <c r="CU96" s="188">
        <f t="shared" si="242"/>
        <v>30</v>
      </c>
      <c r="CV96" s="188">
        <f t="shared" si="243"/>
        <v>8.1059037580776696</v>
      </c>
      <c r="CW96" s="149">
        <f t="shared" si="244"/>
        <v>107.65100800478969</v>
      </c>
      <c r="CX96" s="188">
        <f t="shared" si="245"/>
        <v>30</v>
      </c>
      <c r="CY96" s="188">
        <f t="shared" si="246"/>
        <v>13.607739938080496</v>
      </c>
      <c r="CZ96" s="188">
        <f t="shared" si="247"/>
        <v>1.8810699326170097</v>
      </c>
      <c r="DA96" s="188">
        <f t="shared" si="248"/>
        <v>2.1038282141111297</v>
      </c>
      <c r="DB96" s="172">
        <f t="shared" si="249"/>
        <v>350</v>
      </c>
      <c r="DC96" s="379">
        <f t="shared" si="299"/>
        <v>250.94744286527498</v>
      </c>
      <c r="DE96" s="188">
        <f t="shared" si="250"/>
        <v>9.7566501161056465</v>
      </c>
      <c r="DF96" s="150">
        <f t="shared" si="251"/>
        <v>1.5084294587400178</v>
      </c>
      <c r="DG96" s="150">
        <f t="shared" si="252"/>
        <v>2.5755132294067704</v>
      </c>
      <c r="DH96" s="150"/>
      <c r="DI96" s="150">
        <f t="shared" si="253"/>
        <v>0.93700159489633172</v>
      </c>
      <c r="DJ96" s="314">
        <f t="shared" si="300"/>
        <v>1281.9615319148938</v>
      </c>
      <c r="DK96" s="456">
        <f t="shared" si="254"/>
        <v>0.99378957034459414</v>
      </c>
      <c r="DM96" s="150">
        <f t="shared" si="255"/>
        <v>11.598972808519122</v>
      </c>
      <c r="DN96" s="150">
        <f t="shared" si="256"/>
        <v>13.607739938080496</v>
      </c>
      <c r="DO96" s="150">
        <f t="shared" si="257"/>
        <v>6.7904695388699521</v>
      </c>
      <c r="DQ96" s="314">
        <f t="shared" si="258"/>
        <v>3640</v>
      </c>
      <c r="DR96" s="144">
        <f t="shared" si="259"/>
        <v>250.94744286527498</v>
      </c>
      <c r="DT96">
        <f t="shared" si="260"/>
        <v>3640</v>
      </c>
      <c r="DU96">
        <f t="shared" si="261"/>
        <v>250.94744286527498</v>
      </c>
      <c r="DW96" s="5">
        <f t="shared" si="301"/>
        <v>3.9848981467281397</v>
      </c>
      <c r="DX96" s="5">
        <f t="shared" si="262"/>
        <v>1.8810699326170097</v>
      </c>
      <c r="DY96" s="5">
        <f t="shared" si="302"/>
        <v>2.1038282141111297</v>
      </c>
      <c r="DZ96" s="5">
        <f t="shared" si="263"/>
        <v>2.1038282141111297</v>
      </c>
      <c r="EA96" s="150">
        <f t="shared" si="303"/>
        <v>0.47204968944099374</v>
      </c>
      <c r="EB96" s="150">
        <f t="shared" si="264"/>
        <v>109.19999999999996</v>
      </c>
      <c r="EC96" s="150">
        <f t="shared" si="265"/>
        <v>3.5921052631578947</v>
      </c>
      <c r="ED96" s="150">
        <f t="shared" si="304"/>
        <v>30.399999999999988</v>
      </c>
      <c r="EE96" s="144">
        <f t="shared" si="266"/>
        <v>22.82364851575305</v>
      </c>
      <c r="EF96" s="5">
        <f t="shared" si="267"/>
        <v>3.9747065913656634</v>
      </c>
      <c r="EG96" s="5"/>
      <c r="EH96" s="150">
        <f t="shared" si="305"/>
        <v>5.3978303579588118</v>
      </c>
      <c r="EI96" s="150">
        <f t="shared" si="268"/>
        <v>5.708498591355573</v>
      </c>
      <c r="EJ96" s="150"/>
      <c r="EK96" s="456">
        <f t="shared" si="269"/>
        <v>0.34963887087962109</v>
      </c>
      <c r="EL96" s="456">
        <f t="shared" si="270"/>
        <v>4.1783829787234037</v>
      </c>
      <c r="EM96" s="456">
        <f t="shared" si="271"/>
        <v>2.8858955929506623E-2</v>
      </c>
      <c r="EN96" s="456">
        <f t="shared" si="272"/>
        <v>0.53859815758709384</v>
      </c>
      <c r="EO96">
        <f t="shared" si="273"/>
        <v>1.5299999999999999E-2</v>
      </c>
      <c r="EP96" s="144">
        <f t="shared" si="306"/>
        <v>44.158955929506625</v>
      </c>
      <c r="EQ96" s="456">
        <f t="shared" si="274"/>
        <v>5.6767749734669826</v>
      </c>
      <c r="ER96" s="144">
        <f t="shared" si="307"/>
        <v>5676.7749734669824</v>
      </c>
      <c r="ES96" s="456">
        <f t="shared" si="308"/>
        <v>2.4409839999999998</v>
      </c>
      <c r="ET96" s="456"/>
      <c r="EV96" s="144">
        <f t="shared" si="309"/>
        <v>2440.9839999999999</v>
      </c>
      <c r="EW96" s="456">
        <f t="shared" si="275"/>
        <v>0.40791201602622457</v>
      </c>
      <c r="EX96" s="456">
        <f t="shared" si="276"/>
        <v>0.45621738634511988</v>
      </c>
      <c r="EY96" s="456">
        <f t="shared" si="277"/>
        <v>34.071554045454661</v>
      </c>
      <c r="EZ96" s="456">
        <f t="shared" si="278"/>
        <v>37.752949177216216</v>
      </c>
      <c r="FA96" s="456">
        <f t="shared" si="279"/>
        <v>4.646808510638297</v>
      </c>
      <c r="FB96" s="144">
        <f t="shared" si="310"/>
        <v>42399.757687854508</v>
      </c>
      <c r="FC96" s="150">
        <f t="shared" si="311"/>
        <v>50.517516661321494</v>
      </c>
      <c r="FD96" s="5">
        <f t="shared" si="312"/>
        <v>109.2</v>
      </c>
      <c r="FE96" s="150">
        <f t="shared" si="313"/>
        <v>0.6837070991502886</v>
      </c>
      <c r="FF96" s="5">
        <f t="shared" si="314"/>
        <v>68.370709915028854</v>
      </c>
      <c r="FI96" s="59">
        <f t="shared" si="280"/>
        <v>-50</v>
      </c>
      <c r="FJ96">
        <f t="shared" si="281"/>
        <v>-50</v>
      </c>
      <c r="FL96">
        <f t="shared" si="282"/>
        <v>0.52795031055900621</v>
      </c>
    </row>
    <row r="97" spans="5:168">
      <c r="E97" s="147">
        <v>92</v>
      </c>
      <c r="F97" s="188">
        <f t="shared" si="283"/>
        <v>3.68</v>
      </c>
      <c r="G97" s="188"/>
      <c r="H97" s="188">
        <f t="shared" si="183"/>
        <v>110.4</v>
      </c>
      <c r="I97" s="465">
        <f t="shared" si="184"/>
        <v>33.814407949596152</v>
      </c>
      <c r="J97" s="149">
        <f t="shared" si="185"/>
        <v>30.499934180986688</v>
      </c>
      <c r="K97" s="149">
        <f t="shared" si="186"/>
        <v>64.499934180986685</v>
      </c>
      <c r="L97" s="379"/>
      <c r="M97" s="188">
        <f t="shared" si="187"/>
        <v>0.47421302886653688</v>
      </c>
      <c r="N97" s="149">
        <f t="shared" si="188"/>
        <v>244.69806627366424</v>
      </c>
      <c r="O97" s="149">
        <f t="shared" si="284"/>
        <v>110.4</v>
      </c>
      <c r="P97" s="188">
        <f t="shared" si="189"/>
        <v>8.1566022091221413</v>
      </c>
      <c r="Q97" s="188">
        <f t="shared" si="190"/>
        <v>30</v>
      </c>
      <c r="R97" s="188">
        <f t="shared" si="191"/>
        <v>8.098602430861968</v>
      </c>
      <c r="S97" s="149">
        <f t="shared" si="192"/>
        <v>105.53596484831095</v>
      </c>
      <c r="T97" s="460">
        <f t="shared" si="193"/>
        <v>30</v>
      </c>
      <c r="U97" s="188">
        <f t="shared" si="194"/>
        <v>13.99806462327073</v>
      </c>
      <c r="V97" s="188">
        <f t="shared" si="195"/>
        <v>1.945647069362874</v>
      </c>
      <c r="W97" s="188">
        <f t="shared" si="196"/>
        <v>2.1570834657861568</v>
      </c>
      <c r="X97" s="172">
        <f t="shared" si="197"/>
        <v>350</v>
      </c>
      <c r="Y97" s="379">
        <f t="shared" si="198"/>
        <v>232.41055693146342</v>
      </c>
      <c r="AA97" s="188">
        <f t="shared" si="199"/>
        <v>9.7482566816319789</v>
      </c>
      <c r="AB97" s="150">
        <f t="shared" si="200"/>
        <v>1.5021936156253075</v>
      </c>
      <c r="AC97" s="150">
        <f t="shared" si="201"/>
        <v>2.5626595663592533</v>
      </c>
      <c r="AD97" s="150"/>
      <c r="AE97" s="150">
        <f t="shared" si="202"/>
        <v>0.93393147394415077</v>
      </c>
      <c r="AF97" s="314">
        <f t="shared" si="203"/>
        <v>1300.309534350934</v>
      </c>
      <c r="AG97" s="456">
        <f t="shared" si="204"/>
        <v>0.99053338145591741</v>
      </c>
      <c r="AI97" s="150">
        <f t="shared" si="205"/>
        <v>11.681682738114345</v>
      </c>
      <c r="AJ97" s="150">
        <f t="shared" si="206"/>
        <v>13.99806462327073</v>
      </c>
      <c r="AK97" s="150">
        <f t="shared" si="207"/>
        <v>7.0795989353071631</v>
      </c>
      <c r="AM97" s="314">
        <f t="shared" si="208"/>
        <v>3680</v>
      </c>
      <c r="AN97" s="144">
        <f t="shared" si="209"/>
        <v>232.41055693146342</v>
      </c>
      <c r="AP97">
        <f t="shared" si="210"/>
        <v>3680</v>
      </c>
      <c r="AQ97">
        <f t="shared" si="211"/>
        <v>232.41055693146342</v>
      </c>
      <c r="AS97" s="5">
        <f t="shared" si="285"/>
        <v>4.3027305351490313</v>
      </c>
      <c r="AT97" s="5">
        <f t="shared" si="212"/>
        <v>1.945647069362874</v>
      </c>
      <c r="AU97" s="5">
        <f t="shared" si="286"/>
        <v>2.3570834657861575</v>
      </c>
      <c r="AV97" s="5">
        <f t="shared" si="213"/>
        <v>2.1570834657861568</v>
      </c>
      <c r="AW97" s="150">
        <f t="shared" si="287"/>
        <v>0.4521889189826952</v>
      </c>
      <c r="AX97" s="150">
        <f t="shared" si="214"/>
        <v>107.0187075978766</v>
      </c>
      <c r="AY97" s="150">
        <f t="shared" si="215"/>
        <v>3.8341474567120151</v>
      </c>
      <c r="AZ97" s="150">
        <f t="shared" si="288"/>
        <v>27.911995771193116</v>
      </c>
      <c r="BA97" s="144">
        <f t="shared" si="216"/>
        <v>23.866604050851254</v>
      </c>
      <c r="BB97" s="5">
        <f t="shared" si="217"/>
        <v>4.5268210384074674</v>
      </c>
      <c r="BC97" s="5"/>
      <c r="BD97" s="150">
        <f t="shared" si="289"/>
        <v>5.4345967482680111</v>
      </c>
      <c r="BE97" s="150">
        <f t="shared" si="218"/>
        <v>5.9816744519799192</v>
      </c>
      <c r="BF97" s="150"/>
      <c r="BG97" s="456">
        <f t="shared" si="219"/>
        <v>0.35441810179542288</v>
      </c>
      <c r="BH97" s="456">
        <f t="shared" si="220"/>
        <v>3.8295344945796623</v>
      </c>
      <c r="BI97" s="456">
        <f t="shared" si="221"/>
        <v>2.6727214047118298E-2</v>
      </c>
      <c r="BJ97" s="456">
        <f t="shared" si="222"/>
        <v>0.50036249388666187</v>
      </c>
      <c r="BK97">
        <f t="shared" si="223"/>
        <v>1.5216483577318267E-2</v>
      </c>
      <c r="BL97" s="144">
        <f t="shared" si="290"/>
        <v>41.943697624436567</v>
      </c>
      <c r="BM97" s="456">
        <f t="shared" si="224"/>
        <v>5.2195444652316736</v>
      </c>
      <c r="BN97" s="144">
        <f t="shared" si="291"/>
        <v>5219.5444652316737</v>
      </c>
      <c r="BO97" s="456">
        <f t="shared" si="225"/>
        <v>2.4678079999999998</v>
      </c>
      <c r="BP97" s="456"/>
      <c r="BR97" s="144">
        <f t="shared" si="292"/>
        <v>2467.808</v>
      </c>
      <c r="BS97" s="456">
        <f t="shared" si="226"/>
        <v>0.41348778542799336</v>
      </c>
      <c r="BT97" s="456">
        <f t="shared" si="227"/>
        <v>0.50092600949256971</v>
      </c>
      <c r="BU97" s="456">
        <f t="shared" si="228"/>
        <v>30.184196410403011</v>
      </c>
      <c r="BV97" s="456">
        <f t="shared" si="229"/>
        <v>33.789906010942516</v>
      </c>
      <c r="BW97" s="456">
        <f t="shared" si="230"/>
        <v>4.5539875573564519</v>
      </c>
      <c r="BX97" s="144">
        <f t="shared" si="293"/>
        <v>38343.893568298969</v>
      </c>
      <c r="BY97" s="150">
        <f t="shared" si="231"/>
        <v>46.073189731155082</v>
      </c>
      <c r="BZ97" s="5">
        <f t="shared" si="294"/>
        <v>110.4</v>
      </c>
      <c r="CA97" s="150">
        <f t="shared" si="295"/>
        <v>0.70555217919238511</v>
      </c>
      <c r="CB97" s="5">
        <f t="shared" si="296"/>
        <v>70.555217919238515</v>
      </c>
      <c r="CE97" s="59">
        <f t="shared" si="232"/>
        <v>-50</v>
      </c>
      <c r="CF97">
        <f t="shared" si="233"/>
        <v>-50</v>
      </c>
      <c r="CG97" s="150">
        <f t="shared" si="234"/>
        <v>0.51553932289556059</v>
      </c>
      <c r="CI97" s="147">
        <v>92</v>
      </c>
      <c r="CJ97" s="188">
        <f t="shared" si="297"/>
        <v>3.68</v>
      </c>
      <c r="CK97" s="188"/>
      <c r="CL97" s="188">
        <f t="shared" si="235"/>
        <v>110.4</v>
      </c>
      <c r="CM97" s="465">
        <f t="shared" si="236"/>
        <v>34</v>
      </c>
      <c r="CN97" s="149">
        <f t="shared" si="237"/>
        <v>30.4</v>
      </c>
      <c r="CO97" s="379">
        <f t="shared" si="238"/>
        <v>64.400000000000006</v>
      </c>
      <c r="CP97" s="379"/>
      <c r="CQ97" s="188">
        <f t="shared" si="239"/>
        <v>0.47204968944099374</v>
      </c>
      <c r="CR97" s="149">
        <f t="shared" si="240"/>
        <v>244.918674788055</v>
      </c>
      <c r="CS97" s="149">
        <f t="shared" si="298"/>
        <v>110.4</v>
      </c>
      <c r="CT97" s="188">
        <f t="shared" si="241"/>
        <v>8.1639558262685004</v>
      </c>
      <c r="CU97" s="188">
        <f t="shared" si="242"/>
        <v>30</v>
      </c>
      <c r="CV97" s="188">
        <f t="shared" si="243"/>
        <v>8.1059037580776696</v>
      </c>
      <c r="CW97" s="149">
        <f t="shared" si="244"/>
        <v>106.11450690771518</v>
      </c>
      <c r="CX97" s="460">
        <f t="shared" si="245"/>
        <v>30</v>
      </c>
      <c r="CY97" s="188">
        <f t="shared" si="246"/>
        <v>13.757275541795668</v>
      </c>
      <c r="CZ97" s="188">
        <f t="shared" si="247"/>
        <v>1.9017410307776363</v>
      </c>
      <c r="DA97" s="188">
        <f t="shared" si="248"/>
        <v>2.1269472054749881</v>
      </c>
      <c r="DB97" s="172">
        <f t="shared" si="249"/>
        <v>350</v>
      </c>
      <c r="DC97" s="379">
        <f t="shared" si="299"/>
        <v>248.21975326891334</v>
      </c>
      <c r="DE97" s="188">
        <f t="shared" si="250"/>
        <v>9.7566501161056465</v>
      </c>
      <c r="DF97" s="150">
        <f t="shared" si="251"/>
        <v>1.5084294587400178</v>
      </c>
      <c r="DG97" s="150">
        <f t="shared" si="252"/>
        <v>2.5755132294067704</v>
      </c>
      <c r="DH97" s="150"/>
      <c r="DI97" s="150">
        <f t="shared" si="253"/>
        <v>0.93700159489633172</v>
      </c>
      <c r="DJ97" s="314">
        <f t="shared" si="300"/>
        <v>1296.0490212765958</v>
      </c>
      <c r="DK97" s="456">
        <f t="shared" si="254"/>
        <v>0.99378957034459414</v>
      </c>
      <c r="DM97" s="150">
        <f t="shared" si="255"/>
        <v>11.662529299669668</v>
      </c>
      <c r="DN97" s="150">
        <f t="shared" si="256"/>
        <v>13.757275541795668</v>
      </c>
      <c r="DO97" s="150">
        <f t="shared" si="257"/>
        <v>6.9012366527330427</v>
      </c>
      <c r="DQ97" s="314">
        <f t="shared" si="258"/>
        <v>3680</v>
      </c>
      <c r="DR97" s="144">
        <f t="shared" si="259"/>
        <v>248.21975326891334</v>
      </c>
      <c r="DT97">
        <f t="shared" si="260"/>
        <v>3680</v>
      </c>
      <c r="DU97">
        <f t="shared" si="261"/>
        <v>248.21975326891334</v>
      </c>
      <c r="DW97" s="5">
        <f t="shared" si="301"/>
        <v>4.0286882362526244</v>
      </c>
      <c r="DX97" s="5">
        <f t="shared" si="262"/>
        <v>1.9017410307776363</v>
      </c>
      <c r="DY97" s="5">
        <f t="shared" si="302"/>
        <v>2.1269472054749881</v>
      </c>
      <c r="DZ97" s="5">
        <f t="shared" si="263"/>
        <v>2.1269472054749881</v>
      </c>
      <c r="EA97" s="150">
        <f t="shared" si="303"/>
        <v>0.47204968944099379</v>
      </c>
      <c r="EB97" s="150">
        <f t="shared" si="264"/>
        <v>110.40000000000002</v>
      </c>
      <c r="EC97" s="150">
        <f t="shared" si="265"/>
        <v>3.6315789473684217</v>
      </c>
      <c r="ED97" s="150">
        <f t="shared" si="304"/>
        <v>30.4</v>
      </c>
      <c r="EE97" s="144">
        <f t="shared" si="266"/>
        <v>23.328023310872343</v>
      </c>
      <c r="EF97" s="5">
        <f t="shared" si="267"/>
        <v>4.0625427592463437</v>
      </c>
      <c r="EG97" s="5"/>
      <c r="EH97" s="150">
        <f t="shared" si="305"/>
        <v>5.45714717507924</v>
      </c>
      <c r="EI97" s="150">
        <f t="shared" si="268"/>
        <v>5.7712293451067334</v>
      </c>
      <c r="EJ97" s="150"/>
      <c r="EK97" s="456">
        <f t="shared" si="269"/>
        <v>0.35736546348570392</v>
      </c>
      <c r="EL97" s="456">
        <f t="shared" si="270"/>
        <v>4.1783829787234046</v>
      </c>
      <c r="EM97" s="456">
        <f t="shared" si="271"/>
        <v>2.8545271625925035E-2</v>
      </c>
      <c r="EN97" s="456">
        <f t="shared" si="272"/>
        <v>0.53274382978723422</v>
      </c>
      <c r="EO97">
        <f t="shared" si="273"/>
        <v>1.5299999999999999E-2</v>
      </c>
      <c r="EP97" s="144">
        <f t="shared" si="306"/>
        <v>43.845271625925029</v>
      </c>
      <c r="EQ97" s="456">
        <f t="shared" si="274"/>
        <v>5.6921465790287016</v>
      </c>
      <c r="ER97" s="144">
        <f t="shared" si="307"/>
        <v>5692.146579028702</v>
      </c>
      <c r="ES97" s="456">
        <f t="shared" si="308"/>
        <v>2.4678079999999998</v>
      </c>
      <c r="ET97" s="456"/>
      <c r="EV97" s="144">
        <f t="shared" si="309"/>
        <v>2467.808</v>
      </c>
      <c r="EW97" s="456">
        <f t="shared" si="275"/>
        <v>0.41692637406665461</v>
      </c>
      <c r="EX97" s="456">
        <f t="shared" si="276"/>
        <v>0.46629923415349528</v>
      </c>
      <c r="EY97" s="456">
        <f t="shared" si="277"/>
        <v>34.071554045454604</v>
      </c>
      <c r="EZ97" s="456">
        <f t="shared" si="278"/>
        <v>37.84048890599523</v>
      </c>
      <c r="FA97" s="456">
        <f t="shared" si="279"/>
        <v>4.6978723404255325</v>
      </c>
      <c r="FB97" s="144">
        <f t="shared" si="310"/>
        <v>42538.361246420762</v>
      </c>
      <c r="FC97" s="150">
        <f t="shared" si="311"/>
        <v>50.698315825449463</v>
      </c>
      <c r="FD97" s="5">
        <f t="shared" si="312"/>
        <v>110.4</v>
      </c>
      <c r="FE97" s="150">
        <f t="shared" si="313"/>
        <v>0.68529580482777208</v>
      </c>
      <c r="FF97" s="5">
        <f t="shared" si="314"/>
        <v>68.529580482777206</v>
      </c>
      <c r="FI97" s="59">
        <f t="shared" si="280"/>
        <v>-50</v>
      </c>
      <c r="FJ97">
        <f t="shared" si="281"/>
        <v>-50</v>
      </c>
      <c r="FL97">
        <f t="shared" si="282"/>
        <v>0.52795031055900621</v>
      </c>
    </row>
    <row r="98" spans="5:168">
      <c r="E98" s="147">
        <v>93</v>
      </c>
      <c r="F98" s="188">
        <f t="shared" si="283"/>
        <v>3.72</v>
      </c>
      <c r="G98" s="188"/>
      <c r="H98" s="188">
        <f t="shared" si="183"/>
        <v>111.60000000000001</v>
      </c>
      <c r="I98" s="465">
        <f t="shared" si="184"/>
        <v>33.812439196315779</v>
      </c>
      <c r="J98" s="149">
        <f t="shared" si="185"/>
        <v>30.500994278906887</v>
      </c>
      <c r="K98" s="149">
        <f t="shared" si="186"/>
        <v>64.500994278906887</v>
      </c>
      <c r="L98" s="379"/>
      <c r="M98" s="188">
        <f t="shared" si="187"/>
        <v>0.4742362179294014</v>
      </c>
      <c r="N98" s="149">
        <f t="shared" si="188"/>
        <v>244.69578444692081</v>
      </c>
      <c r="O98" s="149">
        <f t="shared" si="284"/>
        <v>111.60000000000001</v>
      </c>
      <c r="P98" s="188">
        <f t="shared" si="189"/>
        <v>8.156526148230693</v>
      </c>
      <c r="Q98" s="188">
        <f t="shared" si="190"/>
        <v>30</v>
      </c>
      <c r="R98" s="188">
        <f t="shared" si="191"/>
        <v>8.0985269108225477</v>
      </c>
      <c r="S98" s="149">
        <f t="shared" si="192"/>
        <v>104.03472450629317</v>
      </c>
      <c r="T98" s="460">
        <f t="shared" si="193"/>
        <v>30</v>
      </c>
      <c r="U98" s="188">
        <f t="shared" si="194"/>
        <v>14.150841601715674</v>
      </c>
      <c r="V98" s="188">
        <f t="shared" si="195"/>
        <v>1.9669966766346307</v>
      </c>
      <c r="W98" s="188">
        <f t="shared" si="196"/>
        <v>2.180550408288108</v>
      </c>
      <c r="X98" s="172">
        <f t="shared" si="197"/>
        <v>350</v>
      </c>
      <c r="Y98" s="379">
        <f t="shared" si="198"/>
        <v>230.01476015475316</v>
      </c>
      <c r="AA98" s="188">
        <f t="shared" si="199"/>
        <v>9.7481656451538683</v>
      </c>
      <c r="AB98" s="150">
        <f t="shared" si="200"/>
        <v>1.50212737700514</v>
      </c>
      <c r="AC98" s="150">
        <f t="shared" si="201"/>
        <v>2.5625226359541546</v>
      </c>
      <c r="AD98" s="150"/>
      <c r="AE98" s="150">
        <f t="shared" si="202"/>
        <v>0.93389901405762765</v>
      </c>
      <c r="AF98" s="314">
        <f t="shared" si="203"/>
        <v>1314.4890202488737</v>
      </c>
      <c r="AG98" s="456">
        <f t="shared" si="204"/>
        <v>0.9904989543035444</v>
      </c>
      <c r="AI98" s="150">
        <f t="shared" si="205"/>
        <v>11.745202666400138</v>
      </c>
      <c r="AJ98" s="150">
        <f t="shared" si="206"/>
        <v>14.150841601715674</v>
      </c>
      <c r="AK98" s="150">
        <f t="shared" si="207"/>
        <v>7.1927670674886031</v>
      </c>
      <c r="AM98" s="314">
        <f t="shared" si="208"/>
        <v>3720</v>
      </c>
      <c r="AN98" s="144">
        <f t="shared" si="209"/>
        <v>230.01476015475316</v>
      </c>
      <c r="AP98">
        <f t="shared" si="210"/>
        <v>3720</v>
      </c>
      <c r="AQ98">
        <f t="shared" si="211"/>
        <v>230.01476015475316</v>
      </c>
      <c r="AS98" s="5">
        <f t="shared" si="285"/>
        <v>4.3475470849227387</v>
      </c>
      <c r="AT98" s="5">
        <f t="shared" si="212"/>
        <v>1.9669966766346307</v>
      </c>
      <c r="AU98" s="5">
        <f t="shared" si="286"/>
        <v>2.3805504082881077</v>
      </c>
      <c r="AV98" s="5">
        <f t="shared" si="213"/>
        <v>2.180550408288108</v>
      </c>
      <c r="AW98" s="150">
        <f t="shared" si="287"/>
        <v>0.45243826880131116</v>
      </c>
      <c r="AX98" s="150">
        <f t="shared" si="214"/>
        <v>108.24008071552682</v>
      </c>
      <c r="AY98" s="150">
        <f t="shared" si="215"/>
        <v>3.8742296626769313</v>
      </c>
      <c r="AZ98" s="150">
        <f t="shared" si="288"/>
        <v>27.938478133673012</v>
      </c>
      <c r="BA98" s="144">
        <f t="shared" si="216"/>
        <v>24.390758790269423</v>
      </c>
      <c r="BB98" s="5">
        <f t="shared" si="217"/>
        <v>4.6218532705648245</v>
      </c>
      <c r="BC98" s="5"/>
      <c r="BD98" s="150">
        <f t="shared" si="289"/>
        <v>5.4954252934123264</v>
      </c>
      <c r="BE98" s="150">
        <f t="shared" si="218"/>
        <v>6.0455829763119668</v>
      </c>
      <c r="BF98" s="150"/>
      <c r="BG98" s="456">
        <f t="shared" si="219"/>
        <v>0.36239638986571149</v>
      </c>
      <c r="BH98" s="456">
        <f t="shared" si="220"/>
        <v>3.8314860932865935</v>
      </c>
      <c r="BI98" s="456">
        <f t="shared" si="221"/>
        <v>2.6451697417796616E-2</v>
      </c>
      <c r="BJ98" s="456">
        <f t="shared" si="222"/>
        <v>0.49522080130018503</v>
      </c>
      <c r="BK98">
        <f t="shared" si="223"/>
        <v>1.5215597638342101E-2</v>
      </c>
      <c r="BL98" s="144">
        <f t="shared" si="290"/>
        <v>41.66729505613872</v>
      </c>
      <c r="BM98" s="456">
        <f t="shared" si="224"/>
        <v>5.2379675037455229</v>
      </c>
      <c r="BN98" s="144">
        <f t="shared" si="291"/>
        <v>5237.9675037455227</v>
      </c>
      <c r="BO98" s="456">
        <f t="shared" si="225"/>
        <v>2.4946320000000002</v>
      </c>
      <c r="BP98" s="456"/>
      <c r="BR98" s="144">
        <f t="shared" si="292"/>
        <v>2494.6320000000001</v>
      </c>
      <c r="BS98" s="456">
        <f t="shared" si="226"/>
        <v>0.42279578817666336</v>
      </c>
      <c r="BT98" s="456">
        <f t="shared" si="227"/>
        <v>0.51168702932862287</v>
      </c>
      <c r="BU98" s="456">
        <f t="shared" si="228"/>
        <v>30.221425328062633</v>
      </c>
      <c r="BV98" s="456">
        <f t="shared" si="229"/>
        <v>33.915673124053491</v>
      </c>
      <c r="BW98" s="456">
        <f t="shared" si="230"/>
        <v>4.6059608815117805</v>
      </c>
      <c r="BX98" s="144">
        <f t="shared" si="293"/>
        <v>38521.634005565276</v>
      </c>
      <c r="BY98" s="150">
        <f t="shared" si="231"/>
        <v>46.295900804366937</v>
      </c>
      <c r="BZ98" s="5">
        <f t="shared" si="294"/>
        <v>111.60000000000001</v>
      </c>
      <c r="CA98" s="150">
        <f t="shared" si="295"/>
        <v>0.70679478967774112</v>
      </c>
      <c r="CB98" s="5">
        <f t="shared" si="296"/>
        <v>70.679478967774116</v>
      </c>
      <c r="CE98" s="59">
        <f t="shared" si="232"/>
        <v>-50</v>
      </c>
      <c r="CF98">
        <f t="shared" si="233"/>
        <v>-50</v>
      </c>
      <c r="CG98" s="150">
        <f t="shared" si="234"/>
        <v>0.5156727743758126</v>
      </c>
      <c r="CI98" s="147">
        <v>93</v>
      </c>
      <c r="CJ98" s="188">
        <f t="shared" si="297"/>
        <v>3.72</v>
      </c>
      <c r="CK98" s="188"/>
      <c r="CL98" s="188">
        <f t="shared" si="235"/>
        <v>111.60000000000001</v>
      </c>
      <c r="CM98" s="465">
        <f t="shared" si="236"/>
        <v>34</v>
      </c>
      <c r="CN98" s="149">
        <f t="shared" si="237"/>
        <v>30.4</v>
      </c>
      <c r="CO98" s="379">
        <f t="shared" si="238"/>
        <v>64.400000000000006</v>
      </c>
      <c r="CP98" s="379"/>
      <c r="CQ98" s="188">
        <f t="shared" si="239"/>
        <v>0.47204968944099374</v>
      </c>
      <c r="CR98" s="149">
        <f t="shared" si="240"/>
        <v>244.918674788055</v>
      </c>
      <c r="CS98" s="149">
        <f t="shared" si="298"/>
        <v>111.60000000000001</v>
      </c>
      <c r="CT98" s="188">
        <f t="shared" si="241"/>
        <v>8.1639558262685004</v>
      </c>
      <c r="CU98" s="188">
        <f t="shared" si="242"/>
        <v>30</v>
      </c>
      <c r="CV98" s="188">
        <f t="shared" si="243"/>
        <v>8.1059037580776696</v>
      </c>
      <c r="CW98" s="149">
        <f t="shared" si="244"/>
        <v>104.61110021268514</v>
      </c>
      <c r="CX98" s="460">
        <f t="shared" si="245"/>
        <v>30</v>
      </c>
      <c r="CY98" s="188">
        <f t="shared" si="246"/>
        <v>13.906811145510838</v>
      </c>
      <c r="CZ98" s="188">
        <f t="shared" si="247"/>
        <v>1.922412128938263</v>
      </c>
      <c r="DA98" s="188">
        <f t="shared" si="248"/>
        <v>2.1500661968388468</v>
      </c>
      <c r="DB98" s="172">
        <f t="shared" si="249"/>
        <v>350</v>
      </c>
      <c r="DC98" s="379">
        <f t="shared" si="299"/>
        <v>245.55072366387122</v>
      </c>
      <c r="DE98" s="188">
        <f t="shared" si="250"/>
        <v>9.7566501161056465</v>
      </c>
      <c r="DF98" s="150">
        <f t="shared" si="251"/>
        <v>1.5084294587400178</v>
      </c>
      <c r="DG98" s="150">
        <f t="shared" si="252"/>
        <v>2.5755132294067704</v>
      </c>
      <c r="DH98" s="150"/>
      <c r="DI98" s="150">
        <f t="shared" si="253"/>
        <v>0.93700159489633172</v>
      </c>
      <c r="DJ98" s="314">
        <f t="shared" si="300"/>
        <v>1310.136510638298</v>
      </c>
      <c r="DK98" s="456">
        <f t="shared" si="254"/>
        <v>0.99378957034459414</v>
      </c>
      <c r="DM98" s="150">
        <f t="shared" si="255"/>
        <v>11.725741303582518</v>
      </c>
      <c r="DN98" s="150">
        <f t="shared" si="256"/>
        <v>13.906811145510838</v>
      </c>
      <c r="DO98" s="150">
        <f t="shared" si="257"/>
        <v>7.0120037665961314</v>
      </c>
      <c r="DQ98" s="314">
        <f t="shared" si="258"/>
        <v>3720</v>
      </c>
      <c r="DR98" s="144">
        <f t="shared" si="259"/>
        <v>245.55072366387122</v>
      </c>
      <c r="DT98">
        <f t="shared" si="260"/>
        <v>3720</v>
      </c>
      <c r="DU98">
        <f t="shared" si="261"/>
        <v>245.55072366387122</v>
      </c>
      <c r="DW98" s="5">
        <f t="shared" si="301"/>
        <v>4.0724783257771096</v>
      </c>
      <c r="DX98" s="5">
        <f t="shared" si="262"/>
        <v>1.922412128938263</v>
      </c>
      <c r="DY98" s="5">
        <f t="shared" si="302"/>
        <v>2.1500661968388464</v>
      </c>
      <c r="DZ98" s="5">
        <f t="shared" si="263"/>
        <v>2.1500661968388468</v>
      </c>
      <c r="EA98" s="150">
        <f t="shared" si="303"/>
        <v>0.47204968944099379</v>
      </c>
      <c r="EB98" s="150">
        <f t="shared" si="264"/>
        <v>111.60000000000001</v>
      </c>
      <c r="EC98" s="150">
        <f t="shared" si="265"/>
        <v>3.6710526315789478</v>
      </c>
      <c r="ED98" s="150">
        <f t="shared" si="304"/>
        <v>30.4</v>
      </c>
      <c r="EE98" s="144">
        <f t="shared" si="266"/>
        <v>23.837910398834463</v>
      </c>
      <c r="EF98" s="5">
        <f t="shared" si="267"/>
        <v>4.1513388852459387</v>
      </c>
      <c r="EG98" s="5"/>
      <c r="EH98" s="150">
        <f t="shared" si="305"/>
        <v>5.5164639921996672</v>
      </c>
      <c r="EI98" s="150">
        <f t="shared" si="268"/>
        <v>5.8339600988578937</v>
      </c>
      <c r="EJ98" s="150"/>
      <c r="EK98" s="456">
        <f t="shared" si="269"/>
        <v>0.36517649972682587</v>
      </c>
      <c r="EL98" s="456">
        <f t="shared" si="270"/>
        <v>4.1783829787234046</v>
      </c>
      <c r="EM98" s="456">
        <f t="shared" si="271"/>
        <v>2.8238333221345193E-2</v>
      </c>
      <c r="EN98" s="456">
        <f t="shared" si="272"/>
        <v>0.52701540150995196</v>
      </c>
      <c r="EO98">
        <f t="shared" si="273"/>
        <v>1.5299999999999999E-2</v>
      </c>
      <c r="EP98" s="144">
        <f t="shared" si="306"/>
        <v>43.538333221345191</v>
      </c>
      <c r="EQ98" s="456">
        <f t="shared" si="274"/>
        <v>5.7079680615379189</v>
      </c>
      <c r="ER98" s="144">
        <f t="shared" si="307"/>
        <v>5707.9680615379193</v>
      </c>
      <c r="ES98" s="456">
        <f t="shared" si="308"/>
        <v>2.4946320000000002</v>
      </c>
      <c r="ET98" s="456"/>
      <c r="EV98" s="144">
        <f t="shared" si="309"/>
        <v>2494.6320000000001</v>
      </c>
      <c r="EW98" s="456">
        <f t="shared" si="275"/>
        <v>0.42603924968129686</v>
      </c>
      <c r="EX98" s="456">
        <f t="shared" si="276"/>
        <v>0.47649126609092407</v>
      </c>
      <c r="EY98" s="456">
        <f t="shared" si="277"/>
        <v>34.071554045454604</v>
      </c>
      <c r="EZ98" s="456">
        <f t="shared" si="278"/>
        <v>37.9292783792948</v>
      </c>
      <c r="FA98" s="456">
        <f t="shared" si="279"/>
        <v>4.748936170212767</v>
      </c>
      <c r="FB98" s="144">
        <f t="shared" si="310"/>
        <v>42678.214549507567</v>
      </c>
      <c r="FC98" s="150">
        <f t="shared" si="311"/>
        <v>50.880814611045487</v>
      </c>
      <c r="FD98" s="5">
        <f t="shared" si="312"/>
        <v>111.60000000000001</v>
      </c>
      <c r="FE98" s="150">
        <f t="shared" si="313"/>
        <v>0.68685032301908089</v>
      </c>
      <c r="FF98" s="5">
        <f t="shared" si="314"/>
        <v>68.685032301908095</v>
      </c>
      <c r="FI98" s="59">
        <f t="shared" si="280"/>
        <v>-50</v>
      </c>
      <c r="FJ98">
        <f t="shared" si="281"/>
        <v>-50</v>
      </c>
      <c r="FL98">
        <f t="shared" si="282"/>
        <v>0.52795031055900621</v>
      </c>
    </row>
    <row r="99" spans="5:168">
      <c r="E99" s="147">
        <v>94</v>
      </c>
      <c r="F99" s="188">
        <f t="shared" si="283"/>
        <v>3.76</v>
      </c>
      <c r="G99" s="188"/>
      <c r="H99" s="188">
        <f t="shared" si="183"/>
        <v>112.8</v>
      </c>
      <c r="I99" s="465">
        <f t="shared" si="184"/>
        <v>33.810470418446862</v>
      </c>
      <c r="J99" s="149">
        <f t="shared" si="185"/>
        <v>30.502054390067073</v>
      </c>
      <c r="K99" s="149">
        <f t="shared" si="186"/>
        <v>64.502054390067073</v>
      </c>
      <c r="L99" s="379"/>
      <c r="M99" s="188">
        <f t="shared" si="187"/>
        <v>0.47425940782844606</v>
      </c>
      <c r="N99" s="149">
        <f t="shared" si="188"/>
        <v>244.69350148030244</v>
      </c>
      <c r="O99" s="149">
        <f t="shared" si="284"/>
        <v>112.8</v>
      </c>
      <c r="P99" s="188">
        <f t="shared" si="189"/>
        <v>8.1564500493434142</v>
      </c>
      <c r="Q99" s="188">
        <f t="shared" si="190"/>
        <v>30</v>
      </c>
      <c r="R99" s="188">
        <f t="shared" si="191"/>
        <v>8.0984513530574773</v>
      </c>
      <c r="S99" s="149">
        <f t="shared" si="192"/>
        <v>102.56551859105751</v>
      </c>
      <c r="T99" s="460">
        <f t="shared" si="193"/>
        <v>30</v>
      </c>
      <c r="U99" s="188">
        <f t="shared" si="194"/>
        <v>14.303632080107969</v>
      </c>
      <c r="V99" s="188">
        <f t="shared" si="195"/>
        <v>1.9883506483195401</v>
      </c>
      <c r="W99" s="188">
        <f t="shared" si="196"/>
        <v>2.2040177988273406</v>
      </c>
      <c r="X99" s="172">
        <f t="shared" si="197"/>
        <v>350</v>
      </c>
      <c r="Y99" s="379">
        <f t="shared" si="198"/>
        <v>227.66760394373628</v>
      </c>
      <c r="AA99" s="188">
        <f t="shared" si="199"/>
        <v>9.7480745655101781</v>
      </c>
      <c r="AB99" s="150">
        <f t="shared" si="200"/>
        <v>1.5020611356859195</v>
      </c>
      <c r="AC99" s="150">
        <f t="shared" si="201"/>
        <v>2.5623856917087178</v>
      </c>
      <c r="AD99" s="150"/>
      <c r="AE99" s="150">
        <f t="shared" si="202"/>
        <v>0.93386655602202684</v>
      </c>
      <c r="AF99" s="314">
        <f t="shared" si="203"/>
        <v>1328.6694892313217</v>
      </c>
      <c r="AG99" s="456">
        <f t="shared" si="204"/>
        <v>0.99046452911427096</v>
      </c>
      <c r="AI99" s="150">
        <f t="shared" si="205"/>
        <v>11.808385280215957</v>
      </c>
      <c r="AJ99" s="150">
        <f t="shared" si="206"/>
        <v>14.303632080107969</v>
      </c>
      <c r="AK99" s="150">
        <f t="shared" si="207"/>
        <v>7.3059451996310436</v>
      </c>
      <c r="AM99" s="314">
        <f t="shared" si="208"/>
        <v>3760</v>
      </c>
      <c r="AN99" s="144">
        <f t="shared" si="209"/>
        <v>227.66760394373628</v>
      </c>
      <c r="AP99">
        <f t="shared" si="210"/>
        <v>3760</v>
      </c>
      <c r="AQ99">
        <f t="shared" si="211"/>
        <v>227.66760394373628</v>
      </c>
      <c r="AS99" s="5">
        <f t="shared" si="285"/>
        <v>4.3923684471468807</v>
      </c>
      <c r="AT99" s="5">
        <f t="shared" si="212"/>
        <v>1.9883506483195401</v>
      </c>
      <c r="AU99" s="5">
        <f t="shared" si="286"/>
        <v>2.4040177988273408</v>
      </c>
      <c r="AV99" s="5">
        <f t="shared" si="213"/>
        <v>2.2040177988273406</v>
      </c>
      <c r="AW99" s="150">
        <f t="shared" si="287"/>
        <v>0.45268302790288434</v>
      </c>
      <c r="AX99" s="150">
        <f t="shared" si="214"/>
        <v>109.46159205236469</v>
      </c>
      <c r="AY99" s="150">
        <f t="shared" si="215"/>
        <v>3.9143103000379305</v>
      </c>
      <c r="AZ99" s="150">
        <f t="shared" si="288"/>
        <v>27.964464659662774</v>
      </c>
      <c r="BA99" s="144">
        <f t="shared" si="216"/>
        <v>24.920661458938234</v>
      </c>
      <c r="BB99" s="5">
        <f t="shared" si="217"/>
        <v>4.7178773208002687</v>
      </c>
      <c r="BC99" s="5"/>
      <c r="BD99" s="150">
        <f t="shared" si="289"/>
        <v>5.556263190456173</v>
      </c>
      <c r="BE99" s="150">
        <f t="shared" si="218"/>
        <v>6.1094928528817398</v>
      </c>
      <c r="BF99" s="150"/>
      <c r="BG99" s="456">
        <f t="shared" si="219"/>
        <v>0.37046472769941857</v>
      </c>
      <c r="BH99" s="456">
        <f t="shared" si="220"/>
        <v>3.8333986311777162</v>
      </c>
      <c r="BI99" s="456">
        <f t="shared" si="221"/>
        <v>2.6181774453529677E-2</v>
      </c>
      <c r="BJ99" s="456">
        <f t="shared" si="222"/>
        <v>0.49018349645225523</v>
      </c>
      <c r="BK99">
        <f t="shared" si="223"/>
        <v>1.5214711688301087E-2</v>
      </c>
      <c r="BL99" s="144">
        <f t="shared" si="290"/>
        <v>41.396486141830763</v>
      </c>
      <c r="BM99" s="456">
        <f t="shared" si="224"/>
        <v>5.2567874838937882</v>
      </c>
      <c r="BN99" s="144">
        <f t="shared" si="291"/>
        <v>5256.7874838937878</v>
      </c>
      <c r="BO99" s="456">
        <f t="shared" si="225"/>
        <v>2.5214559999999997</v>
      </c>
      <c r="BP99" s="456"/>
      <c r="BR99" s="144">
        <f t="shared" si="292"/>
        <v>2521.4559999999997</v>
      </c>
      <c r="BS99" s="456">
        <f t="shared" si="226"/>
        <v>0.43220884898265499</v>
      </c>
      <c r="BT99" s="456">
        <f t="shared" si="227"/>
        <v>0.52256264087178284</v>
      </c>
      <c r="BU99" s="456">
        <f t="shared" si="228"/>
        <v>30.257909745998198</v>
      </c>
      <c r="BV99" s="456">
        <f t="shared" si="229"/>
        <v>34.042013943019477</v>
      </c>
      <c r="BW99" s="456">
        <f t="shared" si="230"/>
        <v>4.6579400873346675</v>
      </c>
      <c r="BX99" s="144">
        <f t="shared" si="293"/>
        <v>38699.954030354143</v>
      </c>
      <c r="BY99" s="150">
        <f t="shared" si="231"/>
        <v>46.519594000389759</v>
      </c>
      <c r="BZ99" s="5">
        <f t="shared" si="294"/>
        <v>112.8</v>
      </c>
      <c r="CA99" s="150">
        <f t="shared" si="295"/>
        <v>0.70801084265708103</v>
      </c>
      <c r="CB99" s="5">
        <f t="shared" si="296"/>
        <v>70.801084265708099</v>
      </c>
      <c r="CE99" s="59">
        <f t="shared" si="232"/>
        <v>-50</v>
      </c>
      <c r="CF99">
        <f t="shared" si="233"/>
        <v>-50</v>
      </c>
      <c r="CG99" s="150">
        <f t="shared" si="234"/>
        <v>0.51580338646286794</v>
      </c>
      <c r="CI99" s="147">
        <v>94</v>
      </c>
      <c r="CJ99" s="188">
        <f t="shared" si="297"/>
        <v>3.76</v>
      </c>
      <c r="CK99" s="188"/>
      <c r="CL99" s="188">
        <f t="shared" si="235"/>
        <v>112.8</v>
      </c>
      <c r="CM99" s="465">
        <f t="shared" si="236"/>
        <v>34</v>
      </c>
      <c r="CN99" s="149">
        <f t="shared" si="237"/>
        <v>30.4</v>
      </c>
      <c r="CO99" s="379">
        <f t="shared" si="238"/>
        <v>64.400000000000006</v>
      </c>
      <c r="CP99" s="379"/>
      <c r="CQ99" s="188">
        <f t="shared" si="239"/>
        <v>0.47204968944099374</v>
      </c>
      <c r="CR99" s="149">
        <f t="shared" si="240"/>
        <v>244.918674788055</v>
      </c>
      <c r="CS99" s="149">
        <f t="shared" si="298"/>
        <v>112.8</v>
      </c>
      <c r="CT99" s="188">
        <f t="shared" si="241"/>
        <v>8.1639558262685004</v>
      </c>
      <c r="CU99" s="188">
        <f t="shared" si="242"/>
        <v>30</v>
      </c>
      <c r="CV99" s="188">
        <f t="shared" si="243"/>
        <v>8.1059037580776696</v>
      </c>
      <c r="CW99" s="149">
        <f t="shared" si="244"/>
        <v>103.13973223174295</v>
      </c>
      <c r="CX99" s="460">
        <f t="shared" si="245"/>
        <v>30</v>
      </c>
      <c r="CY99" s="188">
        <f t="shared" si="246"/>
        <v>14.056346749226007</v>
      </c>
      <c r="CZ99" s="188">
        <f t="shared" si="247"/>
        <v>1.9430832270988894</v>
      </c>
      <c r="DA99" s="188">
        <f t="shared" si="248"/>
        <v>2.1731851882027056</v>
      </c>
      <c r="DB99" s="172">
        <f t="shared" si="249"/>
        <v>350</v>
      </c>
      <c r="DC99" s="379">
        <f t="shared" si="299"/>
        <v>242.93848192276621</v>
      </c>
      <c r="DE99" s="188">
        <f t="shared" si="250"/>
        <v>9.7566501161056465</v>
      </c>
      <c r="DF99" s="150">
        <f t="shared" si="251"/>
        <v>1.5084294587400178</v>
      </c>
      <c r="DG99" s="150">
        <f t="shared" si="252"/>
        <v>2.5755132294067704</v>
      </c>
      <c r="DH99" s="150"/>
      <c r="DI99" s="150">
        <f t="shared" si="253"/>
        <v>0.93700159489633172</v>
      </c>
      <c r="DJ99" s="314">
        <f t="shared" si="300"/>
        <v>1324.2239999999999</v>
      </c>
      <c r="DK99" s="456">
        <f t="shared" si="254"/>
        <v>0.99378957034459414</v>
      </c>
      <c r="DM99" s="150">
        <f t="shared" si="255"/>
        <v>11.788614361808115</v>
      </c>
      <c r="DN99" s="150">
        <f t="shared" si="256"/>
        <v>14.056346749226007</v>
      </c>
      <c r="DO99" s="150">
        <f t="shared" si="257"/>
        <v>7.1227708804592194</v>
      </c>
      <c r="DQ99" s="314">
        <f t="shared" si="258"/>
        <v>3760</v>
      </c>
      <c r="DR99" s="144">
        <f t="shared" si="259"/>
        <v>242.93848192276621</v>
      </c>
      <c r="DT99">
        <f t="shared" si="260"/>
        <v>3760</v>
      </c>
      <c r="DU99">
        <f t="shared" si="261"/>
        <v>242.93848192276621</v>
      </c>
      <c r="DW99" s="5">
        <f t="shared" si="301"/>
        <v>4.1162684153015947</v>
      </c>
      <c r="DX99" s="5">
        <f t="shared" si="262"/>
        <v>1.9430832270988894</v>
      </c>
      <c r="DY99" s="5">
        <f t="shared" si="302"/>
        <v>2.1731851882027051</v>
      </c>
      <c r="DZ99" s="5">
        <f t="shared" si="263"/>
        <v>2.1731851882027056</v>
      </c>
      <c r="EA99" s="150">
        <f t="shared" si="303"/>
        <v>0.47204968944099379</v>
      </c>
      <c r="EB99" s="150">
        <f t="shared" si="264"/>
        <v>112.79999999999998</v>
      </c>
      <c r="EC99" s="150">
        <f t="shared" si="265"/>
        <v>3.7105263157894739</v>
      </c>
      <c r="ED99" s="150">
        <f t="shared" si="304"/>
        <v>30.399999999999995</v>
      </c>
      <c r="EE99" s="144">
        <f t="shared" si="266"/>
        <v>24.353309779639414</v>
      </c>
      <c r="EF99" s="5">
        <f t="shared" si="267"/>
        <v>4.2410949693644477</v>
      </c>
      <c r="EG99" s="5"/>
      <c r="EH99" s="150">
        <f t="shared" si="305"/>
        <v>5.5757808093200927</v>
      </c>
      <c r="EI99" s="150">
        <f t="shared" si="268"/>
        <v>5.8966908526090531</v>
      </c>
      <c r="EJ99" s="150"/>
      <c r="EK99" s="456">
        <f t="shared" si="269"/>
        <v>0.37307197960298671</v>
      </c>
      <c r="EL99" s="456">
        <f t="shared" si="270"/>
        <v>4.1783829787234046</v>
      </c>
      <c r="EM99" s="456">
        <f t="shared" si="271"/>
        <v>2.7937925421118118E-2</v>
      </c>
      <c r="EN99" s="456">
        <f t="shared" si="272"/>
        <v>0.52140885468537801</v>
      </c>
      <c r="EO99">
        <f t="shared" si="273"/>
        <v>1.5299999999999999E-2</v>
      </c>
      <c r="EP99" s="144">
        <f t="shared" si="306"/>
        <v>43.237925421118113</v>
      </c>
      <c r="EQ99" s="456">
        <f t="shared" si="274"/>
        <v>5.7242385692283415</v>
      </c>
      <c r="ER99" s="144">
        <f t="shared" si="307"/>
        <v>5724.2385692283415</v>
      </c>
      <c r="ES99" s="456">
        <f t="shared" si="308"/>
        <v>2.5214559999999997</v>
      </c>
      <c r="ET99" s="456"/>
      <c r="EV99" s="144">
        <f t="shared" si="309"/>
        <v>2521.4559999999997</v>
      </c>
      <c r="EW99" s="456">
        <f t="shared" si="275"/>
        <v>0.43525064287015119</v>
      </c>
      <c r="EX99" s="456">
        <f t="shared" si="276"/>
        <v>0.48679348215740598</v>
      </c>
      <c r="EY99" s="456">
        <f t="shared" si="277"/>
        <v>34.071554045454661</v>
      </c>
      <c r="EZ99" s="456">
        <f t="shared" si="278"/>
        <v>38.019328650028918</v>
      </c>
      <c r="FA99" s="456">
        <f t="shared" si="279"/>
        <v>4.8000000000000007</v>
      </c>
      <c r="FB99" s="144">
        <f t="shared" si="310"/>
        <v>42819.328650028925</v>
      </c>
      <c r="FC99" s="150">
        <f t="shared" si="311"/>
        <v>51.065023219257256</v>
      </c>
      <c r="FD99" s="5">
        <f t="shared" si="312"/>
        <v>112.8</v>
      </c>
      <c r="FE99" s="150">
        <f t="shared" si="313"/>
        <v>0.68837142780048666</v>
      </c>
      <c r="FF99" s="5">
        <f t="shared" si="314"/>
        <v>68.837142780048666</v>
      </c>
      <c r="FI99" s="59">
        <f t="shared" si="280"/>
        <v>-50</v>
      </c>
      <c r="FJ99">
        <f t="shared" si="281"/>
        <v>-50</v>
      </c>
      <c r="FL99">
        <f t="shared" si="282"/>
        <v>0.52795031055900621</v>
      </c>
    </row>
    <row r="100" spans="5:168">
      <c r="E100" s="147">
        <v>95</v>
      </c>
      <c r="F100" s="188">
        <f t="shared" si="283"/>
        <v>3.8</v>
      </c>
      <c r="G100" s="188"/>
      <c r="H100" s="188">
        <f t="shared" si="183"/>
        <v>114</v>
      </c>
      <c r="I100" s="465">
        <f t="shared" si="184"/>
        <v>33.808501616783964</v>
      </c>
      <c r="J100" s="149">
        <f t="shared" si="185"/>
        <v>30.503114514039403</v>
      </c>
      <c r="K100" s="149">
        <f t="shared" si="186"/>
        <v>64.503114514039396</v>
      </c>
      <c r="L100" s="379"/>
      <c r="M100" s="188">
        <f t="shared" si="187"/>
        <v>0.4742825985578728</v>
      </c>
      <c r="N100" s="149">
        <f t="shared" si="188"/>
        <v>244.69121737646705</v>
      </c>
      <c r="O100" s="149">
        <f t="shared" si="284"/>
        <v>114</v>
      </c>
      <c r="P100" s="188">
        <f t="shared" si="189"/>
        <v>8.1563739125489025</v>
      </c>
      <c r="Q100" s="188">
        <f t="shared" si="190"/>
        <v>30</v>
      </c>
      <c r="R100" s="188">
        <f t="shared" si="191"/>
        <v>8.0983757576547184</v>
      </c>
      <c r="S100" s="149">
        <f t="shared" si="192"/>
        <v>101.12733600966683</v>
      </c>
      <c r="T100" s="460">
        <f t="shared" si="193"/>
        <v>30</v>
      </c>
      <c r="U100" s="188">
        <f t="shared" si="194"/>
        <v>14.456436060803728</v>
      </c>
      <c r="V100" s="188">
        <f t="shared" si="195"/>
        <v>2.0097089855069661</v>
      </c>
      <c r="W100" s="188">
        <f t="shared" si="196"/>
        <v>2.2274856377208616</v>
      </c>
      <c r="X100" s="172">
        <f t="shared" si="197"/>
        <v>350</v>
      </c>
      <c r="Y100" s="379">
        <f t="shared" si="198"/>
        <v>225.3676218674745</v>
      </c>
      <c r="AA100" s="188">
        <f t="shared" si="199"/>
        <v>9.7479834427343324</v>
      </c>
      <c r="AB100" s="150">
        <f t="shared" si="200"/>
        <v>1.5019948916942318</v>
      </c>
      <c r="AC100" s="150">
        <f t="shared" si="201"/>
        <v>2.562248733678711</v>
      </c>
      <c r="AD100" s="150"/>
      <c r="AE100" s="150">
        <f t="shared" si="202"/>
        <v>0.93383409985029586</v>
      </c>
      <c r="AF100" s="314">
        <f t="shared" si="203"/>
        <v>1342.8509412978497</v>
      </c>
      <c r="AG100" s="456">
        <f t="shared" si="204"/>
        <v>0.99043010590182901</v>
      </c>
      <c r="AI100" s="150">
        <f t="shared" si="205"/>
        <v>11.871235965456069</v>
      </c>
      <c r="AJ100" s="150">
        <f t="shared" si="206"/>
        <v>14.456436060803728</v>
      </c>
      <c r="AK100" s="150">
        <f t="shared" si="207"/>
        <v>7.4191333334797536</v>
      </c>
      <c r="AM100" s="314">
        <f t="shared" si="208"/>
        <v>3800</v>
      </c>
      <c r="AN100" s="144">
        <f t="shared" si="209"/>
        <v>225.3676218674745</v>
      </c>
      <c r="AP100">
        <f t="shared" si="210"/>
        <v>3800</v>
      </c>
      <c r="AQ100">
        <f t="shared" si="211"/>
        <v>225.3676218674745</v>
      </c>
      <c r="AS100" s="5">
        <f t="shared" si="285"/>
        <v>4.4371946232278274</v>
      </c>
      <c r="AT100" s="5">
        <f t="shared" si="212"/>
        <v>2.0097089855069661</v>
      </c>
      <c r="AU100" s="5">
        <f t="shared" si="286"/>
        <v>2.4274856377208613</v>
      </c>
      <c r="AV100" s="5">
        <f t="shared" si="213"/>
        <v>2.2274856377208616</v>
      </c>
      <c r="AW100" s="150">
        <f t="shared" si="287"/>
        <v>0.45292333470939972</v>
      </c>
      <c r="AX100" s="150">
        <f t="shared" si="214"/>
        <v>110.68324000085974</v>
      </c>
      <c r="AY100" s="150">
        <f t="shared" si="215"/>
        <v>3.9543894160656428</v>
      </c>
      <c r="AZ100" s="150">
        <f t="shared" si="288"/>
        <v>27.989969715977615</v>
      </c>
      <c r="BA100" s="144">
        <f t="shared" si="216"/>
        <v>25.45631381642157</v>
      </c>
      <c r="BB100" s="5">
        <f t="shared" si="217"/>
        <v>4.8148933911727045</v>
      </c>
      <c r="BC100" s="5"/>
      <c r="BD100" s="150">
        <f t="shared" si="289"/>
        <v>5.6171104099991513</v>
      </c>
      <c r="BE100" s="150">
        <f t="shared" si="218"/>
        <v>6.1734041259190739</v>
      </c>
      <c r="BF100" s="150"/>
      <c r="BG100" s="456">
        <f t="shared" si="219"/>
        <v>0.37862315229745003</v>
      </c>
      <c r="BH100" s="456">
        <f t="shared" si="220"/>
        <v>3.835273285308936</v>
      </c>
      <c r="BI100" s="456">
        <f t="shared" si="221"/>
        <v>2.5917276514759568E-2</v>
      </c>
      <c r="BJ100" s="456">
        <f t="shared" si="222"/>
        <v>0.48524743222206068</v>
      </c>
      <c r="BK100">
        <f t="shared" si="223"/>
        <v>1.5213825727552784E-2</v>
      </c>
      <c r="BL100" s="144">
        <f t="shared" si="290"/>
        <v>41.131102242312352</v>
      </c>
      <c r="BM100" s="456">
        <f t="shared" si="224"/>
        <v>5.2760061794157949</v>
      </c>
      <c r="BN100" s="144">
        <f t="shared" si="291"/>
        <v>5276.0061794157946</v>
      </c>
      <c r="BO100" s="456">
        <f t="shared" si="225"/>
        <v>2.5482799999999997</v>
      </c>
      <c r="BP100" s="456"/>
      <c r="BR100" s="144">
        <f t="shared" si="292"/>
        <v>2548.2799999999997</v>
      </c>
      <c r="BS100" s="456">
        <f t="shared" si="226"/>
        <v>0.44172701101369166</v>
      </c>
      <c r="BT100" s="456">
        <f t="shared" si="227"/>
        <v>0.53355285902680505</v>
      </c>
      <c r="BU100" s="456">
        <f t="shared" si="228"/>
        <v>30.293671276155923</v>
      </c>
      <c r="BV100" s="456">
        <f t="shared" si="229"/>
        <v>34.168962412708971</v>
      </c>
      <c r="BW100" s="456">
        <f t="shared" si="230"/>
        <v>4.709925106419564</v>
      </c>
      <c r="BX100" s="144">
        <f t="shared" si="293"/>
        <v>38878.887519128533</v>
      </c>
      <c r="BY100" s="150">
        <f t="shared" si="231"/>
        <v>46.744304800786637</v>
      </c>
      <c r="BZ100" s="5">
        <f t="shared" si="294"/>
        <v>114</v>
      </c>
      <c r="CA100" s="150">
        <f t="shared" si="295"/>
        <v>0.70920086494686263</v>
      </c>
      <c r="CB100" s="5">
        <f t="shared" si="296"/>
        <v>70.920086494686259</v>
      </c>
      <c r="CE100" s="59">
        <f t="shared" si="232"/>
        <v>-50</v>
      </c>
      <c r="CF100">
        <f t="shared" si="233"/>
        <v>-50</v>
      </c>
      <c r="CG100" s="150">
        <f t="shared" si="234"/>
        <v>0.51593124882177466</v>
      </c>
      <c r="CI100" s="147">
        <v>95</v>
      </c>
      <c r="CJ100" s="188">
        <f t="shared" si="297"/>
        <v>3.8</v>
      </c>
      <c r="CK100" s="188"/>
      <c r="CL100" s="188">
        <f t="shared" si="235"/>
        <v>114</v>
      </c>
      <c r="CM100" s="465">
        <f t="shared" si="236"/>
        <v>34</v>
      </c>
      <c r="CN100" s="149">
        <f t="shared" si="237"/>
        <v>30.4</v>
      </c>
      <c r="CO100" s="379">
        <f t="shared" si="238"/>
        <v>64.400000000000006</v>
      </c>
      <c r="CP100" s="379"/>
      <c r="CQ100" s="188">
        <f t="shared" si="239"/>
        <v>0.47204968944099374</v>
      </c>
      <c r="CR100" s="149">
        <f t="shared" si="240"/>
        <v>244.918674788055</v>
      </c>
      <c r="CS100" s="149">
        <f t="shared" si="298"/>
        <v>114</v>
      </c>
      <c r="CT100" s="188">
        <f t="shared" si="241"/>
        <v>8.1639558262685004</v>
      </c>
      <c r="CU100" s="188">
        <f t="shared" si="242"/>
        <v>30</v>
      </c>
      <c r="CV100" s="188">
        <f t="shared" si="243"/>
        <v>8.1059037580776696</v>
      </c>
      <c r="CW100" s="149">
        <f t="shared" si="244"/>
        <v>101.69939173374381</v>
      </c>
      <c r="CX100" s="460">
        <f t="shared" si="245"/>
        <v>30</v>
      </c>
      <c r="CY100" s="188">
        <f t="shared" si="246"/>
        <v>14.205882352941178</v>
      </c>
      <c r="CZ100" s="188">
        <f t="shared" si="247"/>
        <v>1.9637543252595155</v>
      </c>
      <c r="DA100" s="188">
        <f t="shared" si="248"/>
        <v>2.1963041795665639</v>
      </c>
      <c r="DB100" s="172">
        <f t="shared" si="249"/>
        <v>350</v>
      </c>
      <c r="DC100" s="379">
        <f t="shared" si="299"/>
        <v>240.38123474463188</v>
      </c>
      <c r="DE100" s="188">
        <f t="shared" si="250"/>
        <v>9.7566501161056465</v>
      </c>
      <c r="DF100" s="150">
        <f t="shared" si="251"/>
        <v>1.5084294587400178</v>
      </c>
      <c r="DG100" s="150">
        <f t="shared" si="252"/>
        <v>2.5755132294067704</v>
      </c>
      <c r="DH100" s="150"/>
      <c r="DI100" s="150">
        <f t="shared" si="253"/>
        <v>0.93700159489633172</v>
      </c>
      <c r="DJ100" s="314">
        <f t="shared" si="300"/>
        <v>1338.3114893617019</v>
      </c>
      <c r="DK100" s="456">
        <f t="shared" si="254"/>
        <v>0.99378957034459414</v>
      </c>
      <c r="DM100" s="150">
        <f t="shared" si="255"/>
        <v>11.851153868898846</v>
      </c>
      <c r="DN100" s="150">
        <f t="shared" si="256"/>
        <v>14.205882352941178</v>
      </c>
      <c r="DO100" s="150">
        <f t="shared" si="257"/>
        <v>7.233537994322309</v>
      </c>
      <c r="DQ100" s="314">
        <f t="shared" si="258"/>
        <v>3800</v>
      </c>
      <c r="DR100" s="144">
        <f t="shared" si="259"/>
        <v>240.38123474463188</v>
      </c>
      <c r="DT100">
        <f t="shared" si="260"/>
        <v>3800</v>
      </c>
      <c r="DU100">
        <f t="shared" si="261"/>
        <v>240.38123474463188</v>
      </c>
      <c r="DW100" s="5">
        <f t="shared" si="301"/>
        <v>4.160058504826079</v>
      </c>
      <c r="DX100" s="5">
        <f t="shared" si="262"/>
        <v>1.9637543252595155</v>
      </c>
      <c r="DY100" s="5">
        <f t="shared" si="302"/>
        <v>2.1963041795665634</v>
      </c>
      <c r="DZ100" s="5">
        <f t="shared" si="263"/>
        <v>2.1963041795665639</v>
      </c>
      <c r="EA100" s="150">
        <f t="shared" si="303"/>
        <v>0.47204968944099379</v>
      </c>
      <c r="EB100" s="150">
        <f t="shared" si="264"/>
        <v>114.00000000000001</v>
      </c>
      <c r="EC100" s="150">
        <f t="shared" si="265"/>
        <v>3.7500000000000004</v>
      </c>
      <c r="ED100" s="150">
        <f t="shared" si="304"/>
        <v>30.4</v>
      </c>
      <c r="EE100" s="144">
        <f t="shared" si="266"/>
        <v>24.874221453287195</v>
      </c>
      <c r="EF100" s="5">
        <f t="shared" si="267"/>
        <v>4.3318110116018724</v>
      </c>
      <c r="EG100" s="5"/>
      <c r="EH100" s="150">
        <f t="shared" si="305"/>
        <v>5.635097626440519</v>
      </c>
      <c r="EI100" s="150">
        <f t="shared" si="268"/>
        <v>5.9594216063602135</v>
      </c>
      <c r="EJ100" s="150"/>
      <c r="EK100" s="456">
        <f t="shared" si="269"/>
        <v>0.38105190311418685</v>
      </c>
      <c r="EL100" s="456">
        <f t="shared" si="270"/>
        <v>4.1783829787234055</v>
      </c>
      <c r="EM100" s="456">
        <f t="shared" si="271"/>
        <v>2.7643841995632669E-2</v>
      </c>
      <c r="EN100" s="456">
        <f t="shared" si="272"/>
        <v>0.51592034042553203</v>
      </c>
      <c r="EO100">
        <f t="shared" si="273"/>
        <v>1.5299999999999999E-2</v>
      </c>
      <c r="EP100" s="144">
        <f t="shared" si="306"/>
        <v>42.943841995632667</v>
      </c>
      <c r="EQ100" s="456">
        <f t="shared" si="274"/>
        <v>5.7409574987711993</v>
      </c>
      <c r="ER100" s="144">
        <f t="shared" si="307"/>
        <v>5740.9574987711994</v>
      </c>
      <c r="ES100" s="456">
        <f t="shared" si="308"/>
        <v>2.5482799999999997</v>
      </c>
      <c r="ET100" s="456"/>
      <c r="EV100" s="144">
        <f t="shared" si="309"/>
        <v>2548.2799999999997</v>
      </c>
      <c r="EW100" s="456">
        <f t="shared" si="275"/>
        <v>0.444560553633218</v>
      </c>
      <c r="EX100" s="456">
        <f t="shared" si="276"/>
        <v>0.49720588235294128</v>
      </c>
      <c r="EY100" s="456">
        <f t="shared" si="277"/>
        <v>34.071554045454633</v>
      </c>
      <c r="EZ100" s="456">
        <f t="shared" si="278"/>
        <v>38.110650981947998</v>
      </c>
      <c r="FA100" s="456">
        <f t="shared" si="279"/>
        <v>4.8510638297872344</v>
      </c>
      <c r="FB100" s="144">
        <f t="shared" si="310"/>
        <v>42961.714811735234</v>
      </c>
      <c r="FC100" s="150">
        <f t="shared" si="311"/>
        <v>51.250952310506435</v>
      </c>
      <c r="FD100" s="5">
        <f t="shared" si="312"/>
        <v>114</v>
      </c>
      <c r="FE100" s="150">
        <f t="shared" si="313"/>
        <v>0.68985986710560121</v>
      </c>
      <c r="FF100" s="5">
        <f t="shared" si="314"/>
        <v>68.985986710560127</v>
      </c>
      <c r="FI100" s="59">
        <f t="shared" si="280"/>
        <v>-50</v>
      </c>
      <c r="FJ100">
        <f t="shared" si="281"/>
        <v>-50</v>
      </c>
      <c r="FL100">
        <f t="shared" si="282"/>
        <v>0.52795031055900621</v>
      </c>
    </row>
    <row r="101" spans="5:168">
      <c r="E101" s="147">
        <v>96</v>
      </c>
      <c r="F101" s="188">
        <f t="shared" si="283"/>
        <v>3.84</v>
      </c>
      <c r="G101" s="188"/>
      <c r="H101" s="188">
        <f>F101*Vout</f>
        <v>115.19999999999999</v>
      </c>
      <c r="I101" s="465">
        <f t="shared" si="184"/>
        <v>33.806532792087793</v>
      </c>
      <c r="J101" s="149">
        <f t="shared" si="185"/>
        <v>30.504174650414264</v>
      </c>
      <c r="K101" s="149">
        <f t="shared" si="186"/>
        <v>64.504174650414257</v>
      </c>
      <c r="L101" s="379"/>
      <c r="M101" s="188">
        <f t="shared" si="187"/>
        <v>0.47430579011213186</v>
      </c>
      <c r="N101" s="149">
        <f>M101*I101*(Isw_max+VIN_nom/Lmag*ILIM_delay)*0.5*Efficiency</f>
        <v>244.68893213795735</v>
      </c>
      <c r="O101" s="149">
        <f t="shared" si="284"/>
        <v>115.19999999999999</v>
      </c>
      <c r="P101" s="188">
        <f>N101/Vout</f>
        <v>8.1562977379319115</v>
      </c>
      <c r="Q101" s="188">
        <f t="shared" si="190"/>
        <v>30</v>
      </c>
      <c r="R101" s="188">
        <f>Isw_max/2*I101*Nps*(Q101+Vfwd1+F101/FL101*Rdcr_sec)/Q101/(I101+Nps*(Q101+Vfwd1+F101/FL101*Rdcr_sec))</f>
        <v>8.098300124698433</v>
      </c>
      <c r="S101" s="149">
        <f t="shared" si="192"/>
        <v>99.719207804743704</v>
      </c>
      <c r="T101" s="460">
        <f>MIN(Vout, S101)</f>
        <v>30</v>
      </c>
      <c r="U101" s="188">
        <f t="shared" si="194"/>
        <v>14.609253546159778</v>
      </c>
      <c r="V101" s="188">
        <f t="shared" si="195"/>
        <v>2.0310716892866698</v>
      </c>
      <c r="W101" s="188">
        <f t="shared" si="196"/>
        <v>2.2509539252857143</v>
      </c>
      <c r="X101" s="172">
        <f t="shared" si="197"/>
        <v>350</v>
      </c>
      <c r="Y101" s="379">
        <f t="shared" si="198"/>
        <v>223.11340585575991</v>
      </c>
      <c r="AA101" s="188">
        <f t="shared" si="199"/>
        <v>9.7478922768582557</v>
      </c>
      <c r="AB101" s="150">
        <f>L*AA101/J101*1000000</f>
        <v>1.5019286450555254</v>
      </c>
      <c r="AC101" s="150">
        <f>0.5*AB101*AA101*Nps*X101/1000</f>
        <v>2.5621117619175648</v>
      </c>
      <c r="AD101" s="150"/>
      <c r="AE101" s="150">
        <f t="shared" si="202"/>
        <v>0.93380164555482059</v>
      </c>
      <c r="AF101" s="314">
        <f>MAX(12, F101/(0.5*AE101/1000000*Isw_min*Nps)/1000)</f>
        <v>1357.0333764480465</v>
      </c>
      <c r="AG101" s="456">
        <f t="shared" si="204"/>
        <v>0.99039568467935513</v>
      </c>
      <c r="AI101" s="150">
        <f t="shared" si="205"/>
        <v>11.933759966553712</v>
      </c>
      <c r="AJ101" s="150">
        <f>MAX(IF(F101&gt;AC101,U101,AI101),Isw_min)</f>
        <v>14.609253546159778</v>
      </c>
      <c r="AK101" s="150">
        <f>IF(F101&gt;AG101, (AJ101-Isw_min)/1.08*0.8+1.2, AF101*0.2/350+1)</f>
        <v>7.5323314707805311</v>
      </c>
      <c r="AM101" s="314">
        <f t="shared" si="208"/>
        <v>3840</v>
      </c>
      <c r="AN101" s="144">
        <f t="shared" si="209"/>
        <v>223.11340585575991</v>
      </c>
      <c r="AP101">
        <f t="shared" si="210"/>
        <v>3840</v>
      </c>
      <c r="AQ101">
        <f t="shared" si="211"/>
        <v>223.11340585575991</v>
      </c>
      <c r="AS101" s="5">
        <f t="shared" si="285"/>
        <v>4.4820256145723842</v>
      </c>
      <c r="AT101" s="5">
        <f t="shared" si="212"/>
        <v>2.0310716892866698</v>
      </c>
      <c r="AU101" s="5">
        <f t="shared" si="286"/>
        <v>2.4509539252857144</v>
      </c>
      <c r="AV101" s="5">
        <f t="shared" si="213"/>
        <v>2.2509539252857143</v>
      </c>
      <c r="AW101" s="150">
        <f t="shared" si="287"/>
        <v>0.4531593221339606</v>
      </c>
      <c r="AX101" s="150">
        <f t="shared" si="214"/>
        <v>111.90502301745774</v>
      </c>
      <c r="AY101" s="150">
        <f t="shared" si="215"/>
        <v>3.9944670561494262</v>
      </c>
      <c r="AZ101" s="150">
        <f t="shared" si="288"/>
        <v>28.015007119706123</v>
      </c>
      <c r="BA101" s="144">
        <f t="shared" si="216"/>
        <v>25.99771762286937</v>
      </c>
      <c r="BB101" s="5">
        <f t="shared" si="217"/>
        <v>4.9129016838146962</v>
      </c>
      <c r="BC101" s="5"/>
      <c r="BD101" s="150">
        <f t="shared" si="289"/>
        <v>5.677966923874636</v>
      </c>
      <c r="BE101" s="150">
        <f t="shared" si="218"/>
        <v>6.2373168379290265</v>
      </c>
      <c r="BF101" s="150"/>
      <c r="BG101" s="456">
        <f t="shared" si="219"/>
        <v>0.38687170066337279</v>
      </c>
      <c r="BH101" s="456">
        <f t="shared" si="220"/>
        <v>3.8371111858918647</v>
      </c>
      <c r="BI101" s="456">
        <f t="shared" si="221"/>
        <v>2.5658041673412391E-2</v>
      </c>
      <c r="BJ101" s="456">
        <f t="shared" si="222"/>
        <v>0.4804095867375579</v>
      </c>
      <c r="BK101">
        <f t="shared" si="223"/>
        <v>1.5212939756439506E-2</v>
      </c>
      <c r="BL101" s="144">
        <f t="shared" si="290"/>
        <v>40.870981429851895</v>
      </c>
      <c r="BM101" s="456">
        <f t="shared" si="224"/>
        <v>5.2956255225870104</v>
      </c>
      <c r="BN101" s="144">
        <f t="shared" si="291"/>
        <v>5295.62552258701</v>
      </c>
      <c r="BO101" s="456">
        <f t="shared" si="225"/>
        <v>2.5751039999999996</v>
      </c>
      <c r="BP101" s="456"/>
      <c r="BR101" s="144">
        <f t="shared" si="292"/>
        <v>2575.1039999999998</v>
      </c>
      <c r="BS101" s="456">
        <f t="shared" si="226"/>
        <v>0.45135031744060156</v>
      </c>
      <c r="BT101" s="456">
        <f t="shared" si="227"/>
        <v>0.54465769871398129</v>
      </c>
      <c r="BU101" s="456">
        <f t="shared" si="228"/>
        <v>30.328730702533573</v>
      </c>
      <c r="BV101" s="456">
        <f>(BU101+(BS101+BT101)*(1+Ltc*(Ta-25)))/(1-(BS101+BT101)*Ltc*ThetaCa)</f>
        <v>34.296551891387978</v>
      </c>
      <c r="BW101" s="456">
        <f t="shared" si="230"/>
        <v>4.7619158730833089</v>
      </c>
      <c r="BX101" s="144">
        <f t="shared" si="293"/>
        <v>39058.467764471287</v>
      </c>
      <c r="BY101" s="150">
        <f t="shared" si="231"/>
        <v>46.970068268488149</v>
      </c>
      <c r="BZ101" s="5">
        <f t="shared" si="294"/>
        <v>115.19999999999999</v>
      </c>
      <c r="CA101" s="150">
        <f t="shared" si="295"/>
        <v>0.71036536661793415</v>
      </c>
      <c r="CB101" s="5">
        <f t="shared" si="296"/>
        <v>71.03653666179342</v>
      </c>
      <c r="CE101" s="59">
        <f t="shared" si="232"/>
        <v>-50</v>
      </c>
      <c r="CF101">
        <f t="shared" si="233"/>
        <v>-50</v>
      </c>
      <c r="CG101" s="150">
        <f t="shared" si="234"/>
        <v>0.51605644738153744</v>
      </c>
      <c r="CI101" s="147">
        <v>96</v>
      </c>
      <c r="CJ101" s="188">
        <f t="shared" si="297"/>
        <v>3.84</v>
      </c>
      <c r="CK101" s="188"/>
      <c r="CL101" s="188">
        <f t="shared" si="235"/>
        <v>115.19999999999999</v>
      </c>
      <c r="CM101" s="465">
        <f t="shared" si="236"/>
        <v>34</v>
      </c>
      <c r="CN101" s="149">
        <f t="shared" si="237"/>
        <v>30.4</v>
      </c>
      <c r="CO101" s="379">
        <f t="shared" si="238"/>
        <v>64.400000000000006</v>
      </c>
      <c r="CP101" s="379"/>
      <c r="CQ101" s="188">
        <f t="shared" si="239"/>
        <v>0.47204968944099374</v>
      </c>
      <c r="CR101" s="149">
        <f t="shared" si="240"/>
        <v>244.918674788055</v>
      </c>
      <c r="CS101" s="149">
        <f t="shared" si="298"/>
        <v>115.19999999999999</v>
      </c>
      <c r="CT101" s="188">
        <f t="shared" si="241"/>
        <v>8.1639558262685004</v>
      </c>
      <c r="CU101" s="188">
        <f t="shared" si="242"/>
        <v>30</v>
      </c>
      <c r="CV101" s="188">
        <f t="shared" si="243"/>
        <v>8.1059037580776696</v>
      </c>
      <c r="CW101" s="149">
        <f t="shared" si="244"/>
        <v>100.28910962900535</v>
      </c>
      <c r="CX101" s="460">
        <f t="shared" si="245"/>
        <v>30</v>
      </c>
      <c r="CY101" s="188">
        <f t="shared" si="246"/>
        <v>14.355417956656346</v>
      </c>
      <c r="CZ101" s="188">
        <f t="shared" si="247"/>
        <v>1.9844254234201419</v>
      </c>
      <c r="DA101" s="188">
        <f t="shared" si="248"/>
        <v>2.2194231709304222</v>
      </c>
      <c r="DB101" s="172">
        <f t="shared" si="249"/>
        <v>350</v>
      </c>
      <c r="DC101" s="379">
        <f t="shared" si="299"/>
        <v>237.8772635493753</v>
      </c>
      <c r="DE101" s="188">
        <f t="shared" si="250"/>
        <v>9.7566501161056465</v>
      </c>
      <c r="DF101" s="150">
        <f t="shared" si="251"/>
        <v>1.5084294587400178</v>
      </c>
      <c r="DG101" s="150">
        <f t="shared" si="252"/>
        <v>2.5755132294067704</v>
      </c>
      <c r="DH101" s="150"/>
      <c r="DI101" s="150">
        <f t="shared" si="253"/>
        <v>0.93700159489633172</v>
      </c>
      <c r="DJ101" s="314">
        <f t="shared" si="300"/>
        <v>1352.3989787234043</v>
      </c>
      <c r="DK101" s="456">
        <f t="shared" si="254"/>
        <v>0.99378957034459414</v>
      </c>
      <c r="DM101" s="150">
        <f t="shared" si="255"/>
        <v>11.913365077810871</v>
      </c>
      <c r="DN101" s="150">
        <f t="shared" si="256"/>
        <v>14.355417956656346</v>
      </c>
      <c r="DO101" s="150">
        <f t="shared" si="257"/>
        <v>7.3443051081853969</v>
      </c>
      <c r="DQ101" s="314">
        <f t="shared" si="258"/>
        <v>3840</v>
      </c>
      <c r="DR101" s="144">
        <f t="shared" si="259"/>
        <v>237.8772635493753</v>
      </c>
      <c r="DT101">
        <f t="shared" si="260"/>
        <v>3840</v>
      </c>
      <c r="DU101">
        <f t="shared" si="261"/>
        <v>237.8772635493753</v>
      </c>
      <c r="DW101" s="5">
        <f t="shared" si="301"/>
        <v>4.2038485943505641</v>
      </c>
      <c r="DX101" s="5">
        <f t="shared" si="262"/>
        <v>1.9844254234201419</v>
      </c>
      <c r="DY101" s="5">
        <f t="shared" si="302"/>
        <v>2.2194231709304222</v>
      </c>
      <c r="DZ101" s="5">
        <f t="shared" si="263"/>
        <v>2.2194231709304222</v>
      </c>
      <c r="EA101" s="150">
        <f t="shared" si="303"/>
        <v>0.47204968944099374</v>
      </c>
      <c r="EB101" s="150">
        <f t="shared" si="264"/>
        <v>115.2</v>
      </c>
      <c r="EC101" s="150">
        <f t="shared" si="265"/>
        <v>3.7894736842105261</v>
      </c>
      <c r="ED101" s="150">
        <f t="shared" si="304"/>
        <v>30.400000000000002</v>
      </c>
      <c r="EE101" s="144">
        <f t="shared" si="266"/>
        <v>25.400645419777817</v>
      </c>
      <c r="EF101" s="5">
        <f t="shared" si="267"/>
        <v>4.423487011958211</v>
      </c>
      <c r="EG101" s="5"/>
      <c r="EH101" s="150">
        <f t="shared" si="305"/>
        <v>5.6944144435609445</v>
      </c>
      <c r="EI101" s="150">
        <f t="shared" si="268"/>
        <v>6.0221523601113729</v>
      </c>
      <c r="EJ101" s="150"/>
      <c r="EK101" s="456">
        <f t="shared" si="269"/>
        <v>0.38911627026042606</v>
      </c>
      <c r="EL101" s="456">
        <f t="shared" si="270"/>
        <v>4.1783829787234046</v>
      </c>
      <c r="EM101" s="456">
        <f t="shared" si="271"/>
        <v>2.735588530817816E-2</v>
      </c>
      <c r="EN101" s="456">
        <f t="shared" si="272"/>
        <v>0.51054617021276616</v>
      </c>
      <c r="EO101">
        <f t="shared" si="273"/>
        <v>1.5299999999999999E-2</v>
      </c>
      <c r="EP101" s="144">
        <f t="shared" si="306"/>
        <v>42.655885308178163</v>
      </c>
      <c r="EQ101" s="456">
        <f t="shared" si="274"/>
        <v>5.7581244874800923</v>
      </c>
      <c r="ER101" s="144">
        <f t="shared" si="307"/>
        <v>5758.1244874800923</v>
      </c>
      <c r="ES101" s="456">
        <f t="shared" si="308"/>
        <v>2.5751039999999996</v>
      </c>
      <c r="ET101" s="456"/>
      <c r="EV101" s="144">
        <f t="shared" si="309"/>
        <v>2575.1039999999998</v>
      </c>
      <c r="EW101" s="456">
        <f t="shared" si="275"/>
        <v>0.45396898197049707</v>
      </c>
      <c r="EX101" s="456">
        <f t="shared" si="276"/>
        <v>0.50772846667752969</v>
      </c>
      <c r="EY101" s="456">
        <f t="shared" si="277"/>
        <v>34.071554045454597</v>
      </c>
      <c r="EZ101" s="456">
        <f t="shared" si="278"/>
        <v>38.203256853459528</v>
      </c>
      <c r="FA101" s="456">
        <f t="shared" si="279"/>
        <v>4.9021276595744681</v>
      </c>
      <c r="FB101" s="144">
        <f t="shared" si="310"/>
        <v>43105.384513033998</v>
      </c>
      <c r="FC101" s="150">
        <f t="shared" si="311"/>
        <v>51.438613000514088</v>
      </c>
      <c r="FD101" s="5">
        <f t="shared" si="312"/>
        <v>115.19999999999999</v>
      </c>
      <c r="FE101" s="150">
        <f t="shared" si="313"/>
        <v>0.69131636375084682</v>
      </c>
      <c r="FF101" s="5">
        <f t="shared" si="314"/>
        <v>69.131636375084682</v>
      </c>
      <c r="FI101" s="59">
        <f t="shared" si="280"/>
        <v>-50</v>
      </c>
      <c r="FJ101">
        <f t="shared" si="281"/>
        <v>-50</v>
      </c>
      <c r="FL101">
        <f t="shared" si="282"/>
        <v>0.52795031055900621</v>
      </c>
    </row>
    <row r="102" spans="5:168">
      <c r="E102" s="147">
        <v>97</v>
      </c>
      <c r="F102" s="188">
        <f>IF(PLOT_TYPE=1, E102/100*Iout_max, min_I*EXP(N102*rr/100))</f>
        <v>3.88</v>
      </c>
      <c r="G102" s="188"/>
      <c r="H102" s="188">
        <f>F102*Vout</f>
        <v>116.39999999999999</v>
      </c>
      <c r="I102" s="465">
        <f t="shared" si="184"/>
        <v>33.804563945086954</v>
      </c>
      <c r="J102" s="149">
        <f t="shared" si="185"/>
        <v>30.505234798799332</v>
      </c>
      <c r="K102" s="149">
        <f t="shared" si="186"/>
        <v>64.505234798799336</v>
      </c>
      <c r="L102" s="379"/>
      <c r="M102" s="188">
        <f t="shared" si="187"/>
        <v>0.47432898248590921</v>
      </c>
      <c r="N102" s="149">
        <f>M102*I102*(Isw_max+VIN_nom/Lmag*ILIM_delay)*0.5*Efficiency</f>
        <v>244.6866457672071</v>
      </c>
      <c r="O102" s="149">
        <f t="shared" si="284"/>
        <v>116.39999999999999</v>
      </c>
      <c r="P102" s="188">
        <f>N102/Vout</f>
        <v>8.1562215255735691</v>
      </c>
      <c r="Q102" s="188">
        <f t="shared" si="190"/>
        <v>30</v>
      </c>
      <c r="R102" s="188">
        <f>Isw_max/2*I102*Nps*(Q102+Vfwd1+F102/FL102*Rdcr_sec)/Q102/(I102+Nps*(Q102+Vfwd1+F102/FL102*Rdcr_sec))</f>
        <v>8.0982244542691664</v>
      </c>
      <c r="S102" s="149">
        <f t="shared" si="192"/>
        <v>98.340204982651173</v>
      </c>
      <c r="T102" s="460">
        <f>MIN(Vout, S102)</f>
        <v>30</v>
      </c>
      <c r="U102" s="188">
        <f t="shared" si="194"/>
        <v>14.762084538533626</v>
      </c>
      <c r="V102" s="188">
        <f t="shared" si="195"/>
        <v>2.0524387607488062</v>
      </c>
      <c r="W102" s="188">
        <f t="shared" si="196"/>
        <v>2.2744226618389733</v>
      </c>
      <c r="X102" s="172">
        <f t="shared" si="197"/>
        <v>350</v>
      </c>
      <c r="Y102" s="379">
        <f t="shared" si="198"/>
        <v>220.90360332443095</v>
      </c>
      <c r="AA102" s="188">
        <f t="shared" si="199"/>
        <v>9.7478010679124569</v>
      </c>
      <c r="AB102" s="150">
        <f>L*AA102/J102*1000000</f>
        <v>1.5018623957941732</v>
      </c>
      <c r="AC102" s="150">
        <f>0.5*AB102*AA102*Nps*X102/1000</f>
        <v>2.5619747764765006</v>
      </c>
      <c r="AD102" s="150"/>
      <c r="AE102" s="150">
        <f t="shared" si="202"/>
        <v>0.93376919314745388</v>
      </c>
      <c r="AF102" s="314">
        <f>MAX(12, F102/(0.5*AE102/1000000*Isw_min*Nps)/1000)</f>
        <v>1371.2167946815191</v>
      </c>
      <c r="AG102" s="456">
        <f t="shared" si="204"/>
        <v>0.9903612654594206</v>
      </c>
      <c r="AI102" s="150">
        <f t="shared" si="205"/>
        <v>11.995962391626898</v>
      </c>
      <c r="AJ102" s="150">
        <f>MAX(IF(F102&gt;AC102,U102,AI102),Isw_min)</f>
        <v>14.762084538533626</v>
      </c>
      <c r="AK102" s="150">
        <f>IF(F102&gt;AG102, (AJ102-Isw_min)/1.08*0.8+1.2, AF102*0.2/350+1)</f>
        <v>7.645539613279678</v>
      </c>
      <c r="AM102" s="314">
        <f t="shared" si="208"/>
        <v>3880</v>
      </c>
      <c r="AN102" s="144">
        <f t="shared" si="209"/>
        <v>220.90360332443095</v>
      </c>
      <c r="AP102">
        <f t="shared" si="210"/>
        <v>3880</v>
      </c>
      <c r="AQ102">
        <f t="shared" si="211"/>
        <v>220.90360332443095</v>
      </c>
      <c r="AS102" s="5">
        <f t="shared" si="285"/>
        <v>4.5268614225877792</v>
      </c>
      <c r="AT102" s="5">
        <f t="shared" si="212"/>
        <v>2.0524387607488062</v>
      </c>
      <c r="AU102" s="5">
        <f t="shared" si="286"/>
        <v>2.4744226618389731</v>
      </c>
      <c r="AV102" s="5">
        <f t="shared" si="213"/>
        <v>2.2744226618389733</v>
      </c>
      <c r="AW102" s="150">
        <f t="shared" si="287"/>
        <v>0.45339111785214092</v>
      </c>
      <c r="AX102" s="150">
        <f t="shared" si="214"/>
        <v>113.12693961942936</v>
      </c>
      <c r="AY102" s="150">
        <f t="shared" si="215"/>
        <v>4.03454326389003</v>
      </c>
      <c r="AZ102" s="150">
        <f t="shared" si="288"/>
        <v>28.03959016425431</v>
      </c>
      <c r="BA102" s="144">
        <f t="shared" si="216"/>
        <v>26.544874639017891</v>
      </c>
      <c r="BB102" s="5">
        <f t="shared" si="217"/>
        <v>5.0119024009324757</v>
      </c>
      <c r="BC102" s="5"/>
      <c r="BD102" s="150">
        <f t="shared" si="289"/>
        <v>5.7388327050885399</v>
      </c>
      <c r="BE102" s="150">
        <f t="shared" si="218"/>
        <v>6.3012310297759013</v>
      </c>
      <c r="BF102" s="150"/>
      <c r="BG102" s="456">
        <f t="shared" si="219"/>
        <v>0.39521040980392624</v>
      </c>
      <c r="BH102" s="456">
        <f t="shared" si="220"/>
        <v>3.8389134186012401</v>
      </c>
      <c r="BI102" s="456">
        <f t="shared" si="221"/>
        <v>2.5403914382309562E-2</v>
      </c>
      <c r="BJ102" s="456">
        <f t="shared" si="222"/>
        <v>0.47566705720605845</v>
      </c>
      <c r="BK102">
        <f t="shared" si="223"/>
        <v>1.5212053775289129E-2</v>
      </c>
      <c r="BL102" s="144">
        <f t="shared" si="290"/>
        <v>40.615968157598694</v>
      </c>
      <c r="BM102" s="456">
        <f t="shared" si="224"/>
        <v>5.3156476021494585</v>
      </c>
      <c r="BN102" s="144">
        <f t="shared" si="291"/>
        <v>5315.6476021494582</v>
      </c>
      <c r="BO102" s="456">
        <f t="shared" si="225"/>
        <v>2.6019279999999996</v>
      </c>
      <c r="BP102" s="456"/>
      <c r="BR102" s="144">
        <f t="shared" si="292"/>
        <v>2601.9279999999994</v>
      </c>
      <c r="BS102" s="456">
        <f t="shared" si="226"/>
        <v>0.4610788114379139</v>
      </c>
      <c r="BT102" s="456">
        <f t="shared" si="227"/>
        <v>0.55587717486854937</v>
      </c>
      <c r="BU102" s="456">
        <f t="shared" si="228"/>
        <v>30.363108020407051</v>
      </c>
      <c r="BV102" s="456">
        <f>(BU102+(BS102+BT102)*(1+Ltc*(Ta-25)))/(1-(BS102+BT102)*Ltc*ThetaCa)</f>
        <v>34.424815194598303</v>
      </c>
      <c r="BW102" s="456">
        <f t="shared" si="230"/>
        <v>4.8139123242310369</v>
      </c>
      <c r="BX102" s="144">
        <f t="shared" si="293"/>
        <v>39238.727518829335</v>
      </c>
      <c r="BY102" s="150">
        <f t="shared" si="231"/>
        <v>47.196919089136401</v>
      </c>
      <c r="BZ102" s="5">
        <f t="shared" si="294"/>
        <v>116.39999999999999</v>
      </c>
      <c r="CA102" s="150">
        <f t="shared" si="295"/>
        <v>0.71150484158310467</v>
      </c>
      <c r="CB102" s="5">
        <f t="shared" si="296"/>
        <v>71.150484158310462</v>
      </c>
      <c r="CE102" s="59">
        <f t="shared" si="232"/>
        <v>-50</v>
      </c>
      <c r="CF102">
        <f t="shared" si="233"/>
        <v>-50</v>
      </c>
      <c r="CG102" s="150">
        <f t="shared" si="234"/>
        <v>0.51617906452769691</v>
      </c>
      <c r="CI102" s="147">
        <v>97</v>
      </c>
      <c r="CJ102" s="188">
        <f t="shared" si="297"/>
        <v>3.88</v>
      </c>
      <c r="CK102" s="188"/>
      <c r="CL102" s="188">
        <f t="shared" si="235"/>
        <v>116.39999999999999</v>
      </c>
      <c r="CM102" s="465">
        <f t="shared" si="236"/>
        <v>34</v>
      </c>
      <c r="CN102" s="149">
        <f t="shared" si="237"/>
        <v>30.4</v>
      </c>
      <c r="CO102" s="379">
        <f t="shared" si="238"/>
        <v>64.400000000000006</v>
      </c>
      <c r="CP102" s="379"/>
      <c r="CQ102" s="188">
        <f t="shared" si="239"/>
        <v>0.47204968944099374</v>
      </c>
      <c r="CR102" s="149">
        <f t="shared" si="240"/>
        <v>244.918674788055</v>
      </c>
      <c r="CS102" s="149">
        <f t="shared" si="298"/>
        <v>116.39999999999999</v>
      </c>
      <c r="CT102" s="188">
        <f t="shared" si="241"/>
        <v>8.1639558262685004</v>
      </c>
      <c r="CU102" s="188">
        <f t="shared" si="242"/>
        <v>30</v>
      </c>
      <c r="CV102" s="188">
        <f t="shared" si="243"/>
        <v>8.1059037580776696</v>
      </c>
      <c r="CW102" s="149">
        <f t="shared" si="244"/>
        <v>98.907956797177704</v>
      </c>
      <c r="CX102" s="460">
        <f t="shared" si="245"/>
        <v>30</v>
      </c>
      <c r="CY102" s="188">
        <f t="shared" si="246"/>
        <v>14.504953560371517</v>
      </c>
      <c r="CZ102" s="188">
        <f t="shared" si="247"/>
        <v>2.0050965215807688</v>
      </c>
      <c r="DA102" s="188">
        <f t="shared" si="248"/>
        <v>2.2425421622942809</v>
      </c>
      <c r="DB102" s="172">
        <f t="shared" si="249"/>
        <v>350</v>
      </c>
      <c r="DC102" s="379">
        <f t="shared" si="299"/>
        <v>235.42492062618584</v>
      </c>
      <c r="DE102" s="188">
        <f t="shared" si="250"/>
        <v>9.7566501161056465</v>
      </c>
      <c r="DF102" s="150">
        <f t="shared" si="251"/>
        <v>1.5084294587400178</v>
      </c>
      <c r="DG102" s="150">
        <f t="shared" si="252"/>
        <v>2.5755132294067704</v>
      </c>
      <c r="DH102" s="150"/>
      <c r="DI102" s="150">
        <f t="shared" si="253"/>
        <v>0.93700159489633172</v>
      </c>
      <c r="DJ102" s="314">
        <f t="shared" si="300"/>
        <v>1366.4864680851065</v>
      </c>
      <c r="DK102" s="456">
        <f t="shared" si="254"/>
        <v>0.99378957034459414</v>
      </c>
      <c r="DM102" s="150">
        <f t="shared" si="255"/>
        <v>11.975253105053403</v>
      </c>
      <c r="DN102" s="150">
        <f t="shared" si="256"/>
        <v>14.504953560371517</v>
      </c>
      <c r="DO102" s="150">
        <f t="shared" si="257"/>
        <v>7.4550722220484866</v>
      </c>
      <c r="DQ102" s="314">
        <f t="shared" si="258"/>
        <v>3880</v>
      </c>
      <c r="DR102" s="144">
        <f t="shared" si="259"/>
        <v>235.42492062618584</v>
      </c>
      <c r="DT102">
        <f t="shared" si="260"/>
        <v>3880</v>
      </c>
      <c r="DU102">
        <f t="shared" si="261"/>
        <v>235.42492062618584</v>
      </c>
      <c r="DW102" s="5">
        <f t="shared" si="301"/>
        <v>4.2476386838750493</v>
      </c>
      <c r="DX102" s="5">
        <f t="shared" si="262"/>
        <v>2.0050965215807688</v>
      </c>
      <c r="DY102" s="5">
        <f t="shared" si="302"/>
        <v>2.2425421622942805</v>
      </c>
      <c r="DZ102" s="5">
        <f t="shared" si="263"/>
        <v>2.2425421622942809</v>
      </c>
      <c r="EA102" s="150">
        <f t="shared" si="303"/>
        <v>0.47204968944099385</v>
      </c>
      <c r="EB102" s="150">
        <f t="shared" si="264"/>
        <v>116.39999999999998</v>
      </c>
      <c r="EC102" s="150">
        <f t="shared" si="265"/>
        <v>3.8289473684210527</v>
      </c>
      <c r="ED102" s="150">
        <f t="shared" si="304"/>
        <v>30.399999999999995</v>
      </c>
      <c r="EE102" s="144">
        <f t="shared" si="266"/>
        <v>25.932581679111276</v>
      </c>
      <c r="EF102" s="5">
        <f t="shared" si="267"/>
        <v>4.5161229704334636</v>
      </c>
      <c r="EG102" s="5"/>
      <c r="EH102" s="150">
        <f t="shared" si="305"/>
        <v>5.7537312606813726</v>
      </c>
      <c r="EI102" s="150">
        <f t="shared" si="268"/>
        <v>6.0848831138625332</v>
      </c>
      <c r="EJ102" s="150"/>
      <c r="EK102" s="456">
        <f t="shared" si="269"/>
        <v>0.39726508104170472</v>
      </c>
      <c r="EL102" s="456">
        <f t="shared" si="270"/>
        <v>4.1783829787234046</v>
      </c>
      <c r="EM102" s="456">
        <f t="shared" si="271"/>
        <v>2.7073865872011372E-2</v>
      </c>
      <c r="EN102" s="456">
        <f t="shared" si="272"/>
        <v>0.50528280763325306</v>
      </c>
      <c r="EO102">
        <f t="shared" si="273"/>
        <v>1.5299999999999999E-2</v>
      </c>
      <c r="EP102" s="144">
        <f t="shared" si="306"/>
        <v>42.373865872011372</v>
      </c>
      <c r="EQ102" s="456">
        <f t="shared" si="274"/>
        <v>5.7757394061325495</v>
      </c>
      <c r="ER102" s="144">
        <f t="shared" si="307"/>
        <v>5775.7394061325494</v>
      </c>
      <c r="ES102" s="456">
        <f t="shared" si="308"/>
        <v>2.6019279999999996</v>
      </c>
      <c r="ET102" s="456"/>
      <c r="EV102" s="144">
        <f t="shared" si="309"/>
        <v>2601.9279999999994</v>
      </c>
      <c r="EW102" s="456">
        <f t="shared" si="275"/>
        <v>0.46347592788198883</v>
      </c>
      <c r="EX102" s="456">
        <f t="shared" si="276"/>
        <v>0.5183612351311716</v>
      </c>
      <c r="EY102" s="456">
        <f t="shared" si="277"/>
        <v>34.071554045454604</v>
      </c>
      <c r="EZ102" s="456">
        <f t="shared" si="278"/>
        <v>38.297157961545366</v>
      </c>
      <c r="FA102" s="456">
        <f t="shared" si="279"/>
        <v>4.9531914893617026</v>
      </c>
      <c r="FB102" s="144">
        <f t="shared" si="310"/>
        <v>43250.349450907066</v>
      </c>
      <c r="FC102" s="150">
        <f t="shared" si="311"/>
        <v>51.628016857039611</v>
      </c>
      <c r="FD102" s="5">
        <f t="shared" si="312"/>
        <v>116.39999999999999</v>
      </c>
      <c r="FE102" s="150">
        <f t="shared" si="313"/>
        <v>0.69274161641171195</v>
      </c>
      <c r="FF102" s="5">
        <f t="shared" si="314"/>
        <v>69.27416164117119</v>
      </c>
      <c r="FI102" s="59">
        <f t="shared" si="280"/>
        <v>-50</v>
      </c>
      <c r="FJ102">
        <f t="shared" si="281"/>
        <v>-50</v>
      </c>
      <c r="FL102">
        <f t="shared" si="282"/>
        <v>0.52795031055900621</v>
      </c>
    </row>
    <row r="103" spans="5:168">
      <c r="E103" s="147">
        <v>98</v>
      </c>
      <c r="F103" s="188">
        <f>IF(PLOT_TYPE=1, E103/100*Iout_max, min_I*EXP(N103*rr/100))</f>
        <v>3.92</v>
      </c>
      <c r="G103" s="188"/>
      <c r="H103" s="188">
        <f>F103*Vout</f>
        <v>117.6</v>
      </c>
      <c r="I103" s="465">
        <f t="shared" si="184"/>
        <v>33.802595076479655</v>
      </c>
      <c r="J103" s="149">
        <f t="shared" si="185"/>
        <v>30.506294958818646</v>
      </c>
      <c r="K103" s="149">
        <f t="shared" si="186"/>
        <v>64.506294958818643</v>
      </c>
      <c r="L103" s="379"/>
      <c r="M103" s="188">
        <f t="shared" si="187"/>
        <v>0.4743521756741132</v>
      </c>
      <c r="N103" s="149">
        <f>M103*I103*(Isw_max+VIN_nom/Lmag*ILIM_delay)*0.5*Efficiency</f>
        <v>244.68435826654644</v>
      </c>
      <c r="O103" s="149">
        <f t="shared" si="284"/>
        <v>117.6</v>
      </c>
      <c r="P103" s="188">
        <f>N103/Vout</f>
        <v>8.1561452755515482</v>
      </c>
      <c r="Q103" s="188">
        <f t="shared" si="190"/>
        <v>30</v>
      </c>
      <c r="R103" s="188">
        <f>Isw_max/2*I103*Nps*(Q103+Vfwd1+F103/FL103*Rdcr_sec)/Q103/(I103+Nps*(Q103+Vfwd1+F103/FL103*Rdcr_sec))</f>
        <v>8.0981487464440356</v>
      </c>
      <c r="S103" s="149">
        <f t="shared" si="192"/>
        <v>96.989436474643796</v>
      </c>
      <c r="T103" s="460">
        <f>MIN(Vout, S103)</f>
        <v>30</v>
      </c>
      <c r="U103" s="188">
        <f t="shared" si="194"/>
        <v>14.914929040283482</v>
      </c>
      <c r="V103" s="188">
        <f t="shared" si="195"/>
        <v>2.073810200983921</v>
      </c>
      <c r="W103" s="188">
        <f t="shared" si="196"/>
        <v>2.2978918476977515</v>
      </c>
      <c r="X103" s="172">
        <f t="shared" si="197"/>
        <v>350</v>
      </c>
      <c r="Y103" s="379">
        <f t="shared" si="198"/>
        <v>218.73691446894856</v>
      </c>
      <c r="AA103" s="188">
        <f t="shared" si="199"/>
        <v>9.747709815926088</v>
      </c>
      <c r="AB103" s="150">
        <f>L*AA103/J103*1000000</f>
        <v>1.5017961439335261</v>
      </c>
      <c r="AC103" s="150">
        <f>0.5*AB103*AA103*Nps*X103/1000</f>
        <v>2.5618377774046368</v>
      </c>
      <c r="AD103" s="150"/>
      <c r="AE103" s="150">
        <f t="shared" si="202"/>
        <v>0.93373674263954465</v>
      </c>
      <c r="AF103" s="314">
        <f>MAX(12, F103/(0.5*AE103/1000000*Isw_min*Nps)/1000)</f>
        <v>1385.4011959978909</v>
      </c>
      <c r="AG103" s="456">
        <f t="shared" si="204"/>
        <v>0.99032684825406236</v>
      </c>
      <c r="AI103" s="150">
        <f t="shared" si="205"/>
        <v>12.057848217385997</v>
      </c>
      <c r="AJ103" s="150">
        <f>MAX(IF(F103&gt;AC103,U103,AI103),Isw_min)</f>
        <v>14.914929040283482</v>
      </c>
      <c r="AK103" s="150">
        <f>IF(F103&gt;AG103, (AJ103-Isw_min)/1.08*0.8+1.2, AF103*0.2/350+1)</f>
        <v>7.7587577627240156</v>
      </c>
      <c r="AM103" s="314">
        <f t="shared" si="208"/>
        <v>3920</v>
      </c>
      <c r="AN103" s="144">
        <f t="shared" si="209"/>
        <v>218.73691446894856</v>
      </c>
      <c r="AP103">
        <f t="shared" si="210"/>
        <v>3920</v>
      </c>
      <c r="AQ103">
        <f t="shared" si="211"/>
        <v>218.73691446894856</v>
      </c>
      <c r="AS103" s="5">
        <f t="shared" si="285"/>
        <v>4.5717020486816731</v>
      </c>
      <c r="AT103" s="5">
        <f t="shared" si="212"/>
        <v>2.073810200983921</v>
      </c>
      <c r="AU103" s="5">
        <f t="shared" si="286"/>
        <v>2.4978918476977521</v>
      </c>
      <c r="AV103" s="5">
        <f t="shared" si="213"/>
        <v>2.2978918476977515</v>
      </c>
      <c r="AW103" s="150">
        <f t="shared" si="287"/>
        <v>0.45361884455745294</v>
      </c>
      <c r="AX103" s="150">
        <f t="shared" si="214"/>
        <v>114.34898838190352</v>
      </c>
      <c r="AY103" s="150">
        <f t="shared" si="215"/>
        <v>4.074618081186844</v>
      </c>
      <c r="AZ103" s="150">
        <f t="shared" si="288"/>
        <v>28.063731643922871</v>
      </c>
      <c r="BA103" s="144">
        <f t="shared" si="216"/>
        <v>27.097786626189901</v>
      </c>
      <c r="BB103" s="5">
        <f t="shared" si="217"/>
        <v>5.1118957448059898</v>
      </c>
      <c r="BC103" s="5"/>
      <c r="BD103" s="150">
        <f t="shared" si="289"/>
        <v>5.7997077277616871</v>
      </c>
      <c r="BE103" s="150">
        <f t="shared" si="218"/>
        <v>6.3651467407624267</v>
      </c>
      <c r="BF103" s="150"/>
      <c r="BG103" s="456">
        <f t="shared" si="219"/>
        <v>0.40363931672950359</v>
      </c>
      <c r="BH103" s="456">
        <f t="shared" si="220"/>
        <v>3.8406810267472786</v>
      </c>
      <c r="BI103" s="456">
        <f t="shared" si="221"/>
        <v>2.5154745163929085E-2</v>
      </c>
      <c r="BJ103" s="456">
        <f t="shared" si="222"/>
        <v>0.47101705410592259</v>
      </c>
      <c r="BK103">
        <f t="shared" si="223"/>
        <v>1.5211167784415844E-2</v>
      </c>
      <c r="BL103" s="144">
        <f t="shared" si="290"/>
        <v>40.365912948344928</v>
      </c>
      <c r="BM103" s="456">
        <f t="shared" si="224"/>
        <v>5.3360746615213035</v>
      </c>
      <c r="BN103" s="144">
        <f t="shared" si="291"/>
        <v>5336.0746615213038</v>
      </c>
      <c r="BO103" s="456">
        <f t="shared" si="225"/>
        <v>2.6287519999999995</v>
      </c>
      <c r="BP103" s="456"/>
      <c r="BR103" s="144">
        <f t="shared" si="292"/>
        <v>2628.7519999999995</v>
      </c>
      <c r="BS103" s="456">
        <f t="shared" si="226"/>
        <v>0.47091253618442086</v>
      </c>
      <c r="BT103" s="456">
        <f t="shared" si="227"/>
        <v>0.56721130244013962</v>
      </c>
      <c r="BU103" s="456">
        <f t="shared" si="228"/>
        <v>30.396822473350028</v>
      </c>
      <c r="BV103" s="456">
        <f>(BU103+(BS103+BT103)*(1+Ltc*(Ta-25)))/(1-(BS103+BT103)*Ltc*ThetaCa)</f>
        <v>34.553784636949821</v>
      </c>
      <c r="BW103" s="456">
        <f t="shared" si="230"/>
        <v>4.8659143992299372</v>
      </c>
      <c r="BX103" s="144">
        <f t="shared" si="293"/>
        <v>39419.699036179758</v>
      </c>
      <c r="BY103" s="150">
        <f t="shared" si="231"/>
        <v>47.424891610649404</v>
      </c>
      <c r="BZ103" s="5">
        <f t="shared" si="294"/>
        <v>117.6</v>
      </c>
      <c r="CA103" s="150">
        <f t="shared" si="295"/>
        <v>0.71261976815872674</v>
      </c>
      <c r="CB103" s="5">
        <f t="shared" si="296"/>
        <v>71.261976815872671</v>
      </c>
      <c r="CE103" s="59">
        <f t="shared" si="232"/>
        <v>-50</v>
      </c>
      <c r="CF103">
        <f t="shared" si="233"/>
        <v>-50</v>
      </c>
      <c r="CG103" s="150">
        <f t="shared" si="234"/>
        <v>0.51629917928311841</v>
      </c>
      <c r="CI103" s="147">
        <v>98</v>
      </c>
      <c r="CJ103" s="188">
        <f t="shared" si="297"/>
        <v>3.92</v>
      </c>
      <c r="CK103" s="188"/>
      <c r="CL103" s="188">
        <f t="shared" si="235"/>
        <v>117.6</v>
      </c>
      <c r="CM103" s="465">
        <f t="shared" si="236"/>
        <v>34</v>
      </c>
      <c r="CN103" s="149">
        <f t="shared" si="237"/>
        <v>30.4</v>
      </c>
      <c r="CO103" s="379">
        <f t="shared" si="238"/>
        <v>64.400000000000006</v>
      </c>
      <c r="CP103" s="379"/>
      <c r="CQ103" s="188">
        <f t="shared" si="239"/>
        <v>0.47204968944099374</v>
      </c>
      <c r="CR103" s="149">
        <f t="shared" si="240"/>
        <v>244.918674788055</v>
      </c>
      <c r="CS103" s="149">
        <f t="shared" si="298"/>
        <v>117.6</v>
      </c>
      <c r="CT103" s="188">
        <f t="shared" si="241"/>
        <v>8.1639558262685004</v>
      </c>
      <c r="CU103" s="188">
        <f t="shared" si="242"/>
        <v>30</v>
      </c>
      <c r="CV103" s="188">
        <f t="shared" si="243"/>
        <v>8.1059037580776696</v>
      </c>
      <c r="CW103" s="149">
        <f t="shared" si="244"/>
        <v>97.555042048103104</v>
      </c>
      <c r="CX103" s="460">
        <f t="shared" si="245"/>
        <v>30</v>
      </c>
      <c r="CY103" s="188">
        <f t="shared" si="246"/>
        <v>14.654489164086687</v>
      </c>
      <c r="CZ103" s="188">
        <f t="shared" si="247"/>
        <v>2.0257676197413947</v>
      </c>
      <c r="DA103" s="188">
        <f t="shared" si="248"/>
        <v>2.2656611536581388</v>
      </c>
      <c r="DB103" s="172">
        <f t="shared" si="249"/>
        <v>350</v>
      </c>
      <c r="DC103" s="379">
        <f t="shared" si="299"/>
        <v>233.02262551775544</v>
      </c>
      <c r="DE103" s="188">
        <f t="shared" si="250"/>
        <v>9.7566501161056465</v>
      </c>
      <c r="DF103" s="150">
        <f t="shared" si="251"/>
        <v>1.5084294587400178</v>
      </c>
      <c r="DG103" s="150">
        <f t="shared" si="252"/>
        <v>2.5755132294067704</v>
      </c>
      <c r="DH103" s="150"/>
      <c r="DI103" s="150">
        <f t="shared" si="253"/>
        <v>0.93700159489633172</v>
      </c>
      <c r="DJ103" s="314">
        <f t="shared" si="300"/>
        <v>1380.5739574468084</v>
      </c>
      <c r="DK103" s="456">
        <f t="shared" si="254"/>
        <v>0.99378957034459414</v>
      </c>
      <c r="DM103" s="150">
        <f t="shared" si="255"/>
        <v>12.036822935599689</v>
      </c>
      <c r="DN103" s="150">
        <f t="shared" si="256"/>
        <v>14.654489164086687</v>
      </c>
      <c r="DO103" s="150">
        <f t="shared" si="257"/>
        <v>7.5658393359115754</v>
      </c>
      <c r="DQ103" s="314">
        <f t="shared" si="258"/>
        <v>3920</v>
      </c>
      <c r="DR103" s="144">
        <f t="shared" si="259"/>
        <v>233.02262551775544</v>
      </c>
      <c r="DT103">
        <f t="shared" si="260"/>
        <v>3920</v>
      </c>
      <c r="DU103">
        <f t="shared" si="261"/>
        <v>233.02262551775544</v>
      </c>
      <c r="DW103" s="5">
        <f t="shared" si="301"/>
        <v>4.2914287733995335</v>
      </c>
      <c r="DX103" s="5">
        <f t="shared" si="262"/>
        <v>2.0257676197413947</v>
      </c>
      <c r="DY103" s="5">
        <f t="shared" si="302"/>
        <v>2.2656611536581388</v>
      </c>
      <c r="DZ103" s="5">
        <f t="shared" si="263"/>
        <v>2.2656611536581388</v>
      </c>
      <c r="EA103" s="150">
        <f t="shared" si="303"/>
        <v>0.47204968944099379</v>
      </c>
      <c r="EB103" s="150">
        <f t="shared" si="264"/>
        <v>117.60000000000002</v>
      </c>
      <c r="EC103" s="150">
        <f t="shared" si="265"/>
        <v>3.8684210526315788</v>
      </c>
      <c r="ED103" s="150">
        <f t="shared" si="304"/>
        <v>30.400000000000006</v>
      </c>
      <c r="EE103" s="144">
        <f t="shared" si="266"/>
        <v>26.470030231287556</v>
      </c>
      <c r="EF103" s="5">
        <f t="shared" si="267"/>
        <v>4.6097188870276309</v>
      </c>
      <c r="EG103" s="5"/>
      <c r="EH103" s="150">
        <f t="shared" si="305"/>
        <v>5.8130480778017981</v>
      </c>
      <c r="EI103" s="150">
        <f t="shared" si="268"/>
        <v>6.1476138676136936</v>
      </c>
      <c r="EJ103" s="150"/>
      <c r="EK103" s="456">
        <f t="shared" si="269"/>
        <v>0.40549833545802222</v>
      </c>
      <c r="EL103" s="456">
        <f t="shared" si="270"/>
        <v>4.1783829787234064</v>
      </c>
      <c r="EM103" s="456">
        <f t="shared" si="271"/>
        <v>2.6797601934541879E-2</v>
      </c>
      <c r="EN103" s="456">
        <f t="shared" si="272"/>
        <v>0.50012686061658729</v>
      </c>
      <c r="EO103">
        <f t="shared" si="273"/>
        <v>1.5299999999999999E-2</v>
      </c>
      <c r="EP103" s="144">
        <f t="shared" si="306"/>
        <v>42.097601934541878</v>
      </c>
      <c r="EQ103" s="456">
        <f t="shared" si="274"/>
        <v>5.7938023523685356</v>
      </c>
      <c r="ER103" s="144">
        <f t="shared" si="307"/>
        <v>5793.8023523685351</v>
      </c>
      <c r="ES103" s="456">
        <f t="shared" si="308"/>
        <v>2.6287519999999995</v>
      </c>
      <c r="ET103" s="456"/>
      <c r="EV103" s="144">
        <f t="shared" si="309"/>
        <v>2628.7519999999995</v>
      </c>
      <c r="EW103" s="456">
        <f t="shared" si="275"/>
        <v>0.47308139136769256</v>
      </c>
      <c r="EX103" s="456">
        <f t="shared" si="276"/>
        <v>0.52910418771386669</v>
      </c>
      <c r="EY103" s="456">
        <f t="shared" si="277"/>
        <v>34.071554045454661</v>
      </c>
      <c r="EZ103" s="456">
        <f t="shared" si="278"/>
        <v>38.392366225779305</v>
      </c>
      <c r="FA103" s="456">
        <f t="shared" si="279"/>
        <v>5.0042553191489381</v>
      </c>
      <c r="FB103" s="144">
        <f t="shared" si="310"/>
        <v>43396.621544928246</v>
      </c>
      <c r="FC103" s="150">
        <f t="shared" si="311"/>
        <v>51.81917589729678</v>
      </c>
      <c r="FD103" s="5">
        <f t="shared" si="312"/>
        <v>117.6</v>
      </c>
      <c r="FE103" s="150">
        <f t="shared" si="313"/>
        <v>0.6941363005524831</v>
      </c>
      <c r="FF103" s="5">
        <f t="shared" si="314"/>
        <v>69.413630055248305</v>
      </c>
      <c r="FI103" s="59">
        <f t="shared" si="280"/>
        <v>-50</v>
      </c>
      <c r="FJ103">
        <f t="shared" si="281"/>
        <v>-50</v>
      </c>
      <c r="FL103">
        <f t="shared" si="282"/>
        <v>0.52795031055900621</v>
      </c>
    </row>
    <row r="104" spans="5:168">
      <c r="E104" s="147">
        <v>99</v>
      </c>
      <c r="F104" s="188">
        <f>IF(PLOT_TYPE=1, E104/100*Iout_max, min_I*EXP(N104*rr/100))</f>
        <v>3.96</v>
      </c>
      <c r="G104" s="188"/>
      <c r="H104" s="188">
        <f>F104*Vout</f>
        <v>118.8</v>
      </c>
      <c r="I104" s="465">
        <f t="shared" si="184"/>
        <v>33.800626186935261</v>
      </c>
      <c r="J104" s="149">
        <f t="shared" si="185"/>
        <v>30.50735513011178</v>
      </c>
      <c r="K104" s="149">
        <f t="shared" si="186"/>
        <v>64.507355130111776</v>
      </c>
      <c r="L104" s="379"/>
      <c r="M104" s="188">
        <f t="shared" si="187"/>
        <v>0.474375369671864</v>
      </c>
      <c r="N104" s="149">
        <f>M104*I104*(Isw_max+VIN_nom/Lmag*ILIM_delay)*0.5*Efficiency</f>
        <v>244.68206963820751</v>
      </c>
      <c r="O104" s="149">
        <f t="shared" si="284"/>
        <v>118.8</v>
      </c>
      <c r="P104" s="188">
        <f>N104/Vout</f>
        <v>8.1560689879402499</v>
      </c>
      <c r="Q104" s="188">
        <f t="shared" si="190"/>
        <v>30</v>
      </c>
      <c r="R104" s="188">
        <f>Isw_max/2*I104*Nps*(Q104+Vfwd1+F104/FL104*Rdcr_sec)/Q104/(I104+Nps*(Q104+Vfwd1+F104/FL104*Rdcr_sec))</f>
        <v>8.0980730012969193</v>
      </c>
      <c r="S104" s="149">
        <f t="shared" si="192"/>
        <v>95.666047221587135</v>
      </c>
      <c r="T104" s="460">
        <f>MIN(Vout, S104)</f>
        <v>30</v>
      </c>
      <c r="U104" s="188">
        <f t="shared" si="194"/>
        <v>15.067787053768232</v>
      </c>
      <c r="V104" s="188">
        <f t="shared" si="195"/>
        <v>2.095186011082947</v>
      </c>
      <c r="W104" s="188">
        <f t="shared" si="196"/>
        <v>2.3213614831791944</v>
      </c>
      <c r="X104" s="172">
        <f t="shared" si="197"/>
        <v>350</v>
      </c>
      <c r="Y104" s="379">
        <f t="shared" si="198"/>
        <v>216.61208971485496</v>
      </c>
      <c r="AA104" s="188">
        <f t="shared" si="199"/>
        <v>9.7476185209270323</v>
      </c>
      <c r="AB104" s="150">
        <f>L*AA104/J104*1000000</f>
        <v>1.501729889495969</v>
      </c>
      <c r="AC104" s="150">
        <f>0.5*AB104*AA104*Nps*X104/1000</f>
        <v>2.5617007647491072</v>
      </c>
      <c r="AD104" s="150"/>
      <c r="AE104" s="150">
        <f t="shared" si="202"/>
        <v>0.93370429404196309</v>
      </c>
      <c r="AF104" s="314">
        <f>MAX(12, F104/(0.5*AE104/1000000*Isw_min*Nps)/1000)</f>
        <v>1399.5865803968006</v>
      </c>
      <c r="AG104" s="456">
        <f t="shared" si="204"/>
        <v>0.9902924330748093</v>
      </c>
      <c r="AI104" s="150">
        <f t="shared" si="205"/>
        <v>12.119422293816537</v>
      </c>
      <c r="AJ104" s="150">
        <f>MAX(IF(F104&gt;AC104,U104,AI104),Isw_min)</f>
        <v>15.067787053768232</v>
      </c>
      <c r="AK104" s="150">
        <f>IF(F104&gt;AG104, (AJ104-Isw_min)/1.08*0.8+1.2, AF104*0.2/350+1)</f>
        <v>7.8719859208608671</v>
      </c>
      <c r="AM104" s="314">
        <f t="shared" si="208"/>
        <v>3960</v>
      </c>
      <c r="AN104" s="144">
        <f t="shared" si="209"/>
        <v>216.61208971485496</v>
      </c>
      <c r="AP104">
        <f t="shared" si="210"/>
        <v>3960</v>
      </c>
      <c r="AQ104">
        <f t="shared" si="211"/>
        <v>216.61208971485496</v>
      </c>
      <c r="AS104" s="5">
        <f t="shared" si="285"/>
        <v>4.6165474942621421</v>
      </c>
      <c r="AT104" s="5">
        <f t="shared" si="212"/>
        <v>2.095186011082947</v>
      </c>
      <c r="AU104" s="5">
        <f t="shared" si="286"/>
        <v>2.5213614831791951</v>
      </c>
      <c r="AV104" s="5">
        <f t="shared" si="213"/>
        <v>2.3213614831791944</v>
      </c>
      <c r="AW104" s="150">
        <f t="shared" si="287"/>
        <v>0.45384262020200844</v>
      </c>
      <c r="AX104" s="150">
        <f t="shared" si="214"/>
        <v>115.57116793507247</v>
      </c>
      <c r="AY104" s="150">
        <f t="shared" si="215"/>
        <v>4.1146915483200779</v>
      </c>
      <c r="AZ104" s="150">
        <f t="shared" si="288"/>
        <v>28.087443877113262</v>
      </c>
      <c r="BA104" s="144">
        <f t="shared" si="216"/>
        <v>27.656455346294901</v>
      </c>
      <c r="BB104" s="5">
        <f t="shared" si="217"/>
        <v>5.2128819177888959</v>
      </c>
      <c r="BC104" s="5"/>
      <c r="BD104" s="150">
        <f t="shared" si="289"/>
        <v>5.8605919670755631</v>
      </c>
      <c r="BE104" s="150">
        <f t="shared" si="218"/>
        <v>6.4290640087043682</v>
      </c>
      <c r="BF104" s="150"/>
      <c r="BG104" s="456">
        <f t="shared" si="219"/>
        <v>0.41215845845460741</v>
      </c>
      <c r="BH104" s="456">
        <f t="shared" si="220"/>
        <v>3.8424150133221238</v>
      </c>
      <c r="BI104" s="456">
        <f t="shared" si="221"/>
        <v>2.4910390317208323E-2</v>
      </c>
      <c r="BJ104" s="456">
        <f t="shared" si="222"/>
        <v>0.46645689571494364</v>
      </c>
      <c r="BK104">
        <f t="shared" si="223"/>
        <v>1.5210281784120868E-2</v>
      </c>
      <c r="BL104" s="144">
        <f t="shared" si="290"/>
        <v>40.120672101329191</v>
      </c>
      <c r="BM104" s="456">
        <f t="shared" si="224"/>
        <v>5.3569090972720987</v>
      </c>
      <c r="BN104" s="144">
        <f t="shared" si="291"/>
        <v>5356.9090972720987</v>
      </c>
      <c r="BO104" s="456">
        <f t="shared" si="225"/>
        <v>2.6555759999999995</v>
      </c>
      <c r="BP104" s="456"/>
      <c r="BR104" s="144">
        <f t="shared" si="292"/>
        <v>2655.5759999999996</v>
      </c>
      <c r="BS104" s="456">
        <f t="shared" si="226"/>
        <v>0.48085153486370869</v>
      </c>
      <c r="BT104" s="456">
        <f t="shared" si="227"/>
        <v>0.57866009639225036</v>
      </c>
      <c r="BU104" s="456">
        <f t="shared" si="228"/>
        <v>30.42989258819069</v>
      </c>
      <c r="BV104" s="456">
        <f>(BU104+(BS104+BT104)*(1+Ltc*(Ta-25)))/(1-(BS104+BT104)*Ltc*ThetaCa)</f>
        <v>34.683492071974548</v>
      </c>
      <c r="BW104" s="456">
        <f t="shared" si="230"/>
        <v>4.9179220397903185</v>
      </c>
      <c r="BX104" s="144">
        <f t="shared" si="293"/>
        <v>39601.414111764869</v>
      </c>
      <c r="BY104" s="150">
        <f t="shared" si="231"/>
        <v>47.654019881138296</v>
      </c>
      <c r="BZ104" s="5">
        <f t="shared" si="294"/>
        <v>118.8</v>
      </c>
      <c r="CA104" s="150">
        <f t="shared" si="295"/>
        <v>0.71371060960157562</v>
      </c>
      <c r="CB104" s="5">
        <f t="shared" si="296"/>
        <v>71.371060960157564</v>
      </c>
      <c r="CE104" s="59">
        <f t="shared" si="232"/>
        <v>-50</v>
      </c>
      <c r="CF104">
        <f t="shared" si="233"/>
        <v>-50</v>
      </c>
      <c r="CG104" s="150">
        <f t="shared" si="234"/>
        <v>0.51641686747782434</v>
      </c>
      <c r="CI104" s="147">
        <v>99</v>
      </c>
      <c r="CJ104" s="188">
        <f t="shared" si="297"/>
        <v>3.96</v>
      </c>
      <c r="CK104" s="188"/>
      <c r="CL104" s="188">
        <f t="shared" si="235"/>
        <v>118.8</v>
      </c>
      <c r="CM104" s="465">
        <f t="shared" si="236"/>
        <v>34</v>
      </c>
      <c r="CN104" s="149">
        <f t="shared" si="237"/>
        <v>30.4</v>
      </c>
      <c r="CO104" s="379">
        <f t="shared" si="238"/>
        <v>64.400000000000006</v>
      </c>
      <c r="CP104" s="379"/>
      <c r="CQ104" s="188">
        <f t="shared" si="239"/>
        <v>0.47204968944099374</v>
      </c>
      <c r="CR104" s="149">
        <f t="shared" si="240"/>
        <v>244.918674788055</v>
      </c>
      <c r="CS104" s="149">
        <f t="shared" si="298"/>
        <v>118.8</v>
      </c>
      <c r="CT104" s="188">
        <f t="shared" si="241"/>
        <v>8.1639558262685004</v>
      </c>
      <c r="CU104" s="188">
        <f t="shared" si="242"/>
        <v>30</v>
      </c>
      <c r="CV104" s="188">
        <f t="shared" si="243"/>
        <v>8.1059037580776696</v>
      </c>
      <c r="CW104" s="149">
        <f t="shared" si="244"/>
        <v>96.229510206261978</v>
      </c>
      <c r="CX104" s="460">
        <f t="shared" si="245"/>
        <v>30</v>
      </c>
      <c r="CY104" s="188">
        <f t="shared" si="246"/>
        <v>14.804024767801858</v>
      </c>
      <c r="CZ104" s="188">
        <f t="shared" si="247"/>
        <v>2.0464387179020216</v>
      </c>
      <c r="DA104" s="188">
        <f t="shared" si="248"/>
        <v>2.2887801450219976</v>
      </c>
      <c r="DB104" s="172">
        <f t="shared" si="249"/>
        <v>350</v>
      </c>
      <c r="DC104" s="379">
        <f t="shared" si="299"/>
        <v>230.66886162363662</v>
      </c>
      <c r="DE104" s="188">
        <f t="shared" si="250"/>
        <v>9.7566501161056465</v>
      </c>
      <c r="DF104" s="150">
        <f t="shared" si="251"/>
        <v>1.5084294587400178</v>
      </c>
      <c r="DG104" s="150">
        <f t="shared" si="252"/>
        <v>2.5755132294067704</v>
      </c>
      <c r="DH104" s="150"/>
      <c r="DI104" s="150">
        <f t="shared" si="253"/>
        <v>0.93700159489633172</v>
      </c>
      <c r="DJ104" s="314">
        <f t="shared" si="300"/>
        <v>1394.6614468085106</v>
      </c>
      <c r="DK104" s="456">
        <f t="shared" si="254"/>
        <v>0.99378957034459414</v>
      </c>
      <c r="DM104" s="150">
        <f t="shared" si="255"/>
        <v>12.098079427573049</v>
      </c>
      <c r="DN104" s="150">
        <f t="shared" si="256"/>
        <v>14.804024767801858</v>
      </c>
      <c r="DO104" s="150">
        <f t="shared" si="257"/>
        <v>7.6766064497746642</v>
      </c>
      <c r="DQ104" s="314">
        <f t="shared" si="258"/>
        <v>3960</v>
      </c>
      <c r="DR104" s="144">
        <f t="shared" si="259"/>
        <v>230.66886162363662</v>
      </c>
      <c r="DT104">
        <f t="shared" si="260"/>
        <v>3960</v>
      </c>
      <c r="DU104">
        <f t="shared" si="261"/>
        <v>230.66886162363662</v>
      </c>
      <c r="DW104" s="5">
        <f t="shared" si="301"/>
        <v>4.3352188629240196</v>
      </c>
      <c r="DX104" s="5">
        <f t="shared" si="262"/>
        <v>2.0464387179020216</v>
      </c>
      <c r="DY104" s="5">
        <f t="shared" si="302"/>
        <v>2.288780145021998</v>
      </c>
      <c r="DZ104" s="5">
        <f t="shared" si="263"/>
        <v>2.2887801450219976</v>
      </c>
      <c r="EA104" s="150">
        <f t="shared" si="303"/>
        <v>0.47204968944099379</v>
      </c>
      <c r="EB104" s="150">
        <f t="shared" si="264"/>
        <v>118.79999999999997</v>
      </c>
      <c r="EC104" s="150">
        <f t="shared" si="265"/>
        <v>3.9078947368421053</v>
      </c>
      <c r="ED104" s="150">
        <f t="shared" si="304"/>
        <v>30.399999999999991</v>
      </c>
      <c r="EE104" s="144">
        <f t="shared" si="266"/>
        <v>27.012991076306683</v>
      </c>
      <c r="EF104" s="5">
        <f t="shared" si="267"/>
        <v>4.7042747617407148</v>
      </c>
      <c r="EG104" s="5"/>
      <c r="EH104" s="150">
        <f t="shared" si="305"/>
        <v>5.8723648949222254</v>
      </c>
      <c r="EI104" s="150">
        <f t="shared" si="268"/>
        <v>6.2103446213648539</v>
      </c>
      <c r="EJ104" s="150"/>
      <c r="EK104" s="456">
        <f t="shared" si="269"/>
        <v>0.41381603350937901</v>
      </c>
      <c r="EL104" s="456">
        <f t="shared" si="270"/>
        <v>4.1783829787234046</v>
      </c>
      <c r="EM104" s="456">
        <f t="shared" si="271"/>
        <v>2.6526919086718212E-2</v>
      </c>
      <c r="EN104" s="456">
        <f t="shared" si="272"/>
        <v>0.49507507414571256</v>
      </c>
      <c r="EO104">
        <f t="shared" si="273"/>
        <v>1.5299999999999999E-2</v>
      </c>
      <c r="EP104" s="144">
        <f t="shared" si="306"/>
        <v>41.826919086718213</v>
      </c>
      <c r="EQ104" s="456">
        <f t="shared" si="274"/>
        <v>5.8123136446296471</v>
      </c>
      <c r="ER104" s="144">
        <f t="shared" si="307"/>
        <v>5812.3136446296467</v>
      </c>
      <c r="ES104" s="456">
        <f t="shared" si="308"/>
        <v>2.6555759999999995</v>
      </c>
      <c r="ET104" s="456"/>
      <c r="EV104" s="144">
        <f t="shared" si="309"/>
        <v>2655.5759999999996</v>
      </c>
      <c r="EW104" s="456">
        <f t="shared" si="275"/>
        <v>0.48278537242760888</v>
      </c>
      <c r="EX104" s="456">
        <f t="shared" si="276"/>
        <v>0.53995732442561528</v>
      </c>
      <c r="EY104" s="456">
        <f t="shared" si="277"/>
        <v>34.071554045454633</v>
      </c>
      <c r="EZ104" s="456">
        <f t="shared" si="278"/>
        <v>38.488893792447428</v>
      </c>
      <c r="FA104" s="456">
        <f t="shared" si="279"/>
        <v>5.05531914893617</v>
      </c>
      <c r="FB104" s="144">
        <f t="shared" si="310"/>
        <v>43544.212941383601</v>
      </c>
      <c r="FC104" s="150">
        <f t="shared" si="311"/>
        <v>52.012102586013249</v>
      </c>
      <c r="FD104" s="5">
        <f t="shared" si="312"/>
        <v>118.8</v>
      </c>
      <c r="FE104" s="150">
        <f t="shared" si="313"/>
        <v>0.69550106931198086</v>
      </c>
      <c r="FF104" s="5">
        <f t="shared" si="314"/>
        <v>69.550106931198087</v>
      </c>
      <c r="FI104" s="59">
        <f t="shared" si="280"/>
        <v>-50</v>
      </c>
      <c r="FJ104">
        <f t="shared" si="281"/>
        <v>-50</v>
      </c>
      <c r="FL104">
        <f t="shared" si="282"/>
        <v>0.52795031055900621</v>
      </c>
    </row>
    <row r="105" spans="5:168">
      <c r="E105" s="147">
        <v>100</v>
      </c>
      <c r="F105" s="188">
        <f>IF(PLOT_TYPE=1, E105/100*Iout_max, min_I*EXP(N105*rr/100))</f>
        <v>4</v>
      </c>
      <c r="G105" s="188"/>
      <c r="H105" s="188">
        <f>F105*Vout</f>
        <v>120</v>
      </c>
      <c r="I105" s="465">
        <f t="shared" si="184"/>
        <v>33.798657277095778</v>
      </c>
      <c r="J105" s="149">
        <f t="shared" si="185"/>
        <v>30.508415312333042</v>
      </c>
      <c r="K105" s="149">
        <f t="shared" si="186"/>
        <v>64.508415312333042</v>
      </c>
      <c r="L105" s="379"/>
      <c r="M105" s="188">
        <f t="shared" si="187"/>
        <v>0.47439856447448214</v>
      </c>
      <c r="N105" s="149">
        <f>M105*I105*(Isw_max+VIN_nom/Lmag*ILIM_delay)*0.5*Efficiency</f>
        <v>244.67977988432929</v>
      </c>
      <c r="O105" s="149">
        <f t="shared" si="284"/>
        <v>120</v>
      </c>
      <c r="P105" s="188">
        <f>N105/Vout</f>
        <v>8.1559926628109771</v>
      </c>
      <c r="Q105" s="188">
        <f t="shared" si="190"/>
        <v>30</v>
      </c>
      <c r="R105" s="188">
        <f>Isw_max/2*I105*Nps*(Q105+Vfwd1+F105/FL105*Rdcr_sec)/Q105/(I105+Nps*(Q105+Vfwd1+F105/FL105*Rdcr_sec))</f>
        <v>8.0979972188986125</v>
      </c>
      <c r="S105" s="149">
        <f t="shared" si="192"/>
        <v>94.369216373595606</v>
      </c>
      <c r="T105" s="460">
        <f>MIN(Vout, S105)</f>
        <v>30</v>
      </c>
      <c r="U105" s="188">
        <f t="shared" si="194"/>
        <v>15.220658581347431</v>
      </c>
      <c r="V105" s="188">
        <f>L*U105/I105*1000000</f>
        <v>2.1165661921372014</v>
      </c>
      <c r="W105" s="188">
        <f t="shared" si="196"/>
        <v>2.3448315686004841</v>
      </c>
      <c r="X105" s="172">
        <f t="shared" si="197"/>
        <v>350</v>
      </c>
      <c r="Y105" s="379">
        <f>MIN(1/(V105+W105+0.2)*1000, 350)</f>
        <v>214.52792731460568</v>
      </c>
      <c r="AA105" s="188">
        <f t="shared" si="199"/>
        <v>9.7475271829419512</v>
      </c>
      <c r="AB105" s="150">
        <f>L*AA105/J105*1000000</f>
        <v>1.5016636325029669</v>
      </c>
      <c r="AC105" s="150">
        <f>0.5*AB105*AA105*Nps*X105/1000</f>
        <v>2.5615637385551535</v>
      </c>
      <c r="AD105" s="150"/>
      <c r="AE105" s="150">
        <f t="shared" si="202"/>
        <v>0.93367184736512587</v>
      </c>
      <c r="AF105" s="314">
        <f>MAX(12, F105/(0.5*AE105/1000000*Isw_min*Nps)/1000)</f>
        <v>1413.7729478779013</v>
      </c>
      <c r="AG105" s="456">
        <f t="shared" si="204"/>
        <v>0.99025801993270923</v>
      </c>
      <c r="AI105" s="150">
        <f t="shared" si="205"/>
        <v>12.180689348649631</v>
      </c>
      <c r="AJ105" s="150">
        <f>MAX(IF(F105&gt;AC105,U105,AI105),Isw_min)</f>
        <v>15.220658581347431</v>
      </c>
      <c r="AK105" s="150">
        <f>IF(F105&gt;AG105, (AJ105-Isw_min)/1.08*0.8+1.2, AF105*0.2/350+1)</f>
        <v>7.9852240894380522</v>
      </c>
      <c r="AM105" s="314">
        <f t="shared" si="208"/>
        <v>4000</v>
      </c>
      <c r="AN105" s="144">
        <f t="shared" si="209"/>
        <v>214.52792731460568</v>
      </c>
      <c r="AP105">
        <f t="shared" si="210"/>
        <v>4000</v>
      </c>
      <c r="AQ105" s="3">
        <f t="shared" si="211"/>
        <v>214.52792731460568</v>
      </c>
      <c r="AS105" s="5">
        <f t="shared" si="285"/>
        <v>4.6613977607376862</v>
      </c>
      <c r="AT105" s="5">
        <f t="shared" si="212"/>
        <v>2.1165661921372014</v>
      </c>
      <c r="AU105" s="5">
        <f t="shared" si="286"/>
        <v>2.5448315686004848</v>
      </c>
      <c r="AV105" s="5">
        <f t="shared" si="213"/>
        <v>2.3448315686004841</v>
      </c>
      <c r="AW105" s="150">
        <f t="shared" si="287"/>
        <v>0.45406255822336128</v>
      </c>
      <c r="AX105" s="150">
        <f t="shared" si="214"/>
        <v>116.79347696155719</v>
      </c>
      <c r="AY105" s="150">
        <f t="shared" si="215"/>
        <v>4.1547637040282295</v>
      </c>
      <c r="AZ105" s="150">
        <f t="shared" si="288"/>
        <v>28.110738728250823</v>
      </c>
      <c r="BA105" s="144">
        <f t="shared" si="216"/>
        <v>28.220882561829352</v>
      </c>
      <c r="BB105" s="5">
        <f t="shared" si="217"/>
        <v>5.3148611223086144</v>
      </c>
      <c r="BC105" s="5"/>
      <c r="BD105" s="150">
        <f t="shared" si="289"/>
        <v>5.9214853992211829</v>
      </c>
      <c r="BE105" s="150">
        <f t="shared" si="218"/>
        <v>6.4929828700009216</v>
      </c>
      <c r="BF105" s="150"/>
      <c r="BG105" s="456">
        <f t="shared" si="219"/>
        <v>0.42076787199827587</v>
      </c>
      <c r="BH105" s="456">
        <f t="shared" si="220"/>
        <v>3.844116342928777</v>
      </c>
      <c r="BI105" s="456">
        <f t="shared" si="221"/>
        <v>2.4670711641179656E-2</v>
      </c>
      <c r="BJ105" s="456">
        <f t="shared" si="222"/>
        <v>0.46198400295286551</v>
      </c>
      <c r="BK105">
        <f t="shared" si="223"/>
        <v>1.52093957746931E-2</v>
      </c>
      <c r="BL105" s="144">
        <f t="shared" si="290"/>
        <v>39.880107415872757</v>
      </c>
      <c r="BM105" s="456">
        <f t="shared" si="224"/>
        <v>5.3781534578513428</v>
      </c>
      <c r="BN105" s="144">
        <f t="shared" si="291"/>
        <v>5378.1534578513429</v>
      </c>
      <c r="BO105" s="456">
        <f t="shared" si="225"/>
        <v>2.6823999999999999</v>
      </c>
      <c r="BP105" s="456"/>
      <c r="BR105" s="144">
        <f t="shared" si="292"/>
        <v>2682.4</v>
      </c>
      <c r="BS105" s="456">
        <f t="shared" si="226"/>
        <v>0.49089585066465513</v>
      </c>
      <c r="BT105" s="456">
        <f t="shared" si="227"/>
        <v>0.59022357170175566</v>
      </c>
      <c r="BU105" s="456">
        <f t="shared" si="228"/>
        <v>30.462336208037883</v>
      </c>
      <c r="BV105" s="456">
        <f>(BU105+(BS105+BT105)*(1+Ltc*(Ta-25)))/(1-(BS105+BT105)*Ltc*ThetaCa)</f>
        <v>34.813968930178362</v>
      </c>
      <c r="BW105" s="456">
        <f t="shared" si="230"/>
        <v>4.9699351898534978</v>
      </c>
      <c r="BX105" s="144">
        <f t="shared" si="293"/>
        <v>39783.904120031861</v>
      </c>
      <c r="BY105" s="150">
        <f>SUM(BM105,BO105:BQ105,BV105, BW105)+BK105+BI105</f>
        <v>47.884337685299073</v>
      </c>
      <c r="BZ105" s="5">
        <f t="shared" si="294"/>
        <v>120</v>
      </c>
      <c r="CA105" s="150">
        <f>BZ105/(BZ105+BY105)</f>
        <v>0.71477781462223855</v>
      </c>
      <c r="CB105" s="5">
        <f>CA105*100</f>
        <v>71.477781462223859</v>
      </c>
      <c r="CE105" s="59">
        <f t="shared" si="232"/>
        <v>-50</v>
      </c>
      <c r="CF105">
        <f t="shared" si="233"/>
        <v>-50</v>
      </c>
      <c r="CG105" s="150">
        <f t="shared" si="234"/>
        <v>0.51653220190863625</v>
      </c>
      <c r="CI105" s="147">
        <v>100</v>
      </c>
      <c r="CJ105" s="188">
        <f t="shared" si="297"/>
        <v>4</v>
      </c>
      <c r="CK105" s="188"/>
      <c r="CL105" s="188">
        <f t="shared" si="235"/>
        <v>120</v>
      </c>
      <c r="CM105" s="465">
        <f t="shared" si="236"/>
        <v>34</v>
      </c>
      <c r="CN105" s="149">
        <f t="shared" si="237"/>
        <v>30.4</v>
      </c>
      <c r="CO105" s="379">
        <f t="shared" si="238"/>
        <v>64.400000000000006</v>
      </c>
      <c r="CP105" s="379"/>
      <c r="CQ105" s="188">
        <f t="shared" si="239"/>
        <v>0.47204968944099374</v>
      </c>
      <c r="CR105" s="149">
        <f t="shared" si="240"/>
        <v>244.918674788055</v>
      </c>
      <c r="CS105" s="149">
        <f t="shared" si="298"/>
        <v>120</v>
      </c>
      <c r="CT105" s="188">
        <f t="shared" si="241"/>
        <v>8.1639558262685004</v>
      </c>
      <c r="CU105" s="188">
        <f t="shared" si="242"/>
        <v>30</v>
      </c>
      <c r="CV105" s="188">
        <f t="shared" si="243"/>
        <v>8.1059037580776696</v>
      </c>
      <c r="CW105" s="149">
        <f t="shared" si="244"/>
        <v>94.93054031015437</v>
      </c>
      <c r="CX105" s="460">
        <f t="shared" si="245"/>
        <v>30</v>
      </c>
      <c r="CY105" s="188">
        <f t="shared" si="246"/>
        <v>14.953560371517028</v>
      </c>
      <c r="CZ105" s="188">
        <f t="shared" si="247"/>
        <v>2.067109816062648</v>
      </c>
      <c r="DA105" s="188">
        <f t="shared" si="248"/>
        <v>2.3118991363858563</v>
      </c>
      <c r="DB105" s="172">
        <f t="shared" si="249"/>
        <v>350</v>
      </c>
      <c r="DC105" s="379">
        <f t="shared" si="299"/>
        <v>228.36217300740026</v>
      </c>
      <c r="DE105" s="188">
        <f t="shared" si="250"/>
        <v>9.7566501161056465</v>
      </c>
      <c r="DF105" s="150">
        <f t="shared" si="251"/>
        <v>1.5084294587400178</v>
      </c>
      <c r="DG105" s="150">
        <f t="shared" si="252"/>
        <v>2.5755132294067704</v>
      </c>
      <c r="DH105" s="150"/>
      <c r="DI105" s="150">
        <f t="shared" si="253"/>
        <v>0.93700159489633172</v>
      </c>
      <c r="DJ105" s="314">
        <f t="shared" si="300"/>
        <v>1408.7489361702128</v>
      </c>
      <c r="DK105" s="456">
        <f t="shared" si="254"/>
        <v>0.99378957034459414</v>
      </c>
      <c r="DM105" s="150">
        <f t="shared" si="255"/>
        <v>12.159027316720438</v>
      </c>
      <c r="DN105" s="150">
        <f t="shared" si="256"/>
        <v>14.953560371517028</v>
      </c>
      <c r="DO105" s="150">
        <f t="shared" si="257"/>
        <v>7.7873735636377539</v>
      </c>
      <c r="DQ105" s="314">
        <f t="shared" si="258"/>
        <v>4000</v>
      </c>
      <c r="DR105" s="144">
        <f t="shared" si="259"/>
        <v>228.36217300740026</v>
      </c>
      <c r="DT105">
        <f t="shared" si="260"/>
        <v>4000</v>
      </c>
      <c r="DU105" s="3">
        <f t="shared" si="261"/>
        <v>228.36217300740026</v>
      </c>
      <c r="DW105" s="5">
        <f t="shared" si="301"/>
        <v>4.3790089524485047</v>
      </c>
      <c r="DX105" s="5">
        <f t="shared" si="262"/>
        <v>2.067109816062648</v>
      </c>
      <c r="DY105" s="5">
        <f t="shared" si="302"/>
        <v>2.3118991363858568</v>
      </c>
      <c r="DZ105" s="5">
        <f t="shared" si="263"/>
        <v>2.3118991363858563</v>
      </c>
      <c r="EA105" s="150">
        <f t="shared" si="303"/>
        <v>0.47204968944099374</v>
      </c>
      <c r="EB105" s="150">
        <f t="shared" si="264"/>
        <v>119.99999999999999</v>
      </c>
      <c r="EC105" s="150">
        <f t="shared" si="265"/>
        <v>3.9473684210526319</v>
      </c>
      <c r="ED105" s="150">
        <f t="shared" si="304"/>
        <v>30.399999999999995</v>
      </c>
      <c r="EE105" s="144">
        <f t="shared" si="266"/>
        <v>27.561464214168637</v>
      </c>
      <c r="EF105" s="5">
        <f t="shared" si="267"/>
        <v>4.7997905945727117</v>
      </c>
      <c r="EG105" s="5"/>
      <c r="EH105" s="150">
        <f t="shared" si="305"/>
        <v>5.9316817120426508</v>
      </c>
      <c r="EI105" s="150">
        <f t="shared" si="268"/>
        <v>6.2730753751160142</v>
      </c>
      <c r="EJ105" s="150"/>
      <c r="EK105" s="456">
        <f t="shared" si="269"/>
        <v>0.42221817519577481</v>
      </c>
      <c r="EL105" s="456">
        <f t="shared" si="270"/>
        <v>4.1783829787234046</v>
      </c>
      <c r="EM105" s="456">
        <f t="shared" si="271"/>
        <v>2.626164989585103E-2</v>
      </c>
      <c r="EN105" s="456">
        <f t="shared" si="272"/>
        <v>0.49012432340425538</v>
      </c>
      <c r="EO105">
        <f t="shared" si="273"/>
        <v>1.5299999999999999E-2</v>
      </c>
      <c r="EP105" s="144">
        <f t="shared" si="306"/>
        <v>41.561649895851033</v>
      </c>
      <c r="EQ105" s="456">
        <f t="shared" si="274"/>
        <v>5.8312738166057549</v>
      </c>
      <c r="ER105" s="144">
        <f t="shared" si="307"/>
        <v>5831.2738166057552</v>
      </c>
      <c r="ES105" s="456">
        <f t="shared" si="308"/>
        <v>2.6823999999999999</v>
      </c>
      <c r="ET105" s="456"/>
      <c r="EV105" s="144">
        <f t="shared" si="309"/>
        <v>2682.4</v>
      </c>
      <c r="EW105" s="456">
        <f t="shared" si="275"/>
        <v>0.49258787106173729</v>
      </c>
      <c r="EX105" s="456">
        <f t="shared" si="276"/>
        <v>0.55092064526641693</v>
      </c>
      <c r="EY105" s="456">
        <f t="shared" si="277"/>
        <v>34.071554045454661</v>
      </c>
      <c r="EZ105" s="456">
        <f t="shared" si="278"/>
        <v>38.586753038774575</v>
      </c>
      <c r="FA105" s="456">
        <f t="shared" si="279"/>
        <v>5.1063829787234036</v>
      </c>
      <c r="FB105" s="144">
        <f t="shared" si="310"/>
        <v>43693.136017497978</v>
      </c>
      <c r="FC105" s="150">
        <f t="shared" si="311"/>
        <v>52.20680983410373</v>
      </c>
      <c r="FD105" s="5">
        <f t="shared" si="312"/>
        <v>120</v>
      </c>
      <c r="FE105" s="150">
        <f t="shared" si="313"/>
        <v>0.69683655434766245</v>
      </c>
      <c r="FF105" s="5">
        <f t="shared" si="314"/>
        <v>69.683655434766251</v>
      </c>
      <c r="FI105" s="59">
        <f t="shared" si="280"/>
        <v>-50</v>
      </c>
      <c r="FJ105">
        <f t="shared" si="281"/>
        <v>-50</v>
      </c>
      <c r="FL105">
        <f t="shared" si="282"/>
        <v>0.52795031055900621</v>
      </c>
    </row>
    <row r="106" spans="5:168">
      <c r="E106" s="147"/>
      <c r="F106" s="188"/>
      <c r="G106" s="188"/>
      <c r="H106" s="188"/>
      <c r="I106" s="465"/>
      <c r="J106" s="379"/>
      <c r="K106" s="379"/>
      <c r="L106" s="379"/>
      <c r="M106" s="188"/>
      <c r="N106" s="149"/>
      <c r="O106" s="149"/>
      <c r="P106" s="188"/>
      <c r="Q106" s="188"/>
      <c r="R106" s="188"/>
      <c r="S106" s="149"/>
      <c r="T106" s="149"/>
      <c r="U106" s="188"/>
      <c r="V106" s="188"/>
      <c r="W106" s="188"/>
      <c r="X106" s="172"/>
      <c r="Y106" s="379"/>
      <c r="AA106" s="188"/>
      <c r="AB106" s="150"/>
      <c r="AC106" s="150"/>
      <c r="AD106" s="150"/>
      <c r="AE106" s="150"/>
      <c r="AF106" s="314"/>
      <c r="AI106" s="150"/>
      <c r="AJ106" s="150"/>
      <c r="AK106" s="150"/>
      <c r="AM106" s="314"/>
      <c r="AN106" s="144"/>
      <c r="AQ106" s="3"/>
      <c r="AS106" s="5"/>
      <c r="AT106" s="5"/>
      <c r="AU106" s="5"/>
      <c r="AV106" s="5"/>
      <c r="AW106" s="150"/>
      <c r="AX106" s="150"/>
      <c r="AY106" s="150"/>
      <c r="AZ106" s="150"/>
      <c r="BA106" s="144"/>
      <c r="BB106" s="5"/>
      <c r="BC106" s="5"/>
      <c r="BD106" s="150"/>
      <c r="BE106" s="150"/>
      <c r="BF106" s="150"/>
      <c r="BG106" s="456"/>
      <c r="BH106" s="456"/>
      <c r="BI106" s="456"/>
      <c r="BJ106" s="456"/>
      <c r="BN106" s="144"/>
      <c r="BO106" s="456"/>
      <c r="BP106" s="456"/>
      <c r="BR106" s="144"/>
      <c r="BS106" s="456"/>
      <c r="BT106" s="456"/>
      <c r="BU106" s="456"/>
      <c r="BV106" s="456"/>
      <c r="BW106" s="456"/>
      <c r="BX106" s="144"/>
      <c r="BY106" s="150"/>
      <c r="BZ106" s="5"/>
      <c r="CA106" s="150"/>
      <c r="CB106" s="5"/>
      <c r="CE106" s="59"/>
      <c r="CI106" s="147"/>
      <c r="CJ106" s="188"/>
      <c r="CK106" s="188"/>
      <c r="CL106" s="188"/>
      <c r="CM106" s="465"/>
      <c r="CN106" s="379"/>
      <c r="CO106" s="379"/>
      <c r="CP106" s="379"/>
      <c r="CQ106" s="188"/>
      <c r="CR106" s="149"/>
      <c r="CS106" s="149"/>
      <c r="CT106" s="188"/>
      <c r="CU106" s="188"/>
      <c r="CV106" s="188"/>
      <c r="CW106" s="149"/>
      <c r="CX106" s="149"/>
      <c r="CY106" s="188"/>
      <c r="CZ106" s="188"/>
      <c r="DA106" s="188"/>
      <c r="DB106" s="172"/>
      <c r="DC106" s="379"/>
      <c r="DE106" s="188"/>
      <c r="DF106" s="150"/>
      <c r="DG106" s="150"/>
      <c r="DH106" s="150"/>
      <c r="DI106" s="150"/>
      <c r="DJ106" s="314"/>
      <c r="DM106" s="150"/>
      <c r="DN106" s="150"/>
      <c r="DO106" s="150"/>
      <c r="DQ106" s="314"/>
      <c r="DR106" s="144"/>
      <c r="DU106" s="3"/>
      <c r="DW106" s="5"/>
      <c r="DX106" s="5"/>
      <c r="DY106" s="5"/>
      <c r="DZ106" s="5"/>
      <c r="EA106" s="150"/>
      <c r="EB106" s="150"/>
      <c r="EC106" s="150"/>
      <c r="ED106" s="150"/>
      <c r="EE106" s="144"/>
      <c r="EF106" s="5"/>
      <c r="EG106" s="5"/>
      <c r="EH106" s="150"/>
      <c r="EI106" s="150"/>
      <c r="EJ106" s="150"/>
      <c r="EK106" s="456"/>
      <c r="EL106" s="456"/>
      <c r="EM106" s="456"/>
      <c r="EN106" s="456"/>
      <c r="ER106" s="144"/>
      <c r="ES106" s="456"/>
      <c r="ET106" s="456"/>
      <c r="EV106" s="144"/>
      <c r="EW106" s="456"/>
      <c r="EX106" s="456"/>
      <c r="EY106" s="456"/>
      <c r="EZ106" s="456"/>
      <c r="FA106" s="456"/>
      <c r="FB106" s="144"/>
      <c r="FC106" s="150"/>
      <c r="FD106" s="5"/>
      <c r="FE106" s="150"/>
      <c r="FF106" s="5"/>
      <c r="FI106" s="59"/>
      <c r="FL106" t="e">
        <f>MIN(SQRT(2*L*DJ106*1000*CJ106*CN106)/CM106, 1-EA106)</f>
        <v>#DIV/0!</v>
      </c>
    </row>
    <row r="107" spans="5:168">
      <c r="H107" s="188"/>
      <c r="I107" s="465"/>
      <c r="J107" s="379"/>
      <c r="K107" s="379"/>
      <c r="L107" s="379"/>
      <c r="M107" s="188"/>
      <c r="N107" s="149"/>
      <c r="O107" s="149"/>
      <c r="P107" s="188"/>
      <c r="Q107" s="625"/>
      <c r="R107" s="188"/>
      <c r="S107" s="149"/>
      <c r="T107" s="149"/>
      <c r="U107" s="188"/>
      <c r="V107" s="188"/>
      <c r="W107" s="188"/>
      <c r="X107" s="172"/>
      <c r="Y107" s="379"/>
      <c r="AA107" s="188"/>
      <c r="AB107" s="150"/>
      <c r="AC107" s="150"/>
      <c r="AD107" s="150"/>
      <c r="AE107" s="150"/>
      <c r="AF107" s="314"/>
      <c r="AI107" s="150"/>
      <c r="AJ107" s="150"/>
      <c r="AK107" s="150"/>
      <c r="AM107" s="314"/>
      <c r="AN107" s="144"/>
      <c r="AS107" s="5"/>
      <c r="AT107" s="5"/>
      <c r="AU107" s="5"/>
      <c r="AV107" s="5"/>
      <c r="AW107" s="150"/>
      <c r="AX107" s="150"/>
      <c r="AY107" s="150"/>
      <c r="AZ107" s="150"/>
      <c r="BA107" s="144"/>
      <c r="BB107" s="5"/>
      <c r="BD107" s="150"/>
      <c r="BE107" s="150"/>
      <c r="BG107" s="456"/>
      <c r="BH107" s="456"/>
      <c r="BI107" s="456"/>
      <c r="BJ107" s="456"/>
      <c r="BN107" s="144"/>
      <c r="BO107" s="456"/>
      <c r="BR107" s="144"/>
      <c r="BS107" s="456"/>
      <c r="BT107" s="456"/>
      <c r="BU107" s="456"/>
      <c r="BV107" s="456"/>
      <c r="BW107" s="456"/>
      <c r="BX107" s="144"/>
      <c r="BY107" s="150"/>
      <c r="BZ107" s="5"/>
      <c r="CA107" s="150"/>
      <c r="CB107" s="5"/>
      <c r="CE107" s="59"/>
      <c r="CL107" s="188"/>
      <c r="CM107" s="465"/>
      <c r="CN107" s="379"/>
      <c r="CO107" s="379"/>
      <c r="CP107" s="379"/>
      <c r="CQ107" s="188"/>
      <c r="CR107" s="149"/>
      <c r="CS107" s="149"/>
      <c r="CT107" s="188"/>
      <c r="CU107" s="625"/>
      <c r="CV107" s="188"/>
      <c r="CW107" s="149"/>
      <c r="CX107" s="149"/>
      <c r="CY107" s="188"/>
      <c r="CZ107" s="188"/>
      <c r="DA107" s="188"/>
      <c r="DB107" s="172"/>
      <c r="DC107" s="379"/>
      <c r="DE107" s="188"/>
      <c r="DF107" s="150"/>
      <c r="DG107" s="150"/>
      <c r="DH107" s="150"/>
      <c r="DI107" s="150"/>
      <c r="DJ107" s="314"/>
      <c r="DM107" s="150"/>
      <c r="DN107" s="150"/>
      <c r="DO107" s="150"/>
      <c r="DQ107" s="314"/>
      <c r="DR107" s="144"/>
      <c r="DW107" s="5"/>
      <c r="DX107" s="5"/>
      <c r="DY107" s="5"/>
      <c r="DZ107" s="5"/>
      <c r="EA107" s="150"/>
      <c r="EB107" s="150"/>
      <c r="EC107" s="150"/>
      <c r="ED107" s="150"/>
      <c r="EE107" s="144"/>
      <c r="EF107" s="5"/>
      <c r="EH107" s="150"/>
      <c r="EI107" s="150"/>
      <c r="EK107" s="456"/>
      <c r="EL107" s="456"/>
      <c r="EM107" s="456"/>
      <c r="EN107" s="456"/>
      <c r="ER107" s="144"/>
      <c r="ES107" s="456"/>
      <c r="EV107" s="144"/>
      <c r="EW107" s="456"/>
      <c r="EX107" s="456"/>
      <c r="EY107" s="456"/>
      <c r="EZ107" s="456"/>
      <c r="FA107" s="456"/>
      <c r="FB107" s="144"/>
      <c r="FC107" s="150"/>
      <c r="FD107" s="5"/>
      <c r="FE107" s="150"/>
      <c r="FF107" s="5"/>
      <c r="FI107" s="59"/>
      <c r="FL107" t="e">
        <f>MIN(SQRT(2*L*DJ107*1000*CJ107*CN107)/CM107, 1-EA107)</f>
        <v>#DIV/0!</v>
      </c>
    </row>
    <row r="108" spans="5:168">
      <c r="E108" s="159" t="s">
        <v>434</v>
      </c>
      <c r="H108" s="188"/>
      <c r="I108" s="465"/>
      <c r="J108" s="379"/>
      <c r="K108" s="379"/>
      <c r="L108" s="379"/>
      <c r="M108" s="188"/>
      <c r="N108" s="149">
        <f>Efficiency</f>
        <v>1</v>
      </c>
      <c r="O108" s="149"/>
      <c r="P108" s="188"/>
      <c r="Q108" s="188"/>
      <c r="R108" s="188"/>
      <c r="S108" s="149"/>
      <c r="T108" s="149"/>
      <c r="U108" s="188"/>
      <c r="V108" s="188"/>
      <c r="W108" s="188"/>
      <c r="X108" s="172"/>
      <c r="Y108" s="379"/>
      <c r="AA108" s="188"/>
      <c r="AB108" s="150"/>
      <c r="AC108" s="150"/>
      <c r="AD108" s="150"/>
      <c r="AE108" s="150"/>
      <c r="AF108" s="314"/>
      <c r="AI108" s="150"/>
      <c r="AJ108" s="150"/>
      <c r="AK108" s="150"/>
      <c r="AM108" s="314"/>
      <c r="AN108" s="144"/>
      <c r="AS108" s="5"/>
      <c r="AT108" s="5"/>
      <c r="AU108" s="5"/>
      <c r="AV108" s="5"/>
      <c r="AW108" s="150"/>
      <c r="AX108" s="150"/>
      <c r="AY108" s="150"/>
      <c r="AZ108" s="150"/>
      <c r="BA108" s="144"/>
      <c r="BB108" s="5"/>
      <c r="BD108" s="150"/>
      <c r="BE108" s="150"/>
      <c r="BG108" s="456"/>
      <c r="BH108" s="456"/>
      <c r="BI108" s="456"/>
      <c r="BJ108" s="456"/>
      <c r="BN108" s="144"/>
      <c r="BO108" s="456"/>
      <c r="BR108" s="144"/>
      <c r="BS108" s="456"/>
      <c r="BT108" s="456"/>
      <c r="BU108" s="456"/>
      <c r="BV108" s="456"/>
      <c r="BW108" s="456"/>
      <c r="BX108" s="144"/>
      <c r="BY108" s="150"/>
      <c r="BZ108" s="5"/>
      <c r="CA108" s="150"/>
      <c r="CB108" s="5"/>
      <c r="CE108" s="59">
        <f>Ioutmax_Vinmin</f>
        <v>6.1183378700349742</v>
      </c>
      <c r="CI108" s="159" t="s">
        <v>434</v>
      </c>
      <c r="CL108" s="188"/>
      <c r="CM108" s="465"/>
      <c r="CN108" s="379"/>
      <c r="CO108" s="379"/>
      <c r="CP108" s="379"/>
      <c r="CQ108" s="188"/>
      <c r="CR108" s="149">
        <f>Efficiency</f>
        <v>1</v>
      </c>
      <c r="CS108" s="149"/>
      <c r="CT108" s="188"/>
      <c r="CU108" s="188"/>
      <c r="CV108" s="188"/>
      <c r="CW108" s="149"/>
      <c r="CX108" s="149"/>
      <c r="CY108" s="188"/>
      <c r="CZ108" s="188"/>
      <c r="DA108" s="188"/>
      <c r="DB108" s="172"/>
      <c r="DC108" s="379"/>
      <c r="DE108" s="188"/>
      <c r="DF108" s="150"/>
      <c r="DG108" s="150"/>
      <c r="DH108" s="150"/>
      <c r="DI108" s="150"/>
      <c r="DJ108" s="314"/>
      <c r="DM108" s="150"/>
      <c r="DN108" s="150"/>
      <c r="DO108" s="150"/>
      <c r="DQ108" s="314"/>
      <c r="DR108" s="144"/>
      <c r="DW108" s="5"/>
      <c r="DX108" s="5"/>
      <c r="DY108" s="5"/>
      <c r="DZ108" s="5"/>
      <c r="EA108" s="150"/>
      <c r="EB108" s="150"/>
      <c r="EC108" s="150"/>
      <c r="ED108" s="150"/>
      <c r="EE108" s="144"/>
      <c r="EF108" s="5"/>
      <c r="EH108" s="150"/>
      <c r="EI108" s="150"/>
      <c r="EK108" s="456"/>
      <c r="EL108" s="456"/>
      <c r="EM108" s="456"/>
      <c r="EN108" s="456"/>
      <c r="ER108" s="144"/>
      <c r="ES108" s="456"/>
      <c r="EV108" s="144"/>
      <c r="EW108" s="456"/>
      <c r="EX108" s="456"/>
      <c r="EY108" s="456"/>
      <c r="EZ108" s="456"/>
      <c r="FA108" s="456"/>
      <c r="FB108" s="144"/>
      <c r="FC108" s="150"/>
      <c r="FD108" s="5"/>
      <c r="FE108" s="150"/>
      <c r="FF108" s="5"/>
      <c r="FI108" s="59">
        <f>Ioutmax_Vinmin</f>
        <v>6.1183378700349742</v>
      </c>
      <c r="FL108" t="e">
        <f>MIN(SQRT(2*L*DJ108*1000*CJ108*CN108)/CM108, 1-EA108)</f>
        <v>#DIV/0!</v>
      </c>
    </row>
    <row r="109" spans="5:168" ht="45" customHeight="1" thickBot="1">
      <c r="E109" s="211" t="s">
        <v>25</v>
      </c>
      <c r="F109" s="380" t="s">
        <v>194</v>
      </c>
      <c r="G109" s="230"/>
      <c r="H109" s="455" t="s">
        <v>223</v>
      </c>
      <c r="I109" s="212" t="s">
        <v>412</v>
      </c>
      <c r="J109" s="213" t="s">
        <v>418</v>
      </c>
      <c r="K109" s="455" t="s">
        <v>413</v>
      </c>
      <c r="L109" s="455"/>
      <c r="M109" s="214" t="s">
        <v>48</v>
      </c>
      <c r="N109" s="455" t="s">
        <v>402</v>
      </c>
      <c r="O109" s="455" t="s">
        <v>656</v>
      </c>
      <c r="P109" s="455" t="s">
        <v>403</v>
      </c>
      <c r="Q109" s="455" t="s">
        <v>433</v>
      </c>
      <c r="R109" s="455" t="s">
        <v>654</v>
      </c>
      <c r="S109" s="455" t="s">
        <v>657</v>
      </c>
      <c r="T109" s="455" t="s">
        <v>655</v>
      </c>
      <c r="U109" s="455" t="s">
        <v>414</v>
      </c>
      <c r="V109" s="455" t="s">
        <v>466</v>
      </c>
      <c r="W109" s="455" t="s">
        <v>465</v>
      </c>
      <c r="X109" s="469" t="s">
        <v>420</v>
      </c>
      <c r="Y109" s="466" t="s">
        <v>425</v>
      </c>
      <c r="AA109" s="215" t="s">
        <v>417</v>
      </c>
      <c r="AB109" s="215" t="s">
        <v>464</v>
      </c>
      <c r="AC109" s="215" t="s">
        <v>423</v>
      </c>
      <c r="AD109" s="468"/>
      <c r="AE109" s="215" t="s">
        <v>463</v>
      </c>
      <c r="AF109" s="215" t="s">
        <v>681</v>
      </c>
      <c r="AG109" s="215" t="s">
        <v>427</v>
      </c>
      <c r="AH109" s="468"/>
      <c r="AI109" s="215" t="s">
        <v>429</v>
      </c>
      <c r="AJ109" s="470" t="s">
        <v>430</v>
      </c>
      <c r="AK109" s="470" t="s">
        <v>431</v>
      </c>
      <c r="AM109" s="467" t="s">
        <v>275</v>
      </c>
      <c r="AN109" s="467" t="s">
        <v>432</v>
      </c>
      <c r="AP109" s="215" t="s">
        <v>275</v>
      </c>
      <c r="AQ109" s="215" t="s">
        <v>432</v>
      </c>
      <c r="AR109" s="471"/>
      <c r="AS109" s="215" t="s">
        <v>467</v>
      </c>
      <c r="AT109" s="215" t="s">
        <v>461</v>
      </c>
      <c r="AU109" s="215" t="s">
        <v>462</v>
      </c>
      <c r="AV109" s="215" t="s">
        <v>653</v>
      </c>
      <c r="AW109" s="215" t="s">
        <v>48</v>
      </c>
      <c r="AX109" s="471" t="s">
        <v>651</v>
      </c>
      <c r="AY109" s="468" t="s">
        <v>650</v>
      </c>
      <c r="AZ109" s="468" t="s">
        <v>652</v>
      </c>
      <c r="BA109" s="215" t="s">
        <v>481</v>
      </c>
      <c r="BB109" s="215" t="s">
        <v>514</v>
      </c>
      <c r="BC109" s="468"/>
      <c r="BD109" s="479" t="s">
        <v>456</v>
      </c>
      <c r="BE109" s="215" t="s">
        <v>457</v>
      </c>
      <c r="BF109" s="468"/>
      <c r="BG109" s="479" t="s">
        <v>474</v>
      </c>
      <c r="BH109" s="215" t="s">
        <v>475</v>
      </c>
      <c r="BI109" s="215" t="s">
        <v>473</v>
      </c>
      <c r="BJ109" s="215" t="s">
        <v>469</v>
      </c>
      <c r="BK109" s="215" t="s">
        <v>478</v>
      </c>
      <c r="BL109" s="215" t="s">
        <v>777</v>
      </c>
      <c r="BM109" s="215" t="s">
        <v>776</v>
      </c>
      <c r="BN109" s="215" t="s">
        <v>491</v>
      </c>
      <c r="BO109" s="479" t="s">
        <v>476</v>
      </c>
      <c r="BP109" s="215" t="s">
        <v>477</v>
      </c>
      <c r="BQ109" s="215" t="s">
        <v>483</v>
      </c>
      <c r="BR109" s="215" t="s">
        <v>487</v>
      </c>
      <c r="BS109" s="479" t="s">
        <v>458</v>
      </c>
      <c r="BT109" s="215" t="s">
        <v>459</v>
      </c>
      <c r="BU109" s="215" t="s">
        <v>468</v>
      </c>
      <c r="BV109" s="215" t="s">
        <v>666</v>
      </c>
      <c r="BW109" s="215" t="s">
        <v>484</v>
      </c>
      <c r="BX109" s="215" t="s">
        <v>667</v>
      </c>
      <c r="BY109" s="479" t="s">
        <v>482</v>
      </c>
      <c r="BZ109" s="215" t="s">
        <v>223</v>
      </c>
      <c r="CA109" s="215" t="s">
        <v>47</v>
      </c>
      <c r="CB109" s="215" t="s">
        <v>485</v>
      </c>
      <c r="CC109" s="215"/>
      <c r="CE109" s="490" t="s">
        <v>664</v>
      </c>
      <c r="CF109" s="490" t="s">
        <v>665</v>
      </c>
      <c r="CG109" s="667" t="s">
        <v>828</v>
      </c>
      <c r="CI109" s="211" t="s">
        <v>25</v>
      </c>
      <c r="CJ109" s="380" t="s">
        <v>194</v>
      </c>
      <c r="CK109" s="230"/>
      <c r="CL109" s="455" t="s">
        <v>223</v>
      </c>
      <c r="CM109" s="212" t="s">
        <v>412</v>
      </c>
      <c r="CN109" s="213" t="s">
        <v>418</v>
      </c>
      <c r="CO109" s="455" t="s">
        <v>413</v>
      </c>
      <c r="CP109" s="455"/>
      <c r="CQ109" s="214" t="s">
        <v>48</v>
      </c>
      <c r="CR109" s="455" t="s">
        <v>402</v>
      </c>
      <c r="CS109" s="455" t="s">
        <v>656</v>
      </c>
      <c r="CT109" s="455" t="s">
        <v>403</v>
      </c>
      <c r="CU109" s="455" t="s">
        <v>433</v>
      </c>
      <c r="CV109" s="455" t="s">
        <v>654</v>
      </c>
      <c r="CW109" s="455" t="s">
        <v>657</v>
      </c>
      <c r="CX109" s="455" t="s">
        <v>655</v>
      </c>
      <c r="CY109" s="455" t="s">
        <v>414</v>
      </c>
      <c r="CZ109" s="455" t="s">
        <v>466</v>
      </c>
      <c r="DA109" s="455" t="s">
        <v>465</v>
      </c>
      <c r="DB109" s="469" t="s">
        <v>420</v>
      </c>
      <c r="DC109" s="466" t="s">
        <v>425</v>
      </c>
      <c r="DE109" s="215" t="s">
        <v>417</v>
      </c>
      <c r="DF109" s="215" t="s">
        <v>464</v>
      </c>
      <c r="DG109" s="215" t="s">
        <v>423</v>
      </c>
      <c r="DH109" s="468"/>
      <c r="DI109" s="215" t="s">
        <v>463</v>
      </c>
      <c r="DJ109" s="215" t="s">
        <v>681</v>
      </c>
      <c r="DK109" s="215" t="s">
        <v>427</v>
      </c>
      <c r="DL109" s="468"/>
      <c r="DM109" s="215" t="s">
        <v>429</v>
      </c>
      <c r="DN109" s="470" t="s">
        <v>430</v>
      </c>
      <c r="DO109" s="470" t="s">
        <v>431</v>
      </c>
      <c r="DQ109" s="467" t="s">
        <v>275</v>
      </c>
      <c r="DR109" s="467" t="s">
        <v>432</v>
      </c>
      <c r="DT109" s="215" t="s">
        <v>275</v>
      </c>
      <c r="DU109" s="215" t="s">
        <v>432</v>
      </c>
      <c r="DV109" s="471"/>
      <c r="DW109" s="215" t="s">
        <v>467</v>
      </c>
      <c r="DX109" s="215" t="s">
        <v>461</v>
      </c>
      <c r="DY109" s="215" t="s">
        <v>462</v>
      </c>
      <c r="DZ109" s="215" t="s">
        <v>653</v>
      </c>
      <c r="EA109" s="215" t="s">
        <v>48</v>
      </c>
      <c r="EB109" s="471" t="s">
        <v>651</v>
      </c>
      <c r="EC109" s="468" t="s">
        <v>650</v>
      </c>
      <c r="ED109" s="468" t="s">
        <v>652</v>
      </c>
      <c r="EE109" s="215" t="s">
        <v>481</v>
      </c>
      <c r="EF109" s="215" t="s">
        <v>514</v>
      </c>
      <c r="EG109" s="468"/>
      <c r="EH109" s="479" t="s">
        <v>456</v>
      </c>
      <c r="EI109" s="215" t="s">
        <v>457</v>
      </c>
      <c r="EJ109" s="468"/>
      <c r="EK109" s="479" t="s">
        <v>474</v>
      </c>
      <c r="EL109" s="215" t="s">
        <v>475</v>
      </c>
      <c r="EM109" s="215" t="s">
        <v>473</v>
      </c>
      <c r="EN109" s="215" t="s">
        <v>469</v>
      </c>
      <c r="EO109" s="215" t="s">
        <v>478</v>
      </c>
      <c r="EP109" s="215" t="s">
        <v>777</v>
      </c>
      <c r="EQ109" s="215" t="s">
        <v>776</v>
      </c>
      <c r="ER109" s="215" t="s">
        <v>491</v>
      </c>
      <c r="ES109" s="479" t="s">
        <v>476</v>
      </c>
      <c r="ET109" s="215" t="s">
        <v>477</v>
      </c>
      <c r="EU109" s="215" t="s">
        <v>483</v>
      </c>
      <c r="EV109" s="215" t="s">
        <v>487</v>
      </c>
      <c r="EW109" s="479" t="s">
        <v>458</v>
      </c>
      <c r="EX109" s="215" t="s">
        <v>459</v>
      </c>
      <c r="EY109" s="215" t="s">
        <v>468</v>
      </c>
      <c r="EZ109" s="215" t="s">
        <v>666</v>
      </c>
      <c r="FA109" s="215" t="s">
        <v>484</v>
      </c>
      <c r="FB109" s="215" t="s">
        <v>667</v>
      </c>
      <c r="FC109" s="479" t="s">
        <v>482</v>
      </c>
      <c r="FD109" s="215" t="s">
        <v>223</v>
      </c>
      <c r="FE109" s="215" t="s">
        <v>47</v>
      </c>
      <c r="FF109" s="215" t="s">
        <v>485</v>
      </c>
      <c r="FG109" s="215"/>
      <c r="FI109" s="490" t="s">
        <v>664</v>
      </c>
      <c r="FJ109" s="490" t="s">
        <v>665</v>
      </c>
      <c r="FL109" t="s">
        <v>825</v>
      </c>
    </row>
    <row r="110" spans="5:168">
      <c r="E110" s="147">
        <v>0.1</v>
      </c>
      <c r="F110" s="188">
        <v>1.0000000000000001E-9</v>
      </c>
      <c r="G110" s="188"/>
      <c r="H110" s="188">
        <f t="shared" ref="H110:H141" si="315">F110*Vout</f>
        <v>3.0000000000000004E-8</v>
      </c>
      <c r="I110" s="465">
        <f t="shared" ref="I110:I141" si="316">VIN_min-F110*(Rdcr_pri+RON/1000)/CG110/Nps</f>
        <v>19.999986591523797</v>
      </c>
      <c r="J110" s="149">
        <f t="shared" ref="J110:J141" si="317">(T110+Vfwd1+F110/CG110*Rdcr_sec)*Nps</f>
        <v>30.400007219948723</v>
      </c>
      <c r="K110" s="149">
        <f t="shared" ref="K110:K141" si="318">(Vout+Vfwd1+F110/CG110*Rdcr_sec)*Nps++I110</f>
        <v>50.39999381147252</v>
      </c>
      <c r="L110" s="379"/>
      <c r="M110" s="188">
        <f t="shared" ref="M110:M141" si="319">(Vout+Vfwd1+F110/FL110*Rdcr_sec)*Nps/((Vout+Vfwd1+F110/FL110*Rdcr_sec)*Nps+I110)</f>
        <v>0.60317482086805185</v>
      </c>
      <c r="N110" s="149">
        <f>M110*I110*(Isw_max+VIN_min/Lmag*ILIM_delay)*0.5*Efficiency</f>
        <v>183.55013610104922</v>
      </c>
      <c r="O110" s="149">
        <f t="shared" si="284"/>
        <v>3.0000000000000004E-8</v>
      </c>
      <c r="P110" s="188">
        <f t="shared" ref="P110:P141" si="320">N110/Vout</f>
        <v>6.1183378700349742</v>
      </c>
      <c r="Q110" s="188">
        <f t="shared" ref="Q110:Q141" si="321">MIN(Vout,N110/F110)</f>
        <v>30</v>
      </c>
      <c r="R110" s="188"/>
      <c r="S110" s="149">
        <f t="shared" ref="S110:S141" si="322">(SQRT(Isw_max^2*Nps^2*I110^2+4*Isw_max*F110/Efficiency*(Nps^2*Vfwd1*I110-Nps*I110^2)+4*(F110/Efficiency)^2*Nps^2*Vfwd1^2+8*(F110/Efficiency)^2*Nps*Vfwd1*I110+4*(F110/Efficiency)^2*I110^2)-2*F110/Efficiency*I110-2*F110/Efficiency*Nps*Vfwd1+Isw_max*Nps*I110)/(4*F110/Efficiency*Nps)</f>
        <v>303030099851.57269</v>
      </c>
      <c r="T110" s="149">
        <f t="shared" ref="T110:T141" si="323">MIN(Vout, S110)</f>
        <v>30</v>
      </c>
      <c r="U110" s="188">
        <f t="shared" ref="U110:U141" si="324">MIN(2*(Vout+Vfwd1+F110/FL110*Rdcr_sec)*F110/(I110*M110), Isw_max)</f>
        <v>5.0400027648824698E-9</v>
      </c>
      <c r="V110" s="188">
        <f t="shared" ref="V110:V141" si="325">L*U110/I110*1000000</f>
        <v>1.1844014437983091E-9</v>
      </c>
      <c r="W110" s="188">
        <f t="shared" ref="W110:W141" si="326">L*U110/J110*1000000</f>
        <v>7.7921076871992803E-10</v>
      </c>
      <c r="X110" s="172">
        <f t="shared" ref="X110:X141" si="327">IF(1/((350000*L)*(1/I110+1/J110))&gt;Isw_min, 350, 0.001/((Isw_min*L)*(1/I110+1/J110)))</f>
        <v>350</v>
      </c>
      <c r="Y110" s="379">
        <f t="shared" ref="Y110:Y173" si="328">MIN(1/(V110+W110+0.2)*1000, 350)</f>
        <v>350</v>
      </c>
      <c r="AA110" s="188">
        <f t="shared" ref="AA110:AA141" si="329">1/((X110*1000*L)*(1/I110+1/J110))</f>
        <v>7.3334275514598124</v>
      </c>
      <c r="AB110" s="150">
        <f t="shared" ref="AB110:AB141" si="330">L*AA110/J110*1000000</f>
        <v>1.1337862271704833</v>
      </c>
      <c r="AC110" s="150">
        <f t="shared" ref="AC110:AC141" si="331">0.5*AB110*AA110*Nps*X110/1000</f>
        <v>1.4550443522645968</v>
      </c>
      <c r="AD110" s="150"/>
      <c r="AE110" s="150">
        <f t="shared" ref="AE110:AE141" si="332">L*Isw_min/J110*1000000</f>
        <v>0.93700137236008618</v>
      </c>
      <c r="AF110" s="314">
        <f t="shared" ref="AF110:AF141" si="333">MAX(12000,F110/(0.5*AE110/1000000*Isw_min*Nps))/1000</f>
        <v>12</v>
      </c>
      <c r="AG110" s="456">
        <f t="shared" ref="AG110:AG141" si="334">0.5*AE110/1000000*Isw_min*Nps*X110*1000</f>
        <v>0.99378933432130367</v>
      </c>
      <c r="AI110" s="150">
        <f t="shared" ref="AI110:AI141" si="335">SQRT(F110/(0.5*L/J110*Fsw_DCM*Nps))</f>
        <v>1.9225112509486548E-4</v>
      </c>
      <c r="AJ110" s="150">
        <f t="shared" ref="AJ110:AJ141" si="336">MAX(IF(F110&gt;AC110,U110,AI110),Isw_min)</f>
        <v>6.0606060606060606</v>
      </c>
      <c r="AK110" s="150">
        <f t="shared" ref="AK110:AK141" si="337">IF(F110&gt;AG110, (AJ110-Isw_min)/1.08*0.8+1.2, AF110*0.2/350+1)</f>
        <v>1.0068571428571429</v>
      </c>
      <c r="AM110" s="314">
        <f t="shared" ref="AM110:AM141" si="338">F110*1000</f>
        <v>1.0000000000000002E-6</v>
      </c>
      <c r="AN110" s="144">
        <f t="shared" ref="AN110:AN141" si="339">IF(F110&gt;AG110, Y110, AF110)</f>
        <v>12</v>
      </c>
      <c r="AP110" s="144">
        <f t="shared" ref="AP110:AP141" si="340">IF(H110&gt;N110, "",AM110)</f>
        <v>1.0000000000000002E-6</v>
      </c>
      <c r="AQ110" s="144">
        <f t="shared" ref="AQ110:AQ141" si="341">IF(H110&gt;N110, "",AN110)</f>
        <v>12</v>
      </c>
      <c r="AS110" s="5">
        <f t="shared" si="285"/>
        <v>83.333333333333329</v>
      </c>
      <c r="AT110" s="5">
        <f t="shared" ref="AT110:AT141" si="342">L*AJ110/I110*1000000</f>
        <v>1.4242433790890972</v>
      </c>
      <c r="AU110" s="5">
        <f t="shared" ref="AU110:AU169" si="343">AS110-AT110</f>
        <v>81.909089954244237</v>
      </c>
      <c r="AV110" s="5"/>
      <c r="AW110" s="150">
        <f t="shared" ref="AW110:AW169" si="344">AT110/AS110</f>
        <v>1.7090920549069168E-2</v>
      </c>
      <c r="AX110" s="150">
        <f t="shared" si="214"/>
        <v>1.0358126721763083</v>
      </c>
      <c r="AY110" s="150">
        <f t="shared" si="215"/>
        <v>2.9785123619725176</v>
      </c>
      <c r="AZ110" s="150">
        <f t="shared" si="288"/>
        <v>0.34776175026191336</v>
      </c>
      <c r="BA110" s="144">
        <f t="shared" ref="BA110:BA116" si="345">F110*AT110/Vout_ripple*1000</f>
        <v>4.7474779302969908E-9</v>
      </c>
      <c r="BB110" s="5">
        <f t="shared" ref="BB110:BB116" si="346">H110/Efficiency/I110*AU110/Vinripple1</f>
        <v>7.2272774883604616E-8</v>
      </c>
      <c r="BD110" s="150">
        <f t="shared" si="289"/>
        <v>0.45744423220522612</v>
      </c>
      <c r="BE110" s="150">
        <f t="shared" si="218"/>
        <v>3.4690623202397419</v>
      </c>
      <c r="BG110" s="456">
        <f t="shared" ref="BG110:BG169" si="347">Rdson*BD110^2</f>
        <v>2.5110627069339459E-3</v>
      </c>
      <c r="BH110" s="456">
        <f t="shared" ref="BH110:BH141" si="348">0.5*K110*AJ110*AN110*1000*Tfall</f>
        <v>6.6894537240681715E-2</v>
      </c>
      <c r="BI110" s="456">
        <f t="shared" ref="BI110:BI169" si="349">Qg*Vdd*AN110*1000</f>
        <v>1.3800000000000002E-3</v>
      </c>
      <c r="BJ110" s="456">
        <f t="shared" ref="BJ110:BJ169" si="350">0.5*(Coss+Csw)*K110^2*AN110*1000</f>
        <v>1.5774389726180067E-2</v>
      </c>
      <c r="BK110">
        <f t="shared" ref="BK110:BK169" si="351">I110*IQ</f>
        <v>8.9999939661857091E-3</v>
      </c>
      <c r="BL110" s="144">
        <f>(BK110+BI110)*1000</f>
        <v>10.379993966185708</v>
      </c>
      <c r="BM110" s="456">
        <f t="shared" ref="BM110:BM141" si="352">(BH110+BI110*0+BJ110+BK110*0+BG110*(1+RdsonTC*(Ta-25)))/(1-BG110*RdsonTC*ThetaJA)</f>
        <v>8.5909232501119676E-2</v>
      </c>
      <c r="BN110" s="144">
        <f t="shared" ref="BN110:BN173" si="353">BM110*1000</f>
        <v>85.909232501119675</v>
      </c>
      <c r="BO110" s="456">
        <f t="shared" ref="BO110:BO169" si="354">Vfwd2*F110</f>
        <v>6.9999999999999996E-10</v>
      </c>
      <c r="BR110" s="144">
        <f t="shared" ref="BR110:BR169" si="355">SUM(BO110:BQ110)*1000</f>
        <v>6.9999999999999997E-7</v>
      </c>
      <c r="BS110" s="456">
        <f t="shared" ref="BS110:BS169" si="356">Rdcr_pri*BD110^2</f>
        <v>2.9295731580896035E-3</v>
      </c>
      <c r="BT110" s="456">
        <f t="shared" ref="BT110:BT169" si="357">Rdcr_sec*BE110^2</f>
        <v>0.16848150734389999</v>
      </c>
      <c r="BU110" s="456">
        <f t="shared" ref="BU110:BU169" si="358">AJ110^2.5*AN110^2.5*k_core</f>
        <v>2.2553464209519132E-3</v>
      </c>
      <c r="BV110" s="456"/>
      <c r="BW110" s="456">
        <f t="shared" ref="BW110:BW169" si="359">0.5*Lleak*0.000000001*AJ110^2*AN110*1000</f>
        <v>4.4077134986225897E-2</v>
      </c>
      <c r="BX110" s="144">
        <f t="shared" ref="BX110:BX169" si="360">SUM(BS110:BW110)*1000</f>
        <v>217.7435619091674</v>
      </c>
      <c r="BY110" s="150">
        <f t="shared" ref="BY110:BY169" si="361">SUM(BG110:BK110,BO110:BQ110,BS110:BW110)</f>
        <v>0.31330354624914891</v>
      </c>
      <c r="BZ110" s="5">
        <f t="shared" ref="BZ110:BZ169" si="362">MIN(H110,O110)</f>
        <v>3.0000000000000004E-8</v>
      </c>
      <c r="CA110" s="150">
        <f t="shared" ref="CA110:CA169" si="363">BZ110/(BZ110+BY110)</f>
        <v>9.5753774531265033E-8</v>
      </c>
      <c r="CB110" s="5">
        <f t="shared" ref="CB110:CB169" si="364">CA110*100</f>
        <v>9.5753774531265028E-6</v>
      </c>
      <c r="CE110" s="59">
        <f t="shared" ref="CE110:CE141" si="365">IF(ABS(F110-Ioutmax_Vinmin)&lt;Iout/200, AN110, -50)</f>
        <v>-50</v>
      </c>
      <c r="CF110">
        <f t="shared" ref="CF110:CF141" si="366">IF(ABS(F110-Ioutmax_Vinmin)&lt;Iout/200, N110*CA110, -50)</f>
        <v>-50</v>
      </c>
      <c r="CG110" s="150">
        <f t="shared" ref="CG110:CG141" si="367">MIN(SQRT(2*DU110*1000*Ls1_*CL110)/CU110,1-EA110-0.00000005*DU110*1000)</f>
        <v>1.9390719429665318E-6</v>
      </c>
      <c r="CI110" s="147">
        <v>0.1</v>
      </c>
      <c r="CJ110" s="188">
        <v>1.0000000000000001E-9</v>
      </c>
      <c r="CK110" s="188"/>
      <c r="CL110" s="188">
        <f t="shared" ref="CL110:CL173" si="368">CJ110*Vout</f>
        <v>3.0000000000000004E-8</v>
      </c>
      <c r="CM110" s="465">
        <f t="shared" ref="CM110:CM173" si="369">VIN_min</f>
        <v>20</v>
      </c>
      <c r="CN110" s="379">
        <f t="shared" ref="CN110:CN173" si="370">(CX110+Vfwd1)*Nps</f>
        <v>30.4</v>
      </c>
      <c r="CO110" s="379">
        <f t="shared" ref="CO110:CO173" si="371">(Vout+Vfwd1)*Nps+CM110</f>
        <v>50.4</v>
      </c>
      <c r="CP110" s="379"/>
      <c r="CQ110" s="188">
        <f t="shared" ref="CQ110:CQ173" si="372">(Vout+Vfwd1)*Nps/((Vout+Vfwd1)*Nps+CM110)</f>
        <v>0.60317460317460314</v>
      </c>
      <c r="CR110" s="149">
        <f>CQ110*CM110*(Isw_max+VIN_min/Lmag*ILIM_delay)*0.5*Efficiency</f>
        <v>183.55019291189507</v>
      </c>
      <c r="CS110" s="149">
        <f t="shared" ref="CS110:CS173" si="373">CX110*CJ110</f>
        <v>3.0000000000000004E-8</v>
      </c>
      <c r="CT110" s="188">
        <f t="shared" ref="CT110:CT173" si="374">CR110/Vout</f>
        <v>6.1183397637298356</v>
      </c>
      <c r="CU110" s="188">
        <f t="shared" ref="CU110:CU173" si="375">MIN(Vout,CR110/CJ110)</f>
        <v>30</v>
      </c>
      <c r="CV110" s="188"/>
      <c r="CW110" s="149">
        <f t="shared" ref="CW110:CW173" si="376">(SQRT(Isw_max^2*Nps^2*CM110^2+4*Isw_max*CJ110/Efficiency*(Nps^2*Vfwd1*CM110-Nps*CM110^2)+4*(CJ110/Efficiency)^2*Nps^2*Vfwd1^2+8*(CJ110/Efficiency)^2*Nps*Vfwd1*CM110+4*(CJ110/Efficiency)^2*CM110^2)-2*CJ110/Efficiency*CM110-2*CJ110/Efficiency*Nps*Vfwd1+Isw_max*Nps*CM110)/(4*CJ110/Efficiency*Nps)</f>
        <v>303030303010.30304</v>
      </c>
      <c r="CX110" s="149">
        <f t="shared" ref="CX110:CX173" si="377">MIN(Vout, CW110)</f>
        <v>30</v>
      </c>
      <c r="CY110" s="188">
        <f t="shared" ref="CY110:CY173" si="378">MIN(2*Vout*CJ110/(Efficiency*CM110*CQ110), Isw_max)</f>
        <v>4.9736842105263165E-9</v>
      </c>
      <c r="CZ110" s="188">
        <f t="shared" ref="CZ110:CZ173" si="379">L*CY110/CM110*1000000</f>
        <v>1.1688157894736844E-9</v>
      </c>
      <c r="DA110" s="188">
        <f t="shared" ref="DA110:DA173" si="380">L*CY110/CN110*1000000</f>
        <v>7.6895775623268712E-10</v>
      </c>
      <c r="DB110" s="172">
        <f t="shared" ref="DB110:DB173" si="381">IF(1/((350000*L)*(1/CM110+1/CN110))&gt;Isw_min, 350, 0.001/((Isw_min*L)*(1/CM110+1/CN110)))</f>
        <v>350</v>
      </c>
      <c r="DC110" s="379">
        <f t="shared" ref="DC110:DC173" si="382">MIN(1/(CZ110+DA110)*1000, 350)</f>
        <v>350</v>
      </c>
      <c r="DE110" s="188">
        <f t="shared" ref="DE110:DE173" si="383">1/((DB110*1000*L)*(1/CM110+1/CN110))</f>
        <v>7.3334298258310406</v>
      </c>
      <c r="DF110" s="150">
        <f t="shared" ref="DF110:DF173" si="384">L*DE110/CN110*1000000</f>
        <v>1.1337868480725624</v>
      </c>
      <c r="DG110" s="150">
        <f t="shared" ref="DG110:DG173" si="385">0.5*DF110*DE110*Nps*DB110/1000</f>
        <v>1.4550456003633017</v>
      </c>
      <c r="DH110" s="150"/>
      <c r="DI110" s="150">
        <f t="shared" ref="DI110:DI173" si="386">L*Isw_min/CN110*1000000</f>
        <v>0.93700159489633172</v>
      </c>
      <c r="DJ110" s="314">
        <f t="shared" ref="DJ110:DJ173" si="387">MAX(12000,CJ110/(0.5*DI110/1000000*Isw_min*Nps))/1000</f>
        <v>12</v>
      </c>
      <c r="DK110" s="456">
        <f t="shared" ref="DK110:DK173" si="388">0.5*DI110/1000000*Isw_min*Nps*DB110*1000</f>
        <v>0.99378957034459414</v>
      </c>
      <c r="DM110" s="150">
        <f t="shared" ref="DM110:DM173" si="389">SQRT(CJ110/(0.5*L/CN110*Fsw_DCM*Nps))</f>
        <v>1.9225110226521057E-4</v>
      </c>
      <c r="DN110" s="150">
        <f t="shared" ref="DN110:DN173" si="390">MAX(IF(CJ110&gt;DG110,CY110,DM110),Isw_min)</f>
        <v>6.0606060606060606</v>
      </c>
      <c r="DO110" s="150">
        <f t="shared" ref="DO110:DO173" si="391">IF(CJ110&gt;DK110, (DN110-Isw_min)/1.08*0.8+1.2, DJ110*0.2/350+1)</f>
        <v>1.0068571428571429</v>
      </c>
      <c r="DQ110" s="314">
        <f t="shared" ref="DQ110:DQ173" si="392">CJ110*1000</f>
        <v>1.0000000000000002E-6</v>
      </c>
      <c r="DR110" s="144">
        <f t="shared" ref="DR110:DR173" si="393">IF(CJ110&gt;DK110, DC110, DJ110)</f>
        <v>12</v>
      </c>
      <c r="DT110" s="144">
        <f>IF(CL110&gt;CR110, "",DQ110)</f>
        <v>1.0000000000000002E-6</v>
      </c>
      <c r="DU110" s="144">
        <f>IF(CL110&gt;CR110, "",DR110)</f>
        <v>12</v>
      </c>
      <c r="DW110" s="5">
        <f t="shared" ref="DW110:DW173" si="394">1/DR110*1000</f>
        <v>83.333333333333329</v>
      </c>
      <c r="DX110" s="5">
        <f t="shared" ref="DX110:DX173" si="395">L*DN110/CM110*1000000</f>
        <v>1.4242424242424243</v>
      </c>
      <c r="DY110" s="5">
        <f t="shared" ref="DY110:DY173" si="396">DW110-DX110</f>
        <v>81.909090909090907</v>
      </c>
      <c r="DZ110" s="5"/>
      <c r="EA110" s="150">
        <f t="shared" ref="EA110:EA173" si="397">DX110/DW110</f>
        <v>1.7090909090909094E-2</v>
      </c>
      <c r="EB110" s="150">
        <f t="shared" ref="EB110:EB173" si="398">0.5*L*DN110^2*DR110*1000</f>
        <v>1.0358126721763083</v>
      </c>
      <c r="EC110" s="150">
        <f t="shared" ref="EC110:EC173" si="399">DN110*Nps/2*(1-EA110)</f>
        <v>2.9785123966942151</v>
      </c>
      <c r="ED110" s="150">
        <f t="shared" ref="ED110:ED173" si="400">EB110/EC110</f>
        <v>0.34776174620791706</v>
      </c>
      <c r="EE110" s="144">
        <f t="shared" ref="EE110:EE173" si="401">CJ110*DX110/Vout_ripple*1000</f>
        <v>4.7474747474747477E-9</v>
      </c>
      <c r="EF110" s="5">
        <f t="shared" ref="EF110:EF173" si="402">CL110/Efficiency/CM110*DY110/Vinripple1</f>
        <v>7.2272727272727262E-8</v>
      </c>
      <c r="EH110" s="150">
        <f t="shared" ref="EH110:EH173" si="403">DN110*SQRT(EA110/3)</f>
        <v>0.45744407886444782</v>
      </c>
      <c r="EI110" s="150">
        <f t="shared" ref="EI110:EI173" si="404">DN110*Nps*SQRT((1-EA110)/3)</f>
        <v>3.4690623404598586</v>
      </c>
      <c r="EK110" s="456">
        <f t="shared" ref="EK110:EK173" si="405">Rdson*EH110^2</f>
        <v>2.5110610234577177E-3</v>
      </c>
      <c r="EL110" s="456">
        <f t="shared" ref="EL110:EL173" si="406">0.5*CO110*DN110*DR110*1000*Trise</f>
        <v>6.9643636363636366E-2</v>
      </c>
      <c r="EM110" s="456">
        <f t="shared" ref="EM110:EM173" si="407">Qg*Vdd*DR110*1000</f>
        <v>1.3800000000000002E-3</v>
      </c>
      <c r="EN110" s="456">
        <f t="shared" ref="EN110:EN173" si="408">0.5*(Coss+Csw)*CO110^2*DR110*1000</f>
        <v>1.5774393599999999E-2</v>
      </c>
      <c r="EO110">
        <f t="shared" ref="EO110:EO173" si="409">CM110*IQ</f>
        <v>8.9999999999999993E-3</v>
      </c>
      <c r="EP110" s="144">
        <f t="shared" ref="EP110:EP173" si="410">(EO110+EM110)*1000</f>
        <v>10.38</v>
      </c>
      <c r="EQ110" s="144"/>
      <c r="ER110" s="144">
        <f>SUM(EK110:EO110)*1000</f>
        <v>98.309090987094081</v>
      </c>
      <c r="ES110" s="456">
        <f t="shared" ref="ES110:ES173" si="411">Vfwd2*CJ110</f>
        <v>6.9999999999999996E-10</v>
      </c>
      <c r="EV110" s="144">
        <f t="shared" ref="EV110:EV169" si="412">SUM(ES110:EU110)*1000</f>
        <v>6.9999999999999997E-7</v>
      </c>
      <c r="EW110" s="456">
        <f t="shared" ref="EW110:EW173" si="413">Rdcr_pri*EH110^2</f>
        <v>2.9295711940340043E-3</v>
      </c>
      <c r="EX110" s="456">
        <f t="shared" ref="EX110:EX173" si="414">Rdcr_sec*EI110^2</f>
        <v>0.16848150930795563</v>
      </c>
      <c r="EY110" s="456">
        <f t="shared" ref="EY110:EY173" si="415">DN110^2.5*DR110^2.5*k_core</f>
        <v>2.2553464209519132E-3</v>
      </c>
      <c r="EZ110" s="456"/>
      <c r="FA110" s="456">
        <f t="shared" ref="FA110:FA173" si="416">0.5*Lleak*0.000000001*DN110^2*DR110*1000</f>
        <v>4.4077134986225897E-2</v>
      </c>
      <c r="FB110" s="144">
        <f t="shared" ref="FB110:FB173" si="417">SUM(EW110:FA110)*1000</f>
        <v>217.74356190916743</v>
      </c>
      <c r="FC110" s="150">
        <f t="shared" ref="FC110:FC173" si="418">SUM(EK110:EO110,ES110:EU110,EW110:FA110)</f>
        <v>0.31605265359626156</v>
      </c>
      <c r="FD110" s="5">
        <f t="shared" ref="FD110:FD173" si="419">MIN(CL110,CS110)</f>
        <v>3.0000000000000004E-8</v>
      </c>
      <c r="FE110" s="150">
        <f t="shared" ref="FE110:FE173" si="420">FD110/(FD110+FC110)</f>
        <v>9.4920883628133381E-8</v>
      </c>
      <c r="FF110" s="5">
        <f t="shared" ref="FF110:FF173" si="421">FE110*100</f>
        <v>9.492088362813338E-6</v>
      </c>
      <c r="FI110" s="59">
        <f t="shared" ref="FI110:FI173" si="422">IF(ABS(CJ110-Ioutmax_Vinmin)&lt;Iout/200, DR110, -50)</f>
        <v>-50</v>
      </c>
      <c r="FJ110">
        <f t="shared" ref="FJ110:FJ173" si="423">IF(ABS(CJ110-Ioutmax_Vinmin)&lt;Iout/200, CR110*FE110, -50)</f>
        <v>-50</v>
      </c>
      <c r="FL110">
        <f t="shared" ref="FL110:FL141" si="424">MIN(SQRT(2*L*DR110*1000*CJ110*(CX110+Vfwd1))/(Nps*(CX110+Vfwd1)), 1-EA110)</f>
        <v>1.9262726483521158E-6</v>
      </c>
    </row>
    <row r="111" spans="5:168">
      <c r="E111" s="147">
        <v>1</v>
      </c>
      <c r="F111" s="188">
        <f t="shared" ref="F111:F142" si="425">IF(PLOT_TYPE=1, E111/100*Iout_max, min_I*EXP(N111*rr/100))</f>
        <v>0.04</v>
      </c>
      <c r="G111" s="188"/>
      <c r="H111" s="188">
        <f t="shared" si="315"/>
        <v>1.2</v>
      </c>
      <c r="I111" s="465">
        <f t="shared" si="316"/>
        <v>19.921732178900701</v>
      </c>
      <c r="J111" s="149">
        <f t="shared" si="317"/>
        <v>30.44214421136116</v>
      </c>
      <c r="K111" s="149">
        <f t="shared" si="318"/>
        <v>50.363876390261865</v>
      </c>
      <c r="L111" s="379"/>
      <c r="M111" s="188">
        <f t="shared" si="319"/>
        <v>0.604446225362259</v>
      </c>
      <c r="N111" s="149">
        <f t="shared" ref="N111:N141" si="426">M111*I111*(Isw_max+VIN_min/Lmag*ILIM_delay)*0.5*Efficiency</f>
        <v>183.21733829403041</v>
      </c>
      <c r="O111" s="149">
        <f t="shared" si="284"/>
        <v>1.2</v>
      </c>
      <c r="P111" s="188">
        <f t="shared" si="320"/>
        <v>6.1072446098010138</v>
      </c>
      <c r="Q111" s="188">
        <f t="shared" si="321"/>
        <v>30</v>
      </c>
      <c r="R111" s="188"/>
      <c r="S111" s="149">
        <f t="shared" si="322"/>
        <v>7526.1900003859237</v>
      </c>
      <c r="T111" s="149">
        <f t="shared" si="323"/>
        <v>30</v>
      </c>
      <c r="U111" s="188">
        <f t="shared" si="324"/>
        <v>0.20224810159697304</v>
      </c>
      <c r="V111" s="188">
        <f t="shared" si="325"/>
        <v>4.7715031452562492E-2</v>
      </c>
      <c r="W111" s="188">
        <f t="shared" si="326"/>
        <v>3.1225332581895374E-2</v>
      </c>
      <c r="X111" s="172">
        <f t="shared" si="327"/>
        <v>350</v>
      </c>
      <c r="Y111" s="379">
        <f t="shared" si="328"/>
        <v>350</v>
      </c>
      <c r="AA111" s="188">
        <f t="shared" si="329"/>
        <v>7.320104561416251</v>
      </c>
      <c r="AB111" s="150">
        <f t="shared" si="330"/>
        <v>1.1301599256538719</v>
      </c>
      <c r="AC111" s="150">
        <f t="shared" si="331"/>
        <v>1.4477555447090327</v>
      </c>
      <c r="AD111" s="150"/>
      <c r="AE111" s="150">
        <f t="shared" si="332"/>
        <v>0.93570440659754173</v>
      </c>
      <c r="AF111" s="314">
        <f t="shared" si="333"/>
        <v>14.10701916858396</v>
      </c>
      <c r="AG111" s="456">
        <f t="shared" si="334"/>
        <v>0.99241376457315034</v>
      </c>
      <c r="AI111" s="150">
        <f t="shared" si="335"/>
        <v>1.2167452565748935</v>
      </c>
      <c r="AJ111" s="150">
        <f t="shared" si="336"/>
        <v>6.0606060606060606</v>
      </c>
      <c r="AK111" s="150">
        <f t="shared" si="337"/>
        <v>1.0080611538106194</v>
      </c>
      <c r="AM111" s="314">
        <f t="shared" si="338"/>
        <v>40</v>
      </c>
      <c r="AN111" s="144">
        <f t="shared" si="339"/>
        <v>14.10701916858396</v>
      </c>
      <c r="AP111" s="144">
        <f t="shared" si="340"/>
        <v>40</v>
      </c>
      <c r="AQ111" s="144">
        <f t="shared" si="341"/>
        <v>14.10701916858396</v>
      </c>
      <c r="AS111" s="5">
        <f t="shared" si="285"/>
        <v>70.886697469510736</v>
      </c>
      <c r="AT111" s="5">
        <f t="shared" si="342"/>
        <v>1.4298379392439107</v>
      </c>
      <c r="AU111" s="5">
        <f t="shared" si="343"/>
        <v>69.456859530266826</v>
      </c>
      <c r="AV111" s="5"/>
      <c r="AW111" s="150">
        <f t="shared" si="344"/>
        <v>2.0170751216882436E-2</v>
      </c>
      <c r="AX111" s="150">
        <f t="shared" si="214"/>
        <v>1.2176857684544464</v>
      </c>
      <c r="AY111" s="150">
        <f t="shared" si="215"/>
        <v>2.9691795417670233</v>
      </c>
      <c r="AZ111" s="150">
        <f t="shared" si="288"/>
        <v>0.41010850011777167</v>
      </c>
      <c r="BA111" s="144">
        <f t="shared" si="345"/>
        <v>0.19064505856585476</v>
      </c>
      <c r="BB111" s="5">
        <f t="shared" si="346"/>
        <v>2.4610496212300226</v>
      </c>
      <c r="BD111" s="150">
        <f t="shared" si="289"/>
        <v>0.49695431384029082</v>
      </c>
      <c r="BE111" s="150">
        <f t="shared" si="218"/>
        <v>3.4636231055414353</v>
      </c>
      <c r="BG111" s="456">
        <f t="shared" si="347"/>
        <v>2.9635630805336915E-3</v>
      </c>
      <c r="BH111" s="456">
        <f t="shared" si="348"/>
        <v>7.8583855127027383E-2</v>
      </c>
      <c r="BI111" s="456">
        <f t="shared" si="349"/>
        <v>1.6223072043871558E-3</v>
      </c>
      <c r="BJ111" s="456">
        <f t="shared" si="350"/>
        <v>1.8517566344232825E-2</v>
      </c>
      <c r="BK111">
        <f t="shared" si="351"/>
        <v>8.9647794805053152E-3</v>
      </c>
      <c r="BL111" s="144">
        <f t="shared" ref="BL111:BL174" si="427">(BK111+BI111)*1000</f>
        <v>10.587086684892471</v>
      </c>
      <c r="BM111" s="456">
        <f t="shared" si="352"/>
        <v>0.1009362200747578</v>
      </c>
      <c r="BN111" s="144">
        <f t="shared" si="353"/>
        <v>100.9362200747578</v>
      </c>
      <c r="BO111" s="456">
        <f t="shared" si="354"/>
        <v>2.7999999999999997E-2</v>
      </c>
      <c r="BR111" s="144">
        <f t="shared" si="355"/>
        <v>27.999999999999996</v>
      </c>
      <c r="BS111" s="456">
        <f t="shared" si="356"/>
        <v>3.4574902606226399E-3</v>
      </c>
      <c r="BT111" s="456">
        <f t="shared" si="357"/>
        <v>0.16795359024136694</v>
      </c>
      <c r="BU111" s="456">
        <f t="shared" si="358"/>
        <v>3.3794675834397454E-3</v>
      </c>
      <c r="BV111" s="456"/>
      <c r="BW111" s="456">
        <f t="shared" si="359"/>
        <v>5.1816415678912625E-2</v>
      </c>
      <c r="BX111" s="144">
        <f t="shared" si="360"/>
        <v>226.60696376434194</v>
      </c>
      <c r="BY111" s="150">
        <f t="shared" si="361"/>
        <v>0.3652590350010283</v>
      </c>
      <c r="BZ111" s="5">
        <f t="shared" si="362"/>
        <v>1.2</v>
      </c>
      <c r="CA111" s="150">
        <f t="shared" si="363"/>
        <v>0.76664626950976944</v>
      </c>
      <c r="CB111" s="5">
        <f t="shared" si="364"/>
        <v>76.664626950976938</v>
      </c>
      <c r="CE111" s="59">
        <f t="shared" si="365"/>
        <v>-50</v>
      </c>
      <c r="CF111">
        <f t="shared" si="366"/>
        <v>-50</v>
      </c>
      <c r="CG111" s="150">
        <f t="shared" si="367"/>
        <v>1.3287708606076521E-2</v>
      </c>
      <c r="CI111" s="147">
        <v>1</v>
      </c>
      <c r="CJ111" s="188">
        <f t="shared" ref="CJ111:CJ174" si="428">IF(PLOT_TYPE=1, CI111/100*Iout_max, min_I*EXP(CR111*rr/100))</f>
        <v>0.04</v>
      </c>
      <c r="CK111" s="188"/>
      <c r="CL111" s="188">
        <f t="shared" si="368"/>
        <v>1.2</v>
      </c>
      <c r="CM111" s="465">
        <f t="shared" si="369"/>
        <v>20</v>
      </c>
      <c r="CN111" s="379">
        <f t="shared" si="370"/>
        <v>30.4</v>
      </c>
      <c r="CO111" s="379">
        <f t="shared" si="371"/>
        <v>50.4</v>
      </c>
      <c r="CP111" s="379"/>
      <c r="CQ111" s="188">
        <f t="shared" si="372"/>
        <v>0.60317460317460314</v>
      </c>
      <c r="CR111" s="149">
        <f t="shared" ref="CR111:CR174" si="429">CQ111*CM111*(Isw_max+VIN_min/Lmag*ILIM_delay)*0.5*Efficiency</f>
        <v>183.55019291189507</v>
      </c>
      <c r="CS111" s="149">
        <f t="shared" si="373"/>
        <v>1.2</v>
      </c>
      <c r="CT111" s="188">
        <f t="shared" si="374"/>
        <v>6.1183397637298356</v>
      </c>
      <c r="CU111" s="188">
        <f t="shared" si="375"/>
        <v>30</v>
      </c>
      <c r="CV111" s="188"/>
      <c r="CW111" s="149">
        <f t="shared" si="376"/>
        <v>7555.7586344965966</v>
      </c>
      <c r="CX111" s="149">
        <f t="shared" si="377"/>
        <v>30</v>
      </c>
      <c r="CY111" s="188">
        <f t="shared" si="378"/>
        <v>0.19894736842105262</v>
      </c>
      <c r="CZ111" s="188">
        <f t="shared" si="379"/>
        <v>4.6752631578947365E-2</v>
      </c>
      <c r="DA111" s="188">
        <f t="shared" si="380"/>
        <v>3.0758310249307481E-2</v>
      </c>
      <c r="DB111" s="172">
        <f t="shared" si="381"/>
        <v>350</v>
      </c>
      <c r="DC111" s="379">
        <f t="shared" si="382"/>
        <v>350</v>
      </c>
      <c r="DE111" s="188">
        <f t="shared" si="383"/>
        <v>7.3334298258310406</v>
      </c>
      <c r="DF111" s="150">
        <f t="shared" si="384"/>
        <v>1.1337868480725624</v>
      </c>
      <c r="DG111" s="150">
        <f t="shared" si="385"/>
        <v>1.4550456003633017</v>
      </c>
      <c r="DH111" s="150"/>
      <c r="DI111" s="150">
        <f t="shared" si="386"/>
        <v>0.93700159489633172</v>
      </c>
      <c r="DJ111" s="314">
        <f t="shared" si="387"/>
        <v>14.087489361702128</v>
      </c>
      <c r="DK111" s="456">
        <f t="shared" si="388"/>
        <v>0.99378957034459414</v>
      </c>
      <c r="DM111" s="150">
        <f t="shared" si="389"/>
        <v>1.2159027316720437</v>
      </c>
      <c r="DN111" s="150">
        <f t="shared" si="390"/>
        <v>6.0606060606060606</v>
      </c>
      <c r="DO111" s="150">
        <f t="shared" si="391"/>
        <v>1.0080499939209726</v>
      </c>
      <c r="DQ111" s="314">
        <f t="shared" si="392"/>
        <v>40</v>
      </c>
      <c r="DR111" s="144">
        <f t="shared" si="393"/>
        <v>14.087489361702128</v>
      </c>
      <c r="DT111">
        <f t="shared" ref="DT111:DT174" si="430">IF(CL111&gt;CR111, " ",DQ111)</f>
        <v>40</v>
      </c>
      <c r="DU111">
        <f t="shared" ref="DU111:DU174" si="431">IF(CL111&gt;CR111, " ",DR111)</f>
        <v>14.087489361702128</v>
      </c>
      <c r="DW111" s="5">
        <f t="shared" si="394"/>
        <v>70.984969310328154</v>
      </c>
      <c r="DX111" s="5">
        <f t="shared" si="395"/>
        <v>1.4242424242424243</v>
      </c>
      <c r="DY111" s="5">
        <f t="shared" si="396"/>
        <v>69.560726886085732</v>
      </c>
      <c r="DZ111" s="5"/>
      <c r="EA111" s="150">
        <f t="shared" si="397"/>
        <v>2.0064000000000002E-2</v>
      </c>
      <c r="EB111" s="150">
        <f t="shared" si="398"/>
        <v>1.2159999999999997</v>
      </c>
      <c r="EC111" s="150">
        <f t="shared" si="399"/>
        <v>2.9695030303030303</v>
      </c>
      <c r="ED111" s="150">
        <f t="shared" si="400"/>
        <v>0.40949613035953358</v>
      </c>
      <c r="EE111" s="144">
        <f t="shared" si="401"/>
        <v>0.18989898989898993</v>
      </c>
      <c r="EF111" s="5">
        <f t="shared" si="402"/>
        <v>2.455084478332437</v>
      </c>
      <c r="EH111" s="150">
        <f t="shared" si="403"/>
        <v>0.49563753455177872</v>
      </c>
      <c r="EI111" s="150">
        <f t="shared" si="404"/>
        <v>3.4638117791861047</v>
      </c>
      <c r="EK111" s="456">
        <f t="shared" si="405"/>
        <v>2.9478787878787879E-3</v>
      </c>
      <c r="EL111" s="456">
        <f t="shared" si="406"/>
        <v>8.1758665531914895E-2</v>
      </c>
      <c r="EM111" s="456">
        <f t="shared" si="407"/>
        <v>1.6200612765957449E-3</v>
      </c>
      <c r="EN111" s="456">
        <f t="shared" si="408"/>
        <v>1.851846683560851E-2</v>
      </c>
      <c r="EO111">
        <f t="shared" si="409"/>
        <v>8.9999999999999993E-3</v>
      </c>
      <c r="EP111" s="144">
        <f t="shared" si="410"/>
        <v>10.620061276595745</v>
      </c>
      <c r="EQ111" s="144"/>
      <c r="ER111" s="144">
        <f t="shared" ref="ER111:ER174" si="432">SUM(EK111:EO111)*1000</f>
        <v>113.84507243199793</v>
      </c>
      <c r="ES111" s="456">
        <f t="shared" si="411"/>
        <v>2.7999999999999997E-2</v>
      </c>
      <c r="EV111" s="144">
        <f t="shared" si="412"/>
        <v>27.999999999999996</v>
      </c>
      <c r="EW111" s="456">
        <f t="shared" si="413"/>
        <v>3.4391919191919191E-3</v>
      </c>
      <c r="EX111" s="456">
        <f t="shared" si="414"/>
        <v>0.16797188858279774</v>
      </c>
      <c r="EY111" s="456">
        <f t="shared" si="415"/>
        <v>3.3677833580271835E-3</v>
      </c>
      <c r="EZ111" s="456"/>
      <c r="FA111" s="456">
        <f t="shared" si="416"/>
        <v>5.1744680851063832E-2</v>
      </c>
      <c r="FB111" s="144">
        <f t="shared" si="417"/>
        <v>226.52354471108066</v>
      </c>
      <c r="FC111" s="150">
        <f t="shared" si="418"/>
        <v>0.36836861714307856</v>
      </c>
      <c r="FD111" s="5">
        <f t="shared" si="419"/>
        <v>1.2</v>
      </c>
      <c r="FE111" s="150">
        <f t="shared" si="420"/>
        <v>0.76512625085925634</v>
      </c>
      <c r="FF111" s="5">
        <f t="shared" si="421"/>
        <v>76.512625085925634</v>
      </c>
      <c r="FI111" s="59">
        <f t="shared" si="422"/>
        <v>-50</v>
      </c>
      <c r="FJ111">
        <f t="shared" si="423"/>
        <v>-50</v>
      </c>
      <c r="FL111">
        <f t="shared" si="424"/>
        <v>1.32E-2</v>
      </c>
    </row>
    <row r="112" spans="5:168">
      <c r="E112" s="147">
        <v>2</v>
      </c>
      <c r="F112" s="188">
        <f t="shared" si="425"/>
        <v>0.08</v>
      </c>
      <c r="G112" s="188"/>
      <c r="H112" s="188">
        <f t="shared" si="315"/>
        <v>2.4</v>
      </c>
      <c r="I112" s="465">
        <f t="shared" si="316"/>
        <v>19.921732178900701</v>
      </c>
      <c r="J112" s="149">
        <f t="shared" si="317"/>
        <v>30.44214421136116</v>
      </c>
      <c r="K112" s="149">
        <f t="shared" si="318"/>
        <v>50.363876390261865</v>
      </c>
      <c r="L112" s="379"/>
      <c r="M112" s="188">
        <f t="shared" si="319"/>
        <v>0.604446225362259</v>
      </c>
      <c r="N112" s="149">
        <f t="shared" si="426"/>
        <v>183.21733829403041</v>
      </c>
      <c r="O112" s="149">
        <f t="shared" si="284"/>
        <v>2.4</v>
      </c>
      <c r="P112" s="188">
        <f t="shared" si="320"/>
        <v>6.1072446098010138</v>
      </c>
      <c r="Q112" s="188">
        <f t="shared" si="321"/>
        <v>30</v>
      </c>
      <c r="R112" s="188"/>
      <c r="S112" s="149">
        <f t="shared" si="322"/>
        <v>3753.1357277171992</v>
      </c>
      <c r="T112" s="149">
        <f t="shared" si="323"/>
        <v>30</v>
      </c>
      <c r="U112" s="188">
        <f t="shared" si="324"/>
        <v>0.40449620319394608</v>
      </c>
      <c r="V112" s="188">
        <f t="shared" si="325"/>
        <v>9.5430062905124985E-2</v>
      </c>
      <c r="W112" s="188">
        <f t="shared" si="326"/>
        <v>6.2450665163790747E-2</v>
      </c>
      <c r="X112" s="172">
        <f t="shared" si="327"/>
        <v>350</v>
      </c>
      <c r="Y112" s="379">
        <f t="shared" si="328"/>
        <v>350</v>
      </c>
      <c r="AA112" s="188">
        <f t="shared" si="329"/>
        <v>7.320104561416251</v>
      </c>
      <c r="AB112" s="150">
        <f t="shared" si="330"/>
        <v>1.1301599256538719</v>
      </c>
      <c r="AC112" s="150">
        <f t="shared" si="331"/>
        <v>1.4477555447090327</v>
      </c>
      <c r="AD112" s="150"/>
      <c r="AE112" s="150">
        <f t="shared" si="332"/>
        <v>0.93570440659754173</v>
      </c>
      <c r="AF112" s="314">
        <f t="shared" si="333"/>
        <v>28.214038337167921</v>
      </c>
      <c r="AG112" s="456">
        <f t="shared" si="334"/>
        <v>0.99241376457315034</v>
      </c>
      <c r="AI112" s="150">
        <f t="shared" si="335"/>
        <v>1.7207376438013458</v>
      </c>
      <c r="AJ112" s="150">
        <f t="shared" si="336"/>
        <v>6.0606060606060606</v>
      </c>
      <c r="AK112" s="150">
        <f t="shared" si="337"/>
        <v>1.0161223076212389</v>
      </c>
      <c r="AM112" s="314">
        <f t="shared" si="338"/>
        <v>80</v>
      </c>
      <c r="AN112" s="144">
        <f t="shared" si="339"/>
        <v>28.214038337167921</v>
      </c>
      <c r="AP112" s="144">
        <f t="shared" si="340"/>
        <v>80</v>
      </c>
      <c r="AQ112" s="144">
        <f t="shared" si="341"/>
        <v>28.214038337167921</v>
      </c>
      <c r="AS112" s="5">
        <f t="shared" si="285"/>
        <v>35.443348734755368</v>
      </c>
      <c r="AT112" s="5">
        <f t="shared" si="342"/>
        <v>1.4298379392439107</v>
      </c>
      <c r="AU112" s="5">
        <f t="shared" si="343"/>
        <v>34.013510795511458</v>
      </c>
      <c r="AV112" s="5"/>
      <c r="AW112" s="150">
        <f t="shared" si="344"/>
        <v>4.0341502433764873E-2</v>
      </c>
      <c r="AX112" s="150">
        <f t="shared" si="214"/>
        <v>2.4353715369088929</v>
      </c>
      <c r="AY112" s="150">
        <f t="shared" si="215"/>
        <v>2.9080560532310153</v>
      </c>
      <c r="AZ112" s="150">
        <f t="shared" si="288"/>
        <v>0.83745687577206662</v>
      </c>
      <c r="BA112" s="144">
        <f t="shared" si="345"/>
        <v>0.38129011713170952</v>
      </c>
      <c r="BB112" s="5">
        <f t="shared" si="346"/>
        <v>2.4103864881342463</v>
      </c>
      <c r="BD112" s="150">
        <f t="shared" si="289"/>
        <v>0.70279953051275479</v>
      </c>
      <c r="BE112" s="150">
        <f t="shared" si="218"/>
        <v>3.427786665939994</v>
      </c>
      <c r="BG112" s="456">
        <f t="shared" si="347"/>
        <v>5.927126161067383E-3</v>
      </c>
      <c r="BH112" s="456">
        <f t="shared" si="348"/>
        <v>0.15716771025405477</v>
      </c>
      <c r="BI112" s="456">
        <f t="shared" si="349"/>
        <v>3.2446144087743115E-3</v>
      </c>
      <c r="BJ112" s="456">
        <f t="shared" si="350"/>
        <v>3.7035132688465651E-2</v>
      </c>
      <c r="BK112">
        <f t="shared" si="351"/>
        <v>8.9647794805053152E-3</v>
      </c>
      <c r="BL112" s="144">
        <f t="shared" si="427"/>
        <v>12.209393889279626</v>
      </c>
      <c r="BM112" s="456">
        <f t="shared" si="352"/>
        <v>0.20201478759775637</v>
      </c>
      <c r="BN112" s="144">
        <f t="shared" si="353"/>
        <v>202.01478759775637</v>
      </c>
      <c r="BO112" s="456">
        <f t="shared" si="354"/>
        <v>5.5999999999999994E-2</v>
      </c>
      <c r="BR112" s="144">
        <f t="shared" si="355"/>
        <v>55.999999999999993</v>
      </c>
      <c r="BS112" s="456">
        <f t="shared" si="356"/>
        <v>6.9149805212452798E-3</v>
      </c>
      <c r="BT112" s="456">
        <f t="shared" si="357"/>
        <v>0.16449609998074427</v>
      </c>
      <c r="BU112" s="456">
        <f t="shared" si="358"/>
        <v>1.9117155560402891E-2</v>
      </c>
      <c r="BV112" s="456"/>
      <c r="BW112" s="456">
        <f t="shared" si="359"/>
        <v>0.10363283135782525</v>
      </c>
      <c r="BX112" s="144">
        <f t="shared" si="360"/>
        <v>294.16106742021771</v>
      </c>
      <c r="BY112" s="150">
        <f>SUM(BG112:BK112,BO112:BQ112,BS112:BW112)</f>
        <v>0.56250043041308517</v>
      </c>
      <c r="BZ112" s="5">
        <f t="shared" si="362"/>
        <v>2.4</v>
      </c>
      <c r="CA112" s="150">
        <f t="shared" si="363"/>
        <v>0.81012646457754223</v>
      </c>
      <c r="CB112" s="5">
        <f t="shared" si="364"/>
        <v>81.012646457754229</v>
      </c>
      <c r="CE112" s="59">
        <f t="shared" si="365"/>
        <v>-50</v>
      </c>
      <c r="CF112">
        <f t="shared" si="366"/>
        <v>-50</v>
      </c>
      <c r="CG112" s="150">
        <f t="shared" si="367"/>
        <v>2.6575417212153042E-2</v>
      </c>
      <c r="CI112" s="147">
        <v>2</v>
      </c>
      <c r="CJ112" s="188">
        <f t="shared" si="428"/>
        <v>0.08</v>
      </c>
      <c r="CK112" s="188"/>
      <c r="CL112" s="188">
        <f t="shared" si="368"/>
        <v>2.4</v>
      </c>
      <c r="CM112" s="465">
        <f t="shared" si="369"/>
        <v>20</v>
      </c>
      <c r="CN112" s="379">
        <f t="shared" si="370"/>
        <v>30.4</v>
      </c>
      <c r="CO112" s="379">
        <f t="shared" si="371"/>
        <v>50.4</v>
      </c>
      <c r="CP112" s="379"/>
      <c r="CQ112" s="188">
        <f t="shared" si="372"/>
        <v>0.60317460317460314</v>
      </c>
      <c r="CR112" s="149">
        <f t="shared" si="429"/>
        <v>183.55019291189507</v>
      </c>
      <c r="CS112" s="149">
        <f t="shared" si="373"/>
        <v>2.4</v>
      </c>
      <c r="CT112" s="188">
        <f t="shared" si="374"/>
        <v>6.1183397637298356</v>
      </c>
      <c r="CU112" s="188">
        <f t="shared" si="375"/>
        <v>30</v>
      </c>
      <c r="CV112" s="188"/>
      <c r="CW112" s="149">
        <f t="shared" si="376"/>
        <v>3767.8809108627661</v>
      </c>
      <c r="CX112" s="149">
        <f t="shared" si="377"/>
        <v>30</v>
      </c>
      <c r="CY112" s="188">
        <f t="shared" si="378"/>
        <v>0.39789473684210525</v>
      </c>
      <c r="CZ112" s="188">
        <f t="shared" si="379"/>
        <v>9.350526315789473E-2</v>
      </c>
      <c r="DA112" s="188">
        <f t="shared" si="380"/>
        <v>6.1516620498614963E-2</v>
      </c>
      <c r="DB112" s="172">
        <f t="shared" si="381"/>
        <v>350</v>
      </c>
      <c r="DC112" s="379">
        <f t="shared" si="382"/>
        <v>350</v>
      </c>
      <c r="DE112" s="188">
        <f t="shared" si="383"/>
        <v>7.3334298258310406</v>
      </c>
      <c r="DF112" s="150">
        <f t="shared" si="384"/>
        <v>1.1337868480725624</v>
      </c>
      <c r="DG112" s="150">
        <f t="shared" si="385"/>
        <v>1.4550456003633017</v>
      </c>
      <c r="DH112" s="150"/>
      <c r="DI112" s="150">
        <f t="shared" si="386"/>
        <v>0.93700159489633172</v>
      </c>
      <c r="DJ112" s="314">
        <f t="shared" si="387"/>
        <v>28.174978723404255</v>
      </c>
      <c r="DK112" s="456">
        <f t="shared" si="388"/>
        <v>0.99378957034459414</v>
      </c>
      <c r="DM112" s="150">
        <f t="shared" si="389"/>
        <v>1.7195461336570985</v>
      </c>
      <c r="DN112" s="150">
        <f t="shared" si="390"/>
        <v>6.0606060606060606</v>
      </c>
      <c r="DO112" s="150">
        <f t="shared" si="391"/>
        <v>1.0160999878419452</v>
      </c>
      <c r="DQ112" s="314">
        <f t="shared" si="392"/>
        <v>80</v>
      </c>
      <c r="DR112" s="144">
        <f t="shared" si="393"/>
        <v>28.174978723404255</v>
      </c>
      <c r="DT112">
        <f t="shared" si="430"/>
        <v>80</v>
      </c>
      <c r="DU112">
        <f t="shared" si="431"/>
        <v>28.174978723404255</v>
      </c>
      <c r="DW112" s="5">
        <f t="shared" si="394"/>
        <v>35.492484655164077</v>
      </c>
      <c r="DX112" s="5">
        <f t="shared" si="395"/>
        <v>1.4242424242424243</v>
      </c>
      <c r="DY112" s="5">
        <f t="shared" si="396"/>
        <v>34.068242230921655</v>
      </c>
      <c r="DZ112" s="5"/>
      <c r="EA112" s="150">
        <f t="shared" si="397"/>
        <v>4.0128000000000004E-2</v>
      </c>
      <c r="EB112" s="150">
        <f t="shared" si="398"/>
        <v>2.4319999999999995</v>
      </c>
      <c r="EC112" s="150">
        <f t="shared" si="399"/>
        <v>2.9087030303030299</v>
      </c>
      <c r="ED112" s="150">
        <f t="shared" si="400"/>
        <v>0.83611148153087067</v>
      </c>
      <c r="EE112" s="144">
        <f t="shared" si="401"/>
        <v>0.37979797979797986</v>
      </c>
      <c r="EF112" s="5">
        <f t="shared" si="402"/>
        <v>2.4048170986532931</v>
      </c>
      <c r="EH112" s="150">
        <f t="shared" si="403"/>
        <v>0.70093732338428905</v>
      </c>
      <c r="EI112" s="150">
        <f t="shared" si="404"/>
        <v>3.4281679474570432</v>
      </c>
      <c r="EK112" s="456">
        <f t="shared" si="405"/>
        <v>5.8957575757575776E-3</v>
      </c>
      <c r="EL112" s="456">
        <f t="shared" si="406"/>
        <v>0.16351733106382979</v>
      </c>
      <c r="EM112" s="456">
        <f t="shared" si="407"/>
        <v>3.2401225531914898E-3</v>
      </c>
      <c r="EN112" s="456">
        <f t="shared" si="408"/>
        <v>3.7036933671217021E-2</v>
      </c>
      <c r="EO112">
        <f t="shared" si="409"/>
        <v>8.9999999999999993E-3</v>
      </c>
      <c r="EP112" s="144">
        <f t="shared" si="410"/>
        <v>12.240122553191489</v>
      </c>
      <c r="EQ112" s="144"/>
      <c r="ER112" s="144">
        <f t="shared" si="432"/>
        <v>218.69014486399587</v>
      </c>
      <c r="ES112" s="456">
        <f t="shared" si="411"/>
        <v>5.5999999999999994E-2</v>
      </c>
      <c r="EV112" s="144">
        <f t="shared" si="412"/>
        <v>55.999999999999993</v>
      </c>
      <c r="EW112" s="456">
        <f t="shared" si="413"/>
        <v>6.8783838383838398E-3</v>
      </c>
      <c r="EX112" s="456">
        <f t="shared" si="414"/>
        <v>0.1645326966636057</v>
      </c>
      <c r="EY112" s="456">
        <f t="shared" si="415"/>
        <v>1.9051059600225777E-2</v>
      </c>
      <c r="EZ112" s="456"/>
      <c r="FA112" s="456">
        <f t="shared" si="416"/>
        <v>0.10348936170212766</v>
      </c>
      <c r="FB112" s="144">
        <f t="shared" si="417"/>
        <v>293.95150180434297</v>
      </c>
      <c r="FC112" s="150">
        <f t="shared" si="418"/>
        <v>0.56864164666833894</v>
      </c>
      <c r="FD112" s="5">
        <f t="shared" si="419"/>
        <v>2.4</v>
      </c>
      <c r="FE112" s="150">
        <f t="shared" si="420"/>
        <v>0.80845055943127497</v>
      </c>
      <c r="FF112" s="5">
        <f t="shared" si="421"/>
        <v>80.845055943127491</v>
      </c>
      <c r="FI112" s="59">
        <f t="shared" si="422"/>
        <v>-50</v>
      </c>
      <c r="FJ112">
        <f t="shared" si="423"/>
        <v>-50</v>
      </c>
      <c r="FL112">
        <f t="shared" si="424"/>
        <v>2.64E-2</v>
      </c>
    </row>
    <row r="113" spans="5:168">
      <c r="E113" s="147">
        <v>3</v>
      </c>
      <c r="F113" s="188">
        <f t="shared" si="425"/>
        <v>0.12</v>
      </c>
      <c r="G113" s="188"/>
      <c r="H113" s="188">
        <f t="shared" si="315"/>
        <v>3.5999999999999996</v>
      </c>
      <c r="I113" s="465">
        <f t="shared" si="316"/>
        <v>19.921732178900701</v>
      </c>
      <c r="J113" s="149">
        <f t="shared" si="317"/>
        <v>30.44214421136116</v>
      </c>
      <c r="K113" s="149">
        <f t="shared" si="318"/>
        <v>50.363876390261865</v>
      </c>
      <c r="L113" s="379"/>
      <c r="M113" s="188">
        <f t="shared" si="319"/>
        <v>0.604446225362259</v>
      </c>
      <c r="N113" s="149">
        <f t="shared" si="426"/>
        <v>183.21733829403041</v>
      </c>
      <c r="O113" s="149">
        <f t="shared" si="284"/>
        <v>3.5999999999999996</v>
      </c>
      <c r="P113" s="188">
        <f t="shared" si="320"/>
        <v>6.1072446098010138</v>
      </c>
      <c r="Q113" s="188">
        <f t="shared" si="321"/>
        <v>30</v>
      </c>
      <c r="R113" s="188"/>
      <c r="S113" s="149">
        <f t="shared" si="322"/>
        <v>2495.4516852047773</v>
      </c>
      <c r="T113" s="149">
        <f t="shared" si="323"/>
        <v>30</v>
      </c>
      <c r="U113" s="188">
        <f t="shared" si="324"/>
        <v>0.60674430479091901</v>
      </c>
      <c r="V113" s="188">
        <f t="shared" si="325"/>
        <v>0.14314509435768746</v>
      </c>
      <c r="W113" s="188">
        <f t="shared" si="326"/>
        <v>9.3675997745686093E-2</v>
      </c>
      <c r="X113" s="172">
        <f t="shared" si="327"/>
        <v>350</v>
      </c>
      <c r="Y113" s="379">
        <f t="shared" si="328"/>
        <v>350</v>
      </c>
      <c r="AA113" s="188">
        <f t="shared" si="329"/>
        <v>7.320104561416251</v>
      </c>
      <c r="AB113" s="150">
        <f t="shared" si="330"/>
        <v>1.1301599256538719</v>
      </c>
      <c r="AC113" s="150">
        <f t="shared" si="331"/>
        <v>1.4477555447090327</v>
      </c>
      <c r="AD113" s="150"/>
      <c r="AE113" s="150">
        <f t="shared" si="332"/>
        <v>0.93570440659754173</v>
      </c>
      <c r="AF113" s="314">
        <f t="shared" si="333"/>
        <v>42.321057505751874</v>
      </c>
      <c r="AG113" s="456">
        <f t="shared" si="334"/>
        <v>0.99241376457315034</v>
      </c>
      <c r="AI113" s="150">
        <f t="shared" si="335"/>
        <v>2.1074646042561449</v>
      </c>
      <c r="AJ113" s="150">
        <f t="shared" si="336"/>
        <v>6.0606060606060606</v>
      </c>
      <c r="AK113" s="150">
        <f t="shared" si="337"/>
        <v>1.0241834614318581</v>
      </c>
      <c r="AM113" s="314">
        <f t="shared" si="338"/>
        <v>120</v>
      </c>
      <c r="AN113" s="144">
        <f t="shared" si="339"/>
        <v>42.321057505751874</v>
      </c>
      <c r="AP113" s="144">
        <f t="shared" si="340"/>
        <v>120</v>
      </c>
      <c r="AQ113" s="144">
        <f t="shared" si="341"/>
        <v>42.321057505751874</v>
      </c>
      <c r="AS113" s="5">
        <f t="shared" si="285"/>
        <v>23.628899156503582</v>
      </c>
      <c r="AT113" s="5">
        <f t="shared" si="342"/>
        <v>1.4298379392439107</v>
      </c>
      <c r="AU113" s="5">
        <f t="shared" si="343"/>
        <v>22.199061217259672</v>
      </c>
      <c r="AV113" s="5"/>
      <c r="AW113" s="150">
        <f t="shared" si="344"/>
        <v>6.0512253650647295E-2</v>
      </c>
      <c r="AX113" s="150">
        <f t="shared" si="214"/>
        <v>3.6530573053633382</v>
      </c>
      <c r="AY113" s="150">
        <f t="shared" si="215"/>
        <v>2.8469325646950083</v>
      </c>
      <c r="AZ113" s="150">
        <f t="shared" si="288"/>
        <v>1.283155544555264</v>
      </c>
      <c r="BA113" s="144">
        <f t="shared" si="345"/>
        <v>0.57193517569756425</v>
      </c>
      <c r="BB113" s="5">
        <f t="shared" si="346"/>
        <v>2.3597233550384704</v>
      </c>
      <c r="BD113" s="150">
        <f t="shared" si="289"/>
        <v>0.86075012061191292</v>
      </c>
      <c r="BE113" s="150">
        <f t="shared" si="218"/>
        <v>3.3915715880918023</v>
      </c>
      <c r="BG113" s="456">
        <f t="shared" si="347"/>
        <v>8.890689241601071E-3</v>
      </c>
      <c r="BH113" s="456">
        <f t="shared" si="348"/>
        <v>0.23575156538108211</v>
      </c>
      <c r="BI113" s="456">
        <f t="shared" si="349"/>
        <v>4.8669216131614658E-3</v>
      </c>
      <c r="BJ113" s="456">
        <f t="shared" si="350"/>
        <v>5.5552699032698466E-2</v>
      </c>
      <c r="BK113">
        <f t="shared" si="351"/>
        <v>8.9647794805053152E-3</v>
      </c>
      <c r="BL113" s="144">
        <f t="shared" si="427"/>
        <v>13.831701093666782</v>
      </c>
      <c r="BM113" s="456">
        <f t="shared" si="352"/>
        <v>0.30323600390424638</v>
      </c>
      <c r="BN113" s="144">
        <f t="shared" si="353"/>
        <v>303.23600390424639</v>
      </c>
      <c r="BO113" s="456">
        <f t="shared" si="354"/>
        <v>8.3999999999999991E-2</v>
      </c>
      <c r="BR113" s="144">
        <f t="shared" si="355"/>
        <v>83.999999999999986</v>
      </c>
      <c r="BS113" s="456">
        <f t="shared" si="356"/>
        <v>1.0372470781867918E-2</v>
      </c>
      <c r="BT113" s="456">
        <f t="shared" si="357"/>
        <v>0.16103860972012168</v>
      </c>
      <c r="BU113" s="456">
        <f t="shared" si="358"/>
        <v>5.2680686013446852E-2</v>
      </c>
      <c r="BV113" s="456"/>
      <c r="BW113" s="456">
        <f t="shared" si="359"/>
        <v>0.15544924703673782</v>
      </c>
      <c r="BX113" s="144">
        <f t="shared" si="360"/>
        <v>379.54101355217426</v>
      </c>
      <c r="BY113" s="150">
        <f t="shared" si="361"/>
        <v>0.7775676683012227</v>
      </c>
      <c r="BZ113" s="5">
        <f t="shared" si="362"/>
        <v>3.5999999999999996</v>
      </c>
      <c r="CA113" s="150">
        <f t="shared" si="363"/>
        <v>0.82237449487492009</v>
      </c>
      <c r="CB113" s="5">
        <f t="shared" si="364"/>
        <v>82.237449487492015</v>
      </c>
      <c r="CE113" s="59">
        <f t="shared" si="365"/>
        <v>-50</v>
      </c>
      <c r="CF113">
        <f t="shared" si="366"/>
        <v>-50</v>
      </c>
      <c r="CG113" s="150">
        <f t="shared" si="367"/>
        <v>3.986312581822956E-2</v>
      </c>
      <c r="CI113" s="147">
        <v>3</v>
      </c>
      <c r="CJ113" s="188">
        <f t="shared" si="428"/>
        <v>0.12</v>
      </c>
      <c r="CK113" s="188"/>
      <c r="CL113" s="188">
        <f t="shared" si="368"/>
        <v>3.5999999999999996</v>
      </c>
      <c r="CM113" s="465">
        <f t="shared" si="369"/>
        <v>20</v>
      </c>
      <c r="CN113" s="379">
        <f t="shared" si="370"/>
        <v>30.4</v>
      </c>
      <c r="CO113" s="379">
        <f t="shared" si="371"/>
        <v>50.4</v>
      </c>
      <c r="CP113" s="379"/>
      <c r="CQ113" s="188">
        <f t="shared" si="372"/>
        <v>0.60317460317460314</v>
      </c>
      <c r="CR113" s="149">
        <f t="shared" si="429"/>
        <v>183.55019291189507</v>
      </c>
      <c r="CS113" s="149">
        <f t="shared" si="373"/>
        <v>3.5999999999999996</v>
      </c>
      <c r="CT113" s="188">
        <f t="shared" si="374"/>
        <v>6.1183397637298356</v>
      </c>
      <c r="CU113" s="188">
        <f t="shared" si="375"/>
        <v>30</v>
      </c>
      <c r="CV113" s="188"/>
      <c r="CW113" s="149">
        <f t="shared" si="376"/>
        <v>2505.2557180295471</v>
      </c>
      <c r="CX113" s="149">
        <f t="shared" si="377"/>
        <v>30</v>
      </c>
      <c r="CY113" s="188">
        <f t="shared" si="378"/>
        <v>0.59684210526315784</v>
      </c>
      <c r="CZ113" s="188">
        <f t="shared" si="379"/>
        <v>0.14025789473684208</v>
      </c>
      <c r="DA113" s="188">
        <f t="shared" si="380"/>
        <v>9.2274930747922437E-2</v>
      </c>
      <c r="DB113" s="172">
        <f t="shared" si="381"/>
        <v>350</v>
      </c>
      <c r="DC113" s="379">
        <f t="shared" si="382"/>
        <v>350</v>
      </c>
      <c r="DE113" s="188">
        <f t="shared" si="383"/>
        <v>7.3334298258310406</v>
      </c>
      <c r="DF113" s="150">
        <f t="shared" si="384"/>
        <v>1.1337868480725624</v>
      </c>
      <c r="DG113" s="150">
        <f t="shared" si="385"/>
        <v>1.4550456003633017</v>
      </c>
      <c r="DH113" s="150"/>
      <c r="DI113" s="150">
        <f t="shared" si="386"/>
        <v>0.93700159489633172</v>
      </c>
      <c r="DJ113" s="314">
        <f t="shared" si="387"/>
        <v>42.262468085106384</v>
      </c>
      <c r="DK113" s="456">
        <f t="shared" si="388"/>
        <v>0.99378957034459414</v>
      </c>
      <c r="DM113" s="150">
        <f t="shared" si="389"/>
        <v>2.106005308317767</v>
      </c>
      <c r="DN113" s="150">
        <f t="shared" si="390"/>
        <v>6.0606060606060606</v>
      </c>
      <c r="DO113" s="150">
        <f t="shared" si="391"/>
        <v>1.0241499817629178</v>
      </c>
      <c r="DQ113" s="314">
        <f t="shared" si="392"/>
        <v>120</v>
      </c>
      <c r="DR113" s="144">
        <f t="shared" si="393"/>
        <v>42.262468085106384</v>
      </c>
      <c r="DT113">
        <f t="shared" si="430"/>
        <v>120</v>
      </c>
      <c r="DU113">
        <f t="shared" si="431"/>
        <v>42.262468085106384</v>
      </c>
      <c r="DW113" s="5">
        <f t="shared" si="394"/>
        <v>23.661656436776052</v>
      </c>
      <c r="DX113" s="5">
        <f t="shared" si="395"/>
        <v>1.4242424242424243</v>
      </c>
      <c r="DY113" s="5">
        <f t="shared" si="396"/>
        <v>22.237414012533627</v>
      </c>
      <c r="DZ113" s="5"/>
      <c r="EA113" s="150">
        <f t="shared" si="397"/>
        <v>6.0192000000000009E-2</v>
      </c>
      <c r="EB113" s="150">
        <f t="shared" si="398"/>
        <v>3.6479999999999992</v>
      </c>
      <c r="EC113" s="150">
        <f t="shared" si="399"/>
        <v>2.8479030303030304</v>
      </c>
      <c r="ED113" s="150">
        <f t="shared" si="400"/>
        <v>1.2809424903810136</v>
      </c>
      <c r="EE113" s="144">
        <f t="shared" si="401"/>
        <v>0.5696969696969697</v>
      </c>
      <c r="EF113" s="5">
        <f t="shared" si="402"/>
        <v>2.3545497189741487</v>
      </c>
      <c r="EH113" s="150">
        <f t="shared" si="403"/>
        <v>0.85846939198185568</v>
      </c>
      <c r="EI113" s="150">
        <f t="shared" si="404"/>
        <v>3.3921496002262748</v>
      </c>
      <c r="EK113" s="456">
        <f t="shared" si="405"/>
        <v>8.8436363636363643E-3</v>
      </c>
      <c r="EL113" s="456">
        <f t="shared" si="406"/>
        <v>0.24527599659574467</v>
      </c>
      <c r="EM113" s="456">
        <f t="shared" si="407"/>
        <v>4.8601838297872343E-3</v>
      </c>
      <c r="EN113" s="456">
        <f t="shared" si="408"/>
        <v>5.5555400506825538E-2</v>
      </c>
      <c r="EO113">
        <f t="shared" si="409"/>
        <v>8.9999999999999993E-3</v>
      </c>
      <c r="EP113" s="144">
        <f t="shared" si="410"/>
        <v>13.860183829787234</v>
      </c>
      <c r="EQ113" s="144"/>
      <c r="ER113" s="144">
        <f t="shared" si="432"/>
        <v>323.5352172959939</v>
      </c>
      <c r="ES113" s="456">
        <f t="shared" si="411"/>
        <v>8.3999999999999991E-2</v>
      </c>
      <c r="EV113" s="144">
        <f t="shared" si="412"/>
        <v>83.999999999999986</v>
      </c>
      <c r="EW113" s="456">
        <f t="shared" si="413"/>
        <v>1.0317575757575758E-2</v>
      </c>
      <c r="EX113" s="456">
        <f t="shared" si="414"/>
        <v>0.16109350474441386</v>
      </c>
      <c r="EY113" s="456">
        <f t="shared" si="415"/>
        <v>5.2498546964892041E-2</v>
      </c>
      <c r="EZ113" s="456"/>
      <c r="FA113" s="456">
        <f t="shared" si="416"/>
        <v>0.15523404255319148</v>
      </c>
      <c r="FB113" s="144">
        <f t="shared" si="417"/>
        <v>379.1436700200731</v>
      </c>
      <c r="FC113" s="150">
        <f t="shared" si="418"/>
        <v>0.78667888731606705</v>
      </c>
      <c r="FD113" s="5">
        <f t="shared" si="419"/>
        <v>3.5999999999999996</v>
      </c>
      <c r="FE113" s="150">
        <f t="shared" si="420"/>
        <v>0.82066640674549429</v>
      </c>
      <c r="FF113" s="5">
        <f t="shared" si="421"/>
        <v>82.066640674549433</v>
      </c>
      <c r="FI113" s="59">
        <f t="shared" si="422"/>
        <v>-50</v>
      </c>
      <c r="FJ113">
        <f t="shared" si="423"/>
        <v>-50</v>
      </c>
      <c r="FL113">
        <f t="shared" si="424"/>
        <v>3.9600000000000003E-2</v>
      </c>
    </row>
    <row r="114" spans="5:168">
      <c r="E114" s="147">
        <v>4</v>
      </c>
      <c r="F114" s="188">
        <f t="shared" si="425"/>
        <v>0.16</v>
      </c>
      <c r="G114" s="188"/>
      <c r="H114" s="188">
        <f t="shared" si="315"/>
        <v>4.8</v>
      </c>
      <c r="I114" s="465">
        <f t="shared" si="316"/>
        <v>19.921732178900701</v>
      </c>
      <c r="J114" s="149">
        <f t="shared" si="317"/>
        <v>30.44214421136116</v>
      </c>
      <c r="K114" s="149">
        <f t="shared" si="318"/>
        <v>50.363876390261865</v>
      </c>
      <c r="L114" s="379"/>
      <c r="M114" s="188">
        <f t="shared" si="319"/>
        <v>0.604446225362259</v>
      </c>
      <c r="N114" s="149">
        <f t="shared" si="426"/>
        <v>183.21733829403041</v>
      </c>
      <c r="O114" s="149">
        <f t="shared" si="284"/>
        <v>4.8</v>
      </c>
      <c r="P114" s="188">
        <f t="shared" si="320"/>
        <v>6.1072446098010138</v>
      </c>
      <c r="Q114" s="188">
        <f t="shared" si="321"/>
        <v>30</v>
      </c>
      <c r="R114" s="188"/>
      <c r="S114" s="149">
        <f t="shared" si="322"/>
        <v>1866.6102044347112</v>
      </c>
      <c r="T114" s="149">
        <f t="shared" si="323"/>
        <v>30</v>
      </c>
      <c r="U114" s="188">
        <f t="shared" si="324"/>
        <v>0.80899240638789216</v>
      </c>
      <c r="V114" s="188">
        <f t="shared" si="325"/>
        <v>0.19086012581024997</v>
      </c>
      <c r="W114" s="188">
        <f t="shared" si="326"/>
        <v>0.12490133032758149</v>
      </c>
      <c r="X114" s="172">
        <f t="shared" si="327"/>
        <v>350</v>
      </c>
      <c r="Y114" s="379">
        <f t="shared" si="328"/>
        <v>350</v>
      </c>
      <c r="AA114" s="188">
        <f t="shared" si="329"/>
        <v>7.320104561416251</v>
      </c>
      <c r="AB114" s="150">
        <f t="shared" si="330"/>
        <v>1.1301599256538719</v>
      </c>
      <c r="AC114" s="150">
        <f t="shared" si="331"/>
        <v>1.4477555447090327</v>
      </c>
      <c r="AD114" s="150"/>
      <c r="AE114" s="150">
        <f t="shared" si="332"/>
        <v>0.93570440659754173</v>
      </c>
      <c r="AF114" s="314">
        <f t="shared" si="333"/>
        <v>56.428076674335841</v>
      </c>
      <c r="AG114" s="456">
        <f t="shared" si="334"/>
        <v>0.99241376457315034</v>
      </c>
      <c r="AI114" s="150">
        <f t="shared" si="335"/>
        <v>2.433490513149787</v>
      </c>
      <c r="AJ114" s="150">
        <f t="shared" si="336"/>
        <v>6.0606060606060606</v>
      </c>
      <c r="AK114" s="150">
        <f t="shared" si="337"/>
        <v>1.0322446152424776</v>
      </c>
      <c r="AM114" s="314">
        <f t="shared" si="338"/>
        <v>160</v>
      </c>
      <c r="AN114" s="144">
        <f t="shared" si="339"/>
        <v>56.428076674335841</v>
      </c>
      <c r="AP114" s="144">
        <f t="shared" si="340"/>
        <v>160</v>
      </c>
      <c r="AQ114" s="144">
        <f t="shared" si="341"/>
        <v>56.428076674335841</v>
      </c>
      <c r="AS114" s="5">
        <f t="shared" si="285"/>
        <v>17.721674367377684</v>
      </c>
      <c r="AT114" s="5">
        <f t="shared" si="342"/>
        <v>1.4298379392439107</v>
      </c>
      <c r="AU114" s="5">
        <f t="shared" si="343"/>
        <v>16.291836428133774</v>
      </c>
      <c r="AV114" s="5"/>
      <c r="AW114" s="150">
        <f t="shared" si="344"/>
        <v>8.0683004867529745E-2</v>
      </c>
      <c r="AX114" s="150">
        <f t="shared" si="214"/>
        <v>4.8707430738177857</v>
      </c>
      <c r="AY114" s="150">
        <f t="shared" si="215"/>
        <v>2.7858090761590009</v>
      </c>
      <c r="AZ114" s="150">
        <f t="shared" si="288"/>
        <v>1.7484123788315875</v>
      </c>
      <c r="BA114" s="144">
        <f t="shared" si="345"/>
        <v>0.76258023426341903</v>
      </c>
      <c r="BB114" s="5">
        <f t="shared" si="346"/>
        <v>2.3090602219426937</v>
      </c>
      <c r="BD114" s="150">
        <f t="shared" si="289"/>
        <v>0.99390862768058164</v>
      </c>
      <c r="BE114" s="150">
        <f t="shared" si="218"/>
        <v>3.3549656104209284</v>
      </c>
      <c r="BG114" s="456">
        <f t="shared" si="347"/>
        <v>1.1854252322134766E-2</v>
      </c>
      <c r="BH114" s="456">
        <f t="shared" si="348"/>
        <v>0.31433542050810953</v>
      </c>
      <c r="BI114" s="456">
        <f t="shared" si="349"/>
        <v>6.4892288175486231E-3</v>
      </c>
      <c r="BJ114" s="456">
        <f t="shared" si="350"/>
        <v>7.4070265376931302E-2</v>
      </c>
      <c r="BK114">
        <f t="shared" si="351"/>
        <v>8.9647794805053152E-3</v>
      </c>
      <c r="BL114" s="144">
        <f t="shared" si="427"/>
        <v>15.454008298053937</v>
      </c>
      <c r="BM114" s="456">
        <f t="shared" si="352"/>
        <v>0.40460017118060793</v>
      </c>
      <c r="BN114" s="144">
        <f t="shared" si="353"/>
        <v>404.6001711806079</v>
      </c>
      <c r="BO114" s="456">
        <f t="shared" si="354"/>
        <v>0.11199999999999999</v>
      </c>
      <c r="BR114" s="144">
        <f t="shared" si="355"/>
        <v>111.99999999999999</v>
      </c>
      <c r="BS114" s="456">
        <f t="shared" si="356"/>
        <v>1.382996104249056E-2</v>
      </c>
      <c r="BT114" s="456">
        <f t="shared" si="357"/>
        <v>0.15758111945949901</v>
      </c>
      <c r="BU114" s="456">
        <f t="shared" si="358"/>
        <v>0.10814296267007191</v>
      </c>
      <c r="BV114" s="456"/>
      <c r="BW114" s="456">
        <f t="shared" si="359"/>
        <v>0.2072656627156505</v>
      </c>
      <c r="BX114" s="144">
        <f t="shared" si="360"/>
        <v>486.81970588771202</v>
      </c>
      <c r="BY114" s="150">
        <f t="shared" si="361"/>
        <v>1.0145336523929416</v>
      </c>
      <c r="BZ114" s="5">
        <f t="shared" si="362"/>
        <v>4.8</v>
      </c>
      <c r="CA114" s="150">
        <f t="shared" si="363"/>
        <v>0.82551762307276089</v>
      </c>
      <c r="CB114" s="5">
        <f t="shared" si="364"/>
        <v>82.551762307276093</v>
      </c>
      <c r="CE114" s="59">
        <f t="shared" si="365"/>
        <v>-50</v>
      </c>
      <c r="CF114">
        <f t="shared" si="366"/>
        <v>-50</v>
      </c>
      <c r="CG114" s="150">
        <f t="shared" si="367"/>
        <v>5.3150834424306084E-2</v>
      </c>
      <c r="CI114" s="147">
        <v>4</v>
      </c>
      <c r="CJ114" s="188">
        <f t="shared" si="428"/>
        <v>0.16</v>
      </c>
      <c r="CK114" s="188"/>
      <c r="CL114" s="188">
        <f t="shared" si="368"/>
        <v>4.8</v>
      </c>
      <c r="CM114" s="465">
        <f t="shared" si="369"/>
        <v>20</v>
      </c>
      <c r="CN114" s="379">
        <f t="shared" si="370"/>
        <v>30.4</v>
      </c>
      <c r="CO114" s="379">
        <f t="shared" si="371"/>
        <v>50.4</v>
      </c>
      <c r="CP114" s="379"/>
      <c r="CQ114" s="188">
        <f t="shared" si="372"/>
        <v>0.60317460317460314</v>
      </c>
      <c r="CR114" s="149">
        <f t="shared" si="429"/>
        <v>183.55019291189507</v>
      </c>
      <c r="CS114" s="149">
        <f t="shared" si="373"/>
        <v>4.8</v>
      </c>
      <c r="CT114" s="188">
        <f t="shared" si="374"/>
        <v>6.1183397637298356</v>
      </c>
      <c r="CU114" s="188">
        <f t="shared" si="375"/>
        <v>30</v>
      </c>
      <c r="CV114" s="188"/>
      <c r="CW114" s="149">
        <f t="shared" si="376"/>
        <v>1873.9436621001169</v>
      </c>
      <c r="CX114" s="149">
        <f t="shared" si="377"/>
        <v>30</v>
      </c>
      <c r="CY114" s="188">
        <f t="shared" si="378"/>
        <v>0.79578947368421049</v>
      </c>
      <c r="CZ114" s="188">
        <f t="shared" si="379"/>
        <v>0.18701052631578946</v>
      </c>
      <c r="DA114" s="188">
        <f t="shared" si="380"/>
        <v>0.12303324099722993</v>
      </c>
      <c r="DB114" s="172">
        <f t="shared" si="381"/>
        <v>350</v>
      </c>
      <c r="DC114" s="379">
        <f t="shared" si="382"/>
        <v>350</v>
      </c>
      <c r="DE114" s="188">
        <f t="shared" si="383"/>
        <v>7.3334298258310406</v>
      </c>
      <c r="DF114" s="150">
        <f t="shared" si="384"/>
        <v>1.1337868480725624</v>
      </c>
      <c r="DG114" s="150">
        <f t="shared" si="385"/>
        <v>1.4550456003633017</v>
      </c>
      <c r="DH114" s="150"/>
      <c r="DI114" s="150">
        <f t="shared" si="386"/>
        <v>0.93700159489633172</v>
      </c>
      <c r="DJ114" s="314">
        <f t="shared" si="387"/>
        <v>56.34995744680851</v>
      </c>
      <c r="DK114" s="456">
        <f t="shared" si="388"/>
        <v>0.99378957034459414</v>
      </c>
      <c r="DM114" s="150">
        <f t="shared" si="389"/>
        <v>2.4318054633440873</v>
      </c>
      <c r="DN114" s="150">
        <f t="shared" si="390"/>
        <v>6.0606060606060606</v>
      </c>
      <c r="DO114" s="150">
        <f t="shared" si="391"/>
        <v>1.0321999756838907</v>
      </c>
      <c r="DQ114" s="314">
        <f t="shared" si="392"/>
        <v>160</v>
      </c>
      <c r="DR114" s="144">
        <f t="shared" si="393"/>
        <v>56.34995744680851</v>
      </c>
      <c r="DT114">
        <f t="shared" si="430"/>
        <v>160</v>
      </c>
      <c r="DU114">
        <f t="shared" si="431"/>
        <v>56.34995744680851</v>
      </c>
      <c r="DW114" s="5">
        <f t="shared" si="394"/>
        <v>17.746242327582038</v>
      </c>
      <c r="DX114" s="5">
        <f t="shared" si="395"/>
        <v>1.4242424242424243</v>
      </c>
      <c r="DY114" s="5">
        <f t="shared" si="396"/>
        <v>16.321999903339613</v>
      </c>
      <c r="DZ114" s="5"/>
      <c r="EA114" s="150">
        <f t="shared" si="397"/>
        <v>8.0256000000000008E-2</v>
      </c>
      <c r="EB114" s="150">
        <f t="shared" si="398"/>
        <v>4.863999999999999</v>
      </c>
      <c r="EC114" s="150">
        <f t="shared" si="399"/>
        <v>2.7871030303030304</v>
      </c>
      <c r="ED114" s="150">
        <f t="shared" si="400"/>
        <v>1.7451812678310481</v>
      </c>
      <c r="EE114" s="144">
        <f t="shared" si="401"/>
        <v>0.75959595959595971</v>
      </c>
      <c r="EF114" s="5">
        <f t="shared" si="402"/>
        <v>2.3042823392950038</v>
      </c>
      <c r="EH114" s="150">
        <f t="shared" si="403"/>
        <v>0.99127506910355745</v>
      </c>
      <c r="EI114" s="150">
        <f t="shared" si="404"/>
        <v>3.3557446781092728</v>
      </c>
      <c r="EK114" s="456">
        <f t="shared" si="405"/>
        <v>1.1791515151515152E-2</v>
      </c>
      <c r="EL114" s="456">
        <f t="shared" si="406"/>
        <v>0.32703466212765958</v>
      </c>
      <c r="EM114" s="456">
        <f t="shared" si="407"/>
        <v>6.4802451063829796E-3</v>
      </c>
      <c r="EN114" s="456">
        <f t="shared" si="408"/>
        <v>7.4073867342434041E-2</v>
      </c>
      <c r="EO114">
        <f t="shared" si="409"/>
        <v>8.9999999999999993E-3</v>
      </c>
      <c r="EP114" s="144">
        <f t="shared" si="410"/>
        <v>15.480245106382979</v>
      </c>
      <c r="EQ114" s="144"/>
      <c r="ER114" s="144">
        <f t="shared" si="432"/>
        <v>428.38028972799174</v>
      </c>
      <c r="ES114" s="456">
        <f t="shared" si="411"/>
        <v>0.11199999999999999</v>
      </c>
      <c r="EV114" s="144">
        <f t="shared" si="412"/>
        <v>111.99999999999999</v>
      </c>
      <c r="EW114" s="456">
        <f t="shared" si="413"/>
        <v>1.3756767676767676E-2</v>
      </c>
      <c r="EX114" s="456">
        <f t="shared" si="414"/>
        <v>0.15765431282522191</v>
      </c>
      <c r="EY114" s="456">
        <f t="shared" si="415"/>
        <v>0.1077690674568697</v>
      </c>
      <c r="EZ114" s="456"/>
      <c r="FA114" s="456">
        <f t="shared" si="416"/>
        <v>0.20697872340425533</v>
      </c>
      <c r="FB114" s="144">
        <f t="shared" si="417"/>
        <v>486.1588713631146</v>
      </c>
      <c r="FC114" s="150">
        <f t="shared" si="418"/>
        <v>1.0265391610911063</v>
      </c>
      <c r="FD114" s="5">
        <f t="shared" si="419"/>
        <v>4.8</v>
      </c>
      <c r="FE114" s="150">
        <f t="shared" si="420"/>
        <v>0.82381665467106002</v>
      </c>
      <c r="FF114" s="5">
        <f t="shared" si="421"/>
        <v>82.381665467106004</v>
      </c>
      <c r="FI114" s="59">
        <f t="shared" si="422"/>
        <v>-50</v>
      </c>
      <c r="FJ114">
        <f t="shared" si="423"/>
        <v>-50</v>
      </c>
      <c r="FL114">
        <f t="shared" si="424"/>
        <v>5.28E-2</v>
      </c>
    </row>
    <row r="115" spans="5:168">
      <c r="E115" s="147">
        <v>5</v>
      </c>
      <c r="F115" s="188">
        <f t="shared" si="425"/>
        <v>0.2</v>
      </c>
      <c r="G115" s="188"/>
      <c r="H115" s="188">
        <f t="shared" si="315"/>
        <v>6</v>
      </c>
      <c r="I115" s="465">
        <f t="shared" si="316"/>
        <v>19.921732178900701</v>
      </c>
      <c r="J115" s="149">
        <f t="shared" si="317"/>
        <v>30.44214421136116</v>
      </c>
      <c r="K115" s="149">
        <f t="shared" si="318"/>
        <v>50.363876390261865</v>
      </c>
      <c r="L115" s="379"/>
      <c r="M115" s="188">
        <f t="shared" si="319"/>
        <v>0.604446225362259</v>
      </c>
      <c r="N115" s="149">
        <f t="shared" si="426"/>
        <v>183.21733829403041</v>
      </c>
      <c r="O115" s="149">
        <f t="shared" si="284"/>
        <v>6</v>
      </c>
      <c r="P115" s="188">
        <f t="shared" si="320"/>
        <v>6.1072446098010138</v>
      </c>
      <c r="Q115" s="188">
        <f t="shared" si="321"/>
        <v>30</v>
      </c>
      <c r="R115" s="188"/>
      <c r="S115" s="149">
        <f t="shared" si="322"/>
        <v>1489.3057517586908</v>
      </c>
      <c r="T115" s="149">
        <f t="shared" si="323"/>
        <v>30</v>
      </c>
      <c r="U115" s="188">
        <f t="shared" si="324"/>
        <v>1.0112405079848652</v>
      </c>
      <c r="V115" s="188">
        <f t="shared" si="325"/>
        <v>0.23857515726281242</v>
      </c>
      <c r="W115" s="188">
        <f t="shared" si="326"/>
        <v>0.15612666290947685</v>
      </c>
      <c r="X115" s="172">
        <f t="shared" si="327"/>
        <v>350</v>
      </c>
      <c r="Y115" s="379">
        <f t="shared" si="328"/>
        <v>350</v>
      </c>
      <c r="AA115" s="188">
        <f t="shared" si="329"/>
        <v>7.320104561416251</v>
      </c>
      <c r="AB115" s="150">
        <f t="shared" si="330"/>
        <v>1.1301599256538719</v>
      </c>
      <c r="AC115" s="150">
        <f t="shared" si="331"/>
        <v>1.4477555447090327</v>
      </c>
      <c r="AD115" s="150"/>
      <c r="AE115" s="150">
        <f t="shared" si="332"/>
        <v>0.93570440659754173</v>
      </c>
      <c r="AF115" s="314">
        <f t="shared" si="333"/>
        <v>70.535095842919787</v>
      </c>
      <c r="AG115" s="456">
        <f t="shared" si="334"/>
        <v>0.99241376457315034</v>
      </c>
      <c r="AI115" s="150">
        <f t="shared" si="335"/>
        <v>2.7207251050018848</v>
      </c>
      <c r="AJ115" s="150">
        <f t="shared" si="336"/>
        <v>6.0606060606060606</v>
      </c>
      <c r="AK115" s="150">
        <f t="shared" si="337"/>
        <v>1.040305769053097</v>
      </c>
      <c r="AM115" s="314">
        <f t="shared" si="338"/>
        <v>200</v>
      </c>
      <c r="AN115" s="144">
        <f t="shared" si="339"/>
        <v>70.535095842919787</v>
      </c>
      <c r="AP115" s="144">
        <f t="shared" si="340"/>
        <v>200</v>
      </c>
      <c r="AQ115" s="144">
        <f t="shared" si="341"/>
        <v>70.535095842919787</v>
      </c>
      <c r="AS115" s="5">
        <f t="shared" si="285"/>
        <v>14.177339493902149</v>
      </c>
      <c r="AT115" s="5">
        <f t="shared" si="342"/>
        <v>1.4298379392439107</v>
      </c>
      <c r="AU115" s="5">
        <f t="shared" si="343"/>
        <v>12.747501554658239</v>
      </c>
      <c r="AV115" s="5"/>
      <c r="AW115" s="150">
        <f t="shared" si="344"/>
        <v>0.10085375608441216</v>
      </c>
      <c r="AX115" s="150">
        <f t="shared" si="214"/>
        <v>6.0884288422722301</v>
      </c>
      <c r="AY115" s="150">
        <f t="shared" si="215"/>
        <v>2.7246855876229934</v>
      </c>
      <c r="AZ115" s="150">
        <f t="shared" si="288"/>
        <v>2.2345436368618792</v>
      </c>
      <c r="BA115" s="144">
        <f t="shared" si="345"/>
        <v>0.95322529282927382</v>
      </c>
      <c r="BB115" s="5">
        <f t="shared" si="346"/>
        <v>2.2583970888469183</v>
      </c>
      <c r="BD115" s="150">
        <f t="shared" si="289"/>
        <v>1.1112236274586547</v>
      </c>
      <c r="BE115" s="150">
        <f t="shared" si="218"/>
        <v>3.3179557949229226</v>
      </c>
      <c r="BG115" s="456">
        <f t="shared" si="347"/>
        <v>1.481781540266845E-2</v>
      </c>
      <c r="BH115" s="456">
        <f t="shared" si="348"/>
        <v>0.39291927563513679</v>
      </c>
      <c r="BI115" s="456">
        <f t="shared" si="349"/>
        <v>8.1115360219357769E-3</v>
      </c>
      <c r="BJ115" s="456">
        <f t="shared" si="350"/>
        <v>9.2587831721164096E-2</v>
      </c>
      <c r="BK115">
        <f t="shared" si="351"/>
        <v>8.9647794805053152E-3</v>
      </c>
      <c r="BL115" s="144">
        <f t="shared" si="427"/>
        <v>17.076315502441091</v>
      </c>
      <c r="BM115" s="456">
        <f t="shared" si="352"/>
        <v>0.50610759246735693</v>
      </c>
      <c r="BN115" s="144">
        <f t="shared" si="353"/>
        <v>506.10759246735694</v>
      </c>
      <c r="BO115" s="456">
        <f t="shared" si="354"/>
        <v>0.13999999999999999</v>
      </c>
      <c r="BR115" s="144">
        <f t="shared" si="355"/>
        <v>139.99999999999997</v>
      </c>
      <c r="BS115" s="456">
        <f t="shared" si="356"/>
        <v>1.7287451303113193E-2</v>
      </c>
      <c r="BT115" s="456">
        <f t="shared" si="357"/>
        <v>0.15412362919887646</v>
      </c>
      <c r="BU115" s="456">
        <f t="shared" si="358"/>
        <v>0.18891798110820565</v>
      </c>
      <c r="BV115" s="456"/>
      <c r="BW115" s="456">
        <f t="shared" si="359"/>
        <v>0.25908207839456304</v>
      </c>
      <c r="BX115" s="144">
        <f t="shared" si="360"/>
        <v>619.41114000475841</v>
      </c>
      <c r="BY115" s="150">
        <f t="shared" si="361"/>
        <v>1.2768123782661689</v>
      </c>
      <c r="BZ115" s="5">
        <f t="shared" si="362"/>
        <v>6</v>
      </c>
      <c r="CA115" s="150">
        <f t="shared" si="363"/>
        <v>0.82453685598935389</v>
      </c>
      <c r="CB115" s="5">
        <f t="shared" si="364"/>
        <v>82.453685598935394</v>
      </c>
      <c r="CE115" s="59">
        <f t="shared" si="365"/>
        <v>-50</v>
      </c>
      <c r="CF115">
        <f t="shared" si="366"/>
        <v>-50</v>
      </c>
      <c r="CG115" s="150">
        <f t="shared" si="367"/>
        <v>6.6438543030382602E-2</v>
      </c>
      <c r="CI115" s="147">
        <v>5</v>
      </c>
      <c r="CJ115" s="188">
        <f t="shared" si="428"/>
        <v>0.2</v>
      </c>
      <c r="CK115" s="188"/>
      <c r="CL115" s="188">
        <f t="shared" si="368"/>
        <v>6</v>
      </c>
      <c r="CM115" s="465">
        <f t="shared" si="369"/>
        <v>20</v>
      </c>
      <c r="CN115" s="379">
        <f t="shared" si="370"/>
        <v>30.4</v>
      </c>
      <c r="CO115" s="379">
        <f t="shared" si="371"/>
        <v>50.4</v>
      </c>
      <c r="CP115" s="379"/>
      <c r="CQ115" s="188">
        <f t="shared" si="372"/>
        <v>0.60317460317460314</v>
      </c>
      <c r="CR115" s="149">
        <f t="shared" si="429"/>
        <v>183.55019291189507</v>
      </c>
      <c r="CS115" s="149">
        <f t="shared" si="373"/>
        <v>6</v>
      </c>
      <c r="CT115" s="188">
        <f t="shared" si="374"/>
        <v>6.1183397637298356</v>
      </c>
      <c r="CU115" s="188">
        <f t="shared" si="375"/>
        <v>30</v>
      </c>
      <c r="CV115" s="188"/>
      <c r="CW115" s="149">
        <f t="shared" si="376"/>
        <v>1495.156864329598</v>
      </c>
      <c r="CX115" s="149">
        <f t="shared" si="377"/>
        <v>30</v>
      </c>
      <c r="CY115" s="188">
        <f t="shared" si="378"/>
        <v>0.99473684210526314</v>
      </c>
      <c r="CZ115" s="188">
        <f t="shared" si="379"/>
        <v>0.23376315789473684</v>
      </c>
      <c r="DA115" s="188">
        <f t="shared" si="380"/>
        <v>0.1537915512465374</v>
      </c>
      <c r="DB115" s="172">
        <f t="shared" si="381"/>
        <v>350</v>
      </c>
      <c r="DC115" s="379">
        <f t="shared" si="382"/>
        <v>350</v>
      </c>
      <c r="DE115" s="188">
        <f t="shared" si="383"/>
        <v>7.3334298258310406</v>
      </c>
      <c r="DF115" s="150">
        <f t="shared" si="384"/>
        <v>1.1337868480725624</v>
      </c>
      <c r="DG115" s="150">
        <f t="shared" si="385"/>
        <v>1.4550456003633017</v>
      </c>
      <c r="DH115" s="150"/>
      <c r="DI115" s="150">
        <f t="shared" si="386"/>
        <v>0.93700159489633172</v>
      </c>
      <c r="DJ115" s="314">
        <f t="shared" si="387"/>
        <v>70.437446808510643</v>
      </c>
      <c r="DK115" s="456">
        <f t="shared" si="388"/>
        <v>0.99378957034459414</v>
      </c>
      <c r="DM115" s="150">
        <f t="shared" si="389"/>
        <v>2.7188411620463762</v>
      </c>
      <c r="DN115" s="150">
        <f t="shared" si="390"/>
        <v>6.0606060606060606</v>
      </c>
      <c r="DO115" s="150">
        <f t="shared" si="391"/>
        <v>1.0402499696048633</v>
      </c>
      <c r="DQ115" s="314">
        <f t="shared" si="392"/>
        <v>200</v>
      </c>
      <c r="DR115" s="144">
        <f t="shared" si="393"/>
        <v>70.437446808510643</v>
      </c>
      <c r="DT115">
        <f t="shared" si="430"/>
        <v>200</v>
      </c>
      <c r="DU115">
        <f t="shared" si="431"/>
        <v>70.437446808510643</v>
      </c>
      <c r="DW115" s="5">
        <f t="shared" si="394"/>
        <v>14.196993862065632</v>
      </c>
      <c r="DX115" s="5">
        <f t="shared" si="395"/>
        <v>1.4242424242424243</v>
      </c>
      <c r="DY115" s="5">
        <f t="shared" si="396"/>
        <v>12.772751437823208</v>
      </c>
      <c r="DZ115" s="5"/>
      <c r="EA115" s="150">
        <f t="shared" si="397"/>
        <v>0.10032000000000001</v>
      </c>
      <c r="EB115" s="150">
        <f t="shared" si="398"/>
        <v>6.0799999999999992</v>
      </c>
      <c r="EC115" s="150">
        <f t="shared" si="399"/>
        <v>2.7263030303030305</v>
      </c>
      <c r="ED115" s="150">
        <f t="shared" si="400"/>
        <v>2.2301262671171966</v>
      </c>
      <c r="EE115" s="144">
        <f t="shared" si="401"/>
        <v>0.9494949494949495</v>
      </c>
      <c r="EF115" s="5">
        <f t="shared" si="402"/>
        <v>2.2540149596158598</v>
      </c>
      <c r="EH115" s="150">
        <f t="shared" si="403"/>
        <v>1.1082792194581781</v>
      </c>
      <c r="EI115" s="150">
        <f t="shared" si="404"/>
        <v>3.3189404602978554</v>
      </c>
      <c r="EK115" s="456">
        <f t="shared" si="405"/>
        <v>1.4739393939393941E-2</v>
      </c>
      <c r="EL115" s="456">
        <f t="shared" si="406"/>
        <v>0.40879332765957455</v>
      </c>
      <c r="EM115" s="456">
        <f t="shared" si="407"/>
        <v>8.1003063829787249E-3</v>
      </c>
      <c r="EN115" s="456">
        <f t="shared" si="408"/>
        <v>9.2592334178042565E-2</v>
      </c>
      <c r="EO115">
        <f t="shared" si="409"/>
        <v>8.9999999999999993E-3</v>
      </c>
      <c r="EP115" s="144">
        <f t="shared" si="410"/>
        <v>17.100306382978726</v>
      </c>
      <c r="EQ115" s="144"/>
      <c r="ER115" s="144">
        <f t="shared" si="432"/>
        <v>533.22536215998969</v>
      </c>
      <c r="ES115" s="456">
        <f t="shared" si="411"/>
        <v>0.13999999999999999</v>
      </c>
      <c r="EV115" s="144">
        <f t="shared" si="412"/>
        <v>139.99999999999997</v>
      </c>
      <c r="EW115" s="456">
        <f t="shared" si="413"/>
        <v>1.7195959595959598E-2</v>
      </c>
      <c r="EX115" s="456">
        <f t="shared" si="414"/>
        <v>0.15421512090602996</v>
      </c>
      <c r="EY115" s="456">
        <f t="shared" si="415"/>
        <v>0.18826481305103232</v>
      </c>
      <c r="EZ115" s="456"/>
      <c r="FA115" s="456">
        <f t="shared" si="416"/>
        <v>0.2587234042553192</v>
      </c>
      <c r="FB115" s="144">
        <f t="shared" si="417"/>
        <v>618.39929780834098</v>
      </c>
      <c r="FC115" s="150">
        <f t="shared" si="418"/>
        <v>1.291624659968331</v>
      </c>
      <c r="FD115" s="5">
        <f t="shared" si="419"/>
        <v>6</v>
      </c>
      <c r="FE115" s="150">
        <f t="shared" si="420"/>
        <v>0.82286188329749532</v>
      </c>
      <c r="FF115" s="5">
        <f t="shared" si="421"/>
        <v>82.286188329749535</v>
      </c>
      <c r="FI115" s="59">
        <f t="shared" si="422"/>
        <v>-50</v>
      </c>
      <c r="FJ115">
        <f t="shared" si="423"/>
        <v>-50</v>
      </c>
      <c r="FL115">
        <f t="shared" si="424"/>
        <v>6.6000000000000003E-2</v>
      </c>
    </row>
    <row r="116" spans="5:168">
      <c r="E116" s="147">
        <v>6</v>
      </c>
      <c r="F116" s="188">
        <f t="shared" si="425"/>
        <v>0.24</v>
      </c>
      <c r="G116" s="188"/>
      <c r="H116" s="188">
        <f t="shared" si="315"/>
        <v>7.1999999999999993</v>
      </c>
      <c r="I116" s="465">
        <f t="shared" si="316"/>
        <v>19.921732178900701</v>
      </c>
      <c r="J116" s="149">
        <f t="shared" si="317"/>
        <v>30.44214421136116</v>
      </c>
      <c r="K116" s="149">
        <f t="shared" si="318"/>
        <v>50.363876390261865</v>
      </c>
      <c r="L116" s="379"/>
      <c r="M116" s="188">
        <f t="shared" si="319"/>
        <v>0.604446225362259</v>
      </c>
      <c r="N116" s="149">
        <f t="shared" si="426"/>
        <v>183.21733829403041</v>
      </c>
      <c r="O116" s="149">
        <f t="shared" si="284"/>
        <v>7.1999999999999993</v>
      </c>
      <c r="P116" s="188">
        <f t="shared" si="320"/>
        <v>6.1072446098010138</v>
      </c>
      <c r="Q116" s="188">
        <f t="shared" si="321"/>
        <v>30</v>
      </c>
      <c r="R116" s="188"/>
      <c r="S116" s="149">
        <f t="shared" si="322"/>
        <v>1237.7698159897009</v>
      </c>
      <c r="T116" s="149">
        <f t="shared" si="323"/>
        <v>30</v>
      </c>
      <c r="U116" s="188">
        <f t="shared" si="324"/>
        <v>1.213488609581838</v>
      </c>
      <c r="V116" s="188">
        <f t="shared" si="325"/>
        <v>0.28629018871537493</v>
      </c>
      <c r="W116" s="188">
        <f t="shared" si="326"/>
        <v>0.18735199549137219</v>
      </c>
      <c r="X116" s="172">
        <f t="shared" si="327"/>
        <v>350</v>
      </c>
      <c r="Y116" s="379">
        <f t="shared" si="328"/>
        <v>350</v>
      </c>
      <c r="AA116" s="188">
        <f t="shared" si="329"/>
        <v>7.320104561416251</v>
      </c>
      <c r="AB116" s="150">
        <f t="shared" si="330"/>
        <v>1.1301599256538719</v>
      </c>
      <c r="AC116" s="150">
        <f t="shared" si="331"/>
        <v>1.4477555447090327</v>
      </c>
      <c r="AD116" s="150"/>
      <c r="AE116" s="150">
        <f t="shared" si="332"/>
        <v>0.93570440659754173</v>
      </c>
      <c r="AF116" s="314">
        <f t="shared" si="333"/>
        <v>84.642115011503748</v>
      </c>
      <c r="AG116" s="456">
        <f t="shared" si="334"/>
        <v>0.99241376457315034</v>
      </c>
      <c r="AI116" s="150">
        <f t="shared" si="335"/>
        <v>2.9804050255602879</v>
      </c>
      <c r="AJ116" s="150">
        <f t="shared" si="336"/>
        <v>6.0606060606060606</v>
      </c>
      <c r="AK116" s="150">
        <f t="shared" si="337"/>
        <v>1.0483669228637165</v>
      </c>
      <c r="AM116" s="314">
        <f t="shared" si="338"/>
        <v>240</v>
      </c>
      <c r="AN116" s="144">
        <f t="shared" si="339"/>
        <v>84.642115011503748</v>
      </c>
      <c r="AP116" s="144">
        <f t="shared" si="340"/>
        <v>240</v>
      </c>
      <c r="AQ116" s="144">
        <f t="shared" si="341"/>
        <v>84.642115011503748</v>
      </c>
      <c r="AS116" s="5">
        <f t="shared" si="285"/>
        <v>11.814449578251791</v>
      </c>
      <c r="AT116" s="5">
        <f t="shared" si="342"/>
        <v>1.4298379392439107</v>
      </c>
      <c r="AU116" s="5">
        <f t="shared" si="343"/>
        <v>10.384611639007881</v>
      </c>
      <c r="AV116" s="5"/>
      <c r="AW116" s="150">
        <f t="shared" si="344"/>
        <v>0.12102450730129459</v>
      </c>
      <c r="AX116" s="150">
        <f t="shared" si="214"/>
        <v>7.3061146107266763</v>
      </c>
      <c r="AY116" s="150">
        <f t="shared" si="215"/>
        <v>2.6635620990869864</v>
      </c>
      <c r="AZ116" s="150">
        <f t="shared" si="288"/>
        <v>2.7429863990147103</v>
      </c>
      <c r="BA116" s="144">
        <f t="shared" si="345"/>
        <v>1.1438703513951285</v>
      </c>
      <c r="BB116" s="5">
        <f t="shared" si="346"/>
        <v>2.2077339557511415</v>
      </c>
      <c r="BD116" s="150">
        <f t="shared" si="289"/>
        <v>1.2172844943836445</v>
      </c>
      <c r="BE116" s="150">
        <f t="shared" si="218"/>
        <v>3.2805284737398832</v>
      </c>
      <c r="BG116" s="456">
        <f t="shared" si="347"/>
        <v>1.7781378483202142E-2</v>
      </c>
      <c r="BH116" s="456">
        <f t="shared" si="348"/>
        <v>0.47150313076216421</v>
      </c>
      <c r="BI116" s="456">
        <f t="shared" si="349"/>
        <v>9.7338432263229316E-3</v>
      </c>
      <c r="BJ116" s="456">
        <f t="shared" si="350"/>
        <v>0.11110539806539693</v>
      </c>
      <c r="BK116">
        <f t="shared" si="351"/>
        <v>8.9647794805053152E-3</v>
      </c>
      <c r="BL116" s="144">
        <f t="shared" si="427"/>
        <v>18.698622706828246</v>
      </c>
      <c r="BM116" s="456">
        <f t="shared" si="352"/>
        <v>0.6077585716621664</v>
      </c>
      <c r="BN116" s="144">
        <f t="shared" si="353"/>
        <v>607.75857166216645</v>
      </c>
      <c r="BO116" s="456">
        <f t="shared" si="354"/>
        <v>0.16799999999999998</v>
      </c>
      <c r="BR116" s="144">
        <f t="shared" si="355"/>
        <v>167.99999999999997</v>
      </c>
      <c r="BS116" s="456">
        <f t="shared" si="356"/>
        <v>2.0744941563735832E-2</v>
      </c>
      <c r="BT116" s="456">
        <f t="shared" si="357"/>
        <v>0.15066613893825381</v>
      </c>
      <c r="BU116" s="456">
        <f t="shared" si="358"/>
        <v>0.2980069625413404</v>
      </c>
      <c r="BV116" s="456"/>
      <c r="BW116" s="456">
        <f t="shared" si="359"/>
        <v>0.31089849407347564</v>
      </c>
      <c r="BX116" s="144">
        <f t="shared" si="360"/>
        <v>780.31653711680576</v>
      </c>
      <c r="BY116" s="150">
        <f t="shared" si="361"/>
        <v>1.5674050671343973</v>
      </c>
      <c r="BZ116" s="5">
        <f t="shared" si="362"/>
        <v>7.1999999999999993</v>
      </c>
      <c r="CA116" s="150">
        <f t="shared" si="363"/>
        <v>0.82122360548733042</v>
      </c>
      <c r="CB116" s="5">
        <f t="shared" si="364"/>
        <v>82.122360548733042</v>
      </c>
      <c r="CE116" s="59">
        <f t="shared" si="365"/>
        <v>-50</v>
      </c>
      <c r="CF116">
        <f t="shared" si="366"/>
        <v>-50</v>
      </c>
      <c r="CG116" s="150">
        <f t="shared" si="367"/>
        <v>7.9726251636459119E-2</v>
      </c>
      <c r="CI116" s="147">
        <v>6</v>
      </c>
      <c r="CJ116" s="188">
        <f t="shared" si="428"/>
        <v>0.24</v>
      </c>
      <c r="CK116" s="188"/>
      <c r="CL116" s="188">
        <f t="shared" si="368"/>
        <v>7.1999999999999993</v>
      </c>
      <c r="CM116" s="465">
        <f t="shared" si="369"/>
        <v>20</v>
      </c>
      <c r="CN116" s="379">
        <f t="shared" si="370"/>
        <v>30.4</v>
      </c>
      <c r="CO116" s="379">
        <f t="shared" si="371"/>
        <v>50.4</v>
      </c>
      <c r="CP116" s="379"/>
      <c r="CQ116" s="188">
        <f t="shared" si="372"/>
        <v>0.60317460317460314</v>
      </c>
      <c r="CR116" s="149">
        <f t="shared" si="429"/>
        <v>183.55019291189507</v>
      </c>
      <c r="CS116" s="149">
        <f t="shared" si="373"/>
        <v>7.1999999999999993</v>
      </c>
      <c r="CT116" s="188">
        <f t="shared" si="374"/>
        <v>6.1183397637298356</v>
      </c>
      <c r="CU116" s="188">
        <f t="shared" si="375"/>
        <v>30</v>
      </c>
      <c r="CV116" s="188"/>
      <c r="CW116" s="149">
        <f t="shared" si="376"/>
        <v>1242.6326984987943</v>
      </c>
      <c r="CX116" s="149">
        <f t="shared" si="377"/>
        <v>30</v>
      </c>
      <c r="CY116" s="188">
        <f t="shared" si="378"/>
        <v>1.1936842105263157</v>
      </c>
      <c r="CZ116" s="188">
        <f t="shared" si="379"/>
        <v>0.28051578947368416</v>
      </c>
      <c r="DA116" s="188">
        <f t="shared" si="380"/>
        <v>0.18454986149584487</v>
      </c>
      <c r="DB116" s="172">
        <f t="shared" si="381"/>
        <v>350</v>
      </c>
      <c r="DC116" s="379">
        <f t="shared" si="382"/>
        <v>350</v>
      </c>
      <c r="DE116" s="188">
        <f t="shared" si="383"/>
        <v>7.3334298258310406</v>
      </c>
      <c r="DF116" s="150">
        <f t="shared" si="384"/>
        <v>1.1337868480725624</v>
      </c>
      <c r="DG116" s="150">
        <f t="shared" si="385"/>
        <v>1.4550456003633017</v>
      </c>
      <c r="DH116" s="150"/>
      <c r="DI116" s="150">
        <f t="shared" si="386"/>
        <v>0.93700159489633172</v>
      </c>
      <c r="DJ116" s="314">
        <f t="shared" si="387"/>
        <v>84.524936170212769</v>
      </c>
      <c r="DK116" s="456">
        <f t="shared" si="388"/>
        <v>0.99378957034459414</v>
      </c>
      <c r="DM116" s="150">
        <f t="shared" si="389"/>
        <v>2.9783412694527178</v>
      </c>
      <c r="DN116" s="150">
        <f t="shared" si="390"/>
        <v>6.0606060606060606</v>
      </c>
      <c r="DO116" s="150">
        <f t="shared" si="391"/>
        <v>1.0482999635258359</v>
      </c>
      <c r="DQ116" s="314">
        <f t="shared" si="392"/>
        <v>240</v>
      </c>
      <c r="DR116" s="144">
        <f t="shared" si="393"/>
        <v>84.524936170212769</v>
      </c>
      <c r="DT116">
        <f t="shared" si="430"/>
        <v>240</v>
      </c>
      <c r="DU116">
        <f t="shared" si="431"/>
        <v>84.524936170212769</v>
      </c>
      <c r="DW116" s="5">
        <f t="shared" si="394"/>
        <v>11.830828218388026</v>
      </c>
      <c r="DX116" s="5">
        <f t="shared" si="395"/>
        <v>1.4242424242424243</v>
      </c>
      <c r="DY116" s="5">
        <f t="shared" si="396"/>
        <v>10.406585794145602</v>
      </c>
      <c r="DZ116" s="5"/>
      <c r="EA116" s="150">
        <f t="shared" si="397"/>
        <v>0.12038400000000002</v>
      </c>
      <c r="EB116" s="150">
        <f t="shared" si="398"/>
        <v>7.2959999999999985</v>
      </c>
      <c r="EC116" s="150">
        <f t="shared" si="399"/>
        <v>2.66550303030303</v>
      </c>
      <c r="ED116" s="150">
        <f t="shared" si="400"/>
        <v>2.737194412107101</v>
      </c>
      <c r="EE116" s="144">
        <f t="shared" si="401"/>
        <v>1.1393939393939394</v>
      </c>
      <c r="EF116" s="5">
        <f t="shared" si="402"/>
        <v>2.2037475799367154</v>
      </c>
      <c r="EH116" s="150">
        <f t="shared" si="403"/>
        <v>1.214059057022925</v>
      </c>
      <c r="EI116" s="150">
        <f t="shared" si="404"/>
        <v>3.281723512629541</v>
      </c>
      <c r="EK116" s="456">
        <f t="shared" si="405"/>
        <v>1.7687272727272729E-2</v>
      </c>
      <c r="EL116" s="456">
        <f t="shared" si="406"/>
        <v>0.49055199319148934</v>
      </c>
      <c r="EM116" s="456">
        <f t="shared" si="407"/>
        <v>9.7203676595744685E-3</v>
      </c>
      <c r="EN116" s="456">
        <f t="shared" si="408"/>
        <v>0.11111080101365108</v>
      </c>
      <c r="EO116">
        <f t="shared" si="409"/>
        <v>8.9999999999999993E-3</v>
      </c>
      <c r="EP116" s="144">
        <f t="shared" si="410"/>
        <v>18.720367659574467</v>
      </c>
      <c r="EQ116" s="144"/>
      <c r="ER116" s="144">
        <f t="shared" si="432"/>
        <v>638.07043459198781</v>
      </c>
      <c r="ES116" s="456">
        <f t="shared" si="411"/>
        <v>0.16799999999999998</v>
      </c>
      <c r="EV116" s="144">
        <f t="shared" si="412"/>
        <v>167.99999999999997</v>
      </c>
      <c r="EW116" s="456">
        <f t="shared" si="413"/>
        <v>2.0635151515151516E-2</v>
      </c>
      <c r="EX116" s="456">
        <f t="shared" si="414"/>
        <v>0.15077592898683803</v>
      </c>
      <c r="EY116" s="456">
        <f t="shared" si="415"/>
        <v>0.29697662849052464</v>
      </c>
      <c r="EZ116" s="456"/>
      <c r="FA116" s="456">
        <f t="shared" si="416"/>
        <v>0.31046808510638296</v>
      </c>
      <c r="FB116" s="144">
        <f t="shared" si="417"/>
        <v>778.85579409889715</v>
      </c>
      <c r="FC116" s="150">
        <f t="shared" si="418"/>
        <v>1.584926228690885</v>
      </c>
      <c r="FD116" s="5">
        <f t="shared" si="419"/>
        <v>7.1999999999999993</v>
      </c>
      <c r="FE116" s="150">
        <f t="shared" si="420"/>
        <v>0.81958570995000057</v>
      </c>
      <c r="FF116" s="5">
        <f t="shared" si="421"/>
        <v>81.958570995000059</v>
      </c>
      <c r="FI116" s="59">
        <f t="shared" si="422"/>
        <v>-50</v>
      </c>
      <c r="FJ116">
        <f t="shared" si="423"/>
        <v>-50</v>
      </c>
      <c r="FL116">
        <f t="shared" si="424"/>
        <v>7.9200000000000007E-2</v>
      </c>
    </row>
    <row r="117" spans="5:168">
      <c r="E117" s="147">
        <v>7</v>
      </c>
      <c r="F117" s="188">
        <f t="shared" si="425"/>
        <v>0.28000000000000003</v>
      </c>
      <c r="G117" s="188"/>
      <c r="H117" s="188">
        <f t="shared" si="315"/>
        <v>8.4</v>
      </c>
      <c r="I117" s="465">
        <f t="shared" si="316"/>
        <v>19.921732178900701</v>
      </c>
      <c r="J117" s="149">
        <f t="shared" si="317"/>
        <v>30.44214421136116</v>
      </c>
      <c r="K117" s="149">
        <f t="shared" si="318"/>
        <v>50.363876390261865</v>
      </c>
      <c r="L117" s="379"/>
      <c r="M117" s="188">
        <f t="shared" si="319"/>
        <v>0.604446225362259</v>
      </c>
      <c r="N117" s="149">
        <f t="shared" si="426"/>
        <v>183.21733829403041</v>
      </c>
      <c r="O117" s="149">
        <f t="shared" si="284"/>
        <v>8.4</v>
      </c>
      <c r="P117" s="188">
        <f t="shared" si="320"/>
        <v>6.1072446098010138</v>
      </c>
      <c r="Q117" s="188">
        <f t="shared" si="321"/>
        <v>30</v>
      </c>
      <c r="R117" s="188"/>
      <c r="S117" s="149">
        <f t="shared" si="322"/>
        <v>1058.1016066442694</v>
      </c>
      <c r="T117" s="149">
        <f t="shared" si="323"/>
        <v>30</v>
      </c>
      <c r="U117" s="188">
        <f t="shared" si="324"/>
        <v>1.4157367111788113</v>
      </c>
      <c r="V117" s="188">
        <f t="shared" si="325"/>
        <v>0.33400522016793743</v>
      </c>
      <c r="W117" s="188">
        <f t="shared" si="326"/>
        <v>0.21857732807326763</v>
      </c>
      <c r="X117" s="172">
        <f t="shared" si="327"/>
        <v>350</v>
      </c>
      <c r="Y117" s="379">
        <f t="shared" si="328"/>
        <v>350</v>
      </c>
      <c r="AA117" s="188">
        <f t="shared" si="329"/>
        <v>7.320104561416251</v>
      </c>
      <c r="AB117" s="150">
        <f t="shared" si="330"/>
        <v>1.1301599256538719</v>
      </c>
      <c r="AC117" s="150">
        <f t="shared" si="331"/>
        <v>1.4477555447090327</v>
      </c>
      <c r="AD117" s="150"/>
      <c r="AE117" s="150">
        <f t="shared" si="332"/>
        <v>0.93570440659754173</v>
      </c>
      <c r="AF117" s="314">
        <f t="shared" si="333"/>
        <v>98.749134180087722</v>
      </c>
      <c r="AG117" s="456">
        <f t="shared" si="334"/>
        <v>0.99241376457315034</v>
      </c>
      <c r="AI117" s="150">
        <f t="shared" si="335"/>
        <v>3.2192053578146465</v>
      </c>
      <c r="AJ117" s="150">
        <f t="shared" si="336"/>
        <v>6.0606060606060606</v>
      </c>
      <c r="AK117" s="150">
        <f t="shared" si="337"/>
        <v>1.0564280766743359</v>
      </c>
      <c r="AM117" s="314">
        <f t="shared" si="338"/>
        <v>280</v>
      </c>
      <c r="AN117" s="144">
        <f t="shared" si="339"/>
        <v>98.749134180087722</v>
      </c>
      <c r="AP117" s="144">
        <f t="shared" si="340"/>
        <v>280</v>
      </c>
      <c r="AQ117" s="144">
        <f t="shared" si="341"/>
        <v>98.749134180087722</v>
      </c>
      <c r="AS117" s="5">
        <f t="shared" si="285"/>
        <v>10.126671067072962</v>
      </c>
      <c r="AT117" s="5">
        <f t="shared" si="342"/>
        <v>1.4298379392439107</v>
      </c>
      <c r="AU117" s="5">
        <f t="shared" si="343"/>
        <v>8.696833127829052</v>
      </c>
      <c r="AV117" s="5"/>
      <c r="AW117" s="150">
        <f t="shared" si="344"/>
        <v>0.14119525851817705</v>
      </c>
      <c r="AX117" s="150">
        <f t="shared" si="214"/>
        <v>8.5238003791811234</v>
      </c>
      <c r="AY117" s="150">
        <f t="shared" si="215"/>
        <v>2.6024386105509785</v>
      </c>
      <c r="AZ117" s="150">
        <f t="shared" si="288"/>
        <v>3.2753127565135904</v>
      </c>
      <c r="BA117" s="144">
        <f t="shared" ref="BA117:BA180" si="433">F117*AT117/Vout_ripple*1000</f>
        <v>1.3345154099609835</v>
      </c>
      <c r="BB117" s="5">
        <f t="shared" ref="BB117:BB180" si="434">H117/Efficiency/I117*AU117/Vinripple1</f>
        <v>2.1570708226553648</v>
      </c>
      <c r="BD117" s="150">
        <f t="shared" si="289"/>
        <v>1.3148175273821534</v>
      </c>
      <c r="BE117" s="150">
        <f t="shared" si="218"/>
        <v>3.2426691901847855</v>
      </c>
      <c r="BG117" s="456">
        <f t="shared" si="347"/>
        <v>2.0744941563735839E-2</v>
      </c>
      <c r="BH117" s="456">
        <f t="shared" si="348"/>
        <v>0.55008698588919169</v>
      </c>
      <c r="BI117" s="456">
        <f t="shared" si="349"/>
        <v>1.1356150430710088E-2</v>
      </c>
      <c r="BJ117" s="456">
        <f t="shared" si="350"/>
        <v>0.12962296440962975</v>
      </c>
      <c r="BK117">
        <f t="shared" si="351"/>
        <v>8.9647794805053152E-3</v>
      </c>
      <c r="BL117" s="144">
        <f t="shared" si="427"/>
        <v>20.320929911215405</v>
      </c>
      <c r="BM117" s="456">
        <f t="shared" si="352"/>
        <v>0.7095534135228978</v>
      </c>
      <c r="BN117" s="144">
        <f t="shared" si="353"/>
        <v>709.55341352289781</v>
      </c>
      <c r="BO117" s="456">
        <f t="shared" si="354"/>
        <v>0.19600000000000001</v>
      </c>
      <c r="BR117" s="144">
        <f t="shared" si="355"/>
        <v>196</v>
      </c>
      <c r="BS117" s="456">
        <f t="shared" si="356"/>
        <v>2.4202431824358477E-2</v>
      </c>
      <c r="BT117" s="456">
        <f t="shared" si="357"/>
        <v>0.14720864867763114</v>
      </c>
      <c r="BU117" s="456">
        <f t="shared" si="358"/>
        <v>0.43812030868971413</v>
      </c>
      <c r="BV117" s="456"/>
      <c r="BW117" s="456">
        <f t="shared" si="359"/>
        <v>0.36271490975238829</v>
      </c>
      <c r="BX117" s="144">
        <f t="shared" si="360"/>
        <v>972.24629894409213</v>
      </c>
      <c r="BY117" s="150">
        <f t="shared" si="361"/>
        <v>1.8890221207178646</v>
      </c>
      <c r="BZ117" s="5">
        <f t="shared" si="362"/>
        <v>8.4</v>
      </c>
      <c r="CA117" s="150">
        <f t="shared" si="363"/>
        <v>0.81640411512828315</v>
      </c>
      <c r="CB117" s="5">
        <f t="shared" si="364"/>
        <v>81.640411512828308</v>
      </c>
      <c r="CE117" s="59">
        <f t="shared" si="365"/>
        <v>-50</v>
      </c>
      <c r="CF117">
        <f t="shared" si="366"/>
        <v>-50</v>
      </c>
      <c r="CG117" s="150">
        <f t="shared" si="367"/>
        <v>9.3013960242535651E-2</v>
      </c>
      <c r="CI117" s="147">
        <v>7</v>
      </c>
      <c r="CJ117" s="188">
        <f t="shared" si="428"/>
        <v>0.28000000000000003</v>
      </c>
      <c r="CK117" s="188"/>
      <c r="CL117" s="188">
        <f t="shared" si="368"/>
        <v>8.4</v>
      </c>
      <c r="CM117" s="465">
        <f t="shared" si="369"/>
        <v>20</v>
      </c>
      <c r="CN117" s="379">
        <f t="shared" si="370"/>
        <v>30.4</v>
      </c>
      <c r="CO117" s="379">
        <f t="shared" si="371"/>
        <v>50.4</v>
      </c>
      <c r="CP117" s="379"/>
      <c r="CQ117" s="188">
        <f t="shared" si="372"/>
        <v>0.60317460317460314</v>
      </c>
      <c r="CR117" s="149">
        <f t="shared" si="429"/>
        <v>183.55019291189507</v>
      </c>
      <c r="CS117" s="149">
        <f t="shared" si="373"/>
        <v>8.4</v>
      </c>
      <c r="CT117" s="188">
        <f t="shared" si="374"/>
        <v>6.1183397637298356</v>
      </c>
      <c r="CU117" s="188">
        <f t="shared" si="375"/>
        <v>30</v>
      </c>
      <c r="CV117" s="188"/>
      <c r="CW117" s="149">
        <f t="shared" si="376"/>
        <v>1062.2586105390203</v>
      </c>
      <c r="CX117" s="149">
        <f t="shared" si="377"/>
        <v>30</v>
      </c>
      <c r="CY117" s="188">
        <f t="shared" si="378"/>
        <v>1.3926315789473684</v>
      </c>
      <c r="CZ117" s="188">
        <f t="shared" si="379"/>
        <v>0.3272684210526316</v>
      </c>
      <c r="DA117" s="188">
        <f t="shared" si="380"/>
        <v>0.21530817174515238</v>
      </c>
      <c r="DB117" s="172">
        <f t="shared" si="381"/>
        <v>350</v>
      </c>
      <c r="DC117" s="379">
        <f t="shared" si="382"/>
        <v>350</v>
      </c>
      <c r="DE117" s="188">
        <f t="shared" si="383"/>
        <v>7.3334298258310406</v>
      </c>
      <c r="DF117" s="150">
        <f t="shared" si="384"/>
        <v>1.1337868480725624</v>
      </c>
      <c r="DG117" s="150">
        <f t="shared" si="385"/>
        <v>1.4550456003633017</v>
      </c>
      <c r="DH117" s="150"/>
      <c r="DI117" s="150">
        <f t="shared" si="386"/>
        <v>0.93700159489633172</v>
      </c>
      <c r="DJ117" s="314">
        <f t="shared" si="387"/>
        <v>98.612425531914909</v>
      </c>
      <c r="DK117" s="456">
        <f t="shared" si="388"/>
        <v>0.99378957034459414</v>
      </c>
      <c r="DM117" s="150">
        <f t="shared" si="389"/>
        <v>3.2169762464483269</v>
      </c>
      <c r="DN117" s="150">
        <f t="shared" si="390"/>
        <v>6.0606060606060606</v>
      </c>
      <c r="DO117" s="150">
        <f t="shared" si="391"/>
        <v>1.0563499574468085</v>
      </c>
      <c r="DQ117" s="314">
        <f t="shared" si="392"/>
        <v>280</v>
      </c>
      <c r="DR117" s="144">
        <f t="shared" si="393"/>
        <v>98.612425531914909</v>
      </c>
      <c r="DT117">
        <f t="shared" si="430"/>
        <v>280</v>
      </c>
      <c r="DU117">
        <f t="shared" si="431"/>
        <v>98.612425531914909</v>
      </c>
      <c r="DW117" s="5">
        <f t="shared" si="394"/>
        <v>10.14070990147545</v>
      </c>
      <c r="DX117" s="5">
        <f t="shared" si="395"/>
        <v>1.4242424242424243</v>
      </c>
      <c r="DY117" s="5">
        <f t="shared" si="396"/>
        <v>8.7164674772330262</v>
      </c>
      <c r="DZ117" s="5"/>
      <c r="EA117" s="150">
        <f t="shared" si="397"/>
        <v>0.14044800000000002</v>
      </c>
      <c r="EB117" s="150">
        <f t="shared" si="398"/>
        <v>8.5120000000000005</v>
      </c>
      <c r="EC117" s="150">
        <f t="shared" si="399"/>
        <v>2.6047030303030301</v>
      </c>
      <c r="ED117" s="150">
        <f t="shared" si="400"/>
        <v>3.2679349242396043</v>
      </c>
      <c r="EE117" s="144">
        <f t="shared" si="401"/>
        <v>1.3292929292929294</v>
      </c>
      <c r="EF117" s="5">
        <f t="shared" si="402"/>
        <v>2.153480200257571</v>
      </c>
      <c r="EH117" s="150">
        <f t="shared" si="403"/>
        <v>1.3113336568531899</v>
      </c>
      <c r="EI117" s="150">
        <f t="shared" si="404"/>
        <v>3.2440796302940855</v>
      </c>
      <c r="EK117" s="456">
        <f t="shared" si="405"/>
        <v>2.0635151515151516E-2</v>
      </c>
      <c r="EL117" s="456">
        <f t="shared" si="406"/>
        <v>0.57231065872340436</v>
      </c>
      <c r="EM117" s="456">
        <f t="shared" si="407"/>
        <v>1.1340428936170216E-2</v>
      </c>
      <c r="EN117" s="456">
        <f t="shared" si="408"/>
        <v>0.1296292678492596</v>
      </c>
      <c r="EO117">
        <f t="shared" si="409"/>
        <v>8.9999999999999993E-3</v>
      </c>
      <c r="EP117" s="144">
        <f t="shared" si="410"/>
        <v>20.340428936170216</v>
      </c>
      <c r="EQ117" s="144"/>
      <c r="ER117" s="144">
        <f t="shared" si="432"/>
        <v>742.91550702398581</v>
      </c>
      <c r="ES117" s="456">
        <f t="shared" si="411"/>
        <v>0.19600000000000001</v>
      </c>
      <c r="EV117" s="144">
        <f t="shared" si="412"/>
        <v>196</v>
      </c>
      <c r="EW117" s="456">
        <f t="shared" si="413"/>
        <v>2.4074343434343434E-2</v>
      </c>
      <c r="EX117" s="456">
        <f t="shared" si="414"/>
        <v>0.14733673706764616</v>
      </c>
      <c r="EY117" s="456">
        <f t="shared" si="415"/>
        <v>0.43660554450921435</v>
      </c>
      <c r="EZ117" s="456"/>
      <c r="FA117" s="456">
        <f t="shared" si="416"/>
        <v>0.36221276595744689</v>
      </c>
      <c r="FB117" s="144">
        <f t="shared" si="417"/>
        <v>970.22939096865093</v>
      </c>
      <c r="FC117" s="150">
        <f t="shared" si="418"/>
        <v>1.9091448979926366</v>
      </c>
      <c r="FD117" s="5">
        <f t="shared" si="419"/>
        <v>8.4</v>
      </c>
      <c r="FE117" s="150">
        <f t="shared" si="420"/>
        <v>0.8148105476367512</v>
      </c>
      <c r="FF117" s="5">
        <f t="shared" si="421"/>
        <v>81.481054763675118</v>
      </c>
      <c r="FI117" s="59">
        <f t="shared" si="422"/>
        <v>-50</v>
      </c>
      <c r="FJ117">
        <f t="shared" si="423"/>
        <v>-50</v>
      </c>
      <c r="FL117">
        <f t="shared" si="424"/>
        <v>9.240000000000001E-2</v>
      </c>
    </row>
    <row r="118" spans="5:168">
      <c r="E118" s="147">
        <v>8</v>
      </c>
      <c r="F118" s="188">
        <f t="shared" si="425"/>
        <v>0.32</v>
      </c>
      <c r="G118" s="188"/>
      <c r="H118" s="188">
        <f t="shared" si="315"/>
        <v>9.6</v>
      </c>
      <c r="I118" s="465">
        <f t="shared" si="316"/>
        <v>19.921732178900701</v>
      </c>
      <c r="J118" s="149">
        <f t="shared" si="317"/>
        <v>30.44214421136116</v>
      </c>
      <c r="K118" s="149">
        <f t="shared" si="318"/>
        <v>50.363876390261865</v>
      </c>
      <c r="L118" s="379"/>
      <c r="M118" s="188">
        <f t="shared" si="319"/>
        <v>0.604446225362259</v>
      </c>
      <c r="N118" s="149">
        <f t="shared" si="426"/>
        <v>183.21733829403041</v>
      </c>
      <c r="O118" s="149">
        <f t="shared" si="284"/>
        <v>9.6</v>
      </c>
      <c r="P118" s="188">
        <f t="shared" si="320"/>
        <v>6.1072446098010138</v>
      </c>
      <c r="Q118" s="188">
        <f t="shared" si="321"/>
        <v>30</v>
      </c>
      <c r="R118" s="188"/>
      <c r="S118" s="149">
        <f t="shared" si="322"/>
        <v>923.35072850303254</v>
      </c>
      <c r="T118" s="149">
        <f t="shared" si="323"/>
        <v>30</v>
      </c>
      <c r="U118" s="188">
        <f t="shared" si="324"/>
        <v>1.6179848127757843</v>
      </c>
      <c r="V118" s="188">
        <f t="shared" si="325"/>
        <v>0.38172025162049994</v>
      </c>
      <c r="W118" s="188">
        <f t="shared" si="326"/>
        <v>0.24980266065516299</v>
      </c>
      <c r="X118" s="172">
        <f t="shared" si="327"/>
        <v>350</v>
      </c>
      <c r="Y118" s="379">
        <f t="shared" si="328"/>
        <v>350</v>
      </c>
      <c r="AA118" s="188">
        <f t="shared" si="329"/>
        <v>7.320104561416251</v>
      </c>
      <c r="AB118" s="150">
        <f t="shared" si="330"/>
        <v>1.1301599256538719</v>
      </c>
      <c r="AC118" s="150">
        <f t="shared" si="331"/>
        <v>1.4477555447090327</v>
      </c>
      <c r="AD118" s="150"/>
      <c r="AE118" s="150">
        <f t="shared" si="332"/>
        <v>0.93570440659754173</v>
      </c>
      <c r="AF118" s="314">
        <f t="shared" si="333"/>
        <v>112.85615334867168</v>
      </c>
      <c r="AG118" s="456">
        <f t="shared" si="334"/>
        <v>0.99241376457315034</v>
      </c>
      <c r="AI118" s="150">
        <f t="shared" si="335"/>
        <v>3.4414752876026915</v>
      </c>
      <c r="AJ118" s="150">
        <f t="shared" si="336"/>
        <v>6.0606060606060606</v>
      </c>
      <c r="AK118" s="150">
        <f t="shared" si="337"/>
        <v>1.0644892304849551</v>
      </c>
      <c r="AM118" s="314">
        <f t="shared" si="338"/>
        <v>320</v>
      </c>
      <c r="AN118" s="144">
        <f t="shared" si="339"/>
        <v>112.85615334867168</v>
      </c>
      <c r="AP118" s="144">
        <f t="shared" si="340"/>
        <v>320</v>
      </c>
      <c r="AQ118" s="144">
        <f t="shared" si="341"/>
        <v>112.85615334867168</v>
      </c>
      <c r="AS118" s="5">
        <f t="shared" si="285"/>
        <v>8.860837183688842</v>
      </c>
      <c r="AT118" s="5">
        <f t="shared" si="342"/>
        <v>1.4298379392439107</v>
      </c>
      <c r="AU118" s="5">
        <f t="shared" si="343"/>
        <v>7.4309992444449318</v>
      </c>
      <c r="AV118" s="5"/>
      <c r="AW118" s="150">
        <f t="shared" si="344"/>
        <v>0.16136600973505949</v>
      </c>
      <c r="AX118" s="150">
        <f t="shared" si="214"/>
        <v>9.7414861476355714</v>
      </c>
      <c r="AY118" s="150">
        <f t="shared" si="215"/>
        <v>2.541315122014971</v>
      </c>
      <c r="AZ118" s="150">
        <f t="shared" si="288"/>
        <v>3.8332460477832013</v>
      </c>
      <c r="BA118" s="144">
        <f t="shared" si="433"/>
        <v>1.5251604685268381</v>
      </c>
      <c r="BB118" s="5">
        <f t="shared" si="434"/>
        <v>2.1064076895595889</v>
      </c>
      <c r="BD118" s="150">
        <f t="shared" si="289"/>
        <v>1.4055990610255096</v>
      </c>
      <c r="BE118" s="150">
        <f t="shared" si="218"/>
        <v>3.2043626334934654</v>
      </c>
      <c r="BG118" s="456">
        <f t="shared" si="347"/>
        <v>2.3708504644269532E-2</v>
      </c>
      <c r="BH118" s="456">
        <f t="shared" si="348"/>
        <v>0.62867084101621906</v>
      </c>
      <c r="BI118" s="456">
        <f t="shared" si="349"/>
        <v>1.2978457635097246E-2</v>
      </c>
      <c r="BJ118" s="456">
        <f t="shared" si="350"/>
        <v>0.1481405307538626</v>
      </c>
      <c r="BK118">
        <f t="shared" si="351"/>
        <v>8.9647794805053152E-3</v>
      </c>
      <c r="BL118" s="144">
        <f t="shared" si="427"/>
        <v>21.94323711560256</v>
      </c>
      <c r="BM118" s="456">
        <f t="shared" si="352"/>
        <v>0.81149242367064744</v>
      </c>
      <c r="BN118" s="144">
        <f t="shared" si="353"/>
        <v>811.49242367064744</v>
      </c>
      <c r="BO118" s="456">
        <f t="shared" si="354"/>
        <v>0.22399999999999998</v>
      </c>
      <c r="BR118" s="144">
        <f t="shared" si="355"/>
        <v>223.99999999999997</v>
      </c>
      <c r="BS118" s="456">
        <f t="shared" si="356"/>
        <v>2.7659922084981119E-2</v>
      </c>
      <c r="BT118" s="456">
        <f t="shared" si="357"/>
        <v>0.14375115841700847</v>
      </c>
      <c r="BU118" s="456">
        <f t="shared" si="358"/>
        <v>0.61174897793289285</v>
      </c>
      <c r="BV118" s="456"/>
      <c r="BW118" s="456">
        <f t="shared" si="359"/>
        <v>0.414531325431301</v>
      </c>
      <c r="BX118" s="144">
        <f t="shared" si="360"/>
        <v>1197.6913838661835</v>
      </c>
      <c r="BY118" s="150">
        <f t="shared" si="361"/>
        <v>2.2441544973961367</v>
      </c>
      <c r="BZ118" s="5">
        <f t="shared" si="362"/>
        <v>9.6</v>
      </c>
      <c r="CA118" s="150">
        <f t="shared" si="363"/>
        <v>0.81052640795174535</v>
      </c>
      <c r="CB118" s="5">
        <f t="shared" si="364"/>
        <v>81.05264079517454</v>
      </c>
      <c r="CE118" s="59">
        <f t="shared" si="365"/>
        <v>-50</v>
      </c>
      <c r="CF118">
        <f t="shared" si="366"/>
        <v>-50</v>
      </c>
      <c r="CG118" s="150">
        <f t="shared" si="367"/>
        <v>0.10630166884861217</v>
      </c>
      <c r="CI118" s="147">
        <v>8</v>
      </c>
      <c r="CJ118" s="188">
        <f t="shared" si="428"/>
        <v>0.32</v>
      </c>
      <c r="CK118" s="188"/>
      <c r="CL118" s="188">
        <f t="shared" si="368"/>
        <v>9.6</v>
      </c>
      <c r="CM118" s="465">
        <f t="shared" si="369"/>
        <v>20</v>
      </c>
      <c r="CN118" s="379">
        <f t="shared" si="370"/>
        <v>30.4</v>
      </c>
      <c r="CO118" s="379">
        <f t="shared" si="371"/>
        <v>50.4</v>
      </c>
      <c r="CP118" s="379"/>
      <c r="CQ118" s="188">
        <f t="shared" si="372"/>
        <v>0.60317460317460314</v>
      </c>
      <c r="CR118" s="149">
        <f t="shared" si="429"/>
        <v>183.55019291189507</v>
      </c>
      <c r="CS118" s="149">
        <f t="shared" si="373"/>
        <v>9.6</v>
      </c>
      <c r="CT118" s="188">
        <f t="shared" si="374"/>
        <v>6.1183397637298356</v>
      </c>
      <c r="CU118" s="188">
        <f t="shared" si="375"/>
        <v>30</v>
      </c>
      <c r="CV118" s="188"/>
      <c r="CW118" s="149">
        <f t="shared" si="376"/>
        <v>926.97832343831055</v>
      </c>
      <c r="CX118" s="149">
        <f t="shared" si="377"/>
        <v>30</v>
      </c>
      <c r="CY118" s="188">
        <f t="shared" si="378"/>
        <v>1.591578947368421</v>
      </c>
      <c r="CZ118" s="188">
        <f t="shared" si="379"/>
        <v>0.37402105263157892</v>
      </c>
      <c r="DA118" s="188">
        <f t="shared" si="380"/>
        <v>0.24606648199445985</v>
      </c>
      <c r="DB118" s="172">
        <f t="shared" si="381"/>
        <v>350</v>
      </c>
      <c r="DC118" s="379">
        <f t="shared" si="382"/>
        <v>350</v>
      </c>
      <c r="DE118" s="188">
        <f t="shared" si="383"/>
        <v>7.3334298258310406</v>
      </c>
      <c r="DF118" s="150">
        <f t="shared" si="384"/>
        <v>1.1337868480725624</v>
      </c>
      <c r="DG118" s="150">
        <f t="shared" si="385"/>
        <v>1.4550456003633017</v>
      </c>
      <c r="DH118" s="150"/>
      <c r="DI118" s="150">
        <f t="shared" si="386"/>
        <v>0.93700159489633172</v>
      </c>
      <c r="DJ118" s="314">
        <f t="shared" si="387"/>
        <v>112.69991489361702</v>
      </c>
      <c r="DK118" s="456">
        <f t="shared" si="388"/>
        <v>0.99378957034459414</v>
      </c>
      <c r="DM118" s="150">
        <f t="shared" si="389"/>
        <v>3.439092267314197</v>
      </c>
      <c r="DN118" s="150">
        <f t="shared" si="390"/>
        <v>6.0606060606060606</v>
      </c>
      <c r="DO118" s="150">
        <f t="shared" si="391"/>
        <v>1.0643999513677811</v>
      </c>
      <c r="DQ118" s="314">
        <f t="shared" si="392"/>
        <v>320</v>
      </c>
      <c r="DR118" s="144">
        <f t="shared" si="393"/>
        <v>112.69991489361702</v>
      </c>
      <c r="DT118">
        <f t="shared" si="430"/>
        <v>320</v>
      </c>
      <c r="DU118">
        <f t="shared" si="431"/>
        <v>112.69991489361702</v>
      </c>
      <c r="DW118" s="5">
        <f t="shared" si="394"/>
        <v>8.8731211637910192</v>
      </c>
      <c r="DX118" s="5">
        <f t="shared" si="395"/>
        <v>1.4242424242424243</v>
      </c>
      <c r="DY118" s="5">
        <f t="shared" si="396"/>
        <v>7.4488787395485954</v>
      </c>
      <c r="DZ118" s="5"/>
      <c r="EA118" s="150">
        <f t="shared" si="397"/>
        <v>0.16051200000000002</v>
      </c>
      <c r="EB118" s="150">
        <f t="shared" si="398"/>
        <v>9.727999999999998</v>
      </c>
      <c r="EC118" s="150">
        <f t="shared" si="399"/>
        <v>2.5439030303030301</v>
      </c>
      <c r="ED118" s="150">
        <f t="shared" si="400"/>
        <v>3.824045132271098</v>
      </c>
      <c r="EE118" s="144">
        <f t="shared" si="401"/>
        <v>1.5191919191919194</v>
      </c>
      <c r="EF118" s="5">
        <f t="shared" si="402"/>
        <v>2.1032128205784266</v>
      </c>
      <c r="EH118" s="150">
        <f t="shared" si="403"/>
        <v>1.4018746467685781</v>
      </c>
      <c r="EI118" s="150">
        <f t="shared" si="404"/>
        <v>3.2059937744843552</v>
      </c>
      <c r="EK118" s="456">
        <f t="shared" si="405"/>
        <v>2.3583030303030311E-2</v>
      </c>
      <c r="EL118" s="456">
        <f t="shared" si="406"/>
        <v>0.65406932425531916</v>
      </c>
      <c r="EM118" s="456">
        <f t="shared" si="407"/>
        <v>1.2960490212765959E-2</v>
      </c>
      <c r="EN118" s="456">
        <f t="shared" si="408"/>
        <v>0.14814773468486808</v>
      </c>
      <c r="EO118">
        <f t="shared" si="409"/>
        <v>8.9999999999999993E-3</v>
      </c>
      <c r="EP118" s="144">
        <f t="shared" si="410"/>
        <v>21.960490212765958</v>
      </c>
      <c r="EQ118" s="144"/>
      <c r="ER118" s="144">
        <f t="shared" si="432"/>
        <v>847.76057945598347</v>
      </c>
      <c r="ES118" s="456">
        <f t="shared" si="411"/>
        <v>0.22399999999999998</v>
      </c>
      <c r="EV118" s="144">
        <f t="shared" si="412"/>
        <v>223.99999999999997</v>
      </c>
      <c r="EW118" s="456">
        <f t="shared" si="413"/>
        <v>2.7513535353535359E-2</v>
      </c>
      <c r="EX118" s="456">
        <f t="shared" si="414"/>
        <v>0.14389754514845418</v>
      </c>
      <c r="EY118" s="456">
        <f t="shared" si="415"/>
        <v>0.6096339072072251</v>
      </c>
      <c r="EZ118" s="456"/>
      <c r="FA118" s="456">
        <f t="shared" si="416"/>
        <v>0.41395744680851065</v>
      </c>
      <c r="FB118" s="144">
        <f t="shared" si="417"/>
        <v>1195.0024345177255</v>
      </c>
      <c r="FC118" s="150">
        <f t="shared" si="418"/>
        <v>2.2667630139737085</v>
      </c>
      <c r="FD118" s="5">
        <f t="shared" si="419"/>
        <v>9.6</v>
      </c>
      <c r="FE118" s="150">
        <f t="shared" si="420"/>
        <v>0.80898219579303288</v>
      </c>
      <c r="FF118" s="5">
        <f t="shared" si="421"/>
        <v>80.898219579303287</v>
      </c>
      <c r="FI118" s="59">
        <f t="shared" si="422"/>
        <v>-50</v>
      </c>
      <c r="FJ118">
        <f t="shared" si="423"/>
        <v>-50</v>
      </c>
      <c r="FL118">
        <f t="shared" si="424"/>
        <v>0.1056</v>
      </c>
    </row>
    <row r="119" spans="5:168">
      <c r="E119" s="147">
        <v>9</v>
      </c>
      <c r="F119" s="188">
        <f t="shared" si="425"/>
        <v>0.36</v>
      </c>
      <c r="G119" s="188"/>
      <c r="H119" s="188">
        <f t="shared" si="315"/>
        <v>10.799999999999999</v>
      </c>
      <c r="I119" s="465">
        <f t="shared" si="316"/>
        <v>19.921732178900701</v>
      </c>
      <c r="J119" s="149">
        <f t="shared" si="317"/>
        <v>30.44214421136116</v>
      </c>
      <c r="K119" s="149">
        <f t="shared" si="318"/>
        <v>50.363876390261865</v>
      </c>
      <c r="L119" s="379"/>
      <c r="M119" s="188">
        <f t="shared" si="319"/>
        <v>0.604446225362259</v>
      </c>
      <c r="N119" s="149">
        <f t="shared" si="426"/>
        <v>183.21733829403041</v>
      </c>
      <c r="O119" s="149">
        <f t="shared" si="284"/>
        <v>10.799999999999999</v>
      </c>
      <c r="P119" s="188">
        <f t="shared" si="320"/>
        <v>6.1072446098010138</v>
      </c>
      <c r="Q119" s="188">
        <f t="shared" si="321"/>
        <v>30</v>
      </c>
      <c r="R119" s="188"/>
      <c r="S119" s="149">
        <f t="shared" si="322"/>
        <v>818.54473979759007</v>
      </c>
      <c r="T119" s="149">
        <f t="shared" si="323"/>
        <v>30</v>
      </c>
      <c r="U119" s="188">
        <f t="shared" si="324"/>
        <v>1.8202329143727569</v>
      </c>
      <c r="V119" s="188">
        <f t="shared" si="325"/>
        <v>0.42943528307306233</v>
      </c>
      <c r="W119" s="188">
        <f t="shared" si="326"/>
        <v>0.28102799323705824</v>
      </c>
      <c r="X119" s="172">
        <f t="shared" si="327"/>
        <v>350</v>
      </c>
      <c r="Y119" s="379">
        <f t="shared" si="328"/>
        <v>350</v>
      </c>
      <c r="AA119" s="188">
        <f t="shared" si="329"/>
        <v>7.320104561416251</v>
      </c>
      <c r="AB119" s="150">
        <f t="shared" si="330"/>
        <v>1.1301599256538719</v>
      </c>
      <c r="AC119" s="150">
        <f t="shared" si="331"/>
        <v>1.4477555447090327</v>
      </c>
      <c r="AD119" s="150"/>
      <c r="AE119" s="150">
        <f t="shared" si="332"/>
        <v>0.93570440659754173</v>
      </c>
      <c r="AF119" s="314">
        <f t="shared" si="333"/>
        <v>126.96317251725563</v>
      </c>
      <c r="AG119" s="456">
        <f t="shared" si="334"/>
        <v>0.99241376457315034</v>
      </c>
      <c r="AI119" s="150">
        <f t="shared" si="335"/>
        <v>3.6502357697246803</v>
      </c>
      <c r="AJ119" s="150">
        <f t="shared" si="336"/>
        <v>6.0606060606060606</v>
      </c>
      <c r="AK119" s="150">
        <f t="shared" si="337"/>
        <v>1.0725503842955746</v>
      </c>
      <c r="AM119" s="314">
        <f t="shared" si="338"/>
        <v>360</v>
      </c>
      <c r="AN119" s="144">
        <f t="shared" si="339"/>
        <v>126.96317251725563</v>
      </c>
      <c r="AP119" s="144">
        <f t="shared" si="340"/>
        <v>360</v>
      </c>
      <c r="AQ119" s="144">
        <f t="shared" si="341"/>
        <v>126.96317251725563</v>
      </c>
      <c r="AS119" s="5">
        <f t="shared" si="285"/>
        <v>7.8762997188345265</v>
      </c>
      <c r="AT119" s="5">
        <f t="shared" si="342"/>
        <v>1.4298379392439107</v>
      </c>
      <c r="AU119" s="5">
        <f t="shared" si="343"/>
        <v>6.4464617795906154</v>
      </c>
      <c r="AV119" s="5"/>
      <c r="AW119" s="150">
        <f t="shared" si="344"/>
        <v>0.18153676095194191</v>
      </c>
      <c r="AX119" s="150">
        <f t="shared" si="214"/>
        <v>10.959171916090016</v>
      </c>
      <c r="AY119" s="150">
        <f t="shared" si="215"/>
        <v>2.480191633478964</v>
      </c>
      <c r="AZ119" s="150">
        <f t="shared" si="288"/>
        <v>4.4186794956313875</v>
      </c>
      <c r="BA119" s="144">
        <f t="shared" si="433"/>
        <v>1.7158055270926929</v>
      </c>
      <c r="BB119" s="5">
        <f t="shared" si="434"/>
        <v>2.0557445564638122</v>
      </c>
      <c r="BD119" s="150">
        <f t="shared" si="289"/>
        <v>1.4908629415208725</v>
      </c>
      <c r="BE119" s="150">
        <f t="shared" si="218"/>
        <v>3.1655925664691438</v>
      </c>
      <c r="BG119" s="456">
        <f t="shared" si="347"/>
        <v>2.6672067724803222E-2</v>
      </c>
      <c r="BH119" s="456">
        <f t="shared" si="348"/>
        <v>0.70725469614324632</v>
      </c>
      <c r="BI119" s="456">
        <f t="shared" si="349"/>
        <v>1.4600764839484399E-2</v>
      </c>
      <c r="BJ119" s="456">
        <f t="shared" si="350"/>
        <v>0.1666580970980954</v>
      </c>
      <c r="BK119">
        <f t="shared" si="351"/>
        <v>8.9647794805053152E-3</v>
      </c>
      <c r="BL119" s="144">
        <f t="shared" si="427"/>
        <v>23.565544319989716</v>
      </c>
      <c r="BM119" s="456">
        <f t="shared" si="352"/>
        <v>0.91357590859280469</v>
      </c>
      <c r="BN119" s="144">
        <f t="shared" si="353"/>
        <v>913.57590859280469</v>
      </c>
      <c r="BO119" s="456">
        <f t="shared" si="354"/>
        <v>0.252</v>
      </c>
      <c r="BR119" s="144">
        <f t="shared" si="355"/>
        <v>252</v>
      </c>
      <c r="BS119" s="456">
        <f t="shared" si="356"/>
        <v>3.1117412345603758E-2</v>
      </c>
      <c r="BT119" s="456">
        <f t="shared" si="357"/>
        <v>0.1402936681563858</v>
      </c>
      <c r="BU119" s="456">
        <f t="shared" si="358"/>
        <v>0.82121062277585877</v>
      </c>
      <c r="BV119" s="456"/>
      <c r="BW119" s="456">
        <f t="shared" si="359"/>
        <v>0.46634774111021354</v>
      </c>
      <c r="BX119" s="144">
        <f t="shared" si="360"/>
        <v>1458.9694443880619</v>
      </c>
      <c r="BY119" s="150">
        <f t="shared" si="361"/>
        <v>2.6351198496741963</v>
      </c>
      <c r="BZ119" s="5">
        <f t="shared" si="362"/>
        <v>10.799999999999999</v>
      </c>
      <c r="CA119" s="150">
        <f t="shared" si="363"/>
        <v>0.8038633165049065</v>
      </c>
      <c r="CB119" s="5">
        <f t="shared" si="364"/>
        <v>80.386331650490646</v>
      </c>
      <c r="CE119" s="59">
        <f t="shared" si="365"/>
        <v>-50</v>
      </c>
      <c r="CF119">
        <f t="shared" si="366"/>
        <v>-50</v>
      </c>
      <c r="CG119" s="150">
        <f t="shared" si="367"/>
        <v>0.11958937745468869</v>
      </c>
      <c r="CI119" s="147">
        <v>9</v>
      </c>
      <c r="CJ119" s="188">
        <f t="shared" si="428"/>
        <v>0.36</v>
      </c>
      <c r="CK119" s="188"/>
      <c r="CL119" s="188">
        <f t="shared" si="368"/>
        <v>10.799999999999999</v>
      </c>
      <c r="CM119" s="465">
        <f t="shared" si="369"/>
        <v>20</v>
      </c>
      <c r="CN119" s="379">
        <f t="shared" si="370"/>
        <v>30.4</v>
      </c>
      <c r="CO119" s="379">
        <f t="shared" si="371"/>
        <v>50.4</v>
      </c>
      <c r="CP119" s="379"/>
      <c r="CQ119" s="188">
        <f t="shared" si="372"/>
        <v>0.60317460317460314</v>
      </c>
      <c r="CR119" s="149">
        <f t="shared" si="429"/>
        <v>183.55019291189507</v>
      </c>
      <c r="CS119" s="149">
        <f t="shared" si="373"/>
        <v>10.799999999999999</v>
      </c>
      <c r="CT119" s="188">
        <f t="shared" si="374"/>
        <v>6.1183397637298356</v>
      </c>
      <c r="CU119" s="188">
        <f t="shared" si="375"/>
        <v>30</v>
      </c>
      <c r="CV119" s="188"/>
      <c r="CW119" s="149">
        <f t="shared" si="376"/>
        <v>821.7605722101589</v>
      </c>
      <c r="CX119" s="149">
        <f t="shared" si="377"/>
        <v>30</v>
      </c>
      <c r="CY119" s="188">
        <f t="shared" si="378"/>
        <v>1.7905263157894735</v>
      </c>
      <c r="CZ119" s="188">
        <f t="shared" si="379"/>
        <v>0.42077368421052624</v>
      </c>
      <c r="DA119" s="188">
        <f t="shared" si="380"/>
        <v>0.27682479224376727</v>
      </c>
      <c r="DB119" s="172">
        <f t="shared" si="381"/>
        <v>350</v>
      </c>
      <c r="DC119" s="379">
        <f t="shared" si="382"/>
        <v>350</v>
      </c>
      <c r="DE119" s="188">
        <f t="shared" si="383"/>
        <v>7.3334298258310406</v>
      </c>
      <c r="DF119" s="150">
        <f t="shared" si="384"/>
        <v>1.1337868480725624</v>
      </c>
      <c r="DG119" s="150">
        <f t="shared" si="385"/>
        <v>1.4550456003633017</v>
      </c>
      <c r="DH119" s="150"/>
      <c r="DI119" s="150">
        <f t="shared" si="386"/>
        <v>0.93700159489633172</v>
      </c>
      <c r="DJ119" s="314">
        <f t="shared" si="387"/>
        <v>126.78740425531916</v>
      </c>
      <c r="DK119" s="456">
        <f t="shared" si="388"/>
        <v>0.99378957034459414</v>
      </c>
      <c r="DM119" s="150">
        <f t="shared" si="389"/>
        <v>3.647708195016131</v>
      </c>
      <c r="DN119" s="150">
        <f t="shared" si="390"/>
        <v>6.0606060606060606</v>
      </c>
      <c r="DO119" s="150">
        <f t="shared" si="391"/>
        <v>1.0724499452887537</v>
      </c>
      <c r="DQ119" s="314">
        <f t="shared" si="392"/>
        <v>360</v>
      </c>
      <c r="DR119" s="144">
        <f t="shared" si="393"/>
        <v>126.78740425531916</v>
      </c>
      <c r="DT119">
        <f t="shared" si="430"/>
        <v>360</v>
      </c>
      <c r="DU119">
        <f t="shared" si="431"/>
        <v>126.78740425531916</v>
      </c>
      <c r="DW119" s="5">
        <f t="shared" si="394"/>
        <v>7.8872188122586833</v>
      </c>
      <c r="DX119" s="5">
        <f t="shared" si="395"/>
        <v>1.4242424242424243</v>
      </c>
      <c r="DY119" s="5">
        <f t="shared" si="396"/>
        <v>6.4629763880162585</v>
      </c>
      <c r="DZ119" s="5"/>
      <c r="EA119" s="150">
        <f t="shared" si="397"/>
        <v>0.18057600000000004</v>
      </c>
      <c r="EB119" s="150">
        <f t="shared" si="398"/>
        <v>10.943999999999999</v>
      </c>
      <c r="EC119" s="150">
        <f t="shared" si="399"/>
        <v>2.4831030303030301</v>
      </c>
      <c r="ED119" s="150">
        <f t="shared" si="400"/>
        <v>4.4073886046784079</v>
      </c>
      <c r="EE119" s="144">
        <f t="shared" si="401"/>
        <v>1.709090909090909</v>
      </c>
      <c r="EF119" s="5">
        <f t="shared" si="402"/>
        <v>2.0529454408992818</v>
      </c>
      <c r="EH119" s="150">
        <f t="shared" si="403"/>
        <v>1.4869126036553364</v>
      </c>
      <c r="EI119" s="150">
        <f t="shared" si="404"/>
        <v>3.1674500021903862</v>
      </c>
      <c r="EK119" s="456">
        <f t="shared" si="405"/>
        <v>2.6530909090909098E-2</v>
      </c>
      <c r="EL119" s="456">
        <f t="shared" si="406"/>
        <v>0.73582798978723407</v>
      </c>
      <c r="EM119" s="456">
        <f t="shared" si="407"/>
        <v>1.4580551489361705E-2</v>
      </c>
      <c r="EN119" s="456">
        <f t="shared" si="408"/>
        <v>0.16666620152047662</v>
      </c>
      <c r="EO119">
        <f t="shared" si="409"/>
        <v>8.9999999999999993E-3</v>
      </c>
      <c r="EP119" s="144">
        <f t="shared" si="410"/>
        <v>23.580551489361703</v>
      </c>
      <c r="EQ119" s="144"/>
      <c r="ER119" s="144">
        <f t="shared" si="432"/>
        <v>952.60565188798137</v>
      </c>
      <c r="ES119" s="456">
        <f t="shared" si="411"/>
        <v>0.252</v>
      </c>
      <c r="EV119" s="144">
        <f t="shared" si="412"/>
        <v>252</v>
      </c>
      <c r="EW119" s="456">
        <f t="shared" si="413"/>
        <v>3.0952727272727281E-2</v>
      </c>
      <c r="EX119" s="456">
        <f t="shared" si="414"/>
        <v>0.14045835322926231</v>
      </c>
      <c r="EY119" s="456">
        <f t="shared" si="415"/>
        <v>0.81837135600060606</v>
      </c>
      <c r="EZ119" s="456"/>
      <c r="FA119" s="456">
        <f t="shared" si="416"/>
        <v>0.46570212765957453</v>
      </c>
      <c r="FB119" s="144">
        <f t="shared" si="417"/>
        <v>1455.48456416217</v>
      </c>
      <c r="FC119" s="150">
        <f t="shared" si="418"/>
        <v>2.6600902160501514</v>
      </c>
      <c r="FD119" s="5">
        <f t="shared" si="419"/>
        <v>10.799999999999999</v>
      </c>
      <c r="FE119" s="150">
        <f t="shared" si="420"/>
        <v>0.80237203663923484</v>
      </c>
      <c r="FF119" s="5">
        <f t="shared" si="421"/>
        <v>80.237203663923481</v>
      </c>
      <c r="FI119" s="59">
        <f t="shared" si="422"/>
        <v>-50</v>
      </c>
      <c r="FJ119">
        <f t="shared" si="423"/>
        <v>-50</v>
      </c>
      <c r="FL119">
        <f t="shared" si="424"/>
        <v>0.1188</v>
      </c>
    </row>
    <row r="120" spans="5:168">
      <c r="E120" s="147">
        <v>10</v>
      </c>
      <c r="F120" s="188">
        <f t="shared" si="425"/>
        <v>0.4</v>
      </c>
      <c r="G120" s="188"/>
      <c r="H120" s="188">
        <f t="shared" si="315"/>
        <v>12</v>
      </c>
      <c r="I120" s="465">
        <f t="shared" si="316"/>
        <v>19.921732178900701</v>
      </c>
      <c r="J120" s="149">
        <f t="shared" si="317"/>
        <v>30.44214421136116</v>
      </c>
      <c r="K120" s="149">
        <f t="shared" si="318"/>
        <v>50.363876390261865</v>
      </c>
      <c r="L120" s="379"/>
      <c r="M120" s="188">
        <f t="shared" si="319"/>
        <v>0.604446225362259</v>
      </c>
      <c r="N120" s="149">
        <f t="shared" si="426"/>
        <v>183.21733829403041</v>
      </c>
      <c r="O120" s="149">
        <f t="shared" si="284"/>
        <v>12</v>
      </c>
      <c r="P120" s="188">
        <f t="shared" si="320"/>
        <v>6.1072446098010138</v>
      </c>
      <c r="Q120" s="188">
        <f t="shared" si="321"/>
        <v>30</v>
      </c>
      <c r="R120" s="188"/>
      <c r="S120" s="149">
        <f t="shared" si="322"/>
        <v>734.70017548525414</v>
      </c>
      <c r="T120" s="149">
        <f t="shared" si="323"/>
        <v>30</v>
      </c>
      <c r="U120" s="188">
        <f t="shared" si="324"/>
        <v>2.0224810159697304</v>
      </c>
      <c r="V120" s="188">
        <f t="shared" si="325"/>
        <v>0.47715031452562484</v>
      </c>
      <c r="W120" s="188">
        <f t="shared" si="326"/>
        <v>0.31225332581895371</v>
      </c>
      <c r="X120" s="172">
        <f t="shared" si="327"/>
        <v>350</v>
      </c>
      <c r="Y120" s="379">
        <f t="shared" si="328"/>
        <v>350</v>
      </c>
      <c r="AA120" s="188">
        <f t="shared" si="329"/>
        <v>7.320104561416251</v>
      </c>
      <c r="AB120" s="150">
        <f t="shared" si="330"/>
        <v>1.1301599256538719</v>
      </c>
      <c r="AC120" s="150">
        <f t="shared" si="331"/>
        <v>1.4477555447090327</v>
      </c>
      <c r="AD120" s="150"/>
      <c r="AE120" s="150">
        <f t="shared" si="332"/>
        <v>0.93570440659754173</v>
      </c>
      <c r="AF120" s="314">
        <f t="shared" si="333"/>
        <v>141.07019168583957</v>
      </c>
      <c r="AG120" s="456">
        <f t="shared" si="334"/>
        <v>0.99241376457315034</v>
      </c>
      <c r="AI120" s="150">
        <f t="shared" si="335"/>
        <v>3.8476863429826285</v>
      </c>
      <c r="AJ120" s="150">
        <f t="shared" si="336"/>
        <v>6.0606060606060606</v>
      </c>
      <c r="AK120" s="150">
        <f t="shared" si="337"/>
        <v>1.080611538106194</v>
      </c>
      <c r="AM120" s="314">
        <f t="shared" si="338"/>
        <v>400</v>
      </c>
      <c r="AN120" s="144">
        <f t="shared" si="339"/>
        <v>141.07019168583957</v>
      </c>
      <c r="AP120" s="144">
        <f t="shared" si="340"/>
        <v>400</v>
      </c>
      <c r="AQ120" s="144">
        <f t="shared" si="341"/>
        <v>141.07019168583957</v>
      </c>
      <c r="AS120" s="5">
        <f t="shared" si="285"/>
        <v>7.0886697469510747</v>
      </c>
      <c r="AT120" s="5">
        <f t="shared" si="342"/>
        <v>1.4298379392439107</v>
      </c>
      <c r="AU120" s="5">
        <f t="shared" si="343"/>
        <v>5.6588318077071644</v>
      </c>
      <c r="AV120" s="5"/>
      <c r="AW120" s="150">
        <f t="shared" si="344"/>
        <v>0.20170751216882432</v>
      </c>
      <c r="AX120" s="150">
        <f t="shared" si="214"/>
        <v>12.17685768454446</v>
      </c>
      <c r="AY120" s="150">
        <f t="shared" si="215"/>
        <v>2.4190681449429565</v>
      </c>
      <c r="AZ120" s="150">
        <f t="shared" si="288"/>
        <v>5.033697669906525</v>
      </c>
      <c r="BA120" s="144">
        <f t="shared" si="433"/>
        <v>1.9064505856585476</v>
      </c>
      <c r="BB120" s="5">
        <f t="shared" si="434"/>
        <v>2.0050814233680367</v>
      </c>
      <c r="BD120" s="150">
        <f t="shared" si="289"/>
        <v>1.5715075247814572</v>
      </c>
      <c r="BE120" s="150">
        <f t="shared" si="218"/>
        <v>3.1263417450496722</v>
      </c>
      <c r="BG120" s="456">
        <f t="shared" si="347"/>
        <v>2.9635630805336904E-2</v>
      </c>
      <c r="BH120" s="456">
        <f t="shared" si="348"/>
        <v>0.78583855127027358</v>
      </c>
      <c r="BI120" s="456">
        <f t="shared" si="349"/>
        <v>1.6223072043871554E-2</v>
      </c>
      <c r="BJ120" s="456">
        <f t="shared" si="350"/>
        <v>0.18517566344232819</v>
      </c>
      <c r="BK120">
        <f t="shared" si="351"/>
        <v>8.9647794805053152E-3</v>
      </c>
      <c r="BL120" s="144">
        <f t="shared" si="427"/>
        <v>25.187851524376867</v>
      </c>
      <c r="BM120" s="456">
        <f t="shared" si="352"/>
        <v>1.015804175646124</v>
      </c>
      <c r="BN120" s="144">
        <f t="shared" si="353"/>
        <v>1015.804175646124</v>
      </c>
      <c r="BO120" s="456">
        <f t="shared" si="354"/>
        <v>0.27999999999999997</v>
      </c>
      <c r="BR120" s="144">
        <f t="shared" si="355"/>
        <v>279.99999999999994</v>
      </c>
      <c r="BS120" s="456">
        <f t="shared" si="356"/>
        <v>3.4574902606226393E-2</v>
      </c>
      <c r="BT120" s="456">
        <f t="shared" si="357"/>
        <v>0.13683617789576322</v>
      </c>
      <c r="BU120" s="456">
        <f t="shared" si="358"/>
        <v>1.0686814842374717</v>
      </c>
      <c r="BV120" s="456"/>
      <c r="BW120" s="456">
        <f t="shared" si="359"/>
        <v>0.51816415678912608</v>
      </c>
      <c r="BX120" s="144">
        <f t="shared" si="360"/>
        <v>1758.2567215285874</v>
      </c>
      <c r="BY120" s="150">
        <f t="shared" si="361"/>
        <v>3.0640944185709031</v>
      </c>
      <c r="BZ120" s="5">
        <f t="shared" si="362"/>
        <v>12</v>
      </c>
      <c r="CA120" s="150">
        <f t="shared" si="363"/>
        <v>0.79659617542004313</v>
      </c>
      <c r="CB120" s="5">
        <f t="shared" si="364"/>
        <v>79.659617542004312</v>
      </c>
      <c r="CE120" s="59">
        <f t="shared" si="365"/>
        <v>-50</v>
      </c>
      <c r="CF120">
        <f t="shared" si="366"/>
        <v>-50</v>
      </c>
      <c r="CG120" s="150">
        <f t="shared" si="367"/>
        <v>0.1328770860607652</v>
      </c>
      <c r="CI120" s="147">
        <v>10</v>
      </c>
      <c r="CJ120" s="188">
        <f t="shared" si="428"/>
        <v>0.4</v>
      </c>
      <c r="CK120" s="188"/>
      <c r="CL120" s="188">
        <f t="shared" si="368"/>
        <v>12</v>
      </c>
      <c r="CM120" s="465">
        <f t="shared" si="369"/>
        <v>20</v>
      </c>
      <c r="CN120" s="379">
        <f t="shared" si="370"/>
        <v>30.4</v>
      </c>
      <c r="CO120" s="379">
        <f t="shared" si="371"/>
        <v>50.4</v>
      </c>
      <c r="CP120" s="379"/>
      <c r="CQ120" s="188">
        <f t="shared" si="372"/>
        <v>0.60317460317460314</v>
      </c>
      <c r="CR120" s="149">
        <f t="shared" si="429"/>
        <v>183.55019291189507</v>
      </c>
      <c r="CS120" s="149">
        <f t="shared" si="373"/>
        <v>12</v>
      </c>
      <c r="CT120" s="188">
        <f t="shared" si="374"/>
        <v>6.1183397637298356</v>
      </c>
      <c r="CU120" s="188">
        <f t="shared" si="375"/>
        <v>30</v>
      </c>
      <c r="CV120" s="188"/>
      <c r="CW120" s="149">
        <f t="shared" si="376"/>
        <v>737.58659788101909</v>
      </c>
      <c r="CX120" s="149">
        <f t="shared" si="377"/>
        <v>30</v>
      </c>
      <c r="CY120" s="188">
        <f t="shared" si="378"/>
        <v>1.9894736842105263</v>
      </c>
      <c r="CZ120" s="188">
        <f t="shared" si="379"/>
        <v>0.46752631578947368</v>
      </c>
      <c r="DA120" s="188">
        <f t="shared" si="380"/>
        <v>0.3075831024930748</v>
      </c>
      <c r="DB120" s="172">
        <f t="shared" si="381"/>
        <v>350</v>
      </c>
      <c r="DC120" s="379">
        <f t="shared" si="382"/>
        <v>350</v>
      </c>
      <c r="DE120" s="188">
        <f t="shared" si="383"/>
        <v>7.3334298258310406</v>
      </c>
      <c r="DF120" s="150">
        <f t="shared" si="384"/>
        <v>1.1337868480725624</v>
      </c>
      <c r="DG120" s="150">
        <f t="shared" si="385"/>
        <v>1.4550456003633017</v>
      </c>
      <c r="DH120" s="150"/>
      <c r="DI120" s="150">
        <f t="shared" si="386"/>
        <v>0.93700159489633172</v>
      </c>
      <c r="DJ120" s="314">
        <f t="shared" si="387"/>
        <v>140.87489361702129</v>
      </c>
      <c r="DK120" s="456">
        <f t="shared" si="388"/>
        <v>0.99378957034459414</v>
      </c>
      <c r="DM120" s="150">
        <f t="shared" si="389"/>
        <v>3.8450220453042112</v>
      </c>
      <c r="DN120" s="150">
        <f t="shared" si="390"/>
        <v>6.0606060606060606</v>
      </c>
      <c r="DO120" s="150">
        <f t="shared" si="391"/>
        <v>1.0804999392097265</v>
      </c>
      <c r="DQ120" s="314">
        <f t="shared" si="392"/>
        <v>400</v>
      </c>
      <c r="DR120" s="144">
        <f t="shared" si="393"/>
        <v>140.87489361702129</v>
      </c>
      <c r="DT120">
        <f t="shared" si="430"/>
        <v>400</v>
      </c>
      <c r="DU120">
        <f t="shared" si="431"/>
        <v>140.87489361702129</v>
      </c>
      <c r="DW120" s="5">
        <f t="shared" si="394"/>
        <v>7.0984969310328161</v>
      </c>
      <c r="DX120" s="5">
        <f t="shared" si="395"/>
        <v>1.4242424242424243</v>
      </c>
      <c r="DY120" s="5">
        <f t="shared" si="396"/>
        <v>5.6742545067903922</v>
      </c>
      <c r="DZ120" s="5"/>
      <c r="EA120" s="150">
        <f t="shared" si="397"/>
        <v>0.20064000000000001</v>
      </c>
      <c r="EB120" s="150">
        <f t="shared" si="398"/>
        <v>12.159999999999998</v>
      </c>
      <c r="EC120" s="150">
        <f t="shared" si="399"/>
        <v>2.4223030303030302</v>
      </c>
      <c r="ED120" s="150">
        <f t="shared" si="400"/>
        <v>5.020016012810248</v>
      </c>
      <c r="EE120" s="144">
        <f t="shared" si="401"/>
        <v>1.898989898989899</v>
      </c>
      <c r="EF120" s="5">
        <f t="shared" si="402"/>
        <v>2.0026780612201383</v>
      </c>
      <c r="EH120" s="150">
        <f t="shared" si="403"/>
        <v>1.5673435030540233</v>
      </c>
      <c r="EI120" s="150">
        <f t="shared" si="404"/>
        <v>3.1284313882070856</v>
      </c>
      <c r="EK120" s="456">
        <f t="shared" si="405"/>
        <v>2.9478787878787882E-2</v>
      </c>
      <c r="EL120" s="456">
        <f t="shared" si="406"/>
        <v>0.81758665531914909</v>
      </c>
      <c r="EM120" s="456">
        <f t="shared" si="407"/>
        <v>1.620061276595745E-2</v>
      </c>
      <c r="EN120" s="456">
        <f t="shared" si="408"/>
        <v>0.18518466835608513</v>
      </c>
      <c r="EO120">
        <f t="shared" si="409"/>
        <v>8.9999999999999993E-3</v>
      </c>
      <c r="EP120" s="144">
        <f t="shared" si="410"/>
        <v>25.200612765957448</v>
      </c>
      <c r="EQ120" s="144"/>
      <c r="ER120" s="144">
        <f t="shared" si="432"/>
        <v>1057.4507243199794</v>
      </c>
      <c r="ES120" s="456">
        <f t="shared" si="411"/>
        <v>0.27999999999999997</v>
      </c>
      <c r="EV120" s="144">
        <f t="shared" si="412"/>
        <v>279.99999999999994</v>
      </c>
      <c r="EW120" s="456">
        <f t="shared" si="413"/>
        <v>3.4391919191919196E-2</v>
      </c>
      <c r="EX120" s="456">
        <f t="shared" si="414"/>
        <v>0.13701916131007039</v>
      </c>
      <c r="EY120" s="456">
        <f t="shared" si="415"/>
        <v>1.06498660773762</v>
      </c>
      <c r="EZ120" s="456"/>
      <c r="FA120" s="456">
        <f t="shared" si="416"/>
        <v>0.5174468085106384</v>
      </c>
      <c r="FB120" s="144">
        <f t="shared" si="417"/>
        <v>1753.844496750248</v>
      </c>
      <c r="FC120" s="150">
        <f t="shared" si="418"/>
        <v>3.0912952210702276</v>
      </c>
      <c r="FD120" s="5">
        <f t="shared" si="419"/>
        <v>12</v>
      </c>
      <c r="FE120" s="150">
        <f t="shared" si="420"/>
        <v>0.79516037717198651</v>
      </c>
      <c r="FF120" s="5">
        <f t="shared" si="421"/>
        <v>79.516037717198657</v>
      </c>
      <c r="FI120" s="59">
        <f t="shared" si="422"/>
        <v>-50</v>
      </c>
      <c r="FJ120">
        <f t="shared" si="423"/>
        <v>-50</v>
      </c>
      <c r="FL120">
        <f t="shared" si="424"/>
        <v>0.13200000000000001</v>
      </c>
    </row>
    <row r="121" spans="5:168">
      <c r="E121" s="147">
        <v>11</v>
      </c>
      <c r="F121" s="188">
        <f t="shared" si="425"/>
        <v>0.44</v>
      </c>
      <c r="G121" s="188"/>
      <c r="H121" s="188">
        <f t="shared" si="315"/>
        <v>13.2</v>
      </c>
      <c r="I121" s="465">
        <f t="shared" si="316"/>
        <v>19.921732178900701</v>
      </c>
      <c r="J121" s="149">
        <f t="shared" si="317"/>
        <v>30.44214421136116</v>
      </c>
      <c r="K121" s="149">
        <f t="shared" si="318"/>
        <v>50.363876390261865</v>
      </c>
      <c r="L121" s="379"/>
      <c r="M121" s="188">
        <f t="shared" si="319"/>
        <v>0.604446225362259</v>
      </c>
      <c r="N121" s="149">
        <f t="shared" si="426"/>
        <v>183.21733829403041</v>
      </c>
      <c r="O121" s="149">
        <f t="shared" si="284"/>
        <v>13.2</v>
      </c>
      <c r="P121" s="188">
        <f t="shared" si="320"/>
        <v>6.1072446098010138</v>
      </c>
      <c r="Q121" s="188">
        <f t="shared" si="321"/>
        <v>30</v>
      </c>
      <c r="R121" s="188"/>
      <c r="S121" s="149">
        <f t="shared" si="322"/>
        <v>666.1002851012106</v>
      </c>
      <c r="T121" s="149">
        <f t="shared" si="323"/>
        <v>30</v>
      </c>
      <c r="U121" s="188">
        <f t="shared" si="324"/>
        <v>2.224729117566703</v>
      </c>
      <c r="V121" s="188">
        <f t="shared" si="325"/>
        <v>0.52486534597818735</v>
      </c>
      <c r="W121" s="188">
        <f t="shared" si="326"/>
        <v>0.34347865840084901</v>
      </c>
      <c r="X121" s="172">
        <f t="shared" si="327"/>
        <v>350</v>
      </c>
      <c r="Y121" s="379">
        <f t="shared" si="328"/>
        <v>350</v>
      </c>
      <c r="AA121" s="188">
        <f t="shared" si="329"/>
        <v>7.320104561416251</v>
      </c>
      <c r="AB121" s="150">
        <f t="shared" si="330"/>
        <v>1.1301599256538719</v>
      </c>
      <c r="AC121" s="150">
        <f t="shared" si="331"/>
        <v>1.4477555447090327</v>
      </c>
      <c r="AD121" s="150"/>
      <c r="AE121" s="150">
        <f t="shared" si="332"/>
        <v>0.93570440659754173</v>
      </c>
      <c r="AF121" s="314">
        <f t="shared" si="333"/>
        <v>155.17721085442355</v>
      </c>
      <c r="AG121" s="456">
        <f t="shared" si="334"/>
        <v>0.99241376457315034</v>
      </c>
      <c r="AI121" s="150">
        <f t="shared" si="335"/>
        <v>4.0354874815036332</v>
      </c>
      <c r="AJ121" s="150">
        <f t="shared" si="336"/>
        <v>6.0606060606060606</v>
      </c>
      <c r="AK121" s="150">
        <f t="shared" si="337"/>
        <v>1.0886726919168135</v>
      </c>
      <c r="AM121" s="314">
        <f t="shared" si="338"/>
        <v>440</v>
      </c>
      <c r="AN121" s="144">
        <f t="shared" si="339"/>
        <v>155.17721085442355</v>
      </c>
      <c r="AP121" s="144">
        <f t="shared" si="340"/>
        <v>440</v>
      </c>
      <c r="AQ121" s="144">
        <f t="shared" si="341"/>
        <v>155.17721085442355</v>
      </c>
      <c r="AS121" s="5">
        <f t="shared" si="285"/>
        <v>6.4442452245009765</v>
      </c>
      <c r="AT121" s="5">
        <f t="shared" si="342"/>
        <v>1.4298379392439107</v>
      </c>
      <c r="AU121" s="5">
        <f t="shared" si="343"/>
        <v>5.0144072852570662</v>
      </c>
      <c r="AV121" s="5"/>
      <c r="AW121" s="150">
        <f t="shared" si="344"/>
        <v>0.22187826338570676</v>
      </c>
      <c r="AX121" s="150">
        <f t="shared" si="214"/>
        <v>13.394543452998908</v>
      </c>
      <c r="AY121" s="150">
        <f t="shared" si="215"/>
        <v>2.3579446564069491</v>
      </c>
      <c r="AZ121" s="150">
        <f t="shared" si="288"/>
        <v>5.6806012883311681</v>
      </c>
      <c r="BA121" s="144">
        <f t="shared" si="433"/>
        <v>2.0970956442244022</v>
      </c>
      <c r="BB121" s="5">
        <f t="shared" si="434"/>
        <v>1.9544182902722602</v>
      </c>
      <c r="BD121" s="150">
        <f t="shared" si="289"/>
        <v>1.648210996956766</v>
      </c>
      <c r="BE121" s="150">
        <f t="shared" si="218"/>
        <v>3.0865918286673013</v>
      </c>
      <c r="BG121" s="456">
        <f t="shared" si="347"/>
        <v>3.2599193885870598E-2</v>
      </c>
      <c r="BH121" s="456">
        <f t="shared" si="348"/>
        <v>0.86442240639730106</v>
      </c>
      <c r="BI121" s="456">
        <f t="shared" si="349"/>
        <v>1.784537924825871E-2</v>
      </c>
      <c r="BJ121" s="456">
        <f t="shared" si="350"/>
        <v>0.20369322978656104</v>
      </c>
      <c r="BK121">
        <f t="shared" si="351"/>
        <v>8.9647794805053152E-3</v>
      </c>
      <c r="BL121" s="144">
        <f t="shared" si="427"/>
        <v>26.810158728764026</v>
      </c>
      <c r="BM121" s="456">
        <f t="shared" si="352"/>
        <v>1.1181775330598098</v>
      </c>
      <c r="BN121" s="144">
        <f t="shared" si="353"/>
        <v>1118.1775330598098</v>
      </c>
      <c r="BO121" s="456">
        <f t="shared" si="354"/>
        <v>0.308</v>
      </c>
      <c r="BR121" s="144">
        <f t="shared" si="355"/>
        <v>308</v>
      </c>
      <c r="BS121" s="456">
        <f t="shared" si="356"/>
        <v>3.8032392866849028E-2</v>
      </c>
      <c r="BT121" s="456">
        <f t="shared" si="357"/>
        <v>0.13337868763514057</v>
      </c>
      <c r="BU121" s="456">
        <f t="shared" si="358"/>
        <v>1.3562195418180865</v>
      </c>
      <c r="BV121" s="456"/>
      <c r="BW121" s="456">
        <f t="shared" si="359"/>
        <v>0.56998057246803879</v>
      </c>
      <c r="BX121" s="144">
        <f t="shared" si="360"/>
        <v>2097.611194788115</v>
      </c>
      <c r="BY121" s="150">
        <f t="shared" si="361"/>
        <v>3.533136183586612</v>
      </c>
      <c r="BZ121" s="5">
        <f t="shared" si="362"/>
        <v>13.2</v>
      </c>
      <c r="CA121" s="150">
        <f t="shared" si="363"/>
        <v>0.78885391567826746</v>
      </c>
      <c r="CB121" s="5">
        <f t="shared" si="364"/>
        <v>78.885391567826744</v>
      </c>
      <c r="CE121" s="59">
        <f t="shared" si="365"/>
        <v>-50</v>
      </c>
      <c r="CF121">
        <f t="shared" si="366"/>
        <v>-50</v>
      </c>
      <c r="CG121" s="150">
        <f t="shared" si="367"/>
        <v>0.14616479466684174</v>
      </c>
      <c r="CI121" s="147">
        <v>11</v>
      </c>
      <c r="CJ121" s="188">
        <f t="shared" si="428"/>
        <v>0.44</v>
      </c>
      <c r="CK121" s="188"/>
      <c r="CL121" s="188">
        <f t="shared" si="368"/>
        <v>13.2</v>
      </c>
      <c r="CM121" s="465">
        <f t="shared" si="369"/>
        <v>20</v>
      </c>
      <c r="CN121" s="379">
        <f t="shared" si="370"/>
        <v>30.4</v>
      </c>
      <c r="CO121" s="379">
        <f t="shared" si="371"/>
        <v>50.4</v>
      </c>
      <c r="CP121" s="379"/>
      <c r="CQ121" s="188">
        <f t="shared" si="372"/>
        <v>0.60317460317460314</v>
      </c>
      <c r="CR121" s="149">
        <f t="shared" si="429"/>
        <v>183.55019291189507</v>
      </c>
      <c r="CS121" s="149">
        <f t="shared" si="373"/>
        <v>13.2</v>
      </c>
      <c r="CT121" s="188">
        <f t="shared" si="374"/>
        <v>6.1183397637298356</v>
      </c>
      <c r="CU121" s="188">
        <f t="shared" si="375"/>
        <v>30</v>
      </c>
      <c r="CV121" s="188"/>
      <c r="CW121" s="149">
        <f t="shared" si="376"/>
        <v>668.71719021189881</v>
      </c>
      <c r="CX121" s="149">
        <f t="shared" si="377"/>
        <v>30</v>
      </c>
      <c r="CY121" s="188">
        <f t="shared" si="378"/>
        <v>2.188421052631579</v>
      </c>
      <c r="CZ121" s="188">
        <f t="shared" si="379"/>
        <v>0.51427894736842106</v>
      </c>
      <c r="DA121" s="188">
        <f t="shared" si="380"/>
        <v>0.33834141274238227</v>
      </c>
      <c r="DB121" s="172">
        <f t="shared" si="381"/>
        <v>350</v>
      </c>
      <c r="DC121" s="379">
        <f t="shared" si="382"/>
        <v>350</v>
      </c>
      <c r="DE121" s="188">
        <f t="shared" si="383"/>
        <v>7.3334298258310406</v>
      </c>
      <c r="DF121" s="150">
        <f t="shared" si="384"/>
        <v>1.1337868480725624</v>
      </c>
      <c r="DG121" s="150">
        <f t="shared" si="385"/>
        <v>1.4550456003633017</v>
      </c>
      <c r="DH121" s="150"/>
      <c r="DI121" s="150">
        <f t="shared" si="386"/>
        <v>0.93700159489633172</v>
      </c>
      <c r="DJ121" s="314">
        <f t="shared" si="387"/>
        <v>154.96238297872341</v>
      </c>
      <c r="DK121" s="456">
        <f t="shared" si="388"/>
        <v>0.99378957034459414</v>
      </c>
      <c r="DM121" s="150">
        <f t="shared" si="389"/>
        <v>4.0326931425243497</v>
      </c>
      <c r="DN121" s="150">
        <f t="shared" si="390"/>
        <v>6.0606060606060606</v>
      </c>
      <c r="DO121" s="150">
        <f t="shared" si="391"/>
        <v>1.0885499331306991</v>
      </c>
      <c r="DQ121" s="314">
        <f t="shared" si="392"/>
        <v>440</v>
      </c>
      <c r="DR121" s="144">
        <f t="shared" si="393"/>
        <v>154.96238297872341</v>
      </c>
      <c r="DT121">
        <f t="shared" si="430"/>
        <v>440</v>
      </c>
      <c r="DU121">
        <f t="shared" si="431"/>
        <v>154.96238297872341</v>
      </c>
      <c r="DW121" s="5">
        <f t="shared" si="394"/>
        <v>6.4531790282116503</v>
      </c>
      <c r="DX121" s="5">
        <f t="shared" si="395"/>
        <v>1.4242424242424243</v>
      </c>
      <c r="DY121" s="5">
        <f t="shared" si="396"/>
        <v>5.0289366039692265</v>
      </c>
      <c r="DZ121" s="5"/>
      <c r="EA121" s="150">
        <f t="shared" si="397"/>
        <v>0.22070400000000004</v>
      </c>
      <c r="EB121" s="150">
        <f t="shared" si="398"/>
        <v>13.375999999999999</v>
      </c>
      <c r="EC121" s="150">
        <f t="shared" si="399"/>
        <v>2.3615030303030302</v>
      </c>
      <c r="ED121" s="150">
        <f t="shared" si="400"/>
        <v>5.6641892169342585</v>
      </c>
      <c r="EE121" s="144">
        <f t="shared" si="401"/>
        <v>2.088888888888889</v>
      </c>
      <c r="EF121" s="5">
        <f t="shared" si="402"/>
        <v>1.9524106815409934</v>
      </c>
      <c r="EH121" s="150">
        <f t="shared" si="403"/>
        <v>1.6438437341250605</v>
      </c>
      <c r="EI121" s="150">
        <f t="shared" si="404"/>
        <v>3.0889199382733681</v>
      </c>
      <c r="EK121" s="456">
        <f t="shared" si="405"/>
        <v>3.2426666666666666E-2</v>
      </c>
      <c r="EL121" s="456">
        <f t="shared" si="406"/>
        <v>0.89934532085106389</v>
      </c>
      <c r="EM121" s="456">
        <f t="shared" si="407"/>
        <v>1.7820674042553192E-2</v>
      </c>
      <c r="EN121" s="456">
        <f t="shared" si="408"/>
        <v>0.20370313519169361</v>
      </c>
      <c r="EO121">
        <f t="shared" si="409"/>
        <v>8.9999999999999993E-3</v>
      </c>
      <c r="EP121" s="144">
        <f t="shared" si="410"/>
        <v>26.820674042553193</v>
      </c>
      <c r="EQ121" s="144"/>
      <c r="ER121" s="144">
        <f t="shared" si="432"/>
        <v>1162.2957967519774</v>
      </c>
      <c r="ES121" s="456">
        <f t="shared" si="411"/>
        <v>0.308</v>
      </c>
      <c r="EV121" s="144">
        <f t="shared" si="412"/>
        <v>308</v>
      </c>
      <c r="EW121" s="456">
        <f t="shared" si="413"/>
        <v>3.7831111111111114E-2</v>
      </c>
      <c r="EX121" s="456">
        <f t="shared" si="414"/>
        <v>0.13357996939087846</v>
      </c>
      <c r="EY121" s="456">
        <f t="shared" si="415"/>
        <v>1.3515305266272959</v>
      </c>
      <c r="EZ121" s="456"/>
      <c r="FA121" s="456">
        <f t="shared" si="416"/>
        <v>0.56919148936170216</v>
      </c>
      <c r="FB121" s="144">
        <f t="shared" si="417"/>
        <v>2092.1330964909876</v>
      </c>
      <c r="FC121" s="150">
        <f t="shared" si="418"/>
        <v>3.5624288932429651</v>
      </c>
      <c r="FD121" s="5">
        <f t="shared" si="419"/>
        <v>13.2</v>
      </c>
      <c r="FE121" s="150">
        <f t="shared" si="420"/>
        <v>0.78747537627563013</v>
      </c>
      <c r="FF121" s="5">
        <f t="shared" si="421"/>
        <v>78.74753762756302</v>
      </c>
      <c r="FI121" s="59">
        <f t="shared" si="422"/>
        <v>-50</v>
      </c>
      <c r="FJ121">
        <f t="shared" si="423"/>
        <v>-50</v>
      </c>
      <c r="FL121">
        <f t="shared" si="424"/>
        <v>0.1452</v>
      </c>
    </row>
    <row r="122" spans="5:168">
      <c r="E122" s="147">
        <v>12</v>
      </c>
      <c r="F122" s="188">
        <f t="shared" si="425"/>
        <v>0.48</v>
      </c>
      <c r="G122" s="188"/>
      <c r="H122" s="188">
        <f t="shared" si="315"/>
        <v>14.399999999999999</v>
      </c>
      <c r="I122" s="465">
        <f t="shared" si="316"/>
        <v>19.921732178900701</v>
      </c>
      <c r="J122" s="149">
        <f t="shared" si="317"/>
        <v>30.44214421136116</v>
      </c>
      <c r="K122" s="149">
        <f t="shared" si="318"/>
        <v>50.363876390261865</v>
      </c>
      <c r="L122" s="379"/>
      <c r="M122" s="188">
        <f t="shared" si="319"/>
        <v>0.604446225362259</v>
      </c>
      <c r="N122" s="149">
        <f t="shared" si="426"/>
        <v>183.21733829403041</v>
      </c>
      <c r="O122" s="149">
        <f t="shared" si="284"/>
        <v>14.399999999999999</v>
      </c>
      <c r="P122" s="188">
        <f t="shared" si="320"/>
        <v>6.1072446098010138</v>
      </c>
      <c r="Q122" s="188">
        <f t="shared" si="321"/>
        <v>30</v>
      </c>
      <c r="R122" s="188"/>
      <c r="S122" s="149">
        <f t="shared" si="322"/>
        <v>608.93390168460087</v>
      </c>
      <c r="T122" s="149">
        <f t="shared" si="323"/>
        <v>30</v>
      </c>
      <c r="U122" s="188">
        <f t="shared" si="324"/>
        <v>2.426977219163676</v>
      </c>
      <c r="V122" s="188">
        <f t="shared" si="325"/>
        <v>0.57258037743074985</v>
      </c>
      <c r="W122" s="188">
        <f t="shared" si="326"/>
        <v>0.37470399098274437</v>
      </c>
      <c r="X122" s="172">
        <f t="shared" si="327"/>
        <v>350</v>
      </c>
      <c r="Y122" s="379">
        <f t="shared" si="328"/>
        <v>350</v>
      </c>
      <c r="AA122" s="188">
        <f t="shared" si="329"/>
        <v>7.320104561416251</v>
      </c>
      <c r="AB122" s="150">
        <f t="shared" si="330"/>
        <v>1.1301599256538719</v>
      </c>
      <c r="AC122" s="150">
        <f t="shared" si="331"/>
        <v>1.4477555447090327</v>
      </c>
      <c r="AD122" s="150"/>
      <c r="AE122" s="150">
        <f t="shared" si="332"/>
        <v>0.93570440659754173</v>
      </c>
      <c r="AF122" s="314">
        <f t="shared" si="333"/>
        <v>169.2842300230075</v>
      </c>
      <c r="AG122" s="456">
        <f t="shared" si="334"/>
        <v>0.99241376457315034</v>
      </c>
      <c r="AI122" s="150">
        <f t="shared" si="335"/>
        <v>4.2149292085122898</v>
      </c>
      <c r="AJ122" s="150">
        <f t="shared" si="336"/>
        <v>6.0606060606060606</v>
      </c>
      <c r="AK122" s="150">
        <f t="shared" si="337"/>
        <v>1.0967338457274329</v>
      </c>
      <c r="AM122" s="314">
        <f t="shared" si="338"/>
        <v>480</v>
      </c>
      <c r="AN122" s="144">
        <f t="shared" si="339"/>
        <v>169.2842300230075</v>
      </c>
      <c r="AP122" s="144">
        <f t="shared" si="340"/>
        <v>480</v>
      </c>
      <c r="AQ122" s="144">
        <f t="shared" si="341"/>
        <v>169.2842300230075</v>
      </c>
      <c r="AS122" s="5">
        <f t="shared" si="285"/>
        <v>5.9072247891258955</v>
      </c>
      <c r="AT122" s="5">
        <f t="shared" si="342"/>
        <v>1.4298379392439107</v>
      </c>
      <c r="AU122" s="5">
        <f t="shared" si="343"/>
        <v>4.4773868498819844</v>
      </c>
      <c r="AV122" s="5"/>
      <c r="AW122" s="150">
        <f t="shared" si="344"/>
        <v>0.24204901460258918</v>
      </c>
      <c r="AX122" s="150">
        <f t="shared" si="214"/>
        <v>14.612229221453353</v>
      </c>
      <c r="AY122" s="150">
        <f t="shared" si="215"/>
        <v>2.2968211678709416</v>
      </c>
      <c r="AZ122" s="150">
        <f t="shared" si="288"/>
        <v>6.3619359773657456</v>
      </c>
      <c r="BA122" s="144">
        <f t="shared" si="433"/>
        <v>2.287740702790257</v>
      </c>
      <c r="BB122" s="5">
        <f t="shared" si="434"/>
        <v>1.9037551571764839</v>
      </c>
      <c r="BD122" s="150">
        <f t="shared" si="289"/>
        <v>1.7215002412238258</v>
      </c>
      <c r="BE122" s="150">
        <f t="shared" si="218"/>
        <v>3.0463232800790006</v>
      </c>
      <c r="BG122" s="456">
        <f t="shared" si="347"/>
        <v>3.5562756966404284E-2</v>
      </c>
      <c r="BH122" s="456">
        <f t="shared" si="348"/>
        <v>0.94300626152432843</v>
      </c>
      <c r="BI122" s="456">
        <f t="shared" si="349"/>
        <v>1.9467686452645863E-2</v>
      </c>
      <c r="BJ122" s="456">
        <f t="shared" si="350"/>
        <v>0.22221079613079386</v>
      </c>
      <c r="BK122">
        <f t="shared" si="351"/>
        <v>8.9647794805053152E-3</v>
      </c>
      <c r="BL122" s="144">
        <f t="shared" si="427"/>
        <v>28.432465933151178</v>
      </c>
      <c r="BM122" s="456">
        <f t="shared" si="352"/>
        <v>1.2206962899386131</v>
      </c>
      <c r="BN122" s="144">
        <f t="shared" si="353"/>
        <v>1220.6962899386131</v>
      </c>
      <c r="BO122" s="456">
        <f t="shared" si="354"/>
        <v>0.33599999999999997</v>
      </c>
      <c r="BR122" s="144">
        <f t="shared" si="355"/>
        <v>335.99999999999994</v>
      </c>
      <c r="BS122" s="456">
        <f t="shared" si="356"/>
        <v>4.148988312747167E-2</v>
      </c>
      <c r="BT122" s="456">
        <f t="shared" si="357"/>
        <v>0.12992119737451793</v>
      </c>
      <c r="BU122" s="456">
        <f t="shared" si="358"/>
        <v>1.6857819524302999</v>
      </c>
      <c r="BV122" s="456"/>
      <c r="BW122" s="456">
        <f t="shared" si="359"/>
        <v>0.62179698814695128</v>
      </c>
      <c r="BX122" s="144">
        <f t="shared" si="360"/>
        <v>2478.9900210792407</v>
      </c>
      <c r="BY122" s="150">
        <f t="shared" si="361"/>
        <v>4.044202301633919</v>
      </c>
      <c r="BZ122" s="5">
        <f t="shared" si="362"/>
        <v>14.399999999999999</v>
      </c>
      <c r="CA122" s="150">
        <f t="shared" si="363"/>
        <v>0.78073314120634774</v>
      </c>
      <c r="CB122" s="5">
        <f t="shared" si="364"/>
        <v>78.073314120634777</v>
      </c>
      <c r="CE122" s="59">
        <f t="shared" si="365"/>
        <v>-50</v>
      </c>
      <c r="CF122">
        <f t="shared" si="366"/>
        <v>-50</v>
      </c>
      <c r="CG122" s="150">
        <f t="shared" si="367"/>
        <v>0.15945250327291824</v>
      </c>
      <c r="CI122" s="147">
        <v>12</v>
      </c>
      <c r="CJ122" s="188">
        <f t="shared" si="428"/>
        <v>0.48</v>
      </c>
      <c r="CK122" s="188"/>
      <c r="CL122" s="188">
        <f t="shared" si="368"/>
        <v>14.399999999999999</v>
      </c>
      <c r="CM122" s="465">
        <f t="shared" si="369"/>
        <v>20</v>
      </c>
      <c r="CN122" s="379">
        <f t="shared" si="370"/>
        <v>30.4</v>
      </c>
      <c r="CO122" s="379">
        <f t="shared" si="371"/>
        <v>50.4</v>
      </c>
      <c r="CP122" s="379"/>
      <c r="CQ122" s="188">
        <f t="shared" si="372"/>
        <v>0.60317460317460314</v>
      </c>
      <c r="CR122" s="149">
        <f t="shared" si="429"/>
        <v>183.55019291189507</v>
      </c>
      <c r="CS122" s="149">
        <f t="shared" si="373"/>
        <v>14.399999999999999</v>
      </c>
      <c r="CT122" s="188">
        <f t="shared" si="374"/>
        <v>6.1183397637298356</v>
      </c>
      <c r="CU122" s="188">
        <f t="shared" si="375"/>
        <v>30</v>
      </c>
      <c r="CV122" s="188"/>
      <c r="CW122" s="149">
        <f t="shared" si="376"/>
        <v>611.32620905915803</v>
      </c>
      <c r="CX122" s="149">
        <f t="shared" si="377"/>
        <v>30</v>
      </c>
      <c r="CY122" s="188">
        <f t="shared" si="378"/>
        <v>2.3873684210526314</v>
      </c>
      <c r="CZ122" s="188">
        <f t="shared" si="379"/>
        <v>0.56103157894736833</v>
      </c>
      <c r="DA122" s="188">
        <f t="shared" si="380"/>
        <v>0.36909972299168975</v>
      </c>
      <c r="DB122" s="172">
        <f t="shared" si="381"/>
        <v>350</v>
      </c>
      <c r="DC122" s="379">
        <f t="shared" si="382"/>
        <v>350</v>
      </c>
      <c r="DE122" s="188">
        <f t="shared" si="383"/>
        <v>7.3334298258310406</v>
      </c>
      <c r="DF122" s="150">
        <f t="shared" si="384"/>
        <v>1.1337868480725624</v>
      </c>
      <c r="DG122" s="150">
        <f t="shared" si="385"/>
        <v>1.4550456003633017</v>
      </c>
      <c r="DH122" s="150"/>
      <c r="DI122" s="150">
        <f t="shared" si="386"/>
        <v>0.93700159489633172</v>
      </c>
      <c r="DJ122" s="314">
        <f t="shared" si="387"/>
        <v>169.04987234042554</v>
      </c>
      <c r="DK122" s="456">
        <f t="shared" si="388"/>
        <v>0.99378957034459414</v>
      </c>
      <c r="DM122" s="150">
        <f t="shared" si="389"/>
        <v>4.212010616635534</v>
      </c>
      <c r="DN122" s="150">
        <f t="shared" si="390"/>
        <v>6.0606060606060606</v>
      </c>
      <c r="DO122" s="150">
        <f t="shared" si="391"/>
        <v>1.0965999270516718</v>
      </c>
      <c r="DQ122" s="314">
        <f t="shared" si="392"/>
        <v>480</v>
      </c>
      <c r="DR122" s="144">
        <f t="shared" si="393"/>
        <v>169.04987234042554</v>
      </c>
      <c r="DT122">
        <f t="shared" si="430"/>
        <v>480</v>
      </c>
      <c r="DU122">
        <f t="shared" si="431"/>
        <v>169.04987234042554</v>
      </c>
      <c r="DW122" s="5">
        <f t="shared" si="394"/>
        <v>5.9154141091940131</v>
      </c>
      <c r="DX122" s="5">
        <f t="shared" si="395"/>
        <v>1.4242424242424243</v>
      </c>
      <c r="DY122" s="5">
        <f t="shared" si="396"/>
        <v>4.4911716849515884</v>
      </c>
      <c r="DZ122" s="5"/>
      <c r="EA122" s="150">
        <f t="shared" si="397"/>
        <v>0.24076800000000004</v>
      </c>
      <c r="EB122" s="150">
        <f t="shared" si="398"/>
        <v>14.591999999999997</v>
      </c>
      <c r="EC122" s="150">
        <f t="shared" si="399"/>
        <v>2.3007030303030298</v>
      </c>
      <c r="ED122" s="150">
        <f t="shared" si="400"/>
        <v>6.3424091713731769</v>
      </c>
      <c r="EE122" s="144">
        <f t="shared" si="401"/>
        <v>2.2787878787878788</v>
      </c>
      <c r="EF122" s="5">
        <f t="shared" si="402"/>
        <v>1.9021433018618488</v>
      </c>
      <c r="EH122" s="150">
        <f t="shared" si="403"/>
        <v>1.7169387839637114</v>
      </c>
      <c r="EI122" s="150">
        <f t="shared" si="404"/>
        <v>3.0488964920781063</v>
      </c>
      <c r="EK122" s="456">
        <f t="shared" si="405"/>
        <v>3.5374545454545457E-2</v>
      </c>
      <c r="EL122" s="456">
        <f t="shared" si="406"/>
        <v>0.98110398638297869</v>
      </c>
      <c r="EM122" s="456">
        <f t="shared" si="407"/>
        <v>1.9440735319148937E-2</v>
      </c>
      <c r="EN122" s="456">
        <f t="shared" si="408"/>
        <v>0.22222160202730215</v>
      </c>
      <c r="EO122">
        <f t="shared" si="409"/>
        <v>8.9999999999999993E-3</v>
      </c>
      <c r="EP122" s="144">
        <f t="shared" si="410"/>
        <v>28.440735319148938</v>
      </c>
      <c r="EQ122" s="144"/>
      <c r="ER122" s="144">
        <f t="shared" si="432"/>
        <v>1267.1408691839754</v>
      </c>
      <c r="ES122" s="456">
        <f t="shared" si="411"/>
        <v>0.33599999999999997</v>
      </c>
      <c r="EV122" s="144">
        <f t="shared" si="412"/>
        <v>335.99999999999994</v>
      </c>
      <c r="EW122" s="456">
        <f t="shared" si="413"/>
        <v>4.1270303030303032E-2</v>
      </c>
      <c r="EX122" s="456">
        <f t="shared" si="414"/>
        <v>0.13014077747168656</v>
      </c>
      <c r="EY122" s="456">
        <f t="shared" si="415"/>
        <v>1.6799535028765462</v>
      </c>
      <c r="EZ122" s="456"/>
      <c r="FA122" s="456">
        <f t="shared" si="416"/>
        <v>0.62093617021276593</v>
      </c>
      <c r="FB122" s="144">
        <f t="shared" si="417"/>
        <v>2472.3007535913021</v>
      </c>
      <c r="FC122" s="150">
        <f t="shared" si="418"/>
        <v>4.0754416227752772</v>
      </c>
      <c r="FD122" s="5">
        <f t="shared" si="419"/>
        <v>14.399999999999999</v>
      </c>
      <c r="FE122" s="150">
        <f t="shared" si="420"/>
        <v>0.77941303347513236</v>
      </c>
      <c r="FF122" s="5">
        <f t="shared" si="421"/>
        <v>77.941303347513241</v>
      </c>
      <c r="FI122" s="59">
        <f t="shared" si="422"/>
        <v>-50</v>
      </c>
      <c r="FJ122">
        <f t="shared" si="423"/>
        <v>-50</v>
      </c>
      <c r="FL122">
        <f t="shared" si="424"/>
        <v>0.15840000000000001</v>
      </c>
    </row>
    <row r="123" spans="5:168">
      <c r="E123" s="147">
        <v>13</v>
      </c>
      <c r="F123" s="188">
        <f t="shared" si="425"/>
        <v>0.52</v>
      </c>
      <c r="G123" s="188"/>
      <c r="H123" s="188">
        <f t="shared" si="315"/>
        <v>15.600000000000001</v>
      </c>
      <c r="I123" s="465">
        <f t="shared" si="316"/>
        <v>19.921732178900701</v>
      </c>
      <c r="J123" s="149">
        <f t="shared" si="317"/>
        <v>30.44214421136116</v>
      </c>
      <c r="K123" s="149">
        <f t="shared" si="318"/>
        <v>50.363876390261865</v>
      </c>
      <c r="L123" s="379"/>
      <c r="M123" s="188">
        <f t="shared" si="319"/>
        <v>0.604446225362259</v>
      </c>
      <c r="N123" s="149">
        <f t="shared" si="426"/>
        <v>183.21733829403041</v>
      </c>
      <c r="O123" s="149">
        <f t="shared" si="284"/>
        <v>15.600000000000001</v>
      </c>
      <c r="P123" s="188">
        <f t="shared" si="320"/>
        <v>6.1072446098010138</v>
      </c>
      <c r="Q123" s="188">
        <f t="shared" si="321"/>
        <v>30</v>
      </c>
      <c r="R123" s="188"/>
      <c r="S123" s="149">
        <f t="shared" si="322"/>
        <v>560.56252504641577</v>
      </c>
      <c r="T123" s="149">
        <f t="shared" si="323"/>
        <v>30</v>
      </c>
      <c r="U123" s="188">
        <f t="shared" si="324"/>
        <v>2.6292253207606491</v>
      </c>
      <c r="V123" s="188">
        <f t="shared" si="325"/>
        <v>0.62029540888331225</v>
      </c>
      <c r="W123" s="188">
        <f t="shared" si="326"/>
        <v>0.40592932356463979</v>
      </c>
      <c r="X123" s="172">
        <f t="shared" si="327"/>
        <v>350</v>
      </c>
      <c r="Y123" s="379">
        <f t="shared" si="328"/>
        <v>350</v>
      </c>
      <c r="AA123" s="188">
        <f t="shared" si="329"/>
        <v>7.320104561416251</v>
      </c>
      <c r="AB123" s="150">
        <f t="shared" si="330"/>
        <v>1.1301599256538719</v>
      </c>
      <c r="AC123" s="150">
        <f t="shared" si="331"/>
        <v>1.4477555447090327</v>
      </c>
      <c r="AD123" s="150"/>
      <c r="AE123" s="150">
        <f t="shared" si="332"/>
        <v>0.93570440659754173</v>
      </c>
      <c r="AF123" s="314">
        <f t="shared" si="333"/>
        <v>183.3912491915915</v>
      </c>
      <c r="AG123" s="456">
        <f t="shared" si="334"/>
        <v>0.99241376457315034</v>
      </c>
      <c r="AI123" s="150">
        <f t="shared" si="335"/>
        <v>4.3870374117583664</v>
      </c>
      <c r="AJ123" s="150">
        <f t="shared" si="336"/>
        <v>6.0606060606060606</v>
      </c>
      <c r="AK123" s="150">
        <f t="shared" si="337"/>
        <v>1.1047949995380524</v>
      </c>
      <c r="AM123" s="314">
        <f t="shared" si="338"/>
        <v>520</v>
      </c>
      <c r="AN123" s="144">
        <f t="shared" si="339"/>
        <v>183.3912491915915</v>
      </c>
      <c r="AP123" s="144">
        <f t="shared" si="340"/>
        <v>520</v>
      </c>
      <c r="AQ123" s="144">
        <f t="shared" si="341"/>
        <v>183.3912491915915</v>
      </c>
      <c r="AS123" s="5">
        <f t="shared" si="285"/>
        <v>5.4528228822700564</v>
      </c>
      <c r="AT123" s="5">
        <f t="shared" si="342"/>
        <v>1.4298379392439107</v>
      </c>
      <c r="AU123" s="5">
        <f t="shared" si="343"/>
        <v>4.0229849430261453</v>
      </c>
      <c r="AV123" s="5"/>
      <c r="AW123" s="150">
        <f t="shared" si="344"/>
        <v>0.26221976581947165</v>
      </c>
      <c r="AX123" s="150">
        <f t="shared" si="214"/>
        <v>15.829914989907802</v>
      </c>
      <c r="AY123" s="150">
        <f t="shared" si="215"/>
        <v>2.2356976793349346</v>
      </c>
      <c r="AZ123" s="150">
        <f t="shared" si="288"/>
        <v>7.0805257509668369</v>
      </c>
      <c r="BA123" s="144">
        <f t="shared" si="433"/>
        <v>2.4783857613561118</v>
      </c>
      <c r="BB123" s="5">
        <f t="shared" si="434"/>
        <v>1.8530920240807074</v>
      </c>
      <c r="BD123" s="150">
        <f t="shared" si="289"/>
        <v>1.7917942601141923</v>
      </c>
      <c r="BE123" s="150">
        <f t="shared" si="218"/>
        <v>3.0055152531149809</v>
      </c>
      <c r="BG123" s="456">
        <f t="shared" si="347"/>
        <v>3.8526320046937991E-2</v>
      </c>
      <c r="BH123" s="456">
        <f t="shared" si="348"/>
        <v>1.0215901166513559</v>
      </c>
      <c r="BI123" s="456">
        <f t="shared" si="349"/>
        <v>2.1089993657033027E-2</v>
      </c>
      <c r="BJ123" s="456">
        <f t="shared" si="350"/>
        <v>0.24072836247502671</v>
      </c>
      <c r="BK123">
        <f t="shared" si="351"/>
        <v>8.9647794805053152E-3</v>
      </c>
      <c r="BL123" s="144">
        <f t="shared" si="427"/>
        <v>30.054773137538341</v>
      </c>
      <c r="BM123" s="456">
        <f t="shared" si="352"/>
        <v>1.323360756265944</v>
      </c>
      <c r="BN123" s="144">
        <f t="shared" si="353"/>
        <v>1323.360756265944</v>
      </c>
      <c r="BO123" s="456">
        <f t="shared" si="354"/>
        <v>0.36399999999999999</v>
      </c>
      <c r="BR123" s="144">
        <f t="shared" si="355"/>
        <v>364</v>
      </c>
      <c r="BS123" s="456">
        <f t="shared" si="356"/>
        <v>4.4947373388094319E-2</v>
      </c>
      <c r="BT123" s="456">
        <f t="shared" si="357"/>
        <v>0.12646370711389532</v>
      </c>
      <c r="BU123" s="456">
        <f t="shared" si="358"/>
        <v>2.0592385778404054</v>
      </c>
      <c r="BV123" s="456"/>
      <c r="BW123" s="456">
        <f t="shared" si="359"/>
        <v>0.6736134038258641</v>
      </c>
      <c r="BX123" s="144">
        <f t="shared" si="360"/>
        <v>2904.2630621682592</v>
      </c>
      <c r="BY123" s="150">
        <f t="shared" si="361"/>
        <v>4.5991626344791179</v>
      </c>
      <c r="BZ123" s="5">
        <f t="shared" si="362"/>
        <v>15.600000000000001</v>
      </c>
      <c r="CA123" s="150">
        <f t="shared" si="363"/>
        <v>0.77230924282828728</v>
      </c>
      <c r="CB123" s="5">
        <f t="shared" si="364"/>
        <v>77.230924282828724</v>
      </c>
      <c r="CE123" s="59">
        <f t="shared" si="365"/>
        <v>-50</v>
      </c>
      <c r="CF123">
        <f t="shared" si="366"/>
        <v>-50</v>
      </c>
      <c r="CG123" s="150">
        <f t="shared" si="367"/>
        <v>0.17274021187899477</v>
      </c>
      <c r="CI123" s="147">
        <v>13</v>
      </c>
      <c r="CJ123" s="188">
        <f t="shared" si="428"/>
        <v>0.52</v>
      </c>
      <c r="CK123" s="188"/>
      <c r="CL123" s="188">
        <f t="shared" si="368"/>
        <v>15.600000000000001</v>
      </c>
      <c r="CM123" s="465">
        <f t="shared" si="369"/>
        <v>20</v>
      </c>
      <c r="CN123" s="379">
        <f t="shared" si="370"/>
        <v>30.4</v>
      </c>
      <c r="CO123" s="379">
        <f t="shared" si="371"/>
        <v>50.4</v>
      </c>
      <c r="CP123" s="379"/>
      <c r="CQ123" s="188">
        <f t="shared" si="372"/>
        <v>0.60317460317460314</v>
      </c>
      <c r="CR123" s="149">
        <f t="shared" si="429"/>
        <v>183.55019291189507</v>
      </c>
      <c r="CS123" s="149">
        <f t="shared" si="373"/>
        <v>15.600000000000001</v>
      </c>
      <c r="CT123" s="188">
        <f t="shared" si="374"/>
        <v>6.1183397637298356</v>
      </c>
      <c r="CU123" s="188">
        <f t="shared" si="375"/>
        <v>30</v>
      </c>
      <c r="CV123" s="188"/>
      <c r="CW123" s="149">
        <f t="shared" si="376"/>
        <v>562.7647881841749</v>
      </c>
      <c r="CX123" s="149">
        <f t="shared" si="377"/>
        <v>30</v>
      </c>
      <c r="CY123" s="188">
        <f t="shared" si="378"/>
        <v>2.5863157894736846</v>
      </c>
      <c r="CZ123" s="188">
        <f t="shared" si="379"/>
        <v>0.60778421052631593</v>
      </c>
      <c r="DA123" s="188">
        <f t="shared" si="380"/>
        <v>0.39985803324099733</v>
      </c>
      <c r="DB123" s="172">
        <f t="shared" si="381"/>
        <v>350</v>
      </c>
      <c r="DC123" s="379">
        <f t="shared" si="382"/>
        <v>350</v>
      </c>
      <c r="DE123" s="188">
        <f t="shared" si="383"/>
        <v>7.3334298258310406</v>
      </c>
      <c r="DF123" s="150">
        <f t="shared" si="384"/>
        <v>1.1337868480725624</v>
      </c>
      <c r="DG123" s="150">
        <f t="shared" si="385"/>
        <v>1.4550456003633017</v>
      </c>
      <c r="DH123" s="150"/>
      <c r="DI123" s="150">
        <f t="shared" si="386"/>
        <v>0.93700159489633172</v>
      </c>
      <c r="DJ123" s="314">
        <f t="shared" si="387"/>
        <v>183.13736170212766</v>
      </c>
      <c r="DK123" s="456">
        <f t="shared" si="388"/>
        <v>0.99378957034459414</v>
      </c>
      <c r="DM123" s="150">
        <f t="shared" si="389"/>
        <v>4.3839996450202863</v>
      </c>
      <c r="DN123" s="150">
        <f t="shared" si="390"/>
        <v>6.0606060606060606</v>
      </c>
      <c r="DO123" s="150">
        <f t="shared" si="391"/>
        <v>1.1046499209726444</v>
      </c>
      <c r="DQ123" s="314">
        <f t="shared" si="392"/>
        <v>520</v>
      </c>
      <c r="DR123" s="144">
        <f t="shared" si="393"/>
        <v>183.13736170212766</v>
      </c>
      <c r="DT123">
        <f t="shared" si="430"/>
        <v>520</v>
      </c>
      <c r="DU123">
        <f t="shared" si="431"/>
        <v>183.13736170212766</v>
      </c>
      <c r="DW123" s="5">
        <f t="shared" si="394"/>
        <v>5.4603822546406278</v>
      </c>
      <c r="DX123" s="5">
        <f t="shared" si="395"/>
        <v>1.4242424242424243</v>
      </c>
      <c r="DY123" s="5">
        <f t="shared" si="396"/>
        <v>4.0361398303982039</v>
      </c>
      <c r="DZ123" s="5"/>
      <c r="EA123" s="150">
        <f t="shared" si="397"/>
        <v>0.26083200000000001</v>
      </c>
      <c r="EB123" s="150">
        <f t="shared" si="398"/>
        <v>15.808</v>
      </c>
      <c r="EC123" s="150">
        <f t="shared" si="399"/>
        <v>2.2399030303030303</v>
      </c>
      <c r="ED123" s="150">
        <f t="shared" si="400"/>
        <v>7.0574483743885015</v>
      </c>
      <c r="EE123" s="144">
        <f t="shared" si="401"/>
        <v>2.468686868686869</v>
      </c>
      <c r="EF123" s="5">
        <f t="shared" si="402"/>
        <v>1.8518759221827052</v>
      </c>
      <c r="EH123" s="150">
        <f t="shared" si="403"/>
        <v>1.7870465448709929</v>
      </c>
      <c r="EI123" s="150">
        <f t="shared" si="404"/>
        <v>3.0083406146494811</v>
      </c>
      <c r="EK123" s="456">
        <f t="shared" si="405"/>
        <v>3.8322424242424248E-2</v>
      </c>
      <c r="EL123" s="456">
        <f t="shared" si="406"/>
        <v>1.0628626519148936</v>
      </c>
      <c r="EM123" s="456">
        <f t="shared" si="407"/>
        <v>2.1060796595744686E-2</v>
      </c>
      <c r="EN123" s="456">
        <f t="shared" si="408"/>
        <v>0.24074006886291066</v>
      </c>
      <c r="EO123">
        <f t="shared" si="409"/>
        <v>8.9999999999999993E-3</v>
      </c>
      <c r="EP123" s="144">
        <f t="shared" si="410"/>
        <v>30.060796595744684</v>
      </c>
      <c r="EQ123" s="144"/>
      <c r="ER123" s="144">
        <f t="shared" si="432"/>
        <v>1371.9859416159732</v>
      </c>
      <c r="ES123" s="456">
        <f t="shared" si="411"/>
        <v>0.36399999999999999</v>
      </c>
      <c r="EV123" s="144">
        <f t="shared" si="412"/>
        <v>364</v>
      </c>
      <c r="EW123" s="456">
        <f t="shared" si="413"/>
        <v>4.470949494949495E-2</v>
      </c>
      <c r="EX123" s="456">
        <f t="shared" si="414"/>
        <v>0.12670158555249467</v>
      </c>
      <c r="EY123" s="456">
        <f t="shared" si="415"/>
        <v>2.0521189333615988</v>
      </c>
      <c r="EZ123" s="456"/>
      <c r="FA123" s="456">
        <f t="shared" si="416"/>
        <v>0.6726808510638298</v>
      </c>
      <c r="FB123" s="144">
        <f t="shared" si="417"/>
        <v>2896.2108649274182</v>
      </c>
      <c r="FC123" s="150">
        <f t="shared" si="418"/>
        <v>4.6321968065433916</v>
      </c>
      <c r="FD123" s="5">
        <f t="shared" si="419"/>
        <v>15.600000000000001</v>
      </c>
      <c r="FE123" s="150">
        <f t="shared" si="420"/>
        <v>0.77104825289929613</v>
      </c>
      <c r="FF123" s="5">
        <f t="shared" si="421"/>
        <v>77.104825289929607</v>
      </c>
      <c r="FI123" s="59">
        <f t="shared" si="422"/>
        <v>-50</v>
      </c>
      <c r="FJ123">
        <f t="shared" si="423"/>
        <v>-50</v>
      </c>
      <c r="FL123">
        <f t="shared" si="424"/>
        <v>0.1716</v>
      </c>
    </row>
    <row r="124" spans="5:168">
      <c r="E124" s="147">
        <v>14</v>
      </c>
      <c r="F124" s="188">
        <f t="shared" si="425"/>
        <v>0.56000000000000005</v>
      </c>
      <c r="G124" s="188"/>
      <c r="H124" s="188">
        <f t="shared" si="315"/>
        <v>16.8</v>
      </c>
      <c r="I124" s="465">
        <f t="shared" si="316"/>
        <v>19.921732178900701</v>
      </c>
      <c r="J124" s="149">
        <f t="shared" si="317"/>
        <v>30.44214421136116</v>
      </c>
      <c r="K124" s="149">
        <f t="shared" si="318"/>
        <v>50.363876390261865</v>
      </c>
      <c r="L124" s="379"/>
      <c r="M124" s="188">
        <f t="shared" si="319"/>
        <v>0.604446225362259</v>
      </c>
      <c r="N124" s="149">
        <f t="shared" si="426"/>
        <v>183.21733829403041</v>
      </c>
      <c r="O124" s="149">
        <f t="shared" si="284"/>
        <v>16.8</v>
      </c>
      <c r="P124" s="188">
        <f t="shared" si="320"/>
        <v>6.1072446098010138</v>
      </c>
      <c r="Q124" s="188">
        <f t="shared" si="321"/>
        <v>30</v>
      </c>
      <c r="R124" s="188"/>
      <c r="S124" s="149">
        <f t="shared" si="322"/>
        <v>519.10151220829539</v>
      </c>
      <c r="T124" s="149">
        <f t="shared" si="323"/>
        <v>30</v>
      </c>
      <c r="U124" s="188">
        <f t="shared" si="324"/>
        <v>2.8314734223576226</v>
      </c>
      <c r="V124" s="188">
        <f t="shared" si="325"/>
        <v>0.66801044033587487</v>
      </c>
      <c r="W124" s="188">
        <f t="shared" si="326"/>
        <v>0.43715465614653526</v>
      </c>
      <c r="X124" s="172">
        <f t="shared" si="327"/>
        <v>350</v>
      </c>
      <c r="Y124" s="379">
        <f t="shared" si="328"/>
        <v>350</v>
      </c>
      <c r="AA124" s="188">
        <f t="shared" si="329"/>
        <v>7.320104561416251</v>
      </c>
      <c r="AB124" s="150">
        <f t="shared" si="330"/>
        <v>1.1301599256538719</v>
      </c>
      <c r="AC124" s="150">
        <f t="shared" si="331"/>
        <v>1.4477555447090327</v>
      </c>
      <c r="AD124" s="150"/>
      <c r="AE124" s="150">
        <f t="shared" si="332"/>
        <v>0.93570440659754173</v>
      </c>
      <c r="AF124" s="314">
        <f t="shared" si="333"/>
        <v>197.49826836017544</v>
      </c>
      <c r="AG124" s="456">
        <f t="shared" si="334"/>
        <v>0.99241376457315034</v>
      </c>
      <c r="AI124" s="150">
        <f t="shared" si="335"/>
        <v>4.5526438770856048</v>
      </c>
      <c r="AJ124" s="150">
        <f t="shared" si="336"/>
        <v>6.0606060606060606</v>
      </c>
      <c r="AK124" s="150">
        <f t="shared" si="337"/>
        <v>1.1128561533486716</v>
      </c>
      <c r="AM124" s="314">
        <f t="shared" si="338"/>
        <v>560</v>
      </c>
      <c r="AN124" s="144">
        <f t="shared" si="339"/>
        <v>197.49826836017544</v>
      </c>
      <c r="AP124" s="144">
        <f t="shared" si="340"/>
        <v>560</v>
      </c>
      <c r="AQ124" s="144">
        <f t="shared" si="341"/>
        <v>197.49826836017544</v>
      </c>
      <c r="AS124" s="5">
        <f t="shared" si="285"/>
        <v>5.0633355335364811</v>
      </c>
      <c r="AT124" s="5">
        <f t="shared" si="342"/>
        <v>1.4298379392439107</v>
      </c>
      <c r="AU124" s="5">
        <f t="shared" si="343"/>
        <v>3.6334975942925705</v>
      </c>
      <c r="AV124" s="5"/>
      <c r="AW124" s="150">
        <f t="shared" si="344"/>
        <v>0.28239051703635409</v>
      </c>
      <c r="AX124" s="150">
        <f t="shared" si="214"/>
        <v>17.047600758362247</v>
      </c>
      <c r="AY124" s="150">
        <f t="shared" si="215"/>
        <v>2.1745741907989271</v>
      </c>
      <c r="AZ124" s="150">
        <f t="shared" si="288"/>
        <v>7.8395121355225168</v>
      </c>
      <c r="BA124" s="144">
        <f t="shared" si="433"/>
        <v>2.669030819921967</v>
      </c>
      <c r="BB124" s="5">
        <f t="shared" si="434"/>
        <v>1.8024288909849313</v>
      </c>
      <c r="BD124" s="150">
        <f t="shared" si="289"/>
        <v>1.8594327792696994</v>
      </c>
      <c r="BE124" s="150">
        <f t="shared" si="218"/>
        <v>2.9641454665151525</v>
      </c>
      <c r="BG124" s="456">
        <f t="shared" si="347"/>
        <v>4.1489883127471663E-2</v>
      </c>
      <c r="BH124" s="456">
        <f t="shared" si="348"/>
        <v>1.1001739717783834</v>
      </c>
      <c r="BI124" s="456">
        <f t="shared" si="349"/>
        <v>2.2712300861420176E-2</v>
      </c>
      <c r="BJ124" s="456">
        <f t="shared" si="350"/>
        <v>0.25924592881925951</v>
      </c>
      <c r="BK124">
        <f t="shared" si="351"/>
        <v>8.9647794805053152E-3</v>
      </c>
      <c r="BL124" s="144">
        <f t="shared" si="427"/>
        <v>31.677080341925492</v>
      </c>
      <c r="BM124" s="456">
        <f t="shared" si="352"/>
        <v>1.4261712429069942</v>
      </c>
      <c r="BN124" s="144">
        <f t="shared" si="353"/>
        <v>1426.1712429069942</v>
      </c>
      <c r="BO124" s="456">
        <f t="shared" si="354"/>
        <v>0.39200000000000002</v>
      </c>
      <c r="BR124" s="144">
        <f t="shared" si="355"/>
        <v>392</v>
      </c>
      <c r="BS124" s="456">
        <f t="shared" si="356"/>
        <v>4.8404863648716941E-2</v>
      </c>
      <c r="BT124" s="456">
        <f t="shared" si="357"/>
        <v>0.12300621685327263</v>
      </c>
      <c r="BU124" s="456">
        <f t="shared" si="358"/>
        <v>2.4783827300003209</v>
      </c>
      <c r="BV124" s="456"/>
      <c r="BW124" s="456">
        <f t="shared" si="359"/>
        <v>0.72542981950477659</v>
      </c>
      <c r="BX124" s="144">
        <f t="shared" si="360"/>
        <v>3375.2236300070872</v>
      </c>
      <c r="BY124" s="150">
        <f t="shared" si="361"/>
        <v>5.1998104940741268</v>
      </c>
      <c r="BZ124" s="5">
        <f t="shared" si="362"/>
        <v>16.8</v>
      </c>
      <c r="CA124" s="150">
        <f t="shared" si="363"/>
        <v>0.76364294158466739</v>
      </c>
      <c r="CB124" s="5">
        <f t="shared" si="364"/>
        <v>76.364294158466734</v>
      </c>
      <c r="CE124" s="59">
        <f t="shared" si="365"/>
        <v>-50</v>
      </c>
      <c r="CF124">
        <f t="shared" si="366"/>
        <v>-50</v>
      </c>
      <c r="CG124" s="150">
        <f t="shared" si="367"/>
        <v>0.1860279204850713</v>
      </c>
      <c r="CI124" s="147">
        <v>14</v>
      </c>
      <c r="CJ124" s="188">
        <f t="shared" si="428"/>
        <v>0.56000000000000005</v>
      </c>
      <c r="CK124" s="188"/>
      <c r="CL124" s="188">
        <f t="shared" si="368"/>
        <v>16.8</v>
      </c>
      <c r="CM124" s="465">
        <f t="shared" si="369"/>
        <v>20</v>
      </c>
      <c r="CN124" s="379">
        <f t="shared" si="370"/>
        <v>30.4</v>
      </c>
      <c r="CO124" s="379">
        <f t="shared" si="371"/>
        <v>50.4</v>
      </c>
      <c r="CP124" s="379"/>
      <c r="CQ124" s="188">
        <f t="shared" si="372"/>
        <v>0.60317460317460314</v>
      </c>
      <c r="CR124" s="149">
        <f t="shared" si="429"/>
        <v>183.55019291189507</v>
      </c>
      <c r="CS124" s="149">
        <f t="shared" si="373"/>
        <v>16.8</v>
      </c>
      <c r="CT124" s="188">
        <f t="shared" si="374"/>
        <v>6.1183397637298356</v>
      </c>
      <c r="CU124" s="188">
        <f t="shared" si="375"/>
        <v>30</v>
      </c>
      <c r="CV124" s="188"/>
      <c r="CW124" s="149">
        <f t="shared" si="376"/>
        <v>521.14088028744072</v>
      </c>
      <c r="CX124" s="149">
        <f t="shared" si="377"/>
        <v>30</v>
      </c>
      <c r="CY124" s="188">
        <f t="shared" si="378"/>
        <v>2.7852631578947369</v>
      </c>
      <c r="CZ124" s="188">
        <f t="shared" si="379"/>
        <v>0.65453684210526319</v>
      </c>
      <c r="DA124" s="188">
        <f t="shared" si="380"/>
        <v>0.43061634349030475</v>
      </c>
      <c r="DB124" s="172">
        <f t="shared" si="381"/>
        <v>350</v>
      </c>
      <c r="DC124" s="379">
        <f t="shared" si="382"/>
        <v>350</v>
      </c>
      <c r="DE124" s="188">
        <f t="shared" si="383"/>
        <v>7.3334298258310406</v>
      </c>
      <c r="DF124" s="150">
        <f t="shared" si="384"/>
        <v>1.1337868480725624</v>
      </c>
      <c r="DG124" s="150">
        <f t="shared" si="385"/>
        <v>1.4550456003633017</v>
      </c>
      <c r="DH124" s="150"/>
      <c r="DI124" s="150">
        <f t="shared" si="386"/>
        <v>0.93700159489633172</v>
      </c>
      <c r="DJ124" s="314">
        <f t="shared" si="387"/>
        <v>197.22485106382982</v>
      </c>
      <c r="DK124" s="456">
        <f t="shared" si="388"/>
        <v>0.99378957034459414</v>
      </c>
      <c r="DM124" s="150">
        <f t="shared" si="389"/>
        <v>4.5494914375593165</v>
      </c>
      <c r="DN124" s="150">
        <f t="shared" si="390"/>
        <v>6.0606060606060606</v>
      </c>
      <c r="DO124" s="150">
        <f t="shared" si="391"/>
        <v>1.112699914893617</v>
      </c>
      <c r="DQ124" s="314">
        <f t="shared" si="392"/>
        <v>560</v>
      </c>
      <c r="DR124" s="144">
        <f t="shared" si="393"/>
        <v>197.22485106382982</v>
      </c>
      <c r="DT124">
        <f t="shared" si="430"/>
        <v>560</v>
      </c>
      <c r="DU124">
        <f t="shared" si="431"/>
        <v>197.22485106382982</v>
      </c>
      <c r="DW124" s="5">
        <f t="shared" si="394"/>
        <v>5.070354950737725</v>
      </c>
      <c r="DX124" s="5">
        <f t="shared" si="395"/>
        <v>1.4242424242424243</v>
      </c>
      <c r="DY124" s="5">
        <f t="shared" si="396"/>
        <v>3.6461125264953007</v>
      </c>
      <c r="DZ124" s="5"/>
      <c r="EA124" s="150">
        <f t="shared" si="397"/>
        <v>0.28089600000000003</v>
      </c>
      <c r="EB124" s="150">
        <f t="shared" si="398"/>
        <v>17.024000000000001</v>
      </c>
      <c r="EC124" s="150">
        <f t="shared" si="399"/>
        <v>2.1791030303030303</v>
      </c>
      <c r="ED124" s="150">
        <f t="shared" si="400"/>
        <v>7.8123887504449989</v>
      </c>
      <c r="EE124" s="144">
        <f t="shared" si="401"/>
        <v>2.6585858585858588</v>
      </c>
      <c r="EF124" s="5">
        <f t="shared" si="402"/>
        <v>1.8016085425035604</v>
      </c>
      <c r="EH124" s="150">
        <f t="shared" si="403"/>
        <v>1.8545058423180876</v>
      </c>
      <c r="EI124" s="150">
        <f t="shared" si="404"/>
        <v>2.9672304743806222</v>
      </c>
      <c r="EK124" s="456">
        <f t="shared" si="405"/>
        <v>4.1270303030303039E-2</v>
      </c>
      <c r="EL124" s="456">
        <f t="shared" si="406"/>
        <v>1.1446213174468087</v>
      </c>
      <c r="EM124" s="456">
        <f t="shared" si="407"/>
        <v>2.2680857872340431E-2</v>
      </c>
      <c r="EN124" s="456">
        <f t="shared" si="408"/>
        <v>0.2592585356985192</v>
      </c>
      <c r="EO124">
        <f t="shared" si="409"/>
        <v>8.9999999999999993E-3</v>
      </c>
      <c r="EP124" s="144">
        <f t="shared" si="410"/>
        <v>31.680857872340429</v>
      </c>
      <c r="EQ124" s="144"/>
      <c r="ER124" s="144">
        <f t="shared" si="432"/>
        <v>1476.8310140479714</v>
      </c>
      <c r="ES124" s="456">
        <f t="shared" si="411"/>
        <v>0.39200000000000002</v>
      </c>
      <c r="EV124" s="144">
        <f t="shared" si="412"/>
        <v>392</v>
      </c>
      <c r="EW124" s="456">
        <f t="shared" si="413"/>
        <v>4.8148686868686875E-2</v>
      </c>
      <c r="EX124" s="456">
        <f t="shared" si="414"/>
        <v>0.12326239363330274</v>
      </c>
      <c r="EY124" s="456">
        <f t="shared" si="415"/>
        <v>2.4698139298088821</v>
      </c>
      <c r="EZ124" s="456"/>
      <c r="FA124" s="456">
        <f t="shared" si="416"/>
        <v>0.72442553191489378</v>
      </c>
      <c r="FB124" s="144">
        <f t="shared" si="417"/>
        <v>3365.6505422257651</v>
      </c>
      <c r="FC124" s="150">
        <f t="shared" si="418"/>
        <v>5.2344815562737361</v>
      </c>
      <c r="FD124" s="5">
        <f t="shared" si="419"/>
        <v>16.8</v>
      </c>
      <c r="FE124" s="150">
        <f t="shared" si="420"/>
        <v>0.76244135615782826</v>
      </c>
      <c r="FF124" s="5">
        <f t="shared" si="421"/>
        <v>76.244135615782824</v>
      </c>
      <c r="FI124" s="59">
        <f t="shared" si="422"/>
        <v>-50</v>
      </c>
      <c r="FJ124">
        <f t="shared" si="423"/>
        <v>-50</v>
      </c>
      <c r="FL124">
        <f t="shared" si="424"/>
        <v>0.18480000000000002</v>
      </c>
    </row>
    <row r="125" spans="5:168">
      <c r="E125" s="147">
        <v>15</v>
      </c>
      <c r="F125" s="188">
        <f t="shared" si="425"/>
        <v>0.6</v>
      </c>
      <c r="G125" s="188"/>
      <c r="H125" s="188">
        <f t="shared" si="315"/>
        <v>18</v>
      </c>
      <c r="I125" s="465">
        <f t="shared" si="316"/>
        <v>19.921732178900701</v>
      </c>
      <c r="J125" s="149">
        <f t="shared" si="317"/>
        <v>30.44214421136116</v>
      </c>
      <c r="K125" s="149">
        <f t="shared" si="318"/>
        <v>50.363876390261865</v>
      </c>
      <c r="L125" s="379"/>
      <c r="M125" s="188">
        <f t="shared" si="319"/>
        <v>0.604446225362259</v>
      </c>
      <c r="N125" s="149">
        <f t="shared" si="426"/>
        <v>183.21733829403041</v>
      </c>
      <c r="O125" s="149">
        <f t="shared" si="284"/>
        <v>18</v>
      </c>
      <c r="P125" s="188">
        <f t="shared" si="320"/>
        <v>6.1072446098010138</v>
      </c>
      <c r="Q125" s="188">
        <f t="shared" si="321"/>
        <v>30</v>
      </c>
      <c r="R125" s="188"/>
      <c r="S125" s="149">
        <f t="shared" si="322"/>
        <v>483.16879166581055</v>
      </c>
      <c r="T125" s="149">
        <f t="shared" si="323"/>
        <v>30</v>
      </c>
      <c r="U125" s="188">
        <f t="shared" si="324"/>
        <v>3.0337215239545956</v>
      </c>
      <c r="V125" s="188">
        <f t="shared" si="325"/>
        <v>0.71572547178843748</v>
      </c>
      <c r="W125" s="188">
        <f t="shared" si="326"/>
        <v>0.46837998872843062</v>
      </c>
      <c r="X125" s="172">
        <f t="shared" si="327"/>
        <v>350</v>
      </c>
      <c r="Y125" s="379">
        <f t="shared" si="328"/>
        <v>350</v>
      </c>
      <c r="AA125" s="188">
        <f t="shared" si="329"/>
        <v>7.320104561416251</v>
      </c>
      <c r="AB125" s="150">
        <f t="shared" si="330"/>
        <v>1.1301599256538719</v>
      </c>
      <c r="AC125" s="150">
        <f t="shared" si="331"/>
        <v>1.4477555447090327</v>
      </c>
      <c r="AD125" s="150"/>
      <c r="AE125" s="150">
        <f t="shared" si="332"/>
        <v>0.93570440659754173</v>
      </c>
      <c r="AF125" s="314">
        <f t="shared" si="333"/>
        <v>211.60528752875939</v>
      </c>
      <c r="AG125" s="456">
        <f t="shared" si="334"/>
        <v>0.99241376457315034</v>
      </c>
      <c r="AI125" s="150">
        <f t="shared" si="335"/>
        <v>4.7124341152914333</v>
      </c>
      <c r="AJ125" s="150">
        <f t="shared" si="336"/>
        <v>6.0606060606060606</v>
      </c>
      <c r="AK125" s="150">
        <f t="shared" si="337"/>
        <v>1.1209173071592911</v>
      </c>
      <c r="AM125" s="314">
        <f t="shared" si="338"/>
        <v>600</v>
      </c>
      <c r="AN125" s="144">
        <f t="shared" si="339"/>
        <v>211.60528752875939</v>
      </c>
      <c r="AP125" s="144">
        <f t="shared" si="340"/>
        <v>600</v>
      </c>
      <c r="AQ125" s="144">
        <f t="shared" si="341"/>
        <v>211.60528752875939</v>
      </c>
      <c r="AS125" s="5">
        <f t="shared" si="285"/>
        <v>4.7257798313007164</v>
      </c>
      <c r="AT125" s="5">
        <f t="shared" si="342"/>
        <v>1.4298379392439107</v>
      </c>
      <c r="AU125" s="5">
        <f t="shared" si="343"/>
        <v>3.2959418920568058</v>
      </c>
      <c r="AV125" s="5"/>
      <c r="AW125" s="150">
        <f t="shared" si="344"/>
        <v>0.30256126825323648</v>
      </c>
      <c r="AX125" s="150">
        <f t="shared" si="214"/>
        <v>18.265286526816695</v>
      </c>
      <c r="AY125" s="150">
        <f t="shared" si="215"/>
        <v>2.1134507022629196</v>
      </c>
      <c r="AZ125" s="150">
        <f t="shared" si="288"/>
        <v>8.6424000840235529</v>
      </c>
      <c r="BA125" s="144">
        <f t="shared" si="433"/>
        <v>2.8596758784878213</v>
      </c>
      <c r="BB125" s="5">
        <f t="shared" si="434"/>
        <v>1.7517657578891557</v>
      </c>
      <c r="BD125" s="150">
        <f t="shared" si="289"/>
        <v>1.9246957813293801</v>
      </c>
      <c r="BE125" s="150">
        <f t="shared" si="218"/>
        <v>2.9221900616862446</v>
      </c>
      <c r="BG125" s="456">
        <f t="shared" si="347"/>
        <v>4.4453446208005357E-2</v>
      </c>
      <c r="BH125" s="456">
        <f t="shared" si="348"/>
        <v>1.1787578269054106</v>
      </c>
      <c r="BI125" s="456">
        <f t="shared" si="349"/>
        <v>2.4334608065807332E-2</v>
      </c>
      <c r="BJ125" s="456">
        <f t="shared" si="350"/>
        <v>0.27776349516349236</v>
      </c>
      <c r="BK125">
        <f t="shared" si="351"/>
        <v>8.9647794805053152E-3</v>
      </c>
      <c r="BL125" s="144">
        <f t="shared" si="427"/>
        <v>33.299387546312644</v>
      </c>
      <c r="BM125" s="456">
        <f t="shared" si="352"/>
        <v>1.5291280616118765</v>
      </c>
      <c r="BN125" s="144">
        <f t="shared" si="353"/>
        <v>1529.1280616118765</v>
      </c>
      <c r="BO125" s="456">
        <f t="shared" si="354"/>
        <v>0.42</v>
      </c>
      <c r="BR125" s="144">
        <f t="shared" si="355"/>
        <v>420</v>
      </c>
      <c r="BS125" s="456">
        <f t="shared" si="356"/>
        <v>5.1862353909339583E-2</v>
      </c>
      <c r="BT125" s="456">
        <f t="shared" si="357"/>
        <v>0.11954872659265002</v>
      </c>
      <c r="BU125" s="456">
        <f t="shared" si="358"/>
        <v>2.9449398756847387</v>
      </c>
      <c r="BV125" s="456"/>
      <c r="BW125" s="456">
        <f t="shared" si="359"/>
        <v>0.77724623518368929</v>
      </c>
      <c r="BX125" s="144">
        <f t="shared" si="360"/>
        <v>3893.5971913704175</v>
      </c>
      <c r="BY125" s="150">
        <f t="shared" si="361"/>
        <v>5.8478713471936388</v>
      </c>
      <c r="BZ125" s="5">
        <f t="shared" si="362"/>
        <v>18</v>
      </c>
      <c r="CA125" s="150">
        <f t="shared" si="363"/>
        <v>0.75478434691061835</v>
      </c>
      <c r="CB125" s="5">
        <f t="shared" si="364"/>
        <v>75.478434691061835</v>
      </c>
      <c r="CE125" s="59">
        <f t="shared" si="365"/>
        <v>-50</v>
      </c>
      <c r="CF125">
        <f t="shared" si="366"/>
        <v>-50</v>
      </c>
      <c r="CG125" s="150">
        <f t="shared" si="367"/>
        <v>0.19931562909114781</v>
      </c>
      <c r="CI125" s="147">
        <v>15</v>
      </c>
      <c r="CJ125" s="188">
        <f t="shared" si="428"/>
        <v>0.6</v>
      </c>
      <c r="CK125" s="188"/>
      <c r="CL125" s="188">
        <f t="shared" si="368"/>
        <v>18</v>
      </c>
      <c r="CM125" s="465">
        <f t="shared" si="369"/>
        <v>20</v>
      </c>
      <c r="CN125" s="379">
        <f t="shared" si="370"/>
        <v>30.4</v>
      </c>
      <c r="CO125" s="379">
        <f t="shared" si="371"/>
        <v>50.4</v>
      </c>
      <c r="CP125" s="379"/>
      <c r="CQ125" s="188">
        <f t="shared" si="372"/>
        <v>0.60317460317460314</v>
      </c>
      <c r="CR125" s="149">
        <f t="shared" si="429"/>
        <v>183.55019291189507</v>
      </c>
      <c r="CS125" s="149">
        <f t="shared" si="373"/>
        <v>18</v>
      </c>
      <c r="CT125" s="188">
        <f t="shared" si="374"/>
        <v>6.1183397637298356</v>
      </c>
      <c r="CU125" s="188">
        <f t="shared" si="375"/>
        <v>30</v>
      </c>
      <c r="CV125" s="188"/>
      <c r="CW125" s="149">
        <f t="shared" si="376"/>
        <v>485.066984029021</v>
      </c>
      <c r="CX125" s="149">
        <f t="shared" si="377"/>
        <v>30</v>
      </c>
      <c r="CY125" s="188">
        <f t="shared" si="378"/>
        <v>2.9842105263157896</v>
      </c>
      <c r="CZ125" s="188">
        <f t="shared" si="379"/>
        <v>0.70128947368421057</v>
      </c>
      <c r="DA125" s="188">
        <f t="shared" si="380"/>
        <v>0.46137465373961223</v>
      </c>
      <c r="DB125" s="172">
        <f t="shared" si="381"/>
        <v>350</v>
      </c>
      <c r="DC125" s="379">
        <f t="shared" si="382"/>
        <v>350</v>
      </c>
      <c r="DE125" s="188">
        <f t="shared" si="383"/>
        <v>7.3334298258310406</v>
      </c>
      <c r="DF125" s="150">
        <f t="shared" si="384"/>
        <v>1.1337868480725624</v>
      </c>
      <c r="DG125" s="150">
        <f t="shared" si="385"/>
        <v>1.4550456003633017</v>
      </c>
      <c r="DH125" s="150"/>
      <c r="DI125" s="150">
        <f t="shared" si="386"/>
        <v>0.93700159489633172</v>
      </c>
      <c r="DJ125" s="314">
        <f t="shared" si="387"/>
        <v>211.31234042553191</v>
      </c>
      <c r="DK125" s="456">
        <f t="shared" si="388"/>
        <v>0.99378957034459414</v>
      </c>
      <c r="DM125" s="150">
        <f t="shared" si="389"/>
        <v>4.7091710303739305</v>
      </c>
      <c r="DN125" s="150">
        <f t="shared" si="390"/>
        <v>6.0606060606060606</v>
      </c>
      <c r="DO125" s="150">
        <f t="shared" si="391"/>
        <v>1.1207499088145896</v>
      </c>
      <c r="DQ125" s="314">
        <f t="shared" si="392"/>
        <v>600</v>
      </c>
      <c r="DR125" s="144">
        <f t="shared" si="393"/>
        <v>211.31234042553191</v>
      </c>
      <c r="DT125">
        <f t="shared" si="430"/>
        <v>600</v>
      </c>
      <c r="DU125">
        <f t="shared" si="431"/>
        <v>211.31234042553191</v>
      </c>
      <c r="DW125" s="5">
        <f t="shared" si="394"/>
        <v>4.732331287355211</v>
      </c>
      <c r="DX125" s="5">
        <f t="shared" si="395"/>
        <v>1.4242424242424243</v>
      </c>
      <c r="DY125" s="5">
        <f t="shared" si="396"/>
        <v>3.3080888631127867</v>
      </c>
      <c r="DZ125" s="5"/>
      <c r="EA125" s="150">
        <f t="shared" si="397"/>
        <v>0.30096000000000001</v>
      </c>
      <c r="EB125" s="150">
        <f t="shared" si="398"/>
        <v>18.239999999999995</v>
      </c>
      <c r="EC125" s="150">
        <f t="shared" si="399"/>
        <v>2.1183030303030304</v>
      </c>
      <c r="ED125" s="150">
        <f t="shared" si="400"/>
        <v>8.6106660563057886</v>
      </c>
      <c r="EE125" s="144">
        <f t="shared" si="401"/>
        <v>2.8484848484848491</v>
      </c>
      <c r="EF125" s="5">
        <f t="shared" si="402"/>
        <v>1.7513411628244162</v>
      </c>
      <c r="EH125" s="150">
        <f t="shared" si="403"/>
        <v>1.9195959170743422</v>
      </c>
      <c r="EI125" s="150">
        <f t="shared" si="404"/>
        <v>2.9255427056251437</v>
      </c>
      <c r="EK125" s="456">
        <f t="shared" si="405"/>
        <v>4.4218181818181816E-2</v>
      </c>
      <c r="EL125" s="456">
        <f t="shared" si="406"/>
        <v>1.2263799829787234</v>
      </c>
      <c r="EM125" s="456">
        <f t="shared" si="407"/>
        <v>2.4300919148936173E-2</v>
      </c>
      <c r="EN125" s="456">
        <f t="shared" si="408"/>
        <v>0.27777700253412768</v>
      </c>
      <c r="EO125">
        <f t="shared" si="409"/>
        <v>8.9999999999999993E-3</v>
      </c>
      <c r="EP125" s="144">
        <f t="shared" si="410"/>
        <v>33.300919148936174</v>
      </c>
      <c r="EQ125" s="144"/>
      <c r="ER125" s="144">
        <f t="shared" si="432"/>
        <v>1581.6760864799689</v>
      </c>
      <c r="ES125" s="456">
        <f t="shared" si="411"/>
        <v>0.42</v>
      </c>
      <c r="EV125" s="144">
        <f t="shared" si="412"/>
        <v>420</v>
      </c>
      <c r="EW125" s="456">
        <f t="shared" si="413"/>
        <v>5.1587878787878787E-2</v>
      </c>
      <c r="EX125" s="456">
        <f t="shared" si="414"/>
        <v>0.1198232017141108</v>
      </c>
      <c r="EY125" s="456">
        <f t="shared" si="415"/>
        <v>2.9347579933365968</v>
      </c>
      <c r="EZ125" s="456"/>
      <c r="FA125" s="456">
        <f t="shared" si="416"/>
        <v>0.77617021276595743</v>
      </c>
      <c r="FB125" s="144">
        <f t="shared" si="417"/>
        <v>3882.3392866045438</v>
      </c>
      <c r="FC125" s="150">
        <f t="shared" si="418"/>
        <v>5.8840153730845133</v>
      </c>
      <c r="FD125" s="5">
        <f t="shared" si="419"/>
        <v>18</v>
      </c>
      <c r="FE125" s="150">
        <f t="shared" si="420"/>
        <v>0.75364212084223681</v>
      </c>
      <c r="FF125" s="5">
        <f t="shared" si="421"/>
        <v>75.364212084223681</v>
      </c>
      <c r="FI125" s="59">
        <f t="shared" si="422"/>
        <v>-50</v>
      </c>
      <c r="FJ125">
        <f t="shared" si="423"/>
        <v>-50</v>
      </c>
      <c r="FL125">
        <f t="shared" si="424"/>
        <v>0.19800000000000001</v>
      </c>
    </row>
    <row r="126" spans="5:168">
      <c r="E126" s="147">
        <v>16</v>
      </c>
      <c r="F126" s="188">
        <f t="shared" si="425"/>
        <v>0.64</v>
      </c>
      <c r="G126" s="188"/>
      <c r="H126" s="188">
        <f t="shared" si="315"/>
        <v>19.2</v>
      </c>
      <c r="I126" s="465">
        <f t="shared" si="316"/>
        <v>19.921732178900701</v>
      </c>
      <c r="J126" s="149">
        <f t="shared" si="317"/>
        <v>30.44214421136116</v>
      </c>
      <c r="K126" s="149">
        <f t="shared" si="318"/>
        <v>50.363876390261865</v>
      </c>
      <c r="L126" s="379"/>
      <c r="M126" s="188">
        <f t="shared" si="319"/>
        <v>0.604446225362259</v>
      </c>
      <c r="N126" s="149">
        <f t="shared" si="426"/>
        <v>183.21733829403041</v>
      </c>
      <c r="O126" s="149">
        <f t="shared" si="284"/>
        <v>19.2</v>
      </c>
      <c r="P126" s="188">
        <f t="shared" si="320"/>
        <v>6.1072446098010138</v>
      </c>
      <c r="Q126" s="188">
        <f t="shared" si="321"/>
        <v>30</v>
      </c>
      <c r="R126" s="188"/>
      <c r="S126" s="149">
        <f t="shared" si="322"/>
        <v>451.72780980301485</v>
      </c>
      <c r="T126" s="149">
        <f t="shared" si="323"/>
        <v>30</v>
      </c>
      <c r="U126" s="188">
        <f t="shared" si="324"/>
        <v>3.2359696255515686</v>
      </c>
      <c r="V126" s="188">
        <f t="shared" si="325"/>
        <v>0.76344050324099988</v>
      </c>
      <c r="W126" s="188">
        <f t="shared" si="326"/>
        <v>0.49960532131032598</v>
      </c>
      <c r="X126" s="172">
        <f t="shared" si="327"/>
        <v>350</v>
      </c>
      <c r="Y126" s="379">
        <f t="shared" si="328"/>
        <v>350</v>
      </c>
      <c r="AA126" s="188">
        <f t="shared" si="329"/>
        <v>7.320104561416251</v>
      </c>
      <c r="AB126" s="150">
        <f t="shared" si="330"/>
        <v>1.1301599256538719</v>
      </c>
      <c r="AC126" s="150">
        <f t="shared" si="331"/>
        <v>1.4477555447090327</v>
      </c>
      <c r="AD126" s="150"/>
      <c r="AE126" s="150">
        <f t="shared" si="332"/>
        <v>0.93570440659754173</v>
      </c>
      <c r="AF126" s="314">
        <f t="shared" si="333"/>
        <v>225.71230669734337</v>
      </c>
      <c r="AG126" s="456">
        <f t="shared" si="334"/>
        <v>0.99241376457315034</v>
      </c>
      <c r="AI126" s="150">
        <f t="shared" si="335"/>
        <v>4.8669810262995741</v>
      </c>
      <c r="AJ126" s="150">
        <f t="shared" si="336"/>
        <v>6.0606060606060606</v>
      </c>
      <c r="AK126" s="150">
        <f t="shared" si="337"/>
        <v>1.1289784609699105</v>
      </c>
      <c r="AM126" s="314">
        <f t="shared" si="338"/>
        <v>640</v>
      </c>
      <c r="AN126" s="144">
        <f t="shared" si="339"/>
        <v>225.71230669734337</v>
      </c>
      <c r="AP126" s="144">
        <f t="shared" si="340"/>
        <v>640</v>
      </c>
      <c r="AQ126" s="144">
        <f t="shared" si="341"/>
        <v>225.71230669734337</v>
      </c>
      <c r="AS126" s="5">
        <f t="shared" si="285"/>
        <v>4.430418591844421</v>
      </c>
      <c r="AT126" s="5">
        <f t="shared" si="342"/>
        <v>1.4298379392439107</v>
      </c>
      <c r="AU126" s="5">
        <f t="shared" si="343"/>
        <v>3.0005806526005103</v>
      </c>
      <c r="AV126" s="5"/>
      <c r="AW126" s="150">
        <f t="shared" si="344"/>
        <v>0.32273201947011898</v>
      </c>
      <c r="AX126" s="150">
        <f t="shared" si="214"/>
        <v>19.482972295271143</v>
      </c>
      <c r="AY126" s="150">
        <f t="shared" si="215"/>
        <v>2.0523272137269122</v>
      </c>
      <c r="AZ126" s="150">
        <f t="shared" si="288"/>
        <v>9.4931120948745527</v>
      </c>
      <c r="BA126" s="144">
        <f t="shared" si="433"/>
        <v>3.0503209370536761</v>
      </c>
      <c r="BB126" s="5">
        <f t="shared" si="434"/>
        <v>1.7011026247933787</v>
      </c>
      <c r="BD126" s="150">
        <f t="shared" si="289"/>
        <v>1.9878172553611633</v>
      </c>
      <c r="BE126" s="150">
        <f t="shared" si="218"/>
        <v>2.8796234418016158</v>
      </c>
      <c r="BG126" s="456">
        <f t="shared" si="347"/>
        <v>4.7417009288539064E-2</v>
      </c>
      <c r="BH126" s="456">
        <f t="shared" si="348"/>
        <v>1.2573416820324381</v>
      </c>
      <c r="BI126" s="456">
        <f t="shared" si="349"/>
        <v>2.5956915270194492E-2</v>
      </c>
      <c r="BJ126" s="456">
        <f t="shared" si="350"/>
        <v>0.29628106150772521</v>
      </c>
      <c r="BK126">
        <f t="shared" si="351"/>
        <v>8.9647794805053152E-3</v>
      </c>
      <c r="BL126" s="144">
        <f t="shared" si="427"/>
        <v>34.921694750699814</v>
      </c>
      <c r="BM126" s="456">
        <f t="shared" si="352"/>
        <v>1.6322315250187758</v>
      </c>
      <c r="BN126" s="144">
        <f t="shared" si="353"/>
        <v>1632.2315250187758</v>
      </c>
      <c r="BO126" s="456">
        <f t="shared" si="354"/>
        <v>0.44799999999999995</v>
      </c>
      <c r="BR126" s="144">
        <f t="shared" si="355"/>
        <v>447.99999999999994</v>
      </c>
      <c r="BS126" s="456">
        <f t="shared" si="356"/>
        <v>5.5319844169962239E-2</v>
      </c>
      <c r="BT126" s="456">
        <f t="shared" si="357"/>
        <v>0.11609123633202738</v>
      </c>
      <c r="BU126" s="456">
        <f t="shared" si="358"/>
        <v>3.4605748054423024</v>
      </c>
      <c r="BV126" s="456"/>
      <c r="BW126" s="456">
        <f t="shared" si="359"/>
        <v>0.829062650862602</v>
      </c>
      <c r="BX126" s="144">
        <f t="shared" si="360"/>
        <v>4461.0485368068939</v>
      </c>
      <c r="BY126" s="150">
        <f t="shared" si="361"/>
        <v>6.5450099843862954</v>
      </c>
      <c r="BZ126" s="5">
        <f t="shared" si="362"/>
        <v>19.2</v>
      </c>
      <c r="CA126" s="150">
        <f t="shared" si="363"/>
        <v>0.74577558958587786</v>
      </c>
      <c r="CB126" s="5">
        <f t="shared" si="364"/>
        <v>74.577558958587787</v>
      </c>
      <c r="CE126" s="59">
        <f t="shared" si="365"/>
        <v>-50</v>
      </c>
      <c r="CF126">
        <f t="shared" si="366"/>
        <v>-50</v>
      </c>
      <c r="CG126" s="150">
        <f t="shared" si="367"/>
        <v>0.21260333769722434</v>
      </c>
      <c r="CI126" s="147">
        <v>16</v>
      </c>
      <c r="CJ126" s="188">
        <f t="shared" si="428"/>
        <v>0.64</v>
      </c>
      <c r="CK126" s="188"/>
      <c r="CL126" s="188">
        <f t="shared" si="368"/>
        <v>19.2</v>
      </c>
      <c r="CM126" s="465">
        <f t="shared" si="369"/>
        <v>20</v>
      </c>
      <c r="CN126" s="379">
        <f t="shared" si="370"/>
        <v>30.4</v>
      </c>
      <c r="CO126" s="379">
        <f t="shared" si="371"/>
        <v>50.4</v>
      </c>
      <c r="CP126" s="379"/>
      <c r="CQ126" s="188">
        <f t="shared" si="372"/>
        <v>0.60317460317460314</v>
      </c>
      <c r="CR126" s="149">
        <f t="shared" si="429"/>
        <v>183.55019291189507</v>
      </c>
      <c r="CS126" s="149">
        <f t="shared" si="373"/>
        <v>19.2</v>
      </c>
      <c r="CT126" s="188">
        <f t="shared" si="374"/>
        <v>6.1183397637298356</v>
      </c>
      <c r="CU126" s="188">
        <f t="shared" si="375"/>
        <v>30</v>
      </c>
      <c r="CV126" s="188"/>
      <c r="CW126" s="149">
        <f t="shared" si="376"/>
        <v>453.50247341634491</v>
      </c>
      <c r="CX126" s="149">
        <f t="shared" si="377"/>
        <v>30</v>
      </c>
      <c r="CY126" s="188">
        <f t="shared" si="378"/>
        <v>3.183157894736842</v>
      </c>
      <c r="CZ126" s="188">
        <f t="shared" si="379"/>
        <v>0.74804210526315784</v>
      </c>
      <c r="DA126" s="188">
        <f t="shared" si="380"/>
        <v>0.4921329639889197</v>
      </c>
      <c r="DB126" s="172">
        <f t="shared" si="381"/>
        <v>350</v>
      </c>
      <c r="DC126" s="379">
        <f t="shared" si="382"/>
        <v>350</v>
      </c>
      <c r="DE126" s="188">
        <f t="shared" si="383"/>
        <v>7.3334298258310406</v>
      </c>
      <c r="DF126" s="150">
        <f t="shared" si="384"/>
        <v>1.1337868480725624</v>
      </c>
      <c r="DG126" s="150">
        <f t="shared" si="385"/>
        <v>1.4550456003633017</v>
      </c>
      <c r="DH126" s="150"/>
      <c r="DI126" s="150">
        <f t="shared" si="386"/>
        <v>0.93700159489633172</v>
      </c>
      <c r="DJ126" s="314">
        <f t="shared" si="387"/>
        <v>225.39982978723404</v>
      </c>
      <c r="DK126" s="456">
        <f t="shared" si="388"/>
        <v>0.99378957034459414</v>
      </c>
      <c r="DM126" s="150">
        <f t="shared" si="389"/>
        <v>4.8636109266881746</v>
      </c>
      <c r="DN126" s="150">
        <f t="shared" si="390"/>
        <v>6.0606060606060606</v>
      </c>
      <c r="DO126" s="150">
        <f t="shared" si="391"/>
        <v>1.1287999027355622</v>
      </c>
      <c r="DQ126" s="314">
        <f t="shared" si="392"/>
        <v>640</v>
      </c>
      <c r="DR126" s="144">
        <f t="shared" si="393"/>
        <v>225.39982978723404</v>
      </c>
      <c r="DT126">
        <f t="shared" si="430"/>
        <v>640</v>
      </c>
      <c r="DU126">
        <f t="shared" si="431"/>
        <v>225.39982978723404</v>
      </c>
      <c r="DW126" s="5">
        <f t="shared" si="394"/>
        <v>4.4365605818955096</v>
      </c>
      <c r="DX126" s="5">
        <f t="shared" si="395"/>
        <v>1.4242424242424243</v>
      </c>
      <c r="DY126" s="5">
        <f t="shared" si="396"/>
        <v>3.0123181576530853</v>
      </c>
      <c r="DZ126" s="5"/>
      <c r="EA126" s="150">
        <f t="shared" si="397"/>
        <v>0.32102400000000003</v>
      </c>
      <c r="EB126" s="150">
        <f t="shared" si="398"/>
        <v>19.455999999999996</v>
      </c>
      <c r="EC126" s="150">
        <f t="shared" si="399"/>
        <v>2.0575030303030304</v>
      </c>
      <c r="ED126" s="150">
        <f t="shared" si="400"/>
        <v>9.4561221604298211</v>
      </c>
      <c r="EE126" s="144">
        <f t="shared" si="401"/>
        <v>3.0383838383838389</v>
      </c>
      <c r="EF126" s="5">
        <f t="shared" si="402"/>
        <v>1.7010737831452714</v>
      </c>
      <c r="EH126" s="150">
        <f t="shared" si="403"/>
        <v>1.9825501382071149</v>
      </c>
      <c r="EI126" s="150">
        <f t="shared" si="404"/>
        <v>2.8832522534075857</v>
      </c>
      <c r="EK126" s="456">
        <f t="shared" si="405"/>
        <v>4.7166060606060607E-2</v>
      </c>
      <c r="EL126" s="456">
        <f t="shared" si="406"/>
        <v>1.3081386485106383</v>
      </c>
      <c r="EM126" s="456">
        <f t="shared" si="407"/>
        <v>2.5920980425531918E-2</v>
      </c>
      <c r="EN126" s="456">
        <f t="shared" si="408"/>
        <v>0.29629546936973616</v>
      </c>
      <c r="EO126">
        <f t="shared" si="409"/>
        <v>8.9999999999999993E-3</v>
      </c>
      <c r="EP126" s="144">
        <f t="shared" si="410"/>
        <v>34.920980425531923</v>
      </c>
      <c r="EQ126" s="144"/>
      <c r="ER126" s="144">
        <f t="shared" si="432"/>
        <v>1686.5211589119669</v>
      </c>
      <c r="ES126" s="456">
        <f t="shared" si="411"/>
        <v>0.44799999999999995</v>
      </c>
      <c r="EV126" s="144">
        <f t="shared" si="412"/>
        <v>447.99999999999994</v>
      </c>
      <c r="EW126" s="456">
        <f t="shared" si="413"/>
        <v>5.5027070707070705E-2</v>
      </c>
      <c r="EX126" s="456">
        <f t="shared" si="414"/>
        <v>0.11638400979491888</v>
      </c>
      <c r="EY126" s="456">
        <f t="shared" si="415"/>
        <v>3.4486101586198328</v>
      </c>
      <c r="EZ126" s="456"/>
      <c r="FA126" s="456">
        <f t="shared" si="416"/>
        <v>0.82791489361702131</v>
      </c>
      <c r="FB126" s="144">
        <f t="shared" si="417"/>
        <v>4447.9361327388433</v>
      </c>
      <c r="FC126" s="150">
        <f t="shared" si="418"/>
        <v>6.5824572916508099</v>
      </c>
      <c r="FD126" s="5">
        <f t="shared" si="419"/>
        <v>19.2</v>
      </c>
      <c r="FE126" s="150">
        <f t="shared" si="420"/>
        <v>0.74469240006140069</v>
      </c>
      <c r="FF126" s="5">
        <f t="shared" si="421"/>
        <v>74.469240006140069</v>
      </c>
      <c r="FI126" s="59">
        <f t="shared" si="422"/>
        <v>-50</v>
      </c>
      <c r="FJ126">
        <f t="shared" si="423"/>
        <v>-50</v>
      </c>
      <c r="FL126">
        <f t="shared" si="424"/>
        <v>0.2112</v>
      </c>
    </row>
    <row r="127" spans="5:168">
      <c r="E127" s="147">
        <v>17</v>
      </c>
      <c r="F127" s="188">
        <f t="shared" si="425"/>
        <v>0.68</v>
      </c>
      <c r="G127" s="188"/>
      <c r="H127" s="188">
        <f t="shared" si="315"/>
        <v>20.400000000000002</v>
      </c>
      <c r="I127" s="465">
        <f t="shared" si="316"/>
        <v>19.921732178900701</v>
      </c>
      <c r="J127" s="149">
        <f t="shared" si="317"/>
        <v>30.44214421136116</v>
      </c>
      <c r="K127" s="149">
        <f t="shared" si="318"/>
        <v>50.363876390261865</v>
      </c>
      <c r="L127" s="379"/>
      <c r="M127" s="188">
        <f t="shared" si="319"/>
        <v>0.604446225362259</v>
      </c>
      <c r="N127" s="149">
        <f t="shared" si="426"/>
        <v>183.21733829403041</v>
      </c>
      <c r="O127" s="149">
        <f t="shared" si="284"/>
        <v>20.400000000000002</v>
      </c>
      <c r="P127" s="188">
        <f t="shared" si="320"/>
        <v>6.1072446098010138</v>
      </c>
      <c r="Q127" s="188">
        <f t="shared" si="321"/>
        <v>30</v>
      </c>
      <c r="R127" s="188"/>
      <c r="S127" s="149">
        <f t="shared" si="322"/>
        <v>423.9859079842193</v>
      </c>
      <c r="T127" s="149">
        <f t="shared" si="323"/>
        <v>30</v>
      </c>
      <c r="U127" s="188">
        <f t="shared" si="324"/>
        <v>3.4382177271485417</v>
      </c>
      <c r="V127" s="188">
        <f t="shared" si="325"/>
        <v>0.81115553469356239</v>
      </c>
      <c r="W127" s="188">
        <f t="shared" si="326"/>
        <v>0.53083065389222128</v>
      </c>
      <c r="X127" s="172">
        <f t="shared" si="327"/>
        <v>350</v>
      </c>
      <c r="Y127" s="379">
        <f t="shared" si="328"/>
        <v>350</v>
      </c>
      <c r="AA127" s="188">
        <f t="shared" si="329"/>
        <v>7.320104561416251</v>
      </c>
      <c r="AB127" s="150">
        <f t="shared" si="330"/>
        <v>1.1301599256538719</v>
      </c>
      <c r="AC127" s="150">
        <f t="shared" si="331"/>
        <v>1.4477555447090327</v>
      </c>
      <c r="AD127" s="150"/>
      <c r="AE127" s="150">
        <f t="shared" si="332"/>
        <v>0.93570440659754173</v>
      </c>
      <c r="AF127" s="314">
        <f t="shared" si="333"/>
        <v>239.81932586592734</v>
      </c>
      <c r="AG127" s="456">
        <f t="shared" si="334"/>
        <v>0.99241376457315034</v>
      </c>
      <c r="AI127" s="150">
        <f t="shared" si="335"/>
        <v>5.0167692123275476</v>
      </c>
      <c r="AJ127" s="150">
        <f t="shared" si="336"/>
        <v>6.0606060606060606</v>
      </c>
      <c r="AK127" s="150">
        <f t="shared" si="337"/>
        <v>1.13703961478053</v>
      </c>
      <c r="AM127" s="314">
        <f t="shared" si="338"/>
        <v>680</v>
      </c>
      <c r="AN127" s="144">
        <f t="shared" si="339"/>
        <v>239.81932586592734</v>
      </c>
      <c r="AP127" s="144">
        <f t="shared" si="340"/>
        <v>680</v>
      </c>
      <c r="AQ127" s="144">
        <f t="shared" si="341"/>
        <v>239.81932586592734</v>
      </c>
      <c r="AS127" s="5">
        <f t="shared" si="285"/>
        <v>4.1698057335006311</v>
      </c>
      <c r="AT127" s="5">
        <f t="shared" si="342"/>
        <v>1.4298379392439107</v>
      </c>
      <c r="AU127" s="5">
        <f t="shared" si="343"/>
        <v>2.7399677942567204</v>
      </c>
      <c r="AV127" s="5"/>
      <c r="AW127" s="150">
        <f t="shared" si="344"/>
        <v>0.34290277068700142</v>
      </c>
      <c r="AX127" s="150">
        <f t="shared" si="214"/>
        <v>20.700658063725587</v>
      </c>
      <c r="AY127" s="150">
        <f t="shared" si="215"/>
        <v>1.9912037251909049</v>
      </c>
      <c r="AZ127" s="150">
        <f t="shared" si="288"/>
        <v>10.396052298335736</v>
      </c>
      <c r="BA127" s="144">
        <f t="shared" si="433"/>
        <v>3.2409659956195309</v>
      </c>
      <c r="BB127" s="5">
        <f t="shared" si="434"/>
        <v>1.6504394916976028</v>
      </c>
      <c r="BD127" s="150">
        <f t="shared" si="289"/>
        <v>2.0489951270698676</v>
      </c>
      <c r="BE127" s="150">
        <f t="shared" si="218"/>
        <v>2.8364180891626165</v>
      </c>
      <c r="BG127" s="456">
        <f t="shared" si="347"/>
        <v>5.0380572369072757E-2</v>
      </c>
      <c r="BH127" s="456">
        <f t="shared" si="348"/>
        <v>1.3359255371594654</v>
      </c>
      <c r="BI127" s="456">
        <f t="shared" si="349"/>
        <v>2.7579222474581645E-2</v>
      </c>
      <c r="BJ127" s="456">
        <f t="shared" si="350"/>
        <v>0.314798627851958</v>
      </c>
      <c r="BK127">
        <f t="shared" si="351"/>
        <v>8.9647794805053152E-3</v>
      </c>
      <c r="BL127" s="144">
        <f t="shared" si="427"/>
        <v>36.544001955086962</v>
      </c>
      <c r="BM127" s="456">
        <f t="shared" si="352"/>
        <v>1.7354819466571116</v>
      </c>
      <c r="BN127" s="144">
        <f t="shared" si="353"/>
        <v>1735.4819466571116</v>
      </c>
      <c r="BO127" s="456">
        <f t="shared" si="354"/>
        <v>0.47599999999999998</v>
      </c>
      <c r="BR127" s="144">
        <f t="shared" si="355"/>
        <v>476</v>
      </c>
      <c r="BS127" s="456">
        <f t="shared" si="356"/>
        <v>5.8777334430584881E-2</v>
      </c>
      <c r="BT127" s="456">
        <f t="shared" si="357"/>
        <v>0.11263374607140472</v>
      </c>
      <c r="BU127" s="456">
        <f t="shared" si="358"/>
        <v>4.0268976216082848</v>
      </c>
      <c r="BV127" s="456"/>
      <c r="BW127" s="456">
        <f t="shared" si="359"/>
        <v>0.8808790665415146</v>
      </c>
      <c r="BX127" s="144">
        <f t="shared" si="360"/>
        <v>5079.1877686517892</v>
      </c>
      <c r="BY127" s="150">
        <f t="shared" si="361"/>
        <v>7.2928365079873725</v>
      </c>
      <c r="BZ127" s="5">
        <f t="shared" si="362"/>
        <v>20.400000000000002</v>
      </c>
      <c r="CA127" s="150">
        <f t="shared" si="363"/>
        <v>0.73665259945892803</v>
      </c>
      <c r="CB127" s="5">
        <f t="shared" si="364"/>
        <v>73.665259945892799</v>
      </c>
      <c r="CE127" s="59">
        <f t="shared" si="365"/>
        <v>-50</v>
      </c>
      <c r="CF127">
        <f t="shared" si="366"/>
        <v>-50</v>
      </c>
      <c r="CG127" s="150">
        <f t="shared" si="367"/>
        <v>0.22589104630330087</v>
      </c>
      <c r="CI127" s="147">
        <v>17</v>
      </c>
      <c r="CJ127" s="188">
        <f t="shared" si="428"/>
        <v>0.68</v>
      </c>
      <c r="CK127" s="188"/>
      <c r="CL127" s="188">
        <f t="shared" si="368"/>
        <v>20.400000000000002</v>
      </c>
      <c r="CM127" s="465">
        <f t="shared" si="369"/>
        <v>20</v>
      </c>
      <c r="CN127" s="379">
        <f t="shared" si="370"/>
        <v>30.4</v>
      </c>
      <c r="CO127" s="379">
        <f t="shared" si="371"/>
        <v>50.4</v>
      </c>
      <c r="CP127" s="379"/>
      <c r="CQ127" s="188">
        <f t="shared" si="372"/>
        <v>0.60317460317460314</v>
      </c>
      <c r="CR127" s="149">
        <f t="shared" si="429"/>
        <v>183.55019291189507</v>
      </c>
      <c r="CS127" s="149">
        <f t="shared" si="373"/>
        <v>20.400000000000002</v>
      </c>
      <c r="CT127" s="188">
        <f t="shared" si="374"/>
        <v>6.1183397637298356</v>
      </c>
      <c r="CU127" s="188">
        <f t="shared" si="375"/>
        <v>30</v>
      </c>
      <c r="CV127" s="188"/>
      <c r="CW127" s="149">
        <f t="shared" si="376"/>
        <v>425.65157564336602</v>
      </c>
      <c r="CX127" s="149">
        <f t="shared" si="377"/>
        <v>30</v>
      </c>
      <c r="CY127" s="188">
        <f t="shared" si="378"/>
        <v>3.3821052631578952</v>
      </c>
      <c r="CZ127" s="188">
        <f t="shared" si="379"/>
        <v>0.79479473684210544</v>
      </c>
      <c r="DA127" s="188">
        <f t="shared" si="380"/>
        <v>0.52289127423822723</v>
      </c>
      <c r="DB127" s="172">
        <f t="shared" si="381"/>
        <v>350</v>
      </c>
      <c r="DC127" s="379">
        <f t="shared" si="382"/>
        <v>350</v>
      </c>
      <c r="DE127" s="188">
        <f t="shared" si="383"/>
        <v>7.3334298258310406</v>
      </c>
      <c r="DF127" s="150">
        <f t="shared" si="384"/>
        <v>1.1337868480725624</v>
      </c>
      <c r="DG127" s="150">
        <f t="shared" si="385"/>
        <v>1.4550456003633017</v>
      </c>
      <c r="DH127" s="150"/>
      <c r="DI127" s="150">
        <f t="shared" si="386"/>
        <v>0.93700159489633172</v>
      </c>
      <c r="DJ127" s="314">
        <f t="shared" si="387"/>
        <v>239.48731914893619</v>
      </c>
      <c r="DK127" s="456">
        <f t="shared" si="388"/>
        <v>0.99378957034459414</v>
      </c>
      <c r="DM127" s="150">
        <f t="shared" si="389"/>
        <v>5.0132953931608846</v>
      </c>
      <c r="DN127" s="150">
        <f t="shared" si="390"/>
        <v>6.0606060606060606</v>
      </c>
      <c r="DO127" s="150">
        <f t="shared" si="391"/>
        <v>1.136849896656535</v>
      </c>
      <c r="DQ127" s="314">
        <f t="shared" si="392"/>
        <v>680</v>
      </c>
      <c r="DR127" s="144">
        <f t="shared" si="393"/>
        <v>239.48731914893619</v>
      </c>
      <c r="DT127">
        <f t="shared" si="430"/>
        <v>680</v>
      </c>
      <c r="DU127">
        <f t="shared" si="431"/>
        <v>239.48731914893619</v>
      </c>
      <c r="DW127" s="5">
        <f t="shared" si="394"/>
        <v>4.1755864300193037</v>
      </c>
      <c r="DX127" s="5">
        <f t="shared" si="395"/>
        <v>1.4242424242424243</v>
      </c>
      <c r="DY127" s="5">
        <f t="shared" si="396"/>
        <v>2.7513440057768794</v>
      </c>
      <c r="DZ127" s="5"/>
      <c r="EA127" s="150">
        <f t="shared" si="397"/>
        <v>0.341088</v>
      </c>
      <c r="EB127" s="150">
        <f t="shared" si="398"/>
        <v>20.672000000000001</v>
      </c>
      <c r="EC127" s="150">
        <f t="shared" si="399"/>
        <v>1.9967030303030302</v>
      </c>
      <c r="ED127" s="150">
        <f t="shared" si="400"/>
        <v>10.353066873876937</v>
      </c>
      <c r="EE127" s="144">
        <f t="shared" si="401"/>
        <v>3.2282828282828291</v>
      </c>
      <c r="EF127" s="5">
        <f t="shared" si="402"/>
        <v>1.6508064034661274</v>
      </c>
      <c r="EH127" s="150">
        <f t="shared" si="403"/>
        <v>2.0435659069777063</v>
      </c>
      <c r="EI127" s="150">
        <f t="shared" si="404"/>
        <v>2.8403321973183617</v>
      </c>
      <c r="EK127" s="456">
        <f t="shared" si="405"/>
        <v>5.0113939393939384E-2</v>
      </c>
      <c r="EL127" s="456">
        <f t="shared" si="406"/>
        <v>1.3898973140425535</v>
      </c>
      <c r="EM127" s="456">
        <f t="shared" si="407"/>
        <v>2.7541041702127664E-2</v>
      </c>
      <c r="EN127" s="456">
        <f t="shared" si="408"/>
        <v>0.31481393620534476</v>
      </c>
      <c r="EO127">
        <f t="shared" si="409"/>
        <v>8.9999999999999993E-3</v>
      </c>
      <c r="EP127" s="144">
        <f t="shared" si="410"/>
        <v>36.541041702127664</v>
      </c>
      <c r="EQ127" s="144"/>
      <c r="ER127" s="144">
        <f t="shared" si="432"/>
        <v>1791.3662313439652</v>
      </c>
      <c r="ES127" s="456">
        <f t="shared" si="411"/>
        <v>0.47599999999999998</v>
      </c>
      <c r="EV127" s="144">
        <f t="shared" si="412"/>
        <v>476</v>
      </c>
      <c r="EW127" s="456">
        <f t="shared" si="413"/>
        <v>5.8466262626262616E-2</v>
      </c>
      <c r="EX127" s="456">
        <f t="shared" si="414"/>
        <v>0.11294481787572694</v>
      </c>
      <c r="EY127" s="456">
        <f t="shared" si="415"/>
        <v>4.0129749612002463</v>
      </c>
      <c r="EZ127" s="456"/>
      <c r="FA127" s="456">
        <f t="shared" si="416"/>
        <v>0.87965957446808529</v>
      </c>
      <c r="FB127" s="144">
        <f t="shared" si="417"/>
        <v>5064.0456161703223</v>
      </c>
      <c r="FC127" s="150">
        <f t="shared" si="418"/>
        <v>7.3314118475142873</v>
      </c>
      <c r="FD127" s="5">
        <f t="shared" si="419"/>
        <v>20.400000000000002</v>
      </c>
      <c r="FE127" s="150">
        <f t="shared" si="420"/>
        <v>0.73562789057307088</v>
      </c>
      <c r="FF127" s="5">
        <f t="shared" si="421"/>
        <v>73.562789057307086</v>
      </c>
      <c r="FI127" s="59">
        <f t="shared" si="422"/>
        <v>-50</v>
      </c>
      <c r="FJ127">
        <f t="shared" si="423"/>
        <v>-50</v>
      </c>
      <c r="FL127">
        <f t="shared" si="424"/>
        <v>0.22440000000000002</v>
      </c>
    </row>
    <row r="128" spans="5:168">
      <c r="E128" s="147">
        <v>18</v>
      </c>
      <c r="F128" s="188">
        <f t="shared" si="425"/>
        <v>0.72</v>
      </c>
      <c r="G128" s="188"/>
      <c r="H128" s="188">
        <f t="shared" si="315"/>
        <v>21.599999999999998</v>
      </c>
      <c r="I128" s="465">
        <f t="shared" si="316"/>
        <v>19.921732178900701</v>
      </c>
      <c r="J128" s="149">
        <f t="shared" si="317"/>
        <v>30.44214421136116</v>
      </c>
      <c r="K128" s="149">
        <f t="shared" si="318"/>
        <v>50.363876390261865</v>
      </c>
      <c r="L128" s="379"/>
      <c r="M128" s="188">
        <f t="shared" si="319"/>
        <v>0.604446225362259</v>
      </c>
      <c r="N128" s="149">
        <f t="shared" si="426"/>
        <v>183.21733829403041</v>
      </c>
      <c r="O128" s="149">
        <f t="shared" si="284"/>
        <v>21.599999999999998</v>
      </c>
      <c r="P128" s="188">
        <f t="shared" si="320"/>
        <v>6.1072446098010138</v>
      </c>
      <c r="Q128" s="188">
        <f t="shared" si="321"/>
        <v>30</v>
      </c>
      <c r="R128" s="188"/>
      <c r="S128" s="149">
        <f t="shared" si="322"/>
        <v>399.32657394850713</v>
      </c>
      <c r="T128" s="149">
        <f t="shared" si="323"/>
        <v>30</v>
      </c>
      <c r="U128" s="188">
        <f t="shared" si="324"/>
        <v>3.6404658287455138</v>
      </c>
      <c r="V128" s="188">
        <f t="shared" si="325"/>
        <v>0.85887056614612467</v>
      </c>
      <c r="W128" s="188">
        <f t="shared" si="326"/>
        <v>0.56205598647411648</v>
      </c>
      <c r="X128" s="172">
        <f t="shared" si="327"/>
        <v>350</v>
      </c>
      <c r="Y128" s="379">
        <f t="shared" si="328"/>
        <v>350</v>
      </c>
      <c r="AA128" s="188">
        <f t="shared" si="329"/>
        <v>7.320104561416251</v>
      </c>
      <c r="AB128" s="150">
        <f t="shared" si="330"/>
        <v>1.1301599256538719</v>
      </c>
      <c r="AC128" s="150">
        <f t="shared" si="331"/>
        <v>1.4477555447090327</v>
      </c>
      <c r="AD128" s="150"/>
      <c r="AE128" s="150">
        <f t="shared" si="332"/>
        <v>0.93570440659754173</v>
      </c>
      <c r="AF128" s="314">
        <f t="shared" si="333"/>
        <v>253.92634503451126</v>
      </c>
      <c r="AG128" s="456">
        <f t="shared" si="334"/>
        <v>0.99241376457315034</v>
      </c>
      <c r="AI128" s="150">
        <f t="shared" si="335"/>
        <v>5.1622129314040368</v>
      </c>
      <c r="AJ128" s="150">
        <f t="shared" si="336"/>
        <v>6.0606060606060606</v>
      </c>
      <c r="AK128" s="150">
        <f t="shared" si="337"/>
        <v>1.1451007685911492</v>
      </c>
      <c r="AM128" s="314">
        <f t="shared" si="338"/>
        <v>720</v>
      </c>
      <c r="AN128" s="144">
        <f t="shared" si="339"/>
        <v>253.92634503451126</v>
      </c>
      <c r="AP128" s="144">
        <f t="shared" si="340"/>
        <v>720</v>
      </c>
      <c r="AQ128" s="144">
        <f t="shared" si="341"/>
        <v>253.92634503451126</v>
      </c>
      <c r="AS128" s="5">
        <f t="shared" si="285"/>
        <v>3.9381498594172633</v>
      </c>
      <c r="AT128" s="5">
        <f t="shared" si="342"/>
        <v>1.4298379392439107</v>
      </c>
      <c r="AU128" s="5">
        <f t="shared" si="343"/>
        <v>2.5083119201733526</v>
      </c>
      <c r="AV128" s="5"/>
      <c r="AW128" s="150">
        <f t="shared" si="344"/>
        <v>0.36307352190388381</v>
      </c>
      <c r="AX128" s="150">
        <f t="shared" si="214"/>
        <v>21.918343832180032</v>
      </c>
      <c r="AY128" s="150">
        <f t="shared" si="215"/>
        <v>1.9300802366548973</v>
      </c>
      <c r="AZ128" s="150">
        <f t="shared" si="288"/>
        <v>11.356182720241533</v>
      </c>
      <c r="BA128" s="144">
        <f t="shared" si="433"/>
        <v>3.4316110541853857</v>
      </c>
      <c r="BB128" s="5">
        <f t="shared" si="434"/>
        <v>1.5997763586018261</v>
      </c>
      <c r="BD128" s="150">
        <f t="shared" si="289"/>
        <v>2.1083985915382644</v>
      </c>
      <c r="BE128" s="150">
        <f t="shared" si="218"/>
        <v>2.7925443571203008</v>
      </c>
      <c r="BG128" s="456">
        <f t="shared" si="347"/>
        <v>5.3344135449606443E-2</v>
      </c>
      <c r="BH128" s="456">
        <f t="shared" si="348"/>
        <v>1.4145093922864926</v>
      </c>
      <c r="BI128" s="456">
        <f t="shared" si="349"/>
        <v>2.9201529678968798E-2</v>
      </c>
      <c r="BJ128" s="456">
        <f t="shared" si="350"/>
        <v>0.3333161941961908</v>
      </c>
      <c r="BK128">
        <f t="shared" si="351"/>
        <v>8.9647794805053152E-3</v>
      </c>
      <c r="BL128" s="144">
        <f t="shared" si="427"/>
        <v>38.16630915947411</v>
      </c>
      <c r="BM128" s="456">
        <f t="shared" si="352"/>
        <v>1.8388796409507175</v>
      </c>
      <c r="BN128" s="144">
        <f t="shared" si="353"/>
        <v>1838.8796409507174</v>
      </c>
      <c r="BO128" s="456">
        <f t="shared" si="354"/>
        <v>0.504</v>
      </c>
      <c r="BR128" s="144">
        <f t="shared" si="355"/>
        <v>504</v>
      </c>
      <c r="BS128" s="456">
        <f t="shared" si="356"/>
        <v>6.2234824691207516E-2</v>
      </c>
      <c r="BT128" s="456">
        <f t="shared" si="357"/>
        <v>0.10917625581078208</v>
      </c>
      <c r="BU128" s="456">
        <f t="shared" si="358"/>
        <v>4.6454688011778975</v>
      </c>
      <c r="BV128" s="456"/>
      <c r="BW128" s="456">
        <f t="shared" si="359"/>
        <v>0.93269548222042709</v>
      </c>
      <c r="BX128" s="144">
        <f t="shared" si="360"/>
        <v>5749.5753639003142</v>
      </c>
      <c r="BY128" s="150">
        <f t="shared" si="361"/>
        <v>8.092911394992079</v>
      </c>
      <c r="BZ128" s="5">
        <f t="shared" si="362"/>
        <v>21.599999999999998</v>
      </c>
      <c r="CA128" s="150">
        <f t="shared" si="363"/>
        <v>0.7274463494894271</v>
      </c>
      <c r="CB128" s="5">
        <f t="shared" si="364"/>
        <v>72.744634948942704</v>
      </c>
      <c r="CE128" s="59">
        <f t="shared" si="365"/>
        <v>-50</v>
      </c>
      <c r="CF128">
        <f t="shared" si="366"/>
        <v>-50</v>
      </c>
      <c r="CG128" s="150">
        <f t="shared" si="367"/>
        <v>0.23917875490937737</v>
      </c>
      <c r="CI128" s="147">
        <v>18</v>
      </c>
      <c r="CJ128" s="188">
        <f t="shared" si="428"/>
        <v>0.72</v>
      </c>
      <c r="CK128" s="188"/>
      <c r="CL128" s="188">
        <f t="shared" si="368"/>
        <v>21.599999999999998</v>
      </c>
      <c r="CM128" s="465">
        <f t="shared" si="369"/>
        <v>20</v>
      </c>
      <c r="CN128" s="379">
        <f t="shared" si="370"/>
        <v>30.4</v>
      </c>
      <c r="CO128" s="379">
        <f t="shared" si="371"/>
        <v>50.4</v>
      </c>
      <c r="CP128" s="379"/>
      <c r="CQ128" s="188">
        <f t="shared" si="372"/>
        <v>0.60317460317460314</v>
      </c>
      <c r="CR128" s="149">
        <f t="shared" si="429"/>
        <v>183.55019291189507</v>
      </c>
      <c r="CS128" s="149">
        <f t="shared" si="373"/>
        <v>21.599999999999998</v>
      </c>
      <c r="CT128" s="188">
        <f t="shared" si="374"/>
        <v>6.1183397637298356</v>
      </c>
      <c r="CU128" s="188">
        <f t="shared" si="375"/>
        <v>30</v>
      </c>
      <c r="CV128" s="188"/>
      <c r="CW128" s="149">
        <f t="shared" si="376"/>
        <v>400.8953563166715</v>
      </c>
      <c r="CX128" s="149">
        <f t="shared" si="377"/>
        <v>30</v>
      </c>
      <c r="CY128" s="188">
        <f t="shared" si="378"/>
        <v>3.581052631578947</v>
      </c>
      <c r="CZ128" s="188">
        <f t="shared" si="379"/>
        <v>0.84154736842105249</v>
      </c>
      <c r="DA128" s="188">
        <f t="shared" si="380"/>
        <v>0.55364958448753454</v>
      </c>
      <c r="DB128" s="172">
        <f t="shared" si="381"/>
        <v>350</v>
      </c>
      <c r="DC128" s="379">
        <f t="shared" si="382"/>
        <v>350</v>
      </c>
      <c r="DE128" s="188">
        <f t="shared" si="383"/>
        <v>7.3334298258310406</v>
      </c>
      <c r="DF128" s="150">
        <f t="shared" si="384"/>
        <v>1.1337868480725624</v>
      </c>
      <c r="DG128" s="150">
        <f t="shared" si="385"/>
        <v>1.4550456003633017</v>
      </c>
      <c r="DH128" s="150"/>
      <c r="DI128" s="150">
        <f t="shared" si="386"/>
        <v>0.93700159489633172</v>
      </c>
      <c r="DJ128" s="314">
        <f t="shared" si="387"/>
        <v>253.57480851063832</v>
      </c>
      <c r="DK128" s="456">
        <f t="shared" si="388"/>
        <v>0.99378957034459414</v>
      </c>
      <c r="DM128" s="150">
        <f t="shared" si="389"/>
        <v>5.1586384009712951</v>
      </c>
      <c r="DN128" s="150">
        <f t="shared" si="390"/>
        <v>6.0606060606060606</v>
      </c>
      <c r="DO128" s="150">
        <f t="shared" si="391"/>
        <v>1.1448998905775076</v>
      </c>
      <c r="DQ128" s="314">
        <f t="shared" si="392"/>
        <v>720</v>
      </c>
      <c r="DR128" s="144">
        <f t="shared" si="393"/>
        <v>253.57480851063832</v>
      </c>
      <c r="DT128">
        <f t="shared" si="430"/>
        <v>720</v>
      </c>
      <c r="DU128">
        <f t="shared" si="431"/>
        <v>253.57480851063832</v>
      </c>
      <c r="DW128" s="5">
        <f t="shared" si="394"/>
        <v>3.9436094061293416</v>
      </c>
      <c r="DX128" s="5">
        <f t="shared" si="395"/>
        <v>1.4242424242424243</v>
      </c>
      <c r="DY128" s="5">
        <f t="shared" si="396"/>
        <v>2.5193669818869173</v>
      </c>
      <c r="DZ128" s="5"/>
      <c r="EA128" s="150">
        <f t="shared" si="397"/>
        <v>0.36115200000000008</v>
      </c>
      <c r="EB128" s="150">
        <f t="shared" si="398"/>
        <v>21.887999999999998</v>
      </c>
      <c r="EC128" s="150">
        <f t="shared" si="399"/>
        <v>1.9359030303030298</v>
      </c>
      <c r="ED128" s="150">
        <f t="shared" si="400"/>
        <v>11.306351432578644</v>
      </c>
      <c r="EE128" s="144">
        <f t="shared" si="401"/>
        <v>3.418181818181818</v>
      </c>
      <c r="EF128" s="5">
        <f t="shared" si="402"/>
        <v>1.6005390237869823</v>
      </c>
      <c r="EH128" s="150">
        <f t="shared" si="403"/>
        <v>2.1028119701528674</v>
      </c>
      <c r="EI128" s="150">
        <f t="shared" si="404"/>
        <v>2.7967535510778898</v>
      </c>
      <c r="EK128" s="456">
        <f t="shared" si="405"/>
        <v>5.3061818181818203E-2</v>
      </c>
      <c r="EL128" s="456">
        <f t="shared" si="406"/>
        <v>1.4716559795744681</v>
      </c>
      <c r="EM128" s="456">
        <f t="shared" si="407"/>
        <v>2.9161102978723409E-2</v>
      </c>
      <c r="EN128" s="456">
        <f t="shared" si="408"/>
        <v>0.33333240304095324</v>
      </c>
      <c r="EO128">
        <f t="shared" si="409"/>
        <v>8.9999999999999993E-3</v>
      </c>
      <c r="EP128" s="144">
        <f t="shared" si="410"/>
        <v>38.161102978723413</v>
      </c>
      <c r="EQ128" s="144"/>
      <c r="ER128" s="144">
        <f t="shared" si="432"/>
        <v>1896.2113037759627</v>
      </c>
      <c r="ES128" s="456">
        <f t="shared" si="411"/>
        <v>0.504</v>
      </c>
      <c r="EV128" s="144">
        <f t="shared" si="412"/>
        <v>504</v>
      </c>
      <c r="EW128" s="456">
        <f t="shared" si="413"/>
        <v>6.1905454545454569E-2</v>
      </c>
      <c r="EX128" s="456">
        <f t="shared" si="414"/>
        <v>0.10950562595653501</v>
      </c>
      <c r="EY128" s="456">
        <f t="shared" si="415"/>
        <v>4.6294074828548668</v>
      </c>
      <c r="EZ128" s="456"/>
      <c r="FA128" s="456">
        <f t="shared" si="416"/>
        <v>0.93140425531914905</v>
      </c>
      <c r="FB128" s="144">
        <f t="shared" si="417"/>
        <v>5732.2228186760058</v>
      </c>
      <c r="FC128" s="150">
        <f t="shared" si="418"/>
        <v>8.1324341224519685</v>
      </c>
      <c r="FD128" s="5">
        <f t="shared" si="419"/>
        <v>21.599999999999998</v>
      </c>
      <c r="FE128" s="150">
        <f t="shared" si="420"/>
        <v>0.72647936966886639</v>
      </c>
      <c r="FF128" s="5">
        <f t="shared" si="421"/>
        <v>72.647936966886633</v>
      </c>
      <c r="FI128" s="59">
        <f t="shared" si="422"/>
        <v>-50</v>
      </c>
      <c r="FJ128">
        <f t="shared" si="423"/>
        <v>-50</v>
      </c>
      <c r="FL128">
        <f t="shared" si="424"/>
        <v>0.23760000000000001</v>
      </c>
    </row>
    <row r="129" spans="5:168">
      <c r="E129" s="147">
        <v>19</v>
      </c>
      <c r="F129" s="188">
        <f t="shared" si="425"/>
        <v>0.76</v>
      </c>
      <c r="G129" s="188"/>
      <c r="H129" s="188">
        <f t="shared" si="315"/>
        <v>22.8</v>
      </c>
      <c r="I129" s="465">
        <f t="shared" si="316"/>
        <v>19.921732178900701</v>
      </c>
      <c r="J129" s="149">
        <f t="shared" si="317"/>
        <v>30.44214421136116</v>
      </c>
      <c r="K129" s="149">
        <f t="shared" si="318"/>
        <v>50.363876390261865</v>
      </c>
      <c r="L129" s="379"/>
      <c r="M129" s="188">
        <f t="shared" si="319"/>
        <v>0.604446225362259</v>
      </c>
      <c r="N129" s="149">
        <f t="shared" si="426"/>
        <v>183.21733829403041</v>
      </c>
      <c r="O129" s="149">
        <f t="shared" si="284"/>
        <v>22.8</v>
      </c>
      <c r="P129" s="188">
        <f t="shared" si="320"/>
        <v>6.1072446098010138</v>
      </c>
      <c r="Q129" s="188">
        <f t="shared" si="321"/>
        <v>30</v>
      </c>
      <c r="R129" s="188"/>
      <c r="S129" s="149">
        <f t="shared" si="322"/>
        <v>377.26308750072161</v>
      </c>
      <c r="T129" s="149">
        <f t="shared" si="323"/>
        <v>30</v>
      </c>
      <c r="U129" s="188">
        <f t="shared" si="324"/>
        <v>3.8427139303424878</v>
      </c>
      <c r="V129" s="188">
        <f t="shared" si="325"/>
        <v>0.90658559759868729</v>
      </c>
      <c r="W129" s="188">
        <f t="shared" si="326"/>
        <v>0.59328131905601211</v>
      </c>
      <c r="X129" s="172">
        <f t="shared" si="327"/>
        <v>350</v>
      </c>
      <c r="Y129" s="379">
        <f t="shared" si="328"/>
        <v>350</v>
      </c>
      <c r="AA129" s="188">
        <f t="shared" si="329"/>
        <v>7.320104561416251</v>
      </c>
      <c r="AB129" s="150">
        <f t="shared" si="330"/>
        <v>1.1301599256538719</v>
      </c>
      <c r="AC129" s="150">
        <f t="shared" si="331"/>
        <v>1.4477555447090327</v>
      </c>
      <c r="AD129" s="150"/>
      <c r="AE129" s="150">
        <f t="shared" si="332"/>
        <v>0.93570440659754173</v>
      </c>
      <c r="AF129" s="314">
        <f t="shared" si="333"/>
        <v>268.03336420309518</v>
      </c>
      <c r="AG129" s="456">
        <f t="shared" si="334"/>
        <v>0.99241376457315034</v>
      </c>
      <c r="AI129" s="150">
        <f t="shared" si="335"/>
        <v>5.3036696134424295</v>
      </c>
      <c r="AJ129" s="150">
        <f t="shared" si="336"/>
        <v>6.0606060606060606</v>
      </c>
      <c r="AK129" s="150">
        <f t="shared" si="337"/>
        <v>1.1531619224017686</v>
      </c>
      <c r="AM129" s="314">
        <f t="shared" si="338"/>
        <v>760</v>
      </c>
      <c r="AN129" s="144">
        <f t="shared" si="339"/>
        <v>268.03336420309518</v>
      </c>
      <c r="AP129" s="144">
        <f t="shared" si="340"/>
        <v>760</v>
      </c>
      <c r="AQ129" s="144">
        <f t="shared" si="341"/>
        <v>268.03336420309518</v>
      </c>
      <c r="AS129" s="5">
        <f t="shared" si="285"/>
        <v>3.7308788141847766</v>
      </c>
      <c r="AT129" s="5">
        <f t="shared" si="342"/>
        <v>1.4298379392439107</v>
      </c>
      <c r="AU129" s="5">
        <f t="shared" si="343"/>
        <v>2.301040874940866</v>
      </c>
      <c r="AV129" s="5"/>
      <c r="AW129" s="150">
        <f t="shared" si="344"/>
        <v>0.38324427312076614</v>
      </c>
      <c r="AX129" s="150">
        <f t="shared" si="214"/>
        <v>23.136029600634476</v>
      </c>
      <c r="AY129" s="150">
        <f t="shared" si="215"/>
        <v>1.8689567481188905</v>
      </c>
      <c r="AZ129" s="150">
        <f t="shared" si="288"/>
        <v>12.379114510767007</v>
      </c>
      <c r="BA129" s="144">
        <f t="shared" si="433"/>
        <v>3.62225611275124</v>
      </c>
      <c r="BB129" s="5">
        <f t="shared" si="434"/>
        <v>1.5491132255060509</v>
      </c>
      <c r="BD129" s="150">
        <f t="shared" si="289"/>
        <v>2.1661736335864235</v>
      </c>
      <c r="BE129" s="150">
        <f t="shared" si="218"/>
        <v>2.74797023208767</v>
      </c>
      <c r="BG129" s="456">
        <f t="shared" si="347"/>
        <v>5.6307698530140109E-2</v>
      </c>
      <c r="BH129" s="456">
        <f t="shared" si="348"/>
        <v>1.4930932474135197</v>
      </c>
      <c r="BI129" s="456">
        <f t="shared" si="349"/>
        <v>3.0823836883355948E-2</v>
      </c>
      <c r="BJ129" s="456">
        <f t="shared" si="350"/>
        <v>0.35183376054042359</v>
      </c>
      <c r="BK129">
        <f t="shared" si="351"/>
        <v>8.9647794805053152E-3</v>
      </c>
      <c r="BL129" s="144">
        <f t="shared" si="427"/>
        <v>39.788616363861259</v>
      </c>
      <c r="BM129" s="456">
        <f t="shared" si="352"/>
        <v>1.9424249232210338</v>
      </c>
      <c r="BN129" s="144">
        <f t="shared" si="353"/>
        <v>1942.4249232210339</v>
      </c>
      <c r="BO129" s="456">
        <f t="shared" si="354"/>
        <v>0.53199999999999992</v>
      </c>
      <c r="BR129" s="144">
        <f t="shared" si="355"/>
        <v>531.99999999999989</v>
      </c>
      <c r="BS129" s="456">
        <f t="shared" si="356"/>
        <v>6.5692314951830116E-2</v>
      </c>
      <c r="BT129" s="456">
        <f t="shared" si="357"/>
        <v>0.10571876555015949</v>
      </c>
      <c r="BU129" s="456">
        <f t="shared" si="358"/>
        <v>5.3178035221859528</v>
      </c>
      <c r="BV129" s="456"/>
      <c r="BW129" s="456">
        <f t="shared" si="359"/>
        <v>0.98451189789933946</v>
      </c>
      <c r="BX129" s="144">
        <f t="shared" si="360"/>
        <v>6473.7265005872823</v>
      </c>
      <c r="BY129" s="150">
        <f t="shared" si="361"/>
        <v>8.9467498234352263</v>
      </c>
      <c r="BZ129" s="5">
        <f t="shared" si="362"/>
        <v>22.8</v>
      </c>
      <c r="CA129" s="150">
        <f t="shared" si="363"/>
        <v>0.71818375508692867</v>
      </c>
      <c r="CB129" s="5">
        <f t="shared" si="364"/>
        <v>71.818375508692867</v>
      </c>
      <c r="CE129" s="59">
        <f t="shared" si="365"/>
        <v>-50</v>
      </c>
      <c r="CF129">
        <f t="shared" si="366"/>
        <v>-50</v>
      </c>
      <c r="CG129" s="150">
        <f t="shared" si="367"/>
        <v>0.25246646351545388</v>
      </c>
      <c r="CI129" s="147">
        <v>19</v>
      </c>
      <c r="CJ129" s="188">
        <f t="shared" si="428"/>
        <v>0.76</v>
      </c>
      <c r="CK129" s="188"/>
      <c r="CL129" s="188">
        <f t="shared" si="368"/>
        <v>22.8</v>
      </c>
      <c r="CM129" s="465">
        <f t="shared" si="369"/>
        <v>20</v>
      </c>
      <c r="CN129" s="379">
        <f t="shared" si="370"/>
        <v>30.4</v>
      </c>
      <c r="CO129" s="379">
        <f t="shared" si="371"/>
        <v>50.4</v>
      </c>
      <c r="CP129" s="379"/>
      <c r="CQ129" s="188">
        <f t="shared" si="372"/>
        <v>0.60317460317460314</v>
      </c>
      <c r="CR129" s="149">
        <f t="shared" si="429"/>
        <v>183.55019291189507</v>
      </c>
      <c r="CS129" s="149">
        <f t="shared" si="373"/>
        <v>22.8</v>
      </c>
      <c r="CT129" s="188">
        <f t="shared" si="374"/>
        <v>6.1183397637298356</v>
      </c>
      <c r="CU129" s="188">
        <f t="shared" si="375"/>
        <v>30</v>
      </c>
      <c r="CV129" s="188"/>
      <c r="CW129" s="149">
        <f t="shared" si="376"/>
        <v>378.74518303124256</v>
      </c>
      <c r="CX129" s="149">
        <f t="shared" si="377"/>
        <v>30</v>
      </c>
      <c r="CY129" s="188">
        <f t="shared" si="378"/>
        <v>3.7800000000000002</v>
      </c>
      <c r="CZ129" s="188">
        <f t="shared" si="379"/>
        <v>0.88830000000000009</v>
      </c>
      <c r="DA129" s="188">
        <f t="shared" si="380"/>
        <v>0.58440789473684218</v>
      </c>
      <c r="DB129" s="172">
        <f t="shared" si="381"/>
        <v>350</v>
      </c>
      <c r="DC129" s="379">
        <f t="shared" si="382"/>
        <v>350</v>
      </c>
      <c r="DE129" s="188">
        <f t="shared" si="383"/>
        <v>7.3334298258310406</v>
      </c>
      <c r="DF129" s="150">
        <f t="shared" si="384"/>
        <v>1.1337868480725624</v>
      </c>
      <c r="DG129" s="150">
        <f t="shared" si="385"/>
        <v>1.4550456003633017</v>
      </c>
      <c r="DH129" s="150"/>
      <c r="DI129" s="150">
        <f t="shared" si="386"/>
        <v>0.93700159489633172</v>
      </c>
      <c r="DJ129" s="314">
        <f t="shared" si="387"/>
        <v>267.66229787234045</v>
      </c>
      <c r="DK129" s="456">
        <f t="shared" si="388"/>
        <v>0.99378957034459414</v>
      </c>
      <c r="DM129" s="150">
        <f t="shared" si="389"/>
        <v>5.2999971325334903</v>
      </c>
      <c r="DN129" s="150">
        <f t="shared" si="390"/>
        <v>6.0606060606060606</v>
      </c>
      <c r="DO129" s="150">
        <f t="shared" si="391"/>
        <v>1.1529498844984802</v>
      </c>
      <c r="DQ129" s="314">
        <f t="shared" si="392"/>
        <v>760</v>
      </c>
      <c r="DR129" s="144">
        <f t="shared" si="393"/>
        <v>267.66229787234045</v>
      </c>
      <c r="DT129">
        <f t="shared" si="430"/>
        <v>760</v>
      </c>
      <c r="DU129">
        <f t="shared" si="431"/>
        <v>267.66229787234045</v>
      </c>
      <c r="DW129" s="5">
        <f t="shared" si="394"/>
        <v>3.7360510163330609</v>
      </c>
      <c r="DX129" s="5">
        <f t="shared" si="395"/>
        <v>1.4242424242424243</v>
      </c>
      <c r="DY129" s="5">
        <f t="shared" si="396"/>
        <v>2.3118085920906366</v>
      </c>
      <c r="DZ129" s="5"/>
      <c r="EA129" s="150">
        <f t="shared" si="397"/>
        <v>0.38121600000000005</v>
      </c>
      <c r="EB129" s="150">
        <f t="shared" si="398"/>
        <v>23.103999999999999</v>
      </c>
      <c r="EC129" s="150">
        <f t="shared" si="399"/>
        <v>1.8751030303030303</v>
      </c>
      <c r="ED129" s="150">
        <f t="shared" si="400"/>
        <v>12.321456275533951</v>
      </c>
      <c r="EE129" s="144">
        <f t="shared" si="401"/>
        <v>3.6080808080808087</v>
      </c>
      <c r="EF129" s="5">
        <f t="shared" si="402"/>
        <v>1.5502716441078388</v>
      </c>
      <c r="EH129" s="150">
        <f t="shared" si="403"/>
        <v>2.1604339257368523</v>
      </c>
      <c r="EI129" s="150">
        <f t="shared" si="404"/>
        <v>2.7524850335306499</v>
      </c>
      <c r="EK129" s="456">
        <f t="shared" si="405"/>
        <v>5.6009696969696966E-2</v>
      </c>
      <c r="EL129" s="456">
        <f t="shared" si="406"/>
        <v>1.5534146451063833</v>
      </c>
      <c r="EM129" s="456">
        <f t="shared" si="407"/>
        <v>3.0781164255319154E-2</v>
      </c>
      <c r="EN129" s="456">
        <f t="shared" si="408"/>
        <v>0.35185086987656172</v>
      </c>
      <c r="EO129">
        <f t="shared" si="409"/>
        <v>8.9999999999999993E-3</v>
      </c>
      <c r="EP129" s="144">
        <f t="shared" si="410"/>
        <v>39.781164255319155</v>
      </c>
      <c r="EQ129" s="144"/>
      <c r="ER129" s="144">
        <f t="shared" si="432"/>
        <v>2001.056376207961</v>
      </c>
      <c r="ES129" s="456">
        <f t="shared" si="411"/>
        <v>0.53199999999999992</v>
      </c>
      <c r="EV129" s="144">
        <f t="shared" si="412"/>
        <v>531.99999999999989</v>
      </c>
      <c r="EW129" s="456">
        <f t="shared" si="413"/>
        <v>6.5344646464646466E-2</v>
      </c>
      <c r="EX129" s="456">
        <f t="shared" si="414"/>
        <v>0.10606643403734312</v>
      </c>
      <c r="EY129" s="456">
        <f t="shared" si="415"/>
        <v>5.2994176630176586</v>
      </c>
      <c r="EZ129" s="456"/>
      <c r="FA129" s="456">
        <f t="shared" si="416"/>
        <v>0.98314893617021282</v>
      </c>
      <c r="FB129" s="144">
        <f t="shared" si="417"/>
        <v>6453.9776796898614</v>
      </c>
      <c r="FC129" s="150">
        <f t="shared" si="418"/>
        <v>8.9870340558978228</v>
      </c>
      <c r="FD129" s="5">
        <f t="shared" si="419"/>
        <v>22.8</v>
      </c>
      <c r="FE129" s="150">
        <f t="shared" si="420"/>
        <v>0.71727358897045779</v>
      </c>
      <c r="FF129" s="5">
        <f t="shared" si="421"/>
        <v>71.727358897045775</v>
      </c>
      <c r="FI129" s="59">
        <f t="shared" si="422"/>
        <v>-50</v>
      </c>
      <c r="FJ129">
        <f t="shared" si="423"/>
        <v>-50</v>
      </c>
      <c r="FL129">
        <f t="shared" si="424"/>
        <v>0.25080000000000002</v>
      </c>
    </row>
    <row r="130" spans="5:168">
      <c r="E130" s="147">
        <v>20</v>
      </c>
      <c r="F130" s="188">
        <f t="shared" si="425"/>
        <v>0.8</v>
      </c>
      <c r="G130" s="188"/>
      <c r="H130" s="188">
        <f t="shared" si="315"/>
        <v>24</v>
      </c>
      <c r="I130" s="465">
        <f t="shared" si="316"/>
        <v>19.921732178900701</v>
      </c>
      <c r="J130" s="149">
        <f t="shared" si="317"/>
        <v>30.44214421136116</v>
      </c>
      <c r="K130" s="149">
        <f t="shared" si="318"/>
        <v>50.363876390261865</v>
      </c>
      <c r="L130" s="379"/>
      <c r="M130" s="188">
        <f t="shared" si="319"/>
        <v>0.604446225362259</v>
      </c>
      <c r="N130" s="149">
        <f t="shared" si="426"/>
        <v>183.21733829403041</v>
      </c>
      <c r="O130" s="149">
        <f t="shared" si="284"/>
        <v>24</v>
      </c>
      <c r="P130" s="188">
        <f t="shared" si="320"/>
        <v>6.1072446098010138</v>
      </c>
      <c r="Q130" s="188">
        <f t="shared" si="321"/>
        <v>30</v>
      </c>
      <c r="R130" s="188"/>
      <c r="S130" s="149">
        <f t="shared" si="322"/>
        <v>357.40607249515932</v>
      </c>
      <c r="T130" s="149">
        <f t="shared" si="323"/>
        <v>30</v>
      </c>
      <c r="U130" s="188">
        <f t="shared" si="324"/>
        <v>4.0449620319394608</v>
      </c>
      <c r="V130" s="188">
        <f t="shared" si="325"/>
        <v>0.95430062905124968</v>
      </c>
      <c r="W130" s="188">
        <f t="shared" si="326"/>
        <v>0.62450665163790742</v>
      </c>
      <c r="X130" s="172">
        <f t="shared" si="327"/>
        <v>350</v>
      </c>
      <c r="Y130" s="379">
        <f t="shared" si="328"/>
        <v>350</v>
      </c>
      <c r="AA130" s="188">
        <f t="shared" si="329"/>
        <v>7.320104561416251</v>
      </c>
      <c r="AB130" s="150">
        <f t="shared" si="330"/>
        <v>1.1301599256538719</v>
      </c>
      <c r="AC130" s="150">
        <f t="shared" si="331"/>
        <v>1.4477555447090327</v>
      </c>
      <c r="AD130" s="150"/>
      <c r="AE130" s="150">
        <f t="shared" si="332"/>
        <v>0.93570440659754173</v>
      </c>
      <c r="AF130" s="314">
        <f t="shared" si="333"/>
        <v>282.14038337167915</v>
      </c>
      <c r="AG130" s="456">
        <f t="shared" si="334"/>
        <v>0.99241376457315034</v>
      </c>
      <c r="AI130" s="150">
        <f t="shared" si="335"/>
        <v>5.4414502100037696</v>
      </c>
      <c r="AJ130" s="150">
        <f t="shared" si="336"/>
        <v>6.0606060606060606</v>
      </c>
      <c r="AK130" s="150">
        <f t="shared" si="337"/>
        <v>1.1612230762123881</v>
      </c>
      <c r="AM130" s="314">
        <f t="shared" si="338"/>
        <v>800</v>
      </c>
      <c r="AN130" s="144">
        <f t="shared" si="339"/>
        <v>282.14038337167915</v>
      </c>
      <c r="AP130" s="144">
        <f t="shared" si="340"/>
        <v>800</v>
      </c>
      <c r="AQ130" s="144">
        <f t="shared" si="341"/>
        <v>282.14038337167915</v>
      </c>
      <c r="AS130" s="5">
        <f t="shared" si="285"/>
        <v>3.5443348734755373</v>
      </c>
      <c r="AT130" s="5">
        <f t="shared" si="342"/>
        <v>1.4298379392439107</v>
      </c>
      <c r="AU130" s="5">
        <f t="shared" si="343"/>
        <v>2.1144969342316267</v>
      </c>
      <c r="AV130" s="5"/>
      <c r="AW130" s="150">
        <f t="shared" si="344"/>
        <v>0.40341502433764864</v>
      </c>
      <c r="AX130" s="150">
        <f t="shared" si="214"/>
        <v>24.353715369088921</v>
      </c>
      <c r="AY130" s="150">
        <f t="shared" si="215"/>
        <v>1.807833259582883</v>
      </c>
      <c r="AZ130" s="150">
        <f t="shared" si="288"/>
        <v>13.471217680057505</v>
      </c>
      <c r="BA130" s="144">
        <f t="shared" si="433"/>
        <v>3.8129011713170953</v>
      </c>
      <c r="BB130" s="5">
        <f t="shared" si="434"/>
        <v>1.4984500924102744</v>
      </c>
      <c r="BD130" s="150">
        <f t="shared" si="289"/>
        <v>2.2224472549173093</v>
      </c>
      <c r="BE130" s="150">
        <f t="shared" si="218"/>
        <v>2.7026610602137082</v>
      </c>
      <c r="BG130" s="456">
        <f t="shared" si="347"/>
        <v>5.9271261610673802E-2</v>
      </c>
      <c r="BH130" s="456">
        <f t="shared" si="348"/>
        <v>1.5716771025405472</v>
      </c>
      <c r="BI130" s="456">
        <f t="shared" si="349"/>
        <v>3.2446144087743108E-2</v>
      </c>
      <c r="BJ130" s="456">
        <f t="shared" si="350"/>
        <v>0.37035132688465638</v>
      </c>
      <c r="BK130">
        <f t="shared" si="351"/>
        <v>8.9647794805053152E-3</v>
      </c>
      <c r="BL130" s="144">
        <f t="shared" si="427"/>
        <v>41.410923568248421</v>
      </c>
      <c r="BM130" s="456">
        <f t="shared" si="352"/>
        <v>2.0461181096903114</v>
      </c>
      <c r="BN130" s="144">
        <f t="shared" si="353"/>
        <v>2046.1181096903115</v>
      </c>
      <c r="BO130" s="456">
        <f t="shared" si="354"/>
        <v>0.55999999999999994</v>
      </c>
      <c r="BR130" s="144">
        <f t="shared" si="355"/>
        <v>559.99999999999989</v>
      </c>
      <c r="BS130" s="456">
        <f t="shared" si="356"/>
        <v>6.9149805212452772E-2</v>
      </c>
      <c r="BT130" s="456">
        <f t="shared" si="357"/>
        <v>0.1022612752895368</v>
      </c>
      <c r="BU130" s="456">
        <f t="shared" si="358"/>
        <v>6.0453753954625622</v>
      </c>
      <c r="BV130" s="456"/>
      <c r="BW130" s="456">
        <f t="shared" si="359"/>
        <v>1.0363283135782522</v>
      </c>
      <c r="BX130" s="144">
        <f t="shared" si="360"/>
        <v>7253.1147895428048</v>
      </c>
      <c r="BY130" s="150">
        <f t="shared" si="361"/>
        <v>9.8558254041469304</v>
      </c>
      <c r="BZ130" s="5">
        <f t="shared" si="362"/>
        <v>24</v>
      </c>
      <c r="CA130" s="150">
        <f t="shared" si="363"/>
        <v>0.70888834383758048</v>
      </c>
      <c r="CB130" s="5">
        <f t="shared" si="364"/>
        <v>70.888834383758052</v>
      </c>
      <c r="CE130" s="59">
        <f t="shared" si="365"/>
        <v>-50</v>
      </c>
      <c r="CF130">
        <f t="shared" si="366"/>
        <v>-50</v>
      </c>
      <c r="CG130" s="150">
        <f t="shared" si="367"/>
        <v>0.26575417212153041</v>
      </c>
      <c r="CI130" s="147">
        <v>20</v>
      </c>
      <c r="CJ130" s="188">
        <f t="shared" si="428"/>
        <v>0.8</v>
      </c>
      <c r="CK130" s="188"/>
      <c r="CL130" s="188">
        <f t="shared" si="368"/>
        <v>24</v>
      </c>
      <c r="CM130" s="465">
        <f t="shared" si="369"/>
        <v>20</v>
      </c>
      <c r="CN130" s="379">
        <f t="shared" si="370"/>
        <v>30.4</v>
      </c>
      <c r="CO130" s="379">
        <f t="shared" si="371"/>
        <v>50.4</v>
      </c>
      <c r="CP130" s="379"/>
      <c r="CQ130" s="188">
        <f t="shared" si="372"/>
        <v>0.60317460317460314</v>
      </c>
      <c r="CR130" s="149">
        <f t="shared" si="429"/>
        <v>183.55019291189507</v>
      </c>
      <c r="CS130" s="149">
        <f t="shared" si="373"/>
        <v>24</v>
      </c>
      <c r="CT130" s="188">
        <f t="shared" si="374"/>
        <v>6.1183397637298356</v>
      </c>
      <c r="CU130" s="188">
        <f t="shared" si="375"/>
        <v>30</v>
      </c>
      <c r="CV130" s="188"/>
      <c r="CW130" s="149">
        <f t="shared" si="376"/>
        <v>358.81014987348931</v>
      </c>
      <c r="CX130" s="149">
        <f t="shared" si="377"/>
        <v>30</v>
      </c>
      <c r="CY130" s="188">
        <f t="shared" si="378"/>
        <v>3.9789473684210526</v>
      </c>
      <c r="CZ130" s="188">
        <f t="shared" si="379"/>
        <v>0.93505263157894736</v>
      </c>
      <c r="DA130" s="188">
        <f t="shared" si="380"/>
        <v>0.6151662049861496</v>
      </c>
      <c r="DB130" s="172">
        <f t="shared" si="381"/>
        <v>350</v>
      </c>
      <c r="DC130" s="379">
        <f t="shared" si="382"/>
        <v>350</v>
      </c>
      <c r="DE130" s="188">
        <f t="shared" si="383"/>
        <v>7.3334298258310406</v>
      </c>
      <c r="DF130" s="150">
        <f t="shared" si="384"/>
        <v>1.1337868480725624</v>
      </c>
      <c r="DG130" s="150">
        <f t="shared" si="385"/>
        <v>1.4550456003633017</v>
      </c>
      <c r="DH130" s="150"/>
      <c r="DI130" s="150">
        <f t="shared" si="386"/>
        <v>0.93700159489633172</v>
      </c>
      <c r="DJ130" s="314">
        <f t="shared" si="387"/>
        <v>281.74978723404257</v>
      </c>
      <c r="DK130" s="456">
        <f t="shared" si="388"/>
        <v>0.99378957034459414</v>
      </c>
      <c r="DM130" s="150">
        <f t="shared" si="389"/>
        <v>5.4376823240927523</v>
      </c>
      <c r="DN130" s="150">
        <f t="shared" si="390"/>
        <v>6.0606060606060606</v>
      </c>
      <c r="DO130" s="150">
        <f t="shared" si="391"/>
        <v>1.1609998784194528</v>
      </c>
      <c r="DQ130" s="314">
        <f t="shared" si="392"/>
        <v>800</v>
      </c>
      <c r="DR130" s="144">
        <f t="shared" si="393"/>
        <v>281.74978723404257</v>
      </c>
      <c r="DT130">
        <f t="shared" si="430"/>
        <v>800</v>
      </c>
      <c r="DU130">
        <f t="shared" si="431"/>
        <v>281.74978723404257</v>
      </c>
      <c r="DW130" s="5">
        <f t="shared" si="394"/>
        <v>3.549248465516408</v>
      </c>
      <c r="DX130" s="5">
        <f t="shared" si="395"/>
        <v>1.4242424242424243</v>
      </c>
      <c r="DY130" s="5">
        <f t="shared" si="396"/>
        <v>2.1250060412739837</v>
      </c>
      <c r="DZ130" s="5"/>
      <c r="EA130" s="150">
        <f t="shared" si="397"/>
        <v>0.40128000000000003</v>
      </c>
      <c r="EB130" s="150">
        <f t="shared" si="398"/>
        <v>24.319999999999997</v>
      </c>
      <c r="EC130" s="150">
        <f t="shared" si="399"/>
        <v>1.8143030303030301</v>
      </c>
      <c r="ED130" s="150">
        <f t="shared" si="400"/>
        <v>13.404596472474612</v>
      </c>
      <c r="EE130" s="144">
        <f t="shared" si="401"/>
        <v>3.797979797979798</v>
      </c>
      <c r="EF130" s="5">
        <f t="shared" si="402"/>
        <v>1.5000042644286942</v>
      </c>
      <c r="EH130" s="150">
        <f t="shared" si="403"/>
        <v>2.2165584389163562</v>
      </c>
      <c r="EI130" s="150">
        <f t="shared" si="404"/>
        <v>2.7074928059283292</v>
      </c>
      <c r="EK130" s="456">
        <f t="shared" si="405"/>
        <v>5.8957575757575764E-2</v>
      </c>
      <c r="EL130" s="456">
        <f t="shared" si="406"/>
        <v>1.6351733106382982</v>
      </c>
      <c r="EM130" s="456">
        <f t="shared" si="407"/>
        <v>3.24012255319149E-2</v>
      </c>
      <c r="EN130" s="456">
        <f t="shared" si="408"/>
        <v>0.37036933671217026</v>
      </c>
      <c r="EO130">
        <f t="shared" si="409"/>
        <v>8.9999999999999993E-3</v>
      </c>
      <c r="EP130" s="144">
        <f t="shared" si="410"/>
        <v>41.401225531914903</v>
      </c>
      <c r="EQ130" s="144"/>
      <c r="ER130" s="144">
        <f t="shared" si="432"/>
        <v>2105.9014486399587</v>
      </c>
      <c r="ES130" s="456">
        <f t="shared" si="411"/>
        <v>0.55999999999999994</v>
      </c>
      <c r="EV130" s="144">
        <f t="shared" si="412"/>
        <v>559.99999999999989</v>
      </c>
      <c r="EW130" s="456">
        <f t="shared" si="413"/>
        <v>6.8783838383838392E-2</v>
      </c>
      <c r="EX130" s="456">
        <f t="shared" si="414"/>
        <v>0.1026272421181512</v>
      </c>
      <c r="EY130" s="456">
        <f t="shared" si="415"/>
        <v>6.0244740176330263</v>
      </c>
      <c r="EZ130" s="456"/>
      <c r="FA130" s="456">
        <f t="shared" si="416"/>
        <v>1.0348936170212768</v>
      </c>
      <c r="FB130" s="144">
        <f t="shared" si="417"/>
        <v>7230.7787151562934</v>
      </c>
      <c r="FC130" s="150">
        <f t="shared" si="418"/>
        <v>9.8966801637962529</v>
      </c>
      <c r="FD130" s="5">
        <f t="shared" si="419"/>
        <v>24</v>
      </c>
      <c r="FE130" s="150">
        <f t="shared" si="420"/>
        <v>0.70803393972585793</v>
      </c>
      <c r="FF130" s="5">
        <f t="shared" si="421"/>
        <v>70.803393972585795</v>
      </c>
      <c r="FI130" s="59">
        <f t="shared" si="422"/>
        <v>-50</v>
      </c>
      <c r="FJ130">
        <f t="shared" si="423"/>
        <v>-50</v>
      </c>
      <c r="FL130">
        <f t="shared" si="424"/>
        <v>0.26400000000000001</v>
      </c>
    </row>
    <row r="131" spans="5:168">
      <c r="E131" s="147">
        <v>21</v>
      </c>
      <c r="F131" s="188">
        <f t="shared" si="425"/>
        <v>0.84</v>
      </c>
      <c r="G131" s="188"/>
      <c r="H131" s="188">
        <f t="shared" si="315"/>
        <v>25.2</v>
      </c>
      <c r="I131" s="465">
        <f t="shared" si="316"/>
        <v>19.921732178900701</v>
      </c>
      <c r="J131" s="149">
        <f t="shared" si="317"/>
        <v>30.44214421136116</v>
      </c>
      <c r="K131" s="149">
        <f t="shared" si="318"/>
        <v>50.363876390261865</v>
      </c>
      <c r="L131" s="379"/>
      <c r="M131" s="188">
        <f t="shared" si="319"/>
        <v>0.604446225362259</v>
      </c>
      <c r="N131" s="149">
        <f t="shared" si="426"/>
        <v>183.21733829403041</v>
      </c>
      <c r="O131" s="149">
        <f t="shared" si="284"/>
        <v>25.2</v>
      </c>
      <c r="P131" s="188">
        <f t="shared" si="320"/>
        <v>6.1072446098010138</v>
      </c>
      <c r="Q131" s="188">
        <f t="shared" si="321"/>
        <v>30</v>
      </c>
      <c r="R131" s="188"/>
      <c r="S131" s="149">
        <f t="shared" si="322"/>
        <v>339.44031968106742</v>
      </c>
      <c r="T131" s="149">
        <f t="shared" si="323"/>
        <v>30</v>
      </c>
      <c r="U131" s="188">
        <f t="shared" si="324"/>
        <v>4.2472101335364334</v>
      </c>
      <c r="V131" s="188">
        <f t="shared" si="325"/>
        <v>1.0020156605038122</v>
      </c>
      <c r="W131" s="188">
        <f t="shared" si="326"/>
        <v>0.65573198421980272</v>
      </c>
      <c r="X131" s="172">
        <f t="shared" si="327"/>
        <v>350</v>
      </c>
      <c r="Y131" s="379">
        <f t="shared" si="328"/>
        <v>350</v>
      </c>
      <c r="AA131" s="188">
        <f t="shared" si="329"/>
        <v>7.320104561416251</v>
      </c>
      <c r="AB131" s="150">
        <f t="shared" si="330"/>
        <v>1.1301599256538719</v>
      </c>
      <c r="AC131" s="150">
        <f t="shared" si="331"/>
        <v>1.4477555447090327</v>
      </c>
      <c r="AD131" s="150"/>
      <c r="AE131" s="150">
        <f t="shared" si="332"/>
        <v>0.93570440659754173</v>
      </c>
      <c r="AF131" s="314">
        <f t="shared" si="333"/>
        <v>296.24740254026312</v>
      </c>
      <c r="AG131" s="456">
        <f t="shared" si="334"/>
        <v>0.99241376457315034</v>
      </c>
      <c r="AI131" s="150">
        <f t="shared" si="335"/>
        <v>5.5758272397329147</v>
      </c>
      <c r="AJ131" s="150">
        <f t="shared" si="336"/>
        <v>6.0606060606060606</v>
      </c>
      <c r="AK131" s="150">
        <f t="shared" si="337"/>
        <v>1.1692842300230075</v>
      </c>
      <c r="AM131" s="314">
        <f t="shared" si="338"/>
        <v>840</v>
      </c>
      <c r="AN131" s="144">
        <f t="shared" si="339"/>
        <v>296.24740254026312</v>
      </c>
      <c r="AP131" s="144">
        <f t="shared" si="340"/>
        <v>840</v>
      </c>
      <c r="AQ131" s="144">
        <f t="shared" si="341"/>
        <v>296.24740254026312</v>
      </c>
      <c r="AS131" s="5">
        <f t="shared" si="285"/>
        <v>3.3755570223576541</v>
      </c>
      <c r="AT131" s="5">
        <f t="shared" si="342"/>
        <v>1.4298379392439107</v>
      </c>
      <c r="AU131" s="5">
        <f t="shared" si="343"/>
        <v>1.9457190831137434</v>
      </c>
      <c r="AV131" s="5"/>
      <c r="AW131" s="150">
        <f t="shared" si="344"/>
        <v>0.42358577555453114</v>
      </c>
      <c r="AX131" s="150">
        <f t="shared" si="214"/>
        <v>25.571401137543369</v>
      </c>
      <c r="AY131" s="150">
        <f t="shared" si="215"/>
        <v>1.7467097710468753</v>
      </c>
      <c r="AZ131" s="150">
        <f t="shared" si="288"/>
        <v>14.639753874060814</v>
      </c>
      <c r="BA131" s="144">
        <f t="shared" si="433"/>
        <v>4.0035462298829501</v>
      </c>
      <c r="BB131" s="5">
        <f t="shared" si="434"/>
        <v>1.4477869593144976</v>
      </c>
      <c r="BD131" s="150">
        <f t="shared" si="289"/>
        <v>2.2773307601079731</v>
      </c>
      <c r="BE131" s="150">
        <f t="shared" si="218"/>
        <v>2.6565792320860697</v>
      </c>
      <c r="BG131" s="456">
        <f t="shared" si="347"/>
        <v>6.2234824691207495E-2</v>
      </c>
      <c r="BH131" s="456">
        <f t="shared" si="348"/>
        <v>1.6502609576675746</v>
      </c>
      <c r="BI131" s="456">
        <f t="shared" si="349"/>
        <v>3.4068451292130257E-2</v>
      </c>
      <c r="BJ131" s="456">
        <f t="shared" si="350"/>
        <v>0.38886889322888923</v>
      </c>
      <c r="BK131">
        <f t="shared" si="351"/>
        <v>8.9647794805053152E-3</v>
      </c>
      <c r="BL131" s="144">
        <f t="shared" si="427"/>
        <v>43.033230772635569</v>
      </c>
      <c r="BM131" s="456">
        <f t="shared" si="352"/>
        <v>2.1499595174848309</v>
      </c>
      <c r="BN131" s="144">
        <f t="shared" si="353"/>
        <v>2149.9595174848309</v>
      </c>
      <c r="BO131" s="456">
        <f t="shared" si="354"/>
        <v>0.58799999999999997</v>
      </c>
      <c r="BR131" s="144">
        <f t="shared" si="355"/>
        <v>588</v>
      </c>
      <c r="BS131" s="456">
        <f t="shared" si="356"/>
        <v>7.2607295473075414E-2</v>
      </c>
      <c r="BT131" s="456">
        <f t="shared" si="357"/>
        <v>9.8803785028914168E-2</v>
      </c>
      <c r="BU131" s="456">
        <f t="shared" si="358"/>
        <v>6.8296197103050895</v>
      </c>
      <c r="BV131" s="456"/>
      <c r="BW131" s="456">
        <f t="shared" si="359"/>
        <v>1.0881447292571649</v>
      </c>
      <c r="BX131" s="144">
        <f t="shared" si="360"/>
        <v>8089.1755200642447</v>
      </c>
      <c r="BY131" s="150">
        <f t="shared" si="361"/>
        <v>10.821573426424552</v>
      </c>
      <c r="BZ131" s="5">
        <f t="shared" si="362"/>
        <v>25.2</v>
      </c>
      <c r="CA131" s="150">
        <f t="shared" si="363"/>
        <v>0.69958076793819035</v>
      </c>
      <c r="CB131" s="5">
        <f t="shared" si="364"/>
        <v>69.958076793819032</v>
      </c>
      <c r="CE131" s="59">
        <f t="shared" si="365"/>
        <v>-50</v>
      </c>
      <c r="CF131">
        <f t="shared" si="366"/>
        <v>-50</v>
      </c>
      <c r="CG131" s="150">
        <f t="shared" si="367"/>
        <v>0.27904188072760688</v>
      </c>
      <c r="CI131" s="147">
        <v>21</v>
      </c>
      <c r="CJ131" s="188">
        <f t="shared" si="428"/>
        <v>0.84</v>
      </c>
      <c r="CK131" s="188"/>
      <c r="CL131" s="188">
        <f t="shared" si="368"/>
        <v>25.2</v>
      </c>
      <c r="CM131" s="465">
        <f t="shared" si="369"/>
        <v>20</v>
      </c>
      <c r="CN131" s="379">
        <f t="shared" si="370"/>
        <v>30.4</v>
      </c>
      <c r="CO131" s="379">
        <f t="shared" si="371"/>
        <v>50.4</v>
      </c>
      <c r="CP131" s="379"/>
      <c r="CQ131" s="188">
        <f t="shared" si="372"/>
        <v>0.60317460317460314</v>
      </c>
      <c r="CR131" s="149">
        <f t="shared" si="429"/>
        <v>183.55019291189507</v>
      </c>
      <c r="CS131" s="149">
        <f t="shared" si="373"/>
        <v>25.2</v>
      </c>
      <c r="CT131" s="188">
        <f t="shared" si="374"/>
        <v>6.1183397637298356</v>
      </c>
      <c r="CU131" s="188">
        <f t="shared" si="375"/>
        <v>30</v>
      </c>
      <c r="CV131" s="188"/>
      <c r="CW131" s="149">
        <f t="shared" si="376"/>
        <v>340.77380920913481</v>
      </c>
      <c r="CX131" s="149">
        <f t="shared" si="377"/>
        <v>30</v>
      </c>
      <c r="CY131" s="188">
        <f t="shared" si="378"/>
        <v>4.1778947368421049</v>
      </c>
      <c r="CZ131" s="188">
        <f t="shared" si="379"/>
        <v>0.98180526315789474</v>
      </c>
      <c r="DA131" s="188">
        <f t="shared" si="380"/>
        <v>0.64592451523545713</v>
      </c>
      <c r="DB131" s="172">
        <f t="shared" si="381"/>
        <v>350</v>
      </c>
      <c r="DC131" s="379">
        <f t="shared" si="382"/>
        <v>350</v>
      </c>
      <c r="DE131" s="188">
        <f t="shared" si="383"/>
        <v>7.3334298258310406</v>
      </c>
      <c r="DF131" s="150">
        <f t="shared" si="384"/>
        <v>1.1337868480725624</v>
      </c>
      <c r="DG131" s="150">
        <f t="shared" si="385"/>
        <v>1.4550456003633017</v>
      </c>
      <c r="DH131" s="150"/>
      <c r="DI131" s="150">
        <f t="shared" si="386"/>
        <v>0.93700159489633172</v>
      </c>
      <c r="DJ131" s="314">
        <f t="shared" si="387"/>
        <v>295.83727659574464</v>
      </c>
      <c r="DK131" s="456">
        <f t="shared" si="388"/>
        <v>0.99378957034459414</v>
      </c>
      <c r="DM131" s="150">
        <f t="shared" si="389"/>
        <v>5.5719663055907196</v>
      </c>
      <c r="DN131" s="150">
        <f t="shared" si="390"/>
        <v>6.0606060606060606</v>
      </c>
      <c r="DO131" s="150">
        <f t="shared" si="391"/>
        <v>1.1690498723404255</v>
      </c>
      <c r="DQ131" s="314">
        <f t="shared" si="392"/>
        <v>840</v>
      </c>
      <c r="DR131" s="144">
        <f t="shared" si="393"/>
        <v>295.83727659574464</v>
      </c>
      <c r="DT131">
        <f t="shared" si="430"/>
        <v>840</v>
      </c>
      <c r="DU131">
        <f t="shared" si="431"/>
        <v>295.83727659574464</v>
      </c>
      <c r="DW131" s="5">
        <f t="shared" si="394"/>
        <v>3.380236633825151</v>
      </c>
      <c r="DX131" s="5">
        <f t="shared" si="395"/>
        <v>1.4242424242424243</v>
      </c>
      <c r="DY131" s="5">
        <f t="shared" si="396"/>
        <v>1.9559942095827267</v>
      </c>
      <c r="DZ131" s="5"/>
      <c r="EA131" s="150">
        <f t="shared" si="397"/>
        <v>0.42134399999999994</v>
      </c>
      <c r="EB131" s="150">
        <f t="shared" si="398"/>
        <v>25.535999999999994</v>
      </c>
      <c r="EC131" s="150">
        <f t="shared" si="399"/>
        <v>1.7535030303030306</v>
      </c>
      <c r="ED131" s="150">
        <f t="shared" si="400"/>
        <v>14.562849084775751</v>
      </c>
      <c r="EE131" s="144">
        <f t="shared" si="401"/>
        <v>3.9878787878787878</v>
      </c>
      <c r="EF131" s="5">
        <f t="shared" si="402"/>
        <v>1.4497368847495502</v>
      </c>
      <c r="EH131" s="150">
        <f t="shared" si="403"/>
        <v>2.2712965193448165</v>
      </c>
      <c r="EI131" s="150">
        <f t="shared" si="404"/>
        <v>2.6617401692308533</v>
      </c>
      <c r="EK131" s="456">
        <f t="shared" si="405"/>
        <v>6.1905454545454541E-2</v>
      </c>
      <c r="EL131" s="456">
        <f t="shared" si="406"/>
        <v>1.7169319761702126</v>
      </c>
      <c r="EM131" s="456">
        <f t="shared" si="407"/>
        <v>3.4021286808510638E-2</v>
      </c>
      <c r="EN131" s="456">
        <f t="shared" si="408"/>
        <v>0.38888780354777869</v>
      </c>
      <c r="EO131">
        <f t="shared" si="409"/>
        <v>8.9999999999999993E-3</v>
      </c>
      <c r="EP131" s="144">
        <f t="shared" si="410"/>
        <v>43.021286808510638</v>
      </c>
      <c r="EQ131" s="144"/>
      <c r="ER131" s="144">
        <f t="shared" si="432"/>
        <v>2210.7465210719561</v>
      </c>
      <c r="ES131" s="456">
        <f t="shared" si="411"/>
        <v>0.58799999999999997</v>
      </c>
      <c r="EV131" s="144">
        <f t="shared" si="412"/>
        <v>588</v>
      </c>
      <c r="EW131" s="456">
        <f t="shared" si="413"/>
        <v>7.2223030303030303E-2</v>
      </c>
      <c r="EX131" s="456">
        <f t="shared" si="414"/>
        <v>9.9188050198959293E-2</v>
      </c>
      <c r="EY131" s="456">
        <f t="shared" si="415"/>
        <v>6.806006873606103</v>
      </c>
      <c r="EZ131" s="456"/>
      <c r="FA131" s="456">
        <f t="shared" si="416"/>
        <v>1.0866382978723403</v>
      </c>
      <c r="FB131" s="144">
        <f t="shared" si="417"/>
        <v>8064.0562519804334</v>
      </c>
      <c r="FC131" s="150">
        <f t="shared" si="418"/>
        <v>10.86280277305239</v>
      </c>
      <c r="FD131" s="5">
        <f t="shared" si="419"/>
        <v>25.2</v>
      </c>
      <c r="FE131" s="150">
        <f t="shared" si="420"/>
        <v>0.69878096160707948</v>
      </c>
      <c r="FF131" s="5">
        <f t="shared" si="421"/>
        <v>69.87809616070794</v>
      </c>
      <c r="FI131" s="59">
        <f t="shared" si="422"/>
        <v>-50</v>
      </c>
      <c r="FJ131">
        <f t="shared" si="423"/>
        <v>-50</v>
      </c>
      <c r="FL131">
        <f t="shared" si="424"/>
        <v>0.27719999999999995</v>
      </c>
    </row>
    <row r="132" spans="5:168">
      <c r="E132" s="147">
        <v>22</v>
      </c>
      <c r="F132" s="188">
        <f t="shared" si="425"/>
        <v>0.88</v>
      </c>
      <c r="G132" s="188"/>
      <c r="H132" s="188">
        <f t="shared" si="315"/>
        <v>26.4</v>
      </c>
      <c r="I132" s="465">
        <f t="shared" si="316"/>
        <v>19.921732178900701</v>
      </c>
      <c r="J132" s="149">
        <f t="shared" si="317"/>
        <v>30.44214421136116</v>
      </c>
      <c r="K132" s="149">
        <f t="shared" si="318"/>
        <v>50.363876390261865</v>
      </c>
      <c r="L132" s="379"/>
      <c r="M132" s="188">
        <f t="shared" si="319"/>
        <v>0.604446225362259</v>
      </c>
      <c r="N132" s="149">
        <f t="shared" si="426"/>
        <v>183.21733829403041</v>
      </c>
      <c r="O132" s="149">
        <f t="shared" si="284"/>
        <v>26.4</v>
      </c>
      <c r="P132" s="188">
        <f t="shared" si="320"/>
        <v>6.1072446098010138</v>
      </c>
      <c r="Q132" s="188">
        <f t="shared" si="321"/>
        <v>30</v>
      </c>
      <c r="R132" s="188"/>
      <c r="S132" s="149">
        <f t="shared" si="322"/>
        <v>323.10793059027873</v>
      </c>
      <c r="T132" s="149">
        <f t="shared" si="323"/>
        <v>30</v>
      </c>
      <c r="U132" s="188">
        <f t="shared" si="324"/>
        <v>4.449458235133406</v>
      </c>
      <c r="V132" s="188">
        <f t="shared" si="325"/>
        <v>1.0497306919563747</v>
      </c>
      <c r="W132" s="188">
        <f t="shared" si="326"/>
        <v>0.68695731680169803</v>
      </c>
      <c r="X132" s="172">
        <f t="shared" si="327"/>
        <v>350</v>
      </c>
      <c r="Y132" s="379">
        <f t="shared" si="328"/>
        <v>350</v>
      </c>
      <c r="AA132" s="188">
        <f t="shared" si="329"/>
        <v>7.320104561416251</v>
      </c>
      <c r="AB132" s="150">
        <f t="shared" si="330"/>
        <v>1.1301599256538719</v>
      </c>
      <c r="AC132" s="150">
        <f t="shared" si="331"/>
        <v>1.4477555447090327</v>
      </c>
      <c r="AD132" s="150"/>
      <c r="AE132" s="150">
        <f t="shared" si="332"/>
        <v>0.93570440659754173</v>
      </c>
      <c r="AF132" s="314">
        <f t="shared" si="333"/>
        <v>310.3544217088471</v>
      </c>
      <c r="AG132" s="456">
        <f t="shared" si="334"/>
        <v>0.99241376457315034</v>
      </c>
      <c r="AI132" s="150">
        <f t="shared" si="335"/>
        <v>5.7070411271292825</v>
      </c>
      <c r="AJ132" s="150">
        <f t="shared" si="336"/>
        <v>6.0606060606060606</v>
      </c>
      <c r="AK132" s="150">
        <f t="shared" si="337"/>
        <v>1.177345383833627</v>
      </c>
      <c r="AM132" s="314">
        <f t="shared" si="338"/>
        <v>880</v>
      </c>
      <c r="AN132" s="144">
        <f t="shared" si="339"/>
        <v>310.3544217088471</v>
      </c>
      <c r="AP132" s="144">
        <f t="shared" si="340"/>
        <v>880</v>
      </c>
      <c r="AQ132" s="144">
        <f t="shared" si="341"/>
        <v>310.3544217088471</v>
      </c>
      <c r="AS132" s="5">
        <f t="shared" si="285"/>
        <v>3.2221226122504882</v>
      </c>
      <c r="AT132" s="5">
        <f t="shared" si="342"/>
        <v>1.4298379392439107</v>
      </c>
      <c r="AU132" s="5">
        <f t="shared" si="343"/>
        <v>1.7922846730065776</v>
      </c>
      <c r="AV132" s="5"/>
      <c r="AW132" s="150">
        <f t="shared" si="344"/>
        <v>0.44375652677141353</v>
      </c>
      <c r="AX132" s="150">
        <f t="shared" si="214"/>
        <v>26.789086905997817</v>
      </c>
      <c r="AY132" s="150">
        <f t="shared" si="215"/>
        <v>1.6855862825108681</v>
      </c>
      <c r="AZ132" s="150">
        <f t="shared" si="288"/>
        <v>15.893038039021352</v>
      </c>
      <c r="BA132" s="144">
        <f t="shared" si="433"/>
        <v>4.1941912884488044</v>
      </c>
      <c r="BB132" s="5">
        <f t="shared" si="434"/>
        <v>1.3971238262187216</v>
      </c>
      <c r="BD132" s="150">
        <f t="shared" si="289"/>
        <v>2.3309223455487382</v>
      </c>
      <c r="BE132" s="150">
        <f t="shared" si="218"/>
        <v>2.6096838173055632</v>
      </c>
      <c r="BG132" s="456">
        <f t="shared" si="347"/>
        <v>6.5198387771741181E-2</v>
      </c>
      <c r="BH132" s="456">
        <f t="shared" si="348"/>
        <v>1.7288448127946021</v>
      </c>
      <c r="BI132" s="456">
        <f t="shared" si="349"/>
        <v>3.569075849651742E-2</v>
      </c>
      <c r="BJ132" s="456">
        <f t="shared" si="350"/>
        <v>0.40738645957312208</v>
      </c>
      <c r="BK132">
        <f t="shared" si="351"/>
        <v>8.9647794805053152E-3</v>
      </c>
      <c r="BL132" s="144">
        <f t="shared" si="427"/>
        <v>44.655537977022739</v>
      </c>
      <c r="BM132" s="456">
        <f t="shared" si="352"/>
        <v>2.2539494646381359</v>
      </c>
      <c r="BN132" s="144">
        <f t="shared" si="353"/>
        <v>2253.9494646381359</v>
      </c>
      <c r="BO132" s="456">
        <f t="shared" si="354"/>
        <v>0.61599999999999999</v>
      </c>
      <c r="BR132" s="144">
        <f t="shared" si="355"/>
        <v>616</v>
      </c>
      <c r="BS132" s="456">
        <f t="shared" si="356"/>
        <v>7.6064785733698043E-2</v>
      </c>
      <c r="BT132" s="456">
        <f t="shared" si="357"/>
        <v>9.5346294768291512E-2</v>
      </c>
      <c r="BU132" s="456">
        <f t="shared" si="358"/>
        <v>7.6719362783782445</v>
      </c>
      <c r="BV132" s="456"/>
      <c r="BW132" s="456">
        <f t="shared" si="359"/>
        <v>1.1399611449360776</v>
      </c>
      <c r="BX132" s="144">
        <f t="shared" si="360"/>
        <v>8983.3085038163117</v>
      </c>
      <c r="BY132" s="150">
        <f t="shared" si="361"/>
        <v>11.8453937019328</v>
      </c>
      <c r="BZ132" s="5">
        <f t="shared" si="362"/>
        <v>26.4</v>
      </c>
      <c r="CA132" s="150">
        <f t="shared" si="363"/>
        <v>0.69027920605941695</v>
      </c>
      <c r="CB132" s="5">
        <f t="shared" si="364"/>
        <v>69.027920605941688</v>
      </c>
      <c r="CE132" s="59">
        <f t="shared" si="365"/>
        <v>-50</v>
      </c>
      <c r="CF132">
        <f t="shared" si="366"/>
        <v>-50</v>
      </c>
      <c r="CG132" s="150">
        <f t="shared" si="367"/>
        <v>0.29232958933368347</v>
      </c>
      <c r="CI132" s="147">
        <v>22</v>
      </c>
      <c r="CJ132" s="188">
        <f t="shared" si="428"/>
        <v>0.88</v>
      </c>
      <c r="CK132" s="188"/>
      <c r="CL132" s="188">
        <f t="shared" si="368"/>
        <v>26.4</v>
      </c>
      <c r="CM132" s="465">
        <f t="shared" si="369"/>
        <v>20</v>
      </c>
      <c r="CN132" s="379">
        <f t="shared" si="370"/>
        <v>30.4</v>
      </c>
      <c r="CO132" s="379">
        <f t="shared" si="371"/>
        <v>50.4</v>
      </c>
      <c r="CP132" s="379"/>
      <c r="CQ132" s="188">
        <f t="shared" si="372"/>
        <v>0.60317460317460314</v>
      </c>
      <c r="CR132" s="149">
        <f t="shared" si="429"/>
        <v>183.55019291189507</v>
      </c>
      <c r="CS132" s="149">
        <f t="shared" si="373"/>
        <v>26.4</v>
      </c>
      <c r="CT132" s="188">
        <f t="shared" si="374"/>
        <v>6.1183397637298356</v>
      </c>
      <c r="CU132" s="188">
        <f t="shared" si="375"/>
        <v>30</v>
      </c>
      <c r="CV132" s="188"/>
      <c r="CW132" s="149">
        <f t="shared" si="376"/>
        <v>324.37724934713168</v>
      </c>
      <c r="CX132" s="149">
        <f t="shared" si="377"/>
        <v>30</v>
      </c>
      <c r="CY132" s="188">
        <f t="shared" si="378"/>
        <v>4.3768421052631581</v>
      </c>
      <c r="CZ132" s="188">
        <f t="shared" si="379"/>
        <v>1.0285578947368421</v>
      </c>
      <c r="DA132" s="188">
        <f t="shared" si="380"/>
        <v>0.67668282548476455</v>
      </c>
      <c r="DB132" s="172">
        <f t="shared" si="381"/>
        <v>350</v>
      </c>
      <c r="DC132" s="379">
        <f t="shared" si="382"/>
        <v>350</v>
      </c>
      <c r="DE132" s="188">
        <f t="shared" si="383"/>
        <v>7.3334298258310406</v>
      </c>
      <c r="DF132" s="150">
        <f t="shared" si="384"/>
        <v>1.1337868480725624</v>
      </c>
      <c r="DG132" s="150">
        <f t="shared" si="385"/>
        <v>1.4550456003633017</v>
      </c>
      <c r="DH132" s="150"/>
      <c r="DI132" s="150">
        <f t="shared" si="386"/>
        <v>0.93700159489633172</v>
      </c>
      <c r="DJ132" s="314">
        <f t="shared" si="387"/>
        <v>309.92476595744682</v>
      </c>
      <c r="DK132" s="456">
        <f t="shared" si="388"/>
        <v>0.99378957034459414</v>
      </c>
      <c r="DM132" s="150">
        <f t="shared" si="389"/>
        <v>5.7030893350469123</v>
      </c>
      <c r="DN132" s="150">
        <f t="shared" si="390"/>
        <v>6.0606060606060606</v>
      </c>
      <c r="DO132" s="150">
        <f t="shared" si="391"/>
        <v>1.1770998662613983</v>
      </c>
      <c r="DQ132" s="314">
        <f t="shared" si="392"/>
        <v>880</v>
      </c>
      <c r="DR132" s="144">
        <f t="shared" si="393"/>
        <v>309.92476595744682</v>
      </c>
      <c r="DT132">
        <f t="shared" si="430"/>
        <v>880</v>
      </c>
      <c r="DU132">
        <f t="shared" si="431"/>
        <v>309.92476595744682</v>
      </c>
      <c r="DW132" s="5">
        <f t="shared" si="394"/>
        <v>3.2265895141058252</v>
      </c>
      <c r="DX132" s="5">
        <f t="shared" si="395"/>
        <v>1.4242424242424243</v>
      </c>
      <c r="DY132" s="5">
        <f t="shared" si="396"/>
        <v>1.8023470898634009</v>
      </c>
      <c r="DZ132" s="5"/>
      <c r="EA132" s="150">
        <f t="shared" si="397"/>
        <v>0.44140800000000008</v>
      </c>
      <c r="EB132" s="150">
        <f t="shared" si="398"/>
        <v>26.751999999999999</v>
      </c>
      <c r="EC132" s="150">
        <f t="shared" si="399"/>
        <v>1.6927030303030302</v>
      </c>
      <c r="ED132" s="150">
        <f t="shared" si="400"/>
        <v>15.804307974335472</v>
      </c>
      <c r="EE132" s="144">
        <f t="shared" si="401"/>
        <v>4.177777777777778</v>
      </c>
      <c r="EF132" s="5">
        <f t="shared" si="402"/>
        <v>1.3994695050704051</v>
      </c>
      <c r="EH132" s="150">
        <f t="shared" si="403"/>
        <v>2.3247461032216927</v>
      </c>
      <c r="EI132" s="150">
        <f t="shared" si="404"/>
        <v>2.6151872137268732</v>
      </c>
      <c r="EK132" s="456">
        <f t="shared" si="405"/>
        <v>6.4853333333333346E-2</v>
      </c>
      <c r="EL132" s="456">
        <f t="shared" si="406"/>
        <v>1.7986906417021278</v>
      </c>
      <c r="EM132" s="456">
        <f t="shared" si="407"/>
        <v>3.5641348085106384E-2</v>
      </c>
      <c r="EN132" s="456">
        <f t="shared" si="408"/>
        <v>0.40740627038338723</v>
      </c>
      <c r="EO132">
        <f t="shared" si="409"/>
        <v>8.9999999999999993E-3</v>
      </c>
      <c r="EP132" s="144">
        <f t="shared" si="410"/>
        <v>44.641348085106387</v>
      </c>
      <c r="EQ132" s="144"/>
      <c r="ER132" s="144">
        <f t="shared" si="432"/>
        <v>2315.5915935039548</v>
      </c>
      <c r="ES132" s="456">
        <f t="shared" si="411"/>
        <v>0.61599999999999999</v>
      </c>
      <c r="EV132" s="144">
        <f t="shared" si="412"/>
        <v>616</v>
      </c>
      <c r="EW132" s="456">
        <f t="shared" si="413"/>
        <v>7.5662222222222242E-2</v>
      </c>
      <c r="EX132" s="456">
        <f t="shared" si="414"/>
        <v>9.5748858279767368E-2</v>
      </c>
      <c r="EY132" s="456">
        <f t="shared" si="415"/>
        <v>7.6454112028702879</v>
      </c>
      <c r="EZ132" s="456"/>
      <c r="FA132" s="456">
        <f t="shared" si="416"/>
        <v>1.1383829787234043</v>
      </c>
      <c r="FB132" s="144">
        <f t="shared" si="417"/>
        <v>8955.205262095682</v>
      </c>
      <c r="FC132" s="150">
        <f t="shared" si="418"/>
        <v>11.886796855599636</v>
      </c>
      <c r="FD132" s="5">
        <f t="shared" si="419"/>
        <v>26.4</v>
      </c>
      <c r="FE132" s="150">
        <f t="shared" si="420"/>
        <v>0.68953274152363231</v>
      </c>
      <c r="FF132" s="5">
        <f t="shared" si="421"/>
        <v>68.953274152363235</v>
      </c>
      <c r="FI132" s="59">
        <f t="shared" si="422"/>
        <v>-50</v>
      </c>
      <c r="FJ132">
        <f t="shared" si="423"/>
        <v>-50</v>
      </c>
      <c r="FL132">
        <f t="shared" si="424"/>
        <v>0.29039999999999999</v>
      </c>
    </row>
    <row r="133" spans="5:168">
      <c r="E133" s="147">
        <v>23</v>
      </c>
      <c r="F133" s="188">
        <f t="shared" si="425"/>
        <v>0.92</v>
      </c>
      <c r="G133" s="188"/>
      <c r="H133" s="188">
        <f t="shared" si="315"/>
        <v>27.6</v>
      </c>
      <c r="I133" s="465">
        <f t="shared" si="316"/>
        <v>19.921732178900701</v>
      </c>
      <c r="J133" s="149">
        <f t="shared" si="317"/>
        <v>30.44214421136116</v>
      </c>
      <c r="K133" s="149">
        <f t="shared" si="318"/>
        <v>50.363876390261865</v>
      </c>
      <c r="L133" s="379"/>
      <c r="M133" s="188">
        <f t="shared" si="319"/>
        <v>0.604446225362259</v>
      </c>
      <c r="N133" s="149">
        <f t="shared" si="426"/>
        <v>183.21733829403041</v>
      </c>
      <c r="O133" s="149">
        <f t="shared" si="284"/>
        <v>27.6</v>
      </c>
      <c r="P133" s="188">
        <f t="shared" si="320"/>
        <v>6.1072446098010138</v>
      </c>
      <c r="Q133" s="188">
        <f t="shared" si="321"/>
        <v>30</v>
      </c>
      <c r="R133" s="188"/>
      <c r="S133" s="149">
        <f t="shared" si="322"/>
        <v>308.19585867155394</v>
      </c>
      <c r="T133" s="149">
        <f t="shared" si="323"/>
        <v>30</v>
      </c>
      <c r="U133" s="188">
        <f t="shared" si="324"/>
        <v>4.6517063367303804</v>
      </c>
      <c r="V133" s="188">
        <f t="shared" si="325"/>
        <v>1.0974457234089374</v>
      </c>
      <c r="W133" s="188">
        <f t="shared" si="326"/>
        <v>0.71818264938359355</v>
      </c>
      <c r="X133" s="172">
        <f t="shared" si="327"/>
        <v>350</v>
      </c>
      <c r="Y133" s="379">
        <f t="shared" si="328"/>
        <v>350</v>
      </c>
      <c r="AA133" s="188">
        <f t="shared" si="329"/>
        <v>7.320104561416251</v>
      </c>
      <c r="AB133" s="150">
        <f t="shared" si="330"/>
        <v>1.1301599256538719</v>
      </c>
      <c r="AC133" s="150">
        <f t="shared" si="331"/>
        <v>1.4477555447090327</v>
      </c>
      <c r="AD133" s="150"/>
      <c r="AE133" s="150">
        <f t="shared" si="332"/>
        <v>0.93570440659754173</v>
      </c>
      <c r="AF133" s="314">
        <f t="shared" si="333"/>
        <v>324.46144087743107</v>
      </c>
      <c r="AG133" s="456">
        <f t="shared" si="334"/>
        <v>0.99241376457315034</v>
      </c>
      <c r="AI133" s="150">
        <f t="shared" si="335"/>
        <v>5.835305257323097</v>
      </c>
      <c r="AJ133" s="150">
        <f t="shared" si="336"/>
        <v>6.0606060606060606</v>
      </c>
      <c r="AK133" s="150">
        <f t="shared" si="337"/>
        <v>1.1854065376442464</v>
      </c>
      <c r="AM133" s="314">
        <f t="shared" si="338"/>
        <v>920</v>
      </c>
      <c r="AN133" s="144">
        <f t="shared" si="339"/>
        <v>324.46144087743107</v>
      </c>
      <c r="AP133" s="144">
        <f t="shared" si="340"/>
        <v>920</v>
      </c>
      <c r="AQ133" s="144">
        <f t="shared" si="341"/>
        <v>324.46144087743107</v>
      </c>
      <c r="AS133" s="5">
        <f t="shared" si="285"/>
        <v>3.0820303247613361</v>
      </c>
      <c r="AT133" s="5">
        <f t="shared" si="342"/>
        <v>1.4298379392439107</v>
      </c>
      <c r="AU133" s="5">
        <f t="shared" si="343"/>
        <v>1.6521923855174254</v>
      </c>
      <c r="AV133" s="5"/>
      <c r="AW133" s="150">
        <f t="shared" si="344"/>
        <v>0.46392727798829603</v>
      </c>
      <c r="AX133" s="150">
        <f t="shared" ref="AX133:AX196" si="435">0.5*L*AJ133^2*AN133*1000</f>
        <v>28.006772674452264</v>
      </c>
      <c r="AY133" s="150">
        <f t="shared" ref="AY133:AY196" si="436">AJ133*Nps/2*(1-AW133)</f>
        <v>1.6244627939748606</v>
      </c>
      <c r="AZ133" s="150">
        <f t="shared" si="288"/>
        <v>17.240636583570584</v>
      </c>
      <c r="BA133" s="144">
        <f t="shared" si="433"/>
        <v>4.3848363470146596</v>
      </c>
      <c r="BB133" s="5">
        <f t="shared" si="434"/>
        <v>1.346460693122945</v>
      </c>
      <c r="BD133" s="150">
        <f t="shared" si="289"/>
        <v>2.3833091639615089</v>
      </c>
      <c r="BE133" s="150">
        <f t="shared" ref="BE133:BE196" si="437">AJ133*Nps*SQRT((1-AW133)/3)</f>
        <v>2.5619301388332318</v>
      </c>
      <c r="BG133" s="456">
        <f t="shared" si="347"/>
        <v>6.8161950852274875E-2</v>
      </c>
      <c r="BH133" s="456">
        <f t="shared" si="348"/>
        <v>1.8074286679216296</v>
      </c>
      <c r="BI133" s="456">
        <f t="shared" si="349"/>
        <v>3.7313065700904577E-2</v>
      </c>
      <c r="BJ133" s="456">
        <f t="shared" si="350"/>
        <v>0.42590402591735493</v>
      </c>
      <c r="BK133">
        <f t="shared" si="351"/>
        <v>8.9647794805053152E-3</v>
      </c>
      <c r="BL133" s="144">
        <f t="shared" si="427"/>
        <v>46.277845181409894</v>
      </c>
      <c r="BM133" s="456">
        <f t="shared" si="352"/>
        <v>2.3580882700942802</v>
      </c>
      <c r="BN133" s="144">
        <f t="shared" si="353"/>
        <v>2358.0882700942802</v>
      </c>
      <c r="BO133" s="456">
        <f t="shared" si="354"/>
        <v>0.64400000000000002</v>
      </c>
      <c r="BR133" s="144">
        <f t="shared" si="355"/>
        <v>644</v>
      </c>
      <c r="BS133" s="456">
        <f t="shared" si="356"/>
        <v>7.9522275994320699E-2</v>
      </c>
      <c r="BT133" s="456">
        <f t="shared" si="357"/>
        <v>9.1888804507668884E-2</v>
      </c>
      <c r="BU133" s="456">
        <f t="shared" si="358"/>
        <v>8.5736919422284341</v>
      </c>
      <c r="BV133" s="456"/>
      <c r="BW133" s="456">
        <f t="shared" si="359"/>
        <v>1.1917775606149901</v>
      </c>
      <c r="BX133" s="144">
        <f t="shared" si="360"/>
        <v>9936.8805833454135</v>
      </c>
      <c r="BY133" s="150">
        <f t="shared" si="361"/>
        <v>12.928653073218083</v>
      </c>
      <c r="BZ133" s="5">
        <f t="shared" si="362"/>
        <v>27.6</v>
      </c>
      <c r="CA133" s="150">
        <f t="shared" si="363"/>
        <v>0.68099968558388835</v>
      </c>
      <c r="CB133" s="5">
        <f t="shared" si="364"/>
        <v>68.099968558388838</v>
      </c>
      <c r="CE133" s="59">
        <f t="shared" si="365"/>
        <v>-50</v>
      </c>
      <c r="CF133">
        <f t="shared" si="366"/>
        <v>-50</v>
      </c>
      <c r="CG133" s="150">
        <f t="shared" si="367"/>
        <v>0.30561729793975995</v>
      </c>
      <c r="CI133" s="147">
        <v>23</v>
      </c>
      <c r="CJ133" s="188">
        <f t="shared" si="428"/>
        <v>0.92</v>
      </c>
      <c r="CK133" s="188"/>
      <c r="CL133" s="188">
        <f t="shared" si="368"/>
        <v>27.6</v>
      </c>
      <c r="CM133" s="465">
        <f t="shared" si="369"/>
        <v>20</v>
      </c>
      <c r="CN133" s="379">
        <f t="shared" si="370"/>
        <v>30.4</v>
      </c>
      <c r="CO133" s="379">
        <f t="shared" si="371"/>
        <v>50.4</v>
      </c>
      <c r="CP133" s="379"/>
      <c r="CQ133" s="188">
        <f t="shared" si="372"/>
        <v>0.60317460317460314</v>
      </c>
      <c r="CR133" s="149">
        <f t="shared" si="429"/>
        <v>183.55019291189507</v>
      </c>
      <c r="CS133" s="149">
        <f t="shared" si="373"/>
        <v>27.6</v>
      </c>
      <c r="CT133" s="188">
        <f t="shared" si="374"/>
        <v>6.1183397637298356</v>
      </c>
      <c r="CU133" s="188">
        <f t="shared" si="375"/>
        <v>30</v>
      </c>
      <c r="CV133" s="188"/>
      <c r="CW133" s="149">
        <f t="shared" si="376"/>
        <v>309.40658672603865</v>
      </c>
      <c r="CX133" s="149">
        <f t="shared" si="377"/>
        <v>30</v>
      </c>
      <c r="CY133" s="188">
        <f t="shared" si="378"/>
        <v>4.5757894736842104</v>
      </c>
      <c r="CZ133" s="188">
        <f t="shared" si="379"/>
        <v>1.0753105263157896</v>
      </c>
      <c r="DA133" s="188">
        <f t="shared" si="380"/>
        <v>0.70744113573407208</v>
      </c>
      <c r="DB133" s="172">
        <f t="shared" si="381"/>
        <v>350</v>
      </c>
      <c r="DC133" s="379">
        <f t="shared" si="382"/>
        <v>350</v>
      </c>
      <c r="DE133" s="188">
        <f t="shared" si="383"/>
        <v>7.3334298258310406</v>
      </c>
      <c r="DF133" s="150">
        <f t="shared" si="384"/>
        <v>1.1337868480725624</v>
      </c>
      <c r="DG133" s="150">
        <f t="shared" si="385"/>
        <v>1.4550456003633017</v>
      </c>
      <c r="DH133" s="150"/>
      <c r="DI133" s="150">
        <f t="shared" si="386"/>
        <v>0.93700159489633172</v>
      </c>
      <c r="DJ133" s="314">
        <f t="shared" si="387"/>
        <v>324.01225531914895</v>
      </c>
      <c r="DK133" s="456">
        <f t="shared" si="388"/>
        <v>0.99378957034459414</v>
      </c>
      <c r="DM133" s="150">
        <f t="shared" si="389"/>
        <v>5.8312646498348339</v>
      </c>
      <c r="DN133" s="150">
        <f t="shared" si="390"/>
        <v>6.0606060606060606</v>
      </c>
      <c r="DO133" s="150">
        <f t="shared" si="391"/>
        <v>1.1851498601823709</v>
      </c>
      <c r="DQ133" s="314">
        <f t="shared" si="392"/>
        <v>920</v>
      </c>
      <c r="DR133" s="144">
        <f t="shared" si="393"/>
        <v>324.01225531914895</v>
      </c>
      <c r="DT133">
        <f t="shared" si="430"/>
        <v>920</v>
      </c>
      <c r="DU133">
        <f t="shared" si="431"/>
        <v>324.01225531914895</v>
      </c>
      <c r="DW133" s="5">
        <f t="shared" si="394"/>
        <v>3.0863030134925284</v>
      </c>
      <c r="DX133" s="5">
        <f t="shared" si="395"/>
        <v>1.4242424242424243</v>
      </c>
      <c r="DY133" s="5">
        <f t="shared" si="396"/>
        <v>1.6620605892501041</v>
      </c>
      <c r="DZ133" s="5"/>
      <c r="EA133" s="150">
        <f t="shared" si="397"/>
        <v>0.46147200000000005</v>
      </c>
      <c r="EB133" s="150">
        <f t="shared" si="398"/>
        <v>27.967999999999996</v>
      </c>
      <c r="EC133" s="150">
        <f t="shared" si="399"/>
        <v>1.63190303030303</v>
      </c>
      <c r="ED133" s="150">
        <f t="shared" si="400"/>
        <v>17.138273218848418</v>
      </c>
      <c r="EE133" s="144">
        <f t="shared" si="401"/>
        <v>4.3676767676767687</v>
      </c>
      <c r="EF133" s="5">
        <f t="shared" si="402"/>
        <v>1.3492021253912609</v>
      </c>
      <c r="EH133" s="150">
        <f t="shared" si="403"/>
        <v>2.3769941123404177</v>
      </c>
      <c r="EI133" s="150">
        <f t="shared" si="404"/>
        <v>2.5677904114596188</v>
      </c>
      <c r="EK133" s="456">
        <f t="shared" si="405"/>
        <v>6.7801212121212123E-2</v>
      </c>
      <c r="EL133" s="456">
        <f t="shared" si="406"/>
        <v>1.8804493072340427</v>
      </c>
      <c r="EM133" s="456">
        <f t="shared" si="407"/>
        <v>3.7261409361702129E-2</v>
      </c>
      <c r="EN133" s="456">
        <f t="shared" si="408"/>
        <v>0.42592473721899576</v>
      </c>
      <c r="EO133">
        <f t="shared" si="409"/>
        <v>8.9999999999999993E-3</v>
      </c>
      <c r="EP133" s="144">
        <f t="shared" si="410"/>
        <v>46.261409361702128</v>
      </c>
      <c r="EQ133" s="144"/>
      <c r="ER133" s="144">
        <f t="shared" si="432"/>
        <v>2420.4366659359525</v>
      </c>
      <c r="ES133" s="456">
        <f t="shared" si="411"/>
        <v>0.64400000000000002</v>
      </c>
      <c r="EV133" s="144">
        <f t="shared" si="412"/>
        <v>644</v>
      </c>
      <c r="EW133" s="456">
        <f t="shared" si="413"/>
        <v>7.9101414141414139E-2</v>
      </c>
      <c r="EX133" s="456">
        <f t="shared" si="414"/>
        <v>9.2309666360575415E-2</v>
      </c>
      <c r="EY133" s="456">
        <f t="shared" si="415"/>
        <v>8.5440491222286781</v>
      </c>
      <c r="EZ133" s="456"/>
      <c r="FA133" s="456">
        <f t="shared" si="416"/>
        <v>1.1901276595744683</v>
      </c>
      <c r="FB133" s="144">
        <f t="shared" si="417"/>
        <v>9905.5878623051358</v>
      </c>
      <c r="FC133" s="150">
        <f t="shared" si="418"/>
        <v>12.970024528241089</v>
      </c>
      <c r="FD133" s="5">
        <f t="shared" si="419"/>
        <v>27.6</v>
      </c>
      <c r="FE133" s="150">
        <f t="shared" si="420"/>
        <v>0.68030523325879277</v>
      </c>
      <c r="FF133" s="5">
        <f t="shared" si="421"/>
        <v>68.030523325879273</v>
      </c>
      <c r="FI133" s="59">
        <f t="shared" si="422"/>
        <v>-50</v>
      </c>
      <c r="FJ133">
        <f t="shared" si="423"/>
        <v>-50</v>
      </c>
      <c r="FL133">
        <f t="shared" si="424"/>
        <v>0.30360000000000004</v>
      </c>
    </row>
    <row r="134" spans="5:168">
      <c r="E134" s="147">
        <v>24</v>
      </c>
      <c r="F134" s="188">
        <f t="shared" si="425"/>
        <v>0.96</v>
      </c>
      <c r="G134" s="188"/>
      <c r="H134" s="188">
        <f t="shared" si="315"/>
        <v>28.799999999999997</v>
      </c>
      <c r="I134" s="465">
        <f t="shared" si="316"/>
        <v>19.921732178900701</v>
      </c>
      <c r="J134" s="149">
        <f t="shared" si="317"/>
        <v>30.44214421136116</v>
      </c>
      <c r="K134" s="149">
        <f t="shared" si="318"/>
        <v>50.363876390261865</v>
      </c>
      <c r="L134" s="379"/>
      <c r="M134" s="188">
        <f t="shared" si="319"/>
        <v>0.604446225362259</v>
      </c>
      <c r="N134" s="149">
        <f t="shared" si="426"/>
        <v>183.21733829403041</v>
      </c>
      <c r="O134" s="149">
        <f t="shared" ref="O134:O197" si="438">T134*F134</f>
        <v>28.799999999999997</v>
      </c>
      <c r="P134" s="188">
        <f t="shared" si="320"/>
        <v>6.1072446098010138</v>
      </c>
      <c r="Q134" s="188">
        <f t="shared" si="321"/>
        <v>30</v>
      </c>
      <c r="R134" s="188"/>
      <c r="S134" s="149">
        <f t="shared" si="322"/>
        <v>294.52656514133935</v>
      </c>
      <c r="T134" s="149">
        <f t="shared" si="323"/>
        <v>30</v>
      </c>
      <c r="U134" s="188">
        <f t="shared" si="324"/>
        <v>4.8539544383273521</v>
      </c>
      <c r="V134" s="188">
        <f t="shared" si="325"/>
        <v>1.1451607548614997</v>
      </c>
      <c r="W134" s="188">
        <f t="shared" si="326"/>
        <v>0.74940798196548875</v>
      </c>
      <c r="X134" s="172">
        <f t="shared" si="327"/>
        <v>350</v>
      </c>
      <c r="Y134" s="379">
        <f t="shared" si="328"/>
        <v>350</v>
      </c>
      <c r="AA134" s="188">
        <f t="shared" si="329"/>
        <v>7.320104561416251</v>
      </c>
      <c r="AB134" s="150">
        <f t="shared" si="330"/>
        <v>1.1301599256538719</v>
      </c>
      <c r="AC134" s="150">
        <f t="shared" si="331"/>
        <v>1.4477555447090327</v>
      </c>
      <c r="AD134" s="150"/>
      <c r="AE134" s="150">
        <f t="shared" si="332"/>
        <v>0.93570440659754173</v>
      </c>
      <c r="AF134" s="314">
        <f t="shared" si="333"/>
        <v>338.56846004601499</v>
      </c>
      <c r="AG134" s="456">
        <f t="shared" si="334"/>
        <v>0.99241376457315034</v>
      </c>
      <c r="AI134" s="150">
        <f t="shared" si="335"/>
        <v>5.9608100511205757</v>
      </c>
      <c r="AJ134" s="150">
        <f t="shared" si="336"/>
        <v>6.0606060606060606</v>
      </c>
      <c r="AK134" s="150">
        <f t="shared" si="337"/>
        <v>1.1934676914548656</v>
      </c>
      <c r="AM134" s="314">
        <f t="shared" si="338"/>
        <v>960</v>
      </c>
      <c r="AN134" s="144">
        <f t="shared" si="339"/>
        <v>338.56846004601499</v>
      </c>
      <c r="AP134" s="144">
        <f t="shared" si="340"/>
        <v>960</v>
      </c>
      <c r="AQ134" s="144">
        <f t="shared" si="341"/>
        <v>338.56846004601499</v>
      </c>
      <c r="AS134" s="5">
        <f t="shared" ref="AS134:AS197" si="439">1/AN134*1000</f>
        <v>2.9536123945629478</v>
      </c>
      <c r="AT134" s="5">
        <f t="shared" si="342"/>
        <v>1.4298379392439107</v>
      </c>
      <c r="AU134" s="5">
        <f t="shared" si="343"/>
        <v>1.5237744553190371</v>
      </c>
      <c r="AV134" s="5"/>
      <c r="AW134" s="150">
        <f t="shared" si="344"/>
        <v>0.48409802920517836</v>
      </c>
      <c r="AX134" s="150">
        <f t="shared" si="435"/>
        <v>29.224458442906705</v>
      </c>
      <c r="AY134" s="150">
        <f t="shared" si="436"/>
        <v>1.5633393054388534</v>
      </c>
      <c r="AZ134" s="150">
        <f t="shared" ref="AZ134:AZ197" si="440">AX134/AY134</f>
        <v>18.693612027302642</v>
      </c>
      <c r="BA134" s="144">
        <f t="shared" si="433"/>
        <v>4.575481405580514</v>
      </c>
      <c r="BB134" s="5">
        <f t="shared" si="434"/>
        <v>1.2957975600271692</v>
      </c>
      <c r="BD134" s="150">
        <f t="shared" ref="BD134:BD197" si="441">AJ134*SQRT(AW134/3)</f>
        <v>2.434568988767289</v>
      </c>
      <c r="BE134" s="150">
        <f t="shared" si="437"/>
        <v>2.5132692745142906</v>
      </c>
      <c r="BG134" s="456">
        <f t="shared" si="347"/>
        <v>7.1125513932808568E-2</v>
      </c>
      <c r="BH134" s="456">
        <f t="shared" si="348"/>
        <v>1.8860125230486569</v>
      </c>
      <c r="BI134" s="456">
        <f t="shared" si="349"/>
        <v>3.8935372905291726E-2</v>
      </c>
      <c r="BJ134" s="456">
        <f t="shared" si="350"/>
        <v>0.44442159226158773</v>
      </c>
      <c r="BK134">
        <f t="shared" si="351"/>
        <v>8.9647794805053152E-3</v>
      </c>
      <c r="BL134" s="144">
        <f t="shared" si="427"/>
        <v>47.900152385797043</v>
      </c>
      <c r="BM134" s="456">
        <f t="shared" si="352"/>
        <v>2.4623762537110871</v>
      </c>
      <c r="BN134" s="144">
        <f t="shared" si="353"/>
        <v>2462.376253711087</v>
      </c>
      <c r="BO134" s="456">
        <f t="shared" si="354"/>
        <v>0.67199999999999993</v>
      </c>
      <c r="BR134" s="144">
        <f t="shared" si="355"/>
        <v>671.99999999999989</v>
      </c>
      <c r="BS134" s="456">
        <f t="shared" si="356"/>
        <v>8.2979766254943327E-2</v>
      </c>
      <c r="BT134" s="456">
        <f t="shared" si="357"/>
        <v>8.8431314247046255E-2</v>
      </c>
      <c r="BU134" s="456">
        <f t="shared" si="358"/>
        <v>9.5362228013228982</v>
      </c>
      <c r="BV134" s="456"/>
      <c r="BW134" s="456">
        <f t="shared" si="359"/>
        <v>1.2435939762939026</v>
      </c>
      <c r="BX134" s="144">
        <f t="shared" si="360"/>
        <v>10951.227858118791</v>
      </c>
      <c r="BY134" s="150">
        <f t="shared" si="361"/>
        <v>14.072687639747642</v>
      </c>
      <c r="BZ134" s="5">
        <f t="shared" si="362"/>
        <v>28.799999999999997</v>
      </c>
      <c r="CA134" s="150">
        <f t="shared" si="363"/>
        <v>0.67175634618482072</v>
      </c>
      <c r="CB134" s="5">
        <f t="shared" si="364"/>
        <v>67.175634618482079</v>
      </c>
      <c r="CE134" s="59">
        <f t="shared" si="365"/>
        <v>-50</v>
      </c>
      <c r="CF134">
        <f t="shared" si="366"/>
        <v>-50</v>
      </c>
      <c r="CG134" s="150">
        <f t="shared" si="367"/>
        <v>0.31890500654583648</v>
      </c>
      <c r="CI134" s="147">
        <v>24</v>
      </c>
      <c r="CJ134" s="188">
        <f t="shared" si="428"/>
        <v>0.96</v>
      </c>
      <c r="CK134" s="188"/>
      <c r="CL134" s="188">
        <f t="shared" si="368"/>
        <v>28.799999999999997</v>
      </c>
      <c r="CM134" s="465">
        <f t="shared" si="369"/>
        <v>20</v>
      </c>
      <c r="CN134" s="379">
        <f t="shared" si="370"/>
        <v>30.4</v>
      </c>
      <c r="CO134" s="379">
        <f t="shared" si="371"/>
        <v>50.4</v>
      </c>
      <c r="CP134" s="379"/>
      <c r="CQ134" s="188">
        <f t="shared" si="372"/>
        <v>0.60317460317460314</v>
      </c>
      <c r="CR134" s="149">
        <f t="shared" si="429"/>
        <v>183.55019291189507</v>
      </c>
      <c r="CS134" s="149">
        <f t="shared" si="373"/>
        <v>28.799999999999997</v>
      </c>
      <c r="CT134" s="188">
        <f t="shared" si="374"/>
        <v>6.1183397637298356</v>
      </c>
      <c r="CU134" s="188">
        <f t="shared" si="375"/>
        <v>30</v>
      </c>
      <c r="CV134" s="188"/>
      <c r="CW134" s="149">
        <f t="shared" si="376"/>
        <v>295.68358505380291</v>
      </c>
      <c r="CX134" s="149">
        <f t="shared" si="377"/>
        <v>30</v>
      </c>
      <c r="CY134" s="188">
        <f t="shared" si="378"/>
        <v>4.7747368421052627</v>
      </c>
      <c r="CZ134" s="188">
        <f t="shared" si="379"/>
        <v>1.1220631578947367</v>
      </c>
      <c r="DA134" s="188">
        <f t="shared" si="380"/>
        <v>0.7381994459833795</v>
      </c>
      <c r="DB134" s="172">
        <f t="shared" si="381"/>
        <v>350</v>
      </c>
      <c r="DC134" s="379">
        <f t="shared" si="382"/>
        <v>350</v>
      </c>
      <c r="DE134" s="188">
        <f t="shared" si="383"/>
        <v>7.3334298258310406</v>
      </c>
      <c r="DF134" s="150">
        <f t="shared" si="384"/>
        <v>1.1337868480725624</v>
      </c>
      <c r="DG134" s="150">
        <f t="shared" si="385"/>
        <v>1.4550456003633017</v>
      </c>
      <c r="DH134" s="150"/>
      <c r="DI134" s="150">
        <f t="shared" si="386"/>
        <v>0.93700159489633172</v>
      </c>
      <c r="DJ134" s="314">
        <f t="shared" si="387"/>
        <v>338.09974468085107</v>
      </c>
      <c r="DK134" s="456">
        <f t="shared" si="388"/>
        <v>0.99378957034459414</v>
      </c>
      <c r="DM134" s="150">
        <f t="shared" si="389"/>
        <v>5.9566825389054356</v>
      </c>
      <c r="DN134" s="150">
        <f t="shared" si="390"/>
        <v>6.0606060606060606</v>
      </c>
      <c r="DO134" s="150">
        <f t="shared" si="391"/>
        <v>1.1931998541033435</v>
      </c>
      <c r="DQ134" s="314">
        <f t="shared" si="392"/>
        <v>960</v>
      </c>
      <c r="DR134" s="144">
        <f t="shared" si="393"/>
        <v>338.09974468085107</v>
      </c>
      <c r="DT134">
        <f t="shared" si="430"/>
        <v>960</v>
      </c>
      <c r="DU134">
        <f t="shared" si="431"/>
        <v>338.09974468085107</v>
      </c>
      <c r="DW134" s="5">
        <f t="shared" si="394"/>
        <v>2.9577070545970066</v>
      </c>
      <c r="DX134" s="5">
        <f t="shared" si="395"/>
        <v>1.4242424242424243</v>
      </c>
      <c r="DY134" s="5">
        <f t="shared" si="396"/>
        <v>1.5334646303545822</v>
      </c>
      <c r="DZ134" s="5"/>
      <c r="EA134" s="150">
        <f t="shared" si="397"/>
        <v>0.48153600000000008</v>
      </c>
      <c r="EB134" s="150">
        <f t="shared" si="398"/>
        <v>29.183999999999994</v>
      </c>
      <c r="EC134" s="150">
        <f t="shared" si="399"/>
        <v>1.57110303030303</v>
      </c>
      <c r="ED134" s="150">
        <f t="shared" si="400"/>
        <v>18.57548450808542</v>
      </c>
      <c r="EE134" s="144">
        <f t="shared" si="401"/>
        <v>4.5575757575757576</v>
      </c>
      <c r="EF134" s="5">
        <f t="shared" si="402"/>
        <v>1.2989347457121165</v>
      </c>
      <c r="EH134" s="150">
        <f t="shared" si="403"/>
        <v>2.4281181140458501</v>
      </c>
      <c r="EI134" s="150">
        <f t="shared" si="404"/>
        <v>2.5195021396155619</v>
      </c>
      <c r="EK134" s="456">
        <f t="shared" si="405"/>
        <v>7.0749090909090914E-2</v>
      </c>
      <c r="EL134" s="456">
        <f t="shared" si="406"/>
        <v>1.9622079727659574</v>
      </c>
      <c r="EM134" s="456">
        <f t="shared" si="407"/>
        <v>3.8881470638297874E-2</v>
      </c>
      <c r="EN134" s="456">
        <f t="shared" si="408"/>
        <v>0.4444432040546043</v>
      </c>
      <c r="EO134">
        <f t="shared" si="409"/>
        <v>8.9999999999999993E-3</v>
      </c>
      <c r="EP134" s="144">
        <f t="shared" si="410"/>
        <v>47.881470638297877</v>
      </c>
      <c r="EQ134" s="144"/>
      <c r="ER134" s="144">
        <f t="shared" si="432"/>
        <v>2525.2817383679508</v>
      </c>
      <c r="ES134" s="456">
        <f t="shared" si="411"/>
        <v>0.67199999999999993</v>
      </c>
      <c r="EV134" s="144">
        <f t="shared" si="412"/>
        <v>671.99999999999989</v>
      </c>
      <c r="EW134" s="456">
        <f t="shared" si="413"/>
        <v>8.2540606060606064E-2</v>
      </c>
      <c r="EX134" s="456">
        <f t="shared" si="414"/>
        <v>8.8870474441383532E-2</v>
      </c>
      <c r="EY134" s="456">
        <f t="shared" si="415"/>
        <v>9.5032521116968098</v>
      </c>
      <c r="EZ134" s="456"/>
      <c r="FA134" s="456">
        <f t="shared" si="416"/>
        <v>1.2418723404255319</v>
      </c>
      <c r="FB134" s="144">
        <f t="shared" si="417"/>
        <v>10916.535532624332</v>
      </c>
      <c r="FC134" s="150">
        <f t="shared" si="418"/>
        <v>14.113817270992282</v>
      </c>
      <c r="FD134" s="5">
        <f t="shared" si="419"/>
        <v>28.799999999999997</v>
      </c>
      <c r="FE134" s="150">
        <f t="shared" si="420"/>
        <v>0.67111251879863498</v>
      </c>
      <c r="FF134" s="5">
        <f t="shared" si="421"/>
        <v>67.111251879863502</v>
      </c>
      <c r="FI134" s="59">
        <f t="shared" si="422"/>
        <v>-50</v>
      </c>
      <c r="FJ134">
        <f t="shared" si="423"/>
        <v>-50</v>
      </c>
      <c r="FL134">
        <f t="shared" si="424"/>
        <v>0.31680000000000003</v>
      </c>
    </row>
    <row r="135" spans="5:168">
      <c r="E135" s="147">
        <v>25</v>
      </c>
      <c r="F135" s="188">
        <f t="shared" si="425"/>
        <v>1</v>
      </c>
      <c r="G135" s="188"/>
      <c r="H135" s="188">
        <f t="shared" si="315"/>
        <v>30</v>
      </c>
      <c r="I135" s="465">
        <f t="shared" si="316"/>
        <v>19.921488002581761</v>
      </c>
      <c r="J135" s="149">
        <f t="shared" si="317"/>
        <v>30.442275690917512</v>
      </c>
      <c r="K135" s="149">
        <f t="shared" si="318"/>
        <v>50.363763693499273</v>
      </c>
      <c r="L135" s="379"/>
      <c r="M135" s="188">
        <f t="shared" si="319"/>
        <v>0.60445019534238131</v>
      </c>
      <c r="N135" s="149">
        <f t="shared" si="426"/>
        <v>183.21629598899523</v>
      </c>
      <c r="O135" s="149">
        <f t="shared" si="438"/>
        <v>30</v>
      </c>
      <c r="P135" s="188">
        <f t="shared" si="320"/>
        <v>6.1072098662998409</v>
      </c>
      <c r="Q135" s="188">
        <f t="shared" si="321"/>
        <v>30</v>
      </c>
      <c r="R135" s="188"/>
      <c r="S135" s="149">
        <f t="shared" si="322"/>
        <v>281.9474619649427</v>
      </c>
      <c r="T135" s="149">
        <f t="shared" si="323"/>
        <v>30</v>
      </c>
      <c r="U135" s="188">
        <f t="shared" si="324"/>
        <v>5.0562532870700485</v>
      </c>
      <c r="V135" s="188">
        <f t="shared" si="325"/>
        <v>1.1929023798899681</v>
      </c>
      <c r="W135" s="188">
        <f t="shared" si="326"/>
        <v>0.7806377778885748</v>
      </c>
      <c r="X135" s="172">
        <f t="shared" si="327"/>
        <v>350</v>
      </c>
      <c r="Y135" s="379">
        <f t="shared" si="328"/>
        <v>350</v>
      </c>
      <c r="AA135" s="188">
        <f t="shared" si="329"/>
        <v>7.3200628353661097</v>
      </c>
      <c r="AB135" s="150">
        <f t="shared" si="330"/>
        <v>1.13014860240837</v>
      </c>
      <c r="AC135" s="150">
        <f t="shared" si="331"/>
        <v>1.4477327870128305</v>
      </c>
      <c r="AD135" s="150"/>
      <c r="AE135" s="150">
        <f t="shared" si="332"/>
        <v>0.9357003653096464</v>
      </c>
      <c r="AF135" s="314">
        <f t="shared" si="333"/>
        <v>352.67700241924655</v>
      </c>
      <c r="AG135" s="456">
        <f t="shared" si="334"/>
        <v>0.99240947835871574</v>
      </c>
      <c r="AI135" s="150">
        <f t="shared" si="335"/>
        <v>6.0837394206607449</v>
      </c>
      <c r="AJ135" s="150">
        <f t="shared" si="336"/>
        <v>6.0837394206607449</v>
      </c>
      <c r="AK135" s="150">
        <f t="shared" si="337"/>
        <v>1.2171358222627291</v>
      </c>
      <c r="AM135" s="314">
        <f t="shared" si="338"/>
        <v>1000</v>
      </c>
      <c r="AN135" s="144">
        <f t="shared" si="339"/>
        <v>350</v>
      </c>
      <c r="AP135" s="144">
        <f t="shared" si="340"/>
        <v>1000</v>
      </c>
      <c r="AQ135" s="144">
        <f t="shared" si="341"/>
        <v>350</v>
      </c>
      <c r="AS135" s="5">
        <f t="shared" si="439"/>
        <v>2.8571428571428572</v>
      </c>
      <c r="AT135" s="5">
        <f t="shared" si="342"/>
        <v>1.4353132292828661</v>
      </c>
      <c r="AU135" s="5">
        <f t="shared" si="343"/>
        <v>1.4218296278599911</v>
      </c>
      <c r="AV135" s="5"/>
      <c r="AW135" s="150">
        <f t="shared" si="344"/>
        <v>0.5023596302490031</v>
      </c>
      <c r="AX135" s="150">
        <f t="shared" si="435"/>
        <v>30.442275690917512</v>
      </c>
      <c r="AY135" s="150">
        <f t="shared" si="436"/>
        <v>1.5137571673831645</v>
      </c>
      <c r="AZ135" s="150">
        <f t="shared" si="440"/>
        <v>20.110408952542333</v>
      </c>
      <c r="BA135" s="144">
        <f t="shared" si="433"/>
        <v>4.7843774309428868</v>
      </c>
      <c r="BB135" s="5">
        <f t="shared" si="434"/>
        <v>1.2594998464286635</v>
      </c>
      <c r="BD135" s="150">
        <f t="shared" si="441"/>
        <v>2.4895298775383363</v>
      </c>
      <c r="BE135" s="150">
        <f t="shared" si="437"/>
        <v>2.4778087298413092</v>
      </c>
      <c r="BG135" s="456">
        <f t="shared" si="347"/>
        <v>7.4373108133872531E-2</v>
      </c>
      <c r="BH135" s="456">
        <f t="shared" si="348"/>
        <v>1.9571300929699598</v>
      </c>
      <c r="BI135" s="456">
        <f t="shared" si="349"/>
        <v>4.0250000000000001E-2</v>
      </c>
      <c r="BJ135" s="456">
        <f t="shared" si="350"/>
        <v>0.45942513708748089</v>
      </c>
      <c r="BK135">
        <f t="shared" si="351"/>
        <v>8.964669601161792E-3</v>
      </c>
      <c r="BL135" s="144">
        <f t="shared" si="427"/>
        <v>49.214669601161788</v>
      </c>
      <c r="BM135" s="456">
        <f t="shared" si="352"/>
        <v>2.5561794535798352</v>
      </c>
      <c r="BN135" s="144">
        <f t="shared" si="353"/>
        <v>2556.1794535798354</v>
      </c>
      <c r="BO135" s="456">
        <f t="shared" si="354"/>
        <v>0.7</v>
      </c>
      <c r="BR135" s="144">
        <f t="shared" si="355"/>
        <v>700</v>
      </c>
      <c r="BS135" s="456">
        <f t="shared" si="356"/>
        <v>8.6768626156184608E-2</v>
      </c>
      <c r="BT135" s="456">
        <f t="shared" si="357"/>
        <v>8.5953505423489229E-2</v>
      </c>
      <c r="BU135" s="456">
        <f t="shared" si="358"/>
        <v>10.460841583611748</v>
      </c>
      <c r="BV135" s="456"/>
      <c r="BW135" s="456">
        <f t="shared" si="359"/>
        <v>1.2954159868475539</v>
      </c>
      <c r="BX135" s="144">
        <f t="shared" si="360"/>
        <v>11928.979702038974</v>
      </c>
      <c r="BY135" s="150">
        <f t="shared" si="361"/>
        <v>15.16912270983145</v>
      </c>
      <c r="BZ135" s="5">
        <f t="shared" si="362"/>
        <v>30</v>
      </c>
      <c r="CA135" s="150">
        <f t="shared" si="363"/>
        <v>0.66417052624026818</v>
      </c>
      <c r="CB135" s="5">
        <f t="shared" si="364"/>
        <v>66.417052624026823</v>
      </c>
      <c r="CE135" s="59">
        <f t="shared" si="365"/>
        <v>-50</v>
      </c>
      <c r="CF135">
        <f t="shared" si="366"/>
        <v>-50</v>
      </c>
      <c r="CG135" s="150">
        <f t="shared" si="367"/>
        <v>0.33115957885386116</v>
      </c>
      <c r="CI135" s="147">
        <v>25</v>
      </c>
      <c r="CJ135" s="188">
        <f t="shared" si="428"/>
        <v>1</v>
      </c>
      <c r="CK135" s="188"/>
      <c r="CL135" s="188">
        <f t="shared" si="368"/>
        <v>30</v>
      </c>
      <c r="CM135" s="465">
        <f t="shared" si="369"/>
        <v>20</v>
      </c>
      <c r="CN135" s="379">
        <f t="shared" si="370"/>
        <v>30.4</v>
      </c>
      <c r="CO135" s="379">
        <f t="shared" si="371"/>
        <v>50.4</v>
      </c>
      <c r="CP135" s="379"/>
      <c r="CQ135" s="188">
        <f t="shared" si="372"/>
        <v>0.60317460317460314</v>
      </c>
      <c r="CR135" s="149">
        <f t="shared" si="429"/>
        <v>183.55019291189507</v>
      </c>
      <c r="CS135" s="149">
        <f t="shared" si="373"/>
        <v>30</v>
      </c>
      <c r="CT135" s="188">
        <f t="shared" si="374"/>
        <v>6.1183397637298356</v>
      </c>
      <c r="CU135" s="188">
        <f t="shared" si="375"/>
        <v>30</v>
      </c>
      <c r="CV135" s="188"/>
      <c r="CW135" s="149">
        <f t="shared" si="376"/>
        <v>283.05852585399799</v>
      </c>
      <c r="CX135" s="149">
        <f t="shared" si="377"/>
        <v>30</v>
      </c>
      <c r="CY135" s="188">
        <f t="shared" si="378"/>
        <v>4.9736842105263159</v>
      </c>
      <c r="CZ135" s="188">
        <f t="shared" si="379"/>
        <v>1.1688157894736844</v>
      </c>
      <c r="DA135" s="188">
        <f t="shared" si="380"/>
        <v>0.76895775623268703</v>
      </c>
      <c r="DB135" s="172">
        <f t="shared" si="381"/>
        <v>350</v>
      </c>
      <c r="DC135" s="379">
        <f t="shared" si="382"/>
        <v>350</v>
      </c>
      <c r="DE135" s="188">
        <f t="shared" si="383"/>
        <v>7.3334298258310406</v>
      </c>
      <c r="DF135" s="150">
        <f t="shared" si="384"/>
        <v>1.1337868480725624</v>
      </c>
      <c r="DG135" s="150">
        <f t="shared" si="385"/>
        <v>1.4550456003633017</v>
      </c>
      <c r="DH135" s="150"/>
      <c r="DI135" s="150">
        <f t="shared" si="386"/>
        <v>0.93700159489633172</v>
      </c>
      <c r="DJ135" s="314">
        <f t="shared" si="387"/>
        <v>352.1872340425532</v>
      </c>
      <c r="DK135" s="456">
        <f t="shared" si="388"/>
        <v>0.99378957034459414</v>
      </c>
      <c r="DM135" s="150">
        <f t="shared" si="389"/>
        <v>6.0795136583602192</v>
      </c>
      <c r="DN135" s="150">
        <f t="shared" si="390"/>
        <v>6.0795136583602192</v>
      </c>
      <c r="DO135" s="150">
        <f t="shared" si="391"/>
        <v>1.2140056279660434</v>
      </c>
      <c r="DQ135" s="314">
        <f t="shared" si="392"/>
        <v>1000</v>
      </c>
      <c r="DR135" s="144">
        <f t="shared" si="393"/>
        <v>350</v>
      </c>
      <c r="DT135">
        <f t="shared" si="430"/>
        <v>1000</v>
      </c>
      <c r="DU135">
        <f t="shared" si="431"/>
        <v>350</v>
      </c>
      <c r="DW135" s="5">
        <f t="shared" si="394"/>
        <v>2.8571428571428572</v>
      </c>
      <c r="DX135" s="5">
        <f t="shared" si="395"/>
        <v>1.4286857097146515</v>
      </c>
      <c r="DY135" s="5">
        <f t="shared" si="396"/>
        <v>1.4284571474282057</v>
      </c>
      <c r="DZ135" s="5"/>
      <c r="EA135" s="150">
        <f t="shared" si="397"/>
        <v>0.50003999840012803</v>
      </c>
      <c r="EB135" s="150">
        <f t="shared" si="398"/>
        <v>30.400000000000006</v>
      </c>
      <c r="EC135" s="150">
        <f t="shared" si="399"/>
        <v>1.5197568291801093</v>
      </c>
      <c r="ED135" s="150">
        <f t="shared" si="400"/>
        <v>20.003200128010246</v>
      </c>
      <c r="EE135" s="144">
        <f t="shared" si="401"/>
        <v>4.7622856990488387</v>
      </c>
      <c r="EF135" s="5">
        <f t="shared" si="402"/>
        <v>1.2604033653778286</v>
      </c>
      <c r="EH135" s="150">
        <f t="shared" si="403"/>
        <v>2.482050329963454</v>
      </c>
      <c r="EI135" s="150">
        <f t="shared" si="404"/>
        <v>2.4818517818202723</v>
      </c>
      <c r="EK135" s="456">
        <f t="shared" si="405"/>
        <v>7.3926886085660296E-2</v>
      </c>
      <c r="EL135" s="456">
        <f t="shared" si="406"/>
        <v>2.0376097977360113</v>
      </c>
      <c r="EM135" s="456">
        <f t="shared" si="407"/>
        <v>4.0250000000000001E-2</v>
      </c>
      <c r="EN135" s="456">
        <f t="shared" si="408"/>
        <v>0.46008647999999996</v>
      </c>
      <c r="EO135">
        <f t="shared" si="409"/>
        <v>8.9999999999999993E-3</v>
      </c>
      <c r="EP135" s="144">
        <f t="shared" si="410"/>
        <v>49.25</v>
      </c>
      <c r="EQ135" s="144"/>
      <c r="ER135" s="144">
        <f t="shared" si="432"/>
        <v>2620.8731638216709</v>
      </c>
      <c r="ES135" s="456">
        <f t="shared" si="411"/>
        <v>0.7</v>
      </c>
      <c r="EV135" s="144">
        <f t="shared" si="412"/>
        <v>700</v>
      </c>
      <c r="EW135" s="456">
        <f t="shared" si="413"/>
        <v>8.6248033766603671E-2</v>
      </c>
      <c r="EX135" s="456">
        <f t="shared" si="414"/>
        <v>8.6234235736942444E-2</v>
      </c>
      <c r="EY135" s="456">
        <f t="shared" si="415"/>
        <v>10.44268580761053</v>
      </c>
      <c r="EZ135" s="456"/>
      <c r="FA135" s="456">
        <f t="shared" si="416"/>
        <v>1.2936170212765961</v>
      </c>
      <c r="FB135" s="144">
        <f t="shared" si="417"/>
        <v>11908.785098390672</v>
      </c>
      <c r="FC135" s="150">
        <f t="shared" si="418"/>
        <v>15.229658262212343</v>
      </c>
      <c r="FD135" s="5">
        <f t="shared" si="419"/>
        <v>30</v>
      </c>
      <c r="FE135" s="150">
        <f t="shared" si="420"/>
        <v>0.66328159779760842</v>
      </c>
      <c r="FF135" s="5">
        <f t="shared" si="421"/>
        <v>66.328159779760838</v>
      </c>
      <c r="FI135" s="59">
        <f t="shared" si="422"/>
        <v>-50</v>
      </c>
      <c r="FJ135">
        <f t="shared" si="423"/>
        <v>-50</v>
      </c>
      <c r="FL135">
        <f t="shared" si="424"/>
        <v>0.32897368315797892</v>
      </c>
    </row>
    <row r="136" spans="5:168">
      <c r="E136" s="147">
        <v>26</v>
      </c>
      <c r="F136" s="188">
        <f t="shared" si="425"/>
        <v>1.04</v>
      </c>
      <c r="G136" s="188"/>
      <c r="H136" s="188">
        <f t="shared" si="315"/>
        <v>31.200000000000003</v>
      </c>
      <c r="I136" s="465">
        <f t="shared" si="316"/>
        <v>19.919933158622648</v>
      </c>
      <c r="J136" s="149">
        <f t="shared" si="317"/>
        <v>30.443112914587804</v>
      </c>
      <c r="K136" s="149">
        <f t="shared" si="318"/>
        <v>50.363046073210455</v>
      </c>
      <c r="L136" s="379"/>
      <c r="M136" s="188">
        <f t="shared" si="319"/>
        <v>0.60447547543758173</v>
      </c>
      <c r="N136" s="149">
        <f t="shared" si="426"/>
        <v>183.2096583262892</v>
      </c>
      <c r="O136" s="149">
        <f t="shared" si="438"/>
        <v>31.200000000000003</v>
      </c>
      <c r="P136" s="188">
        <f t="shared" si="320"/>
        <v>6.1069886108763063</v>
      </c>
      <c r="Q136" s="188">
        <f t="shared" si="321"/>
        <v>30</v>
      </c>
      <c r="R136" s="188"/>
      <c r="S136" s="149">
        <f t="shared" si="322"/>
        <v>270.3183159633187</v>
      </c>
      <c r="T136" s="149">
        <f t="shared" si="323"/>
        <v>30</v>
      </c>
      <c r="U136" s="188">
        <f t="shared" si="324"/>
        <v>5.2588395177294558</v>
      </c>
      <c r="V136" s="188">
        <f t="shared" si="325"/>
        <v>1.2407946119352067</v>
      </c>
      <c r="W136" s="188">
        <f t="shared" si="326"/>
        <v>0.81189285086167085</v>
      </c>
      <c r="X136" s="172">
        <f t="shared" si="327"/>
        <v>350</v>
      </c>
      <c r="Y136" s="379">
        <f t="shared" si="328"/>
        <v>350</v>
      </c>
      <c r="AA136" s="188">
        <f t="shared" si="329"/>
        <v>7.3197971134235553</v>
      </c>
      <c r="AB136" s="150">
        <f t="shared" si="330"/>
        <v>1.1300764980773492</v>
      </c>
      <c r="AC136" s="150">
        <f t="shared" si="331"/>
        <v>1.4475878705005165</v>
      </c>
      <c r="AD136" s="150"/>
      <c r="AE136" s="150">
        <f t="shared" si="332"/>
        <v>0.93567463237962911</v>
      </c>
      <c r="AF136" s="314">
        <f t="shared" si="333"/>
        <v>366.7941698143145</v>
      </c>
      <c r="AG136" s="456">
        <f t="shared" si="334"/>
        <v>0.99238218585718252</v>
      </c>
      <c r="AI136" s="150">
        <f t="shared" si="335"/>
        <v>6.204306517992582</v>
      </c>
      <c r="AJ136" s="150">
        <f t="shared" si="336"/>
        <v>6.204306517992582</v>
      </c>
      <c r="AK136" s="150">
        <f t="shared" si="337"/>
        <v>1.3064447832492752</v>
      </c>
      <c r="AM136" s="314">
        <f t="shared" si="338"/>
        <v>1040</v>
      </c>
      <c r="AN136" s="144">
        <f t="shared" si="339"/>
        <v>350</v>
      </c>
      <c r="AP136" s="144">
        <f t="shared" si="340"/>
        <v>1040</v>
      </c>
      <c r="AQ136" s="144">
        <f t="shared" si="341"/>
        <v>350</v>
      </c>
      <c r="AS136" s="5">
        <f t="shared" si="439"/>
        <v>2.8571428571428572</v>
      </c>
      <c r="AT136" s="5">
        <f t="shared" si="342"/>
        <v>1.4638724137456596</v>
      </c>
      <c r="AU136" s="5">
        <f t="shared" si="343"/>
        <v>1.3932704433971976</v>
      </c>
      <c r="AV136" s="5"/>
      <c r="AW136" s="150">
        <f t="shared" si="344"/>
        <v>0.51235534481098088</v>
      </c>
      <c r="AX136" s="150">
        <f t="shared" si="435"/>
        <v>31.660837431171306</v>
      </c>
      <c r="AY136" s="150">
        <f t="shared" si="436"/>
        <v>1.5127484563267382</v>
      </c>
      <c r="AZ136" s="150">
        <f t="shared" si="440"/>
        <v>20.929347042964615</v>
      </c>
      <c r="BA136" s="144">
        <f t="shared" si="433"/>
        <v>5.0747577009849536</v>
      </c>
      <c r="BB136" s="5">
        <f t="shared" si="434"/>
        <v>1.2836694926114864</v>
      </c>
      <c r="BD136" s="150">
        <f t="shared" si="441"/>
        <v>2.5640013750557182</v>
      </c>
      <c r="BE136" s="150">
        <f t="shared" si="437"/>
        <v>2.5014069517868269</v>
      </c>
      <c r="BG136" s="456">
        <f t="shared" si="347"/>
        <v>7.8889236615451372E-2</v>
      </c>
      <c r="BH136" s="456">
        <f t="shared" si="348"/>
        <v>1.9958879129273492</v>
      </c>
      <c r="BI136" s="456">
        <f t="shared" si="349"/>
        <v>4.0250000000000001E-2</v>
      </c>
      <c r="BJ136" s="456">
        <f t="shared" si="350"/>
        <v>0.45941204472001135</v>
      </c>
      <c r="BK136">
        <f t="shared" si="351"/>
        <v>8.9639699213801913E-3</v>
      </c>
      <c r="BL136" s="144">
        <f t="shared" si="427"/>
        <v>49.21396992138019</v>
      </c>
      <c r="BM136" s="456">
        <f t="shared" si="352"/>
        <v>2.6043045885234735</v>
      </c>
      <c r="BN136" s="144">
        <f t="shared" si="353"/>
        <v>2604.3045885234733</v>
      </c>
      <c r="BO136" s="456">
        <f t="shared" si="354"/>
        <v>0.72799999999999998</v>
      </c>
      <c r="BR136" s="144">
        <f t="shared" si="355"/>
        <v>728</v>
      </c>
      <c r="BS136" s="456">
        <f t="shared" si="356"/>
        <v>9.2037442718026594E-2</v>
      </c>
      <c r="BT136" s="456">
        <f t="shared" si="357"/>
        <v>8.7598514338264516E-2</v>
      </c>
      <c r="BU136" s="456">
        <f t="shared" si="358"/>
        <v>10.986850857794487</v>
      </c>
      <c r="BV136" s="456"/>
      <c r="BW136" s="456">
        <f t="shared" si="359"/>
        <v>1.3472696779221831</v>
      </c>
      <c r="BX136" s="144">
        <f t="shared" si="360"/>
        <v>12513.756492772962</v>
      </c>
      <c r="BY136" s="150">
        <f t="shared" si="361"/>
        <v>15.825159656957153</v>
      </c>
      <c r="BZ136" s="5">
        <f t="shared" si="362"/>
        <v>31.200000000000003</v>
      </c>
      <c r="CA136" s="150">
        <f t="shared" si="363"/>
        <v>0.66347462140692814</v>
      </c>
      <c r="CB136" s="5">
        <f t="shared" si="364"/>
        <v>66.347462140692812</v>
      </c>
      <c r="CE136" s="59">
        <f t="shared" si="365"/>
        <v>-50</v>
      </c>
      <c r="CF136">
        <f t="shared" si="366"/>
        <v>-50</v>
      </c>
      <c r="CG136" s="150">
        <f t="shared" si="367"/>
        <v>0.33771783093780133</v>
      </c>
      <c r="CI136" s="147">
        <v>26</v>
      </c>
      <c r="CJ136" s="188">
        <f t="shared" si="428"/>
        <v>1.04</v>
      </c>
      <c r="CK136" s="188"/>
      <c r="CL136" s="188">
        <f t="shared" si="368"/>
        <v>31.200000000000003</v>
      </c>
      <c r="CM136" s="465">
        <f t="shared" si="369"/>
        <v>20</v>
      </c>
      <c r="CN136" s="379">
        <f t="shared" si="370"/>
        <v>30.4</v>
      </c>
      <c r="CO136" s="379">
        <f t="shared" si="371"/>
        <v>50.4</v>
      </c>
      <c r="CP136" s="379"/>
      <c r="CQ136" s="188">
        <f t="shared" si="372"/>
        <v>0.60317460317460314</v>
      </c>
      <c r="CR136" s="149">
        <f t="shared" si="429"/>
        <v>183.55019291189507</v>
      </c>
      <c r="CS136" s="149">
        <f t="shared" si="373"/>
        <v>31.200000000000003</v>
      </c>
      <c r="CT136" s="188">
        <f t="shared" si="374"/>
        <v>6.1183397637298356</v>
      </c>
      <c r="CU136" s="188">
        <f t="shared" si="375"/>
        <v>30</v>
      </c>
      <c r="CV136" s="188"/>
      <c r="CW136" s="149">
        <f t="shared" si="376"/>
        <v>271.40472427062264</v>
      </c>
      <c r="CX136" s="149">
        <f t="shared" si="377"/>
        <v>30</v>
      </c>
      <c r="CY136" s="188">
        <f t="shared" si="378"/>
        <v>5.1726315789473691</v>
      </c>
      <c r="CZ136" s="188">
        <f t="shared" si="379"/>
        <v>1.2155684210526319</v>
      </c>
      <c r="DA136" s="188">
        <f t="shared" si="380"/>
        <v>0.79971606648199467</v>
      </c>
      <c r="DB136" s="172">
        <f t="shared" si="381"/>
        <v>350</v>
      </c>
      <c r="DC136" s="379">
        <f t="shared" si="382"/>
        <v>350</v>
      </c>
      <c r="DE136" s="188">
        <f t="shared" si="383"/>
        <v>7.3334298258310406</v>
      </c>
      <c r="DF136" s="150">
        <f t="shared" si="384"/>
        <v>1.1337868480725624</v>
      </c>
      <c r="DG136" s="150">
        <f t="shared" si="385"/>
        <v>1.4550456003633017</v>
      </c>
      <c r="DH136" s="150"/>
      <c r="DI136" s="150">
        <f t="shared" si="386"/>
        <v>0.93700159489633172</v>
      </c>
      <c r="DJ136" s="314">
        <f t="shared" si="387"/>
        <v>366.27472340425533</v>
      </c>
      <c r="DK136" s="456">
        <f t="shared" si="388"/>
        <v>0.99378957034459414</v>
      </c>
      <c r="DM136" s="150">
        <f t="shared" si="389"/>
        <v>6.1999117554265224</v>
      </c>
      <c r="DN136" s="150">
        <f t="shared" si="390"/>
        <v>6.1999117554265224</v>
      </c>
      <c r="DO136" s="150">
        <f t="shared" si="391"/>
        <v>1.3031894035707123</v>
      </c>
      <c r="DQ136" s="314">
        <f t="shared" si="392"/>
        <v>1040</v>
      </c>
      <c r="DR136" s="144">
        <f t="shared" si="393"/>
        <v>350</v>
      </c>
      <c r="DT136">
        <f t="shared" si="430"/>
        <v>1040</v>
      </c>
      <c r="DU136">
        <f t="shared" si="431"/>
        <v>350</v>
      </c>
      <c r="DW136" s="5">
        <f t="shared" si="394"/>
        <v>2.8571428571428572</v>
      </c>
      <c r="DX136" s="5">
        <f t="shared" si="395"/>
        <v>1.4569792625252327</v>
      </c>
      <c r="DY136" s="5">
        <f t="shared" si="396"/>
        <v>1.4001635946176245</v>
      </c>
      <c r="DZ136" s="5"/>
      <c r="EA136" s="150">
        <f t="shared" si="397"/>
        <v>0.50994274188383137</v>
      </c>
      <c r="EB136" s="150">
        <f t="shared" si="398"/>
        <v>31.615999999999993</v>
      </c>
      <c r="EC136" s="150">
        <f t="shared" si="399"/>
        <v>1.5191558777132617</v>
      </c>
      <c r="ED136" s="150">
        <f t="shared" si="400"/>
        <v>20.811557565501822</v>
      </c>
      <c r="EE136" s="144">
        <f t="shared" si="401"/>
        <v>5.0508614434208061</v>
      </c>
      <c r="EF136" s="5">
        <f t="shared" si="402"/>
        <v>1.2848560044726436</v>
      </c>
      <c r="EH136" s="150">
        <f t="shared" si="403"/>
        <v>2.5561456013534967</v>
      </c>
      <c r="EI136" s="150">
        <f t="shared" si="404"/>
        <v>2.5058108979675953</v>
      </c>
      <c r="EK136" s="456">
        <f t="shared" si="405"/>
        <v>7.8406564023825953E-2</v>
      </c>
      <c r="EL136" s="456">
        <f t="shared" si="406"/>
        <v>2.0779624239487533</v>
      </c>
      <c r="EM136" s="456">
        <f t="shared" si="407"/>
        <v>4.0250000000000001E-2</v>
      </c>
      <c r="EN136" s="456">
        <f t="shared" si="408"/>
        <v>0.46008647999999996</v>
      </c>
      <c r="EO136">
        <f t="shared" si="409"/>
        <v>8.9999999999999993E-3</v>
      </c>
      <c r="EP136" s="144">
        <f t="shared" si="410"/>
        <v>49.25</v>
      </c>
      <c r="EQ136" s="144"/>
      <c r="ER136" s="144">
        <f t="shared" si="432"/>
        <v>2665.7054679725793</v>
      </c>
      <c r="ES136" s="456">
        <f t="shared" si="411"/>
        <v>0.72799999999999998</v>
      </c>
      <c r="EV136" s="144">
        <f t="shared" si="412"/>
        <v>728</v>
      </c>
      <c r="EW136" s="456">
        <f t="shared" si="413"/>
        <v>9.1474324694463621E-2</v>
      </c>
      <c r="EX136" s="456">
        <f t="shared" si="414"/>
        <v>8.7907235589224322E-2</v>
      </c>
      <c r="EY136" s="456">
        <f t="shared" si="415"/>
        <v>10.967405109789508</v>
      </c>
      <c r="EZ136" s="456"/>
      <c r="FA136" s="456">
        <f t="shared" si="416"/>
        <v>1.3453617021276596</v>
      </c>
      <c r="FB136" s="144">
        <f t="shared" si="417"/>
        <v>12492.148372200856</v>
      </c>
      <c r="FC136" s="150">
        <f t="shared" si="418"/>
        <v>15.885853840173436</v>
      </c>
      <c r="FD136" s="5">
        <f t="shared" si="419"/>
        <v>31.200000000000003</v>
      </c>
      <c r="FE136" s="150">
        <f t="shared" si="420"/>
        <v>0.66261939532633685</v>
      </c>
      <c r="FF136" s="5">
        <f t="shared" si="421"/>
        <v>66.26193953263369</v>
      </c>
      <c r="FI136" s="59">
        <f t="shared" si="422"/>
        <v>-50</v>
      </c>
      <c r="FJ136">
        <f t="shared" si="423"/>
        <v>-50</v>
      </c>
      <c r="FL136">
        <f t="shared" si="424"/>
        <v>0.33548864597620492</v>
      </c>
    </row>
    <row r="137" spans="5:168">
      <c r="E137" s="147">
        <v>27</v>
      </c>
      <c r="F137" s="188">
        <f t="shared" si="425"/>
        <v>1.08</v>
      </c>
      <c r="G137" s="188"/>
      <c r="H137" s="188">
        <f t="shared" si="315"/>
        <v>32.400000000000006</v>
      </c>
      <c r="I137" s="465">
        <f t="shared" si="316"/>
        <v>19.918407938880733</v>
      </c>
      <c r="J137" s="149">
        <f t="shared" si="317"/>
        <v>30.443934186756525</v>
      </c>
      <c r="K137" s="149">
        <f t="shared" si="318"/>
        <v>50.362342125637255</v>
      </c>
      <c r="L137" s="379"/>
      <c r="M137" s="188">
        <f t="shared" si="319"/>
        <v>0.60450027456933275</v>
      </c>
      <c r="N137" s="149">
        <f t="shared" si="426"/>
        <v>183.20314617834569</v>
      </c>
      <c r="O137" s="149">
        <f t="shared" si="438"/>
        <v>32.400000000000006</v>
      </c>
      <c r="P137" s="188">
        <f t="shared" si="320"/>
        <v>6.1067715392781894</v>
      </c>
      <c r="Q137" s="188">
        <f t="shared" si="321"/>
        <v>30</v>
      </c>
      <c r="R137" s="188"/>
      <c r="S137" s="149">
        <f t="shared" si="322"/>
        <v>259.55118566815617</v>
      </c>
      <c r="T137" s="149">
        <f t="shared" si="323"/>
        <v>30</v>
      </c>
      <c r="U137" s="188">
        <f t="shared" si="324"/>
        <v>5.4614450051714574</v>
      </c>
      <c r="V137" s="188">
        <f t="shared" si="325"/>
        <v>1.2886969482234754</v>
      </c>
      <c r="W137" s="188">
        <f t="shared" si="326"/>
        <v>0.84314961945595324</v>
      </c>
      <c r="X137" s="172">
        <f t="shared" si="327"/>
        <v>350</v>
      </c>
      <c r="Y137" s="379">
        <f t="shared" si="328"/>
        <v>350</v>
      </c>
      <c r="AA137" s="188">
        <f t="shared" si="329"/>
        <v>7.319536416351796</v>
      </c>
      <c r="AB137" s="150">
        <f t="shared" si="330"/>
        <v>1.1300057655432274</v>
      </c>
      <c r="AC137" s="150">
        <f t="shared" si="331"/>
        <v>1.4474457115266999</v>
      </c>
      <c r="AD137" s="150"/>
      <c r="AE137" s="150">
        <f t="shared" si="332"/>
        <v>0.93564939111055279</v>
      </c>
      <c r="AF137" s="314">
        <f t="shared" si="333"/>
        <v>380.91191357157544</v>
      </c>
      <c r="AG137" s="456">
        <f t="shared" si="334"/>
        <v>0.99235541481422262</v>
      </c>
      <c r="AI137" s="150">
        <f t="shared" si="335"/>
        <v>6.3225796860586714</v>
      </c>
      <c r="AJ137" s="150">
        <f t="shared" si="336"/>
        <v>6.3225796860586714</v>
      </c>
      <c r="AK137" s="150">
        <f t="shared" si="337"/>
        <v>1.3940545373723043</v>
      </c>
      <c r="AM137" s="314">
        <f t="shared" si="338"/>
        <v>1080</v>
      </c>
      <c r="AN137" s="144">
        <f t="shared" si="339"/>
        <v>350</v>
      </c>
      <c r="AP137" s="144">
        <f t="shared" si="340"/>
        <v>1080</v>
      </c>
      <c r="AQ137" s="144">
        <f t="shared" si="341"/>
        <v>350</v>
      </c>
      <c r="AS137" s="5">
        <f t="shared" si="439"/>
        <v>2.8571428571428572</v>
      </c>
      <c r="AT137" s="5">
        <f t="shared" si="342"/>
        <v>1.4918925556529987</v>
      </c>
      <c r="AU137" s="5">
        <f t="shared" si="343"/>
        <v>1.3652503014898585</v>
      </c>
      <c r="AV137" s="5"/>
      <c r="AW137" s="150">
        <f t="shared" si="344"/>
        <v>0.52216239447854951</v>
      </c>
      <c r="AX137" s="150">
        <f t="shared" si="435"/>
        <v>32.879448921697048</v>
      </c>
      <c r="AY137" s="150">
        <f t="shared" si="436"/>
        <v>1.5105831689524198</v>
      </c>
      <c r="AZ137" s="150">
        <f t="shared" si="440"/>
        <v>21.766063330692837</v>
      </c>
      <c r="BA137" s="144">
        <f t="shared" si="433"/>
        <v>5.3708132003507956</v>
      </c>
      <c r="BB137" s="5">
        <f t="shared" si="434"/>
        <v>1.306332546728308</v>
      </c>
      <c r="BD137" s="150">
        <f t="shared" si="441"/>
        <v>2.6377672989557133</v>
      </c>
      <c r="BE137" s="150">
        <f t="shared" si="437"/>
        <v>2.523328814366808</v>
      </c>
      <c r="BG137" s="456">
        <f t="shared" si="347"/>
        <v>8.3493795881281432E-2</v>
      </c>
      <c r="BH137" s="456">
        <f t="shared" si="348"/>
        <v>2.033907247085879</v>
      </c>
      <c r="BI137" s="456">
        <f t="shared" si="349"/>
        <v>4.0250000000000001E-2</v>
      </c>
      <c r="BJ137" s="456">
        <f t="shared" si="350"/>
        <v>0.45939920198077977</v>
      </c>
      <c r="BK137">
        <f t="shared" si="351"/>
        <v>8.9632835724963306E-3</v>
      </c>
      <c r="BL137" s="144">
        <f t="shared" si="427"/>
        <v>49.21328357249633</v>
      </c>
      <c r="BM137" s="456">
        <f t="shared" si="352"/>
        <v>2.6519533543643869</v>
      </c>
      <c r="BN137" s="144">
        <f t="shared" si="353"/>
        <v>2651.953354364387</v>
      </c>
      <c r="BO137" s="456">
        <f t="shared" si="354"/>
        <v>0.75600000000000001</v>
      </c>
      <c r="BR137" s="144">
        <f t="shared" si="355"/>
        <v>756</v>
      </c>
      <c r="BS137" s="456">
        <f t="shared" si="356"/>
        <v>9.7409428528161673E-2</v>
      </c>
      <c r="BT137" s="456">
        <f t="shared" si="357"/>
        <v>8.9140636275793217E-2</v>
      </c>
      <c r="BU137" s="456">
        <f t="shared" si="358"/>
        <v>11.517968708312084</v>
      </c>
      <c r="BV137" s="456"/>
      <c r="BW137" s="456">
        <f t="shared" si="359"/>
        <v>1.3991254860296622</v>
      </c>
      <c r="BX137" s="144">
        <f t="shared" si="360"/>
        <v>13103.644259145702</v>
      </c>
      <c r="BY137" s="150">
        <f t="shared" si="361"/>
        <v>16.485657787666138</v>
      </c>
      <c r="BZ137" s="5">
        <f t="shared" si="362"/>
        <v>32.400000000000006</v>
      </c>
      <c r="CA137" s="150">
        <f t="shared" si="363"/>
        <v>0.66277107573613392</v>
      </c>
      <c r="CB137" s="5">
        <f t="shared" si="364"/>
        <v>66.277107573613392</v>
      </c>
      <c r="CE137" s="59">
        <f t="shared" si="365"/>
        <v>-50</v>
      </c>
      <c r="CF137">
        <f t="shared" si="366"/>
        <v>-50</v>
      </c>
      <c r="CG137" s="150">
        <f t="shared" si="367"/>
        <v>0.3441511295927997</v>
      </c>
      <c r="CI137" s="147">
        <v>27</v>
      </c>
      <c r="CJ137" s="188">
        <f t="shared" si="428"/>
        <v>1.08</v>
      </c>
      <c r="CK137" s="188"/>
      <c r="CL137" s="188">
        <f t="shared" si="368"/>
        <v>32.400000000000006</v>
      </c>
      <c r="CM137" s="465">
        <f t="shared" si="369"/>
        <v>20</v>
      </c>
      <c r="CN137" s="379">
        <f t="shared" si="370"/>
        <v>30.4</v>
      </c>
      <c r="CO137" s="379">
        <f t="shared" si="371"/>
        <v>50.4</v>
      </c>
      <c r="CP137" s="379"/>
      <c r="CQ137" s="188">
        <f t="shared" si="372"/>
        <v>0.60317460317460314</v>
      </c>
      <c r="CR137" s="149">
        <f t="shared" si="429"/>
        <v>183.55019291189507</v>
      </c>
      <c r="CS137" s="149">
        <f t="shared" si="373"/>
        <v>32.400000000000006</v>
      </c>
      <c r="CT137" s="188">
        <f t="shared" si="374"/>
        <v>6.1183397637298356</v>
      </c>
      <c r="CU137" s="188">
        <f t="shared" si="375"/>
        <v>30</v>
      </c>
      <c r="CV137" s="188"/>
      <c r="CW137" s="149">
        <f t="shared" si="376"/>
        <v>260.61426358294705</v>
      </c>
      <c r="CX137" s="149">
        <f t="shared" si="377"/>
        <v>30</v>
      </c>
      <c r="CY137" s="188">
        <f t="shared" si="378"/>
        <v>5.3715789473684223</v>
      </c>
      <c r="CZ137" s="188">
        <f t="shared" si="379"/>
        <v>1.2623210526315791</v>
      </c>
      <c r="DA137" s="188">
        <f t="shared" si="380"/>
        <v>0.83047437673130209</v>
      </c>
      <c r="DB137" s="172">
        <f t="shared" si="381"/>
        <v>350</v>
      </c>
      <c r="DC137" s="379">
        <f t="shared" si="382"/>
        <v>350</v>
      </c>
      <c r="DE137" s="188">
        <f t="shared" si="383"/>
        <v>7.3334298258310406</v>
      </c>
      <c r="DF137" s="150">
        <f t="shared" si="384"/>
        <v>1.1337868480725624</v>
      </c>
      <c r="DG137" s="150">
        <f t="shared" si="385"/>
        <v>1.4550456003633017</v>
      </c>
      <c r="DH137" s="150"/>
      <c r="DI137" s="150">
        <f t="shared" si="386"/>
        <v>0.93700159489633172</v>
      </c>
      <c r="DJ137" s="314">
        <f t="shared" si="387"/>
        <v>380.36221276595745</v>
      </c>
      <c r="DK137" s="456">
        <f t="shared" si="388"/>
        <v>0.99378957034459414</v>
      </c>
      <c r="DM137" s="150">
        <f t="shared" si="389"/>
        <v>6.3180159249533023</v>
      </c>
      <c r="DN137" s="150">
        <f t="shared" si="390"/>
        <v>6.3180159249533023</v>
      </c>
      <c r="DO137" s="150">
        <f t="shared" si="391"/>
        <v>1.3906739735905493</v>
      </c>
      <c r="DQ137" s="314">
        <f t="shared" si="392"/>
        <v>1080</v>
      </c>
      <c r="DR137" s="144">
        <f t="shared" si="393"/>
        <v>350</v>
      </c>
      <c r="DT137">
        <f t="shared" si="430"/>
        <v>1080</v>
      </c>
      <c r="DU137">
        <f t="shared" si="431"/>
        <v>350</v>
      </c>
      <c r="DW137" s="5">
        <f t="shared" si="394"/>
        <v>2.8571428571428572</v>
      </c>
      <c r="DX137" s="5">
        <f t="shared" si="395"/>
        <v>1.4847337423640259</v>
      </c>
      <c r="DY137" s="5">
        <f t="shared" si="396"/>
        <v>1.3724091147788313</v>
      </c>
      <c r="DZ137" s="5"/>
      <c r="EA137" s="150">
        <f t="shared" si="397"/>
        <v>0.51965680982740903</v>
      </c>
      <c r="EB137" s="150">
        <f t="shared" si="398"/>
        <v>32.832000000000001</v>
      </c>
      <c r="EC137" s="150">
        <f t="shared" si="399"/>
        <v>1.5174079624766512</v>
      </c>
      <c r="ED137" s="150">
        <f t="shared" si="400"/>
        <v>21.636897137677433</v>
      </c>
      <c r="EE137" s="144">
        <f t="shared" si="401"/>
        <v>5.3450414725104931</v>
      </c>
      <c r="EF137" s="5">
        <f t="shared" si="402"/>
        <v>1.3078251564362984</v>
      </c>
      <c r="EH137" s="150">
        <f t="shared" si="403"/>
        <v>2.629531636673895</v>
      </c>
      <c r="EI137" s="150">
        <f t="shared" si="404"/>
        <v>2.5281096589584382</v>
      </c>
      <c r="EK137" s="456">
        <f t="shared" si="405"/>
        <v>8.2973239539226723E-2</v>
      </c>
      <c r="EL137" s="456">
        <f t="shared" si="406"/>
        <v>2.1175462174073489</v>
      </c>
      <c r="EM137" s="456">
        <f t="shared" si="407"/>
        <v>4.0250000000000001E-2</v>
      </c>
      <c r="EN137" s="456">
        <f t="shared" si="408"/>
        <v>0.46008647999999996</v>
      </c>
      <c r="EO137">
        <f t="shared" si="409"/>
        <v>8.9999999999999993E-3</v>
      </c>
      <c r="EP137" s="144">
        <f t="shared" si="410"/>
        <v>49.25</v>
      </c>
      <c r="EQ137" s="144"/>
      <c r="ER137" s="144">
        <f t="shared" si="432"/>
        <v>2709.8559369465752</v>
      </c>
      <c r="ES137" s="456">
        <f t="shared" si="411"/>
        <v>0.75600000000000001</v>
      </c>
      <c r="EV137" s="144">
        <f t="shared" si="412"/>
        <v>756</v>
      </c>
      <c r="EW137" s="456">
        <f t="shared" si="413"/>
        <v>9.6802112795764506E-2</v>
      </c>
      <c r="EX137" s="456">
        <f t="shared" si="414"/>
        <v>8.9478738268065322E-2</v>
      </c>
      <c r="EY137" s="456">
        <f t="shared" si="415"/>
        <v>11.497195223964477</v>
      </c>
      <c r="EZ137" s="456"/>
      <c r="FA137" s="456">
        <f t="shared" si="416"/>
        <v>1.3971063829787238</v>
      </c>
      <c r="FB137" s="144">
        <f t="shared" si="417"/>
        <v>13080.582458007029</v>
      </c>
      <c r="FC137" s="150">
        <f t="shared" si="418"/>
        <v>16.546438394953604</v>
      </c>
      <c r="FD137" s="5">
        <f t="shared" si="419"/>
        <v>32.400000000000006</v>
      </c>
      <c r="FE137" s="150">
        <f t="shared" si="420"/>
        <v>0.66194806123708594</v>
      </c>
      <c r="FF137" s="5">
        <f t="shared" si="421"/>
        <v>66.194806123708588</v>
      </c>
      <c r="FI137" s="59">
        <f t="shared" si="422"/>
        <v>-50</v>
      </c>
      <c r="FJ137">
        <f t="shared" si="423"/>
        <v>-50</v>
      </c>
      <c r="FL137">
        <f t="shared" si="424"/>
        <v>0.34187948014961128</v>
      </c>
    </row>
    <row r="138" spans="5:168">
      <c r="E138" s="147">
        <v>28</v>
      </c>
      <c r="F138" s="188">
        <f t="shared" si="425"/>
        <v>1.1200000000000001</v>
      </c>
      <c r="G138" s="188"/>
      <c r="H138" s="188">
        <f t="shared" si="315"/>
        <v>33.6</v>
      </c>
      <c r="I138" s="465">
        <f t="shared" si="316"/>
        <v>19.916910711958558</v>
      </c>
      <c r="J138" s="149">
        <f t="shared" si="317"/>
        <v>30.444740385868467</v>
      </c>
      <c r="K138" s="149">
        <f t="shared" si="318"/>
        <v>50.361651097827021</v>
      </c>
      <c r="L138" s="379"/>
      <c r="M138" s="188">
        <f t="shared" si="319"/>
        <v>0.60452461922418688</v>
      </c>
      <c r="N138" s="149">
        <f t="shared" si="426"/>
        <v>183.19675263306334</v>
      </c>
      <c r="O138" s="149">
        <f t="shared" si="438"/>
        <v>33.6</v>
      </c>
      <c r="P138" s="188">
        <f t="shared" si="320"/>
        <v>6.1065584211021111</v>
      </c>
      <c r="Q138" s="188">
        <f t="shared" si="321"/>
        <v>30</v>
      </c>
      <c r="R138" s="188"/>
      <c r="S138" s="149">
        <f t="shared" si="322"/>
        <v>249.5536894133443</v>
      </c>
      <c r="T138" s="149">
        <f t="shared" si="323"/>
        <v>30</v>
      </c>
      <c r="U138" s="188">
        <f t="shared" si="324"/>
        <v>5.6640693931585329</v>
      </c>
      <c r="V138" s="188">
        <f t="shared" si="325"/>
        <v>1.3366092027445393</v>
      </c>
      <c r="W138" s="188">
        <f t="shared" si="326"/>
        <v>0.87440805243988318</v>
      </c>
      <c r="X138" s="172">
        <f t="shared" si="327"/>
        <v>350</v>
      </c>
      <c r="Y138" s="379">
        <f t="shared" si="328"/>
        <v>350</v>
      </c>
      <c r="AA138" s="188">
        <f t="shared" si="329"/>
        <v>7.3192804674310592</v>
      </c>
      <c r="AB138" s="150">
        <f t="shared" si="330"/>
        <v>1.1299363292614482</v>
      </c>
      <c r="AC138" s="150">
        <f t="shared" si="331"/>
        <v>1.4473061582357118</v>
      </c>
      <c r="AD138" s="150"/>
      <c r="AE138" s="150">
        <f t="shared" si="332"/>
        <v>0.93562461442667755</v>
      </c>
      <c r="AF138" s="314">
        <f t="shared" si="333"/>
        <v>395.03022291314954</v>
      </c>
      <c r="AG138" s="456">
        <f t="shared" si="334"/>
        <v>0.99232913651314292</v>
      </c>
      <c r="AI138" s="150">
        <f t="shared" si="335"/>
        <v>6.4386852508474481</v>
      </c>
      <c r="AJ138" s="150">
        <f t="shared" si="336"/>
        <v>6.4386852508474481</v>
      </c>
      <c r="AK138" s="150">
        <f t="shared" si="337"/>
        <v>1.4800586594380649</v>
      </c>
      <c r="AM138" s="314">
        <f t="shared" si="338"/>
        <v>1120</v>
      </c>
      <c r="AN138" s="144">
        <f t="shared" si="339"/>
        <v>350</v>
      </c>
      <c r="AP138" s="144">
        <f t="shared" si="340"/>
        <v>1120</v>
      </c>
      <c r="AQ138" s="144">
        <f t="shared" si="341"/>
        <v>350</v>
      </c>
      <c r="AS138" s="5">
        <f t="shared" si="439"/>
        <v>2.8571428571428572</v>
      </c>
      <c r="AT138" s="5">
        <f t="shared" si="342"/>
        <v>1.5194033410418983</v>
      </c>
      <c r="AU138" s="5">
        <f t="shared" si="343"/>
        <v>1.3377395161009589</v>
      </c>
      <c r="AV138" s="5"/>
      <c r="AW138" s="150">
        <f t="shared" si="344"/>
        <v>0.53179116936466442</v>
      </c>
      <c r="AX138" s="150">
        <f t="shared" si="435"/>
        <v>34.098109232172682</v>
      </c>
      <c r="AY138" s="150">
        <f t="shared" si="436"/>
        <v>1.507324646064133</v>
      </c>
      <c r="AZ138" s="150">
        <f t="shared" si="440"/>
        <v>22.62160930043062</v>
      </c>
      <c r="BA138" s="144">
        <f t="shared" si="433"/>
        <v>5.6724391398897538</v>
      </c>
      <c r="BB138" s="5">
        <f t="shared" si="434"/>
        <v>1.3275165242901559</v>
      </c>
      <c r="BD138" s="150">
        <f t="shared" si="441"/>
        <v>2.7108602463533296</v>
      </c>
      <c r="BE138" s="150">
        <f t="shared" si="437"/>
        <v>2.5436442317866157</v>
      </c>
      <c r="BG138" s="456">
        <f t="shared" si="347"/>
        <v>8.8185159303106012E-2</v>
      </c>
      <c r="BH138" s="456">
        <f t="shared" si="348"/>
        <v>2.0712287635925368</v>
      </c>
      <c r="BI138" s="456">
        <f t="shared" si="349"/>
        <v>4.0250000000000001E-2</v>
      </c>
      <c r="BJ138" s="456">
        <f t="shared" si="350"/>
        <v>0.45938659512282876</v>
      </c>
      <c r="BK138">
        <f t="shared" si="351"/>
        <v>8.9626098203813512E-3</v>
      </c>
      <c r="BL138" s="144">
        <f t="shared" si="427"/>
        <v>49.212609820381353</v>
      </c>
      <c r="BM138" s="456">
        <f t="shared" si="352"/>
        <v>2.6991655708035012</v>
      </c>
      <c r="BN138" s="144">
        <f t="shared" si="353"/>
        <v>2699.1655708035014</v>
      </c>
      <c r="BO138" s="456">
        <f t="shared" si="354"/>
        <v>0.78400000000000003</v>
      </c>
      <c r="BR138" s="144">
        <f t="shared" si="355"/>
        <v>784</v>
      </c>
      <c r="BS138" s="456">
        <f t="shared" si="356"/>
        <v>0.10288268585362369</v>
      </c>
      <c r="BT138" s="456">
        <f t="shared" si="357"/>
        <v>9.0581763690618516E-2</v>
      </c>
      <c r="BU138" s="456">
        <f t="shared" si="358"/>
        <v>12.054053204387333</v>
      </c>
      <c r="BV138" s="456"/>
      <c r="BW138" s="456">
        <f t="shared" si="359"/>
        <v>1.4509833715818163</v>
      </c>
      <c r="BX138" s="144">
        <f t="shared" si="360"/>
        <v>13698.501025513393</v>
      </c>
      <c r="BY138" s="150">
        <f t="shared" si="361"/>
        <v>17.150514153352244</v>
      </c>
      <c r="BZ138" s="5">
        <f t="shared" si="362"/>
        <v>33.6</v>
      </c>
      <c r="CA138" s="150">
        <f t="shared" si="363"/>
        <v>0.66206225809794306</v>
      </c>
      <c r="CB138" s="5">
        <f t="shared" si="364"/>
        <v>66.206225809794304</v>
      </c>
      <c r="CE138" s="59">
        <f t="shared" si="365"/>
        <v>-50</v>
      </c>
      <c r="CF138">
        <f t="shared" si="366"/>
        <v>-50</v>
      </c>
      <c r="CG138" s="150">
        <f t="shared" si="367"/>
        <v>0.35046635596968034</v>
      </c>
      <c r="CI138" s="147">
        <v>28</v>
      </c>
      <c r="CJ138" s="188">
        <f t="shared" si="428"/>
        <v>1.1200000000000001</v>
      </c>
      <c r="CK138" s="188"/>
      <c r="CL138" s="188">
        <f t="shared" si="368"/>
        <v>33.6</v>
      </c>
      <c r="CM138" s="465">
        <f t="shared" si="369"/>
        <v>20</v>
      </c>
      <c r="CN138" s="379">
        <f t="shared" si="370"/>
        <v>30.4</v>
      </c>
      <c r="CO138" s="379">
        <f t="shared" si="371"/>
        <v>50.4</v>
      </c>
      <c r="CP138" s="379"/>
      <c r="CQ138" s="188">
        <f t="shared" si="372"/>
        <v>0.60317460317460314</v>
      </c>
      <c r="CR138" s="149">
        <f t="shared" si="429"/>
        <v>183.55019291189507</v>
      </c>
      <c r="CS138" s="149">
        <f t="shared" si="373"/>
        <v>33.6</v>
      </c>
      <c r="CT138" s="188">
        <f t="shared" si="374"/>
        <v>6.1183397637298356</v>
      </c>
      <c r="CU138" s="188">
        <f t="shared" si="375"/>
        <v>30</v>
      </c>
      <c r="CV138" s="188"/>
      <c r="CW138" s="149">
        <f t="shared" si="376"/>
        <v>250.59464375289281</v>
      </c>
      <c r="CX138" s="149">
        <f t="shared" si="377"/>
        <v>30</v>
      </c>
      <c r="CY138" s="188">
        <f t="shared" si="378"/>
        <v>5.5705263157894738</v>
      </c>
      <c r="CZ138" s="188">
        <f t="shared" si="379"/>
        <v>1.3090736842105264</v>
      </c>
      <c r="DA138" s="188">
        <f t="shared" si="380"/>
        <v>0.86123268698060951</v>
      </c>
      <c r="DB138" s="172">
        <f t="shared" si="381"/>
        <v>350</v>
      </c>
      <c r="DC138" s="379">
        <f t="shared" si="382"/>
        <v>350</v>
      </c>
      <c r="DE138" s="188">
        <f t="shared" si="383"/>
        <v>7.3334298258310406</v>
      </c>
      <c r="DF138" s="150">
        <f t="shared" si="384"/>
        <v>1.1337868480725624</v>
      </c>
      <c r="DG138" s="150">
        <f t="shared" si="385"/>
        <v>1.4550456003633017</v>
      </c>
      <c r="DH138" s="150"/>
      <c r="DI138" s="150">
        <f t="shared" si="386"/>
        <v>0.93700159489633172</v>
      </c>
      <c r="DJ138" s="314">
        <f t="shared" si="387"/>
        <v>394.44970212765963</v>
      </c>
      <c r="DK138" s="456">
        <f t="shared" si="388"/>
        <v>0.99378957034459414</v>
      </c>
      <c r="DM138" s="150">
        <f t="shared" si="389"/>
        <v>6.4339524928966538</v>
      </c>
      <c r="DN138" s="150">
        <f t="shared" si="390"/>
        <v>6.4339524928966538</v>
      </c>
      <c r="DO138" s="150">
        <f t="shared" si="391"/>
        <v>1.476552912807847</v>
      </c>
      <c r="DQ138" s="314">
        <f t="shared" si="392"/>
        <v>1120</v>
      </c>
      <c r="DR138" s="144">
        <f t="shared" si="393"/>
        <v>350</v>
      </c>
      <c r="DT138">
        <f t="shared" si="430"/>
        <v>1120</v>
      </c>
      <c r="DU138">
        <f t="shared" si="431"/>
        <v>350</v>
      </c>
      <c r="DW138" s="5">
        <f t="shared" si="394"/>
        <v>2.8571428571428572</v>
      </c>
      <c r="DX138" s="5">
        <f t="shared" si="395"/>
        <v>1.5119788358307136</v>
      </c>
      <c r="DY138" s="5">
        <f t="shared" si="396"/>
        <v>1.3451640213121436</v>
      </c>
      <c r="DZ138" s="5"/>
      <c r="EA138" s="150">
        <f t="shared" si="397"/>
        <v>0.52919259254074968</v>
      </c>
      <c r="EB138" s="150">
        <f t="shared" si="398"/>
        <v>34.048000000000002</v>
      </c>
      <c r="EC138" s="150">
        <f t="shared" si="399"/>
        <v>1.514576246448327</v>
      </c>
      <c r="ED138" s="150">
        <f t="shared" si="400"/>
        <v>22.480215228412817</v>
      </c>
      <c r="EE138" s="144">
        <f t="shared" si="401"/>
        <v>5.6447209871013309</v>
      </c>
      <c r="EF138" s="5">
        <f t="shared" si="402"/>
        <v>1.3293385622378833</v>
      </c>
      <c r="EH138" s="150">
        <f t="shared" si="403"/>
        <v>2.7022411345532262</v>
      </c>
      <c r="EI138" s="150">
        <f t="shared" si="404"/>
        <v>2.5488182381276583</v>
      </c>
      <c r="EK138" s="456">
        <f t="shared" si="405"/>
        <v>8.7625285791258098E-2</v>
      </c>
      <c r="EL138" s="456">
        <f t="shared" si="406"/>
        <v>2.1564035175192426</v>
      </c>
      <c r="EM138" s="456">
        <f t="shared" si="407"/>
        <v>4.0250000000000001E-2</v>
      </c>
      <c r="EN138" s="456">
        <f t="shared" si="408"/>
        <v>0.46008647999999996</v>
      </c>
      <c r="EO138">
        <f t="shared" si="409"/>
        <v>8.9999999999999993E-3</v>
      </c>
      <c r="EP138" s="144">
        <f t="shared" si="410"/>
        <v>49.25</v>
      </c>
      <c r="EQ138" s="144"/>
      <c r="ER138" s="144">
        <f t="shared" si="432"/>
        <v>2753.3652833105007</v>
      </c>
      <c r="ES138" s="456">
        <f t="shared" si="411"/>
        <v>0.78400000000000003</v>
      </c>
      <c r="EV138" s="144">
        <f t="shared" si="412"/>
        <v>784</v>
      </c>
      <c r="EW138" s="456">
        <f t="shared" si="413"/>
        <v>0.10222950008980111</v>
      </c>
      <c r="EX138" s="456">
        <f t="shared" si="414"/>
        <v>9.0950641754170516E-2</v>
      </c>
      <c r="EY138" s="456">
        <f t="shared" si="415"/>
        <v>12.031914573826795</v>
      </c>
      <c r="EZ138" s="456"/>
      <c r="FA138" s="456">
        <f t="shared" si="416"/>
        <v>1.4488510638297873</v>
      </c>
      <c r="FB138" s="144">
        <f t="shared" si="417"/>
        <v>13673.945779500553</v>
      </c>
      <c r="FC138" s="150">
        <f t="shared" si="418"/>
        <v>17.211311062811056</v>
      </c>
      <c r="FD138" s="5">
        <f t="shared" si="419"/>
        <v>33.6</v>
      </c>
      <c r="FE138" s="150">
        <f t="shared" si="420"/>
        <v>0.66127008528602871</v>
      </c>
      <c r="FF138" s="5">
        <f t="shared" si="421"/>
        <v>66.127008528602872</v>
      </c>
      <c r="FI138" s="59">
        <f t="shared" si="422"/>
        <v>-50</v>
      </c>
      <c r="FJ138">
        <f t="shared" si="423"/>
        <v>-50</v>
      </c>
      <c r="FL138">
        <f t="shared" si="424"/>
        <v>0.348153021408388</v>
      </c>
    </row>
    <row r="139" spans="5:168">
      <c r="E139" s="147">
        <v>29</v>
      </c>
      <c r="F139" s="188">
        <f t="shared" si="425"/>
        <v>1.1599999999999999</v>
      </c>
      <c r="G139" s="188"/>
      <c r="H139" s="188">
        <f t="shared" si="315"/>
        <v>34.799999999999997</v>
      </c>
      <c r="I139" s="465">
        <f t="shared" si="316"/>
        <v>19.915439990913089</v>
      </c>
      <c r="J139" s="149">
        <f t="shared" si="317"/>
        <v>30.445532312585257</v>
      </c>
      <c r="K139" s="149">
        <f t="shared" si="318"/>
        <v>50.360972303498343</v>
      </c>
      <c r="L139" s="379"/>
      <c r="M139" s="188">
        <f t="shared" si="319"/>
        <v>0.60454853354340543</v>
      </c>
      <c r="N139" s="149">
        <f t="shared" si="426"/>
        <v>183.1904713903831</v>
      </c>
      <c r="O139" s="149">
        <f t="shared" si="438"/>
        <v>34.799999999999997</v>
      </c>
      <c r="P139" s="188">
        <f t="shared" si="320"/>
        <v>6.1063490463461028</v>
      </c>
      <c r="Q139" s="188">
        <f t="shared" si="321"/>
        <v>30</v>
      </c>
      <c r="R139" s="188"/>
      <c r="S139" s="149">
        <f t="shared" si="322"/>
        <v>240.24618980699896</v>
      </c>
      <c r="T139" s="149">
        <f t="shared" si="323"/>
        <v>30</v>
      </c>
      <c r="U139" s="188">
        <f t="shared" si="324"/>
        <v>5.8667123447237186</v>
      </c>
      <c r="V139" s="188">
        <f t="shared" si="325"/>
        <v>1.3845311995508303</v>
      </c>
      <c r="W139" s="188">
        <f t="shared" si="326"/>
        <v>0.90566812027140708</v>
      </c>
      <c r="X139" s="172">
        <f t="shared" si="327"/>
        <v>350</v>
      </c>
      <c r="Y139" s="379">
        <f t="shared" si="328"/>
        <v>350</v>
      </c>
      <c r="AA139" s="188">
        <f t="shared" si="329"/>
        <v>7.3190290144441423</v>
      </c>
      <c r="AB139" s="150">
        <f t="shared" si="330"/>
        <v>1.1298681203766567</v>
      </c>
      <c r="AC139" s="150">
        <f t="shared" si="331"/>
        <v>1.4471690722181381</v>
      </c>
      <c r="AD139" s="150"/>
      <c r="AE139" s="150">
        <f t="shared" si="332"/>
        <v>0.93560027764972642</v>
      </c>
      <c r="AF139" s="314">
        <f t="shared" si="333"/>
        <v>409.14908764415105</v>
      </c>
      <c r="AG139" s="456">
        <f t="shared" si="334"/>
        <v>0.99230332478001293</v>
      </c>
      <c r="AI139" s="150">
        <f t="shared" si="335"/>
        <v>6.5527383526319261</v>
      </c>
      <c r="AJ139" s="150">
        <f t="shared" si="336"/>
        <v>6.5527383526319261</v>
      </c>
      <c r="AK139" s="150">
        <f t="shared" si="337"/>
        <v>1.564542438537678</v>
      </c>
      <c r="AM139" s="314">
        <f t="shared" si="338"/>
        <v>1160</v>
      </c>
      <c r="AN139" s="144">
        <f t="shared" si="339"/>
        <v>350</v>
      </c>
      <c r="AP139" s="144">
        <f t="shared" si="340"/>
        <v>1160</v>
      </c>
      <c r="AQ139" s="144">
        <f t="shared" si="341"/>
        <v>350</v>
      </c>
      <c r="AS139" s="5">
        <f t="shared" si="439"/>
        <v>2.8571428571428572</v>
      </c>
      <c r="AT139" s="5">
        <f t="shared" si="342"/>
        <v>1.5464318273370981</v>
      </c>
      <c r="AU139" s="5">
        <f t="shared" si="343"/>
        <v>1.3107110298057592</v>
      </c>
      <c r="AV139" s="5"/>
      <c r="AW139" s="150">
        <f t="shared" si="344"/>
        <v>0.54125113956798432</v>
      </c>
      <c r="AX139" s="150">
        <f t="shared" si="435"/>
        <v>35.3168174825989</v>
      </c>
      <c r="AY139" s="150">
        <f t="shared" si="436"/>
        <v>1.5030306259895299</v>
      </c>
      <c r="AZ139" s="150">
        <f t="shared" si="440"/>
        <v>23.497071098832631</v>
      </c>
      <c r="BA139" s="144">
        <f t="shared" si="433"/>
        <v>5.9795363990367782</v>
      </c>
      <c r="BB139" s="5">
        <f t="shared" si="434"/>
        <v>1.3472474521704931</v>
      </c>
      <c r="BD139" s="150">
        <f t="shared" si="441"/>
        <v>2.7833102032082495</v>
      </c>
      <c r="BE139" s="150">
        <f t="shared" si="437"/>
        <v>2.562416363266252</v>
      </c>
      <c r="BG139" s="456">
        <f t="shared" si="347"/>
        <v>9.2961788247397772E-2</v>
      </c>
      <c r="BH139" s="456">
        <f t="shared" si="348"/>
        <v>2.107889529575782</v>
      </c>
      <c r="BI139" s="456">
        <f t="shared" si="349"/>
        <v>4.0250000000000001E-2</v>
      </c>
      <c r="BJ139" s="456">
        <f t="shared" si="350"/>
        <v>0.45937421161644387</v>
      </c>
      <c r="BK139">
        <f t="shared" si="351"/>
        <v>8.9619479959108898E-3</v>
      </c>
      <c r="BL139" s="144">
        <f t="shared" si="427"/>
        <v>49.21194799591089</v>
      </c>
      <c r="BM139" s="456">
        <f t="shared" si="352"/>
        <v>2.7459775990375133</v>
      </c>
      <c r="BN139" s="144">
        <f t="shared" si="353"/>
        <v>2745.9775990375133</v>
      </c>
      <c r="BO139" s="456">
        <f t="shared" si="354"/>
        <v>0.81199999999999994</v>
      </c>
      <c r="BR139" s="144">
        <f t="shared" si="355"/>
        <v>812</v>
      </c>
      <c r="BS139" s="456">
        <f t="shared" si="356"/>
        <v>0.10845541962196406</v>
      </c>
      <c r="BT139" s="456">
        <f t="shared" si="357"/>
        <v>9.1923686662285037E-2</v>
      </c>
      <c r="BU139" s="456">
        <f t="shared" si="358"/>
        <v>12.594971325596173</v>
      </c>
      <c r="BV139" s="456"/>
      <c r="BW139" s="456">
        <f t="shared" si="359"/>
        <v>1.5028432971318681</v>
      </c>
      <c r="BX139" s="144">
        <f t="shared" si="360"/>
        <v>14298.19372901229</v>
      </c>
      <c r="BY139" s="150">
        <f t="shared" si="361"/>
        <v>17.819631206447824</v>
      </c>
      <c r="BZ139" s="5">
        <f t="shared" si="362"/>
        <v>34.799999999999997</v>
      </c>
      <c r="CA139" s="150">
        <f t="shared" si="363"/>
        <v>0.66135013116047325</v>
      </c>
      <c r="CB139" s="5">
        <f t="shared" si="364"/>
        <v>66.135013116047332</v>
      </c>
      <c r="CE139" s="59">
        <f t="shared" si="365"/>
        <v>-50</v>
      </c>
      <c r="CF139">
        <f t="shared" si="366"/>
        <v>-50</v>
      </c>
      <c r="CG139" s="150">
        <f t="shared" si="367"/>
        <v>0.35666978191785931</v>
      </c>
      <c r="CI139" s="147">
        <v>29</v>
      </c>
      <c r="CJ139" s="188">
        <f t="shared" si="428"/>
        <v>1.1599999999999999</v>
      </c>
      <c r="CK139" s="188"/>
      <c r="CL139" s="188">
        <f t="shared" si="368"/>
        <v>34.799999999999997</v>
      </c>
      <c r="CM139" s="465">
        <f t="shared" si="369"/>
        <v>20</v>
      </c>
      <c r="CN139" s="379">
        <f t="shared" si="370"/>
        <v>30.4</v>
      </c>
      <c r="CO139" s="379">
        <f t="shared" si="371"/>
        <v>50.4</v>
      </c>
      <c r="CP139" s="379"/>
      <c r="CQ139" s="188">
        <f t="shared" si="372"/>
        <v>0.60317460317460314</v>
      </c>
      <c r="CR139" s="149">
        <f t="shared" si="429"/>
        <v>183.55019291189507</v>
      </c>
      <c r="CS139" s="149">
        <f t="shared" si="373"/>
        <v>34.799999999999997</v>
      </c>
      <c r="CT139" s="188">
        <f t="shared" si="374"/>
        <v>6.1183397637298356</v>
      </c>
      <c r="CU139" s="188">
        <f t="shared" si="375"/>
        <v>30</v>
      </c>
      <c r="CV139" s="188"/>
      <c r="CW139" s="149">
        <f t="shared" si="376"/>
        <v>241.26612337640535</v>
      </c>
      <c r="CX139" s="149">
        <f t="shared" si="377"/>
        <v>30</v>
      </c>
      <c r="CY139" s="188">
        <f t="shared" si="378"/>
        <v>5.7694736842105261</v>
      </c>
      <c r="CZ139" s="188">
        <f t="shared" si="379"/>
        <v>1.3558263157894737</v>
      </c>
      <c r="DA139" s="188">
        <f t="shared" si="380"/>
        <v>0.89199099722991693</v>
      </c>
      <c r="DB139" s="172">
        <f t="shared" si="381"/>
        <v>350</v>
      </c>
      <c r="DC139" s="379">
        <f t="shared" si="382"/>
        <v>350</v>
      </c>
      <c r="DE139" s="188">
        <f t="shared" si="383"/>
        <v>7.3334298258310406</v>
      </c>
      <c r="DF139" s="150">
        <f t="shared" si="384"/>
        <v>1.1337868480725624</v>
      </c>
      <c r="DG139" s="150">
        <f t="shared" si="385"/>
        <v>1.4550456003633017</v>
      </c>
      <c r="DH139" s="150"/>
      <c r="DI139" s="150">
        <f t="shared" si="386"/>
        <v>0.93700159489633172</v>
      </c>
      <c r="DJ139" s="314">
        <f t="shared" si="387"/>
        <v>408.5371914893617</v>
      </c>
      <c r="DK139" s="456">
        <f t="shared" si="388"/>
        <v>0.99378957034459414</v>
      </c>
      <c r="DM139" s="150">
        <f t="shared" si="389"/>
        <v>6.5478365994989973</v>
      </c>
      <c r="DN139" s="150">
        <f t="shared" si="390"/>
        <v>6.5478365994989973</v>
      </c>
      <c r="DO139" s="150">
        <f t="shared" si="391"/>
        <v>1.5609115102910642</v>
      </c>
      <c r="DQ139" s="314">
        <f t="shared" si="392"/>
        <v>1160</v>
      </c>
      <c r="DR139" s="144">
        <f t="shared" si="393"/>
        <v>350</v>
      </c>
      <c r="DT139">
        <f t="shared" si="430"/>
        <v>1160</v>
      </c>
      <c r="DU139">
        <f t="shared" si="431"/>
        <v>350</v>
      </c>
      <c r="DW139" s="5">
        <f t="shared" si="394"/>
        <v>2.8571428571428572</v>
      </c>
      <c r="DX139" s="5">
        <f t="shared" si="395"/>
        <v>1.5387416008822643</v>
      </c>
      <c r="DY139" s="5">
        <f t="shared" si="396"/>
        <v>1.3184012562605929</v>
      </c>
      <c r="DZ139" s="5"/>
      <c r="EA139" s="150">
        <f t="shared" si="397"/>
        <v>0.53855956030879248</v>
      </c>
      <c r="EB139" s="150">
        <f t="shared" si="398"/>
        <v>35.263999999999996</v>
      </c>
      <c r="EC139" s="150">
        <f t="shared" si="399"/>
        <v>1.5107182997494992</v>
      </c>
      <c r="ED139" s="150">
        <f t="shared" si="400"/>
        <v>23.342538450647826</v>
      </c>
      <c r="EE139" s="144">
        <f t="shared" si="401"/>
        <v>5.9498008567447549</v>
      </c>
      <c r="EF139" s="5">
        <f t="shared" si="402"/>
        <v>1.3494224622902535</v>
      </c>
      <c r="EH139" s="150">
        <f t="shared" si="403"/>
        <v>2.7743041760937257</v>
      </c>
      <c r="EI139" s="150">
        <f t="shared" si="404"/>
        <v>2.5680000745888707</v>
      </c>
      <c r="EK139" s="456">
        <f t="shared" si="405"/>
        <v>9.2361163937893037E-2</v>
      </c>
      <c r="EL139" s="456">
        <f t="shared" si="406"/>
        <v>2.1945729146880839</v>
      </c>
      <c r="EM139" s="456">
        <f t="shared" si="407"/>
        <v>4.0250000000000001E-2</v>
      </c>
      <c r="EN139" s="456">
        <f t="shared" si="408"/>
        <v>0.46008647999999996</v>
      </c>
      <c r="EO139">
        <f t="shared" si="409"/>
        <v>8.9999999999999993E-3</v>
      </c>
      <c r="EP139" s="144">
        <f t="shared" si="410"/>
        <v>49.25</v>
      </c>
      <c r="EQ139" s="144"/>
      <c r="ER139" s="144">
        <f t="shared" si="432"/>
        <v>2796.2705586259767</v>
      </c>
      <c r="ES139" s="456">
        <f t="shared" si="411"/>
        <v>0.81199999999999994</v>
      </c>
      <c r="EV139" s="144">
        <f t="shared" si="412"/>
        <v>812</v>
      </c>
      <c r="EW139" s="456">
        <f t="shared" si="413"/>
        <v>0.10775469126087521</v>
      </c>
      <c r="EX139" s="456">
        <f t="shared" si="414"/>
        <v>9.2324741363238247E-2</v>
      </c>
      <c r="EY139" s="456">
        <f t="shared" si="415"/>
        <v>12.571430477368073</v>
      </c>
      <c r="EZ139" s="456"/>
      <c r="FA139" s="456">
        <f t="shared" si="416"/>
        <v>1.5005957446808511</v>
      </c>
      <c r="FB139" s="144">
        <f t="shared" si="417"/>
        <v>14272.105654673038</v>
      </c>
      <c r="FC139" s="150">
        <f t="shared" si="418"/>
        <v>17.880376213299016</v>
      </c>
      <c r="FD139" s="5">
        <f t="shared" si="419"/>
        <v>34.799999999999997</v>
      </c>
      <c r="FE139" s="150">
        <f t="shared" si="420"/>
        <v>0.66058753755093413</v>
      </c>
      <c r="FF139" s="5">
        <f t="shared" si="421"/>
        <v>66.05875375509342</v>
      </c>
      <c r="FI139" s="59">
        <f t="shared" si="422"/>
        <v>-50</v>
      </c>
      <c r="FJ139">
        <f t="shared" si="423"/>
        <v>-50</v>
      </c>
      <c r="FL139">
        <f t="shared" si="424"/>
        <v>0.354315500203153</v>
      </c>
    </row>
    <row r="140" spans="5:168">
      <c r="E140" s="147">
        <v>30</v>
      </c>
      <c r="F140" s="188">
        <f t="shared" si="425"/>
        <v>1.2</v>
      </c>
      <c r="G140" s="188"/>
      <c r="H140" s="188">
        <f t="shared" si="315"/>
        <v>36</v>
      </c>
      <c r="I140" s="465">
        <f t="shared" si="316"/>
        <v>19.913994415958484</v>
      </c>
      <c r="J140" s="149">
        <f t="shared" si="317"/>
        <v>30.446310699099275</v>
      </c>
      <c r="K140" s="149">
        <f t="shared" si="318"/>
        <v>50.360305115057756</v>
      </c>
      <c r="L140" s="379"/>
      <c r="M140" s="188">
        <f t="shared" si="319"/>
        <v>0.60457203960379025</v>
      </c>
      <c r="N140" s="149">
        <f t="shared" si="426"/>
        <v>183.1842966890018</v>
      </c>
      <c r="O140" s="149">
        <f t="shared" si="438"/>
        <v>36</v>
      </c>
      <c r="P140" s="188">
        <f t="shared" si="320"/>
        <v>6.1061432229667263</v>
      </c>
      <c r="Q140" s="188">
        <f t="shared" si="321"/>
        <v>30</v>
      </c>
      <c r="R140" s="188"/>
      <c r="S140" s="149">
        <f t="shared" si="322"/>
        <v>231.55966946068389</v>
      </c>
      <c r="T140" s="149">
        <f t="shared" si="323"/>
        <v>30</v>
      </c>
      <c r="U140" s="188">
        <f t="shared" si="324"/>
        <v>6.0693735404933289</v>
      </c>
      <c r="V140" s="188">
        <f t="shared" si="325"/>
        <v>1.4324627718816025</v>
      </c>
      <c r="W140" s="188">
        <f t="shared" si="326"/>
        <v>0.93692979495090556</v>
      </c>
      <c r="X140" s="172">
        <f t="shared" si="327"/>
        <v>350</v>
      </c>
      <c r="Y140" s="379">
        <f t="shared" si="328"/>
        <v>350</v>
      </c>
      <c r="AA140" s="188">
        <f t="shared" si="329"/>
        <v>7.3187818267424332</v>
      </c>
      <c r="AB140" s="150">
        <f t="shared" si="330"/>
        <v>1.1298010759217234</v>
      </c>
      <c r="AC140" s="150">
        <f t="shared" si="331"/>
        <v>1.4470343269007426</v>
      </c>
      <c r="AD140" s="150"/>
      <c r="AE140" s="150">
        <f t="shared" si="332"/>
        <v>0.93557635821180729</v>
      </c>
      <c r="AF140" s="314">
        <f t="shared" si="333"/>
        <v>423.26849810194614</v>
      </c>
      <c r="AG140" s="456">
        <f t="shared" si="334"/>
        <v>0.99227795567918942</v>
      </c>
      <c r="AI140" s="150">
        <f t="shared" si="335"/>
        <v>6.6648442853700596</v>
      </c>
      <c r="AJ140" s="150">
        <f t="shared" si="336"/>
        <v>6.6648442853700596</v>
      </c>
      <c r="AK140" s="150">
        <f t="shared" si="337"/>
        <v>1.6475838701955547</v>
      </c>
      <c r="AM140" s="314">
        <f t="shared" si="338"/>
        <v>1200</v>
      </c>
      <c r="AN140" s="144">
        <f t="shared" si="339"/>
        <v>350</v>
      </c>
      <c r="AP140" s="144">
        <f t="shared" si="340"/>
        <v>1200</v>
      </c>
      <c r="AQ140" s="144">
        <f t="shared" si="341"/>
        <v>350</v>
      </c>
      <c r="AS140" s="5">
        <f t="shared" si="439"/>
        <v>2.8571428571428572</v>
      </c>
      <c r="AT140" s="5">
        <f t="shared" si="342"/>
        <v>1.5730027581074615</v>
      </c>
      <c r="AU140" s="5">
        <f t="shared" si="343"/>
        <v>1.2841400990353957</v>
      </c>
      <c r="AV140" s="5"/>
      <c r="AW140" s="150">
        <f t="shared" si="344"/>
        <v>0.5505509653376115</v>
      </c>
      <c r="AX140" s="150">
        <f t="shared" si="435"/>
        <v>36.535572838919123</v>
      </c>
      <c r="AY140" s="150">
        <f t="shared" si="436"/>
        <v>1.4977539151173549</v>
      </c>
      <c r="AZ140" s="150">
        <f t="shared" si="440"/>
        <v>24.393575253019062</v>
      </c>
      <c r="BA140" s="144">
        <f t="shared" si="433"/>
        <v>6.2920110324298451</v>
      </c>
      <c r="BB140" s="5">
        <f t="shared" si="434"/>
        <v>1.3655499981763832</v>
      </c>
      <c r="BD140" s="150">
        <f t="shared" si="441"/>
        <v>2.8551448360289808</v>
      </c>
      <c r="BE140" s="150">
        <f t="shared" si="437"/>
        <v>2.5797023887857735</v>
      </c>
      <c r="BG140" s="456">
        <f t="shared" si="347"/>
        <v>9.7822224416435469E-2</v>
      </c>
      <c r="BH140" s="456">
        <f t="shared" si="348"/>
        <v>2.1439234423388007</v>
      </c>
      <c r="BI140" s="456">
        <f t="shared" si="349"/>
        <v>4.0250000000000001E-2</v>
      </c>
      <c r="BJ140" s="456">
        <f t="shared" si="350"/>
        <v>0.45936204000340014</v>
      </c>
      <c r="BK140">
        <f t="shared" si="351"/>
        <v>8.9612974871813179E-3</v>
      </c>
      <c r="BL140" s="144">
        <f t="shared" si="427"/>
        <v>49.211297487181319</v>
      </c>
      <c r="BM140" s="456">
        <f t="shared" si="352"/>
        <v>2.792422762407512</v>
      </c>
      <c r="BN140" s="144">
        <f t="shared" si="353"/>
        <v>2792.422762407512</v>
      </c>
      <c r="BO140" s="456">
        <f t="shared" si="354"/>
        <v>0.84</v>
      </c>
      <c r="BR140" s="144">
        <f t="shared" si="355"/>
        <v>840</v>
      </c>
      <c r="BS140" s="456">
        <f t="shared" si="356"/>
        <v>0.11412592848584137</v>
      </c>
      <c r="BT140" s="456">
        <f t="shared" si="357"/>
        <v>9.3168101805898365E-2</v>
      </c>
      <c r="BU140" s="456">
        <f t="shared" si="358"/>
        <v>13.140598112776054</v>
      </c>
      <c r="BV140" s="456"/>
      <c r="BW140" s="456">
        <f t="shared" si="359"/>
        <v>1.5547052271880482</v>
      </c>
      <c r="BX140" s="144">
        <f t="shared" si="360"/>
        <v>14902.597370255842</v>
      </c>
      <c r="BY140" s="150">
        <f t="shared" si="361"/>
        <v>18.492916374501661</v>
      </c>
      <c r="BZ140" s="5">
        <f t="shared" si="362"/>
        <v>36</v>
      </c>
      <c r="CA140" s="150">
        <f t="shared" si="363"/>
        <v>0.66063632477642775</v>
      </c>
      <c r="CB140" s="5">
        <f t="shared" si="364"/>
        <v>66.06363247764277</v>
      </c>
      <c r="CE140" s="59">
        <f t="shared" si="365"/>
        <v>-50</v>
      </c>
      <c r="CF140">
        <f t="shared" si="366"/>
        <v>-50</v>
      </c>
      <c r="CG140" s="150">
        <f t="shared" si="367"/>
        <v>0.36276714294434104</v>
      </c>
      <c r="CI140" s="147">
        <v>30</v>
      </c>
      <c r="CJ140" s="188">
        <f t="shared" si="428"/>
        <v>1.2</v>
      </c>
      <c r="CK140" s="188"/>
      <c r="CL140" s="188">
        <f t="shared" si="368"/>
        <v>36</v>
      </c>
      <c r="CM140" s="465">
        <f t="shared" si="369"/>
        <v>20</v>
      </c>
      <c r="CN140" s="379">
        <f t="shared" si="370"/>
        <v>30.4</v>
      </c>
      <c r="CO140" s="379">
        <f t="shared" si="371"/>
        <v>50.4</v>
      </c>
      <c r="CP140" s="379"/>
      <c r="CQ140" s="188">
        <f t="shared" si="372"/>
        <v>0.60317460317460314</v>
      </c>
      <c r="CR140" s="149">
        <f t="shared" si="429"/>
        <v>183.55019291189507</v>
      </c>
      <c r="CS140" s="149">
        <f t="shared" si="373"/>
        <v>36</v>
      </c>
      <c r="CT140" s="188">
        <f t="shared" si="374"/>
        <v>6.1183397637298356</v>
      </c>
      <c r="CU140" s="188">
        <f t="shared" si="375"/>
        <v>30</v>
      </c>
      <c r="CV140" s="188"/>
      <c r="CW140" s="149">
        <f t="shared" si="376"/>
        <v>232.55959324455318</v>
      </c>
      <c r="CX140" s="149">
        <f t="shared" si="377"/>
        <v>30</v>
      </c>
      <c r="CY140" s="188">
        <f t="shared" si="378"/>
        <v>5.9684210526315793</v>
      </c>
      <c r="CZ140" s="188">
        <f t="shared" si="379"/>
        <v>1.4025789473684211</v>
      </c>
      <c r="DA140" s="188">
        <f t="shared" si="380"/>
        <v>0.92274930747922446</v>
      </c>
      <c r="DB140" s="172">
        <f t="shared" si="381"/>
        <v>350</v>
      </c>
      <c r="DC140" s="379">
        <f t="shared" si="382"/>
        <v>350</v>
      </c>
      <c r="DE140" s="188">
        <f t="shared" si="383"/>
        <v>7.3334298258310406</v>
      </c>
      <c r="DF140" s="150">
        <f t="shared" si="384"/>
        <v>1.1337868480725624</v>
      </c>
      <c r="DG140" s="150">
        <f t="shared" si="385"/>
        <v>1.4550456003633017</v>
      </c>
      <c r="DH140" s="150"/>
      <c r="DI140" s="150">
        <f t="shared" si="386"/>
        <v>0.93700159489633172</v>
      </c>
      <c r="DJ140" s="314">
        <f t="shared" si="387"/>
        <v>422.62468085106383</v>
      </c>
      <c r="DK140" s="456">
        <f t="shared" si="388"/>
        <v>0.99378957034459414</v>
      </c>
      <c r="DM140" s="150">
        <f t="shared" si="389"/>
        <v>6.6597735386892953</v>
      </c>
      <c r="DN140" s="150">
        <f t="shared" si="390"/>
        <v>6.6597735386892953</v>
      </c>
      <c r="DO140" s="150">
        <f t="shared" si="391"/>
        <v>1.6438277615431369</v>
      </c>
      <c r="DQ140" s="314">
        <f t="shared" si="392"/>
        <v>1200</v>
      </c>
      <c r="DR140" s="144">
        <f t="shared" si="393"/>
        <v>350</v>
      </c>
      <c r="DT140">
        <f t="shared" si="430"/>
        <v>1200</v>
      </c>
      <c r="DU140">
        <f t="shared" si="431"/>
        <v>350</v>
      </c>
      <c r="DW140" s="5">
        <f t="shared" si="394"/>
        <v>2.8571428571428572</v>
      </c>
      <c r="DX140" s="5">
        <f t="shared" si="395"/>
        <v>1.5650467815919844</v>
      </c>
      <c r="DY140" s="5">
        <f t="shared" si="396"/>
        <v>1.2920960755508728</v>
      </c>
      <c r="DZ140" s="5"/>
      <c r="EA140" s="150">
        <f t="shared" si="397"/>
        <v>0.54776637355719449</v>
      </c>
      <c r="EB140" s="150">
        <f t="shared" si="398"/>
        <v>36.479999999999997</v>
      </c>
      <c r="EC140" s="150">
        <f t="shared" si="399"/>
        <v>1.5058867693446478</v>
      </c>
      <c r="ED140" s="150">
        <f t="shared" si="400"/>
        <v>24.224928953905252</v>
      </c>
      <c r="EE140" s="144">
        <f t="shared" si="401"/>
        <v>6.2601871263679376</v>
      </c>
      <c r="EF140" s="5">
        <f t="shared" si="402"/>
        <v>1.3681017270538651</v>
      </c>
      <c r="EH140" s="150">
        <f t="shared" si="403"/>
        <v>2.8457485171824621</v>
      </c>
      <c r="EI140" s="150">
        <f t="shared" si="404"/>
        <v>2.5857126495086797</v>
      </c>
      <c r="EK140" s="456">
        <f t="shared" si="405"/>
        <v>9.7179415476554176E-2</v>
      </c>
      <c r="EL140" s="456">
        <f t="shared" si="406"/>
        <v>2.2320896992271044</v>
      </c>
      <c r="EM140" s="456">
        <f t="shared" si="407"/>
        <v>4.0250000000000001E-2</v>
      </c>
      <c r="EN140" s="456">
        <f t="shared" si="408"/>
        <v>0.46008647999999996</v>
      </c>
      <c r="EO140">
        <f t="shared" si="409"/>
        <v>8.9999999999999993E-3</v>
      </c>
      <c r="EP140" s="144">
        <f t="shared" si="410"/>
        <v>49.25</v>
      </c>
      <c r="EQ140" s="144"/>
      <c r="ER140" s="144">
        <f t="shared" si="432"/>
        <v>2838.6055947036584</v>
      </c>
      <c r="ES140" s="456">
        <f t="shared" si="411"/>
        <v>0.84</v>
      </c>
      <c r="EV140" s="144">
        <f t="shared" si="412"/>
        <v>840</v>
      </c>
      <c r="EW140" s="456">
        <f t="shared" si="413"/>
        <v>0.11337598472264654</v>
      </c>
      <c r="EX140" s="456">
        <f t="shared" si="414"/>
        <v>9.3602738681608746E-2</v>
      </c>
      <c r="EY140" s="456">
        <f t="shared" si="415"/>
        <v>13.115618299051695</v>
      </c>
      <c r="EZ140" s="456"/>
      <c r="FA140" s="456">
        <f t="shared" si="416"/>
        <v>1.5523404255319149</v>
      </c>
      <c r="FB140" s="144">
        <f t="shared" si="417"/>
        <v>14874.937447987864</v>
      </c>
      <c r="FC140" s="150">
        <f t="shared" si="418"/>
        <v>18.553543042691526</v>
      </c>
      <c r="FD140" s="5">
        <f t="shared" si="419"/>
        <v>36</v>
      </c>
      <c r="FE140" s="150">
        <f t="shared" si="420"/>
        <v>0.65990214369445754</v>
      </c>
      <c r="FF140" s="5">
        <f t="shared" si="421"/>
        <v>65.990214369445752</v>
      </c>
      <c r="FI140" s="59">
        <f t="shared" si="422"/>
        <v>-50</v>
      </c>
      <c r="FJ140">
        <f t="shared" si="423"/>
        <v>-50</v>
      </c>
      <c r="FL140">
        <f t="shared" si="424"/>
        <v>0.36037261418236483</v>
      </c>
    </row>
    <row r="141" spans="5:168">
      <c r="E141" s="147">
        <v>31</v>
      </c>
      <c r="F141" s="188">
        <f t="shared" si="425"/>
        <v>1.24</v>
      </c>
      <c r="G141" s="188"/>
      <c r="H141" s="188">
        <f t="shared" si="315"/>
        <v>37.200000000000003</v>
      </c>
      <c r="I141" s="465">
        <f t="shared" si="316"/>
        <v>19.912572739744025</v>
      </c>
      <c r="J141" s="149">
        <f t="shared" si="317"/>
        <v>30.447076217060911</v>
      </c>
      <c r="K141" s="149">
        <f t="shared" si="318"/>
        <v>50.359648956804932</v>
      </c>
      <c r="L141" s="379"/>
      <c r="M141" s="188">
        <f t="shared" si="319"/>
        <v>0.60459515765670102</v>
      </c>
      <c r="N141" s="149">
        <f t="shared" si="426"/>
        <v>183.17822324399501</v>
      </c>
      <c r="O141" s="149">
        <f t="shared" si="438"/>
        <v>37.200000000000003</v>
      </c>
      <c r="P141" s="188">
        <f t="shared" si="320"/>
        <v>6.1059407747998335</v>
      </c>
      <c r="Q141" s="188">
        <f t="shared" si="321"/>
        <v>30</v>
      </c>
      <c r="R141" s="188"/>
      <c r="S141" s="149">
        <f t="shared" si="322"/>
        <v>223.4340179000543</v>
      </c>
      <c r="T141" s="149">
        <f t="shared" si="323"/>
        <v>30</v>
      </c>
      <c r="U141" s="188">
        <f t="shared" si="324"/>
        <v>6.2720526772072542</v>
      </c>
      <c r="V141" s="188">
        <f t="shared" si="325"/>
        <v>1.4804037613902543</v>
      </c>
      <c r="W141" s="188">
        <f t="shared" si="326"/>
        <v>0.96819304989146515</v>
      </c>
      <c r="X141" s="172">
        <f t="shared" si="327"/>
        <v>350</v>
      </c>
      <c r="Y141" s="379">
        <f t="shared" si="328"/>
        <v>350</v>
      </c>
      <c r="AA141" s="188">
        <f t="shared" si="329"/>
        <v>7.3185386927487377</v>
      </c>
      <c r="AB141" s="150">
        <f t="shared" si="330"/>
        <v>1.1297351381360146</v>
      </c>
      <c r="AC141" s="150">
        <f t="shared" si="331"/>
        <v>1.4469018061760957</v>
      </c>
      <c r="AD141" s="150"/>
      <c r="AE141" s="150">
        <f t="shared" si="332"/>
        <v>0.93555283541107626</v>
      </c>
      <c r="AF141" s="314">
        <f t="shared" si="333"/>
        <v>437.388445111387</v>
      </c>
      <c r="AG141" s="456">
        <f t="shared" si="334"/>
        <v>0.99225300725417165</v>
      </c>
      <c r="AI141" s="150">
        <f t="shared" si="335"/>
        <v>6.775099636693116</v>
      </c>
      <c r="AJ141" s="150">
        <f t="shared" si="336"/>
        <v>6.775099636693116</v>
      </c>
      <c r="AK141" s="150">
        <f t="shared" si="337"/>
        <v>1.7292545008052262</v>
      </c>
      <c r="AM141" s="314">
        <f t="shared" si="338"/>
        <v>1240</v>
      </c>
      <c r="AN141" s="144">
        <f t="shared" si="339"/>
        <v>350</v>
      </c>
      <c r="AP141" s="144">
        <f t="shared" si="340"/>
        <v>1240</v>
      </c>
      <c r="AQ141" s="144">
        <f t="shared" si="341"/>
        <v>350</v>
      </c>
      <c r="AS141" s="5">
        <f t="shared" si="439"/>
        <v>2.8571428571428572</v>
      </c>
      <c r="AT141" s="5">
        <f t="shared" si="342"/>
        <v>1.5991388309608749</v>
      </c>
      <c r="AU141" s="5">
        <f t="shared" si="343"/>
        <v>1.2580040261819823</v>
      </c>
      <c r="AV141" s="5"/>
      <c r="AW141" s="150">
        <f t="shared" si="344"/>
        <v>0.55969859083630624</v>
      </c>
      <c r="AX141" s="150">
        <f t="shared" si="435"/>
        <v>37.754374509155532</v>
      </c>
      <c r="AY141" s="150">
        <f t="shared" si="436"/>
        <v>1.4915429586302043</v>
      </c>
      <c r="AZ141" s="150">
        <f t="shared" si="440"/>
        <v>25.312294420154149</v>
      </c>
      <c r="BA141" s="144">
        <f t="shared" si="433"/>
        <v>6.6097738346382835</v>
      </c>
      <c r="BB141" s="5">
        <f t="shared" si="434"/>
        <v>1.3824475853585263</v>
      </c>
      <c r="BD141" s="150">
        <f t="shared" si="441"/>
        <v>2.9263897423767649</v>
      </c>
      <c r="BE141" s="150">
        <f t="shared" si="437"/>
        <v>2.595554167819488</v>
      </c>
      <c r="BG141" s="456">
        <f t="shared" si="347"/>
        <v>0.10276508309145539</v>
      </c>
      <c r="BH141" s="456">
        <f t="shared" si="348"/>
        <v>2.1793615963560584</v>
      </c>
      <c r="BI141" s="456">
        <f t="shared" si="349"/>
        <v>4.0250000000000001E-2</v>
      </c>
      <c r="BJ141" s="456">
        <f t="shared" si="350"/>
        <v>0.4593500697729066</v>
      </c>
      <c r="BK141">
        <f t="shared" si="351"/>
        <v>8.9606577328848105E-3</v>
      </c>
      <c r="BL141" s="144">
        <f t="shared" si="427"/>
        <v>49.210657732884812</v>
      </c>
      <c r="BM141" s="456">
        <f t="shared" si="352"/>
        <v>2.8385317041274485</v>
      </c>
      <c r="BN141" s="144">
        <f t="shared" si="353"/>
        <v>2838.5317041274484</v>
      </c>
      <c r="BO141" s="456">
        <f t="shared" si="354"/>
        <v>0.86799999999999999</v>
      </c>
      <c r="BR141" s="144">
        <f t="shared" si="355"/>
        <v>868</v>
      </c>
      <c r="BS141" s="456">
        <f t="shared" si="356"/>
        <v>0.11989259694003129</v>
      </c>
      <c r="BT141" s="456">
        <f t="shared" si="357"/>
        <v>9.43166201331916E-2</v>
      </c>
      <c r="BU141" s="456">
        <f t="shared" si="358"/>
        <v>13.690815925608923</v>
      </c>
      <c r="BV141" s="456"/>
      <c r="BW141" s="456">
        <f t="shared" si="359"/>
        <v>1.6065691280491718</v>
      </c>
      <c r="BX141" s="144">
        <f t="shared" si="360"/>
        <v>15511.594270731319</v>
      </c>
      <c r="BY141" s="150">
        <f t="shared" si="361"/>
        <v>19.170281677684624</v>
      </c>
      <c r="BZ141" s="5">
        <f t="shared" si="362"/>
        <v>37.200000000000003</v>
      </c>
      <c r="CA141" s="150">
        <f t="shared" si="363"/>
        <v>0.65992219468944768</v>
      </c>
      <c r="CB141" s="5">
        <f t="shared" si="364"/>
        <v>65.992219468944768</v>
      </c>
      <c r="CE141" s="59">
        <f t="shared" si="365"/>
        <v>-50</v>
      </c>
      <c r="CF141">
        <f t="shared" si="366"/>
        <v>-50</v>
      </c>
      <c r="CG141" s="150">
        <f t="shared" si="367"/>
        <v>0.36876370031046529</v>
      </c>
      <c r="CI141" s="147">
        <v>31</v>
      </c>
      <c r="CJ141" s="188">
        <f t="shared" si="428"/>
        <v>1.24</v>
      </c>
      <c r="CK141" s="188"/>
      <c r="CL141" s="188">
        <f t="shared" si="368"/>
        <v>37.200000000000003</v>
      </c>
      <c r="CM141" s="465">
        <f t="shared" si="369"/>
        <v>20</v>
      </c>
      <c r="CN141" s="379">
        <f t="shared" si="370"/>
        <v>30.4</v>
      </c>
      <c r="CO141" s="379">
        <f t="shared" si="371"/>
        <v>50.4</v>
      </c>
      <c r="CP141" s="379"/>
      <c r="CQ141" s="188">
        <f t="shared" si="372"/>
        <v>0.60317460317460314</v>
      </c>
      <c r="CR141" s="149">
        <f t="shared" si="429"/>
        <v>183.55019291189507</v>
      </c>
      <c r="CS141" s="149">
        <f t="shared" si="373"/>
        <v>37.200000000000003</v>
      </c>
      <c r="CT141" s="188">
        <f t="shared" si="374"/>
        <v>6.1183397637298356</v>
      </c>
      <c r="CU141" s="188">
        <f t="shared" si="375"/>
        <v>30</v>
      </c>
      <c r="CV141" s="188"/>
      <c r="CW141" s="149">
        <f t="shared" si="376"/>
        <v>224.41486147344838</v>
      </c>
      <c r="CX141" s="149">
        <f t="shared" si="377"/>
        <v>30</v>
      </c>
      <c r="CY141" s="188">
        <f t="shared" si="378"/>
        <v>6.1673684210526325</v>
      </c>
      <c r="CZ141" s="188">
        <f t="shared" si="379"/>
        <v>1.4493315789473684</v>
      </c>
      <c r="DA141" s="188">
        <f t="shared" si="380"/>
        <v>0.95350761772853199</v>
      </c>
      <c r="DB141" s="172">
        <f t="shared" si="381"/>
        <v>350</v>
      </c>
      <c r="DC141" s="379">
        <f t="shared" si="382"/>
        <v>350</v>
      </c>
      <c r="DE141" s="188">
        <f t="shared" si="383"/>
        <v>7.3334298258310406</v>
      </c>
      <c r="DF141" s="150">
        <f t="shared" si="384"/>
        <v>1.1337868480725624</v>
      </c>
      <c r="DG141" s="150">
        <f t="shared" si="385"/>
        <v>1.4550456003633017</v>
      </c>
      <c r="DH141" s="150"/>
      <c r="DI141" s="150">
        <f t="shared" si="386"/>
        <v>0.93700159489633172</v>
      </c>
      <c r="DJ141" s="314">
        <f t="shared" si="387"/>
        <v>436.71217021276595</v>
      </c>
      <c r="DK141" s="456">
        <f t="shared" si="388"/>
        <v>0.99378957034459414</v>
      </c>
      <c r="DM141" s="150">
        <f t="shared" si="389"/>
        <v>6.7698598980712799</v>
      </c>
      <c r="DN141" s="150">
        <f t="shared" si="390"/>
        <v>6.7698598980712799</v>
      </c>
      <c r="DO141" s="150">
        <f t="shared" si="391"/>
        <v>1.7253732129371993</v>
      </c>
      <c r="DQ141" s="314">
        <f t="shared" si="392"/>
        <v>1240</v>
      </c>
      <c r="DR141" s="144">
        <f t="shared" si="393"/>
        <v>350</v>
      </c>
      <c r="DT141">
        <f t="shared" si="430"/>
        <v>1240</v>
      </c>
      <c r="DU141">
        <f t="shared" si="431"/>
        <v>350</v>
      </c>
      <c r="DW141" s="5">
        <f t="shared" si="394"/>
        <v>2.8571428571428572</v>
      </c>
      <c r="DX141" s="5">
        <f t="shared" si="395"/>
        <v>1.5909170760467508</v>
      </c>
      <c r="DY141" s="5">
        <f t="shared" si="396"/>
        <v>1.2662257810961064</v>
      </c>
      <c r="DZ141" s="5"/>
      <c r="EA141" s="150">
        <f t="shared" si="397"/>
        <v>0.55682097661636276</v>
      </c>
      <c r="EB141" s="150">
        <f t="shared" si="398"/>
        <v>37.695999999999998</v>
      </c>
      <c r="EC141" s="150">
        <f t="shared" si="399"/>
        <v>1.5001299490356399</v>
      </c>
      <c r="ED141" s="150">
        <f t="shared" si="400"/>
        <v>25.12848971799604</v>
      </c>
      <c r="EE141" s="144">
        <f t="shared" si="401"/>
        <v>6.5757905809932371</v>
      </c>
      <c r="EF141" s="5">
        <f t="shared" si="402"/>
        <v>1.3853999722580927</v>
      </c>
      <c r="EH141" s="150">
        <f t="shared" si="403"/>
        <v>2.9165998395260133</v>
      </c>
      <c r="EI141" s="150">
        <f t="shared" si="404"/>
        <v>2.6020081454999446</v>
      </c>
      <c r="EK141" s="456">
        <f t="shared" si="405"/>
        <v>0.10207865548707801</v>
      </c>
      <c r="EL141" s="456">
        <f t="shared" si="406"/>
        <v>2.2689862434375705</v>
      </c>
      <c r="EM141" s="456">
        <f t="shared" si="407"/>
        <v>4.0250000000000001E-2</v>
      </c>
      <c r="EN141" s="456">
        <f t="shared" si="408"/>
        <v>0.46008647999999996</v>
      </c>
      <c r="EO141">
        <f t="shared" si="409"/>
        <v>8.9999999999999993E-3</v>
      </c>
      <c r="EP141" s="144">
        <f t="shared" si="410"/>
        <v>49.25</v>
      </c>
      <c r="EQ141" s="144"/>
      <c r="ER141" s="144">
        <f t="shared" si="432"/>
        <v>2880.4013789246487</v>
      </c>
      <c r="ES141" s="456">
        <f t="shared" si="411"/>
        <v>0.86799999999999999</v>
      </c>
      <c r="EV141" s="144">
        <f t="shared" si="412"/>
        <v>868</v>
      </c>
      <c r="EW141" s="456">
        <f t="shared" si="413"/>
        <v>0.11909176473492433</v>
      </c>
      <c r="EX141" s="456">
        <f t="shared" si="414"/>
        <v>9.4786249449472851E-2</v>
      </c>
      <c r="EY141" s="456">
        <f t="shared" si="415"/>
        <v>13.66436070852007</v>
      </c>
      <c r="EZ141" s="456"/>
      <c r="FA141" s="456">
        <f t="shared" si="416"/>
        <v>1.6040851063829791</v>
      </c>
      <c r="FB141" s="144">
        <f t="shared" si="417"/>
        <v>15482.323829087445</v>
      </c>
      <c r="FC141" s="150">
        <f t="shared" si="418"/>
        <v>19.230725208012093</v>
      </c>
      <c r="FD141" s="5">
        <f t="shared" si="419"/>
        <v>37.200000000000003</v>
      </c>
      <c r="FE141" s="150">
        <f t="shared" si="420"/>
        <v>0.65921534523746128</v>
      </c>
      <c r="FF141" s="5">
        <f t="shared" si="421"/>
        <v>65.921534523746132</v>
      </c>
      <c r="FI141" s="59">
        <f t="shared" si="422"/>
        <v>-50</v>
      </c>
      <c r="FJ141">
        <f t="shared" si="423"/>
        <v>-50</v>
      </c>
      <c r="FL141">
        <f t="shared" si="424"/>
        <v>0.36632958987918601</v>
      </c>
    </row>
    <row r="142" spans="5:168">
      <c r="E142" s="147">
        <v>32</v>
      </c>
      <c r="F142" s="188">
        <f t="shared" si="425"/>
        <v>1.28</v>
      </c>
      <c r="G142" s="188"/>
      <c r="H142" s="188">
        <f t="shared" ref="H142:H173" si="442">F142*Vout</f>
        <v>38.4</v>
      </c>
      <c r="I142" s="465">
        <f t="shared" ref="I142:I173" si="443">VIN_min-F142*(Rdcr_pri+RON/1000)/CG142/Nps</f>
        <v>19.911173814753699</v>
      </c>
      <c r="J142" s="149">
        <f t="shared" ref="J142:J173" si="444">(T142+Vfwd1+F142/CG142*Rdcr_sec)*Nps</f>
        <v>30.447829484363393</v>
      </c>
      <c r="K142" s="149">
        <f t="shared" ref="K142:K173" si="445">(Vout+Vfwd1+F142/CG142*Rdcr_sec)*Nps++I142</f>
        <v>50.359003299117092</v>
      </c>
      <c r="L142" s="379"/>
      <c r="M142" s="188">
        <f t="shared" ref="M142:M173" si="446">(Vout+Vfwd1+F142/FL142*Rdcr_sec)*Nps/((Vout+Vfwd1+F142/FL142*Rdcr_sec)*Nps+I142)</f>
        <v>0.60461790633263202</v>
      </c>
      <c r="N142" s="149">
        <f t="shared" ref="N142:N173" si="447">M142*I142*(Isw_max+VIN_min/Lmag*ILIM_delay)*0.5*Efficiency</f>
        <v>183.17224619343077</v>
      </c>
      <c r="O142" s="149">
        <f t="shared" si="438"/>
        <v>38.4</v>
      </c>
      <c r="P142" s="188">
        <f t="shared" ref="P142:P172" si="448">N142/Vout</f>
        <v>6.1057415397810253</v>
      </c>
      <c r="Q142" s="188">
        <f t="shared" ref="Q142:Q173" si="449">MIN(Vout,N142/F142)</f>
        <v>30</v>
      </c>
      <c r="R142" s="188"/>
      <c r="S142" s="149">
        <f t="shared" ref="S142:S173" si="450">(SQRT(Isw_max^2*Nps^2*I142^2+4*Isw_max*F142/Efficiency*(Nps^2*Vfwd1*I142-Nps*I142^2)+4*(F142/Efficiency)^2*Nps^2*Vfwd1^2+8*(F142/Efficiency)^2*Nps*Vfwd1*I142+4*(F142/Efficiency)^2*I142^2)-2*F142/Efficiency*I142-2*F142/Efficiency*Nps*Vfwd1+Isw_max*Nps*I142)/(4*F142/Efficiency*Nps)</f>
        <v>215.81663970550946</v>
      </c>
      <c r="T142" s="149">
        <f t="shared" ref="T142:T173" si="451">MIN(Vout, S142)</f>
        <v>30</v>
      </c>
      <c r="U142" s="188">
        <f t="shared" ref="U142:U173" si="452">MIN(2*(Vout+Vfwd1+F142/FL142*Rdcr_sec)*F142/(I142*M142), Isw_max)</f>
        <v>6.4747494664078271</v>
      </c>
      <c r="V142" s="188">
        <f t="shared" ref="V142:V173" si="453">L*U142/I142*1000000</f>
        <v>1.5283540174596792</v>
      </c>
      <c r="W142" s="188">
        <f t="shared" ref="W142:W173" si="454">L*U142/J142*1000000</f>
        <v>0.99945785980392832</v>
      </c>
      <c r="X142" s="172">
        <f t="shared" ref="X142:X173" si="455">IF(1/((350000*L)*(1/I142+1/J142))&gt;Isw_min, 350, 0.001/((Isw_min*L)*(1/I142+1/J142)))</f>
        <v>350</v>
      </c>
      <c r="Y142" s="379">
        <f t="shared" si="328"/>
        <v>350</v>
      </c>
      <c r="AA142" s="188">
        <f t="shared" ref="AA142:AA173" si="456">1/((X142*1000*L)*(1/I142+1/J142))</f>
        <v>7.3182994178199623</v>
      </c>
      <c r="AB142" s="150">
        <f t="shared" ref="AB142:AB173" si="457">L*AA142/J142*1000000</f>
        <v>1.1296702538819077</v>
      </c>
      <c r="AC142" s="150">
        <f t="shared" ref="AC142:AC173" si="458">0.5*AB142*AA142*Nps*X142/1000</f>
        <v>1.4467714032296866</v>
      </c>
      <c r="AD142" s="150"/>
      <c r="AE142" s="150">
        <f t="shared" ref="AE142:AE173" si="459">L*Isw_min/J142*1000000</f>
        <v>0.93552969020261334</v>
      </c>
      <c r="AF142" s="314">
        <f t="shared" ref="AF142:AF173" si="460">MAX(12000,F142/(0.5*AE142/1000000*Isw_min*Nps))/1000</f>
        <v>451.50891994514706</v>
      </c>
      <c r="AG142" s="456">
        <f t="shared" ref="AG142:AG173" si="461">0.5*AE142/1000000*Isw_min*Nps*X142*1000</f>
        <v>0.99222845930580206</v>
      </c>
      <c r="AI142" s="150">
        <f t="shared" ref="AI142:AI173" si="462">SQRT(F142/(0.5*L/J142*Fsw_DCM*Nps))</f>
        <v>6.8835932636107229</v>
      </c>
      <c r="AJ142" s="150">
        <f t="shared" ref="AJ142:AJ173" si="463">MAX(IF(F142&gt;AC142,U142,AI142),Isw_min)</f>
        <v>6.8835932636107229</v>
      </c>
      <c r="AK142" s="150">
        <f t="shared" ref="AK142:AK173" si="464">IF(F142&gt;AG142, (AJ142-Isw_min)/1.08*0.8+1.2, AF142*0.2/350+1)</f>
        <v>1.8096201503738238</v>
      </c>
      <c r="AM142" s="314">
        <f t="shared" ref="AM142:AM173" si="465">F142*1000</f>
        <v>1280</v>
      </c>
      <c r="AN142" s="144">
        <f t="shared" ref="AN142:AN173" si="466">IF(F142&gt;AG142, Y142, AF142)</f>
        <v>350</v>
      </c>
      <c r="AP142" s="144">
        <f t="shared" ref="AP142:AP173" si="467">IF(H142&gt;N142, "",AM142)</f>
        <v>1280</v>
      </c>
      <c r="AQ142" s="144">
        <f t="shared" ref="AQ142:AQ173" si="468">IF(H142&gt;N142, "",AN142)</f>
        <v>350</v>
      </c>
      <c r="AS142" s="5">
        <f t="shared" si="439"/>
        <v>2.8571428571428572</v>
      </c>
      <c r="AT142" s="5">
        <f t="shared" ref="AT142:AT173" si="469">L*AJ142/I142*1000000</f>
        <v>1.6248609268328362</v>
      </c>
      <c r="AU142" s="5">
        <f t="shared" si="343"/>
        <v>1.232281930310021</v>
      </c>
      <c r="AV142" s="5"/>
      <c r="AW142" s="150">
        <f t="shared" si="344"/>
        <v>0.56870132439149268</v>
      </c>
      <c r="AX142" s="150">
        <f t="shared" si="435"/>
        <v>38.973221739985135</v>
      </c>
      <c r="AY142" s="150">
        <f t="shared" si="436"/>
        <v>1.4844423290114737</v>
      </c>
      <c r="AZ142" s="150">
        <f t="shared" si="440"/>
        <v>26.254453257162474</v>
      </c>
      <c r="BA142" s="144">
        <f t="shared" si="433"/>
        <v>6.9327399544867685</v>
      </c>
      <c r="BB142" s="5">
        <f t="shared" si="434"/>
        <v>1.3979624932964583</v>
      </c>
      <c r="BD142" s="150">
        <f t="shared" si="441"/>
        <v>2.9970686671269835</v>
      </c>
      <c r="BE142" s="150">
        <f t="shared" si="437"/>
        <v>2.6100188014906451</v>
      </c>
      <c r="BG142" s="456">
        <f t="shared" si="347"/>
        <v>0.10778904714569175</v>
      </c>
      <c r="BH142" s="456">
        <f t="shared" ref="BH142:BH173" si="470">0.5*K142*AJ142*AN142*1000*Tfall</f>
        <v>2.2142325973820971</v>
      </c>
      <c r="BI142" s="456">
        <f t="shared" si="349"/>
        <v>4.0250000000000001E-2</v>
      </c>
      <c r="BJ142" s="456">
        <f t="shared" si="350"/>
        <v>0.45933829125542802</v>
      </c>
      <c r="BK142">
        <f t="shared" si="351"/>
        <v>8.960028216639165E-3</v>
      </c>
      <c r="BL142" s="144">
        <f t="shared" si="427"/>
        <v>49.210028216639166</v>
      </c>
      <c r="BM142" s="456">
        <f t="shared" ref="BM142:BM173" si="471">(BH142+BI142*0+BJ142+BK142*0+BG142*(1+RdsonTC*(Ta-25)))/(1-BG142*RdsonTC*ThetaJA)</f>
        <v>2.8843326932148576</v>
      </c>
      <c r="BN142" s="144">
        <f t="shared" si="353"/>
        <v>2884.3326932148575</v>
      </c>
      <c r="BO142" s="456">
        <f t="shared" si="354"/>
        <v>0.89599999999999991</v>
      </c>
      <c r="BR142" s="144">
        <f t="shared" si="355"/>
        <v>895.99999999999989</v>
      </c>
      <c r="BS142" s="456">
        <f t="shared" si="356"/>
        <v>0.12575388833664039</v>
      </c>
      <c r="BT142" s="456">
        <f t="shared" si="357"/>
        <v>9.5370774017885296E-2</v>
      </c>
      <c r="BU142" s="456">
        <f t="shared" si="358"/>
        <v>14.245513790449062</v>
      </c>
      <c r="BV142" s="456"/>
      <c r="BW142" s="456">
        <f t="shared" si="359"/>
        <v>1.6584349676589425</v>
      </c>
      <c r="BX142" s="144">
        <f t="shared" si="360"/>
        <v>16125.073420462531</v>
      </c>
      <c r="BY142" s="150">
        <f t="shared" si="361"/>
        <v>19.851643384462385</v>
      </c>
      <c r="BZ142" s="5">
        <f t="shared" si="362"/>
        <v>38.4</v>
      </c>
      <c r="CA142" s="150">
        <f t="shared" si="363"/>
        <v>0.65920886980919979</v>
      </c>
      <c r="CB142" s="5">
        <f t="shared" si="364"/>
        <v>65.920886980919974</v>
      </c>
      <c r="CE142" s="59">
        <f t="shared" ref="CE142:CE173" si="472">IF(ABS(F142-Ioutmax_Vinmin)&lt;Iout/200, AN142, -50)</f>
        <v>-50</v>
      </c>
      <c r="CF142">
        <f t="shared" ref="CF142:CF173" si="473">IF(ABS(F142-Ioutmax_Vinmin)&lt;Iout/200, N142*CA142, -50)</f>
        <v>-50</v>
      </c>
      <c r="CG142" s="150">
        <f t="shared" ref="CG142:CG173" si="474">MIN(SQRT(2*DU142*1000*Ls1_*CL142)/CU142,1-EA142-0.00000005*DU142*1000)</f>
        <v>0.37466429417991426</v>
      </c>
      <c r="CI142" s="147">
        <v>32</v>
      </c>
      <c r="CJ142" s="188">
        <f t="shared" si="428"/>
        <v>1.28</v>
      </c>
      <c r="CK142" s="188"/>
      <c r="CL142" s="188">
        <f t="shared" si="368"/>
        <v>38.4</v>
      </c>
      <c r="CM142" s="465">
        <f t="shared" si="369"/>
        <v>20</v>
      </c>
      <c r="CN142" s="379">
        <f t="shared" si="370"/>
        <v>30.4</v>
      </c>
      <c r="CO142" s="379">
        <f t="shared" si="371"/>
        <v>50.4</v>
      </c>
      <c r="CP142" s="379"/>
      <c r="CQ142" s="188">
        <f t="shared" si="372"/>
        <v>0.60317460317460314</v>
      </c>
      <c r="CR142" s="149">
        <f t="shared" si="429"/>
        <v>183.55019291189507</v>
      </c>
      <c r="CS142" s="149">
        <f t="shared" si="373"/>
        <v>38.4</v>
      </c>
      <c r="CT142" s="188">
        <f t="shared" si="374"/>
        <v>6.1183397637298356</v>
      </c>
      <c r="CU142" s="188">
        <f t="shared" si="375"/>
        <v>30</v>
      </c>
      <c r="CV142" s="188"/>
      <c r="CW142" s="149">
        <f t="shared" si="376"/>
        <v>216.77926017230843</v>
      </c>
      <c r="CX142" s="149">
        <f t="shared" si="377"/>
        <v>30</v>
      </c>
      <c r="CY142" s="188">
        <f t="shared" si="378"/>
        <v>6.3663157894736839</v>
      </c>
      <c r="CZ142" s="188">
        <f t="shared" si="379"/>
        <v>1.4960842105263157</v>
      </c>
      <c r="DA142" s="188">
        <f t="shared" si="380"/>
        <v>0.98426592797783941</v>
      </c>
      <c r="DB142" s="172">
        <f t="shared" si="381"/>
        <v>350</v>
      </c>
      <c r="DC142" s="379">
        <f t="shared" si="382"/>
        <v>350</v>
      </c>
      <c r="DE142" s="188">
        <f t="shared" si="383"/>
        <v>7.3334298258310406</v>
      </c>
      <c r="DF142" s="150">
        <f t="shared" si="384"/>
        <v>1.1337868480725624</v>
      </c>
      <c r="DG142" s="150">
        <f t="shared" si="385"/>
        <v>1.4550456003633017</v>
      </c>
      <c r="DH142" s="150"/>
      <c r="DI142" s="150">
        <f t="shared" si="386"/>
        <v>0.93700159489633172</v>
      </c>
      <c r="DJ142" s="314">
        <f t="shared" si="387"/>
        <v>450.79965957446808</v>
      </c>
      <c r="DK142" s="456">
        <f t="shared" si="388"/>
        <v>0.99378957034459414</v>
      </c>
      <c r="DM142" s="150">
        <f t="shared" si="389"/>
        <v>6.8781845346283941</v>
      </c>
      <c r="DN142" s="150">
        <f t="shared" si="390"/>
        <v>6.8781845346283941</v>
      </c>
      <c r="DO142" s="150">
        <f t="shared" si="391"/>
        <v>1.8056136844609878</v>
      </c>
      <c r="DQ142" s="314">
        <f t="shared" si="392"/>
        <v>1280</v>
      </c>
      <c r="DR142" s="144">
        <f t="shared" si="393"/>
        <v>350</v>
      </c>
      <c r="DT142">
        <f t="shared" si="430"/>
        <v>1280</v>
      </c>
      <c r="DU142">
        <f t="shared" si="431"/>
        <v>350</v>
      </c>
      <c r="DW142" s="5">
        <f t="shared" si="394"/>
        <v>2.8571428571428572</v>
      </c>
      <c r="DX142" s="5">
        <f t="shared" si="395"/>
        <v>1.6163733656376726</v>
      </c>
      <c r="DY142" s="5">
        <f t="shared" si="396"/>
        <v>1.2407694915051846</v>
      </c>
      <c r="DZ142" s="5"/>
      <c r="EA142" s="150">
        <f t="shared" si="397"/>
        <v>0.56573067797318544</v>
      </c>
      <c r="EB142" s="150">
        <f t="shared" si="398"/>
        <v>38.911999999999999</v>
      </c>
      <c r="EC142" s="150">
        <f t="shared" si="399"/>
        <v>1.4934922673141968</v>
      </c>
      <c r="ED142" s="150">
        <f t="shared" si="400"/>
        <v>26.054369916475636</v>
      </c>
      <c r="EE142" s="144">
        <f t="shared" si="401"/>
        <v>6.8965263600540698</v>
      </c>
      <c r="EF142" s="5">
        <f t="shared" si="402"/>
        <v>1.4013396609940907</v>
      </c>
      <c r="EH142" s="150">
        <f t="shared" si="403"/>
        <v>2.9868819673781335</v>
      </c>
      <c r="EI142" s="150">
        <f t="shared" si="404"/>
        <v>2.616934009565087</v>
      </c>
      <c r="EK142" s="456">
        <f t="shared" si="405"/>
        <v>0.10705756664458402</v>
      </c>
      <c r="EL142" s="456">
        <f t="shared" si="406"/>
        <v>2.3052923286260527</v>
      </c>
      <c r="EM142" s="456">
        <f t="shared" si="407"/>
        <v>4.0250000000000001E-2</v>
      </c>
      <c r="EN142" s="456">
        <f t="shared" si="408"/>
        <v>0.46008647999999996</v>
      </c>
      <c r="EO142">
        <f t="shared" si="409"/>
        <v>8.9999999999999993E-3</v>
      </c>
      <c r="EP142" s="144">
        <f t="shared" si="410"/>
        <v>49.25</v>
      </c>
      <c r="EQ142" s="144"/>
      <c r="ER142" s="144">
        <f t="shared" si="432"/>
        <v>2921.6863752706367</v>
      </c>
      <c r="ES142" s="456">
        <f t="shared" si="411"/>
        <v>0.89599999999999991</v>
      </c>
      <c r="EV142" s="144">
        <f t="shared" si="412"/>
        <v>895.99999999999989</v>
      </c>
      <c r="EW142" s="456">
        <f t="shared" si="413"/>
        <v>0.12490049441868135</v>
      </c>
      <c r="EX142" s="456">
        <f t="shared" si="414"/>
        <v>9.5876810545857644E-2</v>
      </c>
      <c r="EY142" s="456">
        <f t="shared" si="415"/>
        <v>14.217547029427397</v>
      </c>
      <c r="EZ142" s="456"/>
      <c r="FA142" s="456">
        <f t="shared" si="416"/>
        <v>1.6558297872340426</v>
      </c>
      <c r="FB142" s="144">
        <f t="shared" si="417"/>
        <v>16094.154121625979</v>
      </c>
      <c r="FC142" s="150">
        <f t="shared" si="418"/>
        <v>19.911840496896616</v>
      </c>
      <c r="FD142" s="5">
        <f t="shared" si="419"/>
        <v>38.4</v>
      </c>
      <c r="FE142" s="150">
        <f t="shared" si="420"/>
        <v>0.6585283481498696</v>
      </c>
      <c r="FF142" s="5">
        <f t="shared" si="421"/>
        <v>65.852834814986963</v>
      </c>
      <c r="FI142" s="59">
        <f t="shared" si="422"/>
        <v>-50</v>
      </c>
      <c r="FJ142">
        <f t="shared" si="423"/>
        <v>-50</v>
      </c>
      <c r="FL142">
        <f t="shared" ref="FL142:FL173" si="475">MIN(SQRT(2*L*DR142*1000*CJ142*(CX142+Vfwd1))/(Nps*(CX142+Vfwd1)), 1-EA142)</f>
        <v>0.37219123550867461</v>
      </c>
    </row>
    <row r="143" spans="5:168">
      <c r="E143" s="147">
        <v>33</v>
      </c>
      <c r="F143" s="188">
        <f t="shared" ref="F143:F174" si="476">IF(PLOT_TYPE=1, E143/100*Iout_max, min_I*EXP(N143*rr/100))</f>
        <v>1.32</v>
      </c>
      <c r="G143" s="188"/>
      <c r="H143" s="188">
        <f t="shared" si="442"/>
        <v>39.6</v>
      </c>
      <c r="I143" s="465">
        <f t="shared" si="443"/>
        <v>19.909796582465216</v>
      </c>
      <c r="J143" s="149">
        <f t="shared" si="444"/>
        <v>30.448571070980265</v>
      </c>
      <c r="K143" s="149">
        <f t="shared" si="445"/>
        <v>50.358367653445484</v>
      </c>
      <c r="L143" s="379"/>
      <c r="M143" s="188">
        <f t="shared" si="446"/>
        <v>0.60464030281721914</v>
      </c>
      <c r="N143" s="149">
        <f t="shared" si="447"/>
        <v>183.16636105243651</v>
      </c>
      <c r="O143" s="149">
        <f t="shared" si="438"/>
        <v>39.6</v>
      </c>
      <c r="P143" s="188">
        <f t="shared" si="448"/>
        <v>6.1055453684145506</v>
      </c>
      <c r="Q143" s="188">
        <f t="shared" si="449"/>
        <v>30</v>
      </c>
      <c r="R143" s="188"/>
      <c r="S143" s="149">
        <f t="shared" si="450"/>
        <v>208.66131573890991</v>
      </c>
      <c r="T143" s="149">
        <f t="shared" si="451"/>
        <v>30</v>
      </c>
      <c r="U143" s="188">
        <f t="shared" si="452"/>
        <v>6.6774636332733923</v>
      </c>
      <c r="V143" s="188">
        <f t="shared" si="453"/>
        <v>1.5763133965931757</v>
      </c>
      <c r="W143" s="188">
        <f t="shared" si="454"/>
        <v>1.0307242005946311</v>
      </c>
      <c r="X143" s="172">
        <f t="shared" si="455"/>
        <v>350</v>
      </c>
      <c r="Y143" s="379">
        <f t="shared" si="328"/>
        <v>350</v>
      </c>
      <c r="AA143" s="188">
        <f t="shared" si="456"/>
        <v>7.3180638224082664</v>
      </c>
      <c r="AB143" s="150">
        <f t="shared" si="457"/>
        <v>1.1296063741427831</v>
      </c>
      <c r="AC143" s="150">
        <f t="shared" si="458"/>
        <v>1.4466430195308135</v>
      </c>
      <c r="AD143" s="150"/>
      <c r="AE143" s="150">
        <f t="shared" si="459"/>
        <v>0.93550690501849676</v>
      </c>
      <c r="AF143" s="314">
        <f t="shared" si="460"/>
        <v>465.62991428843316</v>
      </c>
      <c r="AG143" s="456">
        <f t="shared" si="461"/>
        <v>0.99220429320143599</v>
      </c>
      <c r="AI143" s="150">
        <f t="shared" si="462"/>
        <v>6.9904071319739689</v>
      </c>
      <c r="AJ143" s="150">
        <f t="shared" si="463"/>
        <v>6.9904071319739689</v>
      </c>
      <c r="AK143" s="150">
        <f t="shared" si="464"/>
        <v>1.8887415343465987</v>
      </c>
      <c r="AM143" s="314">
        <f t="shared" si="465"/>
        <v>1320</v>
      </c>
      <c r="AN143" s="144">
        <f t="shared" si="466"/>
        <v>350</v>
      </c>
      <c r="AP143" s="144">
        <f t="shared" si="467"/>
        <v>1320</v>
      </c>
      <c r="AQ143" s="144">
        <f t="shared" si="468"/>
        <v>350</v>
      </c>
      <c r="AS143" s="5">
        <f t="shared" si="439"/>
        <v>2.8571428571428572</v>
      </c>
      <c r="AT143" s="5">
        <f t="shared" si="469"/>
        <v>1.6501883072584151</v>
      </c>
      <c r="AU143" s="5">
        <f t="shared" si="343"/>
        <v>1.2069545498844421</v>
      </c>
      <c r="AV143" s="5"/>
      <c r="AW143" s="150">
        <f t="shared" si="344"/>
        <v>0.57756590754044523</v>
      </c>
      <c r="AX143" s="150">
        <f t="shared" si="435"/>
        <v>40.192113813693958</v>
      </c>
      <c r="AY143" s="150">
        <f t="shared" si="436"/>
        <v>1.4764931463591113</v>
      </c>
      <c r="AZ143" s="150">
        <f t="shared" si="440"/>
        <v>27.221334493020713</v>
      </c>
      <c r="BA143" s="144">
        <f t="shared" si="433"/>
        <v>7.2608285519370268</v>
      </c>
      <c r="BB143" s="5">
        <f t="shared" si="434"/>
        <v>1.4121159482072392</v>
      </c>
      <c r="BD143" s="150">
        <f t="shared" si="441"/>
        <v>3.0672036900904649</v>
      </c>
      <c r="BE143" s="150">
        <f t="shared" si="437"/>
        <v>2.6231391144478553</v>
      </c>
      <c r="BG143" s="456">
        <f t="shared" si="347"/>
        <v>0.11289286171805477</v>
      </c>
      <c r="BH143" s="456">
        <f t="shared" si="470"/>
        <v>2.24856283269997</v>
      </c>
      <c r="BI143" s="456">
        <f t="shared" si="349"/>
        <v>4.0250000000000001E-2</v>
      </c>
      <c r="BJ143" s="456">
        <f t="shared" si="350"/>
        <v>0.45932669553133482</v>
      </c>
      <c r="BK143">
        <f t="shared" si="351"/>
        <v>8.9594084621093476E-3</v>
      </c>
      <c r="BL143" s="144">
        <f t="shared" si="427"/>
        <v>49.209408462109344</v>
      </c>
      <c r="BM143" s="456">
        <f t="shared" si="471"/>
        <v>2.9298518874971631</v>
      </c>
      <c r="BN143" s="144">
        <f t="shared" si="353"/>
        <v>2929.8518874971633</v>
      </c>
      <c r="BO143" s="456">
        <f t="shared" si="354"/>
        <v>0.92399999999999993</v>
      </c>
      <c r="BR143" s="144">
        <f t="shared" si="355"/>
        <v>923.99999999999989</v>
      </c>
      <c r="BS143" s="456">
        <f t="shared" si="356"/>
        <v>0.13170833867106391</v>
      </c>
      <c r="BT143" s="456">
        <f t="shared" si="357"/>
        <v>9.6332023392447896E-2</v>
      </c>
      <c r="BU143" s="456">
        <f t="shared" si="358"/>
        <v>14.804586824933819</v>
      </c>
      <c r="BV143" s="456"/>
      <c r="BW143" s="456">
        <f t="shared" si="359"/>
        <v>1.7103027154763388</v>
      </c>
      <c r="BX143" s="144">
        <f t="shared" si="360"/>
        <v>16742.929902473668</v>
      </c>
      <c r="BY143" s="150">
        <f t="shared" si="361"/>
        <v>20.536921700885138</v>
      </c>
      <c r="BZ143" s="5">
        <f t="shared" si="362"/>
        <v>39.6</v>
      </c>
      <c r="CA143" s="150">
        <f t="shared" si="363"/>
        <v>0.65849729051590511</v>
      </c>
      <c r="CB143" s="5">
        <f t="shared" si="364"/>
        <v>65.849729051590515</v>
      </c>
      <c r="CE143" s="59">
        <f t="shared" si="472"/>
        <v>-50</v>
      </c>
      <c r="CF143">
        <f t="shared" si="473"/>
        <v>-50</v>
      </c>
      <c r="CG143" s="150">
        <f t="shared" si="474"/>
        <v>0.38047338934543112</v>
      </c>
      <c r="CI143" s="147">
        <v>33</v>
      </c>
      <c r="CJ143" s="188">
        <f t="shared" si="428"/>
        <v>1.32</v>
      </c>
      <c r="CK143" s="188"/>
      <c r="CL143" s="188">
        <f t="shared" si="368"/>
        <v>39.6</v>
      </c>
      <c r="CM143" s="465">
        <f t="shared" si="369"/>
        <v>20</v>
      </c>
      <c r="CN143" s="379">
        <f t="shared" si="370"/>
        <v>30.4</v>
      </c>
      <c r="CO143" s="379">
        <f t="shared" si="371"/>
        <v>50.4</v>
      </c>
      <c r="CP143" s="379"/>
      <c r="CQ143" s="188">
        <f t="shared" si="372"/>
        <v>0.60317460317460314</v>
      </c>
      <c r="CR143" s="149">
        <f t="shared" si="429"/>
        <v>183.55019291189507</v>
      </c>
      <c r="CS143" s="149">
        <f t="shared" si="373"/>
        <v>39.6</v>
      </c>
      <c r="CT143" s="188">
        <f t="shared" si="374"/>
        <v>6.1183397637298356</v>
      </c>
      <c r="CU143" s="188">
        <f t="shared" si="375"/>
        <v>30</v>
      </c>
      <c r="CV143" s="188"/>
      <c r="CW143" s="149">
        <f t="shared" si="376"/>
        <v>209.60650544459901</v>
      </c>
      <c r="CX143" s="149">
        <f t="shared" si="377"/>
        <v>30</v>
      </c>
      <c r="CY143" s="188">
        <f t="shared" si="378"/>
        <v>6.5652631578947371</v>
      </c>
      <c r="CZ143" s="188">
        <f t="shared" si="379"/>
        <v>1.5428368421052632</v>
      </c>
      <c r="DA143" s="188">
        <f t="shared" si="380"/>
        <v>1.015024238227147</v>
      </c>
      <c r="DB143" s="172">
        <f t="shared" si="381"/>
        <v>350</v>
      </c>
      <c r="DC143" s="379">
        <f t="shared" si="382"/>
        <v>350</v>
      </c>
      <c r="DE143" s="188">
        <f t="shared" si="383"/>
        <v>7.3334298258310406</v>
      </c>
      <c r="DF143" s="150">
        <f t="shared" si="384"/>
        <v>1.1337868480725624</v>
      </c>
      <c r="DG143" s="150">
        <f t="shared" si="385"/>
        <v>1.4550456003633017</v>
      </c>
      <c r="DH143" s="150"/>
      <c r="DI143" s="150">
        <f t="shared" si="386"/>
        <v>0.93700159489633172</v>
      </c>
      <c r="DJ143" s="314">
        <f t="shared" si="387"/>
        <v>464.88714893617026</v>
      </c>
      <c r="DK143" s="456">
        <f t="shared" si="388"/>
        <v>0.99378957034459414</v>
      </c>
      <c r="DM143" s="150">
        <f t="shared" si="389"/>
        <v>6.9848294141867742</v>
      </c>
      <c r="DN143" s="150">
        <f t="shared" si="390"/>
        <v>6.9848294141867742</v>
      </c>
      <c r="DO143" s="150">
        <f t="shared" si="391"/>
        <v>1.8846098915412692</v>
      </c>
      <c r="DQ143" s="314">
        <f t="shared" si="392"/>
        <v>1320</v>
      </c>
      <c r="DR143" s="144">
        <f t="shared" si="393"/>
        <v>350</v>
      </c>
      <c r="DT143">
        <f t="shared" si="430"/>
        <v>1320</v>
      </c>
      <c r="DU143">
        <f t="shared" si="431"/>
        <v>350</v>
      </c>
      <c r="DW143" s="5">
        <f t="shared" si="394"/>
        <v>2.8571428571428572</v>
      </c>
      <c r="DX143" s="5">
        <f t="shared" si="395"/>
        <v>1.6414349123338918</v>
      </c>
      <c r="DY143" s="5">
        <f t="shared" si="396"/>
        <v>1.2157079448089654</v>
      </c>
      <c r="DZ143" s="5"/>
      <c r="EA143" s="150">
        <f t="shared" si="397"/>
        <v>0.57450221931686207</v>
      </c>
      <c r="EB143" s="150">
        <f t="shared" si="398"/>
        <v>40.128000000000007</v>
      </c>
      <c r="EC143" s="150">
        <f t="shared" si="399"/>
        <v>1.4860147070933873</v>
      </c>
      <c r="ED143" s="150">
        <f t="shared" si="400"/>
        <v>27.003770425993636</v>
      </c>
      <c r="EE143" s="144">
        <f t="shared" si="401"/>
        <v>7.2223136142691233</v>
      </c>
      <c r="EF143" s="5">
        <f t="shared" si="402"/>
        <v>1.4159421945422066</v>
      </c>
      <c r="EH143" s="150">
        <f t="shared" si="403"/>
        <v>3.0566170555724228</v>
      </c>
      <c r="EI143" s="150">
        <f t="shared" si="404"/>
        <v>2.6305334358921746</v>
      </c>
      <c r="EK143" s="456">
        <f t="shared" si="405"/>
        <v>0.11211489389299474</v>
      </c>
      <c r="EL143" s="456">
        <f t="shared" si="406"/>
        <v>2.3410354264588396</v>
      </c>
      <c r="EM143" s="456">
        <f t="shared" si="407"/>
        <v>4.0250000000000001E-2</v>
      </c>
      <c r="EN143" s="456">
        <f t="shared" si="408"/>
        <v>0.46008647999999996</v>
      </c>
      <c r="EO143">
        <f t="shared" si="409"/>
        <v>8.9999999999999993E-3</v>
      </c>
      <c r="EP143" s="144">
        <f t="shared" si="410"/>
        <v>49.25</v>
      </c>
      <c r="EQ143" s="144"/>
      <c r="ER143" s="144">
        <f t="shared" si="432"/>
        <v>2962.4868003518345</v>
      </c>
      <c r="ES143" s="456">
        <f t="shared" si="411"/>
        <v>0.92399999999999993</v>
      </c>
      <c r="EV143" s="144">
        <f t="shared" si="412"/>
        <v>923.99999999999989</v>
      </c>
      <c r="EW143" s="456">
        <f t="shared" si="413"/>
        <v>0.13080070954182718</v>
      </c>
      <c r="EX143" s="456">
        <f t="shared" si="414"/>
        <v>9.6875886202853645E-2</v>
      </c>
      <c r="EY143" s="456">
        <f t="shared" si="415"/>
        <v>14.775072664951804</v>
      </c>
      <c r="EZ143" s="456"/>
      <c r="FA143" s="456">
        <f t="shared" si="416"/>
        <v>1.7075744680851066</v>
      </c>
      <c r="FB143" s="144">
        <f t="shared" si="417"/>
        <v>16710.323728781594</v>
      </c>
      <c r="FC143" s="150">
        <f t="shared" si="418"/>
        <v>20.596810529133425</v>
      </c>
      <c r="FD143" s="5">
        <f t="shared" si="419"/>
        <v>39.6</v>
      </c>
      <c r="FE143" s="150">
        <f t="shared" si="420"/>
        <v>0.65784216226596925</v>
      </c>
      <c r="FF143" s="5">
        <f t="shared" si="421"/>
        <v>65.784216226596925</v>
      </c>
      <c r="FI143" s="59">
        <f t="shared" si="422"/>
        <v>-50</v>
      </c>
      <c r="FJ143">
        <f t="shared" si="423"/>
        <v>-50</v>
      </c>
      <c r="FL143">
        <f t="shared" si="475"/>
        <v>0.37796198639267248</v>
      </c>
    </row>
    <row r="144" spans="5:168">
      <c r="E144" s="147">
        <v>34</v>
      </c>
      <c r="F144" s="188">
        <f t="shared" si="476"/>
        <v>1.36</v>
      </c>
      <c r="G144" s="188"/>
      <c r="H144" s="188">
        <f t="shared" si="442"/>
        <v>40.800000000000004</v>
      </c>
      <c r="I144" s="465">
        <f t="shared" si="443"/>
        <v>19.908440063977203</v>
      </c>
      <c r="J144" s="149">
        <f t="shared" si="444"/>
        <v>30.449301504012272</v>
      </c>
      <c r="K144" s="149">
        <f t="shared" si="445"/>
        <v>50.357741567989478</v>
      </c>
      <c r="L144" s="379"/>
      <c r="M144" s="188">
        <f t="shared" si="446"/>
        <v>0.60466236300341281</v>
      </c>
      <c r="N144" s="149">
        <f t="shared" si="447"/>
        <v>183.16056367348756</v>
      </c>
      <c r="O144" s="149">
        <f t="shared" si="438"/>
        <v>40.800000000000004</v>
      </c>
      <c r="P144" s="188">
        <f t="shared" si="448"/>
        <v>6.1053521224495855</v>
      </c>
      <c r="Q144" s="188">
        <f t="shared" si="449"/>
        <v>30</v>
      </c>
      <c r="R144" s="188"/>
      <c r="S144" s="149">
        <f t="shared" si="450"/>
        <v>201.92726534708885</v>
      </c>
      <c r="T144" s="149">
        <f t="shared" si="451"/>
        <v>30</v>
      </c>
      <c r="U144" s="188">
        <f t="shared" si="452"/>
        <v>6.8801949155766335</v>
      </c>
      <c r="V144" s="188">
        <f t="shared" si="453"/>
        <v>1.6242817618705017</v>
      </c>
      <c r="W144" s="188">
        <f t="shared" si="454"/>
        <v>1.0619920492740753</v>
      </c>
      <c r="X144" s="172">
        <f t="shared" si="455"/>
        <v>350</v>
      </c>
      <c r="Y144" s="379">
        <f t="shared" si="328"/>
        <v>346.46747517119354</v>
      </c>
      <c r="AA144" s="188">
        <f t="shared" si="456"/>
        <v>7.3178317404712212</v>
      </c>
      <c r="AB144" s="150">
        <f t="shared" si="457"/>
        <v>1.1295434535889994</v>
      </c>
      <c r="AC144" s="150">
        <f t="shared" si="458"/>
        <v>1.4465165639601361</v>
      </c>
      <c r="AD144" s="150"/>
      <c r="AE144" s="150">
        <f t="shared" si="459"/>
        <v>0.93548446361224624</v>
      </c>
      <c r="AF144" s="314">
        <f t="shared" si="460"/>
        <v>479.75142020747171</v>
      </c>
      <c r="AG144" s="456">
        <f t="shared" si="461"/>
        <v>0.99218049170995815</v>
      </c>
      <c r="AI144" s="150">
        <f t="shared" si="462"/>
        <v>7.0956170422509199</v>
      </c>
      <c r="AJ144" s="150">
        <f t="shared" si="463"/>
        <v>7.0956170422509199</v>
      </c>
      <c r="AK144" s="150">
        <f t="shared" si="464"/>
        <v>1.9666748012184143</v>
      </c>
      <c r="AM144" s="314">
        <f t="shared" si="465"/>
        <v>1360</v>
      </c>
      <c r="AN144" s="144">
        <f t="shared" si="466"/>
        <v>346.46747517119354</v>
      </c>
      <c r="AP144" s="144">
        <f t="shared" si="467"/>
        <v>1360</v>
      </c>
      <c r="AQ144" s="144">
        <f t="shared" si="468"/>
        <v>346.46747517119354</v>
      </c>
      <c r="AS144" s="5">
        <f t="shared" si="439"/>
        <v>2.8862738111445774</v>
      </c>
      <c r="AT144" s="5">
        <f t="shared" si="469"/>
        <v>1.6751387849278312</v>
      </c>
      <c r="AU144" s="5">
        <f t="shared" si="343"/>
        <v>1.2111350262167462</v>
      </c>
      <c r="AV144" s="5"/>
      <c r="AW144" s="150">
        <f t="shared" si="344"/>
        <v>0.58038110537528664</v>
      </c>
      <c r="AX144" s="150">
        <f t="shared" si="435"/>
        <v>40.993091295535201</v>
      </c>
      <c r="AY144" s="150">
        <f t="shared" si="436"/>
        <v>1.4887274899748044</v>
      </c>
      <c r="AZ144" s="150">
        <f t="shared" si="440"/>
        <v>27.535658185655574</v>
      </c>
      <c r="BA144" s="144">
        <f t="shared" si="433"/>
        <v>7.5939624916728361</v>
      </c>
      <c r="BB144" s="5">
        <f t="shared" si="434"/>
        <v>1.460046117917438</v>
      </c>
      <c r="BD144" s="150">
        <f t="shared" si="441"/>
        <v>3.1209454182996308</v>
      </c>
      <c r="BE144" s="150">
        <f t="shared" si="437"/>
        <v>2.6537319820876983</v>
      </c>
      <c r="BG144" s="456">
        <f t="shared" si="347"/>
        <v>0.11688360364806548</v>
      </c>
      <c r="BH144" s="456">
        <f t="shared" si="470"/>
        <v>2.2593408408322389</v>
      </c>
      <c r="BI144" s="456">
        <f t="shared" si="349"/>
        <v>3.9843759644687261E-2</v>
      </c>
      <c r="BJ144" s="456">
        <f t="shared" si="350"/>
        <v>0.454679438320784</v>
      </c>
      <c r="BK144">
        <f t="shared" si="351"/>
        <v>8.9587980287897401E-3</v>
      </c>
      <c r="BL144" s="144">
        <f t="shared" si="427"/>
        <v>48.802557673476997</v>
      </c>
      <c r="BM144" s="456">
        <f t="shared" si="471"/>
        <v>2.9442282200118606</v>
      </c>
      <c r="BN144" s="144">
        <f t="shared" si="353"/>
        <v>2944.2282200118607</v>
      </c>
      <c r="BO144" s="456">
        <f t="shared" si="354"/>
        <v>0.95199999999999996</v>
      </c>
      <c r="BR144" s="144">
        <f t="shared" si="355"/>
        <v>952</v>
      </c>
      <c r="BS144" s="456">
        <f t="shared" si="356"/>
        <v>0.1363642042560764</v>
      </c>
      <c r="BT144" s="456">
        <f t="shared" si="357"/>
        <v>9.8592108058571451E-2</v>
      </c>
      <c r="BU144" s="456">
        <f t="shared" si="358"/>
        <v>14.98309740022693</v>
      </c>
      <c r="BV144" s="456"/>
      <c r="BW144" s="456">
        <f t="shared" si="359"/>
        <v>1.7443868636397959</v>
      </c>
      <c r="BX144" s="144">
        <f t="shared" si="360"/>
        <v>16962.440576181372</v>
      </c>
      <c r="BY144" s="150">
        <f t="shared" si="361"/>
        <v>20.794147016655941</v>
      </c>
      <c r="BZ144" s="5">
        <f t="shared" si="362"/>
        <v>40.800000000000004</v>
      </c>
      <c r="CA144" s="150">
        <f t="shared" si="363"/>
        <v>0.6624006009689053</v>
      </c>
      <c r="CB144" s="5">
        <f t="shared" si="364"/>
        <v>66.240060096890531</v>
      </c>
      <c r="CE144" s="59">
        <f t="shared" si="472"/>
        <v>-50</v>
      </c>
      <c r="CF144">
        <f t="shared" si="473"/>
        <v>-50</v>
      </c>
      <c r="CG144" s="150">
        <f t="shared" si="474"/>
        <v>0.3861951147628187</v>
      </c>
      <c r="CI144" s="147">
        <v>34</v>
      </c>
      <c r="CJ144" s="188">
        <f t="shared" si="428"/>
        <v>1.36</v>
      </c>
      <c r="CK144" s="188"/>
      <c r="CL144" s="188">
        <f t="shared" si="368"/>
        <v>40.800000000000004</v>
      </c>
      <c r="CM144" s="465">
        <f t="shared" si="369"/>
        <v>20</v>
      </c>
      <c r="CN144" s="379">
        <f t="shared" si="370"/>
        <v>30.4</v>
      </c>
      <c r="CO144" s="379">
        <f t="shared" si="371"/>
        <v>50.4</v>
      </c>
      <c r="CP144" s="379"/>
      <c r="CQ144" s="188">
        <f t="shared" si="372"/>
        <v>0.60317460317460314</v>
      </c>
      <c r="CR144" s="149">
        <f t="shared" si="429"/>
        <v>183.55019291189507</v>
      </c>
      <c r="CS144" s="149">
        <f t="shared" si="373"/>
        <v>40.800000000000004</v>
      </c>
      <c r="CT144" s="188">
        <f t="shared" si="374"/>
        <v>6.1183397637298356</v>
      </c>
      <c r="CU144" s="188">
        <f t="shared" si="375"/>
        <v>30</v>
      </c>
      <c r="CV144" s="188"/>
      <c r="CW144" s="149">
        <f t="shared" si="376"/>
        <v>202.85575856544764</v>
      </c>
      <c r="CX144" s="149">
        <f t="shared" si="377"/>
        <v>30</v>
      </c>
      <c r="CY144" s="188">
        <f t="shared" si="378"/>
        <v>6.7642105263157903</v>
      </c>
      <c r="CZ144" s="188">
        <f t="shared" si="379"/>
        <v>1.5895894736842109</v>
      </c>
      <c r="DA144" s="188">
        <f t="shared" si="380"/>
        <v>1.0457825484764545</v>
      </c>
      <c r="DB144" s="172">
        <f t="shared" si="381"/>
        <v>350</v>
      </c>
      <c r="DC144" s="379">
        <f t="shared" si="382"/>
        <v>350</v>
      </c>
      <c r="DE144" s="188">
        <f t="shared" si="383"/>
        <v>7.3334298258310406</v>
      </c>
      <c r="DF144" s="150">
        <f t="shared" si="384"/>
        <v>1.1337868480725624</v>
      </c>
      <c r="DG144" s="150">
        <f t="shared" si="385"/>
        <v>1.4550456003633017</v>
      </c>
      <c r="DH144" s="150"/>
      <c r="DI144" s="150">
        <f t="shared" si="386"/>
        <v>0.93700159489633172</v>
      </c>
      <c r="DJ144" s="314">
        <f t="shared" si="387"/>
        <v>478.97463829787239</v>
      </c>
      <c r="DK144" s="456">
        <f t="shared" si="388"/>
        <v>0.99378957034459414</v>
      </c>
      <c r="DM144" s="150">
        <f t="shared" si="389"/>
        <v>7.089870337190681</v>
      </c>
      <c r="DN144" s="150">
        <f t="shared" si="390"/>
        <v>7.089870337190681</v>
      </c>
      <c r="DO144" s="150">
        <f t="shared" si="391"/>
        <v>1.9624179826552743</v>
      </c>
      <c r="DQ144" s="314">
        <f t="shared" si="392"/>
        <v>1360</v>
      </c>
      <c r="DR144" s="144">
        <f t="shared" si="393"/>
        <v>350</v>
      </c>
      <c r="DT144">
        <f t="shared" si="430"/>
        <v>1360</v>
      </c>
      <c r="DU144">
        <f t="shared" si="431"/>
        <v>350</v>
      </c>
      <c r="DW144" s="5">
        <f t="shared" si="394"/>
        <v>2.8571428571428572</v>
      </c>
      <c r="DX144" s="5">
        <f t="shared" si="395"/>
        <v>1.6661195292398099</v>
      </c>
      <c r="DY144" s="5">
        <f t="shared" si="396"/>
        <v>1.1910233279030473</v>
      </c>
      <c r="DZ144" s="5"/>
      <c r="EA144" s="150">
        <f t="shared" si="397"/>
        <v>0.58314183523393348</v>
      </c>
      <c r="EB144" s="150">
        <f t="shared" si="398"/>
        <v>41.344000000000015</v>
      </c>
      <c r="EC144" s="150">
        <f t="shared" si="399"/>
        <v>1.4777351685953402</v>
      </c>
      <c r="ED144" s="150">
        <f t="shared" si="400"/>
        <v>27.977949553233898</v>
      </c>
      <c r="EE144" s="144">
        <f t="shared" si="401"/>
        <v>7.5530751992204719</v>
      </c>
      <c r="EF144" s="5">
        <f t="shared" si="402"/>
        <v>1.4292279934836567</v>
      </c>
      <c r="EH144" s="150">
        <f t="shared" si="403"/>
        <v>3.1258257534120033</v>
      </c>
      <c r="EI144" s="150">
        <f t="shared" si="404"/>
        <v>2.6428457816083495</v>
      </c>
      <c r="EK144" s="456">
        <f t="shared" si="405"/>
        <v>0.11724943968832462</v>
      </c>
      <c r="EL144" s="456">
        <f t="shared" si="406"/>
        <v>2.3762409422128288</v>
      </c>
      <c r="EM144" s="456">
        <f t="shared" si="407"/>
        <v>4.0250000000000001E-2</v>
      </c>
      <c r="EN144" s="456">
        <f t="shared" si="408"/>
        <v>0.46008647999999996</v>
      </c>
      <c r="EO144">
        <f t="shared" si="409"/>
        <v>8.9999999999999993E-3</v>
      </c>
      <c r="EP144" s="144">
        <f t="shared" si="410"/>
        <v>49.25</v>
      </c>
      <c r="EQ144" s="144"/>
      <c r="ER144" s="144">
        <f t="shared" si="432"/>
        <v>3002.8268619011533</v>
      </c>
      <c r="ES144" s="456">
        <f t="shared" si="411"/>
        <v>0.95199999999999996</v>
      </c>
      <c r="EV144" s="144">
        <f t="shared" si="412"/>
        <v>952</v>
      </c>
      <c r="EW144" s="456">
        <f t="shared" si="413"/>
        <v>0.13679101296971205</v>
      </c>
      <c r="EX144" s="456">
        <f t="shared" si="414"/>
        <v>9.7784873555110674E-2</v>
      </c>
      <c r="EY144" s="456">
        <f t="shared" si="415"/>
        <v>15.336838588896073</v>
      </c>
      <c r="EZ144" s="456"/>
      <c r="FA144" s="456">
        <f t="shared" si="416"/>
        <v>1.759319148936171</v>
      </c>
      <c r="FB144" s="144">
        <f t="shared" si="417"/>
        <v>17330.733624357064</v>
      </c>
      <c r="FC144" s="150">
        <f t="shared" si="418"/>
        <v>21.28556048625822</v>
      </c>
      <c r="FD144" s="5">
        <f t="shared" si="419"/>
        <v>40.800000000000004</v>
      </c>
      <c r="FE144" s="150">
        <f t="shared" si="420"/>
        <v>0.65715763344087896</v>
      </c>
      <c r="FF144" s="5">
        <f t="shared" si="421"/>
        <v>65.71576334408789</v>
      </c>
      <c r="FI144" s="59">
        <f t="shared" si="422"/>
        <v>-50</v>
      </c>
      <c r="FJ144">
        <f t="shared" si="423"/>
        <v>-50</v>
      </c>
      <c r="FL144">
        <f t="shared" si="475"/>
        <v>0.38364594423285098</v>
      </c>
    </row>
    <row r="145" spans="5:168">
      <c r="E145" s="147">
        <v>35</v>
      </c>
      <c r="F145" s="188">
        <f t="shared" si="476"/>
        <v>1.4</v>
      </c>
      <c r="G145" s="188"/>
      <c r="H145" s="188">
        <f t="shared" si="442"/>
        <v>42</v>
      </c>
      <c r="I145" s="465">
        <f t="shared" si="443"/>
        <v>19.90686837899861</v>
      </c>
      <c r="J145" s="149">
        <f t="shared" si="444"/>
        <v>30.450147795923822</v>
      </c>
      <c r="K145" s="149">
        <f t="shared" si="445"/>
        <v>50.357016174922435</v>
      </c>
      <c r="L145" s="379"/>
      <c r="M145" s="188">
        <f t="shared" si="446"/>
        <v>0.60468692315257533</v>
      </c>
      <c r="N145" s="149">
        <f t="shared" si="447"/>
        <v>183.15354296191455</v>
      </c>
      <c r="O145" s="149">
        <f t="shared" si="438"/>
        <v>42</v>
      </c>
      <c r="P145" s="188">
        <f t="shared" si="448"/>
        <v>6.1051180987304852</v>
      </c>
      <c r="Q145" s="188">
        <f t="shared" si="449"/>
        <v>30</v>
      </c>
      <c r="R145" s="188"/>
      <c r="S145" s="149">
        <f t="shared" si="450"/>
        <v>195.5760613195506</v>
      </c>
      <c r="T145" s="149">
        <f t="shared" si="451"/>
        <v>30</v>
      </c>
      <c r="U145" s="188">
        <f t="shared" si="452"/>
        <v>7.0829936169318524</v>
      </c>
      <c r="V145" s="188">
        <f t="shared" si="453"/>
        <v>1.6722906569624048</v>
      </c>
      <c r="W145" s="188">
        <f t="shared" si="454"/>
        <v>1.0932646443192651</v>
      </c>
      <c r="X145" s="172">
        <f t="shared" si="455"/>
        <v>350</v>
      </c>
      <c r="Y145" s="379">
        <f t="shared" si="328"/>
        <v>337.20497458530429</v>
      </c>
      <c r="AA145" s="188">
        <f t="shared" si="456"/>
        <v>7.3175628093304059</v>
      </c>
      <c r="AB145" s="150">
        <f t="shared" si="457"/>
        <v>1.1294705508278955</v>
      </c>
      <c r="AC145" s="150">
        <f t="shared" si="458"/>
        <v>1.4463700469701239</v>
      </c>
      <c r="AD145" s="150"/>
      <c r="AE145" s="150">
        <f t="shared" si="459"/>
        <v>0.93545846397046317</v>
      </c>
      <c r="AF145" s="314">
        <f t="shared" si="460"/>
        <v>493.87548223048356</v>
      </c>
      <c r="AG145" s="456">
        <f t="shared" si="461"/>
        <v>0.99215291633230951</v>
      </c>
      <c r="AI145" s="150">
        <f t="shared" si="462"/>
        <v>7.1993082168755951</v>
      </c>
      <c r="AJ145" s="150">
        <f t="shared" si="463"/>
        <v>7.1993082168755951</v>
      </c>
      <c r="AK145" s="150">
        <f t="shared" si="464"/>
        <v>2.0434830787181735</v>
      </c>
      <c r="AM145" s="314">
        <f t="shared" si="465"/>
        <v>1400</v>
      </c>
      <c r="AN145" s="144">
        <f t="shared" si="466"/>
        <v>337.20497458530429</v>
      </c>
      <c r="AP145" s="144">
        <f t="shared" si="467"/>
        <v>1400</v>
      </c>
      <c r="AQ145" s="144">
        <f t="shared" si="468"/>
        <v>337.20497458530429</v>
      </c>
      <c r="AS145" s="5">
        <f t="shared" si="439"/>
        <v>2.96555530128167</v>
      </c>
      <c r="AT145" s="5">
        <f t="shared" si="469"/>
        <v>1.6997524660891643</v>
      </c>
      <c r="AU145" s="5">
        <f t="shared" si="343"/>
        <v>1.2658028351925057</v>
      </c>
      <c r="AV145" s="5"/>
      <c r="AW145" s="150">
        <f t="shared" si="344"/>
        <v>0.57316498712890496</v>
      </c>
      <c r="AX145" s="150">
        <f t="shared" si="435"/>
        <v>41.071765254573009</v>
      </c>
      <c r="AY145" s="150">
        <f t="shared" si="436"/>
        <v>1.5364584077065375</v>
      </c>
      <c r="AZ145" s="150">
        <f t="shared" si="440"/>
        <v>26.731452702244372</v>
      </c>
      <c r="BA145" s="144">
        <f t="shared" si="433"/>
        <v>7.9321781750827656</v>
      </c>
      <c r="BB145" s="5">
        <f t="shared" si="434"/>
        <v>1.5709540713735592</v>
      </c>
      <c r="BD145" s="150">
        <f t="shared" si="441"/>
        <v>3.1468059744548347</v>
      </c>
      <c r="BE145" s="150">
        <f t="shared" si="437"/>
        <v>2.7155647220531334</v>
      </c>
      <c r="BG145" s="456">
        <f t="shared" si="347"/>
        <v>0.1188286540903757</v>
      </c>
      <c r="BH145" s="456">
        <f t="shared" si="470"/>
        <v>2.2310412363850101</v>
      </c>
      <c r="BI145" s="456">
        <f t="shared" si="349"/>
        <v>3.8778572077309996E-2</v>
      </c>
      <c r="BJ145" s="456">
        <f t="shared" si="350"/>
        <v>0.44251123805355141</v>
      </c>
      <c r="BK145">
        <f t="shared" si="351"/>
        <v>8.9580907705493745E-3</v>
      </c>
      <c r="BL145" s="144">
        <f t="shared" si="427"/>
        <v>47.736662847859371</v>
      </c>
      <c r="BM145" s="456">
        <f t="shared" si="471"/>
        <v>2.9065268376469025</v>
      </c>
      <c r="BN145" s="144">
        <f t="shared" si="353"/>
        <v>2906.5268376469025</v>
      </c>
      <c r="BO145" s="456">
        <f t="shared" si="354"/>
        <v>0.97999999999999987</v>
      </c>
      <c r="BR145" s="144">
        <f t="shared" si="355"/>
        <v>979.99999999999989</v>
      </c>
      <c r="BS145" s="456">
        <f t="shared" si="356"/>
        <v>0.13863342977210497</v>
      </c>
      <c r="BT145" s="456">
        <f t="shared" si="357"/>
        <v>0.10324008463523317</v>
      </c>
      <c r="BU145" s="456">
        <f t="shared" si="358"/>
        <v>14.518837818334552</v>
      </c>
      <c r="BV145" s="456"/>
      <c r="BW145" s="456">
        <f t="shared" si="359"/>
        <v>1.7477346916839578</v>
      </c>
      <c r="BX145" s="144">
        <f t="shared" si="360"/>
        <v>16508.446024425848</v>
      </c>
      <c r="BY145" s="150">
        <f t="shared" si="361"/>
        <v>20.328563815802646</v>
      </c>
      <c r="BZ145" s="5">
        <f t="shared" si="362"/>
        <v>42</v>
      </c>
      <c r="CA145" s="150">
        <f t="shared" si="363"/>
        <v>0.67384835184268133</v>
      </c>
      <c r="CB145" s="5">
        <f t="shared" si="364"/>
        <v>67.384835184268127</v>
      </c>
      <c r="CE145" s="59">
        <f t="shared" si="472"/>
        <v>-50</v>
      </c>
      <c r="CF145">
        <f t="shared" si="473"/>
        <v>-50</v>
      </c>
      <c r="CG145" s="150">
        <f t="shared" si="474"/>
        <v>0.39084469494476776</v>
      </c>
      <c r="CI145" s="147">
        <v>35</v>
      </c>
      <c r="CJ145" s="188">
        <f t="shared" si="428"/>
        <v>1.4</v>
      </c>
      <c r="CK145" s="188"/>
      <c r="CL145" s="188">
        <f t="shared" si="368"/>
        <v>42</v>
      </c>
      <c r="CM145" s="465">
        <f t="shared" si="369"/>
        <v>20</v>
      </c>
      <c r="CN145" s="379">
        <f t="shared" si="370"/>
        <v>30.4</v>
      </c>
      <c r="CO145" s="379">
        <f t="shared" si="371"/>
        <v>50.4</v>
      </c>
      <c r="CP145" s="379"/>
      <c r="CQ145" s="188">
        <f t="shared" si="372"/>
        <v>0.60317460317460314</v>
      </c>
      <c r="CR145" s="149">
        <f t="shared" si="429"/>
        <v>183.55019291189507</v>
      </c>
      <c r="CS145" s="149">
        <f t="shared" si="373"/>
        <v>42</v>
      </c>
      <c r="CT145" s="188">
        <f t="shared" si="374"/>
        <v>6.1183397637298356</v>
      </c>
      <c r="CU145" s="188">
        <f t="shared" si="375"/>
        <v>30</v>
      </c>
      <c r="CV145" s="188"/>
      <c r="CW145" s="149">
        <f t="shared" si="376"/>
        <v>196.49084810007324</v>
      </c>
      <c r="CX145" s="149">
        <f t="shared" si="377"/>
        <v>30</v>
      </c>
      <c r="CY145" s="188">
        <f t="shared" si="378"/>
        <v>6.9631578947368427</v>
      </c>
      <c r="CZ145" s="188">
        <f t="shared" si="379"/>
        <v>1.6363421052631579</v>
      </c>
      <c r="DA145" s="188">
        <f t="shared" si="380"/>
        <v>1.0765408587257617</v>
      </c>
      <c r="DB145" s="172">
        <f t="shared" si="381"/>
        <v>350</v>
      </c>
      <c r="DC145" s="379">
        <f t="shared" si="382"/>
        <v>350</v>
      </c>
      <c r="DE145" s="188">
        <f t="shared" si="383"/>
        <v>7.3334298258310406</v>
      </c>
      <c r="DF145" s="150">
        <f t="shared" si="384"/>
        <v>1.1337868480725624</v>
      </c>
      <c r="DG145" s="150">
        <f t="shared" si="385"/>
        <v>1.4550456003633017</v>
      </c>
      <c r="DH145" s="150"/>
      <c r="DI145" s="150">
        <f t="shared" si="386"/>
        <v>0.93700159489633172</v>
      </c>
      <c r="DJ145" s="314">
        <f t="shared" si="387"/>
        <v>493.06212765957446</v>
      </c>
      <c r="DK145" s="456">
        <f t="shared" si="388"/>
        <v>0.99378957034459414</v>
      </c>
      <c r="DM145" s="150">
        <f t="shared" si="389"/>
        <v>7.1933775690605746</v>
      </c>
      <c r="DN145" s="150">
        <f t="shared" si="390"/>
        <v>7.1933775690605746</v>
      </c>
      <c r="DO145" s="150">
        <f t="shared" si="391"/>
        <v>2.0390900062626027</v>
      </c>
      <c r="DQ145" s="314">
        <f t="shared" si="392"/>
        <v>1400</v>
      </c>
      <c r="DR145" s="144">
        <f t="shared" si="393"/>
        <v>350</v>
      </c>
      <c r="DT145">
        <f t="shared" si="430"/>
        <v>1400</v>
      </c>
      <c r="DU145">
        <f t="shared" si="431"/>
        <v>350</v>
      </c>
      <c r="DW145" s="5">
        <f t="shared" si="394"/>
        <v>2.8571428571428572</v>
      </c>
      <c r="DX145" s="5">
        <f t="shared" si="395"/>
        <v>1.6904437287292349</v>
      </c>
      <c r="DY145" s="5">
        <f t="shared" si="396"/>
        <v>1.1666991284136223</v>
      </c>
      <c r="DZ145" s="5"/>
      <c r="EA145" s="150">
        <f t="shared" si="397"/>
        <v>0.59165530505523223</v>
      </c>
      <c r="EB145" s="150">
        <f t="shared" si="398"/>
        <v>42.559999999999995</v>
      </c>
      <c r="EC145" s="150">
        <f t="shared" si="399"/>
        <v>1.4686887845302878</v>
      </c>
      <c r="ED145" s="150">
        <f t="shared" si="400"/>
        <v>28.978229049125218</v>
      </c>
      <c r="EE145" s="144">
        <f t="shared" si="401"/>
        <v>7.8887374007364279</v>
      </c>
      <c r="EF145" s="5">
        <f t="shared" si="402"/>
        <v>1.4412165703932982</v>
      </c>
      <c r="EH145" s="150">
        <f t="shared" si="403"/>
        <v>3.1945273481336693</v>
      </c>
      <c r="EI145" s="150">
        <f t="shared" si="404"/>
        <v>2.6539069260960666</v>
      </c>
      <c r="EK145" s="456">
        <f t="shared" si="405"/>
        <v>0.1224600597356872</v>
      </c>
      <c r="EL145" s="456">
        <f t="shared" si="406"/>
        <v>2.4109324260463421</v>
      </c>
      <c r="EM145" s="456">
        <f t="shared" si="407"/>
        <v>4.0250000000000001E-2</v>
      </c>
      <c r="EN145" s="456">
        <f t="shared" si="408"/>
        <v>0.46008647999999996</v>
      </c>
      <c r="EO145">
        <f t="shared" si="409"/>
        <v>8.9999999999999993E-3</v>
      </c>
      <c r="EP145" s="144">
        <f t="shared" si="410"/>
        <v>49.25</v>
      </c>
      <c r="EQ145" s="144"/>
      <c r="ER145" s="144">
        <f t="shared" si="432"/>
        <v>3042.7289657820293</v>
      </c>
      <c r="ES145" s="456">
        <f t="shared" si="411"/>
        <v>0.97999999999999987</v>
      </c>
      <c r="EV145" s="144">
        <f t="shared" si="412"/>
        <v>979.99999999999989</v>
      </c>
      <c r="EW145" s="456">
        <f t="shared" si="413"/>
        <v>0.14287006969163507</v>
      </c>
      <c r="EX145" s="456">
        <f t="shared" si="414"/>
        <v>9.8605107613329426E-2</v>
      </c>
      <c r="EY145" s="456">
        <f t="shared" si="415"/>
        <v>15.902750893170213</v>
      </c>
      <c r="EZ145" s="456"/>
      <c r="FA145" s="456">
        <f t="shared" si="416"/>
        <v>1.8110638297872339</v>
      </c>
      <c r="FB145" s="144">
        <f t="shared" si="417"/>
        <v>17955.289900262411</v>
      </c>
      <c r="FC145" s="150">
        <f t="shared" si="418"/>
        <v>21.97801886604444</v>
      </c>
      <c r="FD145" s="5">
        <f t="shared" si="419"/>
        <v>42</v>
      </c>
      <c r="FE145" s="150">
        <f t="shared" si="420"/>
        <v>0.65647546992567152</v>
      </c>
      <c r="FF145" s="5">
        <f t="shared" si="421"/>
        <v>65.647546992567158</v>
      </c>
      <c r="FI145" s="59">
        <f t="shared" si="422"/>
        <v>-50</v>
      </c>
      <c r="FJ145">
        <f t="shared" si="423"/>
        <v>-50</v>
      </c>
      <c r="FL145">
        <f t="shared" si="475"/>
        <v>0.38924691122054755</v>
      </c>
    </row>
    <row r="146" spans="5:168">
      <c r="E146" s="147">
        <v>36</v>
      </c>
      <c r="F146" s="188">
        <f t="shared" si="476"/>
        <v>1.44</v>
      </c>
      <c r="G146" s="188"/>
      <c r="H146" s="188">
        <f t="shared" si="442"/>
        <v>43.199999999999996</v>
      </c>
      <c r="I146" s="465">
        <f t="shared" si="443"/>
        <v>19.90210536273295</v>
      </c>
      <c r="J146" s="149">
        <f t="shared" si="444"/>
        <v>30.45271249698995</v>
      </c>
      <c r="K146" s="149">
        <f t="shared" si="445"/>
        <v>50.3548178597229</v>
      </c>
      <c r="L146" s="379"/>
      <c r="M146" s="188">
        <f t="shared" si="446"/>
        <v>0.60474972941495553</v>
      </c>
      <c r="N146" s="149">
        <f t="shared" si="447"/>
        <v>183.12873956390931</v>
      </c>
      <c r="O146" s="149">
        <f t="shared" si="438"/>
        <v>43.199999999999996</v>
      </c>
      <c r="P146" s="188">
        <f t="shared" si="448"/>
        <v>6.1042913187969772</v>
      </c>
      <c r="Q146" s="188">
        <f t="shared" si="449"/>
        <v>30</v>
      </c>
      <c r="R146" s="188"/>
      <c r="S146" s="149">
        <f t="shared" si="450"/>
        <v>189.547479662721</v>
      </c>
      <c r="T146" s="149">
        <f t="shared" si="451"/>
        <v>30</v>
      </c>
      <c r="U146" s="188">
        <f t="shared" si="452"/>
        <v>7.2865225259354283</v>
      </c>
      <c r="V146" s="188">
        <f t="shared" si="453"/>
        <v>1.7207554300272168</v>
      </c>
      <c r="W146" s="188">
        <f t="shared" si="454"/>
        <v>1.1245847434865306</v>
      </c>
      <c r="X146" s="172">
        <f t="shared" si="455"/>
        <v>350</v>
      </c>
      <c r="Y146" s="379">
        <f t="shared" si="328"/>
        <v>328.37054089960293</v>
      </c>
      <c r="AA146" s="188">
        <f t="shared" si="456"/>
        <v>7.3167475657849854</v>
      </c>
      <c r="AB146" s="150">
        <f t="shared" si="457"/>
        <v>1.1292496050257765</v>
      </c>
      <c r="AC146" s="150">
        <f t="shared" si="458"/>
        <v>1.4459260022788012</v>
      </c>
      <c r="AD146" s="150"/>
      <c r="AE146" s="150">
        <f t="shared" si="459"/>
        <v>0.93537968046899012</v>
      </c>
      <c r="AF146" s="314">
        <f t="shared" si="460"/>
        <v>508.02899605616773</v>
      </c>
      <c r="AG146" s="456">
        <f t="shared" si="461"/>
        <v>0.99206935807317131</v>
      </c>
      <c r="AI146" s="150">
        <f t="shared" si="462"/>
        <v>7.3017386442389647</v>
      </c>
      <c r="AJ146" s="150">
        <f t="shared" si="463"/>
        <v>7.3017386442389647</v>
      </c>
      <c r="AK146" s="150">
        <f t="shared" si="464"/>
        <v>2.1193574693577069</v>
      </c>
      <c r="AM146" s="314">
        <f t="shared" si="465"/>
        <v>1440</v>
      </c>
      <c r="AN146" s="144">
        <f t="shared" si="466"/>
        <v>328.37054089960293</v>
      </c>
      <c r="AP146" s="144">
        <f t="shared" si="467"/>
        <v>1440</v>
      </c>
      <c r="AQ146" s="144">
        <f t="shared" si="468"/>
        <v>328.37054089960293</v>
      </c>
      <c r="AS146" s="5">
        <f t="shared" si="439"/>
        <v>3.0453401735137478</v>
      </c>
      <c r="AT146" s="5">
        <f t="shared" si="469"/>
        <v>1.7243488064425851</v>
      </c>
      <c r="AU146" s="5">
        <f t="shared" si="343"/>
        <v>1.3209913670711626</v>
      </c>
      <c r="AV146" s="5"/>
      <c r="AW146" s="150">
        <f t="shared" si="344"/>
        <v>0.56622535027113641</v>
      </c>
      <c r="AX146" s="150">
        <f t="shared" si="435"/>
        <v>41.141925975072084</v>
      </c>
      <c r="AY146" s="150">
        <f t="shared" si="436"/>
        <v>1.583654561408232</v>
      </c>
      <c r="AZ146" s="150">
        <f t="shared" si="440"/>
        <v>25.97910363639371</v>
      </c>
      <c r="BA146" s="144">
        <f t="shared" si="433"/>
        <v>8.2768742709244094</v>
      </c>
      <c r="BB146" s="5">
        <f t="shared" si="434"/>
        <v>1.6866919949771886</v>
      </c>
      <c r="BD146" s="150">
        <f t="shared" si="441"/>
        <v>3.1721981762626936</v>
      </c>
      <c r="BE146" s="150">
        <f t="shared" si="437"/>
        <v>2.7765004004033322</v>
      </c>
      <c r="BG146" s="456">
        <f t="shared" si="347"/>
        <v>0.12075409523381231</v>
      </c>
      <c r="BH146" s="456">
        <f t="shared" si="470"/>
        <v>2.2034052021680828</v>
      </c>
      <c r="BI146" s="456">
        <f t="shared" si="349"/>
        <v>3.7762612203454345E-2</v>
      </c>
      <c r="BJ146" s="456">
        <f t="shared" si="350"/>
        <v>0.43088026312621497</v>
      </c>
      <c r="BK146">
        <f t="shared" si="351"/>
        <v>8.9559474132298277E-3</v>
      </c>
      <c r="BL146" s="144">
        <f t="shared" si="427"/>
        <v>46.718559616684168</v>
      </c>
      <c r="BM146" s="456">
        <f t="shared" si="471"/>
        <v>2.8699864438896094</v>
      </c>
      <c r="BN146" s="144">
        <f t="shared" si="353"/>
        <v>2869.9864438896093</v>
      </c>
      <c r="BO146" s="456">
        <f t="shared" si="354"/>
        <v>1.008</v>
      </c>
      <c r="BR146" s="144">
        <f t="shared" si="355"/>
        <v>1008</v>
      </c>
      <c r="BS146" s="456">
        <f t="shared" si="356"/>
        <v>0.14087977777278102</v>
      </c>
      <c r="BT146" s="456">
        <f t="shared" si="357"/>
        <v>0.10792536262815811</v>
      </c>
      <c r="BU146" s="456">
        <f t="shared" si="358"/>
        <v>14.074928099547988</v>
      </c>
      <c r="BV146" s="456"/>
      <c r="BW146" s="456">
        <f t="shared" si="359"/>
        <v>1.7507202542583868</v>
      </c>
      <c r="BX146" s="144">
        <f t="shared" si="360"/>
        <v>16074.453494207315</v>
      </c>
      <c r="BY146" s="150">
        <f t="shared" si="361"/>
        <v>19.884211614352107</v>
      </c>
      <c r="BZ146" s="5">
        <f t="shared" si="362"/>
        <v>43.199999999999996</v>
      </c>
      <c r="CA146" s="150">
        <f t="shared" si="363"/>
        <v>0.68479892027645939</v>
      </c>
      <c r="CB146" s="5">
        <f t="shared" si="364"/>
        <v>68.479892027645946</v>
      </c>
      <c r="CE146" s="59">
        <f t="shared" si="472"/>
        <v>-50</v>
      </c>
      <c r="CF146">
        <f t="shared" si="473"/>
        <v>-50</v>
      </c>
      <c r="CG146" s="150">
        <f t="shared" si="474"/>
        <v>0.38245200191984646</v>
      </c>
      <c r="CI146" s="147">
        <v>36</v>
      </c>
      <c r="CJ146" s="188">
        <f t="shared" si="428"/>
        <v>1.44</v>
      </c>
      <c r="CK146" s="188"/>
      <c r="CL146" s="188">
        <f t="shared" si="368"/>
        <v>43.199999999999996</v>
      </c>
      <c r="CM146" s="465">
        <f t="shared" si="369"/>
        <v>20</v>
      </c>
      <c r="CN146" s="379">
        <f t="shared" si="370"/>
        <v>30.4</v>
      </c>
      <c r="CO146" s="379">
        <f t="shared" si="371"/>
        <v>50.4</v>
      </c>
      <c r="CP146" s="379"/>
      <c r="CQ146" s="188">
        <f t="shared" si="372"/>
        <v>0.60317460317460314</v>
      </c>
      <c r="CR146" s="149">
        <f t="shared" si="429"/>
        <v>183.55019291189507</v>
      </c>
      <c r="CS146" s="149">
        <f t="shared" si="373"/>
        <v>43.199999999999996</v>
      </c>
      <c r="CT146" s="188">
        <f t="shared" si="374"/>
        <v>6.1183397637298356</v>
      </c>
      <c r="CU146" s="188">
        <f t="shared" si="375"/>
        <v>30</v>
      </c>
      <c r="CV146" s="188"/>
      <c r="CW146" s="149">
        <f t="shared" si="376"/>
        <v>190.47962166914544</v>
      </c>
      <c r="CX146" s="149">
        <f t="shared" si="377"/>
        <v>30</v>
      </c>
      <c r="CY146" s="188">
        <f t="shared" si="378"/>
        <v>7.1621052631578941</v>
      </c>
      <c r="CZ146" s="188">
        <f t="shared" si="379"/>
        <v>1.683094736842105</v>
      </c>
      <c r="DA146" s="188">
        <f t="shared" si="380"/>
        <v>1.1072991689750691</v>
      </c>
      <c r="DB146" s="172">
        <f t="shared" si="381"/>
        <v>350</v>
      </c>
      <c r="DC146" s="379">
        <f t="shared" si="382"/>
        <v>350</v>
      </c>
      <c r="DE146" s="188">
        <f t="shared" si="383"/>
        <v>7.3334298258310406</v>
      </c>
      <c r="DF146" s="150">
        <f t="shared" si="384"/>
        <v>1.1337868480725624</v>
      </c>
      <c r="DG146" s="150">
        <f t="shared" si="385"/>
        <v>1.4550456003633017</v>
      </c>
      <c r="DH146" s="150"/>
      <c r="DI146" s="150">
        <f t="shared" si="386"/>
        <v>0.93700159489633172</v>
      </c>
      <c r="DJ146" s="314">
        <f t="shared" si="387"/>
        <v>507.14961702127664</v>
      </c>
      <c r="DK146" s="456">
        <f t="shared" si="388"/>
        <v>0.99378957034459414</v>
      </c>
      <c r="DM146" s="150">
        <f t="shared" si="389"/>
        <v>7.2954163900322619</v>
      </c>
      <c r="DN146" s="150">
        <f t="shared" si="390"/>
        <v>7.2954163900322619</v>
      </c>
      <c r="DO146" s="150">
        <f t="shared" si="391"/>
        <v>2.1146743180934826</v>
      </c>
      <c r="DQ146" s="314">
        <f t="shared" si="392"/>
        <v>1440</v>
      </c>
      <c r="DR146" s="144">
        <f t="shared" si="393"/>
        <v>350</v>
      </c>
      <c r="DT146">
        <f t="shared" si="430"/>
        <v>1440</v>
      </c>
      <c r="DU146">
        <f t="shared" si="431"/>
        <v>350</v>
      </c>
      <c r="DW146" s="5">
        <f t="shared" si="394"/>
        <v>2.8571428571428572</v>
      </c>
      <c r="DX146" s="5">
        <f t="shared" si="395"/>
        <v>1.7144228516575815</v>
      </c>
      <c r="DY146" s="5">
        <f t="shared" si="396"/>
        <v>1.1427200054852757</v>
      </c>
      <c r="DZ146" s="5"/>
      <c r="EA146" s="150">
        <f t="shared" si="397"/>
        <v>0.60004799808015352</v>
      </c>
      <c r="EB146" s="150">
        <f t="shared" si="398"/>
        <v>43.775999999999996</v>
      </c>
      <c r="EC146" s="150">
        <f t="shared" si="399"/>
        <v>1.4589081950161313</v>
      </c>
      <c r="ED146" s="150">
        <f t="shared" si="400"/>
        <v>30.006000480047998</v>
      </c>
      <c r="EE146" s="144">
        <f t="shared" si="401"/>
        <v>8.2292296879563906</v>
      </c>
      <c r="EF146" s="5">
        <f t="shared" si="402"/>
        <v>1.4519265952048206</v>
      </c>
      <c r="EH146" s="150">
        <f t="shared" si="403"/>
        <v>3.2627398910018979</v>
      </c>
      <c r="EI146" s="150">
        <f t="shared" si="404"/>
        <v>2.6637495825087201</v>
      </c>
      <c r="EK146" s="456">
        <f t="shared" si="405"/>
        <v>0.12774565915602093</v>
      </c>
      <c r="EL146" s="456">
        <f t="shared" si="406"/>
        <v>2.445131757283213</v>
      </c>
      <c r="EM146" s="456">
        <f t="shared" si="407"/>
        <v>4.0250000000000001E-2</v>
      </c>
      <c r="EN146" s="456">
        <f t="shared" si="408"/>
        <v>0.46008647999999996</v>
      </c>
      <c r="EO146">
        <f t="shared" si="409"/>
        <v>8.9999999999999993E-3</v>
      </c>
      <c r="EP146" s="144">
        <f t="shared" si="410"/>
        <v>49.25</v>
      </c>
      <c r="EQ146" s="144"/>
      <c r="ER146" s="144">
        <f t="shared" si="432"/>
        <v>3082.2138964392338</v>
      </c>
      <c r="ES146" s="456">
        <f t="shared" si="411"/>
        <v>1.008</v>
      </c>
      <c r="EV146" s="144">
        <f t="shared" si="412"/>
        <v>1008</v>
      </c>
      <c r="EW146" s="456">
        <f t="shared" si="413"/>
        <v>0.14903660234869107</v>
      </c>
      <c r="EX146" s="456">
        <f t="shared" si="414"/>
        <v>9.9337865736415329E-2</v>
      </c>
      <c r="EY146" s="456">
        <f t="shared" si="415"/>
        <v>16.472720383969939</v>
      </c>
      <c r="EZ146" s="456"/>
      <c r="FA146" s="456">
        <f t="shared" si="416"/>
        <v>1.8628085106382979</v>
      </c>
      <c r="FB146" s="144">
        <f t="shared" si="417"/>
        <v>18583.903362693345</v>
      </c>
      <c r="FC146" s="150">
        <f t="shared" si="418"/>
        <v>22.674117259132579</v>
      </c>
      <c r="FD146" s="5">
        <f t="shared" si="419"/>
        <v>43.199999999999996</v>
      </c>
      <c r="FE146" s="150">
        <f t="shared" si="420"/>
        <v>0.6557962641087367</v>
      </c>
      <c r="FF146" s="5">
        <f t="shared" si="421"/>
        <v>65.579626410873672</v>
      </c>
      <c r="FI146" s="59">
        <f t="shared" si="422"/>
        <v>-50</v>
      </c>
      <c r="FJ146">
        <f t="shared" si="423"/>
        <v>-50</v>
      </c>
      <c r="FL146">
        <f t="shared" si="475"/>
        <v>0.39476841978957472</v>
      </c>
    </row>
    <row r="147" spans="5:168">
      <c r="E147" s="147">
        <v>37</v>
      </c>
      <c r="F147" s="188">
        <f t="shared" si="476"/>
        <v>1.48</v>
      </c>
      <c r="G147" s="188"/>
      <c r="H147" s="188">
        <f t="shared" si="442"/>
        <v>44.4</v>
      </c>
      <c r="I147" s="465">
        <f t="shared" si="443"/>
        <v>19.898574311886478</v>
      </c>
      <c r="J147" s="149">
        <f t="shared" si="444"/>
        <v>30.454613832061124</v>
      </c>
      <c r="K147" s="149">
        <f t="shared" si="445"/>
        <v>50.353188143947605</v>
      </c>
      <c r="L147" s="379"/>
      <c r="M147" s="188">
        <f t="shared" si="446"/>
        <v>0.60480113974482874</v>
      </c>
      <c r="N147" s="149">
        <f t="shared" si="447"/>
        <v>183.11181386547594</v>
      </c>
      <c r="O147" s="149">
        <f t="shared" si="438"/>
        <v>44.4</v>
      </c>
      <c r="P147" s="188">
        <f t="shared" si="448"/>
        <v>6.1037271288491981</v>
      </c>
      <c r="Q147" s="188">
        <f t="shared" si="449"/>
        <v>30</v>
      </c>
      <c r="R147" s="188"/>
      <c r="S147" s="149">
        <f t="shared" si="450"/>
        <v>183.85648147416961</v>
      </c>
      <c r="T147" s="149">
        <f t="shared" si="451"/>
        <v>30</v>
      </c>
      <c r="U147" s="188">
        <f t="shared" si="452"/>
        <v>7.4899001431552525</v>
      </c>
      <c r="V147" s="188">
        <f t="shared" si="453"/>
        <v>1.7690981334175957</v>
      </c>
      <c r="W147" s="188">
        <f t="shared" si="454"/>
        <v>1.1559013969755279</v>
      </c>
      <c r="X147" s="172">
        <f t="shared" si="455"/>
        <v>350</v>
      </c>
      <c r="Y147" s="379">
        <f t="shared" si="328"/>
        <v>320.00004808775134</v>
      </c>
      <c r="AA147" s="188">
        <f t="shared" si="456"/>
        <v>7.3161429505778921</v>
      </c>
      <c r="AB147" s="150">
        <f t="shared" si="457"/>
        <v>1.1290857949253108</v>
      </c>
      <c r="AC147" s="150">
        <f t="shared" si="458"/>
        <v>1.4455967888495787</v>
      </c>
      <c r="AD147" s="150"/>
      <c r="AE147" s="150">
        <f t="shared" si="459"/>
        <v>0.93532128307143503</v>
      </c>
      <c r="AF147" s="314">
        <f t="shared" si="460"/>
        <v>522.17351282350592</v>
      </c>
      <c r="AG147" s="456">
        <f t="shared" si="461"/>
        <v>0.99200742143940079</v>
      </c>
      <c r="AI147" s="150">
        <f t="shared" si="462"/>
        <v>7.4026881235569437</v>
      </c>
      <c r="AJ147" s="150">
        <f t="shared" si="463"/>
        <v>7.4899001431552525</v>
      </c>
      <c r="AK147" s="150">
        <f t="shared" si="464"/>
        <v>2.2587363574438459</v>
      </c>
      <c r="AM147" s="314">
        <f t="shared" si="465"/>
        <v>1480</v>
      </c>
      <c r="AN147" s="144">
        <f t="shared" si="466"/>
        <v>320.00004808775134</v>
      </c>
      <c r="AP147" s="144">
        <f t="shared" si="467"/>
        <v>1480</v>
      </c>
      <c r="AQ147" s="144">
        <f t="shared" si="468"/>
        <v>320.00004808775134</v>
      </c>
      <c r="AS147" s="5">
        <f t="shared" si="439"/>
        <v>3.1249995303931239</v>
      </c>
      <c r="AT147" s="5">
        <f t="shared" si="469"/>
        <v>1.7690981334175957</v>
      </c>
      <c r="AU147" s="5">
        <f t="shared" si="343"/>
        <v>1.3559013969755283</v>
      </c>
      <c r="AV147" s="5"/>
      <c r="AW147" s="150">
        <f t="shared" si="344"/>
        <v>0.56611148776558173</v>
      </c>
      <c r="AX147" s="150">
        <f t="shared" si="435"/>
        <v>42.186156663627635</v>
      </c>
      <c r="AY147" s="150">
        <f t="shared" si="436"/>
        <v>1.6248908149489945</v>
      </c>
      <c r="AZ147" s="150">
        <f t="shared" si="440"/>
        <v>25.962456231221829</v>
      </c>
      <c r="BA147" s="144">
        <f t="shared" si="433"/>
        <v>8.7275507915268058</v>
      </c>
      <c r="BB147" s="5">
        <f t="shared" si="434"/>
        <v>1.7796729342372317</v>
      </c>
      <c r="BD147" s="150">
        <f t="shared" si="441"/>
        <v>3.2536166676198359</v>
      </c>
      <c r="BE147" s="150">
        <f t="shared" si="437"/>
        <v>2.8484229493409305</v>
      </c>
      <c r="BG147" s="456">
        <f t="shared" si="347"/>
        <v>0.12703225703776327</v>
      </c>
      <c r="BH147" s="456">
        <f t="shared" si="470"/>
        <v>2.2024999813309547</v>
      </c>
      <c r="BI147" s="456">
        <f t="shared" si="349"/>
        <v>3.6800005530091405E-2</v>
      </c>
      <c r="BJ147" s="456">
        <f t="shared" si="350"/>
        <v>0.41986951601217631</v>
      </c>
      <c r="BK147">
        <f t="shared" si="351"/>
        <v>8.9543584403489144E-3</v>
      </c>
      <c r="BL147" s="144">
        <f t="shared" si="427"/>
        <v>45.754363970440316</v>
      </c>
      <c r="BM147" s="456">
        <f t="shared" si="471"/>
        <v>2.8703354078106504</v>
      </c>
      <c r="BN147" s="144">
        <f t="shared" si="353"/>
        <v>2870.3354078106504</v>
      </c>
      <c r="BO147" s="456">
        <f t="shared" si="354"/>
        <v>1.036</v>
      </c>
      <c r="BR147" s="144">
        <f t="shared" si="355"/>
        <v>1036</v>
      </c>
      <c r="BS147" s="456">
        <f t="shared" si="356"/>
        <v>0.14820429987739051</v>
      </c>
      <c r="BT147" s="456">
        <f t="shared" si="357"/>
        <v>0.1135891861766492</v>
      </c>
      <c r="BU147" s="456">
        <f t="shared" si="358"/>
        <v>14.0616143327261</v>
      </c>
      <c r="BV147" s="456"/>
      <c r="BW147" s="456">
        <f t="shared" si="359"/>
        <v>1.795155602707559</v>
      </c>
      <c r="BX147" s="144">
        <f t="shared" si="360"/>
        <v>16118.563421487699</v>
      </c>
      <c r="BY147" s="150">
        <f t="shared" si="361"/>
        <v>19.949719539839034</v>
      </c>
      <c r="BZ147" s="5">
        <f t="shared" si="362"/>
        <v>44.4</v>
      </c>
      <c r="CA147" s="150">
        <f t="shared" si="363"/>
        <v>0.68997969715333218</v>
      </c>
      <c r="CB147" s="5">
        <f t="shared" si="364"/>
        <v>68.997969715333213</v>
      </c>
      <c r="CE147" s="59">
        <f t="shared" si="472"/>
        <v>-50</v>
      </c>
      <c r="CF147">
        <f t="shared" si="473"/>
        <v>-50</v>
      </c>
      <c r="CG147" s="150">
        <f t="shared" si="474"/>
        <v>0.37939106665888161</v>
      </c>
      <c r="CI147" s="147">
        <v>37</v>
      </c>
      <c r="CJ147" s="188">
        <f t="shared" si="428"/>
        <v>1.48</v>
      </c>
      <c r="CK147" s="188"/>
      <c r="CL147" s="188">
        <f t="shared" si="368"/>
        <v>44.4</v>
      </c>
      <c r="CM147" s="465">
        <f t="shared" si="369"/>
        <v>20</v>
      </c>
      <c r="CN147" s="379">
        <f t="shared" si="370"/>
        <v>30.4</v>
      </c>
      <c r="CO147" s="379">
        <f t="shared" si="371"/>
        <v>50.4</v>
      </c>
      <c r="CP147" s="379"/>
      <c r="CQ147" s="188">
        <f t="shared" si="372"/>
        <v>0.60317460317460314</v>
      </c>
      <c r="CR147" s="149">
        <f t="shared" si="429"/>
        <v>183.55019291189507</v>
      </c>
      <c r="CS147" s="149">
        <f t="shared" si="373"/>
        <v>44.4</v>
      </c>
      <c r="CT147" s="188">
        <f t="shared" si="374"/>
        <v>6.1183397637298356</v>
      </c>
      <c r="CU147" s="188">
        <f t="shared" si="375"/>
        <v>30</v>
      </c>
      <c r="CV147" s="188"/>
      <c r="CW147" s="149">
        <f t="shared" si="376"/>
        <v>184.79340283327687</v>
      </c>
      <c r="CX147" s="149">
        <f t="shared" si="377"/>
        <v>30</v>
      </c>
      <c r="CY147" s="188">
        <f t="shared" si="378"/>
        <v>7.3610526315789473</v>
      </c>
      <c r="CZ147" s="188">
        <f t="shared" si="379"/>
        <v>1.7298473684210525</v>
      </c>
      <c r="DA147" s="188">
        <f t="shared" si="380"/>
        <v>1.1380574792243767</v>
      </c>
      <c r="DB147" s="172">
        <f t="shared" si="381"/>
        <v>350</v>
      </c>
      <c r="DC147" s="379">
        <f t="shared" si="382"/>
        <v>348.68660333030482</v>
      </c>
      <c r="DE147" s="188">
        <f t="shared" si="383"/>
        <v>7.3334298258310406</v>
      </c>
      <c r="DF147" s="150">
        <f t="shared" si="384"/>
        <v>1.1337868480725624</v>
      </c>
      <c r="DG147" s="150">
        <f t="shared" si="385"/>
        <v>1.4550456003633017</v>
      </c>
      <c r="DH147" s="150"/>
      <c r="DI147" s="150">
        <f t="shared" si="386"/>
        <v>0.93700159489633172</v>
      </c>
      <c r="DJ147" s="314">
        <f t="shared" si="387"/>
        <v>521.23710638297871</v>
      </c>
      <c r="DK147" s="456">
        <f t="shared" si="388"/>
        <v>0.99378957034459414</v>
      </c>
      <c r="DM147" s="150">
        <f t="shared" si="389"/>
        <v>7.3960475767019584</v>
      </c>
      <c r="DN147" s="150">
        <f t="shared" si="390"/>
        <v>7.3610526315789473</v>
      </c>
      <c r="DO147" s="150">
        <f t="shared" si="391"/>
        <v>2.1632937562762122</v>
      </c>
      <c r="DQ147" s="314">
        <f t="shared" si="392"/>
        <v>1480</v>
      </c>
      <c r="DR147" s="144">
        <f t="shared" si="393"/>
        <v>348.68660333030482</v>
      </c>
      <c r="DT147">
        <f t="shared" si="430"/>
        <v>1480</v>
      </c>
      <c r="DU147">
        <f t="shared" si="431"/>
        <v>348.68660333030482</v>
      </c>
      <c r="DW147" s="5">
        <f t="shared" si="394"/>
        <v>2.8679048476454292</v>
      </c>
      <c r="DX147" s="5">
        <f t="shared" si="395"/>
        <v>1.7298473684210525</v>
      </c>
      <c r="DY147" s="5">
        <f t="shared" si="396"/>
        <v>1.1380574792243767</v>
      </c>
      <c r="DZ147" s="5"/>
      <c r="EA147" s="150">
        <f t="shared" si="397"/>
        <v>0.60317460317460314</v>
      </c>
      <c r="EB147" s="150">
        <f t="shared" si="398"/>
        <v>44.4</v>
      </c>
      <c r="EC147" s="150">
        <f t="shared" si="399"/>
        <v>1.4605263157894739</v>
      </c>
      <c r="ED147" s="150">
        <f t="shared" si="400"/>
        <v>30.399999999999995</v>
      </c>
      <c r="EE147" s="144">
        <f t="shared" si="401"/>
        <v>8.5339136842105248</v>
      </c>
      <c r="EF147" s="5">
        <f t="shared" si="402"/>
        <v>1.4861691787518327</v>
      </c>
      <c r="EH147" s="150">
        <f t="shared" si="403"/>
        <v>3.3006602210371248</v>
      </c>
      <c r="EI147" s="150">
        <f t="shared" si="404"/>
        <v>2.677188958632096</v>
      </c>
      <c r="EK147" s="456">
        <f t="shared" si="405"/>
        <v>0.13073229473684209</v>
      </c>
      <c r="EL147" s="456">
        <f t="shared" si="406"/>
        <v>2.4578723404255323</v>
      </c>
      <c r="EM147" s="456">
        <f t="shared" si="407"/>
        <v>4.0098959382985057E-2</v>
      </c>
      <c r="EN147" s="456">
        <f t="shared" si="408"/>
        <v>0.45835997699827496</v>
      </c>
      <c r="EO147">
        <f t="shared" si="409"/>
        <v>8.9999999999999993E-3</v>
      </c>
      <c r="EP147" s="144">
        <f t="shared" si="410"/>
        <v>49.098959382985058</v>
      </c>
      <c r="EQ147" s="144"/>
      <c r="ER147" s="144">
        <f t="shared" si="432"/>
        <v>3096.0635715436342</v>
      </c>
      <c r="ES147" s="456">
        <f t="shared" si="411"/>
        <v>1.036</v>
      </c>
      <c r="EV147" s="144">
        <f t="shared" si="412"/>
        <v>1036</v>
      </c>
      <c r="EW147" s="456">
        <f t="shared" si="413"/>
        <v>0.15252101052631578</v>
      </c>
      <c r="EX147" s="456">
        <f t="shared" si="414"/>
        <v>0.10034277008310249</v>
      </c>
      <c r="EY147" s="456">
        <f t="shared" si="415"/>
        <v>16.688141232989643</v>
      </c>
      <c r="EZ147" s="456"/>
      <c r="FA147" s="456">
        <f t="shared" si="416"/>
        <v>1.8893617021276596</v>
      </c>
      <c r="FB147" s="144">
        <f t="shared" si="417"/>
        <v>18830.366715726719</v>
      </c>
      <c r="FC147" s="150">
        <f t="shared" si="418"/>
        <v>22.962430287270355</v>
      </c>
      <c r="FD147" s="5">
        <f t="shared" si="419"/>
        <v>44.4</v>
      </c>
      <c r="FE147" s="150">
        <f t="shared" si="420"/>
        <v>0.65912111262396622</v>
      </c>
      <c r="FF147" s="5">
        <f t="shared" si="421"/>
        <v>65.912111262396621</v>
      </c>
      <c r="FI147" s="59">
        <f t="shared" si="422"/>
        <v>-50</v>
      </c>
      <c r="FJ147">
        <f t="shared" si="423"/>
        <v>-50</v>
      </c>
      <c r="FL147">
        <f t="shared" si="475"/>
        <v>0.39682539682539686</v>
      </c>
    </row>
    <row r="148" spans="5:168">
      <c r="E148" s="147">
        <v>38</v>
      </c>
      <c r="F148" s="188">
        <f t="shared" si="476"/>
        <v>1.52</v>
      </c>
      <c r="G148" s="188"/>
      <c r="H148" s="188">
        <f t="shared" si="442"/>
        <v>45.6</v>
      </c>
      <c r="I148" s="465">
        <f t="shared" si="443"/>
        <v>19.895958894131482</v>
      </c>
      <c r="J148" s="149">
        <f t="shared" si="444"/>
        <v>30.456022133929199</v>
      </c>
      <c r="K148" s="149">
        <f t="shared" si="445"/>
        <v>50.351981028060678</v>
      </c>
      <c r="L148" s="379"/>
      <c r="M148" s="188">
        <f t="shared" si="446"/>
        <v>0.60484363289134069</v>
      </c>
      <c r="N148" s="149">
        <f t="shared" si="447"/>
        <v>183.10060980669743</v>
      </c>
      <c r="O148" s="149">
        <f t="shared" si="438"/>
        <v>45.6</v>
      </c>
      <c r="P148" s="188">
        <f t="shared" si="448"/>
        <v>6.1033536602232479</v>
      </c>
      <c r="Q148" s="188">
        <f t="shared" si="449"/>
        <v>30</v>
      </c>
      <c r="R148" s="188"/>
      <c r="S148" s="149">
        <f t="shared" si="450"/>
        <v>178.47348190033912</v>
      </c>
      <c r="T148" s="149">
        <f t="shared" si="451"/>
        <v>30</v>
      </c>
      <c r="U148" s="188">
        <f t="shared" si="452"/>
        <v>7.6931570715753299</v>
      </c>
      <c r="V148" s="188">
        <f t="shared" si="453"/>
        <v>1.817345845395226</v>
      </c>
      <c r="W148" s="188">
        <f t="shared" si="454"/>
        <v>1.187214734655804</v>
      </c>
      <c r="X148" s="172">
        <f t="shared" si="455"/>
        <v>350</v>
      </c>
      <c r="Y148" s="379">
        <f t="shared" si="328"/>
        <v>312.05526468283392</v>
      </c>
      <c r="AA148" s="188">
        <f t="shared" si="456"/>
        <v>7.3156949877696231</v>
      </c>
      <c r="AB148" s="150">
        <f t="shared" si="457"/>
        <v>1.1289644554142992</v>
      </c>
      <c r="AC148" s="150">
        <f t="shared" si="458"/>
        <v>1.4453529313727789</v>
      </c>
      <c r="AD148" s="150"/>
      <c r="AE148" s="150">
        <f t="shared" si="459"/>
        <v>0.93527803334222193</v>
      </c>
      <c r="AF148" s="314">
        <f t="shared" si="460"/>
        <v>536.31110976436526</v>
      </c>
      <c r="AG148" s="456">
        <f t="shared" si="461"/>
        <v>0.99196155051447799</v>
      </c>
      <c r="AI148" s="150">
        <f t="shared" si="462"/>
        <v>7.502230966550413</v>
      </c>
      <c r="AJ148" s="150">
        <f t="shared" si="463"/>
        <v>7.6931570715753299</v>
      </c>
      <c r="AK148" s="150">
        <f t="shared" si="464"/>
        <v>2.4092970451624218</v>
      </c>
      <c r="AM148" s="314">
        <f t="shared" si="465"/>
        <v>1520</v>
      </c>
      <c r="AN148" s="144">
        <f t="shared" si="466"/>
        <v>312.05526468283392</v>
      </c>
      <c r="AP148" s="144">
        <f t="shared" si="467"/>
        <v>1520</v>
      </c>
      <c r="AQ148" s="144">
        <f t="shared" si="468"/>
        <v>312.05526468283392</v>
      </c>
      <c r="AS148" s="5">
        <f t="shared" si="439"/>
        <v>3.2045605800510302</v>
      </c>
      <c r="AT148" s="5">
        <f t="shared" si="469"/>
        <v>1.817345845395226</v>
      </c>
      <c r="AU148" s="5">
        <f t="shared" si="343"/>
        <v>1.3872147346558041</v>
      </c>
      <c r="AV148" s="5"/>
      <c r="AW148" s="150">
        <f t="shared" si="344"/>
        <v>0.56711233880505585</v>
      </c>
      <c r="AX148" s="150">
        <f t="shared" si="435"/>
        <v>43.401883342901122</v>
      </c>
      <c r="AY148" s="150">
        <f t="shared" si="436"/>
        <v>1.665136385959795</v>
      </c>
      <c r="AZ148" s="150">
        <f t="shared" si="440"/>
        <v>26.065062122754593</v>
      </c>
      <c r="BA148" s="144">
        <f t="shared" si="433"/>
        <v>9.2078856166691452</v>
      </c>
      <c r="BB148" s="5">
        <f t="shared" si="434"/>
        <v>1.8702287953785832</v>
      </c>
      <c r="BD148" s="150">
        <f t="shared" si="441"/>
        <v>3.344864431849794</v>
      </c>
      <c r="BE148" s="150">
        <f t="shared" si="437"/>
        <v>2.9223456061622812</v>
      </c>
      <c r="BG148" s="456">
        <f t="shared" si="347"/>
        <v>0.13425741680944614</v>
      </c>
      <c r="BH148" s="456">
        <f t="shared" si="470"/>
        <v>2.2060509790909375</v>
      </c>
      <c r="BI148" s="456">
        <f t="shared" si="349"/>
        <v>3.5886355438525905E-2</v>
      </c>
      <c r="BJ148" s="456">
        <f t="shared" si="350"/>
        <v>0.40942559793629385</v>
      </c>
      <c r="BK148">
        <f t="shared" si="351"/>
        <v>8.9531815023591674E-3</v>
      </c>
      <c r="BL148" s="144">
        <f t="shared" si="427"/>
        <v>44.839536940885068</v>
      </c>
      <c r="BM148" s="456">
        <f t="shared" si="471"/>
        <v>2.8777835312253126</v>
      </c>
      <c r="BN148" s="144">
        <f t="shared" si="353"/>
        <v>2877.7835312253128</v>
      </c>
      <c r="BO148" s="456">
        <f t="shared" si="354"/>
        <v>1.0639999999999998</v>
      </c>
      <c r="BR148" s="144">
        <f t="shared" si="355"/>
        <v>1063.9999999999998</v>
      </c>
      <c r="BS148" s="456">
        <f t="shared" si="356"/>
        <v>0.15663365294435383</v>
      </c>
      <c r="BT148" s="456">
        <f t="shared" si="357"/>
        <v>0.11956145378598389</v>
      </c>
      <c r="BU148" s="456">
        <f t="shared" si="358"/>
        <v>14.119206436635393</v>
      </c>
      <c r="BV148" s="456"/>
      <c r="BW148" s="456">
        <f t="shared" si="359"/>
        <v>1.8468886528894093</v>
      </c>
      <c r="BX148" s="144">
        <f t="shared" si="360"/>
        <v>16242.29019625514</v>
      </c>
      <c r="BY148" s="150">
        <f t="shared" si="361"/>
        <v>20.100863727032703</v>
      </c>
      <c r="BZ148" s="5">
        <f t="shared" si="362"/>
        <v>45.6</v>
      </c>
      <c r="CA148" s="150">
        <f t="shared" si="363"/>
        <v>0.6940548025282326</v>
      </c>
      <c r="CB148" s="5">
        <f t="shared" si="364"/>
        <v>69.405480252823253</v>
      </c>
      <c r="CE148" s="59">
        <f t="shared" si="472"/>
        <v>-50</v>
      </c>
      <c r="CF148">
        <f t="shared" si="473"/>
        <v>-50</v>
      </c>
      <c r="CG148" s="150">
        <f t="shared" si="474"/>
        <v>0.37984986482115823</v>
      </c>
      <c r="CI148" s="147">
        <v>38</v>
      </c>
      <c r="CJ148" s="188">
        <f t="shared" si="428"/>
        <v>1.52</v>
      </c>
      <c r="CK148" s="188"/>
      <c r="CL148" s="188">
        <f t="shared" si="368"/>
        <v>45.6</v>
      </c>
      <c r="CM148" s="465">
        <f t="shared" si="369"/>
        <v>20</v>
      </c>
      <c r="CN148" s="379">
        <f t="shared" si="370"/>
        <v>30.4</v>
      </c>
      <c r="CO148" s="379">
        <f t="shared" si="371"/>
        <v>50.4</v>
      </c>
      <c r="CP148" s="379"/>
      <c r="CQ148" s="188">
        <f t="shared" si="372"/>
        <v>0.60317460317460314</v>
      </c>
      <c r="CR148" s="149">
        <f t="shared" si="429"/>
        <v>183.55019291189507</v>
      </c>
      <c r="CS148" s="149">
        <f t="shared" si="373"/>
        <v>45.6</v>
      </c>
      <c r="CT148" s="188">
        <f t="shared" si="374"/>
        <v>6.1183397637298356</v>
      </c>
      <c r="CU148" s="188">
        <f t="shared" si="375"/>
        <v>30</v>
      </c>
      <c r="CV148" s="188"/>
      <c r="CW148" s="149">
        <f t="shared" si="376"/>
        <v>179.40653373259627</v>
      </c>
      <c r="CX148" s="149">
        <f t="shared" si="377"/>
        <v>30</v>
      </c>
      <c r="CY148" s="188">
        <f t="shared" si="378"/>
        <v>7.5600000000000005</v>
      </c>
      <c r="CZ148" s="188">
        <f t="shared" si="379"/>
        <v>1.7766000000000002</v>
      </c>
      <c r="DA148" s="188">
        <f t="shared" si="380"/>
        <v>1.1688157894736844</v>
      </c>
      <c r="DB148" s="172">
        <f t="shared" si="381"/>
        <v>350</v>
      </c>
      <c r="DC148" s="379">
        <f t="shared" si="382"/>
        <v>339.51064008477044</v>
      </c>
      <c r="DE148" s="188">
        <f t="shared" si="383"/>
        <v>7.3334298258310406</v>
      </c>
      <c r="DF148" s="150">
        <f t="shared" si="384"/>
        <v>1.1337868480725624</v>
      </c>
      <c r="DG148" s="150">
        <f t="shared" si="385"/>
        <v>1.4550456003633017</v>
      </c>
      <c r="DH148" s="150"/>
      <c r="DI148" s="150">
        <f t="shared" si="386"/>
        <v>0.93700159489633172</v>
      </c>
      <c r="DJ148" s="314">
        <f t="shared" si="387"/>
        <v>535.32459574468089</v>
      </c>
      <c r="DK148" s="456">
        <f t="shared" si="388"/>
        <v>0.99378957034459414</v>
      </c>
      <c r="DM148" s="150">
        <f t="shared" si="389"/>
        <v>7.4953278253673759</v>
      </c>
      <c r="DN148" s="150">
        <f t="shared" si="390"/>
        <v>7.5600000000000005</v>
      </c>
      <c r="DO148" s="150">
        <f t="shared" si="391"/>
        <v>2.3106621773288443</v>
      </c>
      <c r="DQ148" s="314">
        <f t="shared" si="392"/>
        <v>1520</v>
      </c>
      <c r="DR148" s="144">
        <f t="shared" si="393"/>
        <v>339.51064008477044</v>
      </c>
      <c r="DT148">
        <f t="shared" si="430"/>
        <v>1520</v>
      </c>
      <c r="DU148">
        <f t="shared" si="431"/>
        <v>339.51064008477044</v>
      </c>
      <c r="DW148" s="5">
        <f t="shared" si="394"/>
        <v>2.9454157894736843</v>
      </c>
      <c r="DX148" s="5">
        <f t="shared" si="395"/>
        <v>1.7766000000000002</v>
      </c>
      <c r="DY148" s="5">
        <f t="shared" si="396"/>
        <v>1.1688157894736841</v>
      </c>
      <c r="DZ148" s="5"/>
      <c r="EA148" s="150">
        <f t="shared" si="397"/>
        <v>0.60317460317460325</v>
      </c>
      <c r="EB148" s="150">
        <f t="shared" si="398"/>
        <v>45.600000000000009</v>
      </c>
      <c r="EC148" s="150">
        <f t="shared" si="399"/>
        <v>1.4999999999999998</v>
      </c>
      <c r="ED148" s="150">
        <f t="shared" si="400"/>
        <v>30.400000000000009</v>
      </c>
      <c r="EE148" s="144">
        <f t="shared" si="401"/>
        <v>9.0014400000000006</v>
      </c>
      <c r="EF148" s="5">
        <f t="shared" si="402"/>
        <v>1.5675882352941177</v>
      </c>
      <c r="EH148" s="150">
        <f t="shared" si="403"/>
        <v>3.3898672540381289</v>
      </c>
      <c r="EI148" s="150">
        <f t="shared" si="404"/>
        <v>2.7495454169735036</v>
      </c>
      <c r="EK148" s="456">
        <f t="shared" si="405"/>
        <v>0.13789440000000006</v>
      </c>
      <c r="EL148" s="456">
        <f t="shared" si="406"/>
        <v>2.4578723404255323</v>
      </c>
      <c r="EM148" s="456">
        <f t="shared" si="407"/>
        <v>3.9043723609748601E-2</v>
      </c>
      <c r="EN148" s="456">
        <f t="shared" si="408"/>
        <v>0.44629787234042556</v>
      </c>
      <c r="EO148">
        <f t="shared" si="409"/>
        <v>8.9999999999999993E-3</v>
      </c>
      <c r="EP148" s="144">
        <f t="shared" si="410"/>
        <v>48.043723609748604</v>
      </c>
      <c r="EQ148" s="144"/>
      <c r="ER148" s="144">
        <f t="shared" si="432"/>
        <v>3090.1083363757061</v>
      </c>
      <c r="ES148" s="456">
        <f t="shared" si="411"/>
        <v>1.0639999999999998</v>
      </c>
      <c r="EV148" s="144">
        <f t="shared" si="412"/>
        <v>1063.9999999999998</v>
      </c>
      <c r="EW148" s="456">
        <f t="shared" si="413"/>
        <v>0.16087680000000007</v>
      </c>
      <c r="EX148" s="456">
        <f t="shared" si="414"/>
        <v>0.10583999999999998</v>
      </c>
      <c r="EY148" s="456">
        <f t="shared" si="415"/>
        <v>16.688141232989619</v>
      </c>
      <c r="EZ148" s="456"/>
      <c r="FA148" s="456">
        <f t="shared" si="416"/>
        <v>1.9404255319148938</v>
      </c>
      <c r="FB148" s="144">
        <f t="shared" si="417"/>
        <v>18895.283564904512</v>
      </c>
      <c r="FC148" s="150">
        <f t="shared" si="418"/>
        <v>23.04939190128022</v>
      </c>
      <c r="FD148" s="5">
        <f t="shared" si="419"/>
        <v>45.6</v>
      </c>
      <c r="FE148" s="150">
        <f t="shared" si="420"/>
        <v>0.66424477678657512</v>
      </c>
      <c r="FF148" s="5">
        <f t="shared" si="421"/>
        <v>66.42447767865751</v>
      </c>
      <c r="FI148" s="59">
        <f t="shared" si="422"/>
        <v>-50</v>
      </c>
      <c r="FJ148">
        <f t="shared" si="423"/>
        <v>-50</v>
      </c>
      <c r="FL148">
        <f t="shared" si="475"/>
        <v>0.39682539682539675</v>
      </c>
    </row>
    <row r="149" spans="5:168">
      <c r="E149" s="147">
        <v>39</v>
      </c>
      <c r="F149" s="188">
        <f t="shared" si="476"/>
        <v>1.56</v>
      </c>
      <c r="G149" s="188"/>
      <c r="H149" s="188">
        <f t="shared" si="442"/>
        <v>46.800000000000004</v>
      </c>
      <c r="I149" s="465">
        <f t="shared" si="443"/>
        <v>19.89334318835893</v>
      </c>
      <c r="J149" s="149">
        <f t="shared" si="444"/>
        <v>30.45743059088365</v>
      </c>
      <c r="K149" s="149">
        <f t="shared" si="445"/>
        <v>50.35077377924258</v>
      </c>
      <c r="L149" s="379"/>
      <c r="M149" s="188">
        <f t="shared" si="446"/>
        <v>0.60488613153077664</v>
      </c>
      <c r="N149" s="149">
        <f t="shared" si="447"/>
        <v>183.08940137776969</v>
      </c>
      <c r="O149" s="149">
        <f t="shared" si="438"/>
        <v>46.800000000000004</v>
      </c>
      <c r="P149" s="188">
        <f t="shared" si="448"/>
        <v>6.1029800459256567</v>
      </c>
      <c r="Q149" s="188">
        <f t="shared" si="449"/>
        <v>30</v>
      </c>
      <c r="R149" s="188"/>
      <c r="S149" s="149">
        <f t="shared" si="450"/>
        <v>173.36673895578571</v>
      </c>
      <c r="T149" s="149">
        <f t="shared" si="451"/>
        <v>30</v>
      </c>
      <c r="U149" s="188">
        <f t="shared" si="452"/>
        <v>7.8964578289486846</v>
      </c>
      <c r="V149" s="188">
        <f t="shared" si="453"/>
        <v>1.8656166258558589</v>
      </c>
      <c r="W149" s="188">
        <f t="shared" si="454"/>
        <v>1.2185319337858846</v>
      </c>
      <c r="X149" s="172">
        <f t="shared" si="455"/>
        <v>350</v>
      </c>
      <c r="Y149" s="379">
        <f t="shared" si="328"/>
        <v>304.4929246772827</v>
      </c>
      <c r="AA149" s="188">
        <f t="shared" si="456"/>
        <v>7.3152468651935703</v>
      </c>
      <c r="AB149" s="150">
        <f t="shared" si="457"/>
        <v>1.1288430967220429</v>
      </c>
      <c r="AC149" s="150">
        <f t="shared" si="458"/>
        <v>1.4451090368034822</v>
      </c>
      <c r="AD149" s="150"/>
      <c r="AE149" s="150">
        <f t="shared" si="459"/>
        <v>0.9352347828504749</v>
      </c>
      <c r="AF149" s="314">
        <f t="shared" si="460"/>
        <v>550.45001473422121</v>
      </c>
      <c r="AG149" s="456">
        <f t="shared" si="461"/>
        <v>0.99191567878080689</v>
      </c>
      <c r="AI149" s="150">
        <f t="shared" si="462"/>
        <v>7.6004792459502024</v>
      </c>
      <c r="AJ149" s="150">
        <f t="shared" si="463"/>
        <v>7.8964578289486846</v>
      </c>
      <c r="AK149" s="150">
        <f t="shared" si="464"/>
        <v>2.5598901987723144</v>
      </c>
      <c r="AM149" s="314">
        <f t="shared" si="465"/>
        <v>1560</v>
      </c>
      <c r="AN149" s="144">
        <f t="shared" si="466"/>
        <v>304.4929246772827</v>
      </c>
      <c r="AP149" s="144">
        <f t="shared" si="467"/>
        <v>1560</v>
      </c>
      <c r="AQ149" s="144">
        <f t="shared" si="468"/>
        <v>304.4929246772827</v>
      </c>
      <c r="AS149" s="5">
        <f t="shared" si="439"/>
        <v>3.2841485596417437</v>
      </c>
      <c r="AT149" s="5">
        <f t="shared" si="469"/>
        <v>1.8656166258558589</v>
      </c>
      <c r="AU149" s="5">
        <f t="shared" si="343"/>
        <v>1.4185319337858848</v>
      </c>
      <c r="AV149" s="5"/>
      <c r="AW149" s="150">
        <f t="shared" si="344"/>
        <v>0.56806706273341434</v>
      </c>
      <c r="AX149" s="150">
        <f t="shared" si="435"/>
        <v>44.617959880061683</v>
      </c>
      <c r="AY149" s="150">
        <f t="shared" si="436"/>
        <v>1.7053701120297657</v>
      </c>
      <c r="AZ149" s="150">
        <f t="shared" si="440"/>
        <v>26.163212058968533</v>
      </c>
      <c r="BA149" s="144">
        <f t="shared" si="433"/>
        <v>9.7012064544504675</v>
      </c>
      <c r="BB149" s="5">
        <f t="shared" si="434"/>
        <v>1.9630360436061829</v>
      </c>
      <c r="BD149" s="150">
        <f t="shared" si="441"/>
        <v>3.4361451220604704</v>
      </c>
      <c r="BE149" s="150">
        <f t="shared" si="437"/>
        <v>2.996262468742521</v>
      </c>
      <c r="BG149" s="456">
        <f t="shared" si="347"/>
        <v>0.14168511959831959</v>
      </c>
      <c r="BH149" s="456">
        <f t="shared" si="470"/>
        <v>2.2094213374108924</v>
      </c>
      <c r="BI149" s="456">
        <f t="shared" si="349"/>
        <v>3.5016686337887515E-2</v>
      </c>
      <c r="BJ149" s="456">
        <f t="shared" si="350"/>
        <v>0.39948443062523853</v>
      </c>
      <c r="BK149">
        <f t="shared" si="351"/>
        <v>8.952004434761518E-3</v>
      </c>
      <c r="BL149" s="144">
        <f t="shared" si="427"/>
        <v>43.968690772649033</v>
      </c>
      <c r="BM149" s="456">
        <f t="shared" si="471"/>
        <v>2.886001328060531</v>
      </c>
      <c r="BN149" s="144">
        <f t="shared" si="353"/>
        <v>2886.0013280605308</v>
      </c>
      <c r="BO149" s="456">
        <f t="shared" si="354"/>
        <v>1.0919999999999999</v>
      </c>
      <c r="BR149" s="144">
        <f t="shared" si="355"/>
        <v>1091.9999999999998</v>
      </c>
      <c r="BS149" s="456">
        <f t="shared" si="356"/>
        <v>0.16529930619803951</v>
      </c>
      <c r="BT149" s="456">
        <f t="shared" si="357"/>
        <v>0.12568624294233036</v>
      </c>
      <c r="BU149" s="456">
        <f t="shared" si="358"/>
        <v>14.174045395368855</v>
      </c>
      <c r="BV149" s="456"/>
      <c r="BW149" s="456">
        <f t="shared" si="359"/>
        <v>1.8986365906409226</v>
      </c>
      <c r="BX149" s="144">
        <f t="shared" si="360"/>
        <v>16363.667535150149</v>
      </c>
      <c r="BY149" s="150">
        <f t="shared" si="361"/>
        <v>20.250227113557248</v>
      </c>
      <c r="BZ149" s="5">
        <f t="shared" si="362"/>
        <v>46.800000000000004</v>
      </c>
      <c r="CA149" s="150">
        <f t="shared" si="363"/>
        <v>0.69798421295037272</v>
      </c>
      <c r="CB149" s="5">
        <f t="shared" si="364"/>
        <v>69.798421295037272</v>
      </c>
      <c r="CE149" s="59">
        <f t="shared" si="472"/>
        <v>-50</v>
      </c>
      <c r="CF149">
        <f t="shared" si="473"/>
        <v>-50</v>
      </c>
      <c r="CG149" s="150">
        <f t="shared" si="474"/>
        <v>0.38028513487254906</v>
      </c>
      <c r="CI149" s="147">
        <v>39</v>
      </c>
      <c r="CJ149" s="188">
        <f t="shared" si="428"/>
        <v>1.56</v>
      </c>
      <c r="CK149" s="188"/>
      <c r="CL149" s="188">
        <f t="shared" si="368"/>
        <v>46.800000000000004</v>
      </c>
      <c r="CM149" s="465">
        <f t="shared" si="369"/>
        <v>20</v>
      </c>
      <c r="CN149" s="379">
        <f t="shared" si="370"/>
        <v>30.4</v>
      </c>
      <c r="CO149" s="379">
        <f t="shared" si="371"/>
        <v>50.4</v>
      </c>
      <c r="CP149" s="379"/>
      <c r="CQ149" s="188">
        <f t="shared" si="372"/>
        <v>0.60317460317460314</v>
      </c>
      <c r="CR149" s="149">
        <f t="shared" si="429"/>
        <v>183.55019291189507</v>
      </c>
      <c r="CS149" s="149">
        <f t="shared" si="373"/>
        <v>46.800000000000004</v>
      </c>
      <c r="CT149" s="188">
        <f t="shared" si="374"/>
        <v>6.1183397637298356</v>
      </c>
      <c r="CU149" s="188">
        <f t="shared" si="375"/>
        <v>30</v>
      </c>
      <c r="CV149" s="188"/>
      <c r="CW149" s="149">
        <f t="shared" si="376"/>
        <v>174.29598808946608</v>
      </c>
      <c r="CX149" s="149">
        <f t="shared" si="377"/>
        <v>30</v>
      </c>
      <c r="CY149" s="188">
        <f t="shared" si="378"/>
        <v>7.7589473684210537</v>
      </c>
      <c r="CZ149" s="188">
        <f t="shared" si="379"/>
        <v>1.8233526315789477</v>
      </c>
      <c r="DA149" s="188">
        <f t="shared" si="380"/>
        <v>1.199574099722992</v>
      </c>
      <c r="DB149" s="172">
        <f t="shared" si="381"/>
        <v>350</v>
      </c>
      <c r="DC149" s="379">
        <f t="shared" si="382"/>
        <v>330.80523905695577</v>
      </c>
      <c r="DE149" s="188">
        <f t="shared" si="383"/>
        <v>7.3334298258310406</v>
      </c>
      <c r="DF149" s="150">
        <f t="shared" si="384"/>
        <v>1.1337868480725624</v>
      </c>
      <c r="DG149" s="150">
        <f t="shared" si="385"/>
        <v>1.4550456003633017</v>
      </c>
      <c r="DH149" s="150"/>
      <c r="DI149" s="150">
        <f t="shared" si="386"/>
        <v>0.93700159489633172</v>
      </c>
      <c r="DJ149" s="314">
        <f t="shared" si="387"/>
        <v>549.41208510638296</v>
      </c>
      <c r="DK149" s="456">
        <f t="shared" si="388"/>
        <v>0.99378957034459414</v>
      </c>
      <c r="DM149" s="150">
        <f t="shared" si="389"/>
        <v>7.593310125539058</v>
      </c>
      <c r="DN149" s="150">
        <f t="shared" si="390"/>
        <v>7.7589473684210537</v>
      </c>
      <c r="DO149" s="150">
        <f t="shared" si="391"/>
        <v>2.4580305983814768</v>
      </c>
      <c r="DQ149" s="314">
        <f t="shared" si="392"/>
        <v>1560</v>
      </c>
      <c r="DR149" s="144">
        <f t="shared" si="393"/>
        <v>330.80523905695577</v>
      </c>
      <c r="DT149">
        <f t="shared" si="430"/>
        <v>1560</v>
      </c>
      <c r="DU149">
        <f t="shared" si="431"/>
        <v>330.80523905695577</v>
      </c>
      <c r="DW149" s="5">
        <f t="shared" si="394"/>
        <v>3.0229267313019395</v>
      </c>
      <c r="DX149" s="5">
        <f t="shared" si="395"/>
        <v>1.8233526315789477</v>
      </c>
      <c r="DY149" s="5">
        <f t="shared" si="396"/>
        <v>1.1995740997229918</v>
      </c>
      <c r="DZ149" s="5"/>
      <c r="EA149" s="150">
        <f t="shared" si="397"/>
        <v>0.60317460317460314</v>
      </c>
      <c r="EB149" s="150">
        <f t="shared" si="398"/>
        <v>46.800000000000004</v>
      </c>
      <c r="EC149" s="150">
        <f t="shared" si="399"/>
        <v>1.5394736842105265</v>
      </c>
      <c r="ED149" s="150">
        <f t="shared" si="400"/>
        <v>30.4</v>
      </c>
      <c r="EE149" s="144">
        <f t="shared" si="401"/>
        <v>9.4814336842105291</v>
      </c>
      <c r="EF149" s="5">
        <f t="shared" si="402"/>
        <v>1.65117846667753</v>
      </c>
      <c r="EH149" s="150">
        <f t="shared" si="403"/>
        <v>3.4790742870391322</v>
      </c>
      <c r="EI149" s="150">
        <f t="shared" si="404"/>
        <v>2.8219018753149125</v>
      </c>
      <c r="EK149" s="456">
        <f t="shared" si="405"/>
        <v>0.14524749473684215</v>
      </c>
      <c r="EL149" s="456">
        <f t="shared" si="406"/>
        <v>2.4578723404255318</v>
      </c>
      <c r="EM149" s="456">
        <f t="shared" si="407"/>
        <v>3.8042602491549914E-2</v>
      </c>
      <c r="EN149" s="456">
        <f t="shared" si="408"/>
        <v>0.43485433715220945</v>
      </c>
      <c r="EO149">
        <f t="shared" si="409"/>
        <v>8.9999999999999993E-3</v>
      </c>
      <c r="EP149" s="144">
        <f t="shared" si="410"/>
        <v>47.042602491549914</v>
      </c>
      <c r="EQ149" s="144"/>
      <c r="ER149" s="144">
        <f t="shared" si="432"/>
        <v>3085.0167748061331</v>
      </c>
      <c r="ES149" s="456">
        <f t="shared" si="411"/>
        <v>1.0919999999999999</v>
      </c>
      <c r="EV149" s="144">
        <f t="shared" si="412"/>
        <v>1091.9999999999998</v>
      </c>
      <c r="EW149" s="456">
        <f t="shared" si="413"/>
        <v>0.16945541052631585</v>
      </c>
      <c r="EX149" s="456">
        <f t="shared" si="414"/>
        <v>0.11148382271468148</v>
      </c>
      <c r="EY149" s="456">
        <f t="shared" si="415"/>
        <v>16.688141232989647</v>
      </c>
      <c r="EZ149" s="456"/>
      <c r="FA149" s="456">
        <f t="shared" si="416"/>
        <v>1.9914893617021283</v>
      </c>
      <c r="FB149" s="144">
        <f t="shared" si="417"/>
        <v>18960.569827932773</v>
      </c>
      <c r="FC149" s="150">
        <f t="shared" si="418"/>
        <v>23.137586602738907</v>
      </c>
      <c r="FD149" s="5">
        <f t="shared" si="419"/>
        <v>46.800000000000004</v>
      </c>
      <c r="FE149" s="150">
        <f t="shared" si="420"/>
        <v>0.66916807218176455</v>
      </c>
      <c r="FF149" s="5">
        <f t="shared" si="421"/>
        <v>66.916807218176459</v>
      </c>
      <c r="FI149" s="59">
        <f t="shared" si="422"/>
        <v>-50</v>
      </c>
      <c r="FJ149">
        <f t="shared" si="423"/>
        <v>-50</v>
      </c>
      <c r="FL149">
        <f t="shared" si="475"/>
        <v>0.39682539682539686</v>
      </c>
    </row>
    <row r="150" spans="5:168">
      <c r="E150" s="147">
        <v>40</v>
      </c>
      <c r="F150" s="188">
        <f t="shared" si="476"/>
        <v>1.6</v>
      </c>
      <c r="G150" s="188"/>
      <c r="H150" s="188">
        <f t="shared" si="442"/>
        <v>48</v>
      </c>
      <c r="I150" s="465">
        <f t="shared" si="443"/>
        <v>19.890727217085193</v>
      </c>
      <c r="J150" s="149">
        <f t="shared" si="444"/>
        <v>30.45883919080028</v>
      </c>
      <c r="K150" s="149">
        <f t="shared" si="445"/>
        <v>50.349566407885476</v>
      </c>
      <c r="L150" s="379"/>
      <c r="M150" s="188">
        <f t="shared" si="446"/>
        <v>0.60492863539372266</v>
      </c>
      <c r="N150" s="149">
        <f t="shared" si="447"/>
        <v>183.07818870318667</v>
      </c>
      <c r="O150" s="149">
        <f t="shared" si="438"/>
        <v>48</v>
      </c>
      <c r="P150" s="188">
        <f t="shared" si="448"/>
        <v>6.1026062901062224</v>
      </c>
      <c r="Q150" s="188">
        <f t="shared" si="449"/>
        <v>30</v>
      </c>
      <c r="R150" s="188"/>
      <c r="S150" s="149">
        <f t="shared" si="450"/>
        <v>168.51553422147128</v>
      </c>
      <c r="T150" s="149">
        <f t="shared" si="451"/>
        <v>30</v>
      </c>
      <c r="U150" s="188">
        <f t="shared" si="452"/>
        <v>8.0998024323759221</v>
      </c>
      <c r="V150" s="188">
        <f t="shared" si="453"/>
        <v>1.9139104878713182</v>
      </c>
      <c r="W150" s="188">
        <f t="shared" si="454"/>
        <v>1.2498529964879663</v>
      </c>
      <c r="X150" s="172">
        <f t="shared" si="455"/>
        <v>350</v>
      </c>
      <c r="Y150" s="379">
        <f t="shared" si="328"/>
        <v>297.28606206998995</v>
      </c>
      <c r="AA150" s="188">
        <f t="shared" si="456"/>
        <v>7.3147985866642333</v>
      </c>
      <c r="AB150" s="150">
        <f t="shared" si="457"/>
        <v>1.1287217198909478</v>
      </c>
      <c r="AC150" s="150">
        <f t="shared" si="458"/>
        <v>1.4448651072442174</v>
      </c>
      <c r="AD150" s="150"/>
      <c r="AE150" s="150">
        <f t="shared" si="459"/>
        <v>0.93519153196921512</v>
      </c>
      <c r="AF150" s="314">
        <f t="shared" si="460"/>
        <v>564.59022772394053</v>
      </c>
      <c r="AG150" s="456">
        <f t="shared" si="461"/>
        <v>0.99186980663401614</v>
      </c>
      <c r="AI150" s="150">
        <f t="shared" si="462"/>
        <v>7.6974825320781317</v>
      </c>
      <c r="AJ150" s="150">
        <f t="shared" si="463"/>
        <v>8.0998024323759221</v>
      </c>
      <c r="AK150" s="150">
        <f t="shared" si="464"/>
        <v>2.7105158309406381</v>
      </c>
      <c r="AM150" s="314">
        <f t="shared" si="465"/>
        <v>1600</v>
      </c>
      <c r="AN150" s="144">
        <f t="shared" si="466"/>
        <v>297.28606206998995</v>
      </c>
      <c r="AP150" s="144">
        <f t="shared" si="467"/>
        <v>1600</v>
      </c>
      <c r="AQ150" s="144">
        <f t="shared" si="468"/>
        <v>297.28606206998995</v>
      </c>
      <c r="AS150" s="5">
        <f t="shared" si="439"/>
        <v>3.3637634843592847</v>
      </c>
      <c r="AT150" s="5">
        <f t="shared" si="469"/>
        <v>1.9139104878713182</v>
      </c>
      <c r="AU150" s="5">
        <f t="shared" si="343"/>
        <v>1.4498529964879665</v>
      </c>
      <c r="AV150" s="5"/>
      <c r="AW150" s="150">
        <f t="shared" si="344"/>
        <v>0.56897891209371743</v>
      </c>
      <c r="AX150" s="150">
        <f t="shared" si="435"/>
        <v>45.834369571214246</v>
      </c>
      <c r="AY150" s="150">
        <f t="shared" si="436"/>
        <v>1.7455928281143118</v>
      </c>
      <c r="AZ150" s="150">
        <f t="shared" si="440"/>
        <v>26.257194022002903</v>
      </c>
      <c r="BA150" s="144">
        <f t="shared" si="433"/>
        <v>10.207522601980365</v>
      </c>
      <c r="BB150" s="5">
        <f t="shared" si="434"/>
        <v>2.0580959829375507</v>
      </c>
      <c r="BD150" s="150">
        <f t="shared" si="441"/>
        <v>3.5274582621356116</v>
      </c>
      <c r="BE150" s="150">
        <f t="shared" si="437"/>
        <v>3.0701744831087661</v>
      </c>
      <c r="BG150" s="456">
        <f t="shared" si="347"/>
        <v>0.14931554149330548</v>
      </c>
      <c r="BH150" s="456">
        <f t="shared" si="470"/>
        <v>2.2126237911779127</v>
      </c>
      <c r="BI150" s="456">
        <f t="shared" si="349"/>
        <v>3.4187897138048852E-2</v>
      </c>
      <c r="BJ150" s="456">
        <f t="shared" si="350"/>
        <v>0.39001056539398959</v>
      </c>
      <c r="BK150">
        <f t="shared" si="351"/>
        <v>8.9508272476883366E-3</v>
      </c>
      <c r="BL150" s="144">
        <f t="shared" si="427"/>
        <v>43.138724385737191</v>
      </c>
      <c r="BM150" s="456">
        <f t="shared" si="471"/>
        <v>2.8949710614520017</v>
      </c>
      <c r="BN150" s="144">
        <f t="shared" si="353"/>
        <v>2894.9710614520018</v>
      </c>
      <c r="BO150" s="456">
        <f t="shared" si="354"/>
        <v>1.1199999999999999</v>
      </c>
      <c r="BR150" s="144">
        <f t="shared" si="355"/>
        <v>1119.9999999999998</v>
      </c>
      <c r="BS150" s="456">
        <f t="shared" si="356"/>
        <v>0.17420146507552306</v>
      </c>
      <c r="BT150" s="456">
        <f t="shared" si="357"/>
        <v>0.1319635989942505</v>
      </c>
      <c r="BU150" s="456">
        <f t="shared" si="358"/>
        <v>14.226315621090569</v>
      </c>
      <c r="BV150" s="456"/>
      <c r="BW150" s="456">
        <f t="shared" si="359"/>
        <v>1.9503987051580534</v>
      </c>
      <c r="BX150" s="144">
        <f t="shared" si="360"/>
        <v>16482.879390318394</v>
      </c>
      <c r="BY150" s="150">
        <f t="shared" si="361"/>
        <v>20.397968012769343</v>
      </c>
      <c r="BZ150" s="5">
        <f t="shared" si="362"/>
        <v>48</v>
      </c>
      <c r="CA150" s="150">
        <f t="shared" si="363"/>
        <v>0.70177523389348051</v>
      </c>
      <c r="CB150" s="5">
        <f t="shared" si="364"/>
        <v>70.177523389348053</v>
      </c>
      <c r="CE150" s="59">
        <f t="shared" si="472"/>
        <v>-50</v>
      </c>
      <c r="CF150">
        <f t="shared" si="473"/>
        <v>-50</v>
      </c>
      <c r="CG150" s="150">
        <f t="shared" si="474"/>
        <v>0.38069864142137017</v>
      </c>
      <c r="CI150" s="147">
        <v>40</v>
      </c>
      <c r="CJ150" s="188">
        <f t="shared" si="428"/>
        <v>1.6</v>
      </c>
      <c r="CK150" s="188"/>
      <c r="CL150" s="188">
        <f t="shared" si="368"/>
        <v>48</v>
      </c>
      <c r="CM150" s="465">
        <f t="shared" si="369"/>
        <v>20</v>
      </c>
      <c r="CN150" s="379">
        <f t="shared" si="370"/>
        <v>30.4</v>
      </c>
      <c r="CO150" s="379">
        <f t="shared" si="371"/>
        <v>50.4</v>
      </c>
      <c r="CP150" s="379"/>
      <c r="CQ150" s="188">
        <f t="shared" si="372"/>
        <v>0.60317460317460314</v>
      </c>
      <c r="CR150" s="149">
        <f t="shared" si="429"/>
        <v>183.55019291189507</v>
      </c>
      <c r="CS150" s="149">
        <f t="shared" si="373"/>
        <v>48</v>
      </c>
      <c r="CT150" s="188">
        <f t="shared" si="374"/>
        <v>6.1183397637298356</v>
      </c>
      <c r="CU150" s="188">
        <f t="shared" si="375"/>
        <v>30</v>
      </c>
      <c r="CV150" s="188"/>
      <c r="CW150" s="149">
        <f t="shared" si="376"/>
        <v>169.44104226079367</v>
      </c>
      <c r="CX150" s="149">
        <f t="shared" si="377"/>
        <v>30</v>
      </c>
      <c r="CY150" s="188">
        <f t="shared" si="378"/>
        <v>7.9578947368421051</v>
      </c>
      <c r="CZ150" s="188">
        <f t="shared" si="379"/>
        <v>1.8701052631578947</v>
      </c>
      <c r="DA150" s="188">
        <f t="shared" si="380"/>
        <v>1.2303324099722992</v>
      </c>
      <c r="DB150" s="172">
        <f t="shared" si="381"/>
        <v>350</v>
      </c>
      <c r="DC150" s="379">
        <f t="shared" si="382"/>
        <v>322.53510808053193</v>
      </c>
      <c r="DE150" s="188">
        <f t="shared" si="383"/>
        <v>7.3334298258310406</v>
      </c>
      <c r="DF150" s="150">
        <f t="shared" si="384"/>
        <v>1.1337868480725624</v>
      </c>
      <c r="DG150" s="150">
        <f t="shared" si="385"/>
        <v>1.4550456003633017</v>
      </c>
      <c r="DH150" s="150"/>
      <c r="DI150" s="150">
        <f t="shared" si="386"/>
        <v>0.93700159489633172</v>
      </c>
      <c r="DJ150" s="314">
        <f t="shared" si="387"/>
        <v>563.49957446808514</v>
      </c>
      <c r="DK150" s="456">
        <f t="shared" si="388"/>
        <v>0.99378957034459414</v>
      </c>
      <c r="DM150" s="150">
        <f t="shared" si="389"/>
        <v>7.6900440906084224</v>
      </c>
      <c r="DN150" s="150">
        <f t="shared" si="390"/>
        <v>7.9578947368421051</v>
      </c>
      <c r="DO150" s="150">
        <f t="shared" si="391"/>
        <v>2.605399019434107</v>
      </c>
      <c r="DQ150" s="314">
        <f t="shared" si="392"/>
        <v>1600</v>
      </c>
      <c r="DR150" s="144">
        <f t="shared" si="393"/>
        <v>322.53510808053193</v>
      </c>
      <c r="DT150">
        <f t="shared" si="430"/>
        <v>1600</v>
      </c>
      <c r="DU150">
        <f t="shared" si="431"/>
        <v>322.53510808053193</v>
      </c>
      <c r="DW150" s="5">
        <f t="shared" si="394"/>
        <v>3.1004376731301937</v>
      </c>
      <c r="DX150" s="5">
        <f t="shared" si="395"/>
        <v>1.8701052631578947</v>
      </c>
      <c r="DY150" s="5">
        <f t="shared" si="396"/>
        <v>1.230332409972299</v>
      </c>
      <c r="DZ150" s="5"/>
      <c r="EA150" s="150">
        <f t="shared" si="397"/>
        <v>0.60317460317460325</v>
      </c>
      <c r="EB150" s="150">
        <f t="shared" si="398"/>
        <v>47.999999999999993</v>
      </c>
      <c r="EC150" s="150">
        <f t="shared" si="399"/>
        <v>1.5789473684210522</v>
      </c>
      <c r="ED150" s="150">
        <f t="shared" si="400"/>
        <v>30.400000000000002</v>
      </c>
      <c r="EE150" s="144">
        <f t="shared" si="401"/>
        <v>9.9738947368421051</v>
      </c>
      <c r="EF150" s="5">
        <f t="shared" si="402"/>
        <v>1.7369398729020689</v>
      </c>
      <c r="EH150" s="150">
        <f t="shared" si="403"/>
        <v>3.5682813200401351</v>
      </c>
      <c r="EI150" s="150">
        <f t="shared" si="404"/>
        <v>2.8942583336563197</v>
      </c>
      <c r="EK150" s="456">
        <f t="shared" si="405"/>
        <v>0.15279157894736844</v>
      </c>
      <c r="EL150" s="456">
        <f t="shared" si="406"/>
        <v>2.4578723404255323</v>
      </c>
      <c r="EM150" s="456">
        <f t="shared" si="407"/>
        <v>3.7091537429261176E-2</v>
      </c>
      <c r="EN150" s="456">
        <f t="shared" si="408"/>
        <v>0.42398297872340429</v>
      </c>
      <c r="EO150">
        <f t="shared" si="409"/>
        <v>8.9999999999999993E-3</v>
      </c>
      <c r="EP150" s="144">
        <f t="shared" si="410"/>
        <v>46.09153742926118</v>
      </c>
      <c r="EQ150" s="144"/>
      <c r="ER150" s="144">
        <f t="shared" si="432"/>
        <v>3080.7384355255658</v>
      </c>
      <c r="ES150" s="456">
        <f t="shared" si="411"/>
        <v>1.1199999999999999</v>
      </c>
      <c r="EV150" s="144">
        <f t="shared" si="412"/>
        <v>1119.9999999999998</v>
      </c>
      <c r="EW150" s="456">
        <f t="shared" si="413"/>
        <v>0.17825684210526319</v>
      </c>
      <c r="EX150" s="456">
        <f t="shared" si="414"/>
        <v>0.11727423822714679</v>
      </c>
      <c r="EY150" s="456">
        <f t="shared" si="415"/>
        <v>16.688141232989647</v>
      </c>
      <c r="EZ150" s="456"/>
      <c r="FA150" s="456">
        <f t="shared" si="416"/>
        <v>2.0425531914893615</v>
      </c>
      <c r="FB150" s="144">
        <f t="shared" si="417"/>
        <v>19026.225504811417</v>
      </c>
      <c r="FC150" s="150">
        <f t="shared" si="418"/>
        <v>23.226963940336983</v>
      </c>
      <c r="FD150" s="5">
        <f t="shared" si="419"/>
        <v>48</v>
      </c>
      <c r="FE150" s="150">
        <f t="shared" si="420"/>
        <v>0.67390209191293104</v>
      </c>
      <c r="FF150" s="5">
        <f t="shared" si="421"/>
        <v>67.39020919129311</v>
      </c>
      <c r="FI150" s="59">
        <f t="shared" si="422"/>
        <v>-50</v>
      </c>
      <c r="FJ150">
        <f t="shared" si="423"/>
        <v>-50</v>
      </c>
      <c r="FL150">
        <f t="shared" si="475"/>
        <v>0.39682539682539675</v>
      </c>
    </row>
    <row r="151" spans="5:168">
      <c r="E151" s="147">
        <v>41</v>
      </c>
      <c r="F151" s="188">
        <f t="shared" si="476"/>
        <v>1.64</v>
      </c>
      <c r="G151" s="188"/>
      <c r="H151" s="188">
        <f t="shared" si="442"/>
        <v>49.199999999999996</v>
      </c>
      <c r="I151" s="465">
        <f t="shared" si="443"/>
        <v>19.888111000539222</v>
      </c>
      <c r="J151" s="149">
        <f t="shared" si="444"/>
        <v>30.460247922786571</v>
      </c>
      <c r="K151" s="149">
        <f t="shared" si="445"/>
        <v>50.34835892332579</v>
      </c>
      <c r="L151" s="379"/>
      <c r="M151" s="188">
        <f t="shared" si="446"/>
        <v>0.60497114423814968</v>
      </c>
      <c r="N151" s="149">
        <f t="shared" si="447"/>
        <v>183.06697189477481</v>
      </c>
      <c r="O151" s="149">
        <f t="shared" si="438"/>
        <v>49.199999999999996</v>
      </c>
      <c r="P151" s="188">
        <f t="shared" si="448"/>
        <v>6.1022323964924938</v>
      </c>
      <c r="Q151" s="188">
        <f t="shared" si="449"/>
        <v>30</v>
      </c>
      <c r="R151" s="188"/>
      <c r="S151" s="149">
        <f t="shared" si="450"/>
        <v>163.90117057317843</v>
      </c>
      <c r="T151" s="149">
        <f t="shared" si="451"/>
        <v>30</v>
      </c>
      <c r="U151" s="188">
        <f t="shared" si="452"/>
        <v>8.3031908989894205</v>
      </c>
      <c r="V151" s="188">
        <f t="shared" si="453"/>
        <v>1.9622274445366983</v>
      </c>
      <c r="W151" s="188">
        <f t="shared" si="454"/>
        <v>1.2811779248867052</v>
      </c>
      <c r="X151" s="172">
        <f t="shared" si="455"/>
        <v>350</v>
      </c>
      <c r="Y151" s="379">
        <f t="shared" si="328"/>
        <v>290.41018779832172</v>
      </c>
      <c r="AA151" s="188">
        <f t="shared" si="456"/>
        <v>7.3143501556077863</v>
      </c>
      <c r="AB151" s="150">
        <f t="shared" si="457"/>
        <v>1.1286003258574815</v>
      </c>
      <c r="AC151" s="150">
        <f t="shared" si="458"/>
        <v>1.4446211445845667</v>
      </c>
      <c r="AD151" s="150"/>
      <c r="AE151" s="150">
        <f t="shared" si="459"/>
        <v>0.93514828103351255</v>
      </c>
      <c r="AF151" s="314">
        <f t="shared" si="460"/>
        <v>578.7317487253182</v>
      </c>
      <c r="AG151" s="456">
        <f t="shared" si="461"/>
        <v>0.99182393442948302</v>
      </c>
      <c r="AI151" s="150">
        <f t="shared" si="462"/>
        <v>7.7932873144258874</v>
      </c>
      <c r="AJ151" s="150">
        <f t="shared" si="463"/>
        <v>8.3031908989894205</v>
      </c>
      <c r="AK151" s="150">
        <f t="shared" si="464"/>
        <v>2.8611739543580446</v>
      </c>
      <c r="AM151" s="314">
        <f t="shared" si="465"/>
        <v>1640</v>
      </c>
      <c r="AN151" s="144">
        <f t="shared" si="466"/>
        <v>290.41018779832172</v>
      </c>
      <c r="AP151" s="144">
        <f t="shared" si="467"/>
        <v>1640</v>
      </c>
      <c r="AQ151" s="144">
        <f t="shared" si="468"/>
        <v>290.41018779832172</v>
      </c>
      <c r="AS151" s="5">
        <f t="shared" si="439"/>
        <v>3.4434053694234033</v>
      </c>
      <c r="AT151" s="5">
        <f t="shared" si="469"/>
        <v>1.9622274445366983</v>
      </c>
      <c r="AU151" s="5">
        <f t="shared" si="343"/>
        <v>1.481177924886705</v>
      </c>
      <c r="AV151" s="5"/>
      <c r="AW151" s="150">
        <f t="shared" si="344"/>
        <v>0.56985084067092351</v>
      </c>
      <c r="AX151" s="150">
        <f t="shared" si="435"/>
        <v>47.051097246799678</v>
      </c>
      <c r="AY151" s="150">
        <f t="shared" si="436"/>
        <v>1.7858052924745691</v>
      </c>
      <c r="AZ151" s="150">
        <f t="shared" si="440"/>
        <v>26.347271701497498</v>
      </c>
      <c r="BA151" s="144">
        <f t="shared" si="433"/>
        <v>10.726843363467282</v>
      </c>
      <c r="BB151" s="5">
        <f t="shared" si="434"/>
        <v>2.1554099183840822</v>
      </c>
      <c r="BD151" s="150">
        <f t="shared" si="441"/>
        <v>3.6188034210853348</v>
      </c>
      <c r="BE151" s="150">
        <f t="shared" si="437"/>
        <v>3.1440825107750148</v>
      </c>
      <c r="BG151" s="456">
        <f t="shared" si="347"/>
        <v>0.15714885840550707</v>
      </c>
      <c r="BH151" s="456">
        <f t="shared" si="470"/>
        <v>2.2156699055206381</v>
      </c>
      <c r="BI151" s="456">
        <f t="shared" si="349"/>
        <v>3.3397171596807003E-2</v>
      </c>
      <c r="BJ151" s="456">
        <f t="shared" si="350"/>
        <v>0.38097180964942495</v>
      </c>
      <c r="BK151">
        <f t="shared" si="351"/>
        <v>8.9496499502426489E-3</v>
      </c>
      <c r="BL151" s="144">
        <f t="shared" si="427"/>
        <v>42.34682154704965</v>
      </c>
      <c r="BM151" s="456">
        <f t="shared" si="471"/>
        <v>2.9046772568160071</v>
      </c>
      <c r="BN151" s="144">
        <f t="shared" si="353"/>
        <v>2904.6772568160072</v>
      </c>
      <c r="BO151" s="456">
        <f t="shared" si="354"/>
        <v>1.1479999999999999</v>
      </c>
      <c r="BR151" s="144">
        <f t="shared" si="355"/>
        <v>1148</v>
      </c>
      <c r="BS151" s="456">
        <f t="shared" si="356"/>
        <v>0.18334033480642492</v>
      </c>
      <c r="BT151" s="456">
        <f t="shared" si="357"/>
        <v>0.13839356768385849</v>
      </c>
      <c r="BU151" s="456">
        <f t="shared" si="358"/>
        <v>14.276185446822268</v>
      </c>
      <c r="BV151" s="456"/>
      <c r="BW151" s="456">
        <f t="shared" si="359"/>
        <v>2.0021743509276462</v>
      </c>
      <c r="BX151" s="144">
        <f t="shared" si="360"/>
        <v>16600.093700240199</v>
      </c>
      <c r="BY151" s="150">
        <f t="shared" si="361"/>
        <v>20.544231095362818</v>
      </c>
      <c r="BZ151" s="5">
        <f t="shared" si="362"/>
        <v>49.199999999999996</v>
      </c>
      <c r="CA151" s="150">
        <f t="shared" si="363"/>
        <v>0.70543468939714549</v>
      </c>
      <c r="CB151" s="5">
        <f t="shared" si="364"/>
        <v>70.543468939714543</v>
      </c>
      <c r="CE151" s="59">
        <f t="shared" si="472"/>
        <v>-50</v>
      </c>
      <c r="CF151">
        <f t="shared" si="473"/>
        <v>-50</v>
      </c>
      <c r="CG151" s="150">
        <f t="shared" si="474"/>
        <v>0.38109197691902946</v>
      </c>
      <c r="CI151" s="147">
        <v>41</v>
      </c>
      <c r="CJ151" s="188">
        <f t="shared" si="428"/>
        <v>1.64</v>
      </c>
      <c r="CK151" s="188"/>
      <c r="CL151" s="188">
        <f t="shared" si="368"/>
        <v>49.199999999999996</v>
      </c>
      <c r="CM151" s="465">
        <f t="shared" si="369"/>
        <v>20</v>
      </c>
      <c r="CN151" s="379">
        <f t="shared" si="370"/>
        <v>30.4</v>
      </c>
      <c r="CO151" s="379">
        <f t="shared" si="371"/>
        <v>50.4</v>
      </c>
      <c r="CP151" s="379"/>
      <c r="CQ151" s="188">
        <f t="shared" si="372"/>
        <v>0.60317460317460314</v>
      </c>
      <c r="CR151" s="149">
        <f t="shared" si="429"/>
        <v>183.55019291189507</v>
      </c>
      <c r="CS151" s="149">
        <f t="shared" si="373"/>
        <v>49.199999999999996</v>
      </c>
      <c r="CT151" s="188">
        <f t="shared" si="374"/>
        <v>6.1183397637298356</v>
      </c>
      <c r="CU151" s="188">
        <f t="shared" si="375"/>
        <v>30</v>
      </c>
      <c r="CV151" s="188"/>
      <c r="CW151" s="149">
        <f t="shared" si="376"/>
        <v>164.82299442903016</v>
      </c>
      <c r="CX151" s="149">
        <f t="shared" si="377"/>
        <v>30</v>
      </c>
      <c r="CY151" s="188">
        <f t="shared" si="378"/>
        <v>8.1568421052631574</v>
      </c>
      <c r="CZ151" s="188">
        <f t="shared" si="379"/>
        <v>1.9168578947368418</v>
      </c>
      <c r="DA151" s="188">
        <f t="shared" si="380"/>
        <v>1.2610907202216066</v>
      </c>
      <c r="DB151" s="172">
        <f t="shared" si="381"/>
        <v>350</v>
      </c>
      <c r="DC151" s="379">
        <f t="shared" si="382"/>
        <v>314.66839812734827</v>
      </c>
      <c r="DE151" s="188">
        <f t="shared" si="383"/>
        <v>7.3334298258310406</v>
      </c>
      <c r="DF151" s="150">
        <f t="shared" si="384"/>
        <v>1.1337868480725624</v>
      </c>
      <c r="DG151" s="150">
        <f t="shared" si="385"/>
        <v>1.4550456003633017</v>
      </c>
      <c r="DH151" s="150"/>
      <c r="DI151" s="150">
        <f t="shared" si="386"/>
        <v>0.93700159489633172</v>
      </c>
      <c r="DJ151" s="314">
        <f t="shared" si="387"/>
        <v>577.58706382978721</v>
      </c>
      <c r="DK151" s="456">
        <f t="shared" si="388"/>
        <v>0.99378957034459414</v>
      </c>
      <c r="DM151" s="150">
        <f t="shared" si="389"/>
        <v>7.7855762515300722</v>
      </c>
      <c r="DN151" s="150">
        <f t="shared" si="390"/>
        <v>8.1568421052631574</v>
      </c>
      <c r="DO151" s="150">
        <f t="shared" si="391"/>
        <v>2.7527674404867382</v>
      </c>
      <c r="DQ151" s="314">
        <f t="shared" si="392"/>
        <v>1640</v>
      </c>
      <c r="DR151" s="144">
        <f t="shared" si="393"/>
        <v>314.66839812734827</v>
      </c>
      <c r="DT151">
        <f t="shared" si="430"/>
        <v>1640</v>
      </c>
      <c r="DU151">
        <f t="shared" si="431"/>
        <v>314.66839812734827</v>
      </c>
      <c r="DW151" s="5">
        <f t="shared" si="394"/>
        <v>3.1779486149584484</v>
      </c>
      <c r="DX151" s="5">
        <f t="shared" si="395"/>
        <v>1.9168578947368418</v>
      </c>
      <c r="DY151" s="5">
        <f t="shared" si="396"/>
        <v>1.2610907202216066</v>
      </c>
      <c r="DZ151" s="5"/>
      <c r="EA151" s="150">
        <f t="shared" si="397"/>
        <v>0.60317460317460314</v>
      </c>
      <c r="EB151" s="150">
        <f t="shared" si="398"/>
        <v>49.20000000000001</v>
      </c>
      <c r="EC151" s="150">
        <f t="shared" si="399"/>
        <v>1.618421052631579</v>
      </c>
      <c r="ED151" s="150">
        <f t="shared" si="400"/>
        <v>30.400000000000006</v>
      </c>
      <c r="EE151" s="144">
        <f t="shared" si="401"/>
        <v>10.478823157894734</v>
      </c>
      <c r="EF151" s="5">
        <f t="shared" si="402"/>
        <v>1.8248724539677363</v>
      </c>
      <c r="EH151" s="150">
        <f t="shared" si="403"/>
        <v>3.657488353041138</v>
      </c>
      <c r="EI151" s="150">
        <f t="shared" si="404"/>
        <v>2.9666147919977277</v>
      </c>
      <c r="EK151" s="456">
        <f t="shared" si="405"/>
        <v>0.16052665263157892</v>
      </c>
      <c r="EL151" s="456">
        <f t="shared" si="406"/>
        <v>2.4578723404255323</v>
      </c>
      <c r="EM151" s="456">
        <f t="shared" si="407"/>
        <v>3.6186865784645056E-2</v>
      </c>
      <c r="EN151" s="456">
        <f t="shared" si="408"/>
        <v>0.41364193046185793</v>
      </c>
      <c r="EO151">
        <f t="shared" si="409"/>
        <v>8.9999999999999993E-3</v>
      </c>
      <c r="EP151" s="144">
        <f t="shared" si="410"/>
        <v>45.186865784645057</v>
      </c>
      <c r="EQ151" s="144"/>
      <c r="ER151" s="144">
        <f t="shared" si="432"/>
        <v>3077.2277893036144</v>
      </c>
      <c r="ES151" s="456">
        <f t="shared" si="411"/>
        <v>1.1479999999999999</v>
      </c>
      <c r="EV151" s="144">
        <f t="shared" si="412"/>
        <v>1148</v>
      </c>
      <c r="EW151" s="456">
        <f t="shared" si="413"/>
        <v>0.18728109473684207</v>
      </c>
      <c r="EX151" s="456">
        <f t="shared" si="414"/>
        <v>0.1232112465373961</v>
      </c>
      <c r="EY151" s="456">
        <f t="shared" si="415"/>
        <v>16.688141232989647</v>
      </c>
      <c r="EZ151" s="456"/>
      <c r="FA151" s="456">
        <f t="shared" si="416"/>
        <v>2.0936170212765961</v>
      </c>
      <c r="FB151" s="144">
        <f t="shared" si="417"/>
        <v>19092.250595540481</v>
      </c>
      <c r="FC151" s="150">
        <f t="shared" si="418"/>
        <v>23.317478384844097</v>
      </c>
      <c r="FD151" s="5">
        <f t="shared" si="419"/>
        <v>49.199999999999996</v>
      </c>
      <c r="FE151" s="150">
        <f t="shared" si="420"/>
        <v>0.67845712641716216</v>
      </c>
      <c r="FF151" s="5">
        <f t="shared" si="421"/>
        <v>67.845712641716219</v>
      </c>
      <c r="FI151" s="59">
        <f t="shared" si="422"/>
        <v>-50</v>
      </c>
      <c r="FJ151">
        <f t="shared" si="423"/>
        <v>-50</v>
      </c>
      <c r="FL151">
        <f t="shared" si="475"/>
        <v>0.39682539682539686</v>
      </c>
    </row>
    <row r="152" spans="5:168">
      <c r="E152" s="147">
        <v>42</v>
      </c>
      <c r="F152" s="188">
        <f t="shared" si="476"/>
        <v>1.68</v>
      </c>
      <c r="G152" s="188"/>
      <c r="H152" s="188">
        <f t="shared" si="442"/>
        <v>50.4</v>
      </c>
      <c r="I152" s="465">
        <f t="shared" si="443"/>
        <v>19.885494556945847</v>
      </c>
      <c r="J152" s="149">
        <f t="shared" si="444"/>
        <v>30.461656777029159</v>
      </c>
      <c r="K152" s="149">
        <f t="shared" si="445"/>
        <v>50.347151333975006</v>
      </c>
      <c r="L152" s="379"/>
      <c r="M152" s="188">
        <f t="shared" si="446"/>
        <v>0.60501365784602135</v>
      </c>
      <c r="N152" s="149">
        <f t="shared" si="447"/>
        <v>183.05575105326176</v>
      </c>
      <c r="O152" s="149">
        <f t="shared" si="438"/>
        <v>50.4</v>
      </c>
      <c r="P152" s="188">
        <f t="shared" si="448"/>
        <v>6.1018583684420582</v>
      </c>
      <c r="Q152" s="188">
        <f t="shared" si="449"/>
        <v>30</v>
      </c>
      <c r="R152" s="188"/>
      <c r="S152" s="149">
        <f t="shared" si="450"/>
        <v>159.5067315538065</v>
      </c>
      <c r="T152" s="149">
        <f t="shared" si="451"/>
        <v>30</v>
      </c>
      <c r="U152" s="188">
        <f t="shared" si="452"/>
        <v>8.506623245950518</v>
      </c>
      <c r="V152" s="188">
        <f t="shared" si="453"/>
        <v>2.0105675089686086</v>
      </c>
      <c r="W152" s="188">
        <f t="shared" si="454"/>
        <v>1.3125067211090375</v>
      </c>
      <c r="X152" s="172">
        <f t="shared" si="455"/>
        <v>350</v>
      </c>
      <c r="Y152" s="379">
        <f t="shared" si="328"/>
        <v>283.84301172614255</v>
      </c>
      <c r="AA152" s="188">
        <f t="shared" si="456"/>
        <v>7.3139015751101697</v>
      </c>
      <c r="AB152" s="150">
        <f t="shared" si="457"/>
        <v>1.128478915465291</v>
      </c>
      <c r="AC152" s="150">
        <f t="shared" si="458"/>
        <v>1.4443771505275362</v>
      </c>
      <c r="AD152" s="150"/>
      <c r="AE152" s="150">
        <f t="shared" si="459"/>
        <v>0.93510503034518566</v>
      </c>
      <c r="AF152" s="314">
        <f t="shared" si="460"/>
        <v>592.87457773096162</v>
      </c>
      <c r="AG152" s="456">
        <f t="shared" si="461"/>
        <v>0.99177806248731804</v>
      </c>
      <c r="AI152" s="150">
        <f t="shared" si="462"/>
        <v>7.8879372631870277</v>
      </c>
      <c r="AJ152" s="150">
        <f t="shared" si="463"/>
        <v>8.506623245950518</v>
      </c>
      <c r="AK152" s="150">
        <f t="shared" si="464"/>
        <v>3.011864581736635</v>
      </c>
      <c r="AM152" s="314">
        <f t="shared" si="465"/>
        <v>1680</v>
      </c>
      <c r="AN152" s="144">
        <f t="shared" si="466"/>
        <v>283.84301172614255</v>
      </c>
      <c r="AP152" s="144">
        <f t="shared" si="467"/>
        <v>1680</v>
      </c>
      <c r="AQ152" s="144">
        <f t="shared" si="468"/>
        <v>283.84301172614255</v>
      </c>
      <c r="AS152" s="5">
        <f t="shared" si="439"/>
        <v>3.5230742300776465</v>
      </c>
      <c r="AT152" s="5">
        <f t="shared" si="469"/>
        <v>2.0105675089686086</v>
      </c>
      <c r="AU152" s="5">
        <f t="shared" si="343"/>
        <v>1.5125067211090379</v>
      </c>
      <c r="AV152" s="5"/>
      <c r="AW152" s="150">
        <f t="shared" si="344"/>
        <v>0.57068553702437796</v>
      </c>
      <c r="AX152" s="150">
        <f t="shared" si="435"/>
        <v>48.268129099378818</v>
      </c>
      <c r="AY152" s="150">
        <f t="shared" si="436"/>
        <v>1.8260081952855947</v>
      </c>
      <c r="AZ152" s="150">
        <f t="shared" si="440"/>
        <v>26.433687003156905</v>
      </c>
      <c r="BA152" s="144">
        <f t="shared" si="433"/>
        <v>11.259178050224207</v>
      </c>
      <c r="BB152" s="5">
        <f t="shared" si="434"/>
        <v>2.2549791559516681</v>
      </c>
      <c r="BD152" s="150">
        <f t="shared" si="441"/>
        <v>3.710180207928834</v>
      </c>
      <c r="BE152" s="150">
        <f t="shared" si="437"/>
        <v>3.2179873380020827</v>
      </c>
      <c r="BG152" s="456">
        <f t="shared" si="347"/>
        <v>0.16518524610368215</v>
      </c>
      <c r="BH152" s="456">
        <f t="shared" si="470"/>
        <v>2.2185702071039328</v>
      </c>
      <c r="BI152" s="456">
        <f t="shared" si="349"/>
        <v>3.2641946348506395E-2</v>
      </c>
      <c r="BJ152" s="456">
        <f t="shared" si="350"/>
        <v>0.37233886142798867</v>
      </c>
      <c r="BK152">
        <f t="shared" si="351"/>
        <v>8.9484725506256309E-3</v>
      </c>
      <c r="BL152" s="144">
        <f t="shared" si="427"/>
        <v>41.590418899132025</v>
      </c>
      <c r="BM152" s="456">
        <f t="shared" si="471"/>
        <v>2.9151064720942905</v>
      </c>
      <c r="BN152" s="144">
        <f t="shared" si="353"/>
        <v>2915.1064720942904</v>
      </c>
      <c r="BO152" s="456">
        <f t="shared" si="354"/>
        <v>1.1759999999999999</v>
      </c>
      <c r="BR152" s="144">
        <f t="shared" si="355"/>
        <v>1176</v>
      </c>
      <c r="BS152" s="456">
        <f t="shared" si="356"/>
        <v>0.19271612045429584</v>
      </c>
      <c r="BT152" s="456">
        <f t="shared" si="357"/>
        <v>0.14497619510558421</v>
      </c>
      <c r="BU152" s="456">
        <f t="shared" si="358"/>
        <v>14.323808837818932</v>
      </c>
      <c r="BV152" s="456"/>
      <c r="BW152" s="456">
        <f t="shared" si="359"/>
        <v>2.0539629403990989</v>
      </c>
      <c r="BX152" s="144">
        <f t="shared" si="360"/>
        <v>16715.464093777911</v>
      </c>
      <c r="BY152" s="150">
        <f t="shared" si="361"/>
        <v>20.689148827312646</v>
      </c>
      <c r="BZ152" s="5">
        <f t="shared" si="362"/>
        <v>50.4</v>
      </c>
      <c r="CA152" s="150">
        <f t="shared" si="363"/>
        <v>0.70896896124653253</v>
      </c>
      <c r="CB152" s="5">
        <f t="shared" si="364"/>
        <v>70.896896124653253</v>
      </c>
      <c r="CE152" s="59">
        <f t="shared" si="472"/>
        <v>-50</v>
      </c>
      <c r="CF152">
        <f t="shared" si="473"/>
        <v>-50</v>
      </c>
      <c r="CG152" s="150">
        <f t="shared" si="474"/>
        <v>0.38146658215489532</v>
      </c>
      <c r="CI152" s="147">
        <v>42</v>
      </c>
      <c r="CJ152" s="188">
        <f t="shared" si="428"/>
        <v>1.68</v>
      </c>
      <c r="CK152" s="188"/>
      <c r="CL152" s="188">
        <f t="shared" si="368"/>
        <v>50.4</v>
      </c>
      <c r="CM152" s="465">
        <f t="shared" si="369"/>
        <v>20</v>
      </c>
      <c r="CN152" s="379">
        <f t="shared" si="370"/>
        <v>30.4</v>
      </c>
      <c r="CO152" s="379">
        <f t="shared" si="371"/>
        <v>50.4</v>
      </c>
      <c r="CP152" s="379"/>
      <c r="CQ152" s="188">
        <f t="shared" si="372"/>
        <v>0.60317460317460314</v>
      </c>
      <c r="CR152" s="149">
        <f t="shared" si="429"/>
        <v>183.55019291189507</v>
      </c>
      <c r="CS152" s="149">
        <f t="shared" si="373"/>
        <v>50.4</v>
      </c>
      <c r="CT152" s="188">
        <f t="shared" si="374"/>
        <v>6.1183397637298356</v>
      </c>
      <c r="CU152" s="188">
        <f t="shared" si="375"/>
        <v>30</v>
      </c>
      <c r="CV152" s="188"/>
      <c r="CW152" s="149">
        <f t="shared" si="376"/>
        <v>160.42492390874204</v>
      </c>
      <c r="CX152" s="149">
        <f t="shared" si="377"/>
        <v>30</v>
      </c>
      <c r="CY152" s="188">
        <f t="shared" si="378"/>
        <v>8.3557894736842098</v>
      </c>
      <c r="CZ152" s="188">
        <f t="shared" si="379"/>
        <v>1.9636105263157895</v>
      </c>
      <c r="DA152" s="188">
        <f t="shared" si="380"/>
        <v>1.2918490304709143</v>
      </c>
      <c r="DB152" s="172">
        <f t="shared" si="381"/>
        <v>350</v>
      </c>
      <c r="DC152" s="379">
        <f t="shared" si="382"/>
        <v>307.17629341003038</v>
      </c>
      <c r="DE152" s="188">
        <f t="shared" si="383"/>
        <v>7.3334298258310406</v>
      </c>
      <c r="DF152" s="150">
        <f t="shared" si="384"/>
        <v>1.1337868480725624</v>
      </c>
      <c r="DG152" s="150">
        <f t="shared" si="385"/>
        <v>1.4550456003633017</v>
      </c>
      <c r="DH152" s="150"/>
      <c r="DI152" s="150">
        <f t="shared" si="386"/>
        <v>0.93700159489633172</v>
      </c>
      <c r="DJ152" s="314">
        <f t="shared" si="387"/>
        <v>591.67455319148928</v>
      </c>
      <c r="DK152" s="456">
        <f t="shared" si="388"/>
        <v>0.99378957034459414</v>
      </c>
      <c r="DM152" s="150">
        <f t="shared" si="389"/>
        <v>7.8799503184523054</v>
      </c>
      <c r="DN152" s="150">
        <f t="shared" si="390"/>
        <v>8.3557894736842098</v>
      </c>
      <c r="DO152" s="150">
        <f t="shared" si="391"/>
        <v>2.9001358615393702</v>
      </c>
      <c r="DQ152" s="314">
        <f t="shared" si="392"/>
        <v>1680</v>
      </c>
      <c r="DR152" s="144">
        <f t="shared" si="393"/>
        <v>307.17629341003038</v>
      </c>
      <c r="DT152">
        <f t="shared" si="430"/>
        <v>1680</v>
      </c>
      <c r="DU152">
        <f t="shared" si="431"/>
        <v>307.17629341003038</v>
      </c>
      <c r="DW152" s="5">
        <f t="shared" si="394"/>
        <v>3.255459556786704</v>
      </c>
      <c r="DX152" s="5">
        <f t="shared" si="395"/>
        <v>1.9636105263157895</v>
      </c>
      <c r="DY152" s="5">
        <f t="shared" si="396"/>
        <v>1.2918490304709145</v>
      </c>
      <c r="DZ152" s="5"/>
      <c r="EA152" s="150">
        <f t="shared" si="397"/>
        <v>0.60317460317460314</v>
      </c>
      <c r="EB152" s="150">
        <f t="shared" si="398"/>
        <v>50.399999999999977</v>
      </c>
      <c r="EC152" s="150">
        <f t="shared" si="399"/>
        <v>1.6578947368421053</v>
      </c>
      <c r="ED152" s="150">
        <f t="shared" si="400"/>
        <v>30.399999999999984</v>
      </c>
      <c r="EE152" s="144">
        <f t="shared" si="401"/>
        <v>10.996218947368421</v>
      </c>
      <c r="EF152" s="5">
        <f t="shared" si="402"/>
        <v>1.9149762098745318</v>
      </c>
      <c r="EH152" s="150">
        <f t="shared" si="403"/>
        <v>3.7466953860421413</v>
      </c>
      <c r="EI152" s="150">
        <f t="shared" si="404"/>
        <v>3.0389712503391357</v>
      </c>
      <c r="EK152" s="456">
        <f t="shared" si="405"/>
        <v>0.16845271578947366</v>
      </c>
      <c r="EL152" s="456">
        <f t="shared" si="406"/>
        <v>2.4578723404255314</v>
      </c>
      <c r="EM152" s="456">
        <f t="shared" si="407"/>
        <v>3.5325273742153496E-2</v>
      </c>
      <c r="EN152" s="456">
        <f t="shared" si="408"/>
        <v>0.40379331306990879</v>
      </c>
      <c r="EO152">
        <f t="shared" si="409"/>
        <v>8.9999999999999993E-3</v>
      </c>
      <c r="EP152" s="144">
        <f t="shared" si="410"/>
        <v>44.325273742153499</v>
      </c>
      <c r="EQ152" s="144"/>
      <c r="ER152" s="144">
        <f t="shared" si="432"/>
        <v>3074.4436430270675</v>
      </c>
      <c r="ES152" s="456">
        <f t="shared" si="411"/>
        <v>1.1759999999999999</v>
      </c>
      <c r="EV152" s="144">
        <f t="shared" si="412"/>
        <v>1176</v>
      </c>
      <c r="EW152" s="456">
        <f t="shared" si="413"/>
        <v>0.19652816842105258</v>
      </c>
      <c r="EX152" s="456">
        <f t="shared" si="414"/>
        <v>0.12929484764542934</v>
      </c>
      <c r="EY152" s="456">
        <f t="shared" si="415"/>
        <v>16.688141232989633</v>
      </c>
      <c r="EZ152" s="456"/>
      <c r="FA152" s="456">
        <f t="shared" si="416"/>
        <v>2.1446808510638298</v>
      </c>
      <c r="FB152" s="144">
        <f t="shared" si="417"/>
        <v>19158.645100119946</v>
      </c>
      <c r="FC152" s="150">
        <f t="shared" si="418"/>
        <v>23.409088743147013</v>
      </c>
      <c r="FD152" s="5">
        <f t="shared" si="419"/>
        <v>50.4</v>
      </c>
      <c r="FE152" s="150">
        <f t="shared" si="420"/>
        <v>0.68284273465819623</v>
      </c>
      <c r="FF152" s="5">
        <f t="shared" si="421"/>
        <v>68.284273465819624</v>
      </c>
      <c r="FI152" s="59">
        <f t="shared" si="422"/>
        <v>-50</v>
      </c>
      <c r="FJ152">
        <f t="shared" si="423"/>
        <v>-50</v>
      </c>
      <c r="FL152">
        <f t="shared" si="475"/>
        <v>0.39682539682539686</v>
      </c>
    </row>
    <row r="153" spans="5:168">
      <c r="E153" s="147">
        <v>43</v>
      </c>
      <c r="F153" s="188">
        <f t="shared" si="476"/>
        <v>1.72</v>
      </c>
      <c r="G153" s="188"/>
      <c r="H153" s="188">
        <f t="shared" si="442"/>
        <v>51.6</v>
      </c>
      <c r="I153" s="465">
        <f t="shared" si="443"/>
        <v>19.882877902767945</v>
      </c>
      <c r="J153" s="149">
        <f t="shared" si="444"/>
        <v>30.463065744663414</v>
      </c>
      <c r="K153" s="149">
        <f t="shared" si="445"/>
        <v>50.345943647431355</v>
      </c>
      <c r="L153" s="379"/>
      <c r="M153" s="188">
        <f t="shared" si="446"/>
        <v>0.60505617602039508</v>
      </c>
      <c r="N153" s="149">
        <f t="shared" si="447"/>
        <v>183.04452626961745</v>
      </c>
      <c r="O153" s="149">
        <f t="shared" si="438"/>
        <v>51.6</v>
      </c>
      <c r="P153" s="188">
        <f t="shared" si="448"/>
        <v>6.1014842089872481</v>
      </c>
      <c r="Q153" s="188">
        <f t="shared" si="449"/>
        <v>30</v>
      </c>
      <c r="R153" s="188"/>
      <c r="S153" s="149">
        <f t="shared" si="450"/>
        <v>155.31687432126782</v>
      </c>
      <c r="T153" s="149">
        <f t="shared" si="451"/>
        <v>30</v>
      </c>
      <c r="U153" s="188">
        <f t="shared" si="452"/>
        <v>8.7100994904471385</v>
      </c>
      <c r="V153" s="188">
        <f t="shared" si="453"/>
        <v>2.0589306943036925</v>
      </c>
      <c r="W153" s="188">
        <f t="shared" si="454"/>
        <v>1.3438393872840282</v>
      </c>
      <c r="X153" s="172">
        <f t="shared" si="455"/>
        <v>350</v>
      </c>
      <c r="Y153" s="379">
        <f t="shared" si="328"/>
        <v>277.56420125463723</v>
      </c>
      <c r="AA153" s="188">
        <f t="shared" si="456"/>
        <v>7.3134528479582022</v>
      </c>
      <c r="AB153" s="150">
        <f t="shared" si="457"/>
        <v>1.1283574894764203</v>
      </c>
      <c r="AC153" s="150">
        <f t="shared" si="458"/>
        <v>1.4441331266121014</v>
      </c>
      <c r="AD153" s="150"/>
      <c r="AE153" s="150">
        <f t="shared" si="459"/>
        <v>0.93506178017682029</v>
      </c>
      <c r="AF153" s="314">
        <f t="shared" si="460"/>
        <v>607.01871473419305</v>
      </c>
      <c r="AG153" s="456">
        <f t="shared" si="461"/>
        <v>0.99173219109662758</v>
      </c>
      <c r="AI153" s="150">
        <f t="shared" si="462"/>
        <v>7.9814734629199977</v>
      </c>
      <c r="AJ153" s="150">
        <f t="shared" si="463"/>
        <v>8.7100994904471385</v>
      </c>
      <c r="AK153" s="150">
        <f t="shared" si="464"/>
        <v>3.1625877258082058</v>
      </c>
      <c r="AM153" s="314">
        <f t="shared" si="465"/>
        <v>1720</v>
      </c>
      <c r="AN153" s="144">
        <f t="shared" si="466"/>
        <v>277.56420125463723</v>
      </c>
      <c r="AP153" s="144">
        <f t="shared" si="467"/>
        <v>1720</v>
      </c>
      <c r="AQ153" s="144">
        <f t="shared" si="468"/>
        <v>277.56420125463723</v>
      </c>
      <c r="AS153" s="5">
        <f t="shared" si="439"/>
        <v>3.6027700815877215</v>
      </c>
      <c r="AT153" s="5">
        <f t="shared" si="469"/>
        <v>2.0589306943036925</v>
      </c>
      <c r="AU153" s="5">
        <f t="shared" si="343"/>
        <v>1.543839387284029</v>
      </c>
      <c r="AV153" s="5"/>
      <c r="AW153" s="150">
        <f t="shared" si="344"/>
        <v>0.57148545360306002</v>
      </c>
      <c r="AX153" s="150">
        <f t="shared" si="435"/>
        <v>49.485452534103018</v>
      </c>
      <c r="AY153" s="150">
        <f t="shared" si="436"/>
        <v>1.8662021661105868</v>
      </c>
      <c r="AZ153" s="150">
        <f t="shared" si="440"/>
        <v>26.516662252749001</v>
      </c>
      <c r="BA153" s="144">
        <f t="shared" si="433"/>
        <v>11.804535980674503</v>
      </c>
      <c r="BB153" s="5">
        <f t="shared" si="434"/>
        <v>2.3568050026413436</v>
      </c>
      <c r="BD153" s="150">
        <f t="shared" si="441"/>
        <v>3.8015882672581807</v>
      </c>
      <c r="BE153" s="150">
        <f t="shared" si="437"/>
        <v>3.2918896838656027</v>
      </c>
      <c r="BG153" s="456">
        <f t="shared" si="347"/>
        <v>0.17342488024506067</v>
      </c>
      <c r="BH153" s="456">
        <f t="shared" si="470"/>
        <v>2.2213342981278541</v>
      </c>
      <c r="BI153" s="456">
        <f t="shared" si="349"/>
        <v>3.191988314428329E-2</v>
      </c>
      <c r="BJ153" s="456">
        <f t="shared" si="350"/>
        <v>0.36408499207580081</v>
      </c>
      <c r="BK153">
        <f t="shared" si="351"/>
        <v>8.9472950562455751E-3</v>
      </c>
      <c r="BL153" s="144">
        <f t="shared" si="427"/>
        <v>40.867178200528862</v>
      </c>
      <c r="BM153" s="456">
        <f t="shared" si="471"/>
        <v>2.926247099040824</v>
      </c>
      <c r="BN153" s="144">
        <f t="shared" si="353"/>
        <v>2926.2470990408242</v>
      </c>
      <c r="BO153" s="456">
        <f t="shared" si="354"/>
        <v>1.204</v>
      </c>
      <c r="BR153" s="144">
        <f t="shared" si="355"/>
        <v>1204</v>
      </c>
      <c r="BS153" s="456">
        <f t="shared" si="356"/>
        <v>0.2023290269525708</v>
      </c>
      <c r="BT153" s="456">
        <f t="shared" si="357"/>
        <v>0.15171152767037091</v>
      </c>
      <c r="BU153" s="456">
        <f t="shared" si="358"/>
        <v>14.369326889403567</v>
      </c>
      <c r="BV153" s="456"/>
      <c r="BW153" s="456">
        <f t="shared" si="359"/>
        <v>2.105763937621405</v>
      </c>
      <c r="BX153" s="144">
        <f t="shared" si="360"/>
        <v>16829.131381647912</v>
      </c>
      <c r="BY153" s="150">
        <f t="shared" si="361"/>
        <v>20.832842730297159</v>
      </c>
      <c r="BZ153" s="5">
        <f t="shared" si="362"/>
        <v>51.6</v>
      </c>
      <c r="CA153" s="150">
        <f t="shared" si="363"/>
        <v>0.71238402435939174</v>
      </c>
      <c r="CB153" s="5">
        <f t="shared" si="364"/>
        <v>71.238402435939179</v>
      </c>
      <c r="CE153" s="59">
        <f t="shared" si="472"/>
        <v>-50</v>
      </c>
      <c r="CF153">
        <f t="shared" si="473"/>
        <v>-50</v>
      </c>
      <c r="CG153" s="150">
        <f t="shared" si="474"/>
        <v>0.38182376389141864</v>
      </c>
      <c r="CI153" s="147">
        <v>43</v>
      </c>
      <c r="CJ153" s="188">
        <f t="shared" si="428"/>
        <v>1.72</v>
      </c>
      <c r="CK153" s="188"/>
      <c r="CL153" s="188">
        <f t="shared" si="368"/>
        <v>51.6</v>
      </c>
      <c r="CM153" s="465">
        <f t="shared" si="369"/>
        <v>20</v>
      </c>
      <c r="CN153" s="379">
        <f t="shared" si="370"/>
        <v>30.4</v>
      </c>
      <c r="CO153" s="379">
        <f t="shared" si="371"/>
        <v>50.4</v>
      </c>
      <c r="CP153" s="379"/>
      <c r="CQ153" s="188">
        <f t="shared" si="372"/>
        <v>0.60317460317460314</v>
      </c>
      <c r="CR153" s="149">
        <f t="shared" si="429"/>
        <v>183.55019291189507</v>
      </c>
      <c r="CS153" s="149">
        <f t="shared" si="373"/>
        <v>51.6</v>
      </c>
      <c r="CT153" s="188">
        <f t="shared" si="374"/>
        <v>6.1183397637298356</v>
      </c>
      <c r="CU153" s="188">
        <f t="shared" si="375"/>
        <v>30</v>
      </c>
      <c r="CV153" s="188"/>
      <c r="CW153" s="149">
        <f t="shared" si="376"/>
        <v>156.23148403831397</v>
      </c>
      <c r="CX153" s="149">
        <f t="shared" si="377"/>
        <v>30</v>
      </c>
      <c r="CY153" s="188">
        <f t="shared" si="378"/>
        <v>8.5547368421052639</v>
      </c>
      <c r="CZ153" s="188">
        <f t="shared" si="379"/>
        <v>2.0103631578947367</v>
      </c>
      <c r="DA153" s="188">
        <f t="shared" si="380"/>
        <v>1.3226073407202217</v>
      </c>
      <c r="DB153" s="172">
        <f t="shared" si="381"/>
        <v>350</v>
      </c>
      <c r="DC153" s="379">
        <f t="shared" si="382"/>
        <v>300.03265867956458</v>
      </c>
      <c r="DE153" s="188">
        <f t="shared" si="383"/>
        <v>7.3334298258310406</v>
      </c>
      <c r="DF153" s="150">
        <f t="shared" si="384"/>
        <v>1.1337868480725624</v>
      </c>
      <c r="DG153" s="150">
        <f t="shared" si="385"/>
        <v>1.4550456003633017</v>
      </c>
      <c r="DH153" s="150"/>
      <c r="DI153" s="150">
        <f t="shared" si="386"/>
        <v>0.93700159489633172</v>
      </c>
      <c r="DJ153" s="314">
        <f t="shared" si="387"/>
        <v>605.76204255319158</v>
      </c>
      <c r="DK153" s="456">
        <f t="shared" si="388"/>
        <v>0.99378957034459414</v>
      </c>
      <c r="DM153" s="150">
        <f t="shared" si="389"/>
        <v>7.9732074144702976</v>
      </c>
      <c r="DN153" s="150">
        <f t="shared" si="390"/>
        <v>8.5547368421052639</v>
      </c>
      <c r="DO153" s="150">
        <f t="shared" si="391"/>
        <v>3.0475042825920022</v>
      </c>
      <c r="DQ153" s="314">
        <f t="shared" si="392"/>
        <v>1720</v>
      </c>
      <c r="DR153" s="144">
        <f t="shared" si="393"/>
        <v>300.03265867956458</v>
      </c>
      <c r="DT153">
        <f t="shared" si="430"/>
        <v>1720</v>
      </c>
      <c r="DU153">
        <f t="shared" si="431"/>
        <v>300.03265867956458</v>
      </c>
      <c r="DW153" s="5">
        <f t="shared" si="394"/>
        <v>3.3329704986149586</v>
      </c>
      <c r="DX153" s="5">
        <f t="shared" si="395"/>
        <v>2.0103631578947367</v>
      </c>
      <c r="DY153" s="5">
        <f t="shared" si="396"/>
        <v>1.3226073407202219</v>
      </c>
      <c r="DZ153" s="5"/>
      <c r="EA153" s="150">
        <f t="shared" si="397"/>
        <v>0.60317460317460314</v>
      </c>
      <c r="EB153" s="150">
        <f t="shared" si="398"/>
        <v>51.600000000000009</v>
      </c>
      <c r="EC153" s="150">
        <f t="shared" si="399"/>
        <v>1.6973684210526319</v>
      </c>
      <c r="ED153" s="150">
        <f t="shared" si="400"/>
        <v>30.4</v>
      </c>
      <c r="EE153" s="144">
        <f t="shared" si="401"/>
        <v>11.526082105263155</v>
      </c>
      <c r="EF153" s="5">
        <f t="shared" si="402"/>
        <v>2.0072511406224542</v>
      </c>
      <c r="EH153" s="150">
        <f t="shared" si="403"/>
        <v>3.8359024190431454</v>
      </c>
      <c r="EI153" s="150">
        <f t="shared" si="404"/>
        <v>3.1113277086805442</v>
      </c>
      <c r="EK153" s="456">
        <f t="shared" si="405"/>
        <v>0.17656976842105265</v>
      </c>
      <c r="EL153" s="456">
        <f t="shared" si="406"/>
        <v>2.4578723404255323</v>
      </c>
      <c r="EM153" s="456">
        <f t="shared" si="407"/>
        <v>3.4503755748149935E-2</v>
      </c>
      <c r="EN153" s="456">
        <f t="shared" si="408"/>
        <v>0.39440277090549236</v>
      </c>
      <c r="EO153">
        <f t="shared" si="409"/>
        <v>8.9999999999999993E-3</v>
      </c>
      <c r="EP153" s="144">
        <f t="shared" si="410"/>
        <v>43.503755748149935</v>
      </c>
      <c r="EQ153" s="144"/>
      <c r="ER153" s="144">
        <f t="shared" si="432"/>
        <v>3072.3486355002269</v>
      </c>
      <c r="ES153" s="456">
        <f t="shared" si="411"/>
        <v>1.204</v>
      </c>
      <c r="EV153" s="144">
        <f t="shared" si="412"/>
        <v>1204</v>
      </c>
      <c r="EW153" s="456">
        <f t="shared" si="413"/>
        <v>0.20599806315789476</v>
      </c>
      <c r="EX153" s="456">
        <f t="shared" si="414"/>
        <v>0.13552504155124656</v>
      </c>
      <c r="EY153" s="456">
        <f t="shared" si="415"/>
        <v>16.688141232989633</v>
      </c>
      <c r="EZ153" s="456"/>
      <c r="FA153" s="456">
        <f t="shared" si="416"/>
        <v>2.1957446808510643</v>
      </c>
      <c r="FB153" s="144">
        <f t="shared" si="417"/>
        <v>19225.409018549835</v>
      </c>
      <c r="FC153" s="150">
        <f t="shared" si="418"/>
        <v>23.501757654050067</v>
      </c>
      <c r="FD153" s="5">
        <f t="shared" si="419"/>
        <v>51.6</v>
      </c>
      <c r="FE153" s="150">
        <f t="shared" si="420"/>
        <v>0.68706780788927824</v>
      </c>
      <c r="FF153" s="5">
        <f t="shared" si="421"/>
        <v>68.70678078892783</v>
      </c>
      <c r="FI153" s="59">
        <f t="shared" si="422"/>
        <v>-50</v>
      </c>
      <c r="FJ153">
        <f t="shared" si="423"/>
        <v>-50</v>
      </c>
      <c r="FL153">
        <f t="shared" si="475"/>
        <v>0.39682539682539686</v>
      </c>
    </row>
    <row r="154" spans="5:168">
      <c r="E154" s="147">
        <v>44</v>
      </c>
      <c r="F154" s="188">
        <f t="shared" si="476"/>
        <v>1.76</v>
      </c>
      <c r="G154" s="188"/>
      <c r="H154" s="188">
        <f t="shared" si="442"/>
        <v>52.8</v>
      </c>
      <c r="I154" s="465">
        <f t="shared" si="443"/>
        <v>19.88026105291436</v>
      </c>
      <c r="J154" s="149">
        <f t="shared" si="444"/>
        <v>30.464474817661497</v>
      </c>
      <c r="K154" s="149">
        <f t="shared" si="445"/>
        <v>50.34473587057586</v>
      </c>
      <c r="L154" s="379"/>
      <c r="M154" s="188">
        <f t="shared" si="446"/>
        <v>0.6050986985829333</v>
      </c>
      <c r="N154" s="149">
        <f t="shared" si="447"/>
        <v>183.03329762620589</v>
      </c>
      <c r="O154" s="149">
        <f t="shared" si="438"/>
        <v>52.8</v>
      </c>
      <c r="P154" s="188">
        <f t="shared" si="448"/>
        <v>6.1011099208735295</v>
      </c>
      <c r="Q154" s="188">
        <f t="shared" si="449"/>
        <v>30</v>
      </c>
      <c r="R154" s="188"/>
      <c r="S154" s="149">
        <f t="shared" si="450"/>
        <v>151.31765083046889</v>
      </c>
      <c r="T154" s="149">
        <f t="shared" si="451"/>
        <v>30</v>
      </c>
      <c r="U154" s="188">
        <f t="shared" si="452"/>
        <v>8.913619649691725</v>
      </c>
      <c r="V154" s="188">
        <f t="shared" si="453"/>
        <v>2.1073170136973438</v>
      </c>
      <c r="W154" s="188">
        <f t="shared" si="454"/>
        <v>1.3751759255427387</v>
      </c>
      <c r="X154" s="172">
        <f t="shared" si="455"/>
        <v>350</v>
      </c>
      <c r="Y154" s="379">
        <f t="shared" si="328"/>
        <v>271.55517104843642</v>
      </c>
      <c r="AA154" s="188">
        <f t="shared" si="456"/>
        <v>7.3130039766748833</v>
      </c>
      <c r="AB154" s="150">
        <f t="shared" si="457"/>
        <v>1.1282360485809395</v>
      </c>
      <c r="AC154" s="150">
        <f t="shared" si="458"/>
        <v>1.4438890742325641</v>
      </c>
      <c r="AD154" s="150"/>
      <c r="AE154" s="150">
        <f t="shared" si="459"/>
        <v>0.93501853077521813</v>
      </c>
      <c r="AF154" s="314">
        <f t="shared" si="460"/>
        <v>621.16415972896527</v>
      </c>
      <c r="AG154" s="456">
        <f t="shared" si="461"/>
        <v>0.99168632051917072</v>
      </c>
      <c r="AI154" s="150">
        <f t="shared" si="462"/>
        <v>8.073934621888009</v>
      </c>
      <c r="AJ154" s="150">
        <f t="shared" si="463"/>
        <v>8.913619649691725</v>
      </c>
      <c r="AK154" s="150">
        <f t="shared" si="464"/>
        <v>3.3133433993227142</v>
      </c>
      <c r="AM154" s="314">
        <f t="shared" si="465"/>
        <v>1760</v>
      </c>
      <c r="AN154" s="144">
        <f t="shared" si="466"/>
        <v>271.55517104843642</v>
      </c>
      <c r="AP154" s="144">
        <f t="shared" si="467"/>
        <v>1760</v>
      </c>
      <c r="AQ154" s="144">
        <f t="shared" si="468"/>
        <v>271.55517104843642</v>
      </c>
      <c r="AS154" s="5">
        <f t="shared" si="439"/>
        <v>3.6824929392400829</v>
      </c>
      <c r="AT154" s="5">
        <f t="shared" si="469"/>
        <v>2.1073170136973438</v>
      </c>
      <c r="AU154" s="5">
        <f t="shared" si="343"/>
        <v>1.5751759255427391</v>
      </c>
      <c r="AV154" s="5"/>
      <c r="AW154" s="150">
        <f t="shared" si="344"/>
        <v>0.57225283210786237</v>
      </c>
      <c r="AX154" s="150">
        <f t="shared" si="435"/>
        <v>50.703056038459273</v>
      </c>
      <c r="AY154" s="150">
        <f t="shared" si="436"/>
        <v>1.9063877804116716</v>
      </c>
      <c r="AZ154" s="150">
        <f t="shared" si="440"/>
        <v>26.596402137822292</v>
      </c>
      <c r="BA154" s="144">
        <f t="shared" si="433"/>
        <v>12.36292648035775</v>
      </c>
      <c r="BB154" s="5">
        <f t="shared" si="434"/>
        <v>2.4608887664499686</v>
      </c>
      <c r="BD154" s="150">
        <f t="shared" si="441"/>
        <v>3.8930272753797093</v>
      </c>
      <c r="BE154" s="150">
        <f t="shared" si="437"/>
        <v>3.3657902073074082</v>
      </c>
      <c r="BG154" s="456">
        <f t="shared" si="347"/>
        <v>0.18186793640220433</v>
      </c>
      <c r="BH154" s="456">
        <f t="shared" si="470"/>
        <v>2.2239709556319607</v>
      </c>
      <c r="BI154" s="456">
        <f t="shared" si="349"/>
        <v>3.1228844670570188E-2</v>
      </c>
      <c r="BJ154" s="456">
        <f t="shared" si="350"/>
        <v>0.35618576983139083</v>
      </c>
      <c r="BK154">
        <f t="shared" si="351"/>
        <v>8.9461174738114622E-3</v>
      </c>
      <c r="BL154" s="144">
        <f t="shared" si="427"/>
        <v>40.174962144381652</v>
      </c>
      <c r="BM154" s="456">
        <f t="shared" si="471"/>
        <v>2.9380891909190017</v>
      </c>
      <c r="BN154" s="144">
        <f t="shared" si="353"/>
        <v>2938.0891909190018</v>
      </c>
      <c r="BO154" s="456">
        <f t="shared" si="354"/>
        <v>1.232</v>
      </c>
      <c r="BR154" s="144">
        <f t="shared" si="355"/>
        <v>1232</v>
      </c>
      <c r="BS154" s="456">
        <f t="shared" si="356"/>
        <v>0.21217925913590507</v>
      </c>
      <c r="BT154" s="456">
        <f t="shared" si="357"/>
        <v>0.15859961207449025</v>
      </c>
      <c r="BU154" s="456">
        <f t="shared" si="358"/>
        <v>14.412869141642126</v>
      </c>
      <c r="BV154" s="456"/>
      <c r="BW154" s="456">
        <f t="shared" si="359"/>
        <v>2.1575768527003953</v>
      </c>
      <c r="BX154" s="144">
        <f t="shared" si="360"/>
        <v>16941.224865552918</v>
      </c>
      <c r="BY154" s="150">
        <f t="shared" si="361"/>
        <v>20.975424489562855</v>
      </c>
      <c r="BZ154" s="5">
        <f t="shared" si="362"/>
        <v>52.8</v>
      </c>
      <c r="CA154" s="150">
        <f t="shared" si="363"/>
        <v>0.71568547880696654</v>
      </c>
      <c r="CB154" s="5">
        <f t="shared" si="364"/>
        <v>71.568547880696656</v>
      </c>
      <c r="CE154" s="59">
        <f t="shared" si="472"/>
        <v>-50</v>
      </c>
      <c r="CF154">
        <f t="shared" si="473"/>
        <v>-50</v>
      </c>
      <c r="CG154" s="150">
        <f t="shared" si="474"/>
        <v>0.38216471009446346</v>
      </c>
      <c r="CI154" s="147">
        <v>44</v>
      </c>
      <c r="CJ154" s="188">
        <f t="shared" si="428"/>
        <v>1.76</v>
      </c>
      <c r="CK154" s="188"/>
      <c r="CL154" s="188">
        <f t="shared" si="368"/>
        <v>52.8</v>
      </c>
      <c r="CM154" s="465">
        <f t="shared" si="369"/>
        <v>20</v>
      </c>
      <c r="CN154" s="379">
        <f t="shared" si="370"/>
        <v>30.4</v>
      </c>
      <c r="CO154" s="379">
        <f t="shared" si="371"/>
        <v>50.4</v>
      </c>
      <c r="CP154" s="379"/>
      <c r="CQ154" s="188">
        <f t="shared" si="372"/>
        <v>0.60317460317460314</v>
      </c>
      <c r="CR154" s="149">
        <f t="shared" si="429"/>
        <v>183.55019291189507</v>
      </c>
      <c r="CS154" s="149">
        <f t="shared" si="373"/>
        <v>52.8</v>
      </c>
      <c r="CT154" s="188">
        <f t="shared" si="374"/>
        <v>6.1183397637298356</v>
      </c>
      <c r="CU154" s="188">
        <f t="shared" si="375"/>
        <v>30</v>
      </c>
      <c r="CV154" s="188"/>
      <c r="CW154" s="149">
        <f t="shared" si="376"/>
        <v>152.22872331369334</v>
      </c>
      <c r="CX154" s="149">
        <f t="shared" si="377"/>
        <v>30</v>
      </c>
      <c r="CY154" s="188">
        <f t="shared" si="378"/>
        <v>8.7536842105263162</v>
      </c>
      <c r="CZ154" s="188">
        <f t="shared" si="379"/>
        <v>2.0571157894736842</v>
      </c>
      <c r="DA154" s="188">
        <f t="shared" si="380"/>
        <v>1.3533656509695291</v>
      </c>
      <c r="DB154" s="172">
        <f t="shared" si="381"/>
        <v>350</v>
      </c>
      <c r="DC154" s="379">
        <f t="shared" si="382"/>
        <v>293.2137346186654</v>
      </c>
      <c r="DE154" s="188">
        <f t="shared" si="383"/>
        <v>7.3334298258310406</v>
      </c>
      <c r="DF154" s="150">
        <f t="shared" si="384"/>
        <v>1.1337868480725624</v>
      </c>
      <c r="DG154" s="150">
        <f t="shared" si="385"/>
        <v>1.4550456003633017</v>
      </c>
      <c r="DH154" s="150"/>
      <c r="DI154" s="150">
        <f t="shared" si="386"/>
        <v>0.93700159489633172</v>
      </c>
      <c r="DJ154" s="314">
        <f t="shared" si="387"/>
        <v>619.84953191489365</v>
      </c>
      <c r="DK154" s="456">
        <f t="shared" si="388"/>
        <v>0.99378957034459414</v>
      </c>
      <c r="DM154" s="150">
        <f t="shared" si="389"/>
        <v>8.0653862850486995</v>
      </c>
      <c r="DN154" s="150">
        <f t="shared" si="390"/>
        <v>8.7536842105263162</v>
      </c>
      <c r="DO154" s="150">
        <f t="shared" si="391"/>
        <v>3.1948727036446334</v>
      </c>
      <c r="DQ154" s="314">
        <f t="shared" si="392"/>
        <v>1760</v>
      </c>
      <c r="DR154" s="144">
        <f t="shared" si="393"/>
        <v>293.2137346186654</v>
      </c>
      <c r="DT154">
        <f t="shared" si="430"/>
        <v>1760</v>
      </c>
      <c r="DU154">
        <f t="shared" si="431"/>
        <v>293.2137346186654</v>
      </c>
      <c r="DW154" s="5">
        <f t="shared" si="394"/>
        <v>3.4104814404432129</v>
      </c>
      <c r="DX154" s="5">
        <f t="shared" si="395"/>
        <v>2.0571157894736842</v>
      </c>
      <c r="DY154" s="5">
        <f t="shared" si="396"/>
        <v>1.3533656509695287</v>
      </c>
      <c r="DZ154" s="5"/>
      <c r="EA154" s="150">
        <f t="shared" si="397"/>
        <v>0.60317460317460325</v>
      </c>
      <c r="EB154" s="150">
        <f t="shared" si="398"/>
        <v>52.800000000000011</v>
      </c>
      <c r="EC154" s="150">
        <f t="shared" si="399"/>
        <v>1.7368421052631577</v>
      </c>
      <c r="ED154" s="150">
        <f t="shared" si="400"/>
        <v>30.400000000000009</v>
      </c>
      <c r="EE154" s="144">
        <f t="shared" si="401"/>
        <v>12.068412631578948</v>
      </c>
      <c r="EF154" s="5">
        <f t="shared" si="402"/>
        <v>2.1016972462115029</v>
      </c>
      <c r="EH154" s="150">
        <f t="shared" si="403"/>
        <v>3.9251094520441492</v>
      </c>
      <c r="EI154" s="150">
        <f t="shared" si="404"/>
        <v>3.1836841670219518</v>
      </c>
      <c r="EK154" s="456">
        <f t="shared" si="405"/>
        <v>0.18487781052631586</v>
      </c>
      <c r="EL154" s="456">
        <f t="shared" si="406"/>
        <v>2.4578723404255323</v>
      </c>
      <c r="EM154" s="456">
        <f t="shared" si="407"/>
        <v>3.3719579481146525E-2</v>
      </c>
      <c r="EN154" s="456">
        <f t="shared" si="408"/>
        <v>0.38543907156673118</v>
      </c>
      <c r="EO154">
        <f t="shared" si="409"/>
        <v>8.9999999999999993E-3</v>
      </c>
      <c r="EP154" s="144">
        <f t="shared" si="410"/>
        <v>42.719579481146525</v>
      </c>
      <c r="EQ154" s="144"/>
      <c r="ER154" s="144">
        <f t="shared" si="432"/>
        <v>3070.9088019997257</v>
      </c>
      <c r="ES154" s="456">
        <f t="shared" si="411"/>
        <v>1.232</v>
      </c>
      <c r="EV154" s="144">
        <f t="shared" si="412"/>
        <v>1232</v>
      </c>
      <c r="EW154" s="456">
        <f t="shared" si="413"/>
        <v>0.21569077894736849</v>
      </c>
      <c r="EX154" s="456">
        <f t="shared" si="414"/>
        <v>0.14190182825484762</v>
      </c>
      <c r="EY154" s="456">
        <f t="shared" si="415"/>
        <v>16.688141232989647</v>
      </c>
      <c r="EZ154" s="456"/>
      <c r="FA154" s="456">
        <f t="shared" si="416"/>
        <v>2.2468085106382985</v>
      </c>
      <c r="FB154" s="144">
        <f t="shared" si="417"/>
        <v>19292.542350830165</v>
      </c>
      <c r="FC154" s="150">
        <f t="shared" si="418"/>
        <v>23.595451152829888</v>
      </c>
      <c r="FD154" s="5">
        <f t="shared" si="419"/>
        <v>52.8</v>
      </c>
      <c r="FE154" s="150">
        <f t="shared" si="420"/>
        <v>0.69114062687283639</v>
      </c>
      <c r="FF154" s="5">
        <f t="shared" si="421"/>
        <v>69.114062687283635</v>
      </c>
      <c r="FI154" s="59">
        <f t="shared" si="422"/>
        <v>-50</v>
      </c>
      <c r="FJ154">
        <f t="shared" si="423"/>
        <v>-50</v>
      </c>
      <c r="FL154">
        <f t="shared" si="475"/>
        <v>0.39682539682539675</v>
      </c>
    </row>
    <row r="155" spans="5:168">
      <c r="E155" s="147">
        <v>45</v>
      </c>
      <c r="F155" s="188">
        <f t="shared" si="476"/>
        <v>1.8</v>
      </c>
      <c r="G155" s="188"/>
      <c r="H155" s="188">
        <f t="shared" si="442"/>
        <v>54</v>
      </c>
      <c r="I155" s="465">
        <f t="shared" si="443"/>
        <v>19.877644020919035</v>
      </c>
      <c r="J155" s="149">
        <f t="shared" si="444"/>
        <v>30.465883988735904</v>
      </c>
      <c r="K155" s="149">
        <f t="shared" si="445"/>
        <v>50.343528009654939</v>
      </c>
      <c r="L155" s="379"/>
      <c r="M155" s="188">
        <f t="shared" si="446"/>
        <v>0.60514122537175807</v>
      </c>
      <c r="N155" s="149">
        <f t="shared" si="447"/>
        <v>183.02206519777678</v>
      </c>
      <c r="O155" s="149">
        <f t="shared" si="438"/>
        <v>54</v>
      </c>
      <c r="P155" s="188">
        <f t="shared" si="448"/>
        <v>6.1007355065925593</v>
      </c>
      <c r="Q155" s="188">
        <f t="shared" si="449"/>
        <v>30</v>
      </c>
      <c r="R155" s="188"/>
      <c r="S155" s="149">
        <f t="shared" si="450"/>
        <v>147.4963528574545</v>
      </c>
      <c r="T155" s="149">
        <f t="shared" si="451"/>
        <v>30</v>
      </c>
      <c r="U155" s="188">
        <f t="shared" si="452"/>
        <v>9.1171837409194882</v>
      </c>
      <c r="V155" s="188">
        <f t="shared" si="453"/>
        <v>2.1557264803226115</v>
      </c>
      <c r="W155" s="188">
        <f t="shared" si="454"/>
        <v>1.4065163380181165</v>
      </c>
      <c r="X155" s="172">
        <f t="shared" si="455"/>
        <v>350</v>
      </c>
      <c r="Y155" s="379">
        <f t="shared" si="328"/>
        <v>265.79889929620032</v>
      </c>
      <c r="AA155" s="188">
        <f t="shared" si="456"/>
        <v>7.3125549635497977</v>
      </c>
      <c r="AB155" s="150">
        <f t="shared" si="457"/>
        <v>1.1281145934052412</v>
      </c>
      <c r="AC155" s="150">
        <f t="shared" si="458"/>
        <v>1.4436449946552303</v>
      </c>
      <c r="AD155" s="150"/>
      <c r="AE155" s="150">
        <f t="shared" si="459"/>
        <v>0.93497528236436966</v>
      </c>
      <c r="AF155" s="314">
        <f t="shared" si="460"/>
        <v>635.31091270978868</v>
      </c>
      <c r="AG155" s="456">
        <f t="shared" si="461"/>
        <v>0.9916404509925133</v>
      </c>
      <c r="AI155" s="150">
        <f t="shared" si="462"/>
        <v>8.1653572601004747</v>
      </c>
      <c r="AJ155" s="150">
        <f t="shared" si="463"/>
        <v>9.1171837409194882</v>
      </c>
      <c r="AK155" s="150">
        <f t="shared" si="464"/>
        <v>3.4641316150469832</v>
      </c>
      <c r="AM155" s="314">
        <f t="shared" si="465"/>
        <v>1800</v>
      </c>
      <c r="AN155" s="144">
        <f t="shared" si="466"/>
        <v>265.79889929620032</v>
      </c>
      <c r="AP155" s="144">
        <f t="shared" si="467"/>
        <v>1800</v>
      </c>
      <c r="AQ155" s="144">
        <f t="shared" si="468"/>
        <v>265.79889929620032</v>
      </c>
      <c r="AS155" s="5">
        <f t="shared" si="439"/>
        <v>3.7622428183407277</v>
      </c>
      <c r="AT155" s="5">
        <f t="shared" si="469"/>
        <v>2.1557264803226115</v>
      </c>
      <c r="AU155" s="5">
        <f t="shared" si="343"/>
        <v>1.6065163380181162</v>
      </c>
      <c r="AV155" s="5"/>
      <c r="AW155" s="150">
        <f t="shared" si="344"/>
        <v>0.57298972565342221</v>
      </c>
      <c r="AX155" s="150">
        <f t="shared" si="435"/>
        <v>51.92092906845248</v>
      </c>
      <c r="AY155" s="150">
        <f t="shared" si="436"/>
        <v>1.9465655652390945</v>
      </c>
      <c r="AZ155" s="150">
        <f t="shared" si="440"/>
        <v>26.673095422848029</v>
      </c>
      <c r="BA155" s="144">
        <f t="shared" si="433"/>
        <v>12.934358881935671</v>
      </c>
      <c r="BB155" s="5">
        <f t="shared" si="434"/>
        <v>2.567231756370933</v>
      </c>
      <c r="BD155" s="150">
        <f t="shared" si="441"/>
        <v>3.9844969369471399</v>
      </c>
      <c r="BE155" s="150">
        <f t="shared" si="437"/>
        <v>3.43968951331673</v>
      </c>
      <c r="BG155" s="456">
        <f t="shared" si="347"/>
        <v>0.19051459008649368</v>
      </c>
      <c r="BH155" s="456">
        <f t="shared" si="470"/>
        <v>2.2264882182683263</v>
      </c>
      <c r="BI155" s="456">
        <f t="shared" si="349"/>
        <v>3.0566873419063039E-2</v>
      </c>
      <c r="BJ155" s="456">
        <f t="shared" si="350"/>
        <v>0.34861881828933633</v>
      </c>
      <c r="BK155">
        <f t="shared" si="351"/>
        <v>8.9449398094135664E-3</v>
      </c>
      <c r="BL155" s="144">
        <f t="shared" si="427"/>
        <v>39.511813228476605</v>
      </c>
      <c r="BM155" s="456">
        <f t="shared" si="471"/>
        <v>2.9506243127587157</v>
      </c>
      <c r="BN155" s="144">
        <f t="shared" si="353"/>
        <v>2950.6243127587159</v>
      </c>
      <c r="BO155" s="456">
        <f t="shared" si="354"/>
        <v>1.26</v>
      </c>
      <c r="BR155" s="144">
        <f t="shared" si="355"/>
        <v>1260</v>
      </c>
      <c r="BS155" s="456">
        <f t="shared" si="356"/>
        <v>0.22226702176757598</v>
      </c>
      <c r="BT155" s="456">
        <f t="shared" si="357"/>
        <v>0.16564049527229516</v>
      </c>
      <c r="BU155" s="456">
        <f t="shared" si="358"/>
        <v>14.454554736409259</v>
      </c>
      <c r="BV155" s="456"/>
      <c r="BW155" s="456">
        <f t="shared" si="359"/>
        <v>2.2094012369554252</v>
      </c>
      <c r="BX155" s="144">
        <f t="shared" si="360"/>
        <v>17051.863490404554</v>
      </c>
      <c r="BY155" s="150">
        <f t="shared" si="361"/>
        <v>21.116996930277189</v>
      </c>
      <c r="BZ155" s="5">
        <f t="shared" si="362"/>
        <v>54</v>
      </c>
      <c r="CA155" s="150">
        <f t="shared" si="363"/>
        <v>0.71887857884044848</v>
      </c>
      <c r="CB155" s="5">
        <f t="shared" si="364"/>
        <v>71.887857884044848</v>
      </c>
      <c r="CE155" s="59">
        <f t="shared" si="472"/>
        <v>-50</v>
      </c>
      <c r="CF155">
        <f t="shared" si="473"/>
        <v>-50</v>
      </c>
      <c r="CG155" s="150">
        <f t="shared" si="474"/>
        <v>0.38249050313292876</v>
      </c>
      <c r="CI155" s="147">
        <v>45</v>
      </c>
      <c r="CJ155" s="188">
        <f t="shared" si="428"/>
        <v>1.8</v>
      </c>
      <c r="CK155" s="188"/>
      <c r="CL155" s="188">
        <f t="shared" si="368"/>
        <v>54</v>
      </c>
      <c r="CM155" s="465">
        <f t="shared" si="369"/>
        <v>20</v>
      </c>
      <c r="CN155" s="379">
        <f t="shared" si="370"/>
        <v>30.4</v>
      </c>
      <c r="CO155" s="379">
        <f t="shared" si="371"/>
        <v>50.4</v>
      </c>
      <c r="CP155" s="379"/>
      <c r="CQ155" s="188">
        <f t="shared" si="372"/>
        <v>0.60317460317460314</v>
      </c>
      <c r="CR155" s="149">
        <f t="shared" si="429"/>
        <v>183.55019291189507</v>
      </c>
      <c r="CS155" s="149">
        <f t="shared" si="373"/>
        <v>54</v>
      </c>
      <c r="CT155" s="188">
        <f t="shared" si="374"/>
        <v>6.1183397637298356</v>
      </c>
      <c r="CU155" s="188">
        <f t="shared" si="375"/>
        <v>30</v>
      </c>
      <c r="CV155" s="188"/>
      <c r="CW155" s="149">
        <f t="shared" si="376"/>
        <v>148.40393037097019</v>
      </c>
      <c r="CX155" s="149">
        <f t="shared" si="377"/>
        <v>30</v>
      </c>
      <c r="CY155" s="188">
        <f t="shared" si="378"/>
        <v>8.9526315789473685</v>
      </c>
      <c r="CZ155" s="188">
        <f t="shared" si="379"/>
        <v>2.1038684210526313</v>
      </c>
      <c r="DA155" s="188">
        <f t="shared" si="380"/>
        <v>1.3841239612188365</v>
      </c>
      <c r="DB155" s="172">
        <f t="shared" si="381"/>
        <v>350</v>
      </c>
      <c r="DC155" s="379">
        <f t="shared" si="382"/>
        <v>286.69787384936171</v>
      </c>
      <c r="DE155" s="188">
        <f t="shared" si="383"/>
        <v>7.3334298258310406</v>
      </c>
      <c r="DF155" s="150">
        <f t="shared" si="384"/>
        <v>1.1337868480725624</v>
      </c>
      <c r="DG155" s="150">
        <f t="shared" si="385"/>
        <v>1.4550456003633017</v>
      </c>
      <c r="DH155" s="150"/>
      <c r="DI155" s="150">
        <f t="shared" si="386"/>
        <v>0.93700159489633172</v>
      </c>
      <c r="DJ155" s="314">
        <f t="shared" si="387"/>
        <v>633.93702127659571</v>
      </c>
      <c r="DK155" s="456">
        <f t="shared" si="388"/>
        <v>0.99378957034459414</v>
      </c>
      <c r="DM155" s="150">
        <f t="shared" si="389"/>
        <v>8.1565234861391289</v>
      </c>
      <c r="DN155" s="150">
        <f t="shared" si="390"/>
        <v>8.9526315789473685</v>
      </c>
      <c r="DO155" s="150">
        <f t="shared" si="391"/>
        <v>3.3422411246972654</v>
      </c>
      <c r="DQ155" s="314">
        <f t="shared" si="392"/>
        <v>1800</v>
      </c>
      <c r="DR155" s="144">
        <f t="shared" si="393"/>
        <v>286.69787384936171</v>
      </c>
      <c r="DT155">
        <f t="shared" si="430"/>
        <v>1800</v>
      </c>
      <c r="DU155">
        <f t="shared" si="431"/>
        <v>286.69787384936171</v>
      </c>
      <c r="DW155" s="5">
        <f t="shared" si="394"/>
        <v>3.487992382271468</v>
      </c>
      <c r="DX155" s="5">
        <f t="shared" si="395"/>
        <v>2.1038684210526313</v>
      </c>
      <c r="DY155" s="5">
        <f t="shared" si="396"/>
        <v>1.3841239612188367</v>
      </c>
      <c r="DZ155" s="5"/>
      <c r="EA155" s="150">
        <f t="shared" si="397"/>
        <v>0.60317460317460314</v>
      </c>
      <c r="EB155" s="150">
        <f t="shared" si="398"/>
        <v>54</v>
      </c>
      <c r="EC155" s="150">
        <f t="shared" si="399"/>
        <v>1.7763157894736843</v>
      </c>
      <c r="ED155" s="150">
        <f t="shared" si="400"/>
        <v>30.4</v>
      </c>
      <c r="EE155" s="144">
        <f t="shared" si="401"/>
        <v>12.623210526315789</v>
      </c>
      <c r="EF155" s="5">
        <f t="shared" si="402"/>
        <v>2.1983145266416817</v>
      </c>
      <c r="EH155" s="150">
        <f t="shared" si="403"/>
        <v>4.0143164850451516</v>
      </c>
      <c r="EI155" s="150">
        <f t="shared" si="404"/>
        <v>3.2560406253633603</v>
      </c>
      <c r="EK155" s="456">
        <f t="shared" si="405"/>
        <v>0.19337684210526312</v>
      </c>
      <c r="EL155" s="456">
        <f t="shared" si="406"/>
        <v>2.4578723404255323</v>
      </c>
      <c r="EM155" s="456">
        <f t="shared" si="407"/>
        <v>3.2970255492676598E-2</v>
      </c>
      <c r="EN155" s="456">
        <f t="shared" si="408"/>
        <v>0.37687375886524827</v>
      </c>
      <c r="EO155">
        <f t="shared" si="409"/>
        <v>8.9999999999999993E-3</v>
      </c>
      <c r="EP155" s="144">
        <f t="shared" si="410"/>
        <v>41.9702554926766</v>
      </c>
      <c r="EQ155" s="144"/>
      <c r="ER155" s="144">
        <f t="shared" si="432"/>
        <v>3070.0931968887198</v>
      </c>
      <c r="ES155" s="456">
        <f t="shared" si="411"/>
        <v>1.26</v>
      </c>
      <c r="EV155" s="144">
        <f t="shared" si="412"/>
        <v>1260</v>
      </c>
      <c r="EW155" s="456">
        <f t="shared" si="413"/>
        <v>0.22560631578947363</v>
      </c>
      <c r="EX155" s="456">
        <f t="shared" si="414"/>
        <v>0.14842520775623272</v>
      </c>
      <c r="EY155" s="456">
        <f t="shared" si="415"/>
        <v>16.688141232989633</v>
      </c>
      <c r="EZ155" s="456"/>
      <c r="FA155" s="456">
        <f t="shared" si="416"/>
        <v>2.2978723404255321</v>
      </c>
      <c r="FB155" s="144">
        <f t="shared" si="417"/>
        <v>19360.045096960872</v>
      </c>
      <c r="FC155" s="150">
        <f t="shared" si="418"/>
        <v>23.690138293849589</v>
      </c>
      <c r="FD155" s="5">
        <f t="shared" si="419"/>
        <v>54</v>
      </c>
      <c r="FE155" s="150">
        <f t="shared" si="420"/>
        <v>0.69506891332532172</v>
      </c>
      <c r="FF155" s="5">
        <f t="shared" si="421"/>
        <v>69.506891332532177</v>
      </c>
      <c r="FI155" s="59">
        <f t="shared" si="422"/>
        <v>-50</v>
      </c>
      <c r="FJ155">
        <f t="shared" si="423"/>
        <v>-50</v>
      </c>
      <c r="FL155">
        <f t="shared" si="475"/>
        <v>0.39682539682539686</v>
      </c>
    </row>
    <row r="156" spans="5:168" s="59" customFormat="1">
      <c r="E156" s="147">
        <v>46</v>
      </c>
      <c r="F156" s="188">
        <f t="shared" si="476"/>
        <v>1.84</v>
      </c>
      <c r="G156" s="188"/>
      <c r="H156" s="188">
        <f t="shared" si="442"/>
        <v>55.2</v>
      </c>
      <c r="I156" s="465">
        <f t="shared" si="443"/>
        <v>19.875026819095943</v>
      </c>
      <c r="J156" s="149">
        <f t="shared" si="444"/>
        <v>30.467293251256031</v>
      </c>
      <c r="K156" s="149">
        <f t="shared" si="445"/>
        <v>50.342320070351974</v>
      </c>
      <c r="L156" s="379"/>
      <c r="M156" s="188">
        <f t="shared" si="446"/>
        <v>0.60518375623959686</v>
      </c>
      <c r="N156" s="149">
        <f t="shared" si="447"/>
        <v>183.01082905232369</v>
      </c>
      <c r="O156" s="149">
        <f t="shared" si="438"/>
        <v>55.2</v>
      </c>
      <c r="P156" s="188">
        <f t="shared" si="448"/>
        <v>6.1003609684107891</v>
      </c>
      <c r="Q156" s="188">
        <f t="shared" si="449"/>
        <v>30</v>
      </c>
      <c r="R156" s="188"/>
      <c r="S156" s="149">
        <f t="shared" si="450"/>
        <v>143.84137723759633</v>
      </c>
      <c r="T156" s="149">
        <f t="shared" si="451"/>
        <v>30</v>
      </c>
      <c r="U156" s="188">
        <f t="shared" si="452"/>
        <v>9.3207917813868697</v>
      </c>
      <c r="V156" s="188">
        <f t="shared" si="453"/>
        <v>2.2041591073692435</v>
      </c>
      <c r="W156" s="188">
        <f t="shared" si="454"/>
        <v>1.4378606268448966</v>
      </c>
      <c r="X156" s="172">
        <f t="shared" si="455"/>
        <v>350</v>
      </c>
      <c r="Y156" s="379">
        <f t="shared" si="328"/>
        <v>260.27976667968454</v>
      </c>
      <c r="AA156" s="188">
        <f t="shared" si="456"/>
        <v>7.31210581066542</v>
      </c>
      <c r="AB156" s="462">
        <f t="shared" si="457"/>
        <v>1.1279931245192147</v>
      </c>
      <c r="AC156" s="462">
        <f t="shared" si="458"/>
        <v>1.4434008890328287</v>
      </c>
      <c r="AD156" s="462"/>
      <c r="AE156" s="462">
        <f t="shared" si="459"/>
        <v>0.93493203514802481</v>
      </c>
      <c r="AF156" s="314">
        <f t="shared" si="460"/>
        <v>649.45897367166799</v>
      </c>
      <c r="AG156" s="497">
        <f t="shared" si="461"/>
        <v>0.99159458273275369</v>
      </c>
      <c r="AI156" s="462">
        <f t="shared" si="462"/>
        <v>8.2557758786459896</v>
      </c>
      <c r="AJ156" s="462">
        <f t="shared" si="463"/>
        <v>9.3207917813868697</v>
      </c>
      <c r="AK156" s="462">
        <f t="shared" si="464"/>
        <v>3.6149523857635621</v>
      </c>
      <c r="AM156" s="484">
        <f t="shared" si="465"/>
        <v>1840</v>
      </c>
      <c r="AN156" s="485">
        <f t="shared" si="466"/>
        <v>260.27976667968454</v>
      </c>
      <c r="AP156" s="59">
        <f t="shared" si="467"/>
        <v>1840</v>
      </c>
      <c r="AQ156" s="59">
        <f t="shared" si="468"/>
        <v>260.27976667968454</v>
      </c>
      <c r="AS156" s="167">
        <f t="shared" si="439"/>
        <v>3.8420197342141398</v>
      </c>
      <c r="AT156" s="5">
        <f t="shared" si="469"/>
        <v>2.2041591073692435</v>
      </c>
      <c r="AU156" s="5">
        <f t="shared" si="343"/>
        <v>1.6378606268448963</v>
      </c>
      <c r="AV156" s="5"/>
      <c r="AW156" s="150">
        <f t="shared" si="344"/>
        <v>0.57369801819096844</v>
      </c>
      <c r="AX156" s="150">
        <f t="shared" si="435"/>
        <v>53.139061948854625</v>
      </c>
      <c r="AY156" s="150">
        <f t="shared" si="436"/>
        <v>1.9867360042172781</v>
      </c>
      <c r="AZ156" s="150">
        <f t="shared" si="440"/>
        <v>26.746916468043786</v>
      </c>
      <c r="BA156" s="144">
        <f t="shared" si="433"/>
        <v>13.518842525198027</v>
      </c>
      <c r="BB156" s="5">
        <f t="shared" si="434"/>
        <v>2.6758352823948766</v>
      </c>
      <c r="BD156" s="150">
        <f t="shared" si="441"/>
        <v>4.0759969820148063</v>
      </c>
      <c r="BE156" s="150">
        <f t="shared" si="437"/>
        <v>3.5135881583640196</v>
      </c>
      <c r="BG156" s="456">
        <f t="shared" si="347"/>
        <v>0.1993650167687257</v>
      </c>
      <c r="BH156" s="456">
        <f t="shared" si="470"/>
        <v>2.2288934623501691</v>
      </c>
      <c r="BI156" s="456">
        <f t="shared" si="349"/>
        <v>2.9932173168163725E-2</v>
      </c>
      <c r="BJ156" s="456">
        <f t="shared" si="350"/>
        <v>0.34136360471539756</v>
      </c>
      <c r="BK156">
        <f t="shared" si="351"/>
        <v>8.9437620685931737E-3</v>
      </c>
      <c r="BL156" s="144">
        <f t="shared" si="427"/>
        <v>38.875935236756902</v>
      </c>
      <c r="BM156" s="456">
        <f t="shared" si="471"/>
        <v>2.9638454109590993</v>
      </c>
      <c r="BN156" s="144">
        <f t="shared" si="353"/>
        <v>2963.8454109590994</v>
      </c>
      <c r="BO156" s="456">
        <f t="shared" si="354"/>
        <v>1.288</v>
      </c>
      <c r="BR156" s="144">
        <f t="shared" si="355"/>
        <v>1288</v>
      </c>
      <c r="BS156" s="456">
        <f t="shared" si="356"/>
        <v>0.23259251956351334</v>
      </c>
      <c r="BT156" s="456">
        <f t="shared" si="357"/>
        <v>0.17283422445234209</v>
      </c>
      <c r="BU156" s="456">
        <f t="shared" si="358"/>
        <v>14.494493438411547</v>
      </c>
      <c r="BV156" s="456"/>
      <c r="BW156" s="456">
        <f t="shared" si="359"/>
        <v>2.2612366786746652</v>
      </c>
      <c r="BX156" s="144">
        <f t="shared" si="360"/>
        <v>17161.156861102067</v>
      </c>
      <c r="BY156" s="150">
        <f t="shared" si="361"/>
        <v>21.257654880173114</v>
      </c>
      <c r="BZ156" s="5">
        <f t="shared" si="362"/>
        <v>55.2</v>
      </c>
      <c r="CA156" s="150">
        <f t="shared" si="363"/>
        <v>0.72196825924770003</v>
      </c>
      <c r="CB156" s="5">
        <f t="shared" si="364"/>
        <v>72.196825924769996</v>
      </c>
      <c r="CE156" s="59">
        <f t="shared" si="472"/>
        <v>-50</v>
      </c>
      <c r="CF156">
        <f t="shared" si="473"/>
        <v>-50</v>
      </c>
      <c r="CG156" s="150">
        <f t="shared" si="474"/>
        <v>0.38280213125667817</v>
      </c>
      <c r="CH156"/>
      <c r="CI156" s="147">
        <v>46</v>
      </c>
      <c r="CJ156" s="188">
        <f t="shared" si="428"/>
        <v>1.84</v>
      </c>
      <c r="CK156" s="188"/>
      <c r="CL156" s="188">
        <f t="shared" si="368"/>
        <v>55.2</v>
      </c>
      <c r="CM156" s="465">
        <f t="shared" si="369"/>
        <v>20</v>
      </c>
      <c r="CN156" s="379">
        <f t="shared" si="370"/>
        <v>30.4</v>
      </c>
      <c r="CO156" s="379">
        <f t="shared" si="371"/>
        <v>50.4</v>
      </c>
      <c r="CP156" s="379"/>
      <c r="CQ156" s="188">
        <f t="shared" si="372"/>
        <v>0.60317460317460314</v>
      </c>
      <c r="CR156" s="149">
        <f t="shared" si="429"/>
        <v>183.55019291189507</v>
      </c>
      <c r="CS156" s="149">
        <f t="shared" si="373"/>
        <v>55.2</v>
      </c>
      <c r="CT156" s="188">
        <f t="shared" si="374"/>
        <v>6.1183397637298356</v>
      </c>
      <c r="CU156" s="188">
        <f t="shared" si="375"/>
        <v>30</v>
      </c>
      <c r="CV156" s="188"/>
      <c r="CW156" s="149">
        <f t="shared" si="376"/>
        <v>144.74549918862203</v>
      </c>
      <c r="CX156" s="149">
        <f t="shared" si="377"/>
        <v>30</v>
      </c>
      <c r="CY156" s="188">
        <f t="shared" si="378"/>
        <v>9.1515789473684208</v>
      </c>
      <c r="CZ156" s="188">
        <f t="shared" si="379"/>
        <v>2.1506210526315792</v>
      </c>
      <c r="DA156" s="188">
        <f t="shared" si="380"/>
        <v>1.4148822714681442</v>
      </c>
      <c r="DB156" s="172">
        <f t="shared" si="381"/>
        <v>350</v>
      </c>
      <c r="DC156" s="379">
        <f t="shared" si="382"/>
        <v>280.46531137437552</v>
      </c>
      <c r="DE156" s="188">
        <f t="shared" si="383"/>
        <v>7.3334298258310406</v>
      </c>
      <c r="DF156" s="462">
        <f t="shared" si="384"/>
        <v>1.1337868480725624</v>
      </c>
      <c r="DG156" s="462">
        <f t="shared" si="385"/>
        <v>1.4550456003633017</v>
      </c>
      <c r="DH156" s="462"/>
      <c r="DI156" s="462">
        <f t="shared" si="386"/>
        <v>0.93700159489633172</v>
      </c>
      <c r="DJ156" s="314">
        <f t="shared" si="387"/>
        <v>648.0245106382979</v>
      </c>
      <c r="DK156" s="497">
        <f t="shared" si="388"/>
        <v>0.99378957034459414</v>
      </c>
      <c r="DM156" s="462">
        <f t="shared" si="389"/>
        <v>8.2466535535832204</v>
      </c>
      <c r="DN156" s="462">
        <f t="shared" si="390"/>
        <v>9.1515789473684208</v>
      </c>
      <c r="DO156" s="462">
        <f t="shared" si="391"/>
        <v>3.4896095457498966</v>
      </c>
      <c r="DQ156" s="484">
        <f t="shared" si="392"/>
        <v>1840</v>
      </c>
      <c r="DR156" s="485">
        <f t="shared" si="393"/>
        <v>280.46531137437552</v>
      </c>
      <c r="DT156">
        <f t="shared" si="430"/>
        <v>1840</v>
      </c>
      <c r="DU156">
        <f t="shared" si="431"/>
        <v>280.46531137437552</v>
      </c>
      <c r="DW156" s="167">
        <f t="shared" si="394"/>
        <v>3.565503324099724</v>
      </c>
      <c r="DX156" s="5">
        <f t="shared" si="395"/>
        <v>2.1506210526315792</v>
      </c>
      <c r="DY156" s="5">
        <f t="shared" si="396"/>
        <v>1.4148822714681448</v>
      </c>
      <c r="DZ156" s="5"/>
      <c r="EA156" s="150">
        <f t="shared" si="397"/>
        <v>0.60317460317460303</v>
      </c>
      <c r="EB156" s="150">
        <f t="shared" si="398"/>
        <v>55.199999999999982</v>
      </c>
      <c r="EC156" s="150">
        <f t="shared" si="399"/>
        <v>1.8157894736842111</v>
      </c>
      <c r="ED156" s="150">
        <f t="shared" si="400"/>
        <v>30.399999999999981</v>
      </c>
      <c r="EE156" s="144">
        <f t="shared" si="401"/>
        <v>13.190475789473686</v>
      </c>
      <c r="EF156" s="5">
        <f t="shared" si="402"/>
        <v>2.297102981912988</v>
      </c>
      <c r="EH156" s="150">
        <f t="shared" si="403"/>
        <v>4.1035235180461545</v>
      </c>
      <c r="EI156" s="150">
        <f t="shared" si="404"/>
        <v>3.3283970837047683</v>
      </c>
      <c r="EK156" s="456">
        <f t="shared" si="405"/>
        <v>0.20206686315789466</v>
      </c>
      <c r="EL156" s="456">
        <f t="shared" si="406"/>
        <v>2.4578723404255314</v>
      </c>
      <c r="EM156" s="456">
        <f t="shared" si="407"/>
        <v>3.2253510808053186E-2</v>
      </c>
      <c r="EN156" s="456">
        <f t="shared" si="408"/>
        <v>0.36868085106382975</v>
      </c>
      <c r="EO156">
        <f t="shared" si="409"/>
        <v>8.9999999999999993E-3</v>
      </c>
      <c r="EP156" s="144">
        <f t="shared" si="410"/>
        <v>41.253510808053186</v>
      </c>
      <c r="EQ156" s="144"/>
      <c r="ER156" s="144">
        <f t="shared" si="432"/>
        <v>3069.8735654553093</v>
      </c>
      <c r="ES156" s="456">
        <f t="shared" si="411"/>
        <v>1.288</v>
      </c>
      <c r="EV156" s="144">
        <f t="shared" si="412"/>
        <v>1288</v>
      </c>
      <c r="EW156" s="456">
        <f t="shared" si="413"/>
        <v>0.23574467368421043</v>
      </c>
      <c r="EX156" s="456">
        <f t="shared" si="414"/>
        <v>0.15509518005540168</v>
      </c>
      <c r="EY156" s="456">
        <f t="shared" si="415"/>
        <v>16.688141232989629</v>
      </c>
      <c r="EZ156" s="456"/>
      <c r="FA156" s="456">
        <f t="shared" si="416"/>
        <v>2.3489361702127654</v>
      </c>
      <c r="FB156" s="144">
        <f t="shared" si="417"/>
        <v>19427.917256942012</v>
      </c>
      <c r="FC156" s="150">
        <f t="shared" si="418"/>
        <v>23.785790822397317</v>
      </c>
      <c r="FD156" s="5">
        <f t="shared" si="419"/>
        <v>55.2</v>
      </c>
      <c r="FE156" s="150">
        <f t="shared" si="420"/>
        <v>0.69885987625444412</v>
      </c>
      <c r="FF156" s="5">
        <f t="shared" si="421"/>
        <v>69.885987625444415</v>
      </c>
      <c r="FI156" s="59">
        <f t="shared" si="422"/>
        <v>-50</v>
      </c>
      <c r="FJ156">
        <f t="shared" si="423"/>
        <v>-50</v>
      </c>
      <c r="FL156">
        <f t="shared" si="475"/>
        <v>0.39682539682539697</v>
      </c>
    </row>
    <row r="157" spans="5:168">
      <c r="E157" s="147">
        <v>47</v>
      </c>
      <c r="F157" s="188">
        <f t="shared" si="476"/>
        <v>1.88</v>
      </c>
      <c r="G157" s="188"/>
      <c r="H157" s="188">
        <f t="shared" si="442"/>
        <v>56.4</v>
      </c>
      <c r="I157" s="465">
        <f t="shared" si="443"/>
        <v>19.872409458673502</v>
      </c>
      <c r="J157" s="149">
        <f t="shared" si="444"/>
        <v>30.468702599175806</v>
      </c>
      <c r="K157" s="149">
        <f t="shared" si="445"/>
        <v>50.341112057849308</v>
      </c>
      <c r="L157" s="379"/>
      <c r="M157" s="188">
        <f t="shared" si="446"/>
        <v>0.60522629105217329</v>
      </c>
      <c r="N157" s="149">
        <f t="shared" si="447"/>
        <v>182.99958925182852</v>
      </c>
      <c r="O157" s="149">
        <f t="shared" si="438"/>
        <v>56.4</v>
      </c>
      <c r="P157" s="188">
        <f t="shared" si="448"/>
        <v>6.0999863083942838</v>
      </c>
      <c r="Q157" s="188">
        <f t="shared" si="449"/>
        <v>30</v>
      </c>
      <c r="R157" s="188"/>
      <c r="S157" s="149">
        <f t="shared" si="450"/>
        <v>140.34210830725459</v>
      </c>
      <c r="T157" s="149">
        <f t="shared" si="451"/>
        <v>30</v>
      </c>
      <c r="U157" s="188">
        <f t="shared" si="452"/>
        <v>9.5244437883702151</v>
      </c>
      <c r="V157" s="188">
        <f t="shared" si="453"/>
        <v>2.2526149080428666</v>
      </c>
      <c r="W157" s="188">
        <f t="shared" si="454"/>
        <v>1.4692087941595164</v>
      </c>
      <c r="X157" s="172">
        <f t="shared" si="455"/>
        <v>350</v>
      </c>
      <c r="Y157" s="379">
        <f t="shared" si="328"/>
        <v>254.98341484305598</v>
      </c>
      <c r="AA157" s="188">
        <f t="shared" si="456"/>
        <v>7.3116565199199357</v>
      </c>
      <c r="AB157" s="150">
        <f t="shared" si="457"/>
        <v>1.127871642442474</v>
      </c>
      <c r="AC157" s="150">
        <f t="shared" si="458"/>
        <v>1.4431567584170311</v>
      </c>
      <c r="AD157" s="150"/>
      <c r="AE157" s="150">
        <f t="shared" si="459"/>
        <v>0.93488878931192199</v>
      </c>
      <c r="AF157" s="314">
        <f t="shared" si="460"/>
        <v>663.60834261004902</v>
      </c>
      <c r="AG157" s="456">
        <f t="shared" si="461"/>
        <v>0.99154871593688687</v>
      </c>
      <c r="AI157" s="150">
        <f t="shared" si="462"/>
        <v>8.345223112542655</v>
      </c>
      <c r="AJ157" s="150">
        <f t="shared" si="463"/>
        <v>9.5244437883702151</v>
      </c>
      <c r="AK157" s="150">
        <f t="shared" si="464"/>
        <v>3.765805724269744</v>
      </c>
      <c r="AM157" s="314">
        <f t="shared" si="465"/>
        <v>1880</v>
      </c>
      <c r="AN157" s="144">
        <f t="shared" si="466"/>
        <v>254.98341484305598</v>
      </c>
      <c r="AP157">
        <f t="shared" si="467"/>
        <v>1880</v>
      </c>
      <c r="AQ157">
        <f t="shared" si="468"/>
        <v>254.98341484305598</v>
      </c>
      <c r="AS157" s="5">
        <f t="shared" si="439"/>
        <v>3.9218237022023836</v>
      </c>
      <c r="AT157" s="5">
        <f t="shared" si="469"/>
        <v>2.2526149080428666</v>
      </c>
      <c r="AU157" s="5">
        <f t="shared" si="343"/>
        <v>1.6692087941595171</v>
      </c>
      <c r="AV157" s="5"/>
      <c r="AW157" s="150">
        <f t="shared" si="344"/>
        <v>0.57437944157914667</v>
      </c>
      <c r="AX157" s="150">
        <f t="shared" si="435"/>
        <v>54.3574457855335</v>
      </c>
      <c r="AY157" s="150">
        <f t="shared" si="436"/>
        <v>2.0268995419270794</v>
      </c>
      <c r="AZ157" s="150">
        <f t="shared" si="440"/>
        <v>26.818026577603856</v>
      </c>
      <c r="BA157" s="144">
        <f t="shared" si="433"/>
        <v>14.116386757068629</v>
      </c>
      <c r="BB157" s="5">
        <f t="shared" si="434"/>
        <v>2.7867006555104199</v>
      </c>
      <c r="BD157" s="150">
        <f t="shared" si="441"/>
        <v>4.1675271634511022</v>
      </c>
      <c r="BE157" s="150">
        <f t="shared" si="437"/>
        <v>3.5874866551907716</v>
      </c>
      <c r="BG157" s="456">
        <f t="shared" si="347"/>
        <v>0.20841939189723346</v>
      </c>
      <c r="BH157" s="456">
        <f t="shared" si="470"/>
        <v>2.2311934686912078</v>
      </c>
      <c r="BI157" s="456">
        <f t="shared" si="349"/>
        <v>2.932309270695144E-2</v>
      </c>
      <c r="BJ157" s="456">
        <f t="shared" si="350"/>
        <v>0.33440125399577686</v>
      </c>
      <c r="BK157">
        <f t="shared" si="351"/>
        <v>8.9425842564030758E-3</v>
      </c>
      <c r="BL157" s="144">
        <f t="shared" si="427"/>
        <v>38.265676963354522</v>
      </c>
      <c r="BM157" s="456">
        <f t="shared" si="471"/>
        <v>2.977746699543534</v>
      </c>
      <c r="BN157" s="144">
        <f t="shared" si="353"/>
        <v>2977.7466995435339</v>
      </c>
      <c r="BO157" s="456">
        <f t="shared" si="354"/>
        <v>1.3159999999999998</v>
      </c>
      <c r="BR157" s="144">
        <f t="shared" si="355"/>
        <v>1315.9999999999998</v>
      </c>
      <c r="BS157" s="456">
        <f t="shared" si="356"/>
        <v>0.24315595721343905</v>
      </c>
      <c r="BT157" s="456">
        <f t="shared" si="357"/>
        <v>0.18018084701640619</v>
      </c>
      <c r="BU157" s="456">
        <f t="shared" si="358"/>
        <v>14.532786538433914</v>
      </c>
      <c r="BV157" s="456"/>
      <c r="BW157" s="456">
        <f t="shared" si="359"/>
        <v>2.3130827993844045</v>
      </c>
      <c r="BX157" s="144">
        <f t="shared" si="360"/>
        <v>17269.206142048162</v>
      </c>
      <c r="BY157" s="150">
        <f t="shared" si="361"/>
        <v>21.397485933595735</v>
      </c>
      <c r="BZ157" s="5">
        <f t="shared" si="362"/>
        <v>56.4</v>
      </c>
      <c r="CA157" s="150">
        <f t="shared" si="363"/>
        <v>0.72495915932476762</v>
      </c>
      <c r="CB157" s="5">
        <f t="shared" si="364"/>
        <v>72.495915932476763</v>
      </c>
      <c r="CE157" s="59">
        <f t="shared" si="472"/>
        <v>-50</v>
      </c>
      <c r="CF157">
        <f t="shared" si="473"/>
        <v>-50</v>
      </c>
      <c r="CG157" s="150">
        <f t="shared" si="474"/>
        <v>0.38310049860920403</v>
      </c>
      <c r="CI157" s="147">
        <v>47</v>
      </c>
      <c r="CJ157" s="188">
        <f t="shared" si="428"/>
        <v>1.88</v>
      </c>
      <c r="CK157" s="188"/>
      <c r="CL157" s="188">
        <f t="shared" si="368"/>
        <v>56.4</v>
      </c>
      <c r="CM157" s="465">
        <f t="shared" si="369"/>
        <v>20</v>
      </c>
      <c r="CN157" s="379">
        <f t="shared" si="370"/>
        <v>30.4</v>
      </c>
      <c r="CO157" s="379">
        <f t="shared" si="371"/>
        <v>50.4</v>
      </c>
      <c r="CP157" s="379"/>
      <c r="CQ157" s="188">
        <f t="shared" si="372"/>
        <v>0.60317460317460314</v>
      </c>
      <c r="CR157" s="149">
        <f t="shared" si="429"/>
        <v>183.55019291189507</v>
      </c>
      <c r="CS157" s="149">
        <f t="shared" si="373"/>
        <v>56.4</v>
      </c>
      <c r="CT157" s="188">
        <f t="shared" si="374"/>
        <v>6.1183397637298356</v>
      </c>
      <c r="CU157" s="188">
        <f t="shared" si="375"/>
        <v>30</v>
      </c>
      <c r="CV157" s="188"/>
      <c r="CW157" s="149">
        <f t="shared" si="376"/>
        <v>141.24281149798409</v>
      </c>
      <c r="CX157" s="149">
        <f t="shared" si="377"/>
        <v>30</v>
      </c>
      <c r="CY157" s="188">
        <f t="shared" si="378"/>
        <v>9.3505263157894731</v>
      </c>
      <c r="CZ157" s="188">
        <f t="shared" si="379"/>
        <v>2.1973736842105258</v>
      </c>
      <c r="DA157" s="188">
        <f t="shared" si="380"/>
        <v>1.4456405817174514</v>
      </c>
      <c r="DB157" s="172">
        <f t="shared" si="381"/>
        <v>350</v>
      </c>
      <c r="DC157" s="379">
        <f t="shared" si="382"/>
        <v>274.49796432385699</v>
      </c>
      <c r="DE157" s="188">
        <f t="shared" si="383"/>
        <v>7.3334298258310406</v>
      </c>
      <c r="DF157" s="150">
        <f t="shared" si="384"/>
        <v>1.1337868480725624</v>
      </c>
      <c r="DG157" s="150">
        <f t="shared" si="385"/>
        <v>1.4550456003633017</v>
      </c>
      <c r="DH157" s="150"/>
      <c r="DI157" s="150">
        <f t="shared" si="386"/>
        <v>0.93700159489633172</v>
      </c>
      <c r="DJ157" s="314">
        <f t="shared" si="387"/>
        <v>662.11199999999997</v>
      </c>
      <c r="DK157" s="456">
        <f t="shared" si="388"/>
        <v>0.99378957034459414</v>
      </c>
      <c r="DM157" s="150">
        <f t="shared" si="389"/>
        <v>8.3358091560276435</v>
      </c>
      <c r="DN157" s="150">
        <f t="shared" si="390"/>
        <v>9.3505263157894731</v>
      </c>
      <c r="DO157" s="150">
        <f t="shared" si="391"/>
        <v>3.6369779668025277</v>
      </c>
      <c r="DQ157" s="314">
        <f t="shared" si="392"/>
        <v>1880</v>
      </c>
      <c r="DR157" s="144">
        <f t="shared" si="393"/>
        <v>274.49796432385699</v>
      </c>
      <c r="DT157">
        <f t="shared" si="430"/>
        <v>1880</v>
      </c>
      <c r="DU157">
        <f t="shared" si="431"/>
        <v>274.49796432385699</v>
      </c>
      <c r="DW157" s="5">
        <f t="shared" si="394"/>
        <v>3.6430142659279774</v>
      </c>
      <c r="DX157" s="5">
        <f t="shared" si="395"/>
        <v>2.1973736842105258</v>
      </c>
      <c r="DY157" s="5">
        <f t="shared" si="396"/>
        <v>1.4456405817174516</v>
      </c>
      <c r="DZ157" s="5"/>
      <c r="EA157" s="150">
        <f t="shared" si="397"/>
        <v>0.60317460317460314</v>
      </c>
      <c r="EB157" s="150">
        <f t="shared" si="398"/>
        <v>56.4</v>
      </c>
      <c r="EC157" s="150">
        <f t="shared" si="399"/>
        <v>1.8552631578947369</v>
      </c>
      <c r="ED157" s="150">
        <f t="shared" si="400"/>
        <v>30.4</v>
      </c>
      <c r="EE157" s="144">
        <f t="shared" si="401"/>
        <v>13.770208421052628</v>
      </c>
      <c r="EF157" s="5">
        <f t="shared" si="402"/>
        <v>2.3980626120254191</v>
      </c>
      <c r="EH157" s="150">
        <f t="shared" si="403"/>
        <v>4.1927305510471582</v>
      </c>
      <c r="EI157" s="150">
        <f t="shared" si="404"/>
        <v>3.4007535420461759</v>
      </c>
      <c r="EK157" s="456">
        <f t="shared" si="405"/>
        <v>0.21094787368421047</v>
      </c>
      <c r="EL157" s="456">
        <f t="shared" si="406"/>
        <v>2.4578723404255323</v>
      </c>
      <c r="EM157" s="456">
        <f t="shared" si="407"/>
        <v>3.1567265897243561E-2</v>
      </c>
      <c r="EN157" s="456">
        <f t="shared" si="408"/>
        <v>0.36083657763693988</v>
      </c>
      <c r="EO157">
        <f t="shared" si="409"/>
        <v>8.9999999999999993E-3</v>
      </c>
      <c r="EP157" s="144">
        <f t="shared" si="410"/>
        <v>40.567265897243566</v>
      </c>
      <c r="EQ157" s="144"/>
      <c r="ER157" s="144">
        <f t="shared" si="432"/>
        <v>3070.2240576439262</v>
      </c>
      <c r="ES157" s="456">
        <f t="shared" si="411"/>
        <v>1.3159999999999998</v>
      </c>
      <c r="EV157" s="144">
        <f t="shared" si="412"/>
        <v>1315.9999999999998</v>
      </c>
      <c r="EW157" s="456">
        <f t="shared" si="413"/>
        <v>0.24610585263157889</v>
      </c>
      <c r="EX157" s="456">
        <f t="shared" si="414"/>
        <v>0.16191174515235454</v>
      </c>
      <c r="EY157" s="456">
        <f t="shared" si="415"/>
        <v>16.688141232989675</v>
      </c>
      <c r="EZ157" s="456"/>
      <c r="FA157" s="456">
        <f t="shared" si="416"/>
        <v>2.4000000000000004</v>
      </c>
      <c r="FB157" s="144">
        <f t="shared" si="417"/>
        <v>19496.158830773609</v>
      </c>
      <c r="FC157" s="150">
        <f t="shared" si="418"/>
        <v>23.882382888417531</v>
      </c>
      <c r="FD157" s="5">
        <f t="shared" si="419"/>
        <v>56.4</v>
      </c>
      <c r="FE157" s="150">
        <f t="shared" si="420"/>
        <v>0.70252025376960903</v>
      </c>
      <c r="FF157" s="5">
        <f t="shared" si="421"/>
        <v>70.252025376960901</v>
      </c>
      <c r="FI157" s="59">
        <f t="shared" si="422"/>
        <v>-50</v>
      </c>
      <c r="FJ157">
        <f t="shared" si="423"/>
        <v>-50</v>
      </c>
      <c r="FL157">
        <f t="shared" si="475"/>
        <v>0.39682539682539686</v>
      </c>
    </row>
    <row r="158" spans="5:168">
      <c r="E158" s="147">
        <v>48</v>
      </c>
      <c r="F158" s="188">
        <f t="shared" si="476"/>
        <v>1.92</v>
      </c>
      <c r="G158" s="188"/>
      <c r="H158" s="188">
        <f t="shared" si="442"/>
        <v>57.599999999999994</v>
      </c>
      <c r="I158" s="465">
        <f t="shared" si="443"/>
        <v>19.86979194991164</v>
      </c>
      <c r="J158" s="149">
        <f t="shared" si="444"/>
        <v>30.470112026970654</v>
      </c>
      <c r="K158" s="149">
        <f t="shared" si="445"/>
        <v>50.339903976882297</v>
      </c>
      <c r="L158" s="379"/>
      <c r="M158" s="188">
        <f t="shared" si="446"/>
        <v>0.6052688296868054</v>
      </c>
      <c r="N158" s="149">
        <f t="shared" si="447"/>
        <v>182.98834585290965</v>
      </c>
      <c r="O158" s="149">
        <f t="shared" si="438"/>
        <v>57.599999999999994</v>
      </c>
      <c r="P158" s="188">
        <f t="shared" si="448"/>
        <v>6.0996115284303212</v>
      </c>
      <c r="Q158" s="188">
        <f t="shared" si="449"/>
        <v>30</v>
      </c>
      <c r="R158" s="188"/>
      <c r="S158" s="149">
        <f t="shared" si="450"/>
        <v>136.98881504009589</v>
      </c>
      <c r="T158" s="149">
        <f t="shared" si="451"/>
        <v>30</v>
      </c>
      <c r="U158" s="188">
        <f t="shared" si="452"/>
        <v>9.7281397791646356</v>
      </c>
      <c r="V158" s="188">
        <f t="shared" si="453"/>
        <v>2.3010938955642715</v>
      </c>
      <c r="W158" s="188">
        <f t="shared" si="454"/>
        <v>1.5005608421000447</v>
      </c>
      <c r="X158" s="172">
        <f t="shared" si="455"/>
        <v>350</v>
      </c>
      <c r="Y158" s="379">
        <f t="shared" si="328"/>
        <v>249.89662166198761</v>
      </c>
      <c r="AA158" s="188">
        <f t="shared" si="456"/>
        <v>7.311207093047118</v>
      </c>
      <c r="AB158" s="150">
        <f t="shared" si="457"/>
        <v>1.1277501476497789</v>
      </c>
      <c r="AC158" s="150">
        <f t="shared" si="458"/>
        <v>1.4429126037693496</v>
      </c>
      <c r="AD158" s="150"/>
      <c r="AE158" s="150">
        <f t="shared" si="459"/>
        <v>0.93484554502573169</v>
      </c>
      <c r="AF158" s="314">
        <f t="shared" si="460"/>
        <v>677.75901952077027</v>
      </c>
      <c r="AG158" s="456">
        <f t="shared" si="461"/>
        <v>0.99150285078486677</v>
      </c>
      <c r="AI158" s="150">
        <f t="shared" si="462"/>
        <v>8.43372986902523</v>
      </c>
      <c r="AJ158" s="150">
        <f t="shared" si="463"/>
        <v>9.7281397791646356</v>
      </c>
      <c r="AK158" s="150">
        <f t="shared" si="464"/>
        <v>3.9166916433767218</v>
      </c>
      <c r="AM158" s="314">
        <f t="shared" si="465"/>
        <v>1920</v>
      </c>
      <c r="AN158" s="144">
        <f t="shared" si="466"/>
        <v>249.89662166198761</v>
      </c>
      <c r="AP158">
        <f t="shared" si="467"/>
        <v>1920</v>
      </c>
      <c r="AQ158">
        <f t="shared" si="468"/>
        <v>249.89662166198761</v>
      </c>
      <c r="AS158" s="5">
        <f t="shared" si="439"/>
        <v>4.0016547376643166</v>
      </c>
      <c r="AT158" s="5">
        <f t="shared" si="469"/>
        <v>2.3010938955642715</v>
      </c>
      <c r="AU158" s="5">
        <f t="shared" si="343"/>
        <v>1.7005608421000451</v>
      </c>
      <c r="AV158" s="5"/>
      <c r="AW158" s="150">
        <f t="shared" si="344"/>
        <v>0.57503559062853393</v>
      </c>
      <c r="AX158" s="150">
        <f t="shared" si="435"/>
        <v>55.576072388188273</v>
      </c>
      <c r="AY158" s="150">
        <f t="shared" si="436"/>
        <v>2.0670565877678819</v>
      </c>
      <c r="AZ158" s="150">
        <f t="shared" si="440"/>
        <v>26.886575199279999</v>
      </c>
      <c r="BA158" s="144">
        <f t="shared" si="433"/>
        <v>14.727000931611336</v>
      </c>
      <c r="BB158" s="5">
        <f t="shared" si="434"/>
        <v>2.8998291877049178</v>
      </c>
      <c r="BD158" s="150">
        <f t="shared" si="441"/>
        <v>4.2590872546617806</v>
      </c>
      <c r="BE158" s="150">
        <f t="shared" si="437"/>
        <v>3.6613854770427228</v>
      </c>
      <c r="BG158" s="456">
        <f t="shared" si="347"/>
        <v>0.2176778909138691</v>
      </c>
      <c r="BH158" s="456">
        <f t="shared" si="470"/>
        <v>2.2333944815111093</v>
      </c>
      <c r="BI158" s="456">
        <f t="shared" si="349"/>
        <v>2.8738111491128576E-2</v>
      </c>
      <c r="BJ158" s="456">
        <f t="shared" si="350"/>
        <v>0.32771438467061065</v>
      </c>
      <c r="BK158">
        <f t="shared" si="351"/>
        <v>8.9414063774602374E-3</v>
      </c>
      <c r="BL158" s="144">
        <f t="shared" si="427"/>
        <v>37.679517868588817</v>
      </c>
      <c r="BM158" s="456">
        <f t="shared" si="471"/>
        <v>2.9923235608017071</v>
      </c>
      <c r="BN158" s="144">
        <f t="shared" si="353"/>
        <v>2992.3235608017071</v>
      </c>
      <c r="BO158" s="456">
        <f t="shared" si="354"/>
        <v>1.3439999999999999</v>
      </c>
      <c r="BR158" s="144">
        <f t="shared" si="355"/>
        <v>1343.9999999999998</v>
      </c>
      <c r="BS158" s="456">
        <f t="shared" si="356"/>
        <v>0.25395753939951393</v>
      </c>
      <c r="BT158" s="456">
        <f t="shared" si="357"/>
        <v>0.18768041056099113</v>
      </c>
      <c r="BU158" s="456">
        <f t="shared" si="358"/>
        <v>14.569527654331239</v>
      </c>
      <c r="BV158" s="456"/>
      <c r="BW158" s="456">
        <f t="shared" si="359"/>
        <v>2.364939250561203</v>
      </c>
      <c r="BX158" s="144">
        <f t="shared" si="360"/>
        <v>17376.104854852947</v>
      </c>
      <c r="BY158" s="150">
        <f t="shared" si="361"/>
        <v>21.536571129817123</v>
      </c>
      <c r="BZ158" s="5">
        <f t="shared" si="362"/>
        <v>57.599999999999994</v>
      </c>
      <c r="CA158" s="150">
        <f t="shared" si="363"/>
        <v>0.72785564471212527</v>
      </c>
      <c r="CB158" s="5">
        <f t="shared" si="364"/>
        <v>72.785564471212524</v>
      </c>
      <c r="CE158" s="59">
        <f t="shared" si="472"/>
        <v>-50</v>
      </c>
      <c r="CF158">
        <f t="shared" si="473"/>
        <v>-50</v>
      </c>
      <c r="CG158" s="150">
        <f t="shared" si="474"/>
        <v>0.38338643398870803</v>
      </c>
      <c r="CI158" s="147">
        <v>48</v>
      </c>
      <c r="CJ158" s="188">
        <f t="shared" si="428"/>
        <v>1.92</v>
      </c>
      <c r="CK158" s="188"/>
      <c r="CL158" s="188">
        <f t="shared" si="368"/>
        <v>57.599999999999994</v>
      </c>
      <c r="CM158" s="465">
        <f t="shared" si="369"/>
        <v>20</v>
      </c>
      <c r="CN158" s="379">
        <f t="shared" si="370"/>
        <v>30.4</v>
      </c>
      <c r="CO158" s="379">
        <f t="shared" si="371"/>
        <v>50.4</v>
      </c>
      <c r="CP158" s="379"/>
      <c r="CQ158" s="188">
        <f t="shared" si="372"/>
        <v>0.60317460317460314</v>
      </c>
      <c r="CR158" s="149">
        <f t="shared" si="429"/>
        <v>183.55019291189507</v>
      </c>
      <c r="CS158" s="149">
        <f t="shared" si="373"/>
        <v>57.599999999999994</v>
      </c>
      <c r="CT158" s="188">
        <f t="shared" si="374"/>
        <v>6.1183397637298356</v>
      </c>
      <c r="CU158" s="188">
        <f t="shared" si="375"/>
        <v>30</v>
      </c>
      <c r="CV158" s="188"/>
      <c r="CW158" s="149">
        <f t="shared" si="376"/>
        <v>137.88613389241212</v>
      </c>
      <c r="CX158" s="149">
        <f t="shared" si="377"/>
        <v>30</v>
      </c>
      <c r="CY158" s="188">
        <f t="shared" si="378"/>
        <v>9.5494736842105254</v>
      </c>
      <c r="CZ158" s="188">
        <f t="shared" si="379"/>
        <v>2.2441263157894733</v>
      </c>
      <c r="DA158" s="188">
        <f t="shared" si="380"/>
        <v>1.476398891966759</v>
      </c>
      <c r="DB158" s="172">
        <f t="shared" si="381"/>
        <v>350</v>
      </c>
      <c r="DC158" s="379">
        <f t="shared" si="382"/>
        <v>268.77925673377666</v>
      </c>
      <c r="DE158" s="188">
        <f t="shared" si="383"/>
        <v>7.3334298258310406</v>
      </c>
      <c r="DF158" s="150">
        <f t="shared" si="384"/>
        <v>1.1337868480725624</v>
      </c>
      <c r="DG158" s="150">
        <f t="shared" si="385"/>
        <v>1.4550456003633017</v>
      </c>
      <c r="DH158" s="150"/>
      <c r="DI158" s="150">
        <f t="shared" si="386"/>
        <v>0.93700159489633172</v>
      </c>
      <c r="DJ158" s="314">
        <f t="shared" si="387"/>
        <v>676.19948936170215</v>
      </c>
      <c r="DK158" s="456">
        <f t="shared" si="388"/>
        <v>0.99378957034459414</v>
      </c>
      <c r="DM158" s="150">
        <f t="shared" si="389"/>
        <v>8.424021233271068</v>
      </c>
      <c r="DN158" s="150">
        <f t="shared" si="390"/>
        <v>9.5494736842105254</v>
      </c>
      <c r="DO158" s="150">
        <f t="shared" si="391"/>
        <v>3.7843463878551589</v>
      </c>
      <c r="DQ158" s="314">
        <f t="shared" si="392"/>
        <v>1920</v>
      </c>
      <c r="DR158" s="144">
        <f t="shared" si="393"/>
        <v>268.77925673377666</v>
      </c>
      <c r="DT158">
        <f t="shared" si="430"/>
        <v>1920</v>
      </c>
      <c r="DU158">
        <f t="shared" si="431"/>
        <v>268.77925673377666</v>
      </c>
      <c r="DW158" s="5">
        <f t="shared" si="394"/>
        <v>3.7205252077562321</v>
      </c>
      <c r="DX158" s="5">
        <f t="shared" si="395"/>
        <v>2.2441263157894733</v>
      </c>
      <c r="DY158" s="5">
        <f t="shared" si="396"/>
        <v>1.4763988919667588</v>
      </c>
      <c r="DZ158" s="5"/>
      <c r="EA158" s="150">
        <f t="shared" si="397"/>
        <v>0.60317460317460314</v>
      </c>
      <c r="EB158" s="150">
        <f t="shared" si="398"/>
        <v>57.599999999999994</v>
      </c>
      <c r="EC158" s="150">
        <f t="shared" si="399"/>
        <v>1.8947368421052631</v>
      </c>
      <c r="ED158" s="150">
        <f t="shared" si="400"/>
        <v>30.4</v>
      </c>
      <c r="EE158" s="144">
        <f t="shared" si="401"/>
        <v>14.362408421052629</v>
      </c>
      <c r="EF158" s="5">
        <f t="shared" si="402"/>
        <v>2.5011934169789796</v>
      </c>
      <c r="EH158" s="150">
        <f t="shared" si="403"/>
        <v>4.2819375840481619</v>
      </c>
      <c r="EI158" s="150">
        <f t="shared" si="404"/>
        <v>3.4731100003875839</v>
      </c>
      <c r="EK158" s="456">
        <f t="shared" si="405"/>
        <v>0.22001987368421053</v>
      </c>
      <c r="EL158" s="456">
        <f t="shared" si="406"/>
        <v>2.4578723404255323</v>
      </c>
      <c r="EM158" s="456">
        <f t="shared" si="407"/>
        <v>3.0909614524384319E-2</v>
      </c>
      <c r="EN158" s="456">
        <f t="shared" si="408"/>
        <v>0.35331914893617028</v>
      </c>
      <c r="EO158">
        <f t="shared" si="409"/>
        <v>8.9999999999999993E-3</v>
      </c>
      <c r="EP158" s="144">
        <f t="shared" si="410"/>
        <v>39.909614524384317</v>
      </c>
      <c r="EQ158" s="144"/>
      <c r="ER158" s="144">
        <f t="shared" si="432"/>
        <v>3071.1209775702973</v>
      </c>
      <c r="ES158" s="456">
        <f t="shared" si="411"/>
        <v>1.3439999999999999</v>
      </c>
      <c r="EV158" s="144">
        <f t="shared" si="412"/>
        <v>1343.9999999999998</v>
      </c>
      <c r="EW158" s="456">
        <f t="shared" si="413"/>
        <v>0.25668985263157895</v>
      </c>
      <c r="EX158" s="456">
        <f t="shared" si="414"/>
        <v>0.16887490304709141</v>
      </c>
      <c r="EY158" s="456">
        <f t="shared" si="415"/>
        <v>16.688141232989665</v>
      </c>
      <c r="EZ158" s="456"/>
      <c r="FA158" s="456">
        <f t="shared" si="416"/>
        <v>2.4510638297872345</v>
      </c>
      <c r="FB158" s="144">
        <f t="shared" si="417"/>
        <v>19564.76981845557</v>
      </c>
      <c r="FC158" s="150">
        <f t="shared" si="418"/>
        <v>23.979890796025867</v>
      </c>
      <c r="FD158" s="5">
        <f t="shared" si="419"/>
        <v>57.599999999999994</v>
      </c>
      <c r="FE158" s="150">
        <f t="shared" si="420"/>
        <v>0.70605635087226615</v>
      </c>
      <c r="FF158" s="5">
        <f t="shared" si="421"/>
        <v>70.605635087226617</v>
      </c>
      <c r="FI158" s="59">
        <f t="shared" si="422"/>
        <v>-50</v>
      </c>
      <c r="FJ158">
        <f t="shared" si="423"/>
        <v>-50</v>
      </c>
      <c r="FL158">
        <f t="shared" si="475"/>
        <v>0.39682539682539686</v>
      </c>
    </row>
    <row r="159" spans="5:168">
      <c r="E159" s="147">
        <v>49</v>
      </c>
      <c r="F159" s="188">
        <f t="shared" si="476"/>
        <v>1.96</v>
      </c>
      <c r="G159" s="188"/>
      <c r="H159" s="188">
        <f t="shared" si="442"/>
        <v>58.8</v>
      </c>
      <c r="I159" s="465">
        <f t="shared" si="443"/>
        <v>19.867174302203992</v>
      </c>
      <c r="J159" s="149">
        <f t="shared" si="444"/>
        <v>30.471521529582464</v>
      </c>
      <c r="K159" s="149">
        <f t="shared" si="445"/>
        <v>50.338695831786453</v>
      </c>
      <c r="L159" s="379"/>
      <c r="M159" s="188">
        <f t="shared" si="446"/>
        <v>0.60531137203118235</v>
      </c>
      <c r="N159" s="149">
        <f t="shared" si="447"/>
        <v>182.97709890738798</v>
      </c>
      <c r="O159" s="149">
        <f t="shared" si="438"/>
        <v>58.8</v>
      </c>
      <c r="P159" s="188">
        <f t="shared" si="448"/>
        <v>6.0992366302462662</v>
      </c>
      <c r="Q159" s="188">
        <f t="shared" si="449"/>
        <v>30</v>
      </c>
      <c r="R159" s="188"/>
      <c r="S159" s="149">
        <f t="shared" si="450"/>
        <v>133.77256077885187</v>
      </c>
      <c r="T159" s="149">
        <f t="shared" si="451"/>
        <v>30</v>
      </c>
      <c r="U159" s="188">
        <f t="shared" si="452"/>
        <v>9.9318797710829916</v>
      </c>
      <c r="V159" s="188">
        <f t="shared" si="453"/>
        <v>2.3495960831687865</v>
      </c>
      <c r="W159" s="188">
        <f t="shared" si="454"/>
        <v>1.5319167728061163</v>
      </c>
      <c r="X159" s="172">
        <f t="shared" si="455"/>
        <v>350</v>
      </c>
      <c r="Y159" s="379">
        <f t="shared" si="328"/>
        <v>245.00719103116529</v>
      </c>
      <c r="AA159" s="188">
        <f t="shared" si="456"/>
        <v>7.3107575316336622</v>
      </c>
      <c r="AB159" s="150">
        <f t="shared" si="457"/>
        <v>1.1276286405757645</v>
      </c>
      <c r="AC159" s="150">
        <f t="shared" si="458"/>
        <v>1.4426684259706419</v>
      </c>
      <c r="AD159" s="150"/>
      <c r="AE159" s="150">
        <f t="shared" si="459"/>
        <v>0.93480230244475082</v>
      </c>
      <c r="AF159" s="314">
        <f t="shared" si="460"/>
        <v>691.91100440002128</v>
      </c>
      <c r="AG159" s="456">
        <f t="shared" si="461"/>
        <v>0.99145698744140243</v>
      </c>
      <c r="AI159" s="150">
        <f t="shared" si="462"/>
        <v>8.5213254529298261</v>
      </c>
      <c r="AJ159" s="150">
        <f t="shared" si="463"/>
        <v>9.9318797710829916</v>
      </c>
      <c r="AK159" s="150">
        <f t="shared" si="464"/>
        <v>4.067610155908838</v>
      </c>
      <c r="AM159" s="314">
        <f t="shared" si="465"/>
        <v>1960</v>
      </c>
      <c r="AN159" s="144">
        <f t="shared" si="466"/>
        <v>245.00719103116529</v>
      </c>
      <c r="AP159">
        <f t="shared" si="467"/>
        <v>1960</v>
      </c>
      <c r="AQ159">
        <f t="shared" si="468"/>
        <v>245.00719103116529</v>
      </c>
      <c r="AS159" s="5">
        <f t="shared" si="439"/>
        <v>4.0815128559749025</v>
      </c>
      <c r="AT159" s="5">
        <f t="shared" si="469"/>
        <v>2.3495960831687865</v>
      </c>
      <c r="AU159" s="5">
        <f t="shared" si="343"/>
        <v>1.731916772806116</v>
      </c>
      <c r="AV159" s="5"/>
      <c r="AW159" s="150">
        <f t="shared" si="344"/>
        <v>0.57566793639501268</v>
      </c>
      <c r="AX159" s="150">
        <f t="shared" si="435"/>
        <v>56.794934202078409</v>
      </c>
      <c r="AY159" s="150">
        <f t="shared" si="436"/>
        <v>2.1072075193701374</v>
      </c>
      <c r="AZ159" s="150">
        <f t="shared" si="440"/>
        <v>26.95270099408857</v>
      </c>
      <c r="BA159" s="144">
        <f t="shared" si="433"/>
        <v>15.350694410036073</v>
      </c>
      <c r="BB159" s="5">
        <f t="shared" si="434"/>
        <v>3.0152221919652309</v>
      </c>
      <c r="BD159" s="150">
        <f t="shared" si="441"/>
        <v>4.3506770475806427</v>
      </c>
      <c r="BE159" s="150">
        <f t="shared" si="437"/>
        <v>3.7352850614204569</v>
      </c>
      <c r="BG159" s="456">
        <f t="shared" si="347"/>
        <v>0.22714068926814024</v>
      </c>
      <c r="BH159" s="456">
        <f t="shared" si="470"/>
        <v>2.2355022604844303</v>
      </c>
      <c r="BI159" s="456">
        <f t="shared" si="349"/>
        <v>2.8175826968584013E-2</v>
      </c>
      <c r="BJ159" s="456">
        <f t="shared" si="350"/>
        <v>0.32128696405272583</v>
      </c>
      <c r="BK159">
        <f t="shared" si="351"/>
        <v>8.9402284359917962E-3</v>
      </c>
      <c r="BL159" s="144">
        <f t="shared" si="427"/>
        <v>37.11605540457581</v>
      </c>
      <c r="BM159" s="456">
        <f t="shared" si="471"/>
        <v>3.0075724584071022</v>
      </c>
      <c r="BN159" s="144">
        <f t="shared" si="353"/>
        <v>3007.5724584071022</v>
      </c>
      <c r="BO159" s="456">
        <f t="shared" si="354"/>
        <v>1.3719999999999999</v>
      </c>
      <c r="BR159" s="144">
        <f t="shared" si="355"/>
        <v>1372</v>
      </c>
      <c r="BS159" s="456">
        <f t="shared" si="356"/>
        <v>0.26499747081283026</v>
      </c>
      <c r="BT159" s="456">
        <f t="shared" si="357"/>
        <v>0.19533296286099158</v>
      </c>
      <c r="BU159" s="456">
        <f t="shared" si="358"/>
        <v>14.604803442995715</v>
      </c>
      <c r="BV159" s="456"/>
      <c r="BW159" s="456">
        <f t="shared" si="359"/>
        <v>2.4168057107267411</v>
      </c>
      <c r="BX159" s="144">
        <f t="shared" si="360"/>
        <v>17481.939587396275</v>
      </c>
      <c r="BY159" s="150">
        <f t="shared" si="361"/>
        <v>21.674985556606153</v>
      </c>
      <c r="BZ159" s="5">
        <f t="shared" si="362"/>
        <v>58.8</v>
      </c>
      <c r="CA159" s="150">
        <f t="shared" si="363"/>
        <v>0.73066182731576934</v>
      </c>
      <c r="CB159" s="5">
        <f t="shared" si="364"/>
        <v>73.06618273157693</v>
      </c>
      <c r="CE159" s="59">
        <f t="shared" si="472"/>
        <v>-50</v>
      </c>
      <c r="CF159">
        <f t="shared" si="473"/>
        <v>-50</v>
      </c>
      <c r="CG159" s="150">
        <f t="shared" si="474"/>
        <v>0.38366069853639556</v>
      </c>
      <c r="CI159" s="147">
        <v>49</v>
      </c>
      <c r="CJ159" s="188">
        <f t="shared" si="428"/>
        <v>1.96</v>
      </c>
      <c r="CK159" s="188"/>
      <c r="CL159" s="188">
        <f t="shared" si="368"/>
        <v>58.8</v>
      </c>
      <c r="CM159" s="465">
        <f t="shared" si="369"/>
        <v>20</v>
      </c>
      <c r="CN159" s="379">
        <f t="shared" si="370"/>
        <v>30.4</v>
      </c>
      <c r="CO159" s="379">
        <f t="shared" si="371"/>
        <v>50.4</v>
      </c>
      <c r="CP159" s="379"/>
      <c r="CQ159" s="188">
        <f t="shared" si="372"/>
        <v>0.60317460317460314</v>
      </c>
      <c r="CR159" s="149">
        <f t="shared" si="429"/>
        <v>183.55019291189507</v>
      </c>
      <c r="CS159" s="149">
        <f t="shared" si="373"/>
        <v>58.8</v>
      </c>
      <c r="CT159" s="188">
        <f t="shared" si="374"/>
        <v>6.1183397637298356</v>
      </c>
      <c r="CU159" s="188">
        <f t="shared" si="375"/>
        <v>30</v>
      </c>
      <c r="CV159" s="188"/>
      <c r="CW159" s="149">
        <f t="shared" si="376"/>
        <v>134.66652753532452</v>
      </c>
      <c r="CX159" s="149">
        <f t="shared" si="377"/>
        <v>30</v>
      </c>
      <c r="CY159" s="188">
        <f t="shared" si="378"/>
        <v>9.7484210526315795</v>
      </c>
      <c r="CZ159" s="188">
        <f t="shared" si="379"/>
        <v>2.2908789473684212</v>
      </c>
      <c r="DA159" s="188">
        <f t="shared" si="380"/>
        <v>1.5071572022160666</v>
      </c>
      <c r="DB159" s="172">
        <f t="shared" si="381"/>
        <v>350</v>
      </c>
      <c r="DC159" s="379">
        <f t="shared" si="382"/>
        <v>263.29396578002604</v>
      </c>
      <c r="DE159" s="188">
        <f t="shared" si="383"/>
        <v>7.3334298258310406</v>
      </c>
      <c r="DF159" s="150">
        <f t="shared" si="384"/>
        <v>1.1337868480725624</v>
      </c>
      <c r="DG159" s="150">
        <f t="shared" si="385"/>
        <v>1.4550456003633017</v>
      </c>
      <c r="DH159" s="150"/>
      <c r="DI159" s="150">
        <f t="shared" si="386"/>
        <v>0.93700159489633172</v>
      </c>
      <c r="DJ159" s="314">
        <f t="shared" si="387"/>
        <v>690.28697872340422</v>
      </c>
      <c r="DK159" s="456">
        <f t="shared" si="388"/>
        <v>0.99378957034459414</v>
      </c>
      <c r="DM159" s="150">
        <f t="shared" si="389"/>
        <v>8.5113191217043056</v>
      </c>
      <c r="DN159" s="150">
        <f t="shared" si="390"/>
        <v>9.7484210526315795</v>
      </c>
      <c r="DO159" s="150">
        <f t="shared" si="391"/>
        <v>3.9317148089077918</v>
      </c>
      <c r="DQ159" s="314">
        <f t="shared" si="392"/>
        <v>1960</v>
      </c>
      <c r="DR159" s="144">
        <f t="shared" si="393"/>
        <v>263.29396578002604</v>
      </c>
      <c r="DT159">
        <f t="shared" si="430"/>
        <v>1960</v>
      </c>
      <c r="DU159">
        <f t="shared" si="431"/>
        <v>263.29396578002604</v>
      </c>
      <c r="DW159" s="5">
        <f t="shared" si="394"/>
        <v>3.7980361495844881</v>
      </c>
      <c r="DX159" s="5">
        <f t="shared" si="395"/>
        <v>2.2908789473684212</v>
      </c>
      <c r="DY159" s="5">
        <f t="shared" si="396"/>
        <v>1.5071572022160669</v>
      </c>
      <c r="DZ159" s="5"/>
      <c r="EA159" s="150">
        <f t="shared" si="397"/>
        <v>0.60317460317460314</v>
      </c>
      <c r="EB159" s="150">
        <f t="shared" si="398"/>
        <v>58.8</v>
      </c>
      <c r="EC159" s="150">
        <f t="shared" si="399"/>
        <v>1.9342105263157898</v>
      </c>
      <c r="ED159" s="150">
        <f t="shared" si="400"/>
        <v>30.399999999999991</v>
      </c>
      <c r="EE159" s="144">
        <f t="shared" si="401"/>
        <v>14.967075789473686</v>
      </c>
      <c r="EF159" s="5">
        <f t="shared" si="402"/>
        <v>2.6064953967736684</v>
      </c>
      <c r="EH159" s="150">
        <f t="shared" si="403"/>
        <v>4.3711446170491657</v>
      </c>
      <c r="EI159" s="150">
        <f t="shared" si="404"/>
        <v>3.5454664587289924</v>
      </c>
      <c r="EK159" s="456">
        <f t="shared" si="405"/>
        <v>0.22928286315789478</v>
      </c>
      <c r="EL159" s="456">
        <f t="shared" si="406"/>
        <v>2.4578723404255323</v>
      </c>
      <c r="EM159" s="456">
        <f t="shared" si="407"/>
        <v>3.0278806064702998E-2</v>
      </c>
      <c r="EN159" s="456">
        <f t="shared" si="408"/>
        <v>0.34610855405992186</v>
      </c>
      <c r="EO159">
        <f t="shared" si="409"/>
        <v>8.9999999999999993E-3</v>
      </c>
      <c r="EP159" s="144">
        <f t="shared" si="410"/>
        <v>39.278806064702998</v>
      </c>
      <c r="EQ159" s="144"/>
      <c r="ER159" s="144">
        <f t="shared" si="432"/>
        <v>3072.5425637080521</v>
      </c>
      <c r="ES159" s="456">
        <f t="shared" si="411"/>
        <v>1.3719999999999999</v>
      </c>
      <c r="EV159" s="144">
        <f t="shared" si="412"/>
        <v>1372</v>
      </c>
      <c r="EW159" s="456">
        <f t="shared" si="413"/>
        <v>0.2674966736842106</v>
      </c>
      <c r="EX159" s="456">
        <f t="shared" si="414"/>
        <v>0.17598465373961222</v>
      </c>
      <c r="EY159" s="456">
        <f t="shared" si="415"/>
        <v>16.688141232989661</v>
      </c>
      <c r="EZ159" s="456"/>
      <c r="FA159" s="456">
        <f t="shared" si="416"/>
        <v>2.5021276595744681</v>
      </c>
      <c r="FB159" s="144">
        <f t="shared" si="417"/>
        <v>19633.750219987953</v>
      </c>
      <c r="FC159" s="150">
        <f t="shared" si="418"/>
        <v>24.078292783696007</v>
      </c>
      <c r="FD159" s="5">
        <f t="shared" si="419"/>
        <v>58.8</v>
      </c>
      <c r="FE159" s="150">
        <f t="shared" si="420"/>
        <v>0.70947407366923065</v>
      </c>
      <c r="FF159" s="5">
        <f t="shared" si="421"/>
        <v>70.947407366923059</v>
      </c>
      <c r="FI159" s="59">
        <f t="shared" si="422"/>
        <v>-50</v>
      </c>
      <c r="FJ159">
        <f t="shared" si="423"/>
        <v>-50</v>
      </c>
      <c r="FL159">
        <f t="shared" si="475"/>
        <v>0.39682539682539686</v>
      </c>
    </row>
    <row r="160" spans="5:168">
      <c r="E160" s="147">
        <v>50</v>
      </c>
      <c r="F160" s="188">
        <f t="shared" si="476"/>
        <v>2</v>
      </c>
      <c r="G160" s="188"/>
      <c r="H160" s="188">
        <f t="shared" si="442"/>
        <v>60</v>
      </c>
      <c r="I160" s="465">
        <f t="shared" si="443"/>
        <v>19.864556524167462</v>
      </c>
      <c r="J160" s="149">
        <f t="shared" si="444"/>
        <v>30.472931102371366</v>
      </c>
      <c r="K160" s="149">
        <f t="shared" si="445"/>
        <v>50.337487626538831</v>
      </c>
      <c r="L160" s="379"/>
      <c r="M160" s="188">
        <f t="shared" si="446"/>
        <v>0.60535391798229243</v>
      </c>
      <c r="N160" s="149">
        <f t="shared" si="447"/>
        <v>182.96584846278307</v>
      </c>
      <c r="O160" s="149">
        <f t="shared" si="438"/>
        <v>60</v>
      </c>
      <c r="P160" s="188">
        <f t="shared" si="448"/>
        <v>6.0988616154261024</v>
      </c>
      <c r="Q160" s="188">
        <f t="shared" si="449"/>
        <v>30</v>
      </c>
      <c r="R160" s="188"/>
      <c r="S160" s="149">
        <f t="shared" si="450"/>
        <v>130.68512379917212</v>
      </c>
      <c r="T160" s="149">
        <f t="shared" si="451"/>
        <v>30</v>
      </c>
      <c r="U160" s="188">
        <f t="shared" si="452"/>
        <v>10.135663781455003</v>
      </c>
      <c r="V160" s="188">
        <f t="shared" si="453"/>
        <v>2.3981214841057237</v>
      </c>
      <c r="W160" s="188">
        <f t="shared" si="454"/>
        <v>1.5632765884188742</v>
      </c>
      <c r="X160" s="172">
        <f t="shared" si="455"/>
        <v>350</v>
      </c>
      <c r="Y160" s="379">
        <f t="shared" si="328"/>
        <v>240.30385523616329</v>
      </c>
      <c r="AA160" s="188">
        <f t="shared" si="456"/>
        <v>7.3103078371344097</v>
      </c>
      <c r="AB160" s="150">
        <f t="shared" si="457"/>
        <v>1.1275071216190946</v>
      </c>
      <c r="AC160" s="150">
        <f t="shared" si="458"/>
        <v>1.4424242258294624</v>
      </c>
      <c r="AD160" s="150"/>
      <c r="AE160" s="150">
        <f t="shared" si="459"/>
        <v>0.93475906171138967</v>
      </c>
      <c r="AF160" s="314">
        <f t="shared" si="460"/>
        <v>706.06429724430677</v>
      </c>
      <c r="AG160" s="456">
        <f t="shared" si="461"/>
        <v>0.99141112605753468</v>
      </c>
      <c r="AI160" s="150">
        <f t="shared" si="462"/>
        <v>8.6080376806176577</v>
      </c>
      <c r="AJ160" s="150">
        <f t="shared" si="463"/>
        <v>10.135663781455003</v>
      </c>
      <c r="AK160" s="150">
        <f t="shared" si="464"/>
        <v>4.2185612747029202</v>
      </c>
      <c r="AM160" s="314">
        <f t="shared" si="465"/>
        <v>2000</v>
      </c>
      <c r="AN160" s="144">
        <f t="shared" si="466"/>
        <v>240.30385523616329</v>
      </c>
      <c r="AP160">
        <f t="shared" si="467"/>
        <v>2000</v>
      </c>
      <c r="AQ160">
        <f t="shared" si="468"/>
        <v>240.30385523616329</v>
      </c>
      <c r="AS160" s="5">
        <f t="shared" si="439"/>
        <v>4.1613980725245989</v>
      </c>
      <c r="AT160" s="5">
        <f t="shared" si="469"/>
        <v>2.3981214841057237</v>
      </c>
      <c r="AU160" s="5">
        <f t="shared" si="343"/>
        <v>1.7632765884188752</v>
      </c>
      <c r="AV160" s="5"/>
      <c r="AW160" s="150">
        <f t="shared" si="344"/>
        <v>0.57627783795527476</v>
      </c>
      <c r="AX160" s="150">
        <f t="shared" si="435"/>
        <v>58.014024247548107</v>
      </c>
      <c r="AY160" s="150">
        <f t="shared" si="436"/>
        <v>2.1473526856182645</v>
      </c>
      <c r="AZ160" s="150">
        <f t="shared" si="440"/>
        <v>27.016532792257525</v>
      </c>
      <c r="BA160" s="144">
        <f t="shared" si="433"/>
        <v>15.987476560704824</v>
      </c>
      <c r="BB160" s="5">
        <f t="shared" si="434"/>
        <v>3.1328809822784875</v>
      </c>
      <c r="BD160" s="150">
        <f t="shared" si="441"/>
        <v>4.442296350891672</v>
      </c>
      <c r="BE160" s="150">
        <f t="shared" si="437"/>
        <v>3.809185813410453</v>
      </c>
      <c r="BG160" s="456">
        <f t="shared" si="347"/>
        <v>0.23680796242974558</v>
      </c>
      <c r="BH160" s="456">
        <f t="shared" si="470"/>
        <v>2.2375221268464411</v>
      </c>
      <c r="BI160" s="456">
        <f t="shared" si="349"/>
        <v>2.763494335215878E-2</v>
      </c>
      <c r="BJ160" s="456">
        <f t="shared" si="350"/>
        <v>0.31510417988926559</v>
      </c>
      <c r="BK160">
        <f t="shared" si="351"/>
        <v>8.9390504358753571E-3</v>
      </c>
      <c r="BL160" s="144">
        <f t="shared" si="427"/>
        <v>36.573993788034137</v>
      </c>
      <c r="BM160" s="456">
        <f t="shared" si="471"/>
        <v>3.0234908613913891</v>
      </c>
      <c r="BN160" s="144">
        <f t="shared" si="353"/>
        <v>3023.490861391389</v>
      </c>
      <c r="BO160" s="456">
        <f t="shared" si="354"/>
        <v>1.4</v>
      </c>
      <c r="BR160" s="144">
        <f t="shared" si="355"/>
        <v>1400</v>
      </c>
      <c r="BS160" s="456">
        <f t="shared" si="356"/>
        <v>0.27627595616803652</v>
      </c>
      <c r="BT160" s="456">
        <f t="shared" si="357"/>
        <v>0.20313855185522436</v>
      </c>
      <c r="BU160" s="456">
        <f t="shared" si="358"/>
        <v>14.63869423461537</v>
      </c>
      <c r="BV160" s="456"/>
      <c r="BW160" s="456">
        <f t="shared" si="359"/>
        <v>2.4686818828743875</v>
      </c>
      <c r="BX160" s="144">
        <f t="shared" si="360"/>
        <v>17586.790625513018</v>
      </c>
      <c r="BY160" s="150">
        <f t="shared" si="361"/>
        <v>21.812798888466506</v>
      </c>
      <c r="BZ160" s="5">
        <f t="shared" si="362"/>
        <v>60</v>
      </c>
      <c r="CA160" s="150">
        <f t="shared" si="363"/>
        <v>0.73338158350744864</v>
      </c>
      <c r="CB160" s="5">
        <f t="shared" si="364"/>
        <v>73.338158350744862</v>
      </c>
      <c r="CE160" s="59">
        <f t="shared" si="472"/>
        <v>-50</v>
      </c>
      <c r="CF160">
        <f t="shared" si="473"/>
        <v>-50</v>
      </c>
      <c r="CG160" s="150">
        <f t="shared" si="474"/>
        <v>0.38392399250217557</v>
      </c>
      <c r="CI160" s="147">
        <v>50</v>
      </c>
      <c r="CJ160" s="188">
        <f t="shared" si="428"/>
        <v>2</v>
      </c>
      <c r="CK160" s="188"/>
      <c r="CL160" s="188">
        <f t="shared" si="368"/>
        <v>60</v>
      </c>
      <c r="CM160" s="465">
        <f t="shared" si="369"/>
        <v>20</v>
      </c>
      <c r="CN160" s="379">
        <f t="shared" si="370"/>
        <v>30.4</v>
      </c>
      <c r="CO160" s="379">
        <f t="shared" si="371"/>
        <v>50.4</v>
      </c>
      <c r="CP160" s="379"/>
      <c r="CQ160" s="188">
        <f t="shared" si="372"/>
        <v>0.60317460317460314</v>
      </c>
      <c r="CR160" s="149">
        <f t="shared" si="429"/>
        <v>183.55019291189507</v>
      </c>
      <c r="CS160" s="149">
        <f t="shared" si="373"/>
        <v>60</v>
      </c>
      <c r="CT160" s="188">
        <f t="shared" si="374"/>
        <v>6.1183397637298356</v>
      </c>
      <c r="CU160" s="188">
        <f t="shared" si="375"/>
        <v>30</v>
      </c>
      <c r="CV160" s="188"/>
      <c r="CW160" s="149">
        <f t="shared" si="376"/>
        <v>131.57576870328086</v>
      </c>
      <c r="CX160" s="149">
        <f t="shared" si="377"/>
        <v>30</v>
      </c>
      <c r="CY160" s="188">
        <f t="shared" si="378"/>
        <v>9.9473684210526319</v>
      </c>
      <c r="CZ160" s="188">
        <f t="shared" si="379"/>
        <v>2.3376315789473687</v>
      </c>
      <c r="DA160" s="188">
        <f t="shared" si="380"/>
        <v>1.5379155124653741</v>
      </c>
      <c r="DB160" s="172">
        <f t="shared" si="381"/>
        <v>350</v>
      </c>
      <c r="DC160" s="379">
        <f t="shared" si="382"/>
        <v>258.02808646442548</v>
      </c>
      <c r="DE160" s="188">
        <f t="shared" si="383"/>
        <v>7.3334298258310406</v>
      </c>
      <c r="DF160" s="150">
        <f t="shared" si="384"/>
        <v>1.1337868480725624</v>
      </c>
      <c r="DG160" s="150">
        <f t="shared" si="385"/>
        <v>1.4550456003633017</v>
      </c>
      <c r="DH160" s="150"/>
      <c r="DI160" s="150">
        <f t="shared" si="386"/>
        <v>0.93700159489633172</v>
      </c>
      <c r="DJ160" s="314">
        <f t="shared" si="387"/>
        <v>704.3744680851064</v>
      </c>
      <c r="DK160" s="456">
        <f t="shared" si="388"/>
        <v>0.99378957034459414</v>
      </c>
      <c r="DM160" s="150">
        <f t="shared" si="389"/>
        <v>8.597730668285493</v>
      </c>
      <c r="DN160" s="150">
        <f t="shared" si="390"/>
        <v>9.9473684210526319</v>
      </c>
      <c r="DO160" s="150">
        <f t="shared" si="391"/>
        <v>4.0790832299604229</v>
      </c>
      <c r="DQ160" s="314">
        <f t="shared" si="392"/>
        <v>2000</v>
      </c>
      <c r="DR160" s="144">
        <f t="shared" si="393"/>
        <v>258.02808646442548</v>
      </c>
      <c r="DT160">
        <f t="shared" si="430"/>
        <v>2000</v>
      </c>
      <c r="DU160">
        <f t="shared" si="431"/>
        <v>258.02808646442548</v>
      </c>
      <c r="DW160" s="5">
        <f t="shared" si="394"/>
        <v>3.8755470914127432</v>
      </c>
      <c r="DX160" s="5">
        <f t="shared" si="395"/>
        <v>2.3376315789473687</v>
      </c>
      <c r="DY160" s="5">
        <f t="shared" si="396"/>
        <v>1.5379155124653745</v>
      </c>
      <c r="DZ160" s="5"/>
      <c r="EA160" s="150">
        <f t="shared" si="397"/>
        <v>0.60317460317460314</v>
      </c>
      <c r="EB160" s="150">
        <f t="shared" si="398"/>
        <v>59.999999999999993</v>
      </c>
      <c r="EC160" s="150">
        <f t="shared" si="399"/>
        <v>1.9736842105263159</v>
      </c>
      <c r="ED160" s="150">
        <f t="shared" si="400"/>
        <v>30.399999999999995</v>
      </c>
      <c r="EE160" s="144">
        <f t="shared" si="401"/>
        <v>15.584210526315792</v>
      </c>
      <c r="EF160" s="5">
        <f t="shared" si="402"/>
        <v>2.7139685514094838</v>
      </c>
      <c r="EH160" s="150">
        <f t="shared" si="403"/>
        <v>4.4603516500501685</v>
      </c>
      <c r="EI160" s="150">
        <f t="shared" si="404"/>
        <v>3.6178229170704004</v>
      </c>
      <c r="EK160" s="456">
        <f t="shared" si="405"/>
        <v>0.23873684210526314</v>
      </c>
      <c r="EL160" s="456">
        <f t="shared" si="406"/>
        <v>2.4578723404255314</v>
      </c>
      <c r="EM160" s="456">
        <f t="shared" si="407"/>
        <v>2.9673229943408933E-2</v>
      </c>
      <c r="EN160" s="456">
        <f t="shared" si="408"/>
        <v>0.33918638297872333</v>
      </c>
      <c r="EO160">
        <f t="shared" si="409"/>
        <v>8.9999999999999993E-3</v>
      </c>
      <c r="EP160" s="144">
        <f t="shared" si="410"/>
        <v>38.673229943408934</v>
      </c>
      <c r="EQ160" s="144"/>
      <c r="ER160" s="144">
        <f t="shared" si="432"/>
        <v>3074.4687954529268</v>
      </c>
      <c r="ES160" s="456">
        <f t="shared" si="411"/>
        <v>1.4</v>
      </c>
      <c r="EV160" s="144">
        <f t="shared" si="412"/>
        <v>1400</v>
      </c>
      <c r="EW160" s="456">
        <f t="shared" si="413"/>
        <v>0.27852631578947362</v>
      </c>
      <c r="EX160" s="456">
        <f t="shared" si="414"/>
        <v>0.18324099722991694</v>
      </c>
      <c r="EY160" s="456">
        <f t="shared" si="415"/>
        <v>16.688141232989629</v>
      </c>
      <c r="EZ160" s="456"/>
      <c r="FA160" s="456">
        <f t="shared" si="416"/>
        <v>2.5531914893617018</v>
      </c>
      <c r="FB160" s="144">
        <f t="shared" si="417"/>
        <v>19703.10003537072</v>
      </c>
      <c r="FC160" s="150">
        <f t="shared" si="418"/>
        <v>24.177568830823649</v>
      </c>
      <c r="FD160" s="5">
        <f t="shared" si="419"/>
        <v>60</v>
      </c>
      <c r="FE160" s="150">
        <f t="shared" si="420"/>
        <v>0.71277896039722111</v>
      </c>
      <c r="FF160" s="5">
        <f t="shared" si="421"/>
        <v>71.277896039722108</v>
      </c>
      <c r="FI160" s="59">
        <f t="shared" si="422"/>
        <v>-50</v>
      </c>
      <c r="FJ160">
        <f t="shared" si="423"/>
        <v>-50</v>
      </c>
      <c r="FL160">
        <f t="shared" si="475"/>
        <v>0.39682539682539686</v>
      </c>
    </row>
    <row r="161" spans="5:168">
      <c r="E161" s="147">
        <v>51</v>
      </c>
      <c r="F161" s="188">
        <f t="shared" si="476"/>
        <v>2.04</v>
      </c>
      <c r="G161" s="188"/>
      <c r="H161" s="188">
        <f t="shared" si="442"/>
        <v>61.2</v>
      </c>
      <c r="I161" s="465">
        <f t="shared" si="443"/>
        <v>19.861938623720853</v>
      </c>
      <c r="J161" s="149">
        <f t="shared" si="444"/>
        <v>30.474340741073384</v>
      </c>
      <c r="K161" s="149">
        <f t="shared" si="445"/>
        <v>50.336279364794237</v>
      </c>
      <c r="L161" s="379"/>
      <c r="M161" s="188">
        <f t="shared" si="446"/>
        <v>0.60539646744548103</v>
      </c>
      <c r="N161" s="149">
        <f t="shared" si="447"/>
        <v>182.95459456274813</v>
      </c>
      <c r="O161" s="149">
        <f t="shared" si="438"/>
        <v>61.2</v>
      </c>
      <c r="P161" s="188">
        <f t="shared" si="448"/>
        <v>6.0984864854249379</v>
      </c>
      <c r="Q161" s="188">
        <f t="shared" si="449"/>
        <v>30</v>
      </c>
      <c r="R161" s="188"/>
      <c r="S161" s="149">
        <f t="shared" si="450"/>
        <v>127.71892721882715</v>
      </c>
      <c r="T161" s="149">
        <f t="shared" si="451"/>
        <v>30</v>
      </c>
      <c r="U161" s="188">
        <f t="shared" si="452"/>
        <v>10.33949182762651</v>
      </c>
      <c r="V161" s="188">
        <f t="shared" si="453"/>
        <v>2.446670111637919</v>
      </c>
      <c r="W161" s="188">
        <f t="shared" si="454"/>
        <v>1.5946402910809265</v>
      </c>
      <c r="X161" s="172">
        <f t="shared" si="455"/>
        <v>350</v>
      </c>
      <c r="Y161" s="379">
        <f t="shared" si="328"/>
        <v>235.77618826458934</v>
      </c>
      <c r="AA161" s="188">
        <f t="shared" si="456"/>
        <v>7.3098580108856908</v>
      </c>
      <c r="AB161" s="150">
        <f t="shared" si="457"/>
        <v>1.1273855911461017</v>
      </c>
      <c r="AC161" s="150">
        <f t="shared" si="458"/>
        <v>1.4421800040893755</v>
      </c>
      <c r="AD161" s="150"/>
      <c r="AE161" s="150">
        <f t="shared" si="459"/>
        <v>0.93471582295647626</v>
      </c>
      <c r="AF161" s="314">
        <f t="shared" si="460"/>
        <v>720.21889805041485</v>
      </c>
      <c r="AG161" s="456">
        <f t="shared" si="461"/>
        <v>0.99136526677202019</v>
      </c>
      <c r="AI161" s="150">
        <f t="shared" si="462"/>
        <v>8.6938929836927716</v>
      </c>
      <c r="AJ161" s="150">
        <f t="shared" si="463"/>
        <v>10.33949182762651</v>
      </c>
      <c r="AK161" s="150">
        <f t="shared" si="464"/>
        <v>4.3695450126077402</v>
      </c>
      <c r="AM161" s="314">
        <f t="shared" si="465"/>
        <v>2040</v>
      </c>
      <c r="AN161" s="144">
        <f t="shared" si="466"/>
        <v>235.77618826458934</v>
      </c>
      <c r="AP161">
        <f t="shared" si="467"/>
        <v>2040</v>
      </c>
      <c r="AQ161">
        <f t="shared" si="468"/>
        <v>235.77618826458934</v>
      </c>
      <c r="AS161" s="5">
        <f t="shared" si="439"/>
        <v>4.2413104027188471</v>
      </c>
      <c r="AT161" s="5">
        <f t="shared" si="469"/>
        <v>2.446670111637919</v>
      </c>
      <c r="AU161" s="5">
        <f t="shared" si="343"/>
        <v>1.794640291080928</v>
      </c>
      <c r="AV161" s="5"/>
      <c r="AW161" s="150">
        <f t="shared" si="344"/>
        <v>0.5768665528628858</v>
      </c>
      <c r="AX161" s="150">
        <f t="shared" si="435"/>
        <v>59.23333606632724</v>
      </c>
      <c r="AY161" s="150">
        <f t="shared" si="436"/>
        <v>2.1874924093348129</v>
      </c>
      <c r="AZ161" s="150">
        <f t="shared" si="440"/>
        <v>27.0781904492822</v>
      </c>
      <c r="BA161" s="144">
        <f t="shared" si="433"/>
        <v>16.637356759137852</v>
      </c>
      <c r="BB161" s="5">
        <f t="shared" si="434"/>
        <v>3.2528068736328719</v>
      </c>
      <c r="BD161" s="150">
        <f t="shared" si="441"/>
        <v>4.533944988452137</v>
      </c>
      <c r="BE161" s="150">
        <f t="shared" si="437"/>
        <v>3.8830881086503237</v>
      </c>
      <c r="BG161" s="456">
        <f t="shared" si="347"/>
        <v>0.24667988589972298</v>
      </c>
      <c r="BH161" s="456">
        <f t="shared" si="470"/>
        <v>2.239459004332736</v>
      </c>
      <c r="BI161" s="456">
        <f t="shared" si="349"/>
        <v>2.7114261650427775E-2</v>
      </c>
      <c r="BJ161" s="456">
        <f t="shared" si="350"/>
        <v>0.30915232640361645</v>
      </c>
      <c r="BK161">
        <f t="shared" si="351"/>
        <v>8.9378723806743839E-3</v>
      </c>
      <c r="BL161" s="144">
        <f t="shared" si="427"/>
        <v>36.052134031102163</v>
      </c>
      <c r="BM161" s="456">
        <f t="shared" si="471"/>
        <v>3.0400771776011695</v>
      </c>
      <c r="BN161" s="144">
        <f t="shared" si="353"/>
        <v>3040.0771776011693</v>
      </c>
      <c r="BO161" s="456">
        <f t="shared" si="354"/>
        <v>1.4279999999999999</v>
      </c>
      <c r="BR161" s="144">
        <f t="shared" si="355"/>
        <v>1428</v>
      </c>
      <c r="BS161" s="456">
        <f t="shared" si="356"/>
        <v>0.28779320021634347</v>
      </c>
      <c r="BT161" s="456">
        <f t="shared" si="357"/>
        <v>0.21109722563358169</v>
      </c>
      <c r="BU161" s="456">
        <f t="shared" si="358"/>
        <v>14.671274598925253</v>
      </c>
      <c r="BV161" s="456"/>
      <c r="BW161" s="456">
        <f t="shared" si="359"/>
        <v>2.5205674921841381</v>
      </c>
      <c r="BX161" s="144">
        <f t="shared" si="360"/>
        <v>17690.732516959317</v>
      </c>
      <c r="BY161" s="150">
        <f t="shared" si="361"/>
        <v>21.950075867626492</v>
      </c>
      <c r="BZ161" s="5">
        <f t="shared" si="362"/>
        <v>61.2</v>
      </c>
      <c r="CA161" s="150">
        <f t="shared" si="363"/>
        <v>0.73601857077592281</v>
      </c>
      <c r="CB161" s="5">
        <f t="shared" si="364"/>
        <v>73.601857077592285</v>
      </c>
      <c r="CE161" s="59">
        <f t="shared" si="472"/>
        <v>-50</v>
      </c>
      <c r="CF161">
        <f t="shared" si="473"/>
        <v>-50</v>
      </c>
      <c r="CG161" s="150">
        <f t="shared" si="474"/>
        <v>0.3841769612143956</v>
      </c>
      <c r="CI161" s="147">
        <v>51</v>
      </c>
      <c r="CJ161" s="188">
        <f t="shared" si="428"/>
        <v>2.04</v>
      </c>
      <c r="CK161" s="188"/>
      <c r="CL161" s="188">
        <f t="shared" si="368"/>
        <v>61.2</v>
      </c>
      <c r="CM161" s="465">
        <f t="shared" si="369"/>
        <v>20</v>
      </c>
      <c r="CN161" s="379">
        <f t="shared" si="370"/>
        <v>30.4</v>
      </c>
      <c r="CO161" s="379">
        <f t="shared" si="371"/>
        <v>50.4</v>
      </c>
      <c r="CP161" s="379"/>
      <c r="CQ161" s="188">
        <f t="shared" si="372"/>
        <v>0.60317460317460314</v>
      </c>
      <c r="CR161" s="149">
        <f t="shared" si="429"/>
        <v>183.55019291189507</v>
      </c>
      <c r="CS161" s="149">
        <f t="shared" si="373"/>
        <v>61.2</v>
      </c>
      <c r="CT161" s="188">
        <f t="shared" si="374"/>
        <v>6.1183397637298356</v>
      </c>
      <c r="CU161" s="188">
        <f t="shared" si="375"/>
        <v>30</v>
      </c>
      <c r="CV161" s="188"/>
      <c r="CW161" s="149">
        <f t="shared" si="376"/>
        <v>128.60627867693461</v>
      </c>
      <c r="CX161" s="149">
        <f t="shared" si="377"/>
        <v>30</v>
      </c>
      <c r="CY161" s="188">
        <f t="shared" si="378"/>
        <v>10.146315789473684</v>
      </c>
      <c r="CZ161" s="188">
        <f t="shared" si="379"/>
        <v>2.3843842105263158</v>
      </c>
      <c r="DA161" s="188">
        <f t="shared" si="380"/>
        <v>1.5686738227146815</v>
      </c>
      <c r="DB161" s="172">
        <f t="shared" si="381"/>
        <v>350</v>
      </c>
      <c r="DC161" s="379">
        <f t="shared" si="382"/>
        <v>252.96871222002503</v>
      </c>
      <c r="DE161" s="188">
        <f t="shared" si="383"/>
        <v>7.3334298258310406</v>
      </c>
      <c r="DF161" s="150">
        <f t="shared" si="384"/>
        <v>1.1337868480725624</v>
      </c>
      <c r="DG161" s="150">
        <f t="shared" si="385"/>
        <v>1.4550456003633017</v>
      </c>
      <c r="DH161" s="150"/>
      <c r="DI161" s="150">
        <f t="shared" si="386"/>
        <v>0.93700159489633172</v>
      </c>
      <c r="DJ161" s="314">
        <f t="shared" si="387"/>
        <v>718.46195744680858</v>
      </c>
      <c r="DK161" s="456">
        <f t="shared" si="388"/>
        <v>0.99378957034459414</v>
      </c>
      <c r="DM161" s="150">
        <f t="shared" si="389"/>
        <v>8.6832823343056411</v>
      </c>
      <c r="DN161" s="150">
        <f t="shared" si="390"/>
        <v>10.146315789473684</v>
      </c>
      <c r="DO161" s="150">
        <f t="shared" si="391"/>
        <v>4.226451651013055</v>
      </c>
      <c r="DQ161" s="314">
        <f t="shared" si="392"/>
        <v>2040</v>
      </c>
      <c r="DR161" s="144">
        <f t="shared" si="393"/>
        <v>252.96871222002503</v>
      </c>
      <c r="DT161">
        <f t="shared" si="430"/>
        <v>2040</v>
      </c>
      <c r="DU161">
        <f t="shared" si="431"/>
        <v>252.96871222002503</v>
      </c>
      <c r="DW161" s="5">
        <f t="shared" si="394"/>
        <v>3.9530580332409975</v>
      </c>
      <c r="DX161" s="5">
        <f t="shared" si="395"/>
        <v>2.3843842105263158</v>
      </c>
      <c r="DY161" s="5">
        <f t="shared" si="396"/>
        <v>1.5686738227146817</v>
      </c>
      <c r="DZ161" s="5"/>
      <c r="EA161" s="150">
        <f t="shared" si="397"/>
        <v>0.60317460317460314</v>
      </c>
      <c r="EB161" s="150">
        <f t="shared" si="398"/>
        <v>61.199999999999996</v>
      </c>
      <c r="EC161" s="150">
        <f t="shared" si="399"/>
        <v>2.0131578947368425</v>
      </c>
      <c r="ED161" s="150">
        <f t="shared" si="400"/>
        <v>30.399999999999991</v>
      </c>
      <c r="EE161" s="144">
        <f t="shared" si="401"/>
        <v>16.213812631578946</v>
      </c>
      <c r="EF161" s="5">
        <f t="shared" si="402"/>
        <v>2.8236128808864267</v>
      </c>
      <c r="EH161" s="150">
        <f t="shared" si="403"/>
        <v>4.5495586830511723</v>
      </c>
      <c r="EI161" s="150">
        <f t="shared" si="404"/>
        <v>3.690179375411808</v>
      </c>
      <c r="EK161" s="456">
        <f t="shared" si="405"/>
        <v>0.2483818105263158</v>
      </c>
      <c r="EL161" s="456">
        <f t="shared" si="406"/>
        <v>2.4578723404255318</v>
      </c>
      <c r="EM161" s="456">
        <f t="shared" si="407"/>
        <v>2.9091401905302881E-2</v>
      </c>
      <c r="EN161" s="456">
        <f t="shared" si="408"/>
        <v>0.33253566958698377</v>
      </c>
      <c r="EO161">
        <f t="shared" si="409"/>
        <v>8.9999999999999993E-3</v>
      </c>
      <c r="EP161" s="144">
        <f t="shared" si="410"/>
        <v>38.091401905302881</v>
      </c>
      <c r="EQ161" s="144"/>
      <c r="ER161" s="144">
        <f t="shared" si="432"/>
        <v>3076.8812224441344</v>
      </c>
      <c r="ES161" s="456">
        <f t="shared" si="411"/>
        <v>1.4279999999999999</v>
      </c>
      <c r="EV161" s="144">
        <f t="shared" si="412"/>
        <v>1428</v>
      </c>
      <c r="EW161" s="456">
        <f t="shared" si="413"/>
        <v>0.28977877894736842</v>
      </c>
      <c r="EX161" s="456">
        <f t="shared" si="414"/>
        <v>0.19064393351800554</v>
      </c>
      <c r="EY161" s="456">
        <f t="shared" si="415"/>
        <v>16.688141232989636</v>
      </c>
      <c r="EZ161" s="456"/>
      <c r="FA161" s="456">
        <f t="shared" si="416"/>
        <v>2.6042553191489364</v>
      </c>
      <c r="FB161" s="144">
        <f t="shared" si="417"/>
        <v>19772.819264603946</v>
      </c>
      <c r="FC161" s="150">
        <f t="shared" si="418"/>
        <v>24.277700487048083</v>
      </c>
      <c r="FD161" s="5">
        <f t="shared" si="419"/>
        <v>61.2</v>
      </c>
      <c r="FE161" s="150">
        <f t="shared" si="420"/>
        <v>0.71597620959952324</v>
      </c>
      <c r="FF161" s="5">
        <f t="shared" si="421"/>
        <v>71.597620959952323</v>
      </c>
      <c r="FI161" s="59">
        <f t="shared" si="422"/>
        <v>-50</v>
      </c>
      <c r="FJ161">
        <f t="shared" si="423"/>
        <v>-50</v>
      </c>
      <c r="FL161">
        <f t="shared" si="475"/>
        <v>0.39682539682539686</v>
      </c>
    </row>
    <row r="162" spans="5:168">
      <c r="E162" s="147">
        <v>52</v>
      </c>
      <c r="F162" s="188">
        <f t="shared" si="476"/>
        <v>2.08</v>
      </c>
      <c r="G162" s="188"/>
      <c r="H162" s="188">
        <f t="shared" si="442"/>
        <v>62.400000000000006</v>
      </c>
      <c r="I162" s="465">
        <f t="shared" si="443"/>
        <v>19.859320608154182</v>
      </c>
      <c r="J162" s="149">
        <f t="shared" si="444"/>
        <v>30.475750441763132</v>
      </c>
      <c r="K162" s="149">
        <f t="shared" si="445"/>
        <v>50.335071049917318</v>
      </c>
      <c r="L162" s="379"/>
      <c r="M162" s="188">
        <f t="shared" si="446"/>
        <v>0.60543902033362162</v>
      </c>
      <c r="N162" s="149">
        <f t="shared" si="447"/>
        <v>182.94333724745439</v>
      </c>
      <c r="O162" s="149">
        <f t="shared" si="438"/>
        <v>62.400000000000006</v>
      </c>
      <c r="P162" s="188">
        <f t="shared" si="448"/>
        <v>6.0981112415818135</v>
      </c>
      <c r="Q162" s="188">
        <f t="shared" si="449"/>
        <v>30</v>
      </c>
      <c r="R162" s="188"/>
      <c r="S162" s="149">
        <f t="shared" si="450"/>
        <v>124.86697699424415</v>
      </c>
      <c r="T162" s="149">
        <f t="shared" si="451"/>
        <v>30</v>
      </c>
      <c r="U162" s="188">
        <f t="shared" si="452"/>
        <v>10.543363926958754</v>
      </c>
      <c r="V162" s="188">
        <f t="shared" si="453"/>
        <v>2.4952419790412912</v>
      </c>
      <c r="W162" s="188">
        <f t="shared" si="454"/>
        <v>1.6260078829362956</v>
      </c>
      <c r="X162" s="172">
        <f t="shared" si="455"/>
        <v>350</v>
      </c>
      <c r="Y162" s="379">
        <f t="shared" si="328"/>
        <v>231.41452865267959</v>
      </c>
      <c r="AA162" s="188">
        <f t="shared" si="456"/>
        <v>7.3094080541170765</v>
      </c>
      <c r="AB162" s="150">
        <f t="shared" si="457"/>
        <v>1.1272640494939932</v>
      </c>
      <c r="AC162" s="150">
        <f t="shared" si="458"/>
        <v>1.4419357614354043</v>
      </c>
      <c r="AD162" s="150"/>
      <c r="AE162" s="150">
        <f t="shared" si="459"/>
        <v>0.93467258630040584</v>
      </c>
      <c r="AF162" s="314">
        <f t="shared" si="460"/>
        <v>734.37480681538841</v>
      </c>
      <c r="AG162" s="456">
        <f t="shared" si="461"/>
        <v>0.99131940971255172</v>
      </c>
      <c r="AI162" s="150">
        <f t="shared" si="462"/>
        <v>8.7789165036094445</v>
      </c>
      <c r="AJ162" s="150">
        <f t="shared" si="463"/>
        <v>10.543363926958754</v>
      </c>
      <c r="AK162" s="150">
        <f t="shared" si="464"/>
        <v>4.5205613824834776</v>
      </c>
      <c r="AM162" s="314">
        <f t="shared" si="465"/>
        <v>2080</v>
      </c>
      <c r="AN162" s="144">
        <f t="shared" si="466"/>
        <v>231.41452865267959</v>
      </c>
      <c r="AP162">
        <f t="shared" si="467"/>
        <v>2080</v>
      </c>
      <c r="AQ162">
        <f t="shared" si="468"/>
        <v>231.41452865267959</v>
      </c>
      <c r="AS162" s="5">
        <f t="shared" si="439"/>
        <v>4.321249861977587</v>
      </c>
      <c r="AT162" s="5">
        <f t="shared" si="469"/>
        <v>2.4952419790412912</v>
      </c>
      <c r="AU162" s="5">
        <f t="shared" si="343"/>
        <v>1.8260078829362958</v>
      </c>
      <c r="AV162" s="5"/>
      <c r="AW162" s="150">
        <f t="shared" si="344"/>
        <v>0.57743524645421984</v>
      </c>
      <c r="AX162" s="150">
        <f t="shared" si="435"/>
        <v>60.452863673738776</v>
      </c>
      <c r="AY162" s="150">
        <f t="shared" si="436"/>
        <v>2.2276269896693974</v>
      </c>
      <c r="AZ162" s="150">
        <f t="shared" si="440"/>
        <v>27.137785614058572</v>
      </c>
      <c r="BA162" s="144">
        <f t="shared" si="433"/>
        <v>17.300344388019617</v>
      </c>
      <c r="BB162" s="5">
        <f t="shared" si="434"/>
        <v>3.3750011820184058</v>
      </c>
      <c r="BD162" s="150">
        <f t="shared" si="441"/>
        <v>4.6256227978905731</v>
      </c>
      <c r="BE162" s="150">
        <f t="shared" si="437"/>
        <v>3.9569922959743087</v>
      </c>
      <c r="BG162" s="456">
        <f t="shared" si="347"/>
        <v>0.25675663522038017</v>
      </c>
      <c r="BH162" s="456">
        <f t="shared" si="470"/>
        <v>2.2413174556156368</v>
      </c>
      <c r="BI162" s="456">
        <f t="shared" si="349"/>
        <v>2.6612670795058156E-2</v>
      </c>
      <c r="BJ162" s="456">
        <f t="shared" si="350"/>
        <v>0.30341870287224715</v>
      </c>
      <c r="BK162">
        <f t="shared" si="351"/>
        <v>8.9366942736693808E-3</v>
      </c>
      <c r="BL162" s="144">
        <f t="shared" si="427"/>
        <v>35.549365068727539</v>
      </c>
      <c r="BM162" s="456">
        <f t="shared" si="471"/>
        <v>3.0573306954664154</v>
      </c>
      <c r="BN162" s="144">
        <f t="shared" si="353"/>
        <v>3057.3306954664154</v>
      </c>
      <c r="BO162" s="456">
        <f t="shared" si="354"/>
        <v>1.456</v>
      </c>
      <c r="BR162" s="144">
        <f t="shared" si="355"/>
        <v>1456</v>
      </c>
      <c r="BS162" s="456">
        <f t="shared" si="356"/>
        <v>0.2995494077571102</v>
      </c>
      <c r="BT162" s="456">
        <f t="shared" si="357"/>
        <v>0.21920903242560044</v>
      </c>
      <c r="BU162" s="456">
        <f t="shared" si="358"/>
        <v>14.702613851796823</v>
      </c>
      <c r="BV162" s="456"/>
      <c r="BW162" s="456">
        <f t="shared" si="359"/>
        <v>2.5724622839888842</v>
      </c>
      <c r="BX162" s="144">
        <f t="shared" si="360"/>
        <v>17793.83457596842</v>
      </c>
      <c r="BY162" s="150">
        <f t="shared" si="361"/>
        <v>22.08687673474541</v>
      </c>
      <c r="BZ162" s="5">
        <f t="shared" si="362"/>
        <v>62.400000000000006</v>
      </c>
      <c r="CA162" s="150">
        <f t="shared" si="363"/>
        <v>0.73857624298162594</v>
      </c>
      <c r="CB162" s="5">
        <f t="shared" si="364"/>
        <v>73.857624298162591</v>
      </c>
      <c r="CE162" s="59">
        <f t="shared" si="472"/>
        <v>-50</v>
      </c>
      <c r="CF162">
        <f t="shared" si="473"/>
        <v>-50</v>
      </c>
      <c r="CG162" s="150">
        <f t="shared" si="474"/>
        <v>0.38442020036076091</v>
      </c>
      <c r="CI162" s="147">
        <v>52</v>
      </c>
      <c r="CJ162" s="188">
        <f t="shared" si="428"/>
        <v>2.08</v>
      </c>
      <c r="CK162" s="188"/>
      <c r="CL162" s="188">
        <f t="shared" si="368"/>
        <v>62.400000000000006</v>
      </c>
      <c r="CM162" s="465">
        <f t="shared" si="369"/>
        <v>20</v>
      </c>
      <c r="CN162" s="379">
        <f t="shared" si="370"/>
        <v>30.4</v>
      </c>
      <c r="CO162" s="379">
        <f t="shared" si="371"/>
        <v>50.4</v>
      </c>
      <c r="CP162" s="379"/>
      <c r="CQ162" s="188">
        <f t="shared" si="372"/>
        <v>0.60317460317460314</v>
      </c>
      <c r="CR162" s="149">
        <f t="shared" si="429"/>
        <v>183.55019291189507</v>
      </c>
      <c r="CS162" s="149">
        <f t="shared" si="373"/>
        <v>62.400000000000006</v>
      </c>
      <c r="CT162" s="188">
        <f t="shared" si="374"/>
        <v>6.1183397637298356</v>
      </c>
      <c r="CU162" s="188">
        <f t="shared" si="375"/>
        <v>30</v>
      </c>
      <c r="CV162" s="188"/>
      <c r="CW162" s="149">
        <f t="shared" si="376"/>
        <v>125.75106172149297</v>
      </c>
      <c r="CX162" s="149">
        <f t="shared" si="377"/>
        <v>30</v>
      </c>
      <c r="CY162" s="188">
        <f t="shared" si="378"/>
        <v>10.345263157894738</v>
      </c>
      <c r="CZ162" s="188">
        <f t="shared" si="379"/>
        <v>2.4311368421052637</v>
      </c>
      <c r="DA162" s="188">
        <f t="shared" si="380"/>
        <v>1.5994321329639893</v>
      </c>
      <c r="DB162" s="172">
        <f t="shared" si="381"/>
        <v>350</v>
      </c>
      <c r="DC162" s="379">
        <f t="shared" si="382"/>
        <v>248.10392929271683</v>
      </c>
      <c r="DE162" s="188">
        <f t="shared" si="383"/>
        <v>7.3334298258310406</v>
      </c>
      <c r="DF162" s="150">
        <f t="shared" si="384"/>
        <v>1.1337868480725624</v>
      </c>
      <c r="DG162" s="150">
        <f t="shared" si="385"/>
        <v>1.4550456003633017</v>
      </c>
      <c r="DH162" s="150"/>
      <c r="DI162" s="150">
        <f t="shared" si="386"/>
        <v>0.93700159489633172</v>
      </c>
      <c r="DJ162" s="314">
        <f t="shared" si="387"/>
        <v>732.54944680851065</v>
      </c>
      <c r="DK162" s="456">
        <f t="shared" si="388"/>
        <v>0.99378957034459414</v>
      </c>
      <c r="DM162" s="150">
        <f t="shared" si="389"/>
        <v>8.7679992900405725</v>
      </c>
      <c r="DN162" s="150">
        <f t="shared" si="390"/>
        <v>10.345263157894738</v>
      </c>
      <c r="DO162" s="150">
        <f t="shared" si="391"/>
        <v>4.373820072065687</v>
      </c>
      <c r="DQ162" s="314">
        <f t="shared" si="392"/>
        <v>2080</v>
      </c>
      <c r="DR162" s="144">
        <f t="shared" si="393"/>
        <v>248.10392929271683</v>
      </c>
      <c r="DT162">
        <f t="shared" si="430"/>
        <v>2080</v>
      </c>
      <c r="DU162">
        <f t="shared" si="431"/>
        <v>248.10392929271683</v>
      </c>
      <c r="DW162" s="5">
        <f t="shared" si="394"/>
        <v>4.0305689750692526</v>
      </c>
      <c r="DX162" s="5">
        <f t="shared" si="395"/>
        <v>2.4311368421052637</v>
      </c>
      <c r="DY162" s="5">
        <f t="shared" si="396"/>
        <v>1.5994321329639889</v>
      </c>
      <c r="DZ162" s="5"/>
      <c r="EA162" s="150">
        <f t="shared" si="397"/>
        <v>0.60317460317460325</v>
      </c>
      <c r="EB162" s="150">
        <f t="shared" si="398"/>
        <v>62.400000000000013</v>
      </c>
      <c r="EC162" s="150">
        <f t="shared" si="399"/>
        <v>2.0526315789473681</v>
      </c>
      <c r="ED162" s="150">
        <f t="shared" si="400"/>
        <v>30.400000000000009</v>
      </c>
      <c r="EE162" s="144">
        <f t="shared" si="401"/>
        <v>16.855882105263163</v>
      </c>
      <c r="EF162" s="5">
        <f t="shared" si="402"/>
        <v>2.9354283852044971</v>
      </c>
      <c r="EH162" s="150">
        <f t="shared" si="403"/>
        <v>4.6387657160521769</v>
      </c>
      <c r="EI162" s="150">
        <f t="shared" si="404"/>
        <v>3.762535833753216</v>
      </c>
      <c r="EK162" s="456">
        <f t="shared" si="405"/>
        <v>0.25821776842105276</v>
      </c>
      <c r="EL162" s="456">
        <f t="shared" si="406"/>
        <v>2.4578723404255323</v>
      </c>
      <c r="EM162" s="456">
        <f t="shared" si="407"/>
        <v>2.8531951868662437E-2</v>
      </c>
      <c r="EN162" s="456">
        <f t="shared" si="408"/>
        <v>0.32614075286415706</v>
      </c>
      <c r="EO162">
        <f t="shared" si="409"/>
        <v>8.9999999999999993E-3</v>
      </c>
      <c r="EP162" s="144">
        <f t="shared" si="410"/>
        <v>37.531951868662432</v>
      </c>
      <c r="EQ162" s="144"/>
      <c r="ER162" s="144">
        <f t="shared" si="432"/>
        <v>3079.7628135794043</v>
      </c>
      <c r="ES162" s="456">
        <f t="shared" si="411"/>
        <v>1.456</v>
      </c>
      <c r="EV162" s="144">
        <f t="shared" si="412"/>
        <v>1456</v>
      </c>
      <c r="EW162" s="456">
        <f t="shared" si="413"/>
        <v>0.30125406315789494</v>
      </c>
      <c r="EX162" s="456">
        <f t="shared" si="414"/>
        <v>0.19819346260387813</v>
      </c>
      <c r="EY162" s="456">
        <f t="shared" si="415"/>
        <v>16.688141232989633</v>
      </c>
      <c r="EZ162" s="456"/>
      <c r="FA162" s="456">
        <f t="shared" si="416"/>
        <v>2.6553191489361709</v>
      </c>
      <c r="FB162" s="144">
        <f t="shared" si="417"/>
        <v>19842.907907687579</v>
      </c>
      <c r="FC162" s="150">
        <f t="shared" si="418"/>
        <v>24.378670721266982</v>
      </c>
      <c r="FD162" s="5">
        <f t="shared" si="419"/>
        <v>62.400000000000006</v>
      </c>
      <c r="FE162" s="150">
        <f t="shared" si="420"/>
        <v>0.71907070575474408</v>
      </c>
      <c r="FF162" s="5">
        <f t="shared" si="421"/>
        <v>71.907070575474407</v>
      </c>
      <c r="FI162" s="59">
        <f t="shared" si="422"/>
        <v>-50</v>
      </c>
      <c r="FJ162">
        <f t="shared" si="423"/>
        <v>-50</v>
      </c>
      <c r="FL162">
        <f t="shared" si="475"/>
        <v>0.39682539682539675</v>
      </c>
    </row>
    <row r="163" spans="5:168">
      <c r="E163" s="147">
        <v>53</v>
      </c>
      <c r="F163" s="188">
        <f t="shared" si="476"/>
        <v>2.12</v>
      </c>
      <c r="G163" s="188"/>
      <c r="H163" s="188">
        <f t="shared" si="442"/>
        <v>63.6</v>
      </c>
      <c r="I163" s="465">
        <f t="shared" si="443"/>
        <v>19.85670248418986</v>
      </c>
      <c r="J163" s="149">
        <f t="shared" si="444"/>
        <v>30.477160200820844</v>
      </c>
      <c r="K163" s="149">
        <f t="shared" si="445"/>
        <v>50.3338626850107</v>
      </c>
      <c r="L163" s="379"/>
      <c r="M163" s="188">
        <f t="shared" si="446"/>
        <v>0.6054815765663828</v>
      </c>
      <c r="N163" s="149">
        <f t="shared" si="447"/>
        <v>182.93207655392973</v>
      </c>
      <c r="O163" s="149">
        <f t="shared" si="438"/>
        <v>63.6</v>
      </c>
      <c r="P163" s="188">
        <f t="shared" si="448"/>
        <v>6.0977358851309909</v>
      </c>
      <c r="Q163" s="188">
        <f t="shared" si="449"/>
        <v>30</v>
      </c>
      <c r="R163" s="188"/>
      <c r="S163" s="149">
        <f t="shared" si="450"/>
        <v>122.12280693624703</v>
      </c>
      <c r="T163" s="149">
        <f t="shared" si="451"/>
        <v>30</v>
      </c>
      <c r="U163" s="188">
        <f t="shared" si="452"/>
        <v>10.74728009682781</v>
      </c>
      <c r="V163" s="188">
        <f t="shared" si="453"/>
        <v>2.5438370996044846</v>
      </c>
      <c r="W163" s="188">
        <f t="shared" si="454"/>
        <v>1.6573793661303868</v>
      </c>
      <c r="X163" s="172">
        <f t="shared" si="455"/>
        <v>350</v>
      </c>
      <c r="Y163" s="379">
        <f t="shared" si="328"/>
        <v>227.20991066569363</v>
      </c>
      <c r="AA163" s="188">
        <f t="shared" si="456"/>
        <v>7.3089579679617911</v>
      </c>
      <c r="AB163" s="150">
        <f t="shared" si="457"/>
        <v>1.1271424969736914</v>
      </c>
      <c r="AC163" s="150">
        <f t="shared" si="458"/>
        <v>1.4416914984997369</v>
      </c>
      <c r="AD163" s="150"/>
      <c r="AE163" s="150">
        <f t="shared" si="459"/>
        <v>0.93462935185415652</v>
      </c>
      <c r="AF163" s="314">
        <f t="shared" si="460"/>
        <v>748.5320235365009</v>
      </c>
      <c r="AG163" s="456">
        <f t="shared" si="461"/>
        <v>0.99127355499683256</v>
      </c>
      <c r="AI163" s="150">
        <f t="shared" si="462"/>
        <v>8.8631321781286196</v>
      </c>
      <c r="AJ163" s="150">
        <f t="shared" si="463"/>
        <v>10.74728009682781</v>
      </c>
      <c r="AK163" s="150">
        <f t="shared" si="464"/>
        <v>4.6716103972012952</v>
      </c>
      <c r="AM163" s="314">
        <f t="shared" si="465"/>
        <v>2120</v>
      </c>
      <c r="AN163" s="144">
        <f t="shared" si="466"/>
        <v>227.20991066569363</v>
      </c>
      <c r="AP163">
        <f t="shared" si="467"/>
        <v>2120</v>
      </c>
      <c r="AQ163">
        <f t="shared" si="468"/>
        <v>227.20991066569363</v>
      </c>
      <c r="AS163" s="5">
        <f t="shared" si="439"/>
        <v>4.4012164657348709</v>
      </c>
      <c r="AT163" s="5">
        <f t="shared" si="469"/>
        <v>2.5438370996044846</v>
      </c>
      <c r="AU163" s="5">
        <f t="shared" si="343"/>
        <v>1.8573793661303863</v>
      </c>
      <c r="AV163" s="5"/>
      <c r="AW163" s="150">
        <f t="shared" si="344"/>
        <v>0.57798500014921217</v>
      </c>
      <c r="AX163" s="150">
        <f t="shared" si="435"/>
        <v>61.672601516068767</v>
      </c>
      <c r="AY163" s="150">
        <f t="shared" si="436"/>
        <v>2.2677567042295816</v>
      </c>
      <c r="AZ163" s="150">
        <f t="shared" si="440"/>
        <v>27.195422419452452</v>
      </c>
      <c r="BA163" s="144">
        <f t="shared" si="433"/>
        <v>17.976448837205023</v>
      </c>
      <c r="BB163" s="5">
        <f t="shared" si="434"/>
        <v>3.4994652244277695</v>
      </c>
      <c r="BD163" s="150">
        <f t="shared" si="441"/>
        <v>4.7173296293574944</v>
      </c>
      <c r="BE163" s="150">
        <f t="shared" si="437"/>
        <v>4.0308986997785343</v>
      </c>
      <c r="BG163" s="456">
        <f t="shared" si="347"/>
        <v>0.2670383859841694</v>
      </c>
      <c r="BH163" s="456">
        <f t="shared" si="470"/>
        <v>2.2431017148048427</v>
      </c>
      <c r="BI163" s="456">
        <f t="shared" si="349"/>
        <v>2.612913972655477E-2</v>
      </c>
      <c r="BJ163" s="456">
        <f t="shared" si="350"/>
        <v>0.29789152315682138</v>
      </c>
      <c r="BK163">
        <f t="shared" si="351"/>
        <v>8.9355161178854368E-3</v>
      </c>
      <c r="BL163" s="144">
        <f t="shared" si="427"/>
        <v>35.064655844440203</v>
      </c>
      <c r="BM163" s="456">
        <f t="shared" si="471"/>
        <v>3.0752515330808454</v>
      </c>
      <c r="BN163" s="144">
        <f t="shared" si="353"/>
        <v>3075.2515330808455</v>
      </c>
      <c r="BO163" s="456">
        <f t="shared" si="354"/>
        <v>1.484</v>
      </c>
      <c r="BR163" s="144">
        <f t="shared" si="355"/>
        <v>1484</v>
      </c>
      <c r="BS163" s="456">
        <f t="shared" si="356"/>
        <v>0.31154478364819765</v>
      </c>
      <c r="BT163" s="456">
        <f t="shared" si="357"/>
        <v>0.22747402059026792</v>
      </c>
      <c r="BU163" s="456">
        <f t="shared" si="358"/>
        <v>14.732776509362012</v>
      </c>
      <c r="BV163" s="456"/>
      <c r="BW163" s="456">
        <f t="shared" si="359"/>
        <v>2.6243660219603737</v>
      </c>
      <c r="BX163" s="144">
        <f t="shared" si="360"/>
        <v>17896.16133556085</v>
      </c>
      <c r="BY163" s="150">
        <f t="shared" si="361"/>
        <v>22.223257615351123</v>
      </c>
      <c r="BZ163" s="5">
        <f t="shared" si="362"/>
        <v>63.6</v>
      </c>
      <c r="CA163" s="150">
        <f t="shared" si="363"/>
        <v>0.74105786435009346</v>
      </c>
      <c r="CB163" s="5">
        <f t="shared" si="364"/>
        <v>74.10578643500935</v>
      </c>
      <c r="CE163" s="59">
        <f t="shared" si="472"/>
        <v>-50</v>
      </c>
      <c r="CF163">
        <f t="shared" si="473"/>
        <v>-50</v>
      </c>
      <c r="CG163" s="150">
        <f t="shared" si="474"/>
        <v>0.38465426067141451</v>
      </c>
      <c r="CI163" s="147">
        <v>53</v>
      </c>
      <c r="CJ163" s="188">
        <f t="shared" si="428"/>
        <v>2.12</v>
      </c>
      <c r="CK163" s="188"/>
      <c r="CL163" s="188">
        <f t="shared" si="368"/>
        <v>63.6</v>
      </c>
      <c r="CM163" s="465">
        <f t="shared" si="369"/>
        <v>20</v>
      </c>
      <c r="CN163" s="379">
        <f t="shared" si="370"/>
        <v>30.4</v>
      </c>
      <c r="CO163" s="379">
        <f t="shared" si="371"/>
        <v>50.4</v>
      </c>
      <c r="CP163" s="379"/>
      <c r="CQ163" s="188">
        <f t="shared" si="372"/>
        <v>0.60317460317460314</v>
      </c>
      <c r="CR163" s="149">
        <f t="shared" si="429"/>
        <v>183.55019291189507</v>
      </c>
      <c r="CS163" s="149">
        <f t="shared" si="373"/>
        <v>63.6</v>
      </c>
      <c r="CT163" s="188">
        <f t="shared" si="374"/>
        <v>6.1183397637298356</v>
      </c>
      <c r="CU163" s="188">
        <f t="shared" si="375"/>
        <v>30</v>
      </c>
      <c r="CV163" s="188"/>
      <c r="CW163" s="149">
        <f t="shared" si="376"/>
        <v>123.00365008825777</v>
      </c>
      <c r="CX163" s="149">
        <f t="shared" si="377"/>
        <v>30</v>
      </c>
      <c r="CY163" s="188">
        <f t="shared" si="378"/>
        <v>10.544210526315791</v>
      </c>
      <c r="CZ163" s="188">
        <f t="shared" si="379"/>
        <v>2.4778894736842108</v>
      </c>
      <c r="DA163" s="188">
        <f t="shared" si="380"/>
        <v>1.6301904432132968</v>
      </c>
      <c r="DB163" s="172">
        <f t="shared" si="381"/>
        <v>350</v>
      </c>
      <c r="DC163" s="379">
        <f t="shared" si="382"/>
        <v>243.42272307964672</v>
      </c>
      <c r="DE163" s="188">
        <f t="shared" si="383"/>
        <v>7.3334298258310406</v>
      </c>
      <c r="DF163" s="150">
        <f t="shared" si="384"/>
        <v>1.1337868480725624</v>
      </c>
      <c r="DG163" s="150">
        <f t="shared" si="385"/>
        <v>1.4550456003633017</v>
      </c>
      <c r="DH163" s="150"/>
      <c r="DI163" s="150">
        <f t="shared" si="386"/>
        <v>0.93700159489633172</v>
      </c>
      <c r="DJ163" s="314">
        <f t="shared" si="387"/>
        <v>746.63693617021283</v>
      </c>
      <c r="DK163" s="456">
        <f t="shared" si="388"/>
        <v>0.99378957034459414</v>
      </c>
      <c r="DM163" s="150">
        <f t="shared" si="389"/>
        <v>8.8519055012488419</v>
      </c>
      <c r="DN163" s="150">
        <f t="shared" si="390"/>
        <v>10.544210526315791</v>
      </c>
      <c r="DO163" s="150">
        <f t="shared" si="391"/>
        <v>4.5211884931183191</v>
      </c>
      <c r="DQ163" s="314">
        <f t="shared" si="392"/>
        <v>2120</v>
      </c>
      <c r="DR163" s="144">
        <f t="shared" si="393"/>
        <v>243.42272307964672</v>
      </c>
      <c r="DT163">
        <f t="shared" si="430"/>
        <v>2120</v>
      </c>
      <c r="DU163">
        <f t="shared" si="431"/>
        <v>243.42272307964672</v>
      </c>
      <c r="DW163" s="5">
        <f t="shared" si="394"/>
        <v>4.1080799168975073</v>
      </c>
      <c r="DX163" s="5">
        <f t="shared" si="395"/>
        <v>2.4778894736842108</v>
      </c>
      <c r="DY163" s="5">
        <f t="shared" si="396"/>
        <v>1.6301904432132965</v>
      </c>
      <c r="DZ163" s="5"/>
      <c r="EA163" s="150">
        <f t="shared" si="397"/>
        <v>0.60317460317460314</v>
      </c>
      <c r="EB163" s="150">
        <f t="shared" si="398"/>
        <v>63.6</v>
      </c>
      <c r="EC163" s="150">
        <f t="shared" si="399"/>
        <v>2.0921052631578951</v>
      </c>
      <c r="ED163" s="150">
        <f t="shared" si="400"/>
        <v>30.399999999999995</v>
      </c>
      <c r="EE163" s="144">
        <f t="shared" si="401"/>
        <v>17.510418947368422</v>
      </c>
      <c r="EF163" s="5">
        <f t="shared" si="402"/>
        <v>3.0494150643636955</v>
      </c>
      <c r="EH163" s="150">
        <f t="shared" si="403"/>
        <v>4.7279727490531789</v>
      </c>
      <c r="EI163" s="150">
        <f t="shared" si="404"/>
        <v>3.8348922920946245</v>
      </c>
      <c r="EK163" s="456">
        <f t="shared" si="405"/>
        <v>0.26824471578947368</v>
      </c>
      <c r="EL163" s="456">
        <f t="shared" si="406"/>
        <v>2.4578723404255323</v>
      </c>
      <c r="EM163" s="456">
        <f t="shared" si="407"/>
        <v>2.7993613154159373E-2</v>
      </c>
      <c r="EN163" s="456">
        <f t="shared" si="408"/>
        <v>0.31998715375351261</v>
      </c>
      <c r="EO163">
        <f t="shared" si="409"/>
        <v>8.9999999999999993E-3</v>
      </c>
      <c r="EP163" s="144">
        <f t="shared" si="410"/>
        <v>36.993613154159377</v>
      </c>
      <c r="EQ163" s="144"/>
      <c r="ER163" s="144">
        <f t="shared" si="432"/>
        <v>3083.0978231226777</v>
      </c>
      <c r="ES163" s="456">
        <f t="shared" si="411"/>
        <v>1.484</v>
      </c>
      <c r="EV163" s="144">
        <f t="shared" si="412"/>
        <v>1484</v>
      </c>
      <c r="EW163" s="456">
        <f t="shared" si="413"/>
        <v>0.31295216842105261</v>
      </c>
      <c r="EX163" s="456">
        <f t="shared" si="414"/>
        <v>0.20588958448753467</v>
      </c>
      <c r="EY163" s="456">
        <f t="shared" si="415"/>
        <v>16.688141232989647</v>
      </c>
      <c r="EZ163" s="456"/>
      <c r="FA163" s="456">
        <f t="shared" si="416"/>
        <v>2.7063829787234051</v>
      </c>
      <c r="FB163" s="144">
        <f t="shared" si="417"/>
        <v>19913.36596462164</v>
      </c>
      <c r="FC163" s="150">
        <f t="shared" si="418"/>
        <v>24.480463787744316</v>
      </c>
      <c r="FD163" s="5">
        <f t="shared" si="419"/>
        <v>63.6</v>
      </c>
      <c r="FE163" s="150">
        <f t="shared" si="420"/>
        <v>0.72206704262210553</v>
      </c>
      <c r="FF163" s="5">
        <f t="shared" si="421"/>
        <v>72.20670426221055</v>
      </c>
      <c r="FI163" s="59">
        <f t="shared" si="422"/>
        <v>-50</v>
      </c>
      <c r="FJ163">
        <f t="shared" si="423"/>
        <v>-50</v>
      </c>
      <c r="FL163">
        <f t="shared" si="475"/>
        <v>0.39682539682539686</v>
      </c>
    </row>
    <row r="164" spans="5:168">
      <c r="E164" s="147">
        <v>54</v>
      </c>
      <c r="F164" s="188">
        <f t="shared" si="476"/>
        <v>2.16</v>
      </c>
      <c r="G164" s="188"/>
      <c r="H164" s="188">
        <f t="shared" si="442"/>
        <v>64.800000000000011</v>
      </c>
      <c r="I164" s="465">
        <f t="shared" si="443"/>
        <v>19.854084258036892</v>
      </c>
      <c r="J164" s="149">
        <f t="shared" si="444"/>
        <v>30.478570014903209</v>
      </c>
      <c r="K164" s="149">
        <f t="shared" si="445"/>
        <v>50.332654272940104</v>
      </c>
      <c r="L164" s="379"/>
      <c r="M164" s="188">
        <f t="shared" si="446"/>
        <v>0.60552413606957955</v>
      </c>
      <c r="N164" s="149">
        <f t="shared" si="447"/>
        <v>182.92081251635869</v>
      </c>
      <c r="O164" s="149">
        <f t="shared" si="438"/>
        <v>64.800000000000011</v>
      </c>
      <c r="P164" s="188">
        <f t="shared" si="448"/>
        <v>6.0973604172119567</v>
      </c>
      <c r="Q164" s="188">
        <f t="shared" si="449"/>
        <v>30</v>
      </c>
      <c r="R164" s="188"/>
      <c r="S164" s="149">
        <f t="shared" si="450"/>
        <v>119.48042983511066</v>
      </c>
      <c r="T164" s="149">
        <f t="shared" si="451"/>
        <v>30</v>
      </c>
      <c r="U164" s="188">
        <f t="shared" si="452"/>
        <v>10.951240354624034</v>
      </c>
      <c r="V164" s="188">
        <f t="shared" si="453"/>
        <v>2.5924554866285345</v>
      </c>
      <c r="W164" s="188">
        <f t="shared" si="454"/>
        <v>1.6887547428099512</v>
      </c>
      <c r="X164" s="172">
        <f t="shared" si="455"/>
        <v>350</v>
      </c>
      <c r="Y164" s="379">
        <f t="shared" si="328"/>
        <v>223.15400278047301</v>
      </c>
      <c r="AA164" s="188">
        <f t="shared" si="456"/>
        <v>7.3085077534658929</v>
      </c>
      <c r="AB164" s="150">
        <f t="shared" si="457"/>
        <v>1.1270209338723394</v>
      </c>
      <c r="AC164" s="150">
        <f t="shared" si="458"/>
        <v>1.4414472158667637</v>
      </c>
      <c r="AD164" s="150"/>
      <c r="AE164" s="150">
        <f t="shared" si="459"/>
        <v>0.93458611972018868</v>
      </c>
      <c r="AF164" s="314">
        <f t="shared" si="460"/>
        <v>762.69054821123336</v>
      </c>
      <c r="AG164" s="456">
        <f t="shared" si="461"/>
        <v>0.99122770273353333</v>
      </c>
      <c r="AI164" s="150">
        <f t="shared" si="462"/>
        <v>8.9465628204655285</v>
      </c>
      <c r="AJ164" s="150">
        <f t="shared" si="463"/>
        <v>10.951240354624034</v>
      </c>
      <c r="AK164" s="150">
        <f t="shared" si="464"/>
        <v>4.8226920696429429</v>
      </c>
      <c r="AM164" s="314">
        <f t="shared" si="465"/>
        <v>2160</v>
      </c>
      <c r="AN164" s="144">
        <f t="shared" si="466"/>
        <v>223.15400278047301</v>
      </c>
      <c r="AP164">
        <f t="shared" si="467"/>
        <v>2160</v>
      </c>
      <c r="AQ164">
        <f t="shared" si="468"/>
        <v>223.15400278047301</v>
      </c>
      <c r="AS164" s="5">
        <f t="shared" si="439"/>
        <v>4.4812102294384859</v>
      </c>
      <c r="AT164" s="5">
        <f t="shared" si="469"/>
        <v>2.5924554866285345</v>
      </c>
      <c r="AU164" s="5">
        <f t="shared" si="343"/>
        <v>1.8887547428099514</v>
      </c>
      <c r="AV164" s="5"/>
      <c r="AW164" s="150">
        <f t="shared" si="344"/>
        <v>0.57851681887135653</v>
      </c>
      <c r="AX164" s="150">
        <f t="shared" si="435"/>
        <v>62.892544432459701</v>
      </c>
      <c r="AY164" s="150">
        <f t="shared" si="436"/>
        <v>2.3078818109856556</v>
      </c>
      <c r="AZ164" s="150">
        <f t="shared" si="440"/>
        <v>27.251198104290879</v>
      </c>
      <c r="BA164" s="144">
        <f t="shared" si="433"/>
        <v>18.66567950372545</v>
      </c>
      <c r="BB164" s="5">
        <f t="shared" si="434"/>
        <v>3.6262003188570819</v>
      </c>
      <c r="BD164" s="150">
        <f t="shared" si="441"/>
        <v>4.8090653444097331</v>
      </c>
      <c r="BE164" s="150">
        <f t="shared" si="437"/>
        <v>4.1048076221400773</v>
      </c>
      <c r="BG164" s="456">
        <f t="shared" si="347"/>
        <v>0.27752531384163248</v>
      </c>
      <c r="BH164" s="456">
        <f t="shared" si="470"/>
        <v>2.2448157164995788</v>
      </c>
      <c r="BI164" s="456">
        <f t="shared" si="349"/>
        <v>2.5662710319754398E-2</v>
      </c>
      <c r="BJ164" s="456">
        <f t="shared" si="350"/>
        <v>0.29255983483544851</v>
      </c>
      <c r="BK164">
        <f t="shared" si="351"/>
        <v>8.9343379161166015E-3</v>
      </c>
      <c r="BL164" s="144">
        <f t="shared" si="427"/>
        <v>34.597048235871</v>
      </c>
      <c r="BM164" s="456">
        <f t="shared" si="471"/>
        <v>3.0938405937384736</v>
      </c>
      <c r="BN164" s="144">
        <f t="shared" si="353"/>
        <v>3093.8405937384737</v>
      </c>
      <c r="BO164" s="456">
        <f t="shared" si="354"/>
        <v>1.512</v>
      </c>
      <c r="BR164" s="144">
        <f t="shared" si="355"/>
        <v>1512</v>
      </c>
      <c r="BS164" s="456">
        <f t="shared" si="356"/>
        <v>0.32377953281523786</v>
      </c>
      <c r="BT164" s="456">
        <f t="shared" si="357"/>
        <v>0.23589223860690989</v>
      </c>
      <c r="BU164" s="456">
        <f t="shared" si="358"/>
        <v>14.761822695894914</v>
      </c>
      <c r="BV164" s="456"/>
      <c r="BW164" s="456">
        <f t="shared" si="359"/>
        <v>2.6762784864876474</v>
      </c>
      <c r="BX164" s="144">
        <f t="shared" si="360"/>
        <v>17997.77295380471</v>
      </c>
      <c r="BY164" s="150">
        <f t="shared" si="361"/>
        <v>22.359270867217241</v>
      </c>
      <c r="BZ164" s="5">
        <f t="shared" si="362"/>
        <v>64.800000000000011</v>
      </c>
      <c r="CA164" s="150">
        <f t="shared" si="363"/>
        <v>0.74346652232462496</v>
      </c>
      <c r="CB164" s="5">
        <f t="shared" si="364"/>
        <v>74.346652232462489</v>
      </c>
      <c r="CE164" s="59">
        <f t="shared" si="472"/>
        <v>-50</v>
      </c>
      <c r="CF164">
        <f t="shared" si="473"/>
        <v>-50</v>
      </c>
      <c r="CG164" s="150">
        <f t="shared" si="474"/>
        <v>0.38487965208167335</v>
      </c>
      <c r="CI164" s="147">
        <v>54</v>
      </c>
      <c r="CJ164" s="188">
        <f t="shared" si="428"/>
        <v>2.16</v>
      </c>
      <c r="CK164" s="188"/>
      <c r="CL164" s="188">
        <f t="shared" si="368"/>
        <v>64.800000000000011</v>
      </c>
      <c r="CM164" s="465">
        <f t="shared" si="369"/>
        <v>20</v>
      </c>
      <c r="CN164" s="379">
        <f t="shared" si="370"/>
        <v>30.4</v>
      </c>
      <c r="CO164" s="379">
        <f t="shared" si="371"/>
        <v>50.4</v>
      </c>
      <c r="CP164" s="379"/>
      <c r="CQ164" s="188">
        <f t="shared" si="372"/>
        <v>0.60317460317460314</v>
      </c>
      <c r="CR164" s="149">
        <f t="shared" si="429"/>
        <v>183.55019291189507</v>
      </c>
      <c r="CS164" s="149">
        <f t="shared" si="373"/>
        <v>64.800000000000011</v>
      </c>
      <c r="CT164" s="188">
        <f t="shared" si="374"/>
        <v>6.1183397637298356</v>
      </c>
      <c r="CU164" s="188">
        <f t="shared" si="375"/>
        <v>30</v>
      </c>
      <c r="CV164" s="188"/>
      <c r="CW164" s="149">
        <f t="shared" si="376"/>
        <v>120.35805512710785</v>
      </c>
      <c r="CX164" s="149">
        <f t="shared" si="377"/>
        <v>30</v>
      </c>
      <c r="CY164" s="188">
        <f t="shared" si="378"/>
        <v>10.743157894736845</v>
      </c>
      <c r="CZ164" s="188">
        <f t="shared" si="379"/>
        <v>2.5246421052631582</v>
      </c>
      <c r="DA164" s="188">
        <f t="shared" si="380"/>
        <v>1.6609487534626042</v>
      </c>
      <c r="DB164" s="172">
        <f t="shared" si="381"/>
        <v>350</v>
      </c>
      <c r="DC164" s="379">
        <f t="shared" si="382"/>
        <v>238.91489487446808</v>
      </c>
      <c r="DE164" s="188">
        <f t="shared" si="383"/>
        <v>7.3334298258310406</v>
      </c>
      <c r="DF164" s="150">
        <f t="shared" si="384"/>
        <v>1.1337868480725624</v>
      </c>
      <c r="DG164" s="150">
        <f t="shared" si="385"/>
        <v>1.4550456003633017</v>
      </c>
      <c r="DH164" s="150"/>
      <c r="DI164" s="150">
        <f t="shared" si="386"/>
        <v>0.93700159489633172</v>
      </c>
      <c r="DJ164" s="314">
        <f t="shared" si="387"/>
        <v>760.7244255319149</v>
      </c>
      <c r="DK164" s="456">
        <f t="shared" si="388"/>
        <v>0.99378957034459414</v>
      </c>
      <c r="DM164" s="150">
        <f t="shared" si="389"/>
        <v>8.9350238083581548</v>
      </c>
      <c r="DN164" s="150">
        <f t="shared" si="390"/>
        <v>10.743157894736845</v>
      </c>
      <c r="DO164" s="150">
        <f t="shared" si="391"/>
        <v>4.6685569141709511</v>
      </c>
      <c r="DQ164" s="314">
        <f t="shared" si="392"/>
        <v>2160</v>
      </c>
      <c r="DR164" s="144">
        <f t="shared" si="393"/>
        <v>238.91489487446808</v>
      </c>
      <c r="DT164">
        <f t="shared" si="430"/>
        <v>2160</v>
      </c>
      <c r="DU164">
        <f t="shared" si="431"/>
        <v>238.91489487446808</v>
      </c>
      <c r="DW164" s="5">
        <f t="shared" si="394"/>
        <v>4.185590858725762</v>
      </c>
      <c r="DX164" s="5">
        <f t="shared" si="395"/>
        <v>2.5246421052631582</v>
      </c>
      <c r="DY164" s="5">
        <f t="shared" si="396"/>
        <v>1.6609487534626037</v>
      </c>
      <c r="DZ164" s="5"/>
      <c r="EA164" s="150">
        <f t="shared" si="397"/>
        <v>0.60317460317460325</v>
      </c>
      <c r="EB164" s="150">
        <f t="shared" si="398"/>
        <v>64.800000000000026</v>
      </c>
      <c r="EC164" s="150">
        <f t="shared" si="399"/>
        <v>2.1315789473684212</v>
      </c>
      <c r="ED164" s="150">
        <f t="shared" si="400"/>
        <v>30.400000000000009</v>
      </c>
      <c r="EE164" s="144">
        <f t="shared" si="401"/>
        <v>18.17742315789474</v>
      </c>
      <c r="EF164" s="5">
        <f t="shared" si="402"/>
        <v>3.1655729183640218</v>
      </c>
      <c r="EH164" s="150">
        <f t="shared" si="403"/>
        <v>4.8171797820541835</v>
      </c>
      <c r="EI164" s="150">
        <f t="shared" si="404"/>
        <v>3.9072487504360325</v>
      </c>
      <c r="EK164" s="456">
        <f t="shared" si="405"/>
        <v>0.2784626526315791</v>
      </c>
      <c r="EL164" s="456">
        <f t="shared" si="406"/>
        <v>2.4578723404255327</v>
      </c>
      <c r="EM164" s="456">
        <f t="shared" si="407"/>
        <v>2.7475212910563832E-2</v>
      </c>
      <c r="EN164" s="456">
        <f t="shared" si="408"/>
        <v>0.31406146572104016</v>
      </c>
      <c r="EO164">
        <f t="shared" si="409"/>
        <v>8.9999999999999993E-3</v>
      </c>
      <c r="EP164" s="144">
        <f t="shared" si="410"/>
        <v>36.475212910563833</v>
      </c>
      <c r="EQ164" s="144"/>
      <c r="ER164" s="144">
        <f t="shared" si="432"/>
        <v>3086.8716716887157</v>
      </c>
      <c r="ES164" s="456">
        <f t="shared" si="411"/>
        <v>1.512</v>
      </c>
      <c r="EV164" s="144">
        <f t="shared" si="412"/>
        <v>1512</v>
      </c>
      <c r="EW164" s="456">
        <f t="shared" si="413"/>
        <v>0.32487309473684228</v>
      </c>
      <c r="EX164" s="456">
        <f t="shared" si="414"/>
        <v>0.21373229916897513</v>
      </c>
      <c r="EY164" s="456">
        <f t="shared" si="415"/>
        <v>16.688141232989661</v>
      </c>
      <c r="EZ164" s="456"/>
      <c r="FA164" s="456">
        <f t="shared" si="416"/>
        <v>2.7574468085106396</v>
      </c>
      <c r="FB164" s="144">
        <f t="shared" si="417"/>
        <v>19984.19343540612</v>
      </c>
      <c r="FC164" s="150">
        <f t="shared" si="418"/>
        <v>24.583065107094836</v>
      </c>
      <c r="FD164" s="5">
        <f t="shared" si="419"/>
        <v>64.800000000000011</v>
      </c>
      <c r="FE164" s="150">
        <f t="shared" si="420"/>
        <v>0.72496954453687068</v>
      </c>
      <c r="FF164" s="5">
        <f t="shared" si="421"/>
        <v>72.496954453687067</v>
      </c>
      <c r="FI164" s="59">
        <f t="shared" si="422"/>
        <v>-50</v>
      </c>
      <c r="FJ164">
        <f t="shared" si="423"/>
        <v>-50</v>
      </c>
      <c r="FL164">
        <f t="shared" si="475"/>
        <v>0.39682539682539675</v>
      </c>
    </row>
    <row r="165" spans="5:168">
      <c r="E165" s="147">
        <v>55</v>
      </c>
      <c r="F165" s="188">
        <f t="shared" si="476"/>
        <v>2.2000000000000002</v>
      </c>
      <c r="G165" s="188"/>
      <c r="H165" s="188">
        <f t="shared" si="442"/>
        <v>66</v>
      </c>
      <c r="I165" s="465">
        <f t="shared" si="443"/>
        <v>19.851465935438966</v>
      </c>
      <c r="J165" s="149">
        <f t="shared" si="444"/>
        <v>30.47997988091748</v>
      </c>
      <c r="K165" s="149">
        <f t="shared" si="445"/>
        <v>50.33144581635645</v>
      </c>
      <c r="L165" s="379"/>
      <c r="M165" s="188">
        <f t="shared" si="446"/>
        <v>0.60556669877459735</v>
      </c>
      <c r="N165" s="149">
        <f t="shared" si="447"/>
        <v>182.90954516634892</v>
      </c>
      <c r="O165" s="149">
        <f t="shared" si="438"/>
        <v>66</v>
      </c>
      <c r="P165" s="188">
        <f t="shared" si="448"/>
        <v>6.0969848388782975</v>
      </c>
      <c r="Q165" s="188">
        <f t="shared" si="449"/>
        <v>30</v>
      </c>
      <c r="R165" s="188"/>
      <c r="S165" s="149">
        <f t="shared" si="450"/>
        <v>116.9342939173869</v>
      </c>
      <c r="T165" s="149">
        <f t="shared" si="451"/>
        <v>30</v>
      </c>
      <c r="U165" s="188">
        <f t="shared" si="452"/>
        <v>11.155244717751605</v>
      </c>
      <c r="V165" s="188">
        <f t="shared" si="453"/>
        <v>2.6410971534265788</v>
      </c>
      <c r="W165" s="188">
        <f t="shared" si="454"/>
        <v>1.7201340151230557</v>
      </c>
      <c r="X165" s="172">
        <f t="shared" si="455"/>
        <v>350</v>
      </c>
      <c r="Y165" s="379">
        <f t="shared" si="328"/>
        <v>219.23905258193187</v>
      </c>
      <c r="AA165" s="188">
        <f t="shared" si="456"/>
        <v>7.3080574115964465</v>
      </c>
      <c r="AB165" s="150">
        <f t="shared" si="457"/>
        <v>1.1268993604555291</v>
      </c>
      <c r="AC165" s="150">
        <f t="shared" si="458"/>
        <v>1.4412029140775566</v>
      </c>
      <c r="AD165" s="150"/>
      <c r="AE165" s="150">
        <f t="shared" si="459"/>
        <v>0.93454288999324164</v>
      </c>
      <c r="AF165" s="314">
        <f t="shared" si="460"/>
        <v>776.85038083725647</v>
      </c>
      <c r="AG165" s="456">
        <f t="shared" si="461"/>
        <v>0.991181853023135</v>
      </c>
      <c r="AI165" s="150">
        <f t="shared" si="462"/>
        <v>9.0292301918698037</v>
      </c>
      <c r="AJ165" s="150">
        <f t="shared" si="463"/>
        <v>11.155244717751605</v>
      </c>
      <c r="AK165" s="150">
        <f t="shared" si="464"/>
        <v>4.9738064127004042</v>
      </c>
      <c r="AM165" s="314">
        <f t="shared" si="465"/>
        <v>2200</v>
      </c>
      <c r="AN165" s="144">
        <f t="shared" si="466"/>
        <v>219.23905258193187</v>
      </c>
      <c r="AP165">
        <f t="shared" si="467"/>
        <v>2200</v>
      </c>
      <c r="AQ165">
        <f t="shared" si="468"/>
        <v>219.23905258193187</v>
      </c>
      <c r="AS165" s="5">
        <f t="shared" si="439"/>
        <v>4.561231168549635</v>
      </c>
      <c r="AT165" s="5">
        <f t="shared" si="469"/>
        <v>2.6410971534265788</v>
      </c>
      <c r="AU165" s="5">
        <f t="shared" si="343"/>
        <v>1.9201340151230561</v>
      </c>
      <c r="AV165" s="5"/>
      <c r="AW165" s="150">
        <f t="shared" si="344"/>
        <v>0.57903163769408028</v>
      </c>
      <c r="AX165" s="150">
        <f t="shared" si="435"/>
        <v>64.11268762077691</v>
      </c>
      <c r="AY165" s="150">
        <f t="shared" si="436"/>
        <v>2.3480025499768273</v>
      </c>
      <c r="AZ165" s="150">
        <f t="shared" si="440"/>
        <v>27.305203574591367</v>
      </c>
      <c r="BA165" s="144">
        <f t="shared" si="433"/>
        <v>19.368045791794913</v>
      </c>
      <c r="BB165" s="5">
        <f t="shared" si="434"/>
        <v>3.7552077843067062</v>
      </c>
      <c r="BD165" s="150">
        <f t="shared" si="441"/>
        <v>4.9008298150120284</v>
      </c>
      <c r="BE165" s="150">
        <f t="shared" si="437"/>
        <v>4.1787193447192497</v>
      </c>
      <c r="BG165" s="456">
        <f t="shared" si="347"/>
        <v>0.28821759450853002</v>
      </c>
      <c r="BH165" s="456">
        <f t="shared" si="470"/>
        <v>2.2464631218116766</v>
      </c>
      <c r="BI165" s="456">
        <f t="shared" si="349"/>
        <v>2.5212491046922168E-2</v>
      </c>
      <c r="BJ165" s="456">
        <f t="shared" si="350"/>
        <v>0.28741344676543801</v>
      </c>
      <c r="BK165">
        <f t="shared" si="351"/>
        <v>8.9331596709475349E-3</v>
      </c>
      <c r="BL165" s="144">
        <f t="shared" si="427"/>
        <v>34.1456507178697</v>
      </c>
      <c r="BM165" s="456">
        <f t="shared" si="471"/>
        <v>3.1130995271919844</v>
      </c>
      <c r="BN165" s="144">
        <f t="shared" si="353"/>
        <v>3113.0995271919842</v>
      </c>
      <c r="BO165" s="456">
        <f t="shared" si="354"/>
        <v>1.54</v>
      </c>
      <c r="BR165" s="144">
        <f t="shared" si="355"/>
        <v>1540</v>
      </c>
      <c r="BS165" s="456">
        <f t="shared" si="356"/>
        <v>0.33625386025995169</v>
      </c>
      <c r="BT165" s="456">
        <f t="shared" si="357"/>
        <v>0.24446373506703226</v>
      </c>
      <c r="BU165" s="456">
        <f t="shared" si="358"/>
        <v>14.78980851084547</v>
      </c>
      <c r="BV165" s="456"/>
      <c r="BW165" s="456">
        <f t="shared" si="359"/>
        <v>2.7281994732245494</v>
      </c>
      <c r="BX165" s="144">
        <f t="shared" si="360"/>
        <v>18098.725579397003</v>
      </c>
      <c r="BY165" s="150">
        <f t="shared" si="361"/>
        <v>22.494965393200516</v>
      </c>
      <c r="BZ165" s="5">
        <f t="shared" si="362"/>
        <v>66</v>
      </c>
      <c r="CA165" s="150">
        <f t="shared" si="363"/>
        <v>0.74580513938560267</v>
      </c>
      <c r="CB165" s="5">
        <f t="shared" si="364"/>
        <v>74.580513938560273</v>
      </c>
      <c r="CE165" s="59">
        <f t="shared" si="472"/>
        <v>-50</v>
      </c>
      <c r="CF165">
        <f t="shared" si="473"/>
        <v>-50</v>
      </c>
      <c r="CG165" s="150">
        <f t="shared" si="474"/>
        <v>0.38509684744065026</v>
      </c>
      <c r="CI165" s="147">
        <v>55</v>
      </c>
      <c r="CJ165" s="188">
        <f t="shared" si="428"/>
        <v>2.2000000000000002</v>
      </c>
      <c r="CK165" s="188"/>
      <c r="CL165" s="188">
        <f t="shared" si="368"/>
        <v>66</v>
      </c>
      <c r="CM165" s="465">
        <f t="shared" si="369"/>
        <v>20</v>
      </c>
      <c r="CN165" s="379">
        <f t="shared" si="370"/>
        <v>30.4</v>
      </c>
      <c r="CO165" s="379">
        <f t="shared" si="371"/>
        <v>50.4</v>
      </c>
      <c r="CP165" s="379"/>
      <c r="CQ165" s="188">
        <f t="shared" si="372"/>
        <v>0.60317460317460314</v>
      </c>
      <c r="CR165" s="149">
        <f t="shared" si="429"/>
        <v>183.55019291189507</v>
      </c>
      <c r="CS165" s="149">
        <f t="shared" si="373"/>
        <v>66</v>
      </c>
      <c r="CT165" s="188">
        <f t="shared" si="374"/>
        <v>6.1183397637298356</v>
      </c>
      <c r="CU165" s="188">
        <f t="shared" si="375"/>
        <v>30</v>
      </c>
      <c r="CV165" s="188"/>
      <c r="CW165" s="149">
        <f t="shared" si="376"/>
        <v>117.80872373216616</v>
      </c>
      <c r="CX165" s="149">
        <f t="shared" si="377"/>
        <v>30</v>
      </c>
      <c r="CY165" s="188">
        <f t="shared" si="378"/>
        <v>10.942105263157895</v>
      </c>
      <c r="CZ165" s="188">
        <f t="shared" si="379"/>
        <v>2.5713947368421053</v>
      </c>
      <c r="DA165" s="188">
        <f t="shared" si="380"/>
        <v>1.6917070637119114</v>
      </c>
      <c r="DB165" s="172">
        <f t="shared" si="381"/>
        <v>350</v>
      </c>
      <c r="DC165" s="379">
        <f t="shared" si="382"/>
        <v>234.57098769493231</v>
      </c>
      <c r="DE165" s="188">
        <f t="shared" si="383"/>
        <v>7.3334298258310406</v>
      </c>
      <c r="DF165" s="150">
        <f t="shared" si="384"/>
        <v>1.1337868480725624</v>
      </c>
      <c r="DG165" s="150">
        <f t="shared" si="385"/>
        <v>1.4550456003633017</v>
      </c>
      <c r="DH165" s="150"/>
      <c r="DI165" s="150">
        <f t="shared" si="386"/>
        <v>0.93700159489633172</v>
      </c>
      <c r="DJ165" s="314">
        <f t="shared" si="387"/>
        <v>774.8119148936172</v>
      </c>
      <c r="DK165" s="456">
        <f t="shared" si="388"/>
        <v>0.99378957034459414</v>
      </c>
      <c r="DM165" s="150">
        <f t="shared" si="389"/>
        <v>9.0173759990816951</v>
      </c>
      <c r="DN165" s="150">
        <f t="shared" si="390"/>
        <v>10.942105263157895</v>
      </c>
      <c r="DO165" s="150">
        <f t="shared" si="391"/>
        <v>4.8159253352235813</v>
      </c>
      <c r="DQ165" s="314">
        <f t="shared" si="392"/>
        <v>2200</v>
      </c>
      <c r="DR165" s="144">
        <f t="shared" si="393"/>
        <v>234.57098769493231</v>
      </c>
      <c r="DT165">
        <f t="shared" si="430"/>
        <v>2200</v>
      </c>
      <c r="DU165">
        <f t="shared" si="431"/>
        <v>234.57098769493231</v>
      </c>
      <c r="DW165" s="5">
        <f t="shared" si="394"/>
        <v>4.2631018005540167</v>
      </c>
      <c r="DX165" s="5">
        <f t="shared" si="395"/>
        <v>2.5713947368421053</v>
      </c>
      <c r="DY165" s="5">
        <f t="shared" si="396"/>
        <v>1.6917070637119114</v>
      </c>
      <c r="DZ165" s="5"/>
      <c r="EA165" s="150">
        <f t="shared" si="397"/>
        <v>0.60317460317460314</v>
      </c>
      <c r="EB165" s="150">
        <f t="shared" si="398"/>
        <v>66</v>
      </c>
      <c r="EC165" s="150">
        <f t="shared" si="399"/>
        <v>2.1710526315789478</v>
      </c>
      <c r="ED165" s="150">
        <f t="shared" si="400"/>
        <v>30.399999999999995</v>
      </c>
      <c r="EE165" s="144">
        <f t="shared" si="401"/>
        <v>18.856894736842108</v>
      </c>
      <c r="EF165" s="5">
        <f t="shared" si="402"/>
        <v>3.2839019472054747</v>
      </c>
      <c r="EH165" s="150">
        <f t="shared" si="403"/>
        <v>4.9063868150551855</v>
      </c>
      <c r="EI165" s="150">
        <f t="shared" si="404"/>
        <v>3.9796052087774401</v>
      </c>
      <c r="EK165" s="456">
        <f t="shared" si="405"/>
        <v>0.28887157894736842</v>
      </c>
      <c r="EL165" s="456">
        <f t="shared" si="406"/>
        <v>2.4578723404255323</v>
      </c>
      <c r="EM165" s="456">
        <f t="shared" si="407"/>
        <v>2.6975663584917219E-2</v>
      </c>
      <c r="EN165" s="456">
        <f t="shared" si="408"/>
        <v>0.30835125725338491</v>
      </c>
      <c r="EO165">
        <f t="shared" si="409"/>
        <v>8.9999999999999993E-3</v>
      </c>
      <c r="EP165" s="144">
        <f t="shared" si="410"/>
        <v>35.975663584917214</v>
      </c>
      <c r="EQ165" s="144"/>
      <c r="ER165" s="144">
        <f t="shared" si="432"/>
        <v>3091.0708402112032</v>
      </c>
      <c r="ES165" s="456">
        <f t="shared" si="411"/>
        <v>1.54</v>
      </c>
      <c r="EV165" s="144">
        <f t="shared" si="412"/>
        <v>1540</v>
      </c>
      <c r="EW165" s="456">
        <f t="shared" si="413"/>
        <v>0.33701684210526311</v>
      </c>
      <c r="EX165" s="456">
        <f t="shared" si="414"/>
        <v>0.22172160664819945</v>
      </c>
      <c r="EY165" s="456">
        <f t="shared" si="415"/>
        <v>16.688141232989647</v>
      </c>
      <c r="EZ165" s="456"/>
      <c r="FA165" s="456">
        <f t="shared" si="416"/>
        <v>2.8085106382978733</v>
      </c>
      <c r="FB165" s="144">
        <f t="shared" si="417"/>
        <v>20055.390320040984</v>
      </c>
      <c r="FC165" s="150">
        <f t="shared" si="418"/>
        <v>24.686461160252186</v>
      </c>
      <c r="FD165" s="5">
        <f t="shared" si="419"/>
        <v>66</v>
      </c>
      <c r="FE165" s="150">
        <f t="shared" si="420"/>
        <v>0.72778228586261962</v>
      </c>
      <c r="FF165" s="5">
        <f t="shared" si="421"/>
        <v>72.77822858626196</v>
      </c>
      <c r="FI165" s="59">
        <f t="shared" si="422"/>
        <v>-50</v>
      </c>
      <c r="FJ165">
        <f t="shared" si="423"/>
        <v>-50</v>
      </c>
      <c r="FL165">
        <f t="shared" si="475"/>
        <v>0.39682539682539686</v>
      </c>
    </row>
    <row r="166" spans="5:168">
      <c r="E166" s="147">
        <v>56</v>
      </c>
      <c r="F166" s="188">
        <f t="shared" si="476"/>
        <v>2.2400000000000002</v>
      </c>
      <c r="G166" s="188"/>
      <c r="H166" s="188">
        <f t="shared" si="442"/>
        <v>67.2</v>
      </c>
      <c r="I166" s="465">
        <f t="shared" si="443"/>
        <v>19.848847521717239</v>
      </c>
      <c r="J166" s="149">
        <f t="shared" si="444"/>
        <v>30.48138979599841</v>
      </c>
      <c r="K166" s="149">
        <f t="shared" si="445"/>
        <v>50.33023731771565</v>
      </c>
      <c r="L166" s="379"/>
      <c r="M166" s="188">
        <f t="shared" si="446"/>
        <v>0.60560926461788056</v>
      </c>
      <c r="N166" s="149">
        <f t="shared" si="447"/>
        <v>182.89827453316821</v>
      </c>
      <c r="O166" s="149">
        <f t="shared" si="438"/>
        <v>67.2</v>
      </c>
      <c r="P166" s="188">
        <f t="shared" si="448"/>
        <v>6.0966091511056071</v>
      </c>
      <c r="Q166" s="188">
        <f t="shared" si="449"/>
        <v>30</v>
      </c>
      <c r="R166" s="188"/>
      <c r="S166" s="149">
        <f t="shared" si="450"/>
        <v>114.47924396803649</v>
      </c>
      <c r="T166" s="149">
        <f t="shared" si="451"/>
        <v>30</v>
      </c>
      <c r="U166" s="188">
        <f t="shared" si="452"/>
        <v>11.359293203628107</v>
      </c>
      <c r="V166" s="188">
        <f t="shared" si="453"/>
        <v>2.6897621133236025</v>
      </c>
      <c r="W166" s="188">
        <f t="shared" si="454"/>
        <v>1.7515171852190596</v>
      </c>
      <c r="X166" s="172">
        <f t="shared" si="455"/>
        <v>350</v>
      </c>
      <c r="Y166" s="379">
        <f t="shared" si="328"/>
        <v>215.45783730662248</v>
      </c>
      <c r="AA166" s="188">
        <f t="shared" si="456"/>
        <v>7.3076069432487847</v>
      </c>
      <c r="AB166" s="150">
        <f t="shared" si="457"/>
        <v>1.1267777769692835</v>
      </c>
      <c r="AC166" s="150">
        <f t="shared" si="458"/>
        <v>1.4409585936338543</v>
      </c>
      <c r="AD166" s="150"/>
      <c r="AE166" s="150">
        <f t="shared" si="459"/>
        <v>0.93449966276104524</v>
      </c>
      <c r="AF166" s="314">
        <f t="shared" si="460"/>
        <v>791.01152141241175</v>
      </c>
      <c r="AG166" s="456">
        <f t="shared" si="461"/>
        <v>0.99113600595868434</v>
      </c>
      <c r="AI166" s="150">
        <f t="shared" si="462"/>
        <v>9.1111550682920424</v>
      </c>
      <c r="AJ166" s="150">
        <f t="shared" si="463"/>
        <v>11.359293203628107</v>
      </c>
      <c r="AK166" s="150">
        <f t="shared" si="464"/>
        <v>5.1249534392755898</v>
      </c>
      <c r="AM166" s="314">
        <f t="shared" si="465"/>
        <v>2240</v>
      </c>
      <c r="AN166" s="144">
        <f t="shared" si="466"/>
        <v>215.45783730662248</v>
      </c>
      <c r="AP166">
        <f t="shared" si="467"/>
        <v>2240</v>
      </c>
      <c r="AQ166">
        <f t="shared" si="468"/>
        <v>215.45783730662248</v>
      </c>
      <c r="AS166" s="5">
        <f t="shared" si="439"/>
        <v>4.6412792985426625</v>
      </c>
      <c r="AT166" s="5">
        <f t="shared" si="469"/>
        <v>2.6897621133236025</v>
      </c>
      <c r="AU166" s="5">
        <f t="shared" si="343"/>
        <v>1.95151718521906</v>
      </c>
      <c r="AV166" s="5"/>
      <c r="AW166" s="150">
        <f t="shared" si="344"/>
        <v>0.57953032780599389</v>
      </c>
      <c r="AX166" s="150">
        <f t="shared" si="435"/>
        <v>65.33302660697295</v>
      </c>
      <c r="AY166" s="150">
        <f t="shared" si="436"/>
        <v>2.3881191448425558</v>
      </c>
      <c r="AZ166" s="150">
        <f t="shared" si="440"/>
        <v>27.35752391084333</v>
      </c>
      <c r="BA166" s="144">
        <f t="shared" si="433"/>
        <v>20.083557112816234</v>
      </c>
      <c r="BB166" s="5">
        <f t="shared" si="434"/>
        <v>3.8864889407820886</v>
      </c>
      <c r="BD166" s="150">
        <f t="shared" si="441"/>
        <v>4.9926229226417416</v>
      </c>
      <c r="BE166" s="150">
        <f t="shared" si="437"/>
        <v>4.2526341304705264</v>
      </c>
      <c r="BG166" s="456">
        <f t="shared" si="347"/>
        <v>0.29911540377225321</v>
      </c>
      <c r="BH166" s="456">
        <f t="shared" si="470"/>
        <v>2.2480473417217754</v>
      </c>
      <c r="BI166" s="456">
        <f t="shared" si="349"/>
        <v>2.4777651290261587E-2</v>
      </c>
      <c r="BJ166" s="456">
        <f t="shared" si="350"/>
        <v>0.28244286406948416</v>
      </c>
      <c r="BK166">
        <f t="shared" si="351"/>
        <v>8.9319813847727574E-3</v>
      </c>
      <c r="BL166" s="144">
        <f t="shared" si="427"/>
        <v>33.709632675034342</v>
      </c>
      <c r="BM166" s="456">
        <f t="shared" si="471"/>
        <v>3.1330306960017245</v>
      </c>
      <c r="BN166" s="144">
        <f t="shared" si="353"/>
        <v>3133.0306960017247</v>
      </c>
      <c r="BO166" s="456">
        <f t="shared" si="354"/>
        <v>1.5680000000000001</v>
      </c>
      <c r="BR166" s="144">
        <f t="shared" si="355"/>
        <v>1568</v>
      </c>
      <c r="BS166" s="456">
        <f t="shared" si="356"/>
        <v>0.34896797106762872</v>
      </c>
      <c r="BT166" s="456">
        <f t="shared" si="357"/>
        <v>0.25318855866699935</v>
      </c>
      <c r="BU166" s="456">
        <f t="shared" si="358"/>
        <v>14.816786359713381</v>
      </c>
      <c r="BV166" s="456"/>
      <c r="BW166" s="456">
        <f t="shared" si="359"/>
        <v>2.7801287917860829</v>
      </c>
      <c r="BX166" s="144">
        <f t="shared" si="360"/>
        <v>18199.071681234091</v>
      </c>
      <c r="BY166" s="150">
        <f t="shared" si="361"/>
        <v>22.630386923472642</v>
      </c>
      <c r="BZ166" s="5">
        <f t="shared" si="362"/>
        <v>67.2</v>
      </c>
      <c r="CA166" s="150">
        <f t="shared" si="363"/>
        <v>0.74807648393241721</v>
      </c>
      <c r="CB166" s="5">
        <f t="shared" si="364"/>
        <v>74.80764839324172</v>
      </c>
      <c r="CE166" s="59">
        <f t="shared" si="472"/>
        <v>-50</v>
      </c>
      <c r="CF166">
        <f t="shared" si="473"/>
        <v>-50</v>
      </c>
      <c r="CG166" s="150">
        <f t="shared" si="474"/>
        <v>0.38530628582252052</v>
      </c>
      <c r="CI166" s="147">
        <v>56</v>
      </c>
      <c r="CJ166" s="188">
        <f t="shared" si="428"/>
        <v>2.2400000000000002</v>
      </c>
      <c r="CK166" s="188"/>
      <c r="CL166" s="188">
        <f t="shared" si="368"/>
        <v>67.2</v>
      </c>
      <c r="CM166" s="465">
        <f t="shared" si="369"/>
        <v>20</v>
      </c>
      <c r="CN166" s="379">
        <f t="shared" si="370"/>
        <v>30.4</v>
      </c>
      <c r="CO166" s="379">
        <f t="shared" si="371"/>
        <v>50.4</v>
      </c>
      <c r="CP166" s="379"/>
      <c r="CQ166" s="188">
        <f t="shared" si="372"/>
        <v>0.60317460317460314</v>
      </c>
      <c r="CR166" s="149">
        <f t="shared" si="429"/>
        <v>183.55019291189507</v>
      </c>
      <c r="CS166" s="149">
        <f t="shared" si="373"/>
        <v>67.2</v>
      </c>
      <c r="CT166" s="188">
        <f t="shared" si="374"/>
        <v>6.1183397637298356</v>
      </c>
      <c r="CU166" s="188">
        <f t="shared" si="375"/>
        <v>30</v>
      </c>
      <c r="CV166" s="188"/>
      <c r="CW166" s="149">
        <f t="shared" si="376"/>
        <v>115.35049945400429</v>
      </c>
      <c r="CX166" s="149">
        <f t="shared" si="377"/>
        <v>30</v>
      </c>
      <c r="CY166" s="188">
        <f t="shared" si="378"/>
        <v>11.141052631578948</v>
      </c>
      <c r="CZ166" s="188">
        <f t="shared" si="379"/>
        <v>2.6181473684210528</v>
      </c>
      <c r="DA166" s="188">
        <f t="shared" si="380"/>
        <v>1.722465373961219</v>
      </c>
      <c r="DB166" s="172">
        <f t="shared" si="381"/>
        <v>350</v>
      </c>
      <c r="DC166" s="379">
        <f t="shared" si="382"/>
        <v>230.38222005752283</v>
      </c>
      <c r="DE166" s="188">
        <f t="shared" si="383"/>
        <v>7.3334298258310406</v>
      </c>
      <c r="DF166" s="150">
        <f t="shared" si="384"/>
        <v>1.1337868480725624</v>
      </c>
      <c r="DG166" s="150">
        <f t="shared" si="385"/>
        <v>1.4550456003633017</v>
      </c>
      <c r="DH166" s="150"/>
      <c r="DI166" s="150">
        <f t="shared" si="386"/>
        <v>0.93700159489633172</v>
      </c>
      <c r="DJ166" s="314">
        <f t="shared" si="387"/>
        <v>788.89940425531927</v>
      </c>
      <c r="DK166" s="456">
        <f t="shared" si="388"/>
        <v>0.99378957034459414</v>
      </c>
      <c r="DM166" s="150">
        <f t="shared" si="389"/>
        <v>9.098982875118633</v>
      </c>
      <c r="DN166" s="150">
        <f t="shared" si="390"/>
        <v>11.141052631578948</v>
      </c>
      <c r="DO166" s="150">
        <f t="shared" si="391"/>
        <v>4.9632937562762125</v>
      </c>
      <c r="DQ166" s="314">
        <f t="shared" si="392"/>
        <v>2240</v>
      </c>
      <c r="DR166" s="144">
        <f t="shared" si="393"/>
        <v>230.38222005752283</v>
      </c>
      <c r="DT166">
        <f t="shared" si="430"/>
        <v>2240</v>
      </c>
      <c r="DU166">
        <f t="shared" si="431"/>
        <v>230.38222005752283</v>
      </c>
      <c r="DW166" s="5">
        <f t="shared" si="394"/>
        <v>4.3406127423822705</v>
      </c>
      <c r="DX166" s="5">
        <f t="shared" si="395"/>
        <v>2.6181473684210528</v>
      </c>
      <c r="DY166" s="5">
        <f t="shared" si="396"/>
        <v>1.7224653739612177</v>
      </c>
      <c r="DZ166" s="5"/>
      <c r="EA166" s="150">
        <f t="shared" si="397"/>
        <v>0.60317460317460336</v>
      </c>
      <c r="EB166" s="150">
        <f t="shared" si="398"/>
        <v>67.2</v>
      </c>
      <c r="EC166" s="150">
        <f t="shared" si="399"/>
        <v>2.2105263157894726</v>
      </c>
      <c r="ED166" s="150">
        <f t="shared" si="400"/>
        <v>30.400000000000016</v>
      </c>
      <c r="EE166" s="144">
        <f t="shared" si="401"/>
        <v>19.548833684210528</v>
      </c>
      <c r="EF166" s="5">
        <f t="shared" si="402"/>
        <v>3.4044021508880538</v>
      </c>
      <c r="EH166" s="150">
        <f t="shared" si="403"/>
        <v>4.9955938480561901</v>
      </c>
      <c r="EI166" s="150">
        <f t="shared" si="404"/>
        <v>4.0519616671188468</v>
      </c>
      <c r="EK166" s="456">
        <f t="shared" si="405"/>
        <v>0.2994714947368422</v>
      </c>
      <c r="EL166" s="456">
        <f t="shared" si="406"/>
        <v>2.4578723404255323</v>
      </c>
      <c r="EM166" s="456">
        <f t="shared" si="407"/>
        <v>2.6493955306615125E-2</v>
      </c>
      <c r="EN166" s="456">
        <f t="shared" si="408"/>
        <v>0.30284498480243166</v>
      </c>
      <c r="EO166">
        <f t="shared" si="409"/>
        <v>8.9999999999999993E-3</v>
      </c>
      <c r="EP166" s="144">
        <f t="shared" si="410"/>
        <v>35.493955306615121</v>
      </c>
      <c r="EQ166" s="144"/>
      <c r="ER166" s="144">
        <f t="shared" si="432"/>
        <v>3095.6827752714207</v>
      </c>
      <c r="ES166" s="456">
        <f t="shared" si="411"/>
        <v>1.5680000000000001</v>
      </c>
      <c r="EV166" s="144">
        <f t="shared" si="412"/>
        <v>1568</v>
      </c>
      <c r="EW166" s="456">
        <f t="shared" si="413"/>
        <v>0.34938341052631594</v>
      </c>
      <c r="EX166" s="456">
        <f t="shared" si="414"/>
        <v>0.22985750692520759</v>
      </c>
      <c r="EY166" s="456">
        <f t="shared" si="415"/>
        <v>16.688141232989633</v>
      </c>
      <c r="EZ166" s="456"/>
      <c r="FA166" s="456">
        <f t="shared" si="416"/>
        <v>2.859574468085107</v>
      </c>
      <c r="FB166" s="144">
        <f t="shared" si="417"/>
        <v>20126.956618526267</v>
      </c>
      <c r="FC166" s="150">
        <f t="shared" si="418"/>
        <v>24.790639393797683</v>
      </c>
      <c r="FD166" s="5">
        <f t="shared" si="419"/>
        <v>67.2</v>
      </c>
      <c r="FE166" s="150">
        <f t="shared" si="420"/>
        <v>0.73050910878363617</v>
      </c>
      <c r="FF166" s="5">
        <f t="shared" si="421"/>
        <v>73.050910878363624</v>
      </c>
      <c r="FI166" s="59">
        <f t="shared" si="422"/>
        <v>-50</v>
      </c>
      <c r="FJ166">
        <f t="shared" si="423"/>
        <v>-50</v>
      </c>
      <c r="FL166">
        <f t="shared" si="475"/>
        <v>0.39682539682539664</v>
      </c>
    </row>
    <row r="167" spans="5:168">
      <c r="E167" s="147">
        <v>57</v>
      </c>
      <c r="F167" s="188">
        <f t="shared" si="476"/>
        <v>2.2799999999999998</v>
      </c>
      <c r="G167" s="188"/>
      <c r="H167" s="188">
        <f t="shared" si="442"/>
        <v>68.399999999999991</v>
      </c>
      <c r="I167" s="465">
        <f t="shared" si="443"/>
        <v>19.84622902180849</v>
      </c>
      <c r="J167" s="149">
        <f t="shared" si="444"/>
        <v>30.482799757487733</v>
      </c>
      <c r="K167" s="149">
        <f t="shared" si="445"/>
        <v>50.329028779296223</v>
      </c>
      <c r="L167" s="379"/>
      <c r="M167" s="188">
        <f t="shared" si="446"/>
        <v>0.60565183354047492</v>
      </c>
      <c r="N167" s="149">
        <f t="shared" si="447"/>
        <v>182.88700064395556</v>
      </c>
      <c r="O167" s="149">
        <f t="shared" si="438"/>
        <v>68.399999999999991</v>
      </c>
      <c r="P167" s="188">
        <f t="shared" si="448"/>
        <v>6.0962333547985184</v>
      </c>
      <c r="Q167" s="188">
        <f t="shared" si="449"/>
        <v>30</v>
      </c>
      <c r="R167" s="188"/>
      <c r="S167" s="149">
        <f t="shared" si="450"/>
        <v>112.11048654493854</v>
      </c>
      <c r="T167" s="149">
        <f t="shared" si="451"/>
        <v>30</v>
      </c>
      <c r="U167" s="188">
        <f t="shared" si="452"/>
        <v>11.563385829684151</v>
      </c>
      <c r="V167" s="188">
        <f t="shared" si="453"/>
        <v>2.7384503796562076</v>
      </c>
      <c r="W167" s="188">
        <f t="shared" si="454"/>
        <v>1.7829042552485881</v>
      </c>
      <c r="X167" s="172">
        <f t="shared" si="455"/>
        <v>350</v>
      </c>
      <c r="Y167" s="379">
        <f t="shared" si="328"/>
        <v>211.80361936954233</v>
      </c>
      <c r="AA167" s="188">
        <f t="shared" si="456"/>
        <v>7.3071563492529892</v>
      </c>
      <c r="AB167" s="150">
        <f t="shared" si="457"/>
        <v>1.1266561836418241</v>
      </c>
      <c r="AC167" s="150">
        <f t="shared" si="458"/>
        <v>1.4407142550016119</v>
      </c>
      <c r="AD167" s="150"/>
      <c r="AE167" s="150">
        <f t="shared" si="459"/>
        <v>0.93445643810495205</v>
      </c>
      <c r="AF167" s="314">
        <f t="shared" si="460"/>
        <v>805.17396993469617</v>
      </c>
      <c r="AG167" s="456">
        <f t="shared" si="461"/>
        <v>0.99109016162646424</v>
      </c>
      <c r="AI167" s="150">
        <f t="shared" si="462"/>
        <v>9.192357301715246</v>
      </c>
      <c r="AJ167" s="150">
        <f t="shared" si="463"/>
        <v>11.563385829684151</v>
      </c>
      <c r="AK167" s="150">
        <f t="shared" si="464"/>
        <v>5.2761331622800673</v>
      </c>
      <c r="AM167" s="314">
        <f t="shared" si="465"/>
        <v>2280</v>
      </c>
      <c r="AN167" s="144">
        <f t="shared" si="466"/>
        <v>211.80361936954233</v>
      </c>
      <c r="AP167">
        <f t="shared" si="467"/>
        <v>2280</v>
      </c>
      <c r="AQ167">
        <f t="shared" si="468"/>
        <v>211.80361936954233</v>
      </c>
      <c r="AS167" s="5">
        <f t="shared" si="439"/>
        <v>4.721354634904797</v>
      </c>
      <c r="AT167" s="5">
        <f t="shared" si="469"/>
        <v>2.7384503796562076</v>
      </c>
      <c r="AU167" s="5">
        <f t="shared" si="343"/>
        <v>1.9829042552485894</v>
      </c>
      <c r="AV167" s="5"/>
      <c r="AW167" s="150">
        <f t="shared" si="344"/>
        <v>0.58001370187508206</v>
      </c>
      <c r="AX167" s="150">
        <f t="shared" si="435"/>
        <v>66.553557217539037</v>
      </c>
      <c r="AY167" s="150">
        <f t="shared" si="436"/>
        <v>2.4282318041995898</v>
      </c>
      <c r="AZ167" s="150">
        <f t="shared" si="440"/>
        <v>27.408238827296337</v>
      </c>
      <c r="BA167" s="144">
        <f t="shared" si="433"/>
        <v>20.812222885387179</v>
      </c>
      <c r="BB167" s="5">
        <f t="shared" si="434"/>
        <v>4.0200451092945544</v>
      </c>
      <c r="BD167" s="150">
        <f t="shared" si="441"/>
        <v>5.0844445574844714</v>
      </c>
      <c r="BE167" s="150">
        <f t="shared" si="437"/>
        <v>4.3265522251842299</v>
      </c>
      <c r="BG167" s="456">
        <f t="shared" si="347"/>
        <v>0.31021891749760155</v>
      </c>
      <c r="BH167" s="456">
        <f t="shared" si="470"/>
        <v>2.2495715580821378</v>
      </c>
      <c r="BI167" s="456">
        <f t="shared" si="349"/>
        <v>2.4357416227497371E-2</v>
      </c>
      <c r="BJ167" s="456">
        <f t="shared" si="350"/>
        <v>0.27763922967263455</v>
      </c>
      <c r="BK167">
        <f t="shared" si="351"/>
        <v>8.9308030598138199E-3</v>
      </c>
      <c r="BL167" s="144">
        <f t="shared" si="427"/>
        <v>33.288219287311186</v>
      </c>
      <c r="BM167" s="456">
        <f t="shared" si="471"/>
        <v>3.1536371464316346</v>
      </c>
      <c r="BN167" s="144">
        <f t="shared" si="353"/>
        <v>3153.6371464316344</v>
      </c>
      <c r="BO167" s="456">
        <f t="shared" si="354"/>
        <v>1.5959999999999999</v>
      </c>
      <c r="BR167" s="144">
        <f t="shared" si="355"/>
        <v>1595.9999999999998</v>
      </c>
      <c r="BS167" s="456">
        <f t="shared" si="356"/>
        <v>0.36192207041386848</v>
      </c>
      <c r="BT167" s="456">
        <f t="shared" si="357"/>
        <v>0.26206675820145253</v>
      </c>
      <c r="BU167" s="456">
        <f t="shared" si="358"/>
        <v>14.842805252846318</v>
      </c>
      <c r="BV167" s="456"/>
      <c r="BW167" s="456">
        <f t="shared" si="359"/>
        <v>2.8320662645761296</v>
      </c>
      <c r="BX167" s="144">
        <f t="shared" si="360"/>
        <v>18298.860346037771</v>
      </c>
      <c r="BY167" s="150">
        <f t="shared" si="361"/>
        <v>22.765578270577453</v>
      </c>
      <c r="BZ167" s="5">
        <f t="shared" si="362"/>
        <v>68.399999999999991</v>
      </c>
      <c r="CA167" s="150">
        <f t="shared" si="363"/>
        <v>0.75028318031384922</v>
      </c>
      <c r="CB167" s="5">
        <f t="shared" si="364"/>
        <v>75.028318031384927</v>
      </c>
      <c r="CE167" s="59">
        <f t="shared" si="472"/>
        <v>-50</v>
      </c>
      <c r="CF167">
        <f t="shared" si="473"/>
        <v>-50</v>
      </c>
      <c r="CG167" s="150">
        <f t="shared" si="474"/>
        <v>0.38550837548923783</v>
      </c>
      <c r="CI167" s="147">
        <v>57</v>
      </c>
      <c r="CJ167" s="188">
        <f t="shared" si="428"/>
        <v>2.2799999999999998</v>
      </c>
      <c r="CK167" s="188"/>
      <c r="CL167" s="188">
        <f t="shared" si="368"/>
        <v>68.399999999999991</v>
      </c>
      <c r="CM167" s="465">
        <f t="shared" si="369"/>
        <v>20</v>
      </c>
      <c r="CN167" s="379">
        <f t="shared" si="370"/>
        <v>30.4</v>
      </c>
      <c r="CO167" s="379">
        <f t="shared" si="371"/>
        <v>50.4</v>
      </c>
      <c r="CP167" s="379"/>
      <c r="CQ167" s="188">
        <f t="shared" si="372"/>
        <v>0.60317460317460314</v>
      </c>
      <c r="CR167" s="149">
        <f t="shared" si="429"/>
        <v>183.55019291189507</v>
      </c>
      <c r="CS167" s="149">
        <f t="shared" si="373"/>
        <v>68.399999999999991</v>
      </c>
      <c r="CT167" s="188">
        <f t="shared" si="374"/>
        <v>6.1183397637298356</v>
      </c>
      <c r="CU167" s="188">
        <f t="shared" si="375"/>
        <v>30</v>
      </c>
      <c r="CV167" s="188"/>
      <c r="CW167" s="149">
        <f t="shared" si="376"/>
        <v>112.97858770530017</v>
      </c>
      <c r="CX167" s="149">
        <f t="shared" si="377"/>
        <v>30</v>
      </c>
      <c r="CY167" s="188">
        <f t="shared" si="378"/>
        <v>11.339999999999998</v>
      </c>
      <c r="CZ167" s="188">
        <f t="shared" si="379"/>
        <v>2.6648999999999998</v>
      </c>
      <c r="DA167" s="188">
        <f t="shared" si="380"/>
        <v>1.7532236842105262</v>
      </c>
      <c r="DB167" s="172">
        <f t="shared" si="381"/>
        <v>350</v>
      </c>
      <c r="DC167" s="379">
        <f t="shared" si="382"/>
        <v>226.34042672318031</v>
      </c>
      <c r="DE167" s="188">
        <f t="shared" si="383"/>
        <v>7.3334298258310406</v>
      </c>
      <c r="DF167" s="150">
        <f t="shared" si="384"/>
        <v>1.1337868480725624</v>
      </c>
      <c r="DG167" s="150">
        <f t="shared" si="385"/>
        <v>1.4550456003633017</v>
      </c>
      <c r="DH167" s="150"/>
      <c r="DI167" s="150">
        <f t="shared" si="386"/>
        <v>0.93700159489633172</v>
      </c>
      <c r="DJ167" s="314">
        <f t="shared" si="387"/>
        <v>802.98689361702122</v>
      </c>
      <c r="DK167" s="456">
        <f t="shared" si="388"/>
        <v>0.99378957034459414</v>
      </c>
      <c r="DM167" s="150">
        <f t="shared" si="389"/>
        <v>9.1798643135173652</v>
      </c>
      <c r="DN167" s="150">
        <f t="shared" si="390"/>
        <v>11.339999999999998</v>
      </c>
      <c r="DO167" s="150">
        <f t="shared" si="391"/>
        <v>5.1106621773288428</v>
      </c>
      <c r="DQ167" s="314">
        <f t="shared" si="392"/>
        <v>2280</v>
      </c>
      <c r="DR167" s="144">
        <f t="shared" si="393"/>
        <v>226.34042672318031</v>
      </c>
      <c r="DT167">
        <f t="shared" si="430"/>
        <v>2280</v>
      </c>
      <c r="DU167">
        <f t="shared" si="431"/>
        <v>226.34042672318031</v>
      </c>
      <c r="DW167" s="5">
        <f t="shared" si="394"/>
        <v>4.418123684210526</v>
      </c>
      <c r="DX167" s="5">
        <f t="shared" si="395"/>
        <v>2.6648999999999998</v>
      </c>
      <c r="DY167" s="5">
        <f t="shared" si="396"/>
        <v>1.7532236842105262</v>
      </c>
      <c r="DZ167" s="5"/>
      <c r="EA167" s="150">
        <f t="shared" si="397"/>
        <v>0.60317460317460314</v>
      </c>
      <c r="EB167" s="150">
        <f t="shared" si="398"/>
        <v>68.399999999999991</v>
      </c>
      <c r="EC167" s="150">
        <f t="shared" si="399"/>
        <v>2.25</v>
      </c>
      <c r="ED167" s="150">
        <f t="shared" si="400"/>
        <v>30.399999999999995</v>
      </c>
      <c r="EE167" s="144">
        <f t="shared" si="401"/>
        <v>20.253239999999998</v>
      </c>
      <c r="EF167" s="5">
        <f t="shared" si="402"/>
        <v>3.5270735294117634</v>
      </c>
      <c r="EH167" s="150">
        <f t="shared" si="403"/>
        <v>5.0848008810571912</v>
      </c>
      <c r="EI167" s="150">
        <f t="shared" si="404"/>
        <v>4.1243181254602552</v>
      </c>
      <c r="EK167" s="456">
        <f t="shared" si="405"/>
        <v>0.31026239999999988</v>
      </c>
      <c r="EL167" s="456">
        <f t="shared" si="406"/>
        <v>2.4578723404255314</v>
      </c>
      <c r="EM167" s="456">
        <f t="shared" si="407"/>
        <v>2.6029149073165739E-2</v>
      </c>
      <c r="EN167" s="456">
        <f t="shared" si="408"/>
        <v>0.29753191489361708</v>
      </c>
      <c r="EO167">
        <f t="shared" si="409"/>
        <v>8.9999999999999993E-3</v>
      </c>
      <c r="EP167" s="144">
        <f t="shared" si="410"/>
        <v>35.02914907316574</v>
      </c>
      <c r="EQ167" s="144"/>
      <c r="ER167" s="144">
        <f t="shared" si="432"/>
        <v>3100.6958043923141</v>
      </c>
      <c r="ES167" s="456">
        <f t="shared" si="411"/>
        <v>1.5959999999999999</v>
      </c>
      <c r="EV167" s="144">
        <f t="shared" si="412"/>
        <v>1595.9999999999998</v>
      </c>
      <c r="EW167" s="456">
        <f t="shared" si="413"/>
        <v>0.36197279999999987</v>
      </c>
      <c r="EX167" s="456">
        <f t="shared" si="414"/>
        <v>0.23813999999999994</v>
      </c>
      <c r="EY167" s="456">
        <f t="shared" si="415"/>
        <v>16.688141232989633</v>
      </c>
      <c r="EZ167" s="456"/>
      <c r="FA167" s="456">
        <f t="shared" si="416"/>
        <v>2.9106382978723397</v>
      </c>
      <c r="FB167" s="144">
        <f t="shared" si="417"/>
        <v>20198.892330861974</v>
      </c>
      <c r="FC167" s="150">
        <f t="shared" si="418"/>
        <v>24.895588135254286</v>
      </c>
      <c r="FD167" s="5">
        <f t="shared" si="419"/>
        <v>68.399999999999991</v>
      </c>
      <c r="FE167" s="150">
        <f t="shared" si="420"/>
        <v>0.73315363960016877</v>
      </c>
      <c r="FF167" s="5">
        <f t="shared" si="421"/>
        <v>73.315363960016882</v>
      </c>
      <c r="FI167" s="59">
        <f t="shared" si="422"/>
        <v>-50</v>
      </c>
      <c r="FJ167">
        <f t="shared" si="423"/>
        <v>-50</v>
      </c>
      <c r="FL167">
        <f t="shared" si="475"/>
        <v>0.39682539682539686</v>
      </c>
    </row>
    <row r="168" spans="5:168">
      <c r="E168" s="147">
        <v>58</v>
      </c>
      <c r="F168" s="188">
        <f t="shared" si="476"/>
        <v>2.3199999999999998</v>
      </c>
      <c r="G168" s="188"/>
      <c r="H168" s="188">
        <f t="shared" si="442"/>
        <v>69.599999999999994</v>
      </c>
      <c r="I168" s="465">
        <f t="shared" si="443"/>
        <v>19.843610440299216</v>
      </c>
      <c r="J168" s="149">
        <f t="shared" si="444"/>
        <v>30.484209762915803</v>
      </c>
      <c r="K168" s="149">
        <f t="shared" si="445"/>
        <v>50.327820203215019</v>
      </c>
      <c r="L168" s="379"/>
      <c r="M168" s="188">
        <f t="shared" si="446"/>
        <v>0.60569440548761977</v>
      </c>
      <c r="N168" s="149">
        <f t="shared" si="447"/>
        <v>182.87572352391015</v>
      </c>
      <c r="O168" s="149">
        <f t="shared" si="438"/>
        <v>69.599999999999994</v>
      </c>
      <c r="P168" s="188">
        <f t="shared" si="448"/>
        <v>6.0958574507970047</v>
      </c>
      <c r="Q168" s="188">
        <f t="shared" si="449"/>
        <v>30</v>
      </c>
      <c r="R168" s="188"/>
      <c r="S168" s="149">
        <f t="shared" si="450"/>
        <v>109.82355879187409</v>
      </c>
      <c r="T168" s="149">
        <f t="shared" si="451"/>
        <v>30</v>
      </c>
      <c r="U168" s="188">
        <f t="shared" si="452"/>
        <v>11.767522613363063</v>
      </c>
      <c r="V168" s="188">
        <f t="shared" si="453"/>
        <v>2.787161965772416</v>
      </c>
      <c r="W168" s="188">
        <f t="shared" si="454"/>
        <v>1.8142952273635145</v>
      </c>
      <c r="X168" s="172">
        <f t="shared" si="455"/>
        <v>350</v>
      </c>
      <c r="Y168" s="379">
        <f t="shared" si="328"/>
        <v>208.27010629805895</v>
      </c>
      <c r="AA168" s="188">
        <f t="shared" si="456"/>
        <v>7.3067056303796676</v>
      </c>
      <c r="AB168" s="150">
        <f t="shared" si="457"/>
        <v>1.1265345806851477</v>
      </c>
      <c r="AC168" s="150">
        <f t="shared" si="458"/>
        <v>1.4404698986141742</v>
      </c>
      <c r="AD168" s="150"/>
      <c r="AE168" s="150">
        <f t="shared" si="459"/>
        <v>0.9344132161005021</v>
      </c>
      <c r="AF168" s="314">
        <f t="shared" si="460"/>
        <v>819.33772640225027</v>
      </c>
      <c r="AG168" s="456">
        <f t="shared" si="461"/>
        <v>0.99104432010659305</v>
      </c>
      <c r="AI168" s="150">
        <f t="shared" si="462"/>
        <v>9.2728558766638631</v>
      </c>
      <c r="AJ168" s="150">
        <f t="shared" si="463"/>
        <v>11.767522613363063</v>
      </c>
      <c r="AK168" s="150">
        <f t="shared" si="464"/>
        <v>5.4273455946348168</v>
      </c>
      <c r="AM168" s="314">
        <f t="shared" si="465"/>
        <v>2320</v>
      </c>
      <c r="AN168" s="144">
        <f t="shared" si="466"/>
        <v>208.27010629805895</v>
      </c>
      <c r="AP168">
        <f t="shared" si="467"/>
        <v>2320</v>
      </c>
      <c r="AQ168">
        <f t="shared" si="468"/>
        <v>208.27010629805895</v>
      </c>
      <c r="AS168" s="5">
        <f t="shared" si="439"/>
        <v>4.8014571931359304</v>
      </c>
      <c r="AT168" s="5">
        <f t="shared" si="469"/>
        <v>2.787161965772416</v>
      </c>
      <c r="AU168" s="5">
        <f t="shared" si="343"/>
        <v>2.0142952273635144</v>
      </c>
      <c r="AV168" s="5"/>
      <c r="AW168" s="150">
        <f t="shared" si="344"/>
        <v>0.58048251888132807</v>
      </c>
      <c r="AX168" s="150">
        <f t="shared" si="435"/>
        <v>67.774275554686454</v>
      </c>
      <c r="AY168" s="150">
        <f t="shared" si="436"/>
        <v>2.4683407228825418</v>
      </c>
      <c r="AZ168" s="150">
        <f t="shared" si="440"/>
        <v>27.45742308847025</v>
      </c>
      <c r="BA168" s="144">
        <f t="shared" si="433"/>
        <v>21.554052535306681</v>
      </c>
      <c r="BB168" s="5">
        <f t="shared" si="434"/>
        <v>4.1558776118621372</v>
      </c>
      <c r="BD168" s="150">
        <f t="shared" si="441"/>
        <v>5.1762946177100009</v>
      </c>
      <c r="BE168" s="150">
        <f t="shared" si="437"/>
        <v>4.4004738588781729</v>
      </c>
      <c r="BG168" s="456">
        <f t="shared" si="347"/>
        <v>0.32152831163200229</v>
      </c>
      <c r="BH168" s="456">
        <f t="shared" si="470"/>
        <v>2.2510387425381602</v>
      </c>
      <c r="BI168" s="456">
        <f t="shared" si="349"/>
        <v>2.3951062224276783E-2</v>
      </c>
      <c r="BJ168" s="456">
        <f t="shared" si="350"/>
        <v>0.27299427163269219</v>
      </c>
      <c r="BK168">
        <f t="shared" si="351"/>
        <v>8.9296246981346462E-3</v>
      </c>
      <c r="BL168" s="144">
        <f t="shared" si="427"/>
        <v>32.880686922411428</v>
      </c>
      <c r="BM168" s="456">
        <f t="shared" si="471"/>
        <v>3.1749225834232435</v>
      </c>
      <c r="BN168" s="144">
        <f t="shared" si="353"/>
        <v>3174.9225834232434</v>
      </c>
      <c r="BO168" s="456">
        <f t="shared" si="354"/>
        <v>1.6239999999999999</v>
      </c>
      <c r="BR168" s="144">
        <f t="shared" si="355"/>
        <v>1624</v>
      </c>
      <c r="BS168" s="456">
        <f t="shared" si="356"/>
        <v>0.37511636357066935</v>
      </c>
      <c r="BT168" s="456">
        <f t="shared" si="357"/>
        <v>0.27109838255738222</v>
      </c>
      <c r="BU168" s="456">
        <f t="shared" si="358"/>
        <v>14.867911075728145</v>
      </c>
      <c r="BV168" s="456"/>
      <c r="BW168" s="456">
        <f t="shared" si="359"/>
        <v>2.8840117257313391</v>
      </c>
      <c r="BX168" s="144">
        <f t="shared" si="360"/>
        <v>18398.137547587539</v>
      </c>
      <c r="BY168" s="150">
        <f t="shared" si="361"/>
        <v>22.900579560312799</v>
      </c>
      <c r="BZ168" s="5">
        <f t="shared" si="362"/>
        <v>69.599999999999994</v>
      </c>
      <c r="CA168" s="150">
        <f t="shared" si="363"/>
        <v>0.75242771808385245</v>
      </c>
      <c r="CB168" s="5">
        <f t="shared" si="364"/>
        <v>75.242771808385243</v>
      </c>
      <c r="CE168" s="59">
        <f t="shared" si="472"/>
        <v>-50</v>
      </c>
      <c r="CF168">
        <f t="shared" si="473"/>
        <v>-50</v>
      </c>
      <c r="CG168" s="150">
        <f t="shared" si="474"/>
        <v>0.38570349654675773</v>
      </c>
      <c r="CI168" s="147">
        <v>58</v>
      </c>
      <c r="CJ168" s="188">
        <f t="shared" si="428"/>
        <v>2.3199999999999998</v>
      </c>
      <c r="CK168" s="188"/>
      <c r="CL168" s="188">
        <f t="shared" si="368"/>
        <v>69.599999999999994</v>
      </c>
      <c r="CM168" s="465">
        <f t="shared" si="369"/>
        <v>20</v>
      </c>
      <c r="CN168" s="379">
        <f t="shared" si="370"/>
        <v>30.4</v>
      </c>
      <c r="CO168" s="379">
        <f t="shared" si="371"/>
        <v>50.4</v>
      </c>
      <c r="CP168" s="379"/>
      <c r="CQ168" s="188">
        <f t="shared" si="372"/>
        <v>0.60317460317460314</v>
      </c>
      <c r="CR168" s="149">
        <f t="shared" si="429"/>
        <v>183.55019291189507</v>
      </c>
      <c r="CS168" s="149">
        <f t="shared" si="373"/>
        <v>69.599999999999994</v>
      </c>
      <c r="CT168" s="188">
        <f t="shared" si="374"/>
        <v>6.1183397637298356</v>
      </c>
      <c r="CU168" s="188">
        <f t="shared" si="375"/>
        <v>30</v>
      </c>
      <c r="CV168" s="188"/>
      <c r="CW168" s="149">
        <f t="shared" si="376"/>
        <v>110.68852456591188</v>
      </c>
      <c r="CX168" s="149">
        <f t="shared" si="377"/>
        <v>30</v>
      </c>
      <c r="CY168" s="188">
        <f t="shared" si="378"/>
        <v>11.538947368421052</v>
      </c>
      <c r="CZ168" s="188">
        <f t="shared" si="379"/>
        <v>2.7116526315789473</v>
      </c>
      <c r="DA168" s="188">
        <f t="shared" si="380"/>
        <v>1.7839819944598339</v>
      </c>
      <c r="DB168" s="172">
        <f t="shared" si="381"/>
        <v>350</v>
      </c>
      <c r="DC168" s="379">
        <f t="shared" si="382"/>
        <v>222.43800557278064</v>
      </c>
      <c r="DE168" s="188">
        <f t="shared" si="383"/>
        <v>7.3334298258310406</v>
      </c>
      <c r="DF168" s="150">
        <f t="shared" si="384"/>
        <v>1.1337868480725624</v>
      </c>
      <c r="DG168" s="150">
        <f t="shared" si="385"/>
        <v>1.4550456003633017</v>
      </c>
      <c r="DH168" s="150"/>
      <c r="DI168" s="150">
        <f t="shared" si="386"/>
        <v>0.93700159489633172</v>
      </c>
      <c r="DJ168" s="314">
        <f t="shared" si="387"/>
        <v>817.07438297872341</v>
      </c>
      <c r="DK168" s="456">
        <f t="shared" si="388"/>
        <v>0.99378957034459414</v>
      </c>
      <c r="DM168" s="150">
        <f t="shared" si="389"/>
        <v>9.2600393232144107</v>
      </c>
      <c r="DN168" s="150">
        <f t="shared" si="390"/>
        <v>11.538947368421052</v>
      </c>
      <c r="DO168" s="150">
        <f t="shared" si="391"/>
        <v>5.2580305983814757</v>
      </c>
      <c r="DQ168" s="314">
        <f t="shared" si="392"/>
        <v>2320</v>
      </c>
      <c r="DR168" s="144">
        <f t="shared" si="393"/>
        <v>222.43800557278064</v>
      </c>
      <c r="DT168">
        <f t="shared" si="430"/>
        <v>2320</v>
      </c>
      <c r="DU168">
        <f t="shared" si="431"/>
        <v>222.43800557278064</v>
      </c>
      <c r="DW168" s="5">
        <f t="shared" si="394"/>
        <v>4.4956346260387807</v>
      </c>
      <c r="DX168" s="5">
        <f t="shared" si="395"/>
        <v>2.7116526315789473</v>
      </c>
      <c r="DY168" s="5">
        <f t="shared" si="396"/>
        <v>1.7839819944598334</v>
      </c>
      <c r="DZ168" s="5"/>
      <c r="EA168" s="150">
        <f t="shared" si="397"/>
        <v>0.60317460317460325</v>
      </c>
      <c r="EB168" s="150">
        <f t="shared" si="398"/>
        <v>69.59999999999998</v>
      </c>
      <c r="EC168" s="150">
        <f t="shared" si="399"/>
        <v>2.2894736842105257</v>
      </c>
      <c r="ED168" s="150">
        <f t="shared" si="400"/>
        <v>30.4</v>
      </c>
      <c r="EE168" s="144">
        <f t="shared" si="401"/>
        <v>20.970113684210524</v>
      </c>
      <c r="EF168" s="5">
        <f t="shared" si="402"/>
        <v>3.6519160827765993</v>
      </c>
      <c r="EH168" s="150">
        <f t="shared" si="403"/>
        <v>5.1740079140581958</v>
      </c>
      <c r="EI168" s="150">
        <f t="shared" si="404"/>
        <v>4.1966745838016637</v>
      </c>
      <c r="EK168" s="456">
        <f t="shared" si="405"/>
        <v>0.32124429473684213</v>
      </c>
      <c r="EL168" s="456">
        <f t="shared" si="406"/>
        <v>2.4578723404255318</v>
      </c>
      <c r="EM168" s="456">
        <f t="shared" si="407"/>
        <v>2.5580370640869775E-2</v>
      </c>
      <c r="EN168" s="456">
        <f t="shared" si="408"/>
        <v>0.29240205429200294</v>
      </c>
      <c r="EO168">
        <f t="shared" si="409"/>
        <v>8.9999999999999993E-3</v>
      </c>
      <c r="EP168" s="144">
        <f t="shared" si="410"/>
        <v>34.580370640869774</v>
      </c>
      <c r="EQ168" s="144"/>
      <c r="ER168" s="144">
        <f t="shared" si="432"/>
        <v>3106.0990600952464</v>
      </c>
      <c r="ES168" s="456">
        <f t="shared" si="411"/>
        <v>1.6239999999999999</v>
      </c>
      <c r="EV168" s="144">
        <f t="shared" si="412"/>
        <v>1624</v>
      </c>
      <c r="EW168" s="456">
        <f t="shared" si="413"/>
        <v>0.3747850105263158</v>
      </c>
      <c r="EX168" s="456">
        <f t="shared" si="414"/>
        <v>0.24656908587257614</v>
      </c>
      <c r="EY168" s="456">
        <f t="shared" si="415"/>
        <v>16.688141232989619</v>
      </c>
      <c r="EZ168" s="456"/>
      <c r="FA168" s="456">
        <f t="shared" si="416"/>
        <v>2.9617021276595743</v>
      </c>
      <c r="FB168" s="144">
        <f t="shared" si="417"/>
        <v>20271.197457048085</v>
      </c>
      <c r="FC168" s="150">
        <f t="shared" si="418"/>
        <v>25.001296517143331</v>
      </c>
      <c r="FD168" s="5">
        <f t="shared" si="419"/>
        <v>69.599999999999994</v>
      </c>
      <c r="FE168" s="150">
        <f t="shared" si="420"/>
        <v>0.73571930367135419</v>
      </c>
      <c r="FF168" s="5">
        <f t="shared" si="421"/>
        <v>73.571930367135423</v>
      </c>
      <c r="FI168" s="59">
        <f t="shared" si="422"/>
        <v>-50</v>
      </c>
      <c r="FJ168">
        <f t="shared" si="423"/>
        <v>-50</v>
      </c>
      <c r="FL168">
        <f t="shared" si="475"/>
        <v>0.39682539682539675</v>
      </c>
    </row>
    <row r="169" spans="5:168">
      <c r="E169" s="147">
        <v>59</v>
      </c>
      <c r="F169" s="188">
        <f t="shared" si="476"/>
        <v>2.36</v>
      </c>
      <c r="G169" s="188"/>
      <c r="H169" s="188">
        <f t="shared" si="442"/>
        <v>70.8</v>
      </c>
      <c r="I169" s="465">
        <f t="shared" si="443"/>
        <v>19.840991781456157</v>
      </c>
      <c r="J169" s="149">
        <f t="shared" si="444"/>
        <v>30.485619809985145</v>
      </c>
      <c r="K169" s="149">
        <f t="shared" si="445"/>
        <v>50.326611591441306</v>
      </c>
      <c r="L169" s="379"/>
      <c r="M169" s="188">
        <f t="shared" si="446"/>
        <v>0.60573698040838253</v>
      </c>
      <c r="N169" s="149">
        <f t="shared" si="447"/>
        <v>182.86444319646046</v>
      </c>
      <c r="O169" s="149">
        <f t="shared" si="438"/>
        <v>70.8</v>
      </c>
      <c r="P169" s="188">
        <f t="shared" si="448"/>
        <v>6.0954814398820156</v>
      </c>
      <c r="Q169" s="188">
        <f t="shared" si="449"/>
        <v>30</v>
      </c>
      <c r="R169" s="188"/>
      <c r="S169" s="149">
        <f t="shared" si="450"/>
        <v>107.61430042304907</v>
      </c>
      <c r="T169" s="149">
        <f t="shared" si="451"/>
        <v>30</v>
      </c>
      <c r="U169" s="188">
        <f t="shared" si="452"/>
        <v>11.971703572120544</v>
      </c>
      <c r="V169" s="188">
        <f t="shared" si="453"/>
        <v>2.8358968850314721</v>
      </c>
      <c r="W169" s="188">
        <f t="shared" si="454"/>
        <v>1.8456901037169358</v>
      </c>
      <c r="X169" s="172">
        <f t="shared" si="455"/>
        <v>350</v>
      </c>
      <c r="Y169" s="379">
        <f t="shared" si="328"/>
        <v>204.85141457171704</v>
      </c>
      <c r="AA169" s="188">
        <f t="shared" si="456"/>
        <v>7.3062547873451544</v>
      </c>
      <c r="AB169" s="150">
        <f t="shared" si="457"/>
        <v>1.1264129682964434</v>
      </c>
      <c r="AC169" s="150">
        <f t="shared" si="458"/>
        <v>1.4402255248751223</v>
      </c>
      <c r="AD169" s="150"/>
      <c r="AE169" s="150">
        <f t="shared" si="459"/>
        <v>0.9343699968179312</v>
      </c>
      <c r="AF169" s="314">
        <f t="shared" si="460"/>
        <v>833.50279081334293</v>
      </c>
      <c r="AG169" s="456">
        <f t="shared" si="461"/>
        <v>0.9909984814735634</v>
      </c>
      <c r="AI169" s="150">
        <f t="shared" si="462"/>
        <v>9.3526689623458772</v>
      </c>
      <c r="AJ169" s="150">
        <f t="shared" si="463"/>
        <v>11.971703572120544</v>
      </c>
      <c r="AK169" s="150">
        <f t="shared" si="464"/>
        <v>5.5785907492699884</v>
      </c>
      <c r="AM169" s="314">
        <f t="shared" si="465"/>
        <v>2360</v>
      </c>
      <c r="AN169" s="144">
        <f t="shared" si="466"/>
        <v>204.85141457171704</v>
      </c>
      <c r="AP169">
        <f t="shared" si="467"/>
        <v>2360</v>
      </c>
      <c r="AQ169">
        <f t="shared" si="468"/>
        <v>204.85141457171704</v>
      </c>
      <c r="AS169" s="5">
        <f t="shared" si="439"/>
        <v>4.881586988748408</v>
      </c>
      <c r="AT169" s="5">
        <f t="shared" si="469"/>
        <v>2.8358968850314721</v>
      </c>
      <c r="AU169" s="5">
        <f t="shared" si="343"/>
        <v>2.0456901037169359</v>
      </c>
      <c r="AV169" s="5"/>
      <c r="AW169" s="150">
        <f t="shared" si="344"/>
        <v>0.58093748847822313</v>
      </c>
      <c r="AX169" s="150">
        <f t="shared" si="435"/>
        <v>68.995177973947094</v>
      </c>
      <c r="AY169" s="150">
        <f t="shared" si="436"/>
        <v>2.5084460830635313</v>
      </c>
      <c r="AZ169" s="150">
        <f t="shared" si="440"/>
        <v>27.505146887464374</v>
      </c>
      <c r="BA169" s="144">
        <f t="shared" si="433"/>
        <v>22.309055495580914</v>
      </c>
      <c r="BB169" s="5">
        <f t="shared" si="434"/>
        <v>4.2939877715104053</v>
      </c>
      <c r="BD169" s="150">
        <f t="shared" si="441"/>
        <v>5.2681730088193088</v>
      </c>
      <c r="BE169" s="150">
        <f t="shared" si="437"/>
        <v>4.4743992470560379</v>
      </c>
      <c r="BG169" s="456">
        <f t="shared" si="347"/>
        <v>0.33304376221022747</v>
      </c>
      <c r="BH169" s="456">
        <f t="shared" si="470"/>
        <v>2.2524516736052891</v>
      </c>
      <c r="BI169" s="456">
        <f t="shared" si="349"/>
        <v>2.3557912675747462E-2</v>
      </c>
      <c r="BJ169" s="456">
        <f t="shared" si="350"/>
        <v>0.26850025560515028</v>
      </c>
      <c r="BK169">
        <f t="shared" si="351"/>
        <v>8.9284463016552698E-3</v>
      </c>
      <c r="BL169" s="144">
        <f t="shared" si="427"/>
        <v>32.486358977402737</v>
      </c>
      <c r="BM169" s="456">
        <f t="shared" si="471"/>
        <v>3.1968913492428377</v>
      </c>
      <c r="BN169" s="144">
        <f t="shared" si="353"/>
        <v>3196.8913492428378</v>
      </c>
      <c r="BO169" s="456">
        <f t="shared" si="354"/>
        <v>1.6519999999999999</v>
      </c>
      <c r="BR169" s="144">
        <f t="shared" si="355"/>
        <v>1652</v>
      </c>
      <c r="BS169" s="456">
        <f t="shared" si="356"/>
        <v>0.38855105591193206</v>
      </c>
      <c r="BT169" s="456">
        <f t="shared" si="357"/>
        <v>0.28028348070877895</v>
      </c>
      <c r="BU169" s="456">
        <f t="shared" si="358"/>
        <v>14.892146833877593</v>
      </c>
      <c r="BV169" s="456"/>
      <c r="BW169" s="456">
        <f t="shared" si="359"/>
        <v>2.9359650201679619</v>
      </c>
      <c r="BX169" s="144">
        <f t="shared" si="360"/>
        <v>18496.946390666268</v>
      </c>
      <c r="BY169" s="150">
        <f t="shared" si="361"/>
        <v>23.035428441064337</v>
      </c>
      <c r="BZ169" s="5">
        <f t="shared" si="362"/>
        <v>70.8</v>
      </c>
      <c r="CA169" s="150">
        <f t="shared" si="363"/>
        <v>0.75451246055180199</v>
      </c>
      <c r="CB169" s="5">
        <f t="shared" si="364"/>
        <v>75.451246055180192</v>
      </c>
      <c r="CE169" s="59">
        <f t="shared" si="472"/>
        <v>-50</v>
      </c>
      <c r="CF169">
        <f t="shared" si="473"/>
        <v>-50</v>
      </c>
      <c r="CG169" s="150">
        <f t="shared" si="474"/>
        <v>0.38589200333114154</v>
      </c>
      <c r="CI169" s="147">
        <v>59</v>
      </c>
      <c r="CJ169" s="188">
        <f t="shared" si="428"/>
        <v>2.36</v>
      </c>
      <c r="CK169" s="188"/>
      <c r="CL169" s="188">
        <f t="shared" si="368"/>
        <v>70.8</v>
      </c>
      <c r="CM169" s="465">
        <f t="shared" si="369"/>
        <v>20</v>
      </c>
      <c r="CN169" s="379">
        <f t="shared" si="370"/>
        <v>30.4</v>
      </c>
      <c r="CO169" s="379">
        <f t="shared" si="371"/>
        <v>50.4</v>
      </c>
      <c r="CP169" s="379"/>
      <c r="CQ169" s="188">
        <f t="shared" si="372"/>
        <v>0.60317460317460314</v>
      </c>
      <c r="CR169" s="149">
        <f t="shared" si="429"/>
        <v>183.55019291189507</v>
      </c>
      <c r="CS169" s="149">
        <f t="shared" si="373"/>
        <v>70.8</v>
      </c>
      <c r="CT169" s="188">
        <f t="shared" si="374"/>
        <v>6.1183397637298356</v>
      </c>
      <c r="CU169" s="188">
        <f t="shared" si="375"/>
        <v>30</v>
      </c>
      <c r="CV169" s="188"/>
      <c r="CW169" s="149">
        <f t="shared" si="376"/>
        <v>108.47614876031824</v>
      </c>
      <c r="CX169" s="149">
        <f t="shared" si="377"/>
        <v>30</v>
      </c>
      <c r="CY169" s="188">
        <f t="shared" si="378"/>
        <v>11.737894736842104</v>
      </c>
      <c r="CZ169" s="188">
        <f t="shared" si="379"/>
        <v>2.7584052631578944</v>
      </c>
      <c r="DA169" s="188">
        <f t="shared" si="380"/>
        <v>1.814740304709141</v>
      </c>
      <c r="DB169" s="172">
        <f t="shared" si="381"/>
        <v>350</v>
      </c>
      <c r="DC169" s="379">
        <f t="shared" si="382"/>
        <v>218.66786988510643</v>
      </c>
      <c r="DE169" s="188">
        <f t="shared" si="383"/>
        <v>7.3334298258310406</v>
      </c>
      <c r="DF169" s="150">
        <f t="shared" si="384"/>
        <v>1.1337868480725624</v>
      </c>
      <c r="DG169" s="150">
        <f t="shared" si="385"/>
        <v>1.4550456003633017</v>
      </c>
      <c r="DH169" s="150"/>
      <c r="DI169" s="150">
        <f t="shared" si="386"/>
        <v>0.93700159489633172</v>
      </c>
      <c r="DJ169" s="314">
        <f t="shared" si="387"/>
        <v>831.16187234042548</v>
      </c>
      <c r="DK169" s="456">
        <f t="shared" si="388"/>
        <v>0.99378957034459414</v>
      </c>
      <c r="DM169" s="150">
        <f t="shared" si="389"/>
        <v>9.3395260972045424</v>
      </c>
      <c r="DN169" s="150">
        <f t="shared" si="390"/>
        <v>11.737894736842104</v>
      </c>
      <c r="DO169" s="150">
        <f t="shared" si="391"/>
        <v>5.4053990194341068</v>
      </c>
      <c r="DQ169" s="314">
        <f t="shared" si="392"/>
        <v>2360</v>
      </c>
      <c r="DR169" s="144">
        <f t="shared" si="393"/>
        <v>218.66786988510643</v>
      </c>
      <c r="DT169">
        <f t="shared" si="430"/>
        <v>2360</v>
      </c>
      <c r="DU169">
        <f t="shared" si="431"/>
        <v>218.66786988510643</v>
      </c>
      <c r="DW169" s="5">
        <f t="shared" si="394"/>
        <v>4.5731455678670354</v>
      </c>
      <c r="DX169" s="5">
        <f t="shared" si="395"/>
        <v>2.7584052631578944</v>
      </c>
      <c r="DY169" s="5">
        <f t="shared" si="396"/>
        <v>1.814740304709141</v>
      </c>
      <c r="DZ169" s="5"/>
      <c r="EA169" s="150">
        <f t="shared" si="397"/>
        <v>0.60317460317460314</v>
      </c>
      <c r="EB169" s="150">
        <f t="shared" si="398"/>
        <v>70.8</v>
      </c>
      <c r="EC169" s="150">
        <f t="shared" si="399"/>
        <v>2.3289473684210527</v>
      </c>
      <c r="ED169" s="150">
        <f t="shared" si="400"/>
        <v>30.4</v>
      </c>
      <c r="EE169" s="144">
        <f t="shared" si="401"/>
        <v>21.6994547368421</v>
      </c>
      <c r="EF169" s="5">
        <f t="shared" si="402"/>
        <v>3.778929810982564</v>
      </c>
      <c r="EH169" s="150">
        <f t="shared" si="403"/>
        <v>5.2632149470591987</v>
      </c>
      <c r="EI169" s="150">
        <f t="shared" si="404"/>
        <v>4.2690310421430722</v>
      </c>
      <c r="EK169" s="456">
        <f t="shared" si="405"/>
        <v>0.33241717894736839</v>
      </c>
      <c r="EL169" s="456">
        <f t="shared" si="406"/>
        <v>2.4578723404255323</v>
      </c>
      <c r="EM169" s="456">
        <f t="shared" si="407"/>
        <v>2.5146805036787241E-2</v>
      </c>
      <c r="EN169" s="456">
        <f t="shared" si="408"/>
        <v>0.28744608727010462</v>
      </c>
      <c r="EO169">
        <f t="shared" si="409"/>
        <v>8.9999999999999993E-3</v>
      </c>
      <c r="EP169" s="144">
        <f t="shared" si="410"/>
        <v>34.146805036787242</v>
      </c>
      <c r="EQ169" s="144"/>
      <c r="ER169" s="144">
        <f t="shared" si="432"/>
        <v>3111.8824116797923</v>
      </c>
      <c r="ES169" s="456">
        <f t="shared" si="411"/>
        <v>1.6519999999999999</v>
      </c>
      <c r="EV169" s="144">
        <f t="shared" si="412"/>
        <v>1652</v>
      </c>
      <c r="EW169" s="456">
        <f t="shared" si="413"/>
        <v>0.38782004210526311</v>
      </c>
      <c r="EX169" s="456">
        <f t="shared" si="414"/>
        <v>0.25514476454293628</v>
      </c>
      <c r="EY169" s="456">
        <f t="shared" si="415"/>
        <v>16.688141232989636</v>
      </c>
      <c r="EZ169" s="456"/>
      <c r="FA169" s="456">
        <f t="shared" si="416"/>
        <v>3.0127659574468084</v>
      </c>
      <c r="FB169" s="144">
        <f t="shared" si="417"/>
        <v>20343.871997084643</v>
      </c>
      <c r="FC169" s="150">
        <f t="shared" si="418"/>
        <v>25.107754408764436</v>
      </c>
      <c r="FD169" s="5">
        <f t="shared" si="419"/>
        <v>70.8</v>
      </c>
      <c r="FE169" s="150">
        <f t="shared" si="420"/>
        <v>0.73820933913483444</v>
      </c>
      <c r="FF169" s="5">
        <f t="shared" si="421"/>
        <v>73.820933913483444</v>
      </c>
      <c r="FI169" s="59">
        <f t="shared" si="422"/>
        <v>-50</v>
      </c>
      <c r="FJ169">
        <f t="shared" si="423"/>
        <v>-50</v>
      </c>
      <c r="FL169">
        <f t="shared" si="475"/>
        <v>0.39682539682539686</v>
      </c>
    </row>
    <row r="170" spans="5:168">
      <c r="E170" s="147">
        <v>60</v>
      </c>
      <c r="F170" s="188">
        <f t="shared" si="476"/>
        <v>2.4</v>
      </c>
      <c r="G170" s="188"/>
      <c r="H170" s="188">
        <f t="shared" si="442"/>
        <v>72</v>
      </c>
      <c r="I170" s="465">
        <f t="shared" si="443"/>
        <v>19.838373049253672</v>
      </c>
      <c r="J170" s="149">
        <f t="shared" si="444"/>
        <v>30.487029896555711</v>
      </c>
      <c r="K170" s="149">
        <f t="shared" si="445"/>
        <v>50.325402945809387</v>
      </c>
      <c r="L170" s="379"/>
      <c r="M170" s="188">
        <f t="shared" si="446"/>
        <v>0.60577955825533081</v>
      </c>
      <c r="N170" s="149">
        <f t="shared" si="447"/>
        <v>182.85315968341558</v>
      </c>
      <c r="O170" s="149">
        <f t="shared" si="438"/>
        <v>72</v>
      </c>
      <c r="P170" s="188">
        <f t="shared" si="448"/>
        <v>6.0951053227805199</v>
      </c>
      <c r="Q170" s="188">
        <f t="shared" si="449"/>
        <v>30</v>
      </c>
      <c r="R170" s="188"/>
      <c r="S170" s="149">
        <f t="shared" si="450"/>
        <v>105.47882850914657</v>
      </c>
      <c r="T170" s="149">
        <f t="shared" si="451"/>
        <v>30</v>
      </c>
      <c r="U170" s="188">
        <f t="shared" si="452"/>
        <v>12.175928723424468</v>
      </c>
      <c r="V170" s="188">
        <f t="shared" si="453"/>
        <v>2.8846551508037046</v>
      </c>
      <c r="W170" s="188">
        <f t="shared" si="454"/>
        <v>1.8770888864631656</v>
      </c>
      <c r="X170" s="172">
        <f t="shared" si="455"/>
        <v>350</v>
      </c>
      <c r="Y170" s="379">
        <f t="shared" si="328"/>
        <v>201.54203693079668</v>
      </c>
      <c r="AA170" s="188">
        <f t="shared" si="456"/>
        <v>7.3058038208161395</v>
      </c>
      <c r="AB170" s="150">
        <f t="shared" si="457"/>
        <v>1.1262913466593585</v>
      </c>
      <c r="AC170" s="150">
        <f t="shared" si="458"/>
        <v>1.4399811341608169</v>
      </c>
      <c r="AD170" s="150"/>
      <c r="AE170" s="150">
        <f t="shared" si="459"/>
        <v>0.93432678032262406</v>
      </c>
      <c r="AF170" s="314">
        <f t="shared" si="460"/>
        <v>847.66916316636184</v>
      </c>
      <c r="AG170" s="456">
        <f t="shared" si="461"/>
        <v>0.9909526457967226</v>
      </c>
      <c r="AI170" s="150">
        <f t="shared" si="462"/>
        <v>9.4318139608334892</v>
      </c>
      <c r="AJ170" s="150">
        <f t="shared" si="463"/>
        <v>12.175928723424468</v>
      </c>
      <c r="AK170" s="150">
        <f t="shared" si="464"/>
        <v>5.7298686391247458</v>
      </c>
      <c r="AM170" s="314">
        <f t="shared" si="465"/>
        <v>2400</v>
      </c>
      <c r="AN170" s="144">
        <f t="shared" si="466"/>
        <v>201.54203693079668</v>
      </c>
      <c r="AP170">
        <f t="shared" si="467"/>
        <v>2400</v>
      </c>
      <c r="AQ170">
        <f t="shared" si="468"/>
        <v>201.54203693079668</v>
      </c>
      <c r="AS170" s="5">
        <f t="shared" si="439"/>
        <v>4.9617440372668717</v>
      </c>
      <c r="AT170" s="5">
        <f t="shared" si="469"/>
        <v>2.8846551508037046</v>
      </c>
      <c r="AU170" s="5">
        <f t="shared" ref="AU170:AU233" si="477">AS170-AT170</f>
        <v>2.0770888864631671</v>
      </c>
      <c r="AV170" s="5"/>
      <c r="AW170" s="150">
        <f t="shared" ref="AW170:AW233" si="478">AT170/AS170</f>
        <v>0.58137927493589303</v>
      </c>
      <c r="AX170" s="150">
        <f t="shared" si="435"/>
        <v>70.216261063923326</v>
      </c>
      <c r="AY170" s="150">
        <f t="shared" si="436"/>
        <v>2.5485480552644186</v>
      </c>
      <c r="AZ170" s="150">
        <f t="shared" si="440"/>
        <v>27.551476190092167</v>
      </c>
      <c r="BA170" s="144">
        <f t="shared" si="433"/>
        <v>23.077241206429637</v>
      </c>
      <c r="BB170" s="5">
        <f t="shared" si="434"/>
        <v>4.4343769122732981</v>
      </c>
      <c r="BD170" s="150">
        <f t="shared" si="441"/>
        <v>5.3600796430547488</v>
      </c>
      <c r="BE170" s="150">
        <f t="shared" si="437"/>
        <v>4.5483285918471639</v>
      </c>
      <c r="BG170" s="456">
        <f t="shared" ref="BG170:BG210" si="479">Rdson*BD170^2</f>
        <v>0.34476544535867909</v>
      </c>
      <c r="BH170" s="456">
        <f t="shared" si="470"/>
        <v>2.2538129521077921</v>
      </c>
      <c r="BI170" s="456">
        <f t="shared" ref="BI170:BI210" si="480">Qg*Vdd*AN170*1000</f>
        <v>2.3177334247041621E-2</v>
      </c>
      <c r="BJ170" s="456">
        <f t="shared" ref="BJ170:BJ210" si="481">0.5*(Coss+Csw)*K170^2*AN170*1000</f>
        <v>0.26414994186802349</v>
      </c>
      <c r="BK170">
        <f t="shared" ref="BK170:BK210" si="482">I170*IQ</f>
        <v>8.9272678721641525E-3</v>
      </c>
      <c r="BL170" s="144">
        <f t="shared" si="427"/>
        <v>32.104602119205772</v>
      </c>
      <c r="BM170" s="456">
        <f t="shared" si="471"/>
        <v>3.2195484054519468</v>
      </c>
      <c r="BN170" s="144">
        <f t="shared" si="353"/>
        <v>3219.5484054519466</v>
      </c>
      <c r="BO170" s="456">
        <f t="shared" ref="BO170:BO210" si="483">Vfwd2*F170</f>
        <v>1.68</v>
      </c>
      <c r="BR170" s="144">
        <f t="shared" ref="BR170:BR210" si="484">SUM(BO170:BQ170)*1000</f>
        <v>1680</v>
      </c>
      <c r="BS170" s="456">
        <f t="shared" ref="BS170:BS210" si="485">Rdcr_pri*BD170^2</f>
        <v>0.40222635291845893</v>
      </c>
      <c r="BT170" s="456">
        <f t="shared" ref="BT170:BT210" si="486">Rdcr_sec*BE170^2</f>
        <v>0.28962210171180169</v>
      </c>
      <c r="BU170" s="456">
        <f t="shared" ref="BU170:BU210" si="487">AJ170^2.5*AN170^2.5*k_core</f>
        <v>14.915552875094022</v>
      </c>
      <c r="BV170" s="456"/>
      <c r="BW170" s="456">
        <f t="shared" ref="BW170:BW210" si="488">0.5*Lleak*0.000000001*AJ170^2*AN170*1000</f>
        <v>2.9879260027201417</v>
      </c>
      <c r="BX170" s="144">
        <f t="shared" ref="BX170:BX210" si="489">SUM(BS170:BW170)*1000</f>
        <v>18595.327332444424</v>
      </c>
      <c r="BY170" s="150">
        <f t="shared" ref="BY170:BY210" si="490">SUM(BG170:BK170,BO170:BQ170,BS170:BW170)</f>
        <v>23.170160273898123</v>
      </c>
      <c r="BZ170" s="5">
        <f t="shared" ref="BZ170:BZ210" si="491">MIN(H170,O170)</f>
        <v>72</v>
      </c>
      <c r="CA170" s="150">
        <f t="shared" ref="CA170:CA210" si="492">BZ170/(BZ170+BY170)</f>
        <v>0.75653965268930101</v>
      </c>
      <c r="CB170" s="5">
        <f t="shared" ref="CB170:CB210" si="493">CA170*100</f>
        <v>75.653965268930108</v>
      </c>
      <c r="CE170" s="59">
        <f t="shared" si="472"/>
        <v>-50</v>
      </c>
      <c r="CF170">
        <f t="shared" si="473"/>
        <v>-50</v>
      </c>
      <c r="CG170" s="150">
        <f t="shared" si="474"/>
        <v>0.38607422655604567</v>
      </c>
      <c r="CI170" s="147">
        <v>60</v>
      </c>
      <c r="CJ170" s="188">
        <f t="shared" si="428"/>
        <v>2.4</v>
      </c>
      <c r="CK170" s="188"/>
      <c r="CL170" s="188">
        <f t="shared" si="368"/>
        <v>72</v>
      </c>
      <c r="CM170" s="465">
        <f t="shared" si="369"/>
        <v>20</v>
      </c>
      <c r="CN170" s="379">
        <f t="shared" si="370"/>
        <v>30.4</v>
      </c>
      <c r="CO170" s="379">
        <f t="shared" si="371"/>
        <v>50.4</v>
      </c>
      <c r="CP170" s="379"/>
      <c r="CQ170" s="188">
        <f t="shared" si="372"/>
        <v>0.60317460317460314</v>
      </c>
      <c r="CR170" s="149">
        <f t="shared" si="429"/>
        <v>183.55019291189507</v>
      </c>
      <c r="CS170" s="149">
        <f t="shared" si="373"/>
        <v>72</v>
      </c>
      <c r="CT170" s="188">
        <f t="shared" si="374"/>
        <v>6.1183397637298356</v>
      </c>
      <c r="CU170" s="188">
        <f t="shared" si="375"/>
        <v>30</v>
      </c>
      <c r="CV170" s="188"/>
      <c r="CW170" s="149">
        <f t="shared" si="376"/>
        <v>106.33757643731661</v>
      </c>
      <c r="CX170" s="149">
        <f t="shared" si="377"/>
        <v>30</v>
      </c>
      <c r="CY170" s="188">
        <f t="shared" si="378"/>
        <v>11.936842105263159</v>
      </c>
      <c r="CZ170" s="188">
        <f t="shared" si="379"/>
        <v>2.8051578947368423</v>
      </c>
      <c r="DA170" s="188">
        <f t="shared" si="380"/>
        <v>1.8454986149584489</v>
      </c>
      <c r="DB170" s="172">
        <f t="shared" si="381"/>
        <v>350</v>
      </c>
      <c r="DC170" s="379">
        <f t="shared" si="382"/>
        <v>215.02340538702128</v>
      </c>
      <c r="DE170" s="188">
        <f t="shared" si="383"/>
        <v>7.3334298258310406</v>
      </c>
      <c r="DF170" s="150">
        <f t="shared" si="384"/>
        <v>1.1337868480725624</v>
      </c>
      <c r="DG170" s="150">
        <f t="shared" si="385"/>
        <v>1.4550456003633017</v>
      </c>
      <c r="DH170" s="150"/>
      <c r="DI170" s="150">
        <f t="shared" si="386"/>
        <v>0.93700159489633172</v>
      </c>
      <c r="DJ170" s="314">
        <f t="shared" si="387"/>
        <v>845.24936170212766</v>
      </c>
      <c r="DK170" s="456">
        <f t="shared" si="388"/>
        <v>0.99378957034459414</v>
      </c>
      <c r="DM170" s="150">
        <f t="shared" si="389"/>
        <v>9.418342060747861</v>
      </c>
      <c r="DN170" s="150">
        <f t="shared" si="390"/>
        <v>11.936842105263159</v>
      </c>
      <c r="DO170" s="150">
        <f t="shared" si="391"/>
        <v>5.5527674404867398</v>
      </c>
      <c r="DQ170" s="314">
        <f t="shared" si="392"/>
        <v>2400</v>
      </c>
      <c r="DR170" s="144">
        <f t="shared" si="393"/>
        <v>215.02340538702128</v>
      </c>
      <c r="DT170">
        <f t="shared" si="430"/>
        <v>2400</v>
      </c>
      <c r="DU170">
        <f t="shared" si="431"/>
        <v>215.02340538702128</v>
      </c>
      <c r="DW170" s="5">
        <f t="shared" si="394"/>
        <v>4.650656509695291</v>
      </c>
      <c r="DX170" s="5">
        <f t="shared" si="395"/>
        <v>2.8051578947368423</v>
      </c>
      <c r="DY170" s="5">
        <f t="shared" si="396"/>
        <v>1.8454986149584487</v>
      </c>
      <c r="DZ170" s="5"/>
      <c r="EA170" s="150">
        <f t="shared" si="397"/>
        <v>0.60317460317460325</v>
      </c>
      <c r="EB170" s="150">
        <f t="shared" si="398"/>
        <v>72.000000000000014</v>
      </c>
      <c r="EC170" s="150">
        <f t="shared" si="399"/>
        <v>2.3684210526315788</v>
      </c>
      <c r="ED170" s="150">
        <f t="shared" si="400"/>
        <v>30.400000000000009</v>
      </c>
      <c r="EE170" s="144">
        <f t="shared" si="401"/>
        <v>22.441263157894738</v>
      </c>
      <c r="EF170" s="5">
        <f t="shared" si="402"/>
        <v>3.9081147140296562</v>
      </c>
      <c r="EH170" s="150">
        <f t="shared" si="403"/>
        <v>5.3524219800602033</v>
      </c>
      <c r="EI170" s="150">
        <f t="shared" si="404"/>
        <v>4.3413875004844797</v>
      </c>
      <c r="EK170" s="456">
        <f t="shared" si="405"/>
        <v>0.34378105263157904</v>
      </c>
      <c r="EL170" s="456">
        <f t="shared" si="406"/>
        <v>2.4578723404255323</v>
      </c>
      <c r="EM170" s="456">
        <f t="shared" si="407"/>
        <v>2.4727691619507448E-2</v>
      </c>
      <c r="EN170" s="456">
        <f t="shared" si="408"/>
        <v>0.28265531914893616</v>
      </c>
      <c r="EO170">
        <f t="shared" si="409"/>
        <v>8.9999999999999993E-3</v>
      </c>
      <c r="EP170" s="144">
        <f t="shared" si="410"/>
        <v>33.727691619507446</v>
      </c>
      <c r="EQ170" s="144"/>
      <c r="ER170" s="144">
        <f t="shared" si="432"/>
        <v>3118.0364038255548</v>
      </c>
      <c r="ES170" s="456">
        <f t="shared" si="411"/>
        <v>1.68</v>
      </c>
      <c r="EV170" s="144">
        <f t="shared" ref="EV170:EV210" si="494">SUM(ES170:EU170)*1000</f>
        <v>1680</v>
      </c>
      <c r="EW170" s="456">
        <f t="shared" si="413"/>
        <v>0.40107789473684224</v>
      </c>
      <c r="EX170" s="456">
        <f t="shared" si="414"/>
        <v>0.2638670360110803</v>
      </c>
      <c r="EY170" s="456">
        <f t="shared" si="415"/>
        <v>16.688141232989658</v>
      </c>
      <c r="EZ170" s="456"/>
      <c r="FA170" s="456">
        <f t="shared" si="416"/>
        <v>3.063829787234043</v>
      </c>
      <c r="FB170" s="144">
        <f t="shared" si="417"/>
        <v>20416.915950971619</v>
      </c>
      <c r="FC170" s="150">
        <f t="shared" si="418"/>
        <v>25.214952354797177</v>
      </c>
      <c r="FD170" s="5">
        <f t="shared" si="419"/>
        <v>72</v>
      </c>
      <c r="FE170" s="150">
        <f t="shared" si="420"/>
        <v>0.74062680951822824</v>
      </c>
      <c r="FF170" s="5">
        <f t="shared" si="421"/>
        <v>74.062680951822827</v>
      </c>
      <c r="FI170" s="59">
        <f t="shared" si="422"/>
        <v>-50</v>
      </c>
      <c r="FJ170">
        <f t="shared" si="423"/>
        <v>-50</v>
      </c>
      <c r="FL170">
        <f t="shared" si="475"/>
        <v>0.39682539682539675</v>
      </c>
    </row>
    <row r="171" spans="5:168">
      <c r="E171" s="147">
        <v>61</v>
      </c>
      <c r="F171" s="188">
        <f t="shared" si="476"/>
        <v>2.44</v>
      </c>
      <c r="G171" s="188"/>
      <c r="H171" s="188">
        <f t="shared" si="442"/>
        <v>73.2</v>
      </c>
      <c r="I171" s="465">
        <f t="shared" si="443"/>
        <v>19.835754247398388</v>
      </c>
      <c r="J171" s="149">
        <f t="shared" si="444"/>
        <v>30.488440020631636</v>
      </c>
      <c r="K171" s="149">
        <f t="shared" si="445"/>
        <v>50.324194268030027</v>
      </c>
      <c r="L171" s="379"/>
      <c r="M171" s="188">
        <f t="shared" si="446"/>
        <v>0.60582213898423765</v>
      </c>
      <c r="N171" s="149">
        <f t="shared" si="447"/>
        <v>182.84187300510206</v>
      </c>
      <c r="O171" s="149">
        <f t="shared" si="438"/>
        <v>73.2</v>
      </c>
      <c r="P171" s="188">
        <f t="shared" si="448"/>
        <v>6.0947291001700687</v>
      </c>
      <c r="Q171" s="188">
        <f t="shared" si="449"/>
        <v>30</v>
      </c>
      <c r="R171" s="188"/>
      <c r="S171" s="149">
        <f t="shared" si="450"/>
        <v>103.41351474342389</v>
      </c>
      <c r="T171" s="149">
        <f t="shared" si="451"/>
        <v>30</v>
      </c>
      <c r="U171" s="188">
        <f t="shared" si="452"/>
        <v>12.380198084754586</v>
      </c>
      <c r="V171" s="188">
        <f t="shared" si="453"/>
        <v>2.9334367764703586</v>
      </c>
      <c r="W171" s="188">
        <f t="shared" si="454"/>
        <v>1.9084915777577089</v>
      </c>
      <c r="X171" s="172">
        <f t="shared" si="455"/>
        <v>350</v>
      </c>
      <c r="Y171" s="379">
        <f t="shared" si="328"/>
        <v>198.33681277152988</v>
      </c>
      <c r="AA171" s="188">
        <f t="shared" si="456"/>
        <v>7.3053527314138629</v>
      </c>
      <c r="AB171" s="150">
        <f t="shared" si="457"/>
        <v>1.1261697159451398</v>
      </c>
      <c r="AC171" s="150">
        <f t="shared" si="458"/>
        <v>1.4397367268226953</v>
      </c>
      <c r="AD171" s="150"/>
      <c r="AE171" s="150">
        <f t="shared" si="459"/>
        <v>0.93428356667552304</v>
      </c>
      <c r="AF171" s="314">
        <f t="shared" si="460"/>
        <v>861.83684345980384</v>
      </c>
      <c r="AG171" s="456">
        <f t="shared" si="461"/>
        <v>0.99090681314070617</v>
      </c>
      <c r="AI171" s="150">
        <f t="shared" si="462"/>
        <v>9.5103075516440896</v>
      </c>
      <c r="AJ171" s="150">
        <f t="shared" si="463"/>
        <v>12.380198084754586</v>
      </c>
      <c r="AK171" s="150">
        <f t="shared" si="464"/>
        <v>5.881179277147055</v>
      </c>
      <c r="AM171" s="314">
        <f t="shared" si="465"/>
        <v>2440</v>
      </c>
      <c r="AN171" s="144">
        <f t="shared" si="466"/>
        <v>198.33681277152988</v>
      </c>
      <c r="AP171">
        <f t="shared" si="467"/>
        <v>2440</v>
      </c>
      <c r="AQ171">
        <f t="shared" si="468"/>
        <v>198.33681277152988</v>
      </c>
      <c r="AS171" s="5">
        <f t="shared" si="439"/>
        <v>5.0419283542280668</v>
      </c>
      <c r="AT171" s="5">
        <f t="shared" si="469"/>
        <v>2.9334367764703586</v>
      </c>
      <c r="AU171" s="5">
        <f t="shared" si="477"/>
        <v>2.1084915777577082</v>
      </c>
      <c r="AV171" s="5"/>
      <c r="AW171" s="150">
        <f t="shared" si="478"/>
        <v>0.58180850071192169</v>
      </c>
      <c r="AX171" s="150">
        <f t="shared" si="435"/>
        <v>71.437521627949351</v>
      </c>
      <c r="AY171" s="150">
        <f t="shared" si="436"/>
        <v>2.5886467992734579</v>
      </c>
      <c r="AZ171" s="150">
        <f t="shared" si="440"/>
        <v>27.596473048389356</v>
      </c>
      <c r="BA171" s="144">
        <f t="shared" si="433"/>
        <v>23.85861911529225</v>
      </c>
      <c r="BB171" s="5">
        <f t="shared" si="434"/>
        <v>4.577046359193921</v>
      </c>
      <c r="BD171" s="150">
        <f t="shared" si="441"/>
        <v>5.4520144388662564</v>
      </c>
      <c r="BE171" s="150">
        <f t="shared" si="437"/>
        <v>4.6222620830405354</v>
      </c>
      <c r="BG171" s="456">
        <f t="shared" si="479"/>
        <v>0.35669353729927372</v>
      </c>
      <c r="BH171" s="456">
        <f t="shared" si="470"/>
        <v>2.2551250151598339</v>
      </c>
      <c r="BI171" s="456">
        <f t="shared" si="480"/>
        <v>2.2808733468725938E-2</v>
      </c>
      <c r="BJ171" s="456">
        <f t="shared" si="481"/>
        <v>0.2599365464042932</v>
      </c>
      <c r="BK171">
        <f t="shared" si="482"/>
        <v>8.9260894113292744E-3</v>
      </c>
      <c r="BL171" s="144">
        <f t="shared" si="427"/>
        <v>31.734822880055212</v>
      </c>
      <c r="BM171" s="456">
        <f t="shared" si="471"/>
        <v>3.2428993178986714</v>
      </c>
      <c r="BN171" s="144">
        <f t="shared" si="353"/>
        <v>3242.8993178986711</v>
      </c>
      <c r="BO171" s="456">
        <f t="shared" si="483"/>
        <v>1.708</v>
      </c>
      <c r="BR171" s="144">
        <f t="shared" si="484"/>
        <v>1708</v>
      </c>
      <c r="BS171" s="456">
        <f t="shared" si="485"/>
        <v>0.41614246018248602</v>
      </c>
      <c r="BT171" s="456">
        <f t="shared" si="486"/>
        <v>0.29911429470039924</v>
      </c>
      <c r="BU171" s="456">
        <f t="shared" si="487"/>
        <v>14.938167091455137</v>
      </c>
      <c r="BV171" s="456"/>
      <c r="BW171" s="456">
        <f t="shared" si="488"/>
        <v>3.039894537359547</v>
      </c>
      <c r="BX171" s="144">
        <f t="shared" si="489"/>
        <v>18693.31838369757</v>
      </c>
      <c r="BY171" s="150">
        <f t="shared" si="490"/>
        <v>23.304808305441025</v>
      </c>
      <c r="BZ171" s="5">
        <f t="shared" si="491"/>
        <v>73.2</v>
      </c>
      <c r="CA171" s="150">
        <f t="shared" si="492"/>
        <v>0.75851142844944563</v>
      </c>
      <c r="CB171" s="5">
        <f t="shared" si="493"/>
        <v>75.851142844944562</v>
      </c>
      <c r="CE171" s="59">
        <f t="shared" si="472"/>
        <v>-50</v>
      </c>
      <c r="CF171">
        <f t="shared" si="473"/>
        <v>-50</v>
      </c>
      <c r="CG171" s="150">
        <f t="shared" si="474"/>
        <v>0.38625047524898598</v>
      </c>
      <c r="CI171" s="147">
        <v>61</v>
      </c>
      <c r="CJ171" s="188">
        <f t="shared" si="428"/>
        <v>2.44</v>
      </c>
      <c r="CK171" s="188"/>
      <c r="CL171" s="188">
        <f t="shared" si="368"/>
        <v>73.2</v>
      </c>
      <c r="CM171" s="465">
        <f t="shared" si="369"/>
        <v>20</v>
      </c>
      <c r="CN171" s="379">
        <f t="shared" si="370"/>
        <v>30.4</v>
      </c>
      <c r="CO171" s="379">
        <f t="shared" si="371"/>
        <v>50.4</v>
      </c>
      <c r="CP171" s="379"/>
      <c r="CQ171" s="188">
        <f t="shared" si="372"/>
        <v>0.60317460317460314</v>
      </c>
      <c r="CR171" s="149">
        <f t="shared" si="429"/>
        <v>183.55019291189507</v>
      </c>
      <c r="CS171" s="149">
        <f t="shared" si="373"/>
        <v>73.2</v>
      </c>
      <c r="CT171" s="188">
        <f t="shared" si="374"/>
        <v>6.1183397637298356</v>
      </c>
      <c r="CU171" s="188">
        <f t="shared" si="375"/>
        <v>30</v>
      </c>
      <c r="CV171" s="188"/>
      <c r="CW171" s="149">
        <f t="shared" si="376"/>
        <v>104.26917843040758</v>
      </c>
      <c r="CX171" s="149">
        <f t="shared" si="377"/>
        <v>30</v>
      </c>
      <c r="CY171" s="188">
        <f t="shared" si="378"/>
        <v>12.135789473684211</v>
      </c>
      <c r="CZ171" s="188">
        <f t="shared" si="379"/>
        <v>2.8519105263157898</v>
      </c>
      <c r="DA171" s="188">
        <f t="shared" si="380"/>
        <v>1.8762569252077566</v>
      </c>
      <c r="DB171" s="172">
        <f t="shared" si="381"/>
        <v>350</v>
      </c>
      <c r="DC171" s="379">
        <f t="shared" si="382"/>
        <v>211.49843152821762</v>
      </c>
      <c r="DE171" s="188">
        <f t="shared" si="383"/>
        <v>7.3334298258310406</v>
      </c>
      <c r="DF171" s="150">
        <f t="shared" si="384"/>
        <v>1.1337868480725624</v>
      </c>
      <c r="DG171" s="150">
        <f t="shared" si="385"/>
        <v>1.4550456003633017</v>
      </c>
      <c r="DH171" s="150"/>
      <c r="DI171" s="150">
        <f t="shared" si="386"/>
        <v>0.93700159489633172</v>
      </c>
      <c r="DJ171" s="314">
        <f t="shared" si="387"/>
        <v>859.33685106382973</v>
      </c>
      <c r="DK171" s="456">
        <f t="shared" si="388"/>
        <v>0.99378957034459414</v>
      </c>
      <c r="DM171" s="150">
        <f t="shared" si="389"/>
        <v>9.4965039159755946</v>
      </c>
      <c r="DN171" s="150">
        <f t="shared" si="390"/>
        <v>12.135789473684211</v>
      </c>
      <c r="DO171" s="150">
        <f t="shared" si="391"/>
        <v>5.7001358615393709</v>
      </c>
      <c r="DQ171" s="314">
        <f t="shared" si="392"/>
        <v>2440</v>
      </c>
      <c r="DR171" s="144">
        <f t="shared" si="393"/>
        <v>211.49843152821762</v>
      </c>
      <c r="DT171">
        <f t="shared" si="430"/>
        <v>2440</v>
      </c>
      <c r="DU171">
        <f t="shared" si="431"/>
        <v>211.49843152821762</v>
      </c>
      <c r="DW171" s="5">
        <f t="shared" si="394"/>
        <v>4.7281674515235466</v>
      </c>
      <c r="DX171" s="5">
        <f t="shared" si="395"/>
        <v>2.8519105263157898</v>
      </c>
      <c r="DY171" s="5">
        <f t="shared" si="396"/>
        <v>1.8762569252077568</v>
      </c>
      <c r="DZ171" s="5"/>
      <c r="EA171" s="150">
        <f t="shared" si="397"/>
        <v>0.60317460317460314</v>
      </c>
      <c r="EB171" s="150">
        <f t="shared" si="398"/>
        <v>73.199999999999989</v>
      </c>
      <c r="EC171" s="150">
        <f t="shared" si="399"/>
        <v>2.4078947368421058</v>
      </c>
      <c r="ED171" s="150">
        <f t="shared" si="400"/>
        <v>30.399999999999988</v>
      </c>
      <c r="EE171" s="144">
        <f t="shared" si="401"/>
        <v>23.195538947368423</v>
      </c>
      <c r="EF171" s="5">
        <f t="shared" si="402"/>
        <v>4.0394707919178758</v>
      </c>
      <c r="EH171" s="150">
        <f t="shared" si="403"/>
        <v>5.4416290130612062</v>
      </c>
      <c r="EI171" s="150">
        <f t="shared" si="404"/>
        <v>4.4137439588258882</v>
      </c>
      <c r="EK171" s="456">
        <f t="shared" si="405"/>
        <v>0.35533591578947371</v>
      </c>
      <c r="EL171" s="456">
        <f t="shared" si="406"/>
        <v>2.4578723404255318</v>
      </c>
      <c r="EM171" s="456">
        <f t="shared" si="407"/>
        <v>2.4322319625745027E-2</v>
      </c>
      <c r="EN171" s="456">
        <f t="shared" si="408"/>
        <v>0.27802162539239622</v>
      </c>
      <c r="EO171">
        <f t="shared" si="409"/>
        <v>8.9999999999999993E-3</v>
      </c>
      <c r="EP171" s="144">
        <f t="shared" si="410"/>
        <v>33.322319625745031</v>
      </c>
      <c r="EQ171" s="144"/>
      <c r="ER171" s="144">
        <f t="shared" si="432"/>
        <v>3124.5522012331471</v>
      </c>
      <c r="ES171" s="456">
        <f t="shared" si="411"/>
        <v>1.708</v>
      </c>
      <c r="EV171" s="144">
        <f t="shared" si="494"/>
        <v>1708</v>
      </c>
      <c r="EW171" s="456">
        <f t="shared" si="413"/>
        <v>0.41455856842105265</v>
      </c>
      <c r="EX171" s="456">
        <f t="shared" si="414"/>
        <v>0.27273590027700834</v>
      </c>
      <c r="EY171" s="456">
        <f t="shared" si="415"/>
        <v>16.688141232989647</v>
      </c>
      <c r="EZ171" s="456"/>
      <c r="FA171" s="456">
        <f t="shared" si="416"/>
        <v>3.1148936170212762</v>
      </c>
      <c r="FB171" s="144">
        <f t="shared" si="417"/>
        <v>20490.329318708984</v>
      </c>
      <c r="FC171" s="150">
        <f t="shared" si="418"/>
        <v>25.322881519942133</v>
      </c>
      <c r="FD171" s="5">
        <f t="shared" si="419"/>
        <v>73.2</v>
      </c>
      <c r="FE171" s="150">
        <f t="shared" si="420"/>
        <v>0.74297461534540588</v>
      </c>
      <c r="FF171" s="5">
        <f t="shared" si="421"/>
        <v>74.297461534540588</v>
      </c>
      <c r="FI171" s="59">
        <f t="shared" si="422"/>
        <v>-50</v>
      </c>
      <c r="FJ171">
        <f t="shared" si="423"/>
        <v>-50</v>
      </c>
      <c r="FL171">
        <f t="shared" si="475"/>
        <v>0.39682539682539686</v>
      </c>
    </row>
    <row r="172" spans="5:168">
      <c r="E172" s="147">
        <v>62</v>
      </c>
      <c r="F172" s="188">
        <f t="shared" si="476"/>
        <v>2.48</v>
      </c>
      <c r="G172" s="188"/>
      <c r="H172" s="188">
        <f t="shared" si="442"/>
        <v>74.400000000000006</v>
      </c>
      <c r="I172" s="465">
        <f t="shared" si="443"/>
        <v>19.83313537935134</v>
      </c>
      <c r="J172" s="149">
        <f t="shared" si="444"/>
        <v>30.489850180349276</v>
      </c>
      <c r="K172" s="149">
        <f t="shared" si="445"/>
        <v>50.322985559700612</v>
      </c>
      <c r="L172" s="379"/>
      <c r="M172" s="188">
        <f t="shared" si="446"/>
        <v>0.60586472255381618</v>
      </c>
      <c r="N172" s="149">
        <f t="shared" si="447"/>
        <v>182.83058318048631</v>
      </c>
      <c r="O172" s="149">
        <f t="shared" si="438"/>
        <v>74.400000000000006</v>
      </c>
      <c r="P172" s="188">
        <f t="shared" si="448"/>
        <v>6.0943527726828775</v>
      </c>
      <c r="Q172" s="188">
        <f t="shared" si="449"/>
        <v>30</v>
      </c>
      <c r="R172" s="188"/>
      <c r="S172" s="149">
        <f t="shared" si="450"/>
        <v>101.41496490785087</v>
      </c>
      <c r="T172" s="149">
        <f t="shared" si="451"/>
        <v>30</v>
      </c>
      <c r="U172" s="188">
        <f t="shared" si="452"/>
        <v>12.584511673602346</v>
      </c>
      <c r="V172" s="188">
        <f t="shared" si="453"/>
        <v>2.9822417754234825</v>
      </c>
      <c r="W172" s="188">
        <f t="shared" si="454"/>
        <v>1.939898179757257</v>
      </c>
      <c r="X172" s="172">
        <f t="shared" si="455"/>
        <v>350</v>
      </c>
      <c r="Y172" s="379">
        <f t="shared" si="328"/>
        <v>195.23090129322989</v>
      </c>
      <c r="AA172" s="188">
        <f t="shared" si="456"/>
        <v>7.3049015197178715</v>
      </c>
      <c r="AB172" s="150">
        <f t="shared" si="457"/>
        <v>1.12604807631366</v>
      </c>
      <c r="AC172" s="150">
        <f t="shared" si="458"/>
        <v>1.4394923031893321</v>
      </c>
      <c r="AD172" s="150"/>
      <c r="AE172" s="150">
        <f t="shared" si="459"/>
        <v>0.9342403559334963</v>
      </c>
      <c r="AF172" s="314">
        <f t="shared" si="460"/>
        <v>876.00583169226491</v>
      </c>
      <c r="AG172" s="456">
        <f t="shared" si="461"/>
        <v>0.9908609835658293</v>
      </c>
      <c r="AI172" s="150">
        <f t="shared" si="462"/>
        <v>9.5881657330448675</v>
      </c>
      <c r="AJ172" s="150">
        <f t="shared" si="463"/>
        <v>12.584511673602346</v>
      </c>
      <c r="AK172" s="150">
        <f t="shared" si="464"/>
        <v>6.0325226762935458</v>
      </c>
      <c r="AM172" s="314">
        <f t="shared" si="465"/>
        <v>2480</v>
      </c>
      <c r="AN172" s="144">
        <f t="shared" si="466"/>
        <v>195.23090129322989</v>
      </c>
      <c r="AP172">
        <f t="shared" si="467"/>
        <v>2480</v>
      </c>
      <c r="AQ172">
        <f t="shared" si="468"/>
        <v>195.23090129322989</v>
      </c>
      <c r="AS172" s="5">
        <f t="shared" si="439"/>
        <v>5.1221399551807396</v>
      </c>
      <c r="AT172" s="5">
        <f t="shared" si="469"/>
        <v>2.9822417754234825</v>
      </c>
      <c r="AU172" s="5">
        <f t="shared" si="477"/>
        <v>2.1398981797572572</v>
      </c>
      <c r="AV172" s="5"/>
      <c r="AW172" s="150">
        <f t="shared" si="478"/>
        <v>0.58222574969024854</v>
      </c>
      <c r="AX172" s="150">
        <f t="shared" si="435"/>
        <v>72.658956667457332</v>
      </c>
      <c r="AY172" s="150">
        <f t="shared" si="436"/>
        <v>2.6287424649767681</v>
      </c>
      <c r="AZ172" s="150">
        <f t="shared" si="440"/>
        <v>27.640195886628806</v>
      </c>
      <c r="BA172" s="144">
        <f t="shared" si="433"/>
        <v>24.653198676834123</v>
      </c>
      <c r="BB172" s="5">
        <f t="shared" si="434"/>
        <v>4.7219974383254453</v>
      </c>
      <c r="BD172" s="150">
        <f t="shared" si="441"/>
        <v>5.5439773204275475</v>
      </c>
      <c r="BE172" s="150">
        <f t="shared" si="437"/>
        <v>4.6961998990243412</v>
      </c>
      <c r="BG172" s="456">
        <f t="shared" si="479"/>
        <v>0.36882821435298013</v>
      </c>
      <c r="BH172" s="456">
        <f t="shared" si="470"/>
        <v>2.2563901488469127</v>
      </c>
      <c r="BI172" s="456">
        <f t="shared" si="480"/>
        <v>2.2451553648721437E-2</v>
      </c>
      <c r="BJ172" s="456">
        <f t="shared" si="481"/>
        <v>0.25585370560192111</v>
      </c>
      <c r="BK172">
        <f t="shared" si="482"/>
        <v>8.9249109207081029E-3</v>
      </c>
      <c r="BL172" s="144">
        <f t="shared" si="427"/>
        <v>31.376464569429537</v>
      </c>
      <c r="BM172" s="456">
        <f t="shared" si="471"/>
        <v>3.2669502444683558</v>
      </c>
      <c r="BN172" s="144">
        <f t="shared" si="353"/>
        <v>3266.9502444683558</v>
      </c>
      <c r="BO172" s="456">
        <f t="shared" si="483"/>
        <v>1.736</v>
      </c>
      <c r="BR172" s="144">
        <f t="shared" si="484"/>
        <v>1736</v>
      </c>
      <c r="BS172" s="456">
        <f t="shared" si="485"/>
        <v>0.43029958341181018</v>
      </c>
      <c r="BT172" s="456">
        <f t="shared" si="486"/>
        <v>0.30876010888234728</v>
      </c>
      <c r="BU172" s="456">
        <f t="shared" si="487"/>
        <v>14.96002510318441</v>
      </c>
      <c r="BV172" s="456"/>
      <c r="BW172" s="456">
        <f t="shared" si="488"/>
        <v>3.0918704964875463</v>
      </c>
      <c r="BX172" s="144">
        <f t="shared" si="489"/>
        <v>18790.955291966115</v>
      </c>
      <c r="BY172" s="150">
        <f t="shared" si="490"/>
        <v>23.439403825337358</v>
      </c>
      <c r="BZ172" s="5">
        <f t="shared" si="491"/>
        <v>74.400000000000006</v>
      </c>
      <c r="CA172" s="150">
        <f t="shared" si="492"/>
        <v>0.76042981754895678</v>
      </c>
      <c r="CB172" s="5">
        <f t="shared" si="493"/>
        <v>76.042981754895678</v>
      </c>
      <c r="CE172" s="59">
        <f t="shared" si="472"/>
        <v>-50</v>
      </c>
      <c r="CF172">
        <f t="shared" si="473"/>
        <v>-50</v>
      </c>
      <c r="CG172" s="150">
        <f t="shared" si="474"/>
        <v>0.38642103850021831</v>
      </c>
      <c r="CI172" s="147">
        <v>62</v>
      </c>
      <c r="CJ172" s="188">
        <f t="shared" si="428"/>
        <v>2.48</v>
      </c>
      <c r="CK172" s="188"/>
      <c r="CL172" s="188">
        <f t="shared" si="368"/>
        <v>74.400000000000006</v>
      </c>
      <c r="CM172" s="465">
        <f t="shared" si="369"/>
        <v>20</v>
      </c>
      <c r="CN172" s="379">
        <f t="shared" si="370"/>
        <v>30.4</v>
      </c>
      <c r="CO172" s="379">
        <f t="shared" si="371"/>
        <v>50.4</v>
      </c>
      <c r="CP172" s="379"/>
      <c r="CQ172" s="188">
        <f t="shared" si="372"/>
        <v>0.60317460317460314</v>
      </c>
      <c r="CR172" s="149">
        <f t="shared" si="429"/>
        <v>183.55019291189507</v>
      </c>
      <c r="CS172" s="149">
        <f t="shared" si="373"/>
        <v>74.400000000000006</v>
      </c>
      <c r="CT172" s="188">
        <f t="shared" si="374"/>
        <v>6.1183397637298356</v>
      </c>
      <c r="CU172" s="188">
        <f t="shared" si="375"/>
        <v>30</v>
      </c>
      <c r="CV172" s="188"/>
      <c r="CW172" s="149">
        <f t="shared" si="376"/>
        <v>102.26755971878872</v>
      </c>
      <c r="CX172" s="149">
        <f t="shared" si="377"/>
        <v>30</v>
      </c>
      <c r="CY172" s="188">
        <f t="shared" si="378"/>
        <v>12.334736842105265</v>
      </c>
      <c r="CZ172" s="188">
        <f t="shared" si="379"/>
        <v>2.8986631578947368</v>
      </c>
      <c r="DA172" s="188">
        <f t="shared" si="380"/>
        <v>1.907015235457064</v>
      </c>
      <c r="DB172" s="172">
        <f t="shared" si="381"/>
        <v>350</v>
      </c>
      <c r="DC172" s="379">
        <f t="shared" si="382"/>
        <v>208.08716650356897</v>
      </c>
      <c r="DE172" s="188">
        <f t="shared" si="383"/>
        <v>7.3334298258310406</v>
      </c>
      <c r="DF172" s="150">
        <f t="shared" si="384"/>
        <v>1.1337868480725624</v>
      </c>
      <c r="DG172" s="150">
        <f t="shared" si="385"/>
        <v>1.4550456003633017</v>
      </c>
      <c r="DH172" s="150"/>
      <c r="DI172" s="150">
        <f t="shared" si="386"/>
        <v>0.93700159489633172</v>
      </c>
      <c r="DJ172" s="314">
        <f t="shared" si="387"/>
        <v>873.42434042553191</v>
      </c>
      <c r="DK172" s="456">
        <f t="shared" si="388"/>
        <v>0.99378957034459414</v>
      </c>
      <c r="DM172" s="150">
        <f t="shared" si="389"/>
        <v>9.5740276832181426</v>
      </c>
      <c r="DN172" s="150">
        <f t="shared" si="390"/>
        <v>12.334736842105265</v>
      </c>
      <c r="DO172" s="150">
        <f t="shared" si="391"/>
        <v>5.8475042825920029</v>
      </c>
      <c r="DQ172" s="314">
        <f t="shared" si="392"/>
        <v>2480</v>
      </c>
      <c r="DR172" s="144">
        <f t="shared" si="393"/>
        <v>208.08716650356897</v>
      </c>
      <c r="DT172">
        <f t="shared" si="430"/>
        <v>2480</v>
      </c>
      <c r="DU172">
        <f t="shared" si="431"/>
        <v>208.08716650356897</v>
      </c>
      <c r="DW172" s="5">
        <f t="shared" si="394"/>
        <v>4.8056783933518004</v>
      </c>
      <c r="DX172" s="5">
        <f t="shared" si="395"/>
        <v>2.8986631578947368</v>
      </c>
      <c r="DY172" s="5">
        <f t="shared" si="396"/>
        <v>1.9070152354570635</v>
      </c>
      <c r="DZ172" s="5"/>
      <c r="EA172" s="150">
        <f t="shared" si="397"/>
        <v>0.60317460317460325</v>
      </c>
      <c r="EB172" s="150">
        <f t="shared" si="398"/>
        <v>74.400000000000006</v>
      </c>
      <c r="EC172" s="150">
        <f t="shared" si="399"/>
        <v>2.4473684210526314</v>
      </c>
      <c r="ED172" s="150">
        <f t="shared" si="400"/>
        <v>30.400000000000006</v>
      </c>
      <c r="EE172" s="144">
        <f t="shared" si="401"/>
        <v>23.962282105263156</v>
      </c>
      <c r="EF172" s="5">
        <f t="shared" si="402"/>
        <v>4.1729980446472208</v>
      </c>
      <c r="EH172" s="150">
        <f t="shared" si="403"/>
        <v>5.5308360460622108</v>
      </c>
      <c r="EI172" s="150">
        <f t="shared" si="404"/>
        <v>4.4861004171672958</v>
      </c>
      <c r="EK172" s="456">
        <f t="shared" si="405"/>
        <v>0.36708176842105283</v>
      </c>
      <c r="EL172" s="456">
        <f t="shared" si="406"/>
        <v>2.4578723404255323</v>
      </c>
      <c r="EM172" s="456">
        <f t="shared" si="407"/>
        <v>2.3930024147910435E-2</v>
      </c>
      <c r="EN172" s="456">
        <f t="shared" si="408"/>
        <v>0.27353740562800272</v>
      </c>
      <c r="EO172">
        <f t="shared" si="409"/>
        <v>8.9999999999999993E-3</v>
      </c>
      <c r="EP172" s="144">
        <f t="shared" si="410"/>
        <v>32.930024147910437</v>
      </c>
      <c r="EQ172" s="144"/>
      <c r="ER172" s="144">
        <f t="shared" si="432"/>
        <v>3131.4215386224982</v>
      </c>
      <c r="ES172" s="456">
        <f t="shared" si="411"/>
        <v>1.736</v>
      </c>
      <c r="EV172" s="144">
        <f t="shared" si="494"/>
        <v>1736</v>
      </c>
      <c r="EW172" s="456">
        <f t="shared" si="413"/>
        <v>0.42826206315789495</v>
      </c>
      <c r="EX172" s="456">
        <f t="shared" si="414"/>
        <v>0.28175135734072021</v>
      </c>
      <c r="EY172" s="456">
        <f t="shared" si="415"/>
        <v>16.688141232989675</v>
      </c>
      <c r="EZ172" s="456"/>
      <c r="FA172" s="456">
        <f t="shared" si="416"/>
        <v>3.1659574468085117</v>
      </c>
      <c r="FB172" s="144">
        <f t="shared" si="417"/>
        <v>20564.112100296803</v>
      </c>
      <c r="FC172" s="150">
        <f t="shared" si="418"/>
        <v>25.431533638919301</v>
      </c>
      <c r="FD172" s="5">
        <f t="shared" si="419"/>
        <v>74.400000000000006</v>
      </c>
      <c r="FE172" s="150">
        <f t="shared" si="420"/>
        <v>0.74525550482974023</v>
      </c>
      <c r="FF172" s="5">
        <f t="shared" si="421"/>
        <v>74.525550482974026</v>
      </c>
      <c r="FI172" s="59">
        <f t="shared" si="422"/>
        <v>-50</v>
      </c>
      <c r="FJ172">
        <f t="shared" si="423"/>
        <v>-50</v>
      </c>
      <c r="FL172">
        <f t="shared" si="475"/>
        <v>0.39682539682539675</v>
      </c>
    </row>
    <row r="173" spans="5:168">
      <c r="E173" s="147">
        <v>63</v>
      </c>
      <c r="F173" s="188">
        <f t="shared" si="476"/>
        <v>2.52</v>
      </c>
      <c r="G173" s="188"/>
      <c r="H173" s="188">
        <f t="shared" si="442"/>
        <v>75.599999999999994</v>
      </c>
      <c r="I173" s="465">
        <f t="shared" si="443"/>
        <v>19.830516448348003</v>
      </c>
      <c r="J173" s="149">
        <f t="shared" si="444"/>
        <v>30.491260373966458</v>
      </c>
      <c r="K173" s="149">
        <f t="shared" si="445"/>
        <v>50.321776822314462</v>
      </c>
      <c r="L173" s="379"/>
      <c r="M173" s="188">
        <f t="shared" si="446"/>
        <v>0.60590730892547995</v>
      </c>
      <c r="N173" s="149">
        <f t="shared" si="447"/>
        <v>182.81929022728559</v>
      </c>
      <c r="O173" s="149">
        <f t="shared" si="438"/>
        <v>75.599999999999994</v>
      </c>
      <c r="P173" s="188">
        <f>N173/Vout</f>
        <v>6.0939763409095198</v>
      </c>
      <c r="Q173" s="188">
        <f t="shared" si="449"/>
        <v>30</v>
      </c>
      <c r="R173" s="188"/>
      <c r="S173" s="149">
        <f t="shared" si="450"/>
        <v>99.480000294842654</v>
      </c>
      <c r="T173" s="149">
        <f t="shared" si="451"/>
        <v>30</v>
      </c>
      <c r="U173" s="188">
        <f t="shared" si="452"/>
        <v>12.788869507470698</v>
      </c>
      <c r="V173" s="188">
        <f t="shared" si="453"/>
        <v>3.0310701610658053</v>
      </c>
      <c r="W173" s="188">
        <f t="shared" si="454"/>
        <v>1.9713086946196698</v>
      </c>
      <c r="X173" s="172">
        <f t="shared" si="455"/>
        <v>350</v>
      </c>
      <c r="Y173" s="379">
        <f t="shared" si="328"/>
        <v>192.21975710345265</v>
      </c>
      <c r="AA173" s="188">
        <f t="shared" si="456"/>
        <v>7.304450186269424</v>
      </c>
      <c r="AB173" s="150">
        <f t="shared" si="457"/>
        <v>1.1259264279143457</v>
      </c>
      <c r="AC173" s="150">
        <f t="shared" si="458"/>
        <v>1.4392478635683066</v>
      </c>
      <c r="AD173" s="150"/>
      <c r="AE173" s="150">
        <f t="shared" si="459"/>
        <v>0.93419714814966925</v>
      </c>
      <c r="AF173" s="314">
        <f t="shared" si="460"/>
        <v>890.17612786243274</v>
      </c>
      <c r="AG173" s="456">
        <f t="shared" si="461"/>
        <v>0.99081515712843715</v>
      </c>
      <c r="AI173" s="150">
        <f t="shared" si="462"/>
        <v>9.6654038603706276</v>
      </c>
      <c r="AJ173" s="150">
        <f t="shared" si="463"/>
        <v>12.788869507470698</v>
      </c>
      <c r="AK173" s="150">
        <f t="shared" si="464"/>
        <v>6.1838988495293616</v>
      </c>
      <c r="AM173" s="314">
        <f t="shared" si="465"/>
        <v>2520</v>
      </c>
      <c r="AN173" s="144">
        <f t="shared" si="466"/>
        <v>192.21975710345265</v>
      </c>
      <c r="AP173">
        <f t="shared" si="467"/>
        <v>2520</v>
      </c>
      <c r="AQ173">
        <f t="shared" si="468"/>
        <v>192.21975710345265</v>
      </c>
      <c r="AS173" s="5">
        <f t="shared" si="439"/>
        <v>5.2023788556854749</v>
      </c>
      <c r="AT173" s="5">
        <f t="shared" si="469"/>
        <v>3.0310701610658053</v>
      </c>
      <c r="AU173" s="5">
        <f t="shared" si="477"/>
        <v>2.1713086946196696</v>
      </c>
      <c r="AV173" s="5"/>
      <c r="AW173" s="150">
        <f t="shared" si="478"/>
        <v>0.58263157012359224</v>
      </c>
      <c r="AX173" s="150">
        <f t="shared" si="435"/>
        <v>73.880563366866568</v>
      </c>
      <c r="AY173" s="150">
        <f t="shared" si="436"/>
        <v>2.6688351931136567</v>
      </c>
      <c r="AZ173" s="150">
        <f t="shared" si="440"/>
        <v>27.682699762615218</v>
      </c>
      <c r="BA173" s="144">
        <f t="shared" si="433"/>
        <v>25.460989352952765</v>
      </c>
      <c r="BB173" s="5">
        <f t="shared" si="434"/>
        <v>4.8692314767318745</v>
      </c>
      <c r="BD173" s="150">
        <f t="shared" si="441"/>
        <v>5.6359682171969352</v>
      </c>
      <c r="BE173" s="150">
        <f t="shared" si="437"/>
        <v>4.7701422076409088</v>
      </c>
      <c r="BG173" s="456">
        <f t="shared" si="479"/>
        <v>0.381169652943048</v>
      </c>
      <c r="BH173" s="456">
        <f t="shared" si="470"/>
        <v>2.2576104997465052</v>
      </c>
      <c r="BI173" s="456">
        <f t="shared" si="480"/>
        <v>2.2105272066897056E-2</v>
      </c>
      <c r="BJ173" s="456">
        <f t="shared" si="481"/>
        <v>0.25189544418511089</v>
      </c>
      <c r="BK173">
        <f t="shared" si="482"/>
        <v>8.9237324017566021E-3</v>
      </c>
      <c r="BL173" s="144">
        <f t="shared" si="427"/>
        <v>31.029004468653657</v>
      </c>
      <c r="BM173" s="456">
        <f t="shared" si="471"/>
        <v>3.2917079253678438</v>
      </c>
      <c r="BN173" s="144">
        <f t="shared" si="353"/>
        <v>3291.7079253678439</v>
      </c>
      <c r="BO173" s="456">
        <f t="shared" si="483"/>
        <v>1.7639999999999998</v>
      </c>
      <c r="BR173" s="144">
        <f t="shared" si="484"/>
        <v>1763.9999999999998</v>
      </c>
      <c r="BS173" s="456">
        <f t="shared" si="485"/>
        <v>0.44469792843355604</v>
      </c>
      <c r="BT173" s="456">
        <f t="shared" si="486"/>
        <v>0.31855959353564195</v>
      </c>
      <c r="BU173" s="456">
        <f t="shared" si="487"/>
        <v>14.981160426257574</v>
      </c>
      <c r="BV173" s="456"/>
      <c r="BW173" s="456">
        <f t="shared" si="488"/>
        <v>3.1438537602921945</v>
      </c>
      <c r="BX173" s="144">
        <f t="shared" si="489"/>
        <v>18888.271708518969</v>
      </c>
      <c r="BY173" s="150">
        <f t="shared" si="490"/>
        <v>23.573976309862285</v>
      </c>
      <c r="BZ173" s="5">
        <f t="shared" si="491"/>
        <v>75.599999999999994</v>
      </c>
      <c r="CA173" s="150">
        <f t="shared" si="492"/>
        <v>0.76229675175867695</v>
      </c>
      <c r="CB173" s="5">
        <f t="shared" si="493"/>
        <v>76.229675175867698</v>
      </c>
      <c r="CE173" s="59">
        <f t="shared" si="472"/>
        <v>-50</v>
      </c>
      <c r="CF173">
        <f t="shared" si="473"/>
        <v>-50</v>
      </c>
      <c r="CG173" s="150">
        <f t="shared" si="474"/>
        <v>0.38658618704506253</v>
      </c>
      <c r="CI173" s="147">
        <v>63</v>
      </c>
      <c r="CJ173" s="188">
        <f t="shared" si="428"/>
        <v>2.52</v>
      </c>
      <c r="CK173" s="188"/>
      <c r="CL173" s="188">
        <f t="shared" si="368"/>
        <v>75.599999999999994</v>
      </c>
      <c r="CM173" s="465">
        <f t="shared" si="369"/>
        <v>20</v>
      </c>
      <c r="CN173" s="379">
        <f t="shared" si="370"/>
        <v>30.4</v>
      </c>
      <c r="CO173" s="379">
        <f t="shared" si="371"/>
        <v>50.4</v>
      </c>
      <c r="CP173" s="379"/>
      <c r="CQ173" s="188">
        <f t="shared" si="372"/>
        <v>0.60317460317460314</v>
      </c>
      <c r="CR173" s="149">
        <f t="shared" si="429"/>
        <v>183.55019291189507</v>
      </c>
      <c r="CS173" s="149">
        <f t="shared" si="373"/>
        <v>75.599999999999994</v>
      </c>
      <c r="CT173" s="188">
        <f t="shared" si="374"/>
        <v>6.1183397637298356</v>
      </c>
      <c r="CU173" s="188">
        <f t="shared" si="375"/>
        <v>30</v>
      </c>
      <c r="CV173" s="188"/>
      <c r="CW173" s="149">
        <f t="shared" si="376"/>
        <v>100.32954084444575</v>
      </c>
      <c r="CX173" s="149">
        <f t="shared" si="377"/>
        <v>30</v>
      </c>
      <c r="CY173" s="188">
        <f t="shared" si="378"/>
        <v>12.533684210526316</v>
      </c>
      <c r="CZ173" s="188">
        <f t="shared" si="379"/>
        <v>2.9454157894736843</v>
      </c>
      <c r="DA173" s="188">
        <f t="shared" si="380"/>
        <v>1.9377735457063712</v>
      </c>
      <c r="DB173" s="172">
        <f t="shared" si="381"/>
        <v>350</v>
      </c>
      <c r="DC173" s="379">
        <f t="shared" si="382"/>
        <v>204.78419560668692</v>
      </c>
      <c r="DE173" s="188">
        <f t="shared" si="383"/>
        <v>7.3334298258310406</v>
      </c>
      <c r="DF173" s="150">
        <f t="shared" si="384"/>
        <v>1.1337868480725624</v>
      </c>
      <c r="DG173" s="150">
        <f t="shared" si="385"/>
        <v>1.4550456003633017</v>
      </c>
      <c r="DH173" s="150"/>
      <c r="DI173" s="150">
        <f t="shared" si="386"/>
        <v>0.93700159489633172</v>
      </c>
      <c r="DJ173" s="314">
        <f t="shared" si="387"/>
        <v>887.51182978723409</v>
      </c>
      <c r="DK173" s="456">
        <f t="shared" si="388"/>
        <v>0.99378957034459414</v>
      </c>
      <c r="DM173" s="150">
        <f t="shared" si="389"/>
        <v>9.6509287393449803</v>
      </c>
      <c r="DN173" s="150">
        <f t="shared" si="390"/>
        <v>12.533684210526316</v>
      </c>
      <c r="DO173" s="150">
        <f t="shared" si="391"/>
        <v>5.9948727036446332</v>
      </c>
      <c r="DQ173" s="314">
        <f t="shared" si="392"/>
        <v>2520</v>
      </c>
      <c r="DR173" s="144">
        <f t="shared" si="393"/>
        <v>204.78419560668692</v>
      </c>
      <c r="DT173">
        <f t="shared" si="430"/>
        <v>2520</v>
      </c>
      <c r="DU173">
        <f t="shared" si="431"/>
        <v>204.78419560668692</v>
      </c>
      <c r="DW173" s="5">
        <f t="shared" si="394"/>
        <v>4.8831893351800559</v>
      </c>
      <c r="DX173" s="5">
        <f t="shared" si="395"/>
        <v>2.9454157894736843</v>
      </c>
      <c r="DY173" s="5">
        <f t="shared" si="396"/>
        <v>1.9377735457063716</v>
      </c>
      <c r="DZ173" s="5"/>
      <c r="EA173" s="150">
        <f t="shared" si="397"/>
        <v>0.60317460317460314</v>
      </c>
      <c r="EB173" s="150">
        <f t="shared" si="398"/>
        <v>75.59999999999998</v>
      </c>
      <c r="EC173" s="150">
        <f t="shared" si="399"/>
        <v>2.486842105263158</v>
      </c>
      <c r="ED173" s="150">
        <f t="shared" si="400"/>
        <v>30.399999999999991</v>
      </c>
      <c r="EE173" s="144">
        <f t="shared" si="401"/>
        <v>24.74149263157895</v>
      </c>
      <c r="EF173" s="5">
        <f t="shared" si="402"/>
        <v>4.3086964722176964</v>
      </c>
      <c r="EH173" s="150">
        <f t="shared" si="403"/>
        <v>5.6200430790632128</v>
      </c>
      <c r="EI173" s="150">
        <f t="shared" si="404"/>
        <v>4.5584568755087043</v>
      </c>
      <c r="EK173" s="456">
        <f t="shared" si="405"/>
        <v>0.37901861052631586</v>
      </c>
      <c r="EL173" s="456">
        <f t="shared" si="406"/>
        <v>2.4578723404255318</v>
      </c>
      <c r="EM173" s="456">
        <f t="shared" si="407"/>
        <v>2.3550182494768999E-2</v>
      </c>
      <c r="EN173" s="456">
        <f t="shared" si="408"/>
        <v>0.26919554204660584</v>
      </c>
      <c r="EO173">
        <f t="shared" si="409"/>
        <v>8.9999999999999993E-3</v>
      </c>
      <c r="EP173" s="144">
        <f t="shared" si="410"/>
        <v>32.550182494769004</v>
      </c>
      <c r="EQ173" s="144"/>
      <c r="ER173" s="144">
        <f t="shared" si="432"/>
        <v>3138.6366754932224</v>
      </c>
      <c r="ES173" s="456">
        <f t="shared" si="411"/>
        <v>1.7639999999999998</v>
      </c>
      <c r="EV173" s="144">
        <f t="shared" si="494"/>
        <v>1763.9999999999998</v>
      </c>
      <c r="EW173" s="456">
        <f t="shared" si="413"/>
        <v>0.44218837894736845</v>
      </c>
      <c r="EX173" s="456">
        <f t="shared" si="414"/>
        <v>0.29091340720221609</v>
      </c>
      <c r="EY173" s="456">
        <f t="shared" si="415"/>
        <v>16.688141232989643</v>
      </c>
      <c r="EZ173" s="456"/>
      <c r="FA173" s="456">
        <f t="shared" si="416"/>
        <v>3.2170212765957444</v>
      </c>
      <c r="FB173" s="144">
        <f t="shared" si="417"/>
        <v>20638.264295734974</v>
      </c>
      <c r="FC173" s="150">
        <f t="shared" si="418"/>
        <v>25.540900971228194</v>
      </c>
      <c r="FD173" s="5">
        <f t="shared" si="419"/>
        <v>75.599999999999994</v>
      </c>
      <c r="FE173" s="150">
        <f t="shared" si="420"/>
        <v>0.74747208373698504</v>
      </c>
      <c r="FF173" s="5">
        <f t="shared" si="421"/>
        <v>74.747208373698498</v>
      </c>
      <c r="FI173" s="59">
        <f t="shared" si="422"/>
        <v>-50</v>
      </c>
      <c r="FJ173">
        <f t="shared" si="423"/>
        <v>-50</v>
      </c>
      <c r="FL173">
        <f t="shared" si="475"/>
        <v>0.39682539682539686</v>
      </c>
    </row>
    <row r="174" spans="5:168">
      <c r="E174" s="147">
        <v>64</v>
      </c>
      <c r="F174" s="188">
        <f t="shared" si="476"/>
        <v>2.56</v>
      </c>
      <c r="G174" s="188"/>
      <c r="H174" s="188">
        <f t="shared" ref="H174:H205" si="495">F174*Vout</f>
        <v>76.8</v>
      </c>
      <c r="I174" s="465">
        <f t="shared" ref="I174:I210" si="496">VIN_min-F174*(Rdcr_pri+RON/1000)/CG174/Nps</f>
        <v>19.827897457416366</v>
      </c>
      <c r="J174" s="149">
        <f t="shared" ref="J174:J210" si="497">(T174+Vfwd1+F174/CG174*Rdcr_sec)*Nps</f>
        <v>30.492670599852726</v>
      </c>
      <c r="K174" s="149">
        <f t="shared" ref="K174:K210" si="498">(Vout+Vfwd1+F174/CG174*Rdcr_sec)*Nps++I174</f>
        <v>50.320568057269092</v>
      </c>
      <c r="L174" s="379"/>
      <c r="M174" s="188">
        <f t="shared" ref="M174:M209" si="499">(Vout+Vfwd1+F174/FL174*Rdcr_sec)*Nps/((Vout+Vfwd1+F174/FL174*Rdcr_sec)*Nps+I174)</f>
        <v>0.60594989806312638</v>
      </c>
      <c r="N174" s="149">
        <f t="shared" ref="N174:N205" si="500">M174*I174*(Isw_max+VIN_min/Lmag*ILIM_delay)*0.5*Efficiency</f>
        <v>182.80799416206804</v>
      </c>
      <c r="O174" s="149">
        <f t="shared" si="438"/>
        <v>76.8</v>
      </c>
      <c r="P174" s="188">
        <f t="shared" ref="P174:P205" si="501">N174/Vout</f>
        <v>6.0935998054022678</v>
      </c>
      <c r="Q174" s="188">
        <f t="shared" ref="Q174:Q210" si="502">MIN(Vout,N174/F174)</f>
        <v>30</v>
      </c>
      <c r="R174" s="188"/>
      <c r="S174" s="149">
        <f t="shared" ref="S174:S210" si="503">(SQRT(Isw_max^2*Nps^2*I174^2+4*Isw_max*F174/Efficiency*(Nps^2*Vfwd1*I174-Nps*I174^2)+4*(F174/Efficiency)^2*Nps^2*Vfwd1^2+8*(F174/Efficiency)^2*Nps*Vfwd1*I174+4*(F174/Efficiency)^2*I174^2)-2*F174/Efficiency*I174-2*F174/Efficiency*Nps*Vfwd1+Isw_max*Nps*I174)/(4*F174/Efficiency*Nps)</f>
        <v>97.605640870694984</v>
      </c>
      <c r="T174" s="149">
        <f t="shared" ref="T174:T205" si="504">MIN(Vout, S174)</f>
        <v>30</v>
      </c>
      <c r="U174" s="188">
        <f t="shared" ref="U174:U209" si="505">MIN(2*(Vout+Vfwd1+F174/FL174*Rdcr_sec)*F174/(I174*M174), Isw_max)</f>
        <v>12.993271603873911</v>
      </c>
      <c r="V174" s="188">
        <f t="shared" ref="V174:V205" si="506">L*U174/I174*1000000</f>
        <v>3.0799219468106314</v>
      </c>
      <c r="W174" s="188">
        <f t="shared" ref="W174:W210" si="507">L*U174/J174*1000000</f>
        <v>2.0027231245039698</v>
      </c>
      <c r="X174" s="172">
        <f t="shared" ref="X174:X210" si="508">IF(1/((350000*L)*(1/I174+1/J174))&gt;Isw_min, 350, 0.001/((Isw_min*L)*(1/I174+1/J174)))</f>
        <v>350</v>
      </c>
      <c r="Y174" s="379">
        <f t="shared" ref="Y174:Y209" si="509">MIN(1/(V174+W174+0.2)*1000, 350)</f>
        <v>189.29910802263061</v>
      </c>
      <c r="AA174" s="188">
        <f t="shared" ref="AA174:AA210" si="510">1/((X174*1000*L)*(1/I174+1/J174))</f>
        <v>7.303998731574544</v>
      </c>
      <c r="AB174" s="150">
        <f t="shared" ref="AB174:AB205" si="511">L*AA174/J174*1000000</f>
        <v>1.1258047708870129</v>
      </c>
      <c r="AC174" s="150">
        <f t="shared" ref="AC174:AC205" si="512">0.5*AB174*AA174*Nps*X174/1000</f>
        <v>1.4390034082478798</v>
      </c>
      <c r="AD174" s="150"/>
      <c r="AE174" s="150">
        <f t="shared" ref="AE174:AE210" si="513">L*Isw_min/J174*1000000</f>
        <v>0.93415394337372537</v>
      </c>
      <c r="AF174" s="314">
        <f t="shared" ref="AF174:AF205" si="514">MAX(12000,F174/(0.5*AE174/1000000*Isw_min*Nps))/1000</f>
        <v>904.34773196907906</v>
      </c>
      <c r="AG174" s="456">
        <f t="shared" ref="AG174:AG210" si="515">0.5*AE174/1000000*Isw_min*Nps*X174*1000</f>
        <v>0.99076933388122379</v>
      </c>
      <c r="AI174" s="150">
        <f t="shared" ref="AI174:AI210" si="516">SQRT(F174/(0.5*L/J174*Fsw_DCM*Nps))</f>
        <v>9.7420366816146089</v>
      </c>
      <c r="AJ174" s="150">
        <f t="shared" ref="AJ174:AJ205" si="517">MAX(IF(F174&gt;AC174,U174,AI174),Isw_min)</f>
        <v>12.993271603873911</v>
      </c>
      <c r="AK174" s="150">
        <f t="shared" ref="AK174:AK205" si="518">IF(F174&gt;AG174, (AJ174-Isw_min)/1.08*0.8+1.2, AF174*0.2/350+1)</f>
        <v>6.3353078098280378</v>
      </c>
      <c r="AM174" s="314">
        <f t="shared" ref="AM174:AM210" si="519">F174*1000</f>
        <v>2560</v>
      </c>
      <c r="AN174" s="144">
        <f t="shared" ref="AN174:AN210" si="520">IF(F174&gt;AG174, Y174, AF174)</f>
        <v>189.29910802263061</v>
      </c>
      <c r="AP174">
        <f t="shared" ref="AP174:AP210" si="521">IF(H174&gt;N174, "",AM174)</f>
        <v>2560</v>
      </c>
      <c r="AQ174">
        <f t="shared" ref="AQ174:AQ210" si="522">IF(H174&gt;N174, "",AN174)</f>
        <v>189.29910802263061</v>
      </c>
      <c r="AS174" s="5">
        <f t="shared" si="439"/>
        <v>5.2826450713146018</v>
      </c>
      <c r="AT174" s="5">
        <f t="shared" ref="AT174:AT210" si="523">L*AJ174/I174*1000000</f>
        <v>3.0799219468106314</v>
      </c>
      <c r="AU174" s="5">
        <f t="shared" si="477"/>
        <v>2.2027231245039705</v>
      </c>
      <c r="AV174" s="5"/>
      <c r="AW174" s="150">
        <f t="shared" si="478"/>
        <v>0.58302647731057644</v>
      </c>
      <c r="AX174" s="150">
        <f t="shared" si="435"/>
        <v>75.102339079834323</v>
      </c>
      <c r="AY174" s="150">
        <f t="shared" si="436"/>
        <v>2.7089251159638805</v>
      </c>
      <c r="AZ174" s="150">
        <f t="shared" si="440"/>
        <v>27.724036606715746</v>
      </c>
      <c r="BA174" s="144">
        <f t="shared" si="433"/>
        <v>26.282000612784053</v>
      </c>
      <c r="BB174" s="5">
        <f t="shared" si="434"/>
        <v>5.0187498024889408</v>
      </c>
      <c r="BD174" s="150">
        <f t="shared" si="441"/>
        <v>5.7279870635179639</v>
      </c>
      <c r="BE174" s="150">
        <f t="shared" si="437"/>
        <v>4.8440891669658832</v>
      </c>
      <c r="BG174" s="456">
        <f t="shared" si="479"/>
        <v>0.39371802959794977</v>
      </c>
      <c r="BH174" s="456">
        <f t="shared" ref="BH174:BH210" si="524">0.5*K174*AJ174*AN174*1000*Tfall</f>
        <v>2.25878808540996</v>
      </c>
      <c r="BI174" s="456">
        <f t="shared" si="480"/>
        <v>2.1769397422602522E-2</v>
      </c>
      <c r="BJ174" s="456">
        <f t="shared" si="481"/>
        <v>0.24805614603692075</v>
      </c>
      <c r="BK174">
        <f t="shared" si="482"/>
        <v>8.9225538558373643E-3</v>
      </c>
      <c r="BL174" s="144">
        <f t="shared" si="427"/>
        <v>30.691951278439884</v>
      </c>
      <c r="BM174" s="456">
        <f t="shared" ref="BM174:BM210" si="525">(BH174+BI174*0+BJ174+BK174*0+BG174*(1+RdsonTC*(Ta-25)))/(1-BG174*RdsonTC*ThetaJA)</f>
        <v>3.3171796757483825</v>
      </c>
      <c r="BN174" s="144">
        <f t="shared" ref="BN174:BN210" si="526">BM174*1000</f>
        <v>3317.1796757483826</v>
      </c>
      <c r="BO174" s="456">
        <f t="shared" si="483"/>
        <v>1.7919999999999998</v>
      </c>
      <c r="BR174" s="144">
        <f t="shared" si="484"/>
        <v>1791.9999999999998</v>
      </c>
      <c r="BS174" s="456">
        <f t="shared" si="485"/>
        <v>0.45933770119760803</v>
      </c>
      <c r="BT174" s="456">
        <f t="shared" si="486"/>
        <v>0.32851279800522715</v>
      </c>
      <c r="BU174" s="456">
        <f t="shared" si="487"/>
        <v>15.001604625398656</v>
      </c>
      <c r="BV174" s="456"/>
      <c r="BW174" s="456">
        <f t="shared" si="488"/>
        <v>3.1958442161631635</v>
      </c>
      <c r="BX174" s="144">
        <f t="shared" si="489"/>
        <v>18985.299340764654</v>
      </c>
      <c r="BY174" s="150">
        <f t="shared" si="490"/>
        <v>23.708553553087924</v>
      </c>
      <c r="BZ174" s="5">
        <f t="shared" si="491"/>
        <v>76.8</v>
      </c>
      <c r="CA174" s="150">
        <f t="shared" si="492"/>
        <v>0.76411407074358872</v>
      </c>
      <c r="CB174" s="5">
        <f t="shared" si="493"/>
        <v>76.411407074358877</v>
      </c>
      <c r="CE174" s="59">
        <f t="shared" ref="CE174:CE210" si="527">IF(ABS(F174-Ioutmax_Vinmin)&lt;Iout/200, AN174, -50)</f>
        <v>-50</v>
      </c>
      <c r="CF174">
        <f t="shared" ref="CF174:CF210" si="528">IF(ABS(F174-Ioutmax_Vinmin)&lt;Iout/200, N174*CA174, -50)</f>
        <v>-50</v>
      </c>
      <c r="CG174" s="150">
        <f t="shared" ref="CG174:CG210" si="529">MIN(SQRT(2*DU174*1000*Ls1_*CL174)/CU174,1-EA174-0.00000005*DU174*1000)</f>
        <v>0.38674617469788025</v>
      </c>
      <c r="CI174" s="147">
        <v>64</v>
      </c>
      <c r="CJ174" s="188">
        <f t="shared" si="428"/>
        <v>2.56</v>
      </c>
      <c r="CK174" s="188"/>
      <c r="CL174" s="188">
        <f t="shared" ref="CL174:CL210" si="530">CJ174*Vout</f>
        <v>76.8</v>
      </c>
      <c r="CM174" s="465">
        <f t="shared" ref="CM174:CM212" si="531">VIN_min</f>
        <v>20</v>
      </c>
      <c r="CN174" s="379">
        <f t="shared" ref="CN174:CN210" si="532">(CX174+Vfwd1)*Nps</f>
        <v>30.4</v>
      </c>
      <c r="CO174" s="379">
        <f t="shared" ref="CO174:CO210" si="533">(Vout+Vfwd1)*Nps+CM174</f>
        <v>50.4</v>
      </c>
      <c r="CP174" s="379"/>
      <c r="CQ174" s="188">
        <f t="shared" ref="CQ174:CQ210" si="534">(Vout+Vfwd1)*Nps/((Vout+Vfwd1)*Nps+CM174)</f>
        <v>0.60317460317460314</v>
      </c>
      <c r="CR174" s="149">
        <f t="shared" si="429"/>
        <v>183.55019291189507</v>
      </c>
      <c r="CS174" s="149">
        <f t="shared" ref="CS174:CS210" si="535">CX174*CJ174</f>
        <v>76.8</v>
      </c>
      <c r="CT174" s="188">
        <f t="shared" ref="CT174:CT210" si="536">CR174/Vout</f>
        <v>6.1183397637298356</v>
      </c>
      <c r="CU174" s="188">
        <f t="shared" ref="CU174:CU210" si="537">MIN(Vout,CR174/CJ174)</f>
        <v>30</v>
      </c>
      <c r="CV174" s="188"/>
      <c r="CW174" s="149">
        <f t="shared" ref="CW174:CW210" si="538">(SQRT(Isw_max^2*Nps^2*CM174^2+4*Isw_max*CJ174/Efficiency*(Nps^2*Vfwd1*CM174-Nps*CM174^2)+4*(CJ174/Efficiency)^2*Nps^2*Vfwd1^2+8*(CJ174/Efficiency)^2*Nps*Vfwd1*CM174+4*(CJ174/Efficiency)^2*CM174^2)-2*CJ174/Efficiency*CM174-2*CJ174/Efficiency*Nps*Vfwd1+Isw_max*Nps*CM174)/(4*CJ174/Efficiency*Nps)</f>
        <v>98.452141071392603</v>
      </c>
      <c r="CX174" s="149">
        <f t="shared" ref="CX174:CX210" si="539">MIN(Vout, CW174)</f>
        <v>30</v>
      </c>
      <c r="CY174" s="188">
        <f t="shared" ref="CY174:CY210" si="540">MIN(2*Vout*CJ174/(Efficiency*CM174*CQ174), Isw_max)</f>
        <v>12.732631578947368</v>
      </c>
      <c r="CZ174" s="188">
        <f t="shared" ref="CZ174:CZ210" si="541">L*CY174/CM174*1000000</f>
        <v>2.9921684210526314</v>
      </c>
      <c r="DA174" s="188">
        <f t="shared" ref="DA174:DA210" si="542">L*CY174/CN174*1000000</f>
        <v>1.9685318559556788</v>
      </c>
      <c r="DB174" s="172">
        <f t="shared" ref="DB174:DB210" si="543">IF(1/((350000*L)*(1/CM174+1/CN174))&gt;Isw_min, 350, 0.001/((Isw_min*L)*(1/CM174+1/CN174)))</f>
        <v>350</v>
      </c>
      <c r="DC174" s="379">
        <f t="shared" ref="DC174:DC210" si="544">MIN(1/(CZ174+DA174)*1000, 350)</f>
        <v>201.58444255033245</v>
      </c>
      <c r="DE174" s="188">
        <f t="shared" ref="DE174:DE210" si="545">1/((DB174*1000*L)*(1/CM174+1/CN174))</f>
        <v>7.3334298258310406</v>
      </c>
      <c r="DF174" s="150">
        <f t="shared" ref="DF174:DF210" si="546">L*DE174/CN174*1000000</f>
        <v>1.1337868480725624</v>
      </c>
      <c r="DG174" s="150">
        <f t="shared" ref="DG174:DG210" si="547">0.5*DF174*DE174*Nps*DB174/1000</f>
        <v>1.4550456003633017</v>
      </c>
      <c r="DH174" s="150"/>
      <c r="DI174" s="150">
        <f t="shared" ref="DI174:DI210" si="548">L*Isw_min/CN174*1000000</f>
        <v>0.93700159489633172</v>
      </c>
      <c r="DJ174" s="314">
        <f t="shared" ref="DJ174:DJ210" si="549">MAX(12000,CJ174/(0.5*DI174/1000000*Isw_min*Nps))/1000</f>
        <v>901.59931914893616</v>
      </c>
      <c r="DK174" s="456">
        <f t="shared" ref="DK174:DK210" si="550">0.5*DI174/1000000*Isw_min*Nps*DB174*1000</f>
        <v>0.99378957034459414</v>
      </c>
      <c r="DM174" s="150">
        <f t="shared" ref="DM174:DM210" si="551">SQRT(CJ174/(0.5*L/CN174*Fsw_DCM*Nps))</f>
        <v>9.7272218533763493</v>
      </c>
      <c r="DN174" s="150">
        <f t="shared" ref="DN174:DN210" si="552">MAX(IF(CJ174&gt;DG174,CY174,DM174),Isw_min)</f>
        <v>12.732631578947368</v>
      </c>
      <c r="DO174" s="150">
        <f t="shared" ref="DO174:DO210" si="553">IF(CJ174&gt;DK174, (DN174-Isw_min)/1.08*0.8+1.2, DJ174*0.2/350+1)</f>
        <v>6.1422411246972652</v>
      </c>
      <c r="DQ174" s="314">
        <f t="shared" ref="DQ174:DQ210" si="554">CJ174*1000</f>
        <v>2560</v>
      </c>
      <c r="DR174" s="144">
        <f t="shared" ref="DR174:DR210" si="555">IF(CJ174&gt;DK174, DC174, DJ174)</f>
        <v>201.58444255033245</v>
      </c>
      <c r="DT174">
        <f t="shared" si="430"/>
        <v>2560</v>
      </c>
      <c r="DU174">
        <f t="shared" si="431"/>
        <v>201.58444255033245</v>
      </c>
      <c r="DW174" s="5">
        <f t="shared" ref="DW174:DW210" si="556">1/DR174*1000</f>
        <v>4.9607002770083106</v>
      </c>
      <c r="DX174" s="5">
        <f t="shared" ref="DX174:DX210" si="557">L*DN174/CM174*1000000</f>
        <v>2.9921684210526314</v>
      </c>
      <c r="DY174" s="5">
        <f t="shared" ref="DY174:DY210" si="558">DW174-DX174</f>
        <v>1.9685318559556793</v>
      </c>
      <c r="DZ174" s="5"/>
      <c r="EA174" s="150">
        <f t="shared" ref="EA174:EA210" si="559">DX174/DW174</f>
        <v>0.60317460317460314</v>
      </c>
      <c r="EB174" s="150">
        <f t="shared" ref="EB174:EB210" si="560">0.5*L*DN174^2*DR174*1000</f>
        <v>76.8</v>
      </c>
      <c r="EC174" s="150">
        <f t="shared" ref="EC174:EC210" si="561">DN174*Nps/2*(1-EA174)</f>
        <v>2.5263157894736845</v>
      </c>
      <c r="ED174" s="150">
        <f t="shared" ref="ED174:ED210" si="562">EB174/EC174</f>
        <v>30.399999999999995</v>
      </c>
      <c r="EE174" s="144">
        <f t="shared" ref="EE174:EE210" si="563">CJ174*DX174/Vout_ripple*1000</f>
        <v>25.533170526315789</v>
      </c>
      <c r="EF174" s="5">
        <f t="shared" ref="EF174:EF210" si="564">CL174/Efficiency/CM174*DY174/Vinripple1</f>
        <v>4.4465660746292981</v>
      </c>
      <c r="EH174" s="150">
        <f t="shared" ref="EH174:EH210" si="565">DN174*SQRT(EA174/3)</f>
        <v>5.7092501120642156</v>
      </c>
      <c r="EI174" s="150">
        <f t="shared" ref="EI174:EI210" si="566">DN174*Nps*SQRT((1-EA174)/3)</f>
        <v>4.6308133338501118</v>
      </c>
      <c r="EK174" s="456">
        <f t="shared" ref="EK174:EK210" si="567">Rdson*EH174^2</f>
        <v>0.39114644210526311</v>
      </c>
      <c r="EL174" s="456">
        <f t="shared" ref="EL174:EL210" si="568">0.5*CO174*DN174*DR174*1000*Trise</f>
        <v>2.4578723404255318</v>
      </c>
      <c r="EM174" s="456">
        <f t="shared" ref="EM174:EM210" si="569">Qg*Vdd*DR174*1000</f>
        <v>2.3182210893288233E-2</v>
      </c>
      <c r="EN174" s="456">
        <f t="shared" ref="EN174:EN210" si="570">0.5*(Coss+Csw)*CO174^2*DR174*1000</f>
        <v>0.26498936170212767</v>
      </c>
      <c r="EO174">
        <f t="shared" ref="EO174:EO210" si="571">CM174*IQ</f>
        <v>8.9999999999999993E-3</v>
      </c>
      <c r="EP174" s="144">
        <f t="shared" ref="EP174:EP210" si="572">(EO174+EM174)*1000</f>
        <v>32.182210893288229</v>
      </c>
      <c r="EQ174" s="144"/>
      <c r="ER174" s="144">
        <f t="shared" si="432"/>
        <v>3146.1903551262108</v>
      </c>
      <c r="ES174" s="456">
        <f t="shared" ref="ES174:ES210" si="573">Vfwd2*CJ174</f>
        <v>1.7919999999999998</v>
      </c>
      <c r="EV174" s="144">
        <f t="shared" si="494"/>
        <v>1791.9999999999998</v>
      </c>
      <c r="EW174" s="456">
        <f t="shared" ref="EW174:EW210" si="574">Rdcr_pri*EH174^2</f>
        <v>0.45633751578947368</v>
      </c>
      <c r="EX174" s="456">
        <f t="shared" ref="EX174:EX210" si="575">Rdcr_sec*EI174^2</f>
        <v>0.30022204986149587</v>
      </c>
      <c r="EY174" s="456">
        <f t="shared" ref="EY174:EY210" si="576">DN174^2.5*DR174^2.5*k_core</f>
        <v>16.688141232989665</v>
      </c>
      <c r="EZ174" s="456"/>
      <c r="FA174" s="456">
        <f t="shared" ref="FA174:FA210" si="577">0.5*Lleak*0.000000001*DN174^2*DR174*1000</f>
        <v>3.2680851063829786</v>
      </c>
      <c r="FB174" s="144">
        <f t="shared" ref="FB174:FB210" si="578">SUM(EW174:FA174)*1000</f>
        <v>20712.785905023615</v>
      </c>
      <c r="FC174" s="150">
        <f t="shared" ref="FC174:FC210" si="579">SUM(EK174:EO174,ES174:EU174,EW174:FA174)</f>
        <v>25.650976260149825</v>
      </c>
      <c r="FD174" s="5">
        <f t="shared" ref="FD174:FD210" si="580">MIN(CL174,CS174)</f>
        <v>76.8</v>
      </c>
      <c r="FE174" s="150">
        <f t="shared" ref="FE174:FE210" si="581">FD174/(FD174+FC174)</f>
        <v>0.74962682449198648</v>
      </c>
      <c r="FF174" s="5">
        <f t="shared" ref="FF174:FF210" si="582">FE174*100</f>
        <v>74.962682449198653</v>
      </c>
      <c r="FI174" s="59">
        <f t="shared" ref="FI174:FI210" si="583">IF(ABS(CJ174-Ioutmax_Vinmin)&lt;Iout/200, DR174, -50)</f>
        <v>-50</v>
      </c>
      <c r="FJ174">
        <f t="shared" ref="FJ174:FJ210" si="584">IF(ABS(CJ174-Ioutmax_Vinmin)&lt;Iout/200, CR174*FE174, -50)</f>
        <v>-50</v>
      </c>
      <c r="FL174">
        <f t="shared" ref="FL174:FL210" si="585">MIN(SQRT(2*L*DR174*1000*CJ174*(CX174+Vfwd1))/(Nps*(CX174+Vfwd1)), 1-EA174)</f>
        <v>0.39682539682539686</v>
      </c>
    </row>
    <row r="175" spans="5:168">
      <c r="E175" s="147">
        <v>65</v>
      </c>
      <c r="F175" s="188">
        <f t="shared" ref="F175:F206" si="586">IF(PLOT_TYPE=1, E175/100*Iout_max, min_I*EXP(N175*rr/100))</f>
        <v>2.6</v>
      </c>
      <c r="G175" s="188"/>
      <c r="H175" s="188">
        <f t="shared" si="495"/>
        <v>78</v>
      </c>
      <c r="I175" s="465">
        <f t="shared" si="496"/>
        <v>19.825278409393292</v>
      </c>
      <c r="J175" s="149">
        <f t="shared" si="497"/>
        <v>30.494080856480533</v>
      </c>
      <c r="K175" s="149">
        <f t="shared" si="498"/>
        <v>50.319359265873828</v>
      </c>
      <c r="L175" s="379"/>
      <c r="M175" s="188">
        <f t="shared" si="499"/>
        <v>0.60599248993294119</v>
      </c>
      <c r="N175" s="149">
        <f t="shared" si="500"/>
        <v>182.7966950003435</v>
      </c>
      <c r="O175" s="149">
        <f t="shared" si="438"/>
        <v>78</v>
      </c>
      <c r="P175" s="188">
        <f t="shared" si="501"/>
        <v>6.0932231666781167</v>
      </c>
      <c r="Q175" s="188">
        <f t="shared" si="502"/>
        <v>30</v>
      </c>
      <c r="R175" s="188"/>
      <c r="S175" s="149">
        <f t="shared" si="503"/>
        <v>95.789089993155116</v>
      </c>
      <c r="T175" s="149">
        <f t="shared" si="504"/>
        <v>30</v>
      </c>
      <c r="U175" s="188">
        <f t="shared" si="505"/>
        <v>13.197717980337421</v>
      </c>
      <c r="V175" s="188">
        <f t="shared" si="506"/>
        <v>3.1287971460817507</v>
      </c>
      <c r="W175" s="188">
        <f t="shared" si="507"/>
        <v>2.0341414715703281</v>
      </c>
      <c r="X175" s="172">
        <f t="shared" si="508"/>
        <v>350</v>
      </c>
      <c r="Y175" s="379">
        <f t="shared" si="509"/>
        <v>186.46493486024735</v>
      </c>
      <c r="AA175" s="188">
        <f t="shared" si="510"/>
        <v>7.3035471561068208</v>
      </c>
      <c r="AB175" s="150">
        <f t="shared" si="511"/>
        <v>1.1256831053626275</v>
      </c>
      <c r="AC175" s="150">
        <f t="shared" si="512"/>
        <v>1.4387589374985248</v>
      </c>
      <c r="AD175" s="150"/>
      <c r="AE175" s="150">
        <f t="shared" si="513"/>
        <v>0.934110741652177</v>
      </c>
      <c r="AF175" s="314">
        <f t="shared" si="514"/>
        <v>918.52064401105304</v>
      </c>
      <c r="AG175" s="456">
        <f t="shared" si="515"/>
        <v>0.9907235138735212</v>
      </c>
      <c r="AI175" s="150">
        <f t="shared" si="516"/>
        <v>9.8180783705257966</v>
      </c>
      <c r="AJ175" s="150">
        <f t="shared" si="517"/>
        <v>13.197717980337421</v>
      </c>
      <c r="AK175" s="150">
        <f t="shared" si="518"/>
        <v>6.4867495701713782</v>
      </c>
      <c r="AM175" s="314">
        <f t="shared" si="519"/>
        <v>2600</v>
      </c>
      <c r="AN175" s="144">
        <f t="shared" si="520"/>
        <v>186.46493486024735</v>
      </c>
      <c r="AP175">
        <f t="shared" si="521"/>
        <v>2600</v>
      </c>
      <c r="AQ175">
        <f t="shared" si="522"/>
        <v>186.46493486024735</v>
      </c>
      <c r="AS175" s="5">
        <f t="shared" si="439"/>
        <v>5.3629386176520804</v>
      </c>
      <c r="AT175" s="5">
        <f t="shared" si="523"/>
        <v>3.1287971460817507</v>
      </c>
      <c r="AU175" s="5">
        <f t="shared" si="477"/>
        <v>2.2341414715703296</v>
      </c>
      <c r="AV175" s="5"/>
      <c r="AW175" s="150">
        <f t="shared" si="478"/>
        <v>0.58341095603506143</v>
      </c>
      <c r="AX175" s="150">
        <f t="shared" si="435"/>
        <v>76.324281316728772</v>
      </c>
      <c r="AY175" s="150">
        <f t="shared" si="436"/>
        <v>2.749012357973823</v>
      </c>
      <c r="AZ175" s="150">
        <f t="shared" si="440"/>
        <v>27.764255440810047</v>
      </c>
      <c r="BA175" s="144">
        <f t="shared" si="433"/>
        <v>27.116241932708505</v>
      </c>
      <c r="BB175" s="5">
        <f t="shared" si="434"/>
        <v>5.1705537446849021</v>
      </c>
      <c r="BD175" s="150">
        <f t="shared" si="441"/>
        <v>5.8200337982558104</v>
      </c>
      <c r="BE175" s="150">
        <f t="shared" si="437"/>
        <v>4.9180409260192821</v>
      </c>
      <c r="BG175" s="456">
        <f t="shared" si="479"/>
        <v>0.40647352095407946</v>
      </c>
      <c r="BH175" s="456">
        <f t="shared" si="524"/>
        <v>2.2599248039133371</v>
      </c>
      <c r="BI175" s="456">
        <f t="shared" si="480"/>
        <v>2.1443467508928449E-2</v>
      </c>
      <c r="BJ175" s="456">
        <f t="shared" si="481"/>
        <v>0.24433052761359991</v>
      </c>
      <c r="BK175">
        <f t="shared" si="482"/>
        <v>8.921375284226981E-3</v>
      </c>
      <c r="BL175" s="144">
        <f t="shared" ref="BL175:BL210" si="587">(BK175+BI175)*1000</f>
        <v>30.364842793155429</v>
      </c>
      <c r="BM175" s="456">
        <f t="shared" si="525"/>
        <v>3.3433733804996089</v>
      </c>
      <c r="BN175" s="144">
        <f t="shared" si="526"/>
        <v>3343.3733804996091</v>
      </c>
      <c r="BO175" s="456">
        <f t="shared" si="483"/>
        <v>1.8199999999999998</v>
      </c>
      <c r="BR175" s="144">
        <f t="shared" si="484"/>
        <v>1819.9999999999998</v>
      </c>
      <c r="BS175" s="456">
        <f t="shared" si="485"/>
        <v>0.47421910777975934</v>
      </c>
      <c r="BT175" s="456">
        <f t="shared" si="486"/>
        <v>0.3386197717000084</v>
      </c>
      <c r="BU175" s="456">
        <f t="shared" si="487"/>
        <v>15.021387453930403</v>
      </c>
      <c r="BV175" s="456"/>
      <c r="BW175" s="456">
        <f t="shared" si="488"/>
        <v>3.247841758158672</v>
      </c>
      <c r="BX175" s="144">
        <f t="shared" si="489"/>
        <v>19082.068091568843</v>
      </c>
      <c r="BY175" s="150">
        <f t="shared" si="490"/>
        <v>23.843161786843012</v>
      </c>
      <c r="BZ175" s="5">
        <f t="shared" si="491"/>
        <v>78</v>
      </c>
      <c r="CA175" s="150">
        <f t="shared" si="492"/>
        <v>0.76588352748958666</v>
      </c>
      <c r="CB175" s="5">
        <f t="shared" si="493"/>
        <v>76.58835274895867</v>
      </c>
      <c r="CE175" s="59">
        <f t="shared" si="527"/>
        <v>-50</v>
      </c>
      <c r="CF175">
        <f t="shared" si="528"/>
        <v>-50</v>
      </c>
      <c r="CG175" s="150">
        <f t="shared" si="529"/>
        <v>0.38690123965368817</v>
      </c>
      <c r="CI175" s="147">
        <v>65</v>
      </c>
      <c r="CJ175" s="188">
        <f t="shared" ref="CJ175:CJ210" si="588">IF(PLOT_TYPE=1, CI175/100*Iout_max, min_I*EXP(CR175*rr/100))</f>
        <v>2.6</v>
      </c>
      <c r="CK175" s="188"/>
      <c r="CL175" s="188">
        <f t="shared" si="530"/>
        <v>78</v>
      </c>
      <c r="CM175" s="465">
        <f t="shared" si="531"/>
        <v>20</v>
      </c>
      <c r="CN175" s="379">
        <f t="shared" si="532"/>
        <v>30.4</v>
      </c>
      <c r="CO175" s="379">
        <f t="shared" si="533"/>
        <v>50.4</v>
      </c>
      <c r="CP175" s="379"/>
      <c r="CQ175" s="188">
        <f t="shared" si="534"/>
        <v>0.60317460317460314</v>
      </c>
      <c r="CR175" s="149">
        <f t="shared" ref="CR175:CR210" si="589">CQ175*CM175*(Isw_max+VIN_min/Lmag*ILIM_delay)*0.5*Efficiency</f>
        <v>183.55019291189507</v>
      </c>
      <c r="CS175" s="149">
        <f t="shared" si="535"/>
        <v>78</v>
      </c>
      <c r="CT175" s="188">
        <f t="shared" si="536"/>
        <v>6.1183397637298356</v>
      </c>
      <c r="CU175" s="188">
        <f t="shared" si="537"/>
        <v>30</v>
      </c>
      <c r="CV175" s="188"/>
      <c r="CW175" s="149">
        <f t="shared" si="538"/>
        <v>96.632563099444539</v>
      </c>
      <c r="CX175" s="149">
        <f t="shared" si="539"/>
        <v>30</v>
      </c>
      <c r="CY175" s="188">
        <f t="shared" si="540"/>
        <v>12.931578947368422</v>
      </c>
      <c r="CZ175" s="188">
        <f t="shared" si="541"/>
        <v>3.0389210526315789</v>
      </c>
      <c r="DA175" s="188">
        <f t="shared" si="542"/>
        <v>1.9992901662049865</v>
      </c>
      <c r="DB175" s="172">
        <f t="shared" si="543"/>
        <v>350</v>
      </c>
      <c r="DC175" s="379">
        <f t="shared" si="544"/>
        <v>198.48314343417348</v>
      </c>
      <c r="DE175" s="188">
        <f t="shared" si="545"/>
        <v>7.3334298258310406</v>
      </c>
      <c r="DF175" s="150">
        <f t="shared" si="546"/>
        <v>1.1337868480725624</v>
      </c>
      <c r="DG175" s="150">
        <f t="shared" si="547"/>
        <v>1.4550456003633017</v>
      </c>
      <c r="DH175" s="150"/>
      <c r="DI175" s="150">
        <f t="shared" si="548"/>
        <v>0.93700159489633172</v>
      </c>
      <c r="DJ175" s="314">
        <f t="shared" si="549"/>
        <v>915.68680851063834</v>
      </c>
      <c r="DK175" s="456">
        <f t="shared" si="550"/>
        <v>0.99378957034459414</v>
      </c>
      <c r="DM175" s="150">
        <f t="shared" si="551"/>
        <v>9.8029212196003073</v>
      </c>
      <c r="DN175" s="150">
        <f t="shared" si="552"/>
        <v>12.931578947368422</v>
      </c>
      <c r="DO175" s="150">
        <f t="shared" si="553"/>
        <v>6.2896095457498982</v>
      </c>
      <c r="DQ175" s="314">
        <f t="shared" si="554"/>
        <v>2600</v>
      </c>
      <c r="DR175" s="144">
        <f t="shared" si="555"/>
        <v>198.48314343417348</v>
      </c>
      <c r="DT175">
        <f t="shared" ref="DT175:DT209" si="590">IF(CL175&gt;CR175, " ",DQ175)</f>
        <v>2600</v>
      </c>
      <c r="DU175">
        <f t="shared" ref="DU175:DU209" si="591">IF(CL175&gt;CR175, " ",DR175)</f>
        <v>198.48314343417348</v>
      </c>
      <c r="DW175" s="5">
        <f t="shared" si="556"/>
        <v>5.0382112188365653</v>
      </c>
      <c r="DX175" s="5">
        <f t="shared" si="557"/>
        <v>3.0389210526315789</v>
      </c>
      <c r="DY175" s="5">
        <f t="shared" si="558"/>
        <v>1.9992901662049865</v>
      </c>
      <c r="DZ175" s="5"/>
      <c r="EA175" s="150">
        <f t="shared" si="559"/>
        <v>0.60317460317460314</v>
      </c>
      <c r="EB175" s="150">
        <f t="shared" si="560"/>
        <v>78.000000000000014</v>
      </c>
      <c r="EC175" s="150">
        <f t="shared" si="561"/>
        <v>2.5657894736842111</v>
      </c>
      <c r="ED175" s="150">
        <f t="shared" si="562"/>
        <v>30.4</v>
      </c>
      <c r="EE175" s="144">
        <f t="shared" si="563"/>
        <v>26.337315789473685</v>
      </c>
      <c r="EF175" s="5">
        <f t="shared" si="564"/>
        <v>4.5866068518820269</v>
      </c>
      <c r="EH175" s="150">
        <f t="shared" si="565"/>
        <v>5.7984571450652194</v>
      </c>
      <c r="EI175" s="150">
        <f t="shared" si="566"/>
        <v>4.7031697921915203</v>
      </c>
      <c r="EK175" s="456">
        <f t="shared" si="567"/>
        <v>0.40346526315789472</v>
      </c>
      <c r="EL175" s="456">
        <f t="shared" si="568"/>
        <v>2.4578723404255323</v>
      </c>
      <c r="EM175" s="456">
        <f t="shared" si="569"/>
        <v>2.2825561494929952E-2</v>
      </c>
      <c r="EN175" s="456">
        <f t="shared" si="570"/>
        <v>0.26091260229132568</v>
      </c>
      <c r="EO175">
        <f t="shared" si="571"/>
        <v>8.9999999999999993E-3</v>
      </c>
      <c r="EP175" s="144">
        <f t="shared" si="572"/>
        <v>31.825561494929953</v>
      </c>
      <c r="EQ175" s="144"/>
      <c r="ER175" s="144">
        <f t="shared" ref="ER175:ER210" si="592">SUM(EK175:EO175)*1000</f>
        <v>3154.0757673696821</v>
      </c>
      <c r="ES175" s="456">
        <f t="shared" si="573"/>
        <v>1.8199999999999998</v>
      </c>
      <c r="EV175" s="144">
        <f t="shared" si="494"/>
        <v>1819.9999999999998</v>
      </c>
      <c r="EW175" s="456">
        <f t="shared" si="574"/>
        <v>0.47070947368421051</v>
      </c>
      <c r="EX175" s="456">
        <f t="shared" si="575"/>
        <v>0.30967728531855959</v>
      </c>
      <c r="EY175" s="456">
        <f t="shared" si="576"/>
        <v>16.688141232989647</v>
      </c>
      <c r="EZ175" s="456"/>
      <c r="FA175" s="456">
        <f t="shared" si="577"/>
        <v>3.3191489361702136</v>
      </c>
      <c r="FB175" s="144">
        <f t="shared" si="578"/>
        <v>20787.676928162633</v>
      </c>
      <c r="FC175" s="150">
        <f t="shared" si="579"/>
        <v>25.761752695532316</v>
      </c>
      <c r="FD175" s="5">
        <f t="shared" si="580"/>
        <v>78</v>
      </c>
      <c r="FE175" s="150">
        <f t="shared" si="581"/>
        <v>0.7517220745959744</v>
      </c>
      <c r="FF175" s="5">
        <f t="shared" si="582"/>
        <v>75.172207459597445</v>
      </c>
      <c r="FI175" s="59">
        <f t="shared" si="583"/>
        <v>-50</v>
      </c>
      <c r="FJ175">
        <f t="shared" si="584"/>
        <v>-50</v>
      </c>
      <c r="FL175">
        <f t="shared" si="585"/>
        <v>0.39682539682539686</v>
      </c>
    </row>
    <row r="176" spans="5:168">
      <c r="E176" s="147">
        <v>66</v>
      </c>
      <c r="F176" s="188">
        <f t="shared" si="586"/>
        <v>2.64</v>
      </c>
      <c r="G176" s="188"/>
      <c r="H176" s="188">
        <f t="shared" si="495"/>
        <v>79.2</v>
      </c>
      <c r="I176" s="465">
        <f t="shared" si="496"/>
        <v>19.822659306939379</v>
      </c>
      <c r="J176" s="149">
        <f t="shared" si="497"/>
        <v>30.495491142417258</v>
      </c>
      <c r="K176" s="149">
        <f t="shared" si="498"/>
        <v>50.318150449356636</v>
      </c>
      <c r="L176" s="379"/>
      <c r="M176" s="188">
        <f t="shared" si="499"/>
        <v>0.60603508450322008</v>
      </c>
      <c r="N176" s="149">
        <f t="shared" si="500"/>
        <v>182.78539275664554</v>
      </c>
      <c r="O176" s="149">
        <f t="shared" si="438"/>
        <v>79.2</v>
      </c>
      <c r="P176" s="188">
        <f t="shared" si="501"/>
        <v>6.0928464252215182</v>
      </c>
      <c r="Q176" s="188">
        <f t="shared" si="502"/>
        <v>30</v>
      </c>
      <c r="R176" s="188"/>
      <c r="S176" s="149">
        <f t="shared" si="503"/>
        <v>94.027720518297329</v>
      </c>
      <c r="T176" s="149">
        <f t="shared" si="504"/>
        <v>30</v>
      </c>
      <c r="U176" s="188">
        <f t="shared" si="505"/>
        <v>13.402208654397691</v>
      </c>
      <c r="V176" s="188">
        <f t="shared" si="506"/>
        <v>3.1776957723133501</v>
      </c>
      <c r="W176" s="188">
        <f t="shared" si="507"/>
        <v>2.065563737980058</v>
      </c>
      <c r="X176" s="172">
        <f t="shared" si="508"/>
        <v>350</v>
      </c>
      <c r="Y176" s="379">
        <f t="shared" si="509"/>
        <v>183.71345296121973</v>
      </c>
      <c r="AA176" s="188">
        <f t="shared" si="510"/>
        <v>7.3030954603099092</v>
      </c>
      <c r="AB176" s="150">
        <f t="shared" si="511"/>
        <v>1.1255614314639892</v>
      </c>
      <c r="AC176" s="150">
        <f t="shared" si="512"/>
        <v>1.438514451574302</v>
      </c>
      <c r="AD176" s="150"/>
      <c r="AE176" s="150">
        <f t="shared" si="513"/>
        <v>0.93406754302861184</v>
      </c>
      <c r="AF176" s="314">
        <f t="shared" si="514"/>
        <v>932.69486398727588</v>
      </c>
      <c r="AG176" s="456">
        <f t="shared" si="515"/>
        <v>0.99067769715155796</v>
      </c>
      <c r="AI176" s="150">
        <f t="shared" si="516"/>
        <v>9.8935425574229932</v>
      </c>
      <c r="AJ176" s="150">
        <f t="shared" si="517"/>
        <v>13.402208654397691</v>
      </c>
      <c r="AK176" s="150">
        <f t="shared" si="518"/>
        <v>6.6382241435493565</v>
      </c>
      <c r="AM176" s="314">
        <f t="shared" si="519"/>
        <v>2640</v>
      </c>
      <c r="AN176" s="144">
        <f t="shared" si="520"/>
        <v>183.71345296121973</v>
      </c>
      <c r="AP176">
        <f t="shared" si="521"/>
        <v>2640</v>
      </c>
      <c r="AQ176">
        <f t="shared" si="522"/>
        <v>183.71345296121973</v>
      </c>
      <c r="AS176" s="5">
        <f t="shared" si="439"/>
        <v>5.4432595102934078</v>
      </c>
      <c r="AT176" s="5">
        <f t="shared" si="523"/>
        <v>3.1776957723133501</v>
      </c>
      <c r="AU176" s="5">
        <f t="shared" si="477"/>
        <v>2.2655637379800577</v>
      </c>
      <c r="AV176" s="5"/>
      <c r="AW176" s="150">
        <f t="shared" si="478"/>
        <v>0.58378546279195553</v>
      </c>
      <c r="AX176" s="150">
        <f t="shared" si="435"/>
        <v>77.546387733197818</v>
      </c>
      <c r="AY176" s="150">
        <f t="shared" si="436"/>
        <v>2.7890970363278917</v>
      </c>
      <c r="AZ176" s="150">
        <f t="shared" si="440"/>
        <v>27.803402579099551</v>
      </c>
      <c r="BA176" s="144">
        <f t="shared" si="433"/>
        <v>27.963722796357484</v>
      </c>
      <c r="BB176" s="5">
        <f t="shared" si="434"/>
        <v>5.3246446334214044</v>
      </c>
      <c r="BD176" s="150">
        <f t="shared" si="441"/>
        <v>5.9121083644656789</v>
      </c>
      <c r="BE176" s="150">
        <f t="shared" si="437"/>
        <v>4.9919976254153422</v>
      </c>
      <c r="BG176" s="456">
        <f t="shared" si="479"/>
        <v>0.41943630375822055</v>
      </c>
      <c r="BH176" s="456">
        <f t="shared" si="524"/>
        <v>2.2610224425722367</v>
      </c>
      <c r="BI176" s="456">
        <f t="shared" si="480"/>
        <v>2.1127047090540273E-2</v>
      </c>
      <c r="BJ176" s="456">
        <f t="shared" si="481"/>
        <v>0.24071361368598226</v>
      </c>
      <c r="BK176">
        <f t="shared" si="482"/>
        <v>8.9201966881227203E-3</v>
      </c>
      <c r="BL176" s="144">
        <f t="shared" si="587"/>
        <v>30.047243778662992</v>
      </c>
      <c r="BM176" s="456">
        <f t="shared" si="525"/>
        <v>3.3702974910707022</v>
      </c>
      <c r="BN176" s="144">
        <f t="shared" si="526"/>
        <v>3370.2974910707021</v>
      </c>
      <c r="BO176" s="456">
        <f t="shared" si="483"/>
        <v>1.8479999999999999</v>
      </c>
      <c r="BR176" s="144">
        <f t="shared" si="484"/>
        <v>1847.9999999999998</v>
      </c>
      <c r="BS176" s="456">
        <f t="shared" si="485"/>
        <v>0.48934235438459062</v>
      </c>
      <c r="BT176" s="456">
        <f t="shared" si="486"/>
        <v>0.34888056409013379</v>
      </c>
      <c r="BU176" s="456">
        <f t="shared" si="487"/>
        <v>15.040536981776095</v>
      </c>
      <c r="BV176" s="456"/>
      <c r="BW176" s="456">
        <f t="shared" si="488"/>
        <v>3.2998462865190561</v>
      </c>
      <c r="BX176" s="144">
        <f t="shared" si="489"/>
        <v>19178.606186769877</v>
      </c>
      <c r="BY176" s="150">
        <f t="shared" si="490"/>
        <v>23.977825790564978</v>
      </c>
      <c r="BZ176" s="5">
        <f t="shared" si="491"/>
        <v>79.2</v>
      </c>
      <c r="CA176" s="150">
        <f t="shared" si="492"/>
        <v>0.76760679335077042</v>
      </c>
      <c r="CB176" s="5">
        <f t="shared" si="493"/>
        <v>76.760679335077043</v>
      </c>
      <c r="CE176" s="59">
        <f t="shared" si="527"/>
        <v>-50</v>
      </c>
      <c r="CF176">
        <f t="shared" si="528"/>
        <v>-50</v>
      </c>
      <c r="CG176" s="150">
        <f t="shared" si="529"/>
        <v>0.38705160567144137</v>
      </c>
      <c r="CI176" s="147">
        <v>66</v>
      </c>
      <c r="CJ176" s="188">
        <f t="shared" si="588"/>
        <v>2.64</v>
      </c>
      <c r="CK176" s="188"/>
      <c r="CL176" s="188">
        <f t="shared" si="530"/>
        <v>79.2</v>
      </c>
      <c r="CM176" s="465">
        <f t="shared" si="531"/>
        <v>20</v>
      </c>
      <c r="CN176" s="379">
        <f t="shared" si="532"/>
        <v>30.4</v>
      </c>
      <c r="CO176" s="379">
        <f t="shared" si="533"/>
        <v>50.4</v>
      </c>
      <c r="CP176" s="379"/>
      <c r="CQ176" s="188">
        <f t="shared" si="534"/>
        <v>0.60317460317460314</v>
      </c>
      <c r="CR176" s="149">
        <f t="shared" si="589"/>
        <v>183.55019291189507</v>
      </c>
      <c r="CS176" s="149">
        <f t="shared" si="535"/>
        <v>79.2</v>
      </c>
      <c r="CT176" s="188">
        <f t="shared" si="536"/>
        <v>6.1183397637298356</v>
      </c>
      <c r="CU176" s="188">
        <f t="shared" si="537"/>
        <v>30</v>
      </c>
      <c r="CV176" s="188"/>
      <c r="CW176" s="149">
        <f t="shared" si="538"/>
        <v>94.8681791676497</v>
      </c>
      <c r="CX176" s="149">
        <f t="shared" si="539"/>
        <v>30</v>
      </c>
      <c r="CY176" s="188">
        <f t="shared" si="540"/>
        <v>13.130526315789474</v>
      </c>
      <c r="CZ176" s="188">
        <f t="shared" si="541"/>
        <v>3.0856736842105263</v>
      </c>
      <c r="DA176" s="188">
        <f t="shared" si="542"/>
        <v>2.0300484764542941</v>
      </c>
      <c r="DB176" s="172">
        <f t="shared" si="543"/>
        <v>350</v>
      </c>
      <c r="DC176" s="379">
        <f t="shared" si="544"/>
        <v>195.47582307911026</v>
      </c>
      <c r="DE176" s="188">
        <f t="shared" si="545"/>
        <v>7.3334298258310406</v>
      </c>
      <c r="DF176" s="150">
        <f t="shared" si="546"/>
        <v>1.1337868480725624</v>
      </c>
      <c r="DG176" s="150">
        <f t="shared" si="547"/>
        <v>1.4550456003633017</v>
      </c>
      <c r="DH176" s="150"/>
      <c r="DI176" s="150">
        <f t="shared" si="548"/>
        <v>0.93700159489633172</v>
      </c>
      <c r="DJ176" s="314">
        <f t="shared" si="549"/>
        <v>929.77429787234053</v>
      </c>
      <c r="DK176" s="456">
        <f t="shared" si="550"/>
        <v>0.99378957034459414</v>
      </c>
      <c r="DM176" s="150">
        <f t="shared" si="551"/>
        <v>9.8780404884054569</v>
      </c>
      <c r="DN176" s="150">
        <f t="shared" si="552"/>
        <v>13.130526315789474</v>
      </c>
      <c r="DO176" s="150">
        <f t="shared" si="553"/>
        <v>6.4369779668025284</v>
      </c>
      <c r="DQ176" s="314">
        <f t="shared" si="554"/>
        <v>2640</v>
      </c>
      <c r="DR176" s="144">
        <f t="shared" si="555"/>
        <v>195.47582307911026</v>
      </c>
      <c r="DT176">
        <f t="shared" si="590"/>
        <v>2640</v>
      </c>
      <c r="DU176">
        <f t="shared" si="591"/>
        <v>195.47582307911026</v>
      </c>
      <c r="DW176" s="5">
        <f t="shared" si="556"/>
        <v>5.11572216066482</v>
      </c>
      <c r="DX176" s="5">
        <f t="shared" si="557"/>
        <v>3.0856736842105263</v>
      </c>
      <c r="DY176" s="5">
        <f t="shared" si="558"/>
        <v>2.0300484764542936</v>
      </c>
      <c r="DZ176" s="5"/>
      <c r="EA176" s="150">
        <f t="shared" si="559"/>
        <v>0.60317460317460314</v>
      </c>
      <c r="EB176" s="150">
        <f t="shared" si="560"/>
        <v>79.2</v>
      </c>
      <c r="EC176" s="150">
        <f t="shared" si="561"/>
        <v>2.6052631578947372</v>
      </c>
      <c r="ED176" s="150">
        <f t="shared" si="562"/>
        <v>30.4</v>
      </c>
      <c r="EE176" s="144">
        <f t="shared" si="563"/>
        <v>27.153928421052633</v>
      </c>
      <c r="EF176" s="5">
        <f t="shared" si="564"/>
        <v>4.7288188039758836</v>
      </c>
      <c r="EH176" s="150">
        <f t="shared" si="565"/>
        <v>5.8876641780662231</v>
      </c>
      <c r="EI176" s="150">
        <f t="shared" si="566"/>
        <v>4.7755262505329279</v>
      </c>
      <c r="EK176" s="456">
        <f t="shared" si="567"/>
        <v>0.41597507368421061</v>
      </c>
      <c r="EL176" s="456">
        <f t="shared" si="568"/>
        <v>2.4578723404255323</v>
      </c>
      <c r="EM176" s="456">
        <f t="shared" si="569"/>
        <v>2.2479719654097684E-2</v>
      </c>
      <c r="EN176" s="456">
        <f t="shared" si="570"/>
        <v>0.25695938104448746</v>
      </c>
      <c r="EO176">
        <f t="shared" si="571"/>
        <v>8.9999999999999993E-3</v>
      </c>
      <c r="EP176" s="144">
        <f t="shared" si="572"/>
        <v>31.479719654097682</v>
      </c>
      <c r="EQ176" s="144"/>
      <c r="ER176" s="144">
        <f t="shared" si="592"/>
        <v>3162.2865148083279</v>
      </c>
      <c r="ES176" s="456">
        <f t="shared" si="573"/>
        <v>1.8479999999999999</v>
      </c>
      <c r="EV176" s="144">
        <f t="shared" si="494"/>
        <v>1847.9999999999998</v>
      </c>
      <c r="EW176" s="456">
        <f t="shared" si="574"/>
        <v>0.48530425263157906</v>
      </c>
      <c r="EX176" s="456">
        <f t="shared" si="575"/>
        <v>0.31927911357340721</v>
      </c>
      <c r="EY176" s="456">
        <f t="shared" si="576"/>
        <v>16.688141232989647</v>
      </c>
      <c r="EZ176" s="456"/>
      <c r="FA176" s="456">
        <f t="shared" si="577"/>
        <v>3.3702127659574468</v>
      </c>
      <c r="FB176" s="144">
        <f t="shared" si="578"/>
        <v>20862.93736515208</v>
      </c>
      <c r="FC176" s="150">
        <f t="shared" si="579"/>
        <v>25.87322387996041</v>
      </c>
      <c r="FD176" s="5">
        <f t="shared" si="580"/>
        <v>79.2</v>
      </c>
      <c r="FE176" s="150">
        <f t="shared" si="581"/>
        <v>0.75376006441451771</v>
      </c>
      <c r="FF176" s="5">
        <f t="shared" si="582"/>
        <v>75.376006441451764</v>
      </c>
      <c r="FI176" s="59">
        <f t="shared" si="583"/>
        <v>-50</v>
      </c>
      <c r="FJ176">
        <f t="shared" si="584"/>
        <v>-50</v>
      </c>
      <c r="FL176">
        <f t="shared" si="585"/>
        <v>0.39682539682539686</v>
      </c>
    </row>
    <row r="177" spans="5:168">
      <c r="E177" s="147">
        <v>67</v>
      </c>
      <c r="F177" s="188">
        <f t="shared" si="586"/>
        <v>2.68</v>
      </c>
      <c r="G177" s="188"/>
      <c r="H177" s="188">
        <f t="shared" si="495"/>
        <v>80.400000000000006</v>
      </c>
      <c r="I177" s="465">
        <f t="shared" si="496"/>
        <v>19.82004015255243</v>
      </c>
      <c r="J177" s="149">
        <f t="shared" si="497"/>
        <v>30.496901456317921</v>
      </c>
      <c r="K177" s="149">
        <f t="shared" si="498"/>
        <v>50.316941608870351</v>
      </c>
      <c r="L177" s="379"/>
      <c r="M177" s="188">
        <f t="shared" si="499"/>
        <v>0.60607768174420784</v>
      </c>
      <c r="N177" s="149">
        <f t="shared" si="500"/>
        <v>182.7740874446061</v>
      </c>
      <c r="O177" s="149">
        <f t="shared" si="438"/>
        <v>80.400000000000006</v>
      </c>
      <c r="P177" s="188">
        <f t="shared" si="501"/>
        <v>6.0924695814868697</v>
      </c>
      <c r="Q177" s="188">
        <f t="shared" si="502"/>
        <v>30</v>
      </c>
      <c r="R177" s="188"/>
      <c r="S177" s="149">
        <f t="shared" si="503"/>
        <v>92.319062151552373</v>
      </c>
      <c r="T177" s="149">
        <f t="shared" si="504"/>
        <v>30</v>
      </c>
      <c r="U177" s="188">
        <f t="shared" si="505"/>
        <v>13.606743643602094</v>
      </c>
      <c r="V177" s="188">
        <f t="shared" si="506"/>
        <v>3.2266178389499438</v>
      </c>
      <c r="W177" s="188">
        <f t="shared" si="507"/>
        <v>2.0969899258956102</v>
      </c>
      <c r="X177" s="172">
        <f t="shared" si="508"/>
        <v>350</v>
      </c>
      <c r="Y177" s="379">
        <f t="shared" si="509"/>
        <v>181.04109534431453</v>
      </c>
      <c r="AA177" s="188">
        <f t="shared" si="510"/>
        <v>7.3026436445998302</v>
      </c>
      <c r="AB177" s="150">
        <f t="shared" si="511"/>
        <v>1.1254397493063597</v>
      </c>
      <c r="AC177" s="150">
        <f t="shared" si="512"/>
        <v>1.4382699507141199</v>
      </c>
      <c r="AD177" s="150"/>
      <c r="AE177" s="150">
        <f t="shared" si="513"/>
        <v>0.93402434754391717</v>
      </c>
      <c r="AF177" s="314">
        <f t="shared" si="514"/>
        <v>946.87039189673385</v>
      </c>
      <c r="AG177" s="456">
        <f t="shared" si="515"/>
        <v>0.99063188375869993</v>
      </c>
      <c r="AI177" s="150">
        <f t="shared" si="516"/>
        <v>9.9684423579152259</v>
      </c>
      <c r="AJ177" s="150">
        <f t="shared" si="517"/>
        <v>13.606743643602094</v>
      </c>
      <c r="AK177" s="150">
        <f t="shared" si="518"/>
        <v>6.7897315429600251</v>
      </c>
      <c r="AM177" s="314">
        <f t="shared" si="519"/>
        <v>2680</v>
      </c>
      <c r="AN177" s="144">
        <f t="shared" si="520"/>
        <v>181.04109534431453</v>
      </c>
      <c r="AP177">
        <f t="shared" si="521"/>
        <v>2680</v>
      </c>
      <c r="AQ177">
        <f t="shared" si="522"/>
        <v>181.04109534431453</v>
      </c>
      <c r="AS177" s="5">
        <f t="shared" si="439"/>
        <v>5.5236077648455542</v>
      </c>
      <c r="AT177" s="5">
        <f t="shared" si="523"/>
        <v>3.2266178389499438</v>
      </c>
      <c r="AU177" s="5">
        <f t="shared" si="477"/>
        <v>2.2969899258956104</v>
      </c>
      <c r="AV177" s="5"/>
      <c r="AW177" s="150">
        <f t="shared" si="478"/>
        <v>0.5841504278210029</v>
      </c>
      <c r="AX177" s="150">
        <f t="shared" si="435"/>
        <v>78.768656119724412</v>
      </c>
      <c r="AY177" s="150">
        <f t="shared" si="436"/>
        <v>2.8291792614706095</v>
      </c>
      <c r="AZ177" s="150">
        <f t="shared" si="440"/>
        <v>27.84152181250629</v>
      </c>
      <c r="BA177" s="144">
        <f t="shared" si="433"/>
        <v>28.824452694619502</v>
      </c>
      <c r="BB177" s="5">
        <f t="shared" si="434"/>
        <v>5.4810237998143503</v>
      </c>
      <c r="BD177" s="150">
        <f t="shared" si="441"/>
        <v>6.0042107090900192</v>
      </c>
      <c r="BE177" s="150">
        <f t="shared" si="437"/>
        <v>5.0659593979571849</v>
      </c>
      <c r="BG177" s="456">
        <f t="shared" si="479"/>
        <v>0.43260655486981531</v>
      </c>
      <c r="BH177" s="456">
        <f t="shared" si="524"/>
        <v>2.2620826859047924</v>
      </c>
      <c r="BI177" s="456">
        <f t="shared" si="480"/>
        <v>2.0819725964596171E-2</v>
      </c>
      <c r="BJ177" s="456">
        <f t="shared" si="481"/>
        <v>0.23720071517371805</v>
      </c>
      <c r="BK177">
        <f t="shared" si="482"/>
        <v>8.9190180686485928E-3</v>
      </c>
      <c r="BL177" s="144">
        <f t="shared" si="587"/>
        <v>29.738744033244764</v>
      </c>
      <c r="BM177" s="456">
        <f t="shared" si="525"/>
        <v>3.397961024195995</v>
      </c>
      <c r="BN177" s="144">
        <f t="shared" si="526"/>
        <v>3397.9610241959949</v>
      </c>
      <c r="BO177" s="456">
        <f t="shared" si="483"/>
        <v>1.8759999999999999</v>
      </c>
      <c r="BR177" s="144">
        <f t="shared" si="484"/>
        <v>1876</v>
      </c>
      <c r="BS177" s="456">
        <f t="shared" si="485"/>
        <v>0.50470764734811779</v>
      </c>
      <c r="BT177" s="456">
        <f t="shared" si="486"/>
        <v>0.35929522470451014</v>
      </c>
      <c r="BU177" s="456">
        <f t="shared" si="487"/>
        <v>15.059079712766765</v>
      </c>
      <c r="BV177" s="456"/>
      <c r="BW177" s="456">
        <f t="shared" si="488"/>
        <v>3.3518577072223161</v>
      </c>
      <c r="BX177" s="144">
        <f t="shared" si="489"/>
        <v>19274.940292041709</v>
      </c>
      <c r="BY177" s="150">
        <f t="shared" si="490"/>
        <v>24.112568992023277</v>
      </c>
      <c r="BZ177" s="5">
        <f t="shared" si="491"/>
        <v>80.400000000000006</v>
      </c>
      <c r="CA177" s="150">
        <f t="shared" si="492"/>
        <v>0.76928546274789567</v>
      </c>
      <c r="CB177" s="5">
        <f t="shared" si="493"/>
        <v>76.928546274789568</v>
      </c>
      <c r="CE177" s="59">
        <f t="shared" si="527"/>
        <v>-50</v>
      </c>
      <c r="CF177">
        <f t="shared" si="528"/>
        <v>-50</v>
      </c>
      <c r="CG177" s="150">
        <f t="shared" si="529"/>
        <v>0.38719748315135111</v>
      </c>
      <c r="CI177" s="147">
        <v>67</v>
      </c>
      <c r="CJ177" s="188">
        <f t="shared" si="588"/>
        <v>2.68</v>
      </c>
      <c r="CK177" s="188"/>
      <c r="CL177" s="188">
        <f t="shared" si="530"/>
        <v>80.400000000000006</v>
      </c>
      <c r="CM177" s="465">
        <f t="shared" si="531"/>
        <v>20</v>
      </c>
      <c r="CN177" s="379">
        <f t="shared" si="532"/>
        <v>30.4</v>
      </c>
      <c r="CO177" s="379">
        <f t="shared" si="533"/>
        <v>50.4</v>
      </c>
      <c r="CP177" s="379"/>
      <c r="CQ177" s="188">
        <f t="shared" si="534"/>
        <v>0.60317460317460314</v>
      </c>
      <c r="CR177" s="149">
        <f t="shared" si="589"/>
        <v>183.55019291189507</v>
      </c>
      <c r="CS177" s="149">
        <f t="shared" si="535"/>
        <v>80.400000000000006</v>
      </c>
      <c r="CT177" s="188">
        <f t="shared" si="536"/>
        <v>6.1183397637298356</v>
      </c>
      <c r="CU177" s="188">
        <f t="shared" si="537"/>
        <v>30</v>
      </c>
      <c r="CV177" s="188"/>
      <c r="CW177" s="149">
        <f t="shared" si="538"/>
        <v>93.156518402190613</v>
      </c>
      <c r="CX177" s="149">
        <f t="shared" si="539"/>
        <v>30</v>
      </c>
      <c r="CY177" s="188">
        <f t="shared" si="540"/>
        <v>13.329473684210528</v>
      </c>
      <c r="CZ177" s="188">
        <f t="shared" si="541"/>
        <v>3.1324263157894743</v>
      </c>
      <c r="DA177" s="188">
        <f t="shared" si="542"/>
        <v>2.0608067867036017</v>
      </c>
      <c r="DB177" s="172">
        <f t="shared" si="543"/>
        <v>350</v>
      </c>
      <c r="DC177" s="379">
        <f t="shared" si="544"/>
        <v>192.55827348091452</v>
      </c>
      <c r="DE177" s="188">
        <f t="shared" si="545"/>
        <v>7.3334298258310406</v>
      </c>
      <c r="DF177" s="150">
        <f t="shared" si="546"/>
        <v>1.1337868480725624</v>
      </c>
      <c r="DG177" s="150">
        <f t="shared" si="547"/>
        <v>1.4550456003633017</v>
      </c>
      <c r="DH177" s="150"/>
      <c r="DI177" s="150">
        <f t="shared" si="548"/>
        <v>0.93700159489633172</v>
      </c>
      <c r="DJ177" s="314">
        <f t="shared" si="549"/>
        <v>943.86178723404271</v>
      </c>
      <c r="DK177" s="456">
        <f t="shared" si="550"/>
        <v>0.99378957034459414</v>
      </c>
      <c r="DM177" s="150">
        <f t="shared" si="551"/>
        <v>9.9525927950190471</v>
      </c>
      <c r="DN177" s="150">
        <f t="shared" si="552"/>
        <v>13.329473684210528</v>
      </c>
      <c r="DO177" s="150">
        <f t="shared" si="553"/>
        <v>6.5843463878551614</v>
      </c>
      <c r="DQ177" s="314">
        <f t="shared" si="554"/>
        <v>2680</v>
      </c>
      <c r="DR177" s="144">
        <f t="shared" si="555"/>
        <v>192.55827348091452</v>
      </c>
      <c r="DT177">
        <f t="shared" si="590"/>
        <v>2680</v>
      </c>
      <c r="DU177">
        <f t="shared" si="591"/>
        <v>192.55827348091452</v>
      </c>
      <c r="DW177" s="5">
        <f t="shared" si="556"/>
        <v>5.1932331024930765</v>
      </c>
      <c r="DX177" s="5">
        <f t="shared" si="557"/>
        <v>3.1324263157894743</v>
      </c>
      <c r="DY177" s="5">
        <f t="shared" si="558"/>
        <v>2.0608067867036022</v>
      </c>
      <c r="DZ177" s="5"/>
      <c r="EA177" s="150">
        <f t="shared" si="559"/>
        <v>0.60317460317460314</v>
      </c>
      <c r="EB177" s="150">
        <f t="shared" si="560"/>
        <v>80.400000000000006</v>
      </c>
      <c r="EC177" s="150">
        <f t="shared" si="561"/>
        <v>2.6447368421052637</v>
      </c>
      <c r="ED177" s="150">
        <f t="shared" si="562"/>
        <v>30.399999999999995</v>
      </c>
      <c r="EE177" s="144">
        <f t="shared" si="563"/>
        <v>27.983008421052638</v>
      </c>
      <c r="EF177" s="5">
        <f t="shared" si="564"/>
        <v>4.8732019309108709</v>
      </c>
      <c r="EH177" s="150">
        <f t="shared" si="565"/>
        <v>5.9768712110672269</v>
      </c>
      <c r="EI177" s="150">
        <f t="shared" si="566"/>
        <v>4.8478827088743373</v>
      </c>
      <c r="EK177" s="456">
        <f t="shared" si="567"/>
        <v>0.42867587368421062</v>
      </c>
      <c r="EL177" s="456">
        <f t="shared" si="568"/>
        <v>2.4578723404255314</v>
      </c>
      <c r="EM177" s="456">
        <f t="shared" si="569"/>
        <v>2.214420145030517E-2</v>
      </c>
      <c r="EN177" s="456">
        <f t="shared" si="570"/>
        <v>0.25312416640203234</v>
      </c>
      <c r="EO177">
        <f t="shared" si="571"/>
        <v>8.9999999999999993E-3</v>
      </c>
      <c r="EP177" s="144">
        <f t="shared" si="572"/>
        <v>31.144201450305172</v>
      </c>
      <c r="EQ177" s="144"/>
      <c r="ER177" s="144">
        <f t="shared" si="592"/>
        <v>3170.8165819620795</v>
      </c>
      <c r="ES177" s="456">
        <f t="shared" si="573"/>
        <v>1.8759999999999999</v>
      </c>
      <c r="EV177" s="144">
        <f t="shared" si="494"/>
        <v>1876</v>
      </c>
      <c r="EW177" s="456">
        <f t="shared" si="574"/>
        <v>0.50012185263157904</v>
      </c>
      <c r="EX177" s="456">
        <f t="shared" si="575"/>
        <v>0.32902753462603895</v>
      </c>
      <c r="EY177" s="456">
        <f t="shared" si="576"/>
        <v>16.688141232989647</v>
      </c>
      <c r="EZ177" s="456"/>
      <c r="FA177" s="456">
        <f t="shared" si="577"/>
        <v>3.4212765957446813</v>
      </c>
      <c r="FB177" s="144">
        <f t="shared" si="578"/>
        <v>20938.567215991949</v>
      </c>
      <c r="FC177" s="150">
        <f t="shared" si="579"/>
        <v>25.985383797954025</v>
      </c>
      <c r="FD177" s="5">
        <f t="shared" si="580"/>
        <v>80.400000000000006</v>
      </c>
      <c r="FE177" s="150">
        <f t="shared" si="581"/>
        <v>0.75574291439033403</v>
      </c>
      <c r="FF177" s="5">
        <f t="shared" si="582"/>
        <v>75.574291439033402</v>
      </c>
      <c r="FI177" s="59">
        <f t="shared" si="583"/>
        <v>-50</v>
      </c>
      <c r="FJ177">
        <f t="shared" si="584"/>
        <v>-50</v>
      </c>
      <c r="FL177">
        <f t="shared" si="585"/>
        <v>0.39682539682539686</v>
      </c>
    </row>
    <row r="178" spans="5:168">
      <c r="E178" s="147">
        <v>68</v>
      </c>
      <c r="F178" s="188">
        <f t="shared" si="586"/>
        <v>2.72</v>
      </c>
      <c r="G178" s="188"/>
      <c r="H178" s="188">
        <f t="shared" si="495"/>
        <v>81.600000000000009</v>
      </c>
      <c r="I178" s="465">
        <f t="shared" si="496"/>
        <v>19.817420948579723</v>
      </c>
      <c r="J178" s="149">
        <f t="shared" si="497"/>
        <v>30.498311796918607</v>
      </c>
      <c r="K178" s="149">
        <f t="shared" si="498"/>
        <v>50.31573274549833</v>
      </c>
      <c r="L178" s="379"/>
      <c r="M178" s="188">
        <f t="shared" si="499"/>
        <v>0.6061202816279514</v>
      </c>
      <c r="N178" s="149">
        <f t="shared" si="500"/>
        <v>182.76277907702368</v>
      </c>
      <c r="O178" s="149">
        <f t="shared" si="438"/>
        <v>81.600000000000009</v>
      </c>
      <c r="P178" s="188">
        <f t="shared" si="501"/>
        <v>6.092092635900789</v>
      </c>
      <c r="Q178" s="188">
        <f t="shared" si="502"/>
        <v>30</v>
      </c>
      <c r="R178" s="188"/>
      <c r="S178" s="149">
        <f t="shared" si="503"/>
        <v>90.660789914817101</v>
      </c>
      <c r="T178" s="149">
        <f t="shared" si="504"/>
        <v>30</v>
      </c>
      <c r="U178" s="188">
        <f t="shared" si="505"/>
        <v>13.811322965508772</v>
      </c>
      <c r="V178" s="188">
        <f t="shared" si="506"/>
        <v>3.2755633594462972</v>
      </c>
      <c r="W178" s="188">
        <f t="shared" si="507"/>
        <v>2.1284200374805575</v>
      </c>
      <c r="X178" s="172">
        <f t="shared" si="508"/>
        <v>350</v>
      </c>
      <c r="Y178" s="379">
        <f t="shared" si="509"/>
        <v>178.44449727463251</v>
      </c>
      <c r="AA178" s="188">
        <f t="shared" si="510"/>
        <v>7.3021917093670536</v>
      </c>
      <c r="AB178" s="150">
        <f t="shared" si="511"/>
        <v>1.1253180589980294</v>
      </c>
      <c r="AC178" s="150">
        <f t="shared" si="512"/>
        <v>1.4380254351428763</v>
      </c>
      <c r="AD178" s="150"/>
      <c r="AE178" s="150">
        <f t="shared" si="513"/>
        <v>0.93398115523648251</v>
      </c>
      <c r="AF178" s="314">
        <f t="shared" si="514"/>
        <v>961.04722773847527</v>
      </c>
      <c r="AG178" s="456">
        <f t="shared" si="515"/>
        <v>0.99058607373566332</v>
      </c>
      <c r="AI178" s="150">
        <f t="shared" si="516"/>
        <v>10.04279039969979</v>
      </c>
      <c r="AJ178" s="150">
        <f t="shared" si="517"/>
        <v>13.811322965508772</v>
      </c>
      <c r="AK178" s="150">
        <f t="shared" si="518"/>
        <v>6.9412717814094167</v>
      </c>
      <c r="AM178" s="314">
        <f t="shared" si="519"/>
        <v>2720</v>
      </c>
      <c r="AN178" s="144">
        <f t="shared" si="520"/>
        <v>178.44449727463251</v>
      </c>
      <c r="AP178">
        <f t="shared" si="521"/>
        <v>2720</v>
      </c>
      <c r="AQ178">
        <f t="shared" si="522"/>
        <v>178.44449727463251</v>
      </c>
      <c r="AS178" s="5">
        <f t="shared" si="439"/>
        <v>5.6039833969268553</v>
      </c>
      <c r="AT178" s="5">
        <f t="shared" si="523"/>
        <v>3.2755633594462972</v>
      </c>
      <c r="AU178" s="5">
        <f t="shared" si="477"/>
        <v>2.3284200374805581</v>
      </c>
      <c r="AV178" s="5"/>
      <c r="AW178" s="150">
        <f t="shared" si="478"/>
        <v>0.58450625696760083</v>
      </c>
      <c r="AX178" s="150">
        <f t="shared" si="435"/>
        <v>79.991084392070249</v>
      </c>
      <c r="AY178" s="150">
        <f t="shared" si="436"/>
        <v>2.8692591375842875</v>
      </c>
      <c r="AZ178" s="150">
        <f t="shared" si="440"/>
        <v>27.878654578204834</v>
      </c>
      <c r="BA178" s="144">
        <f t="shared" si="433"/>
        <v>29.698441125646426</v>
      </c>
      <c r="BB178" s="5">
        <f t="shared" si="434"/>
        <v>5.6396925759946939</v>
      </c>
      <c r="BD178" s="150">
        <f t="shared" si="441"/>
        <v>6.0963407826816489</v>
      </c>
      <c r="BE178" s="150">
        <f t="shared" si="437"/>
        <v>5.1399263691816808</v>
      </c>
      <c r="BG178" s="456">
        <f t="shared" si="479"/>
        <v>0.44598445126305003</v>
      </c>
      <c r="BH178" s="456">
        <f t="shared" si="524"/>
        <v>2.2631071229174027</v>
      </c>
      <c r="BI178" s="456">
        <f t="shared" si="480"/>
        <v>2.0521117186582741E-2</v>
      </c>
      <c r="BJ178" s="456">
        <f t="shared" si="481"/>
        <v>0.23378740886468477</v>
      </c>
      <c r="BK178">
        <f t="shared" si="482"/>
        <v>8.9178394268608751E-3</v>
      </c>
      <c r="BL178" s="144">
        <f t="shared" si="587"/>
        <v>29.438956613443619</v>
      </c>
      <c r="BM178" s="456">
        <f t="shared" si="525"/>
        <v>3.4263735624208578</v>
      </c>
      <c r="BN178" s="144">
        <f t="shared" si="526"/>
        <v>3426.373562420858</v>
      </c>
      <c r="BO178" s="456">
        <f t="shared" si="483"/>
        <v>1.9039999999999999</v>
      </c>
      <c r="BR178" s="144">
        <f t="shared" si="484"/>
        <v>1904</v>
      </c>
      <c r="BS178" s="456">
        <f t="shared" si="485"/>
        <v>0.52031519314022501</v>
      </c>
      <c r="BT178" s="456">
        <f t="shared" si="486"/>
        <v>0.36986380312852846</v>
      </c>
      <c r="BU178" s="456">
        <f t="shared" si="487"/>
        <v>15.077040692281507</v>
      </c>
      <c r="BV178" s="456"/>
      <c r="BW178" s="456">
        <f t="shared" si="488"/>
        <v>3.403875931577458</v>
      </c>
      <c r="BX178" s="144">
        <f t="shared" si="489"/>
        <v>19371.095620127719</v>
      </c>
      <c r="BY178" s="150">
        <f t="shared" si="490"/>
        <v>24.247413559786303</v>
      </c>
      <c r="BZ178" s="5">
        <f t="shared" si="491"/>
        <v>81.600000000000009</v>
      </c>
      <c r="CA178" s="150">
        <f t="shared" si="492"/>
        <v>0.77092105754581797</v>
      </c>
      <c r="CB178" s="5">
        <f t="shared" si="493"/>
        <v>77.092105754581794</v>
      </c>
      <c r="CE178" s="59">
        <f t="shared" si="527"/>
        <v>-50</v>
      </c>
      <c r="CF178">
        <f t="shared" si="528"/>
        <v>-50</v>
      </c>
      <c r="CG178" s="150">
        <f t="shared" si="529"/>
        <v>0.38733907011714591</v>
      </c>
      <c r="CI178" s="147">
        <v>68</v>
      </c>
      <c r="CJ178" s="188">
        <f t="shared" si="588"/>
        <v>2.72</v>
      </c>
      <c r="CK178" s="188"/>
      <c r="CL178" s="188">
        <f t="shared" si="530"/>
        <v>81.600000000000009</v>
      </c>
      <c r="CM178" s="465">
        <f t="shared" si="531"/>
        <v>20</v>
      </c>
      <c r="CN178" s="379">
        <f t="shared" si="532"/>
        <v>30.4</v>
      </c>
      <c r="CO178" s="379">
        <f t="shared" si="533"/>
        <v>50.4</v>
      </c>
      <c r="CP178" s="379"/>
      <c r="CQ178" s="188">
        <f t="shared" si="534"/>
        <v>0.60317460317460314</v>
      </c>
      <c r="CR178" s="149">
        <f t="shared" si="589"/>
        <v>183.55019291189507</v>
      </c>
      <c r="CS178" s="149">
        <f t="shared" si="535"/>
        <v>81.600000000000009</v>
      </c>
      <c r="CT178" s="188">
        <f t="shared" si="536"/>
        <v>6.1183397637298356</v>
      </c>
      <c r="CU178" s="188">
        <f t="shared" si="537"/>
        <v>30</v>
      </c>
      <c r="CV178" s="188"/>
      <c r="CW178" s="149">
        <f t="shared" si="538"/>
        <v>91.49525528064899</v>
      </c>
      <c r="CX178" s="149">
        <f t="shared" si="539"/>
        <v>30</v>
      </c>
      <c r="CY178" s="188">
        <f t="shared" si="540"/>
        <v>13.528421052631581</v>
      </c>
      <c r="CZ178" s="188">
        <f t="shared" si="541"/>
        <v>3.1791789473684218</v>
      </c>
      <c r="DA178" s="188">
        <f t="shared" si="542"/>
        <v>2.0915650969529089</v>
      </c>
      <c r="DB178" s="172">
        <f t="shared" si="543"/>
        <v>350</v>
      </c>
      <c r="DC178" s="379">
        <f t="shared" si="544"/>
        <v>189.72653416501873</v>
      </c>
      <c r="DE178" s="188">
        <f t="shared" si="545"/>
        <v>7.3334298258310406</v>
      </c>
      <c r="DF178" s="150">
        <f t="shared" si="546"/>
        <v>1.1337868480725624</v>
      </c>
      <c r="DG178" s="150">
        <f t="shared" si="547"/>
        <v>1.4550456003633017</v>
      </c>
      <c r="DH178" s="150"/>
      <c r="DI178" s="150">
        <f t="shared" si="548"/>
        <v>0.93700159489633172</v>
      </c>
      <c r="DJ178" s="314">
        <f t="shared" si="549"/>
        <v>957.94927659574478</v>
      </c>
      <c r="DK178" s="456">
        <f t="shared" si="550"/>
        <v>0.99378957034459414</v>
      </c>
      <c r="DM178" s="150">
        <f t="shared" si="551"/>
        <v>10.026590786321769</v>
      </c>
      <c r="DN178" s="150">
        <f t="shared" si="552"/>
        <v>13.528421052631581</v>
      </c>
      <c r="DO178" s="150">
        <f t="shared" si="553"/>
        <v>6.7317148089077934</v>
      </c>
      <c r="DQ178" s="314">
        <f t="shared" si="554"/>
        <v>2720</v>
      </c>
      <c r="DR178" s="144">
        <f t="shared" si="555"/>
        <v>189.72653416501873</v>
      </c>
      <c r="DT178">
        <f t="shared" si="590"/>
        <v>2720</v>
      </c>
      <c r="DU178">
        <f t="shared" si="591"/>
        <v>189.72653416501873</v>
      </c>
      <c r="DW178" s="5">
        <f t="shared" si="556"/>
        <v>5.2707440443213311</v>
      </c>
      <c r="DX178" s="5">
        <f t="shared" si="557"/>
        <v>3.1791789473684218</v>
      </c>
      <c r="DY178" s="5">
        <f t="shared" si="558"/>
        <v>2.0915650969529094</v>
      </c>
      <c r="DZ178" s="5"/>
      <c r="EA178" s="150">
        <f t="shared" si="559"/>
        <v>0.60317460317460314</v>
      </c>
      <c r="EB178" s="150">
        <f t="shared" si="560"/>
        <v>81.600000000000009</v>
      </c>
      <c r="EC178" s="150">
        <f t="shared" si="561"/>
        <v>2.6842105263157898</v>
      </c>
      <c r="ED178" s="150">
        <f t="shared" si="562"/>
        <v>30.4</v>
      </c>
      <c r="EE178" s="144">
        <f t="shared" si="563"/>
        <v>28.824555789473688</v>
      </c>
      <c r="EF178" s="5">
        <f t="shared" si="564"/>
        <v>5.0197562326869827</v>
      </c>
      <c r="EH178" s="150">
        <f t="shared" si="565"/>
        <v>6.0660782440682306</v>
      </c>
      <c r="EI178" s="150">
        <f t="shared" si="566"/>
        <v>4.9202391672157448</v>
      </c>
      <c r="EK178" s="456">
        <f t="shared" si="567"/>
        <v>0.44156766315789492</v>
      </c>
      <c r="EL178" s="456">
        <f t="shared" si="568"/>
        <v>2.4578723404255314</v>
      </c>
      <c r="EM178" s="456">
        <f t="shared" si="569"/>
        <v>2.1818551428977158E-2</v>
      </c>
      <c r="EN178" s="456">
        <f t="shared" si="570"/>
        <v>0.24940175219023772</v>
      </c>
      <c r="EO178">
        <f t="shared" si="571"/>
        <v>8.9999999999999993E-3</v>
      </c>
      <c r="EP178" s="144">
        <f t="shared" si="572"/>
        <v>30.818551428977159</v>
      </c>
      <c r="EQ178" s="144"/>
      <c r="ER178" s="144">
        <f t="shared" si="592"/>
        <v>3179.6603072026414</v>
      </c>
      <c r="ES178" s="456">
        <f t="shared" si="573"/>
        <v>1.9039999999999999</v>
      </c>
      <c r="EV178" s="144">
        <f t="shared" si="494"/>
        <v>1904</v>
      </c>
      <c r="EW178" s="456">
        <f t="shared" si="574"/>
        <v>0.51516227368421075</v>
      </c>
      <c r="EX178" s="456">
        <f t="shared" si="575"/>
        <v>0.33892254847645442</v>
      </c>
      <c r="EY178" s="456">
        <f t="shared" si="576"/>
        <v>16.688141232989647</v>
      </c>
      <c r="EZ178" s="456"/>
      <c r="FA178" s="456">
        <f t="shared" si="577"/>
        <v>3.4723404255319155</v>
      </c>
      <c r="FB178" s="144">
        <f t="shared" si="578"/>
        <v>21014.566480682228</v>
      </c>
      <c r="FC178" s="150">
        <f t="shared" si="579"/>
        <v>26.098226787884869</v>
      </c>
      <c r="FD178" s="5">
        <f t="shared" si="580"/>
        <v>81.600000000000009</v>
      </c>
      <c r="FE178" s="150">
        <f t="shared" si="581"/>
        <v>0.75767264172987581</v>
      </c>
      <c r="FF178" s="5">
        <f t="shared" si="582"/>
        <v>75.767264172987581</v>
      </c>
      <c r="FI178" s="59">
        <f t="shared" si="583"/>
        <v>-50</v>
      </c>
      <c r="FJ178">
        <f t="shared" si="584"/>
        <v>-50</v>
      </c>
      <c r="FL178">
        <f t="shared" si="585"/>
        <v>0.39682539682539686</v>
      </c>
    </row>
    <row r="179" spans="5:168">
      <c r="E179" s="147">
        <v>69</v>
      </c>
      <c r="F179" s="188">
        <f t="shared" si="586"/>
        <v>2.76</v>
      </c>
      <c r="G179" s="188"/>
      <c r="H179" s="188">
        <f t="shared" si="495"/>
        <v>82.8</v>
      </c>
      <c r="I179" s="465">
        <f t="shared" si="496"/>
        <v>19.814801697229179</v>
      </c>
      <c r="J179" s="149">
        <f t="shared" si="497"/>
        <v>30.499722163030441</v>
      </c>
      <c r="K179" s="149">
        <f t="shared" si="498"/>
        <v>50.314523860259619</v>
      </c>
      <c r="L179" s="379"/>
      <c r="M179" s="188">
        <f t="shared" si="499"/>
        <v>0.60616288412816599</v>
      </c>
      <c r="N179" s="149">
        <f t="shared" si="500"/>
        <v>182.75146766592493</v>
      </c>
      <c r="O179" s="149">
        <f t="shared" si="438"/>
        <v>82.8</v>
      </c>
      <c r="P179" s="188">
        <f t="shared" si="501"/>
        <v>6.0917155888641643</v>
      </c>
      <c r="Q179" s="188">
        <f t="shared" si="502"/>
        <v>30</v>
      </c>
      <c r="R179" s="188"/>
      <c r="S179" s="149">
        <f t="shared" si="503"/>
        <v>89.0507136164196</v>
      </c>
      <c r="T179" s="149">
        <f t="shared" si="504"/>
        <v>30</v>
      </c>
      <c r="U179" s="188">
        <f t="shared" si="505"/>
        <v>14.01594663768655</v>
      </c>
      <c r="V179" s="188">
        <f t="shared" si="506"/>
        <v>3.3245323472673696</v>
      </c>
      <c r="W179" s="188">
        <f t="shared" si="507"/>
        <v>2.1598540748995947</v>
      </c>
      <c r="X179" s="172">
        <f t="shared" si="508"/>
        <v>350</v>
      </c>
      <c r="Y179" s="379">
        <f t="shared" si="509"/>
        <v>175.92048212985256</v>
      </c>
      <c r="AA179" s="188">
        <f t="shared" si="510"/>
        <v>7.3017396549783893</v>
      </c>
      <c r="AB179" s="150">
        <f t="shared" si="511"/>
        <v>1.1251963606408337</v>
      </c>
      <c r="AC179" s="150">
        <f t="shared" si="512"/>
        <v>1.4377809050724948</v>
      </c>
      <c r="AD179" s="150"/>
      <c r="AE179" s="150">
        <f t="shared" si="513"/>
        <v>0.93393796614238533</v>
      </c>
      <c r="AF179" s="314">
        <f t="shared" si="514"/>
        <v>975.22537151160441</v>
      </c>
      <c r="AG179" s="456">
        <f t="shared" si="515"/>
        <v>0.99054026712071164</v>
      </c>
      <c r="AI179" s="150">
        <f t="shared" si="516"/>
        <v>10.116598847592869</v>
      </c>
      <c r="AJ179" s="150">
        <f t="shared" si="517"/>
        <v>14.01594663768655</v>
      </c>
      <c r="AK179" s="150">
        <f t="shared" si="518"/>
        <v>7.0928448719114741</v>
      </c>
      <c r="AM179" s="314">
        <f t="shared" si="519"/>
        <v>2760</v>
      </c>
      <c r="AN179" s="144">
        <f t="shared" si="520"/>
        <v>175.92048212985256</v>
      </c>
      <c r="AP179">
        <f t="shared" si="521"/>
        <v>2760</v>
      </c>
      <c r="AQ179">
        <f t="shared" si="522"/>
        <v>175.92048212985256</v>
      </c>
      <c r="AS179" s="5">
        <f t="shared" si="439"/>
        <v>5.6843864221669644</v>
      </c>
      <c r="AT179" s="5">
        <f t="shared" si="523"/>
        <v>3.3245323472673696</v>
      </c>
      <c r="AU179" s="5">
        <f t="shared" si="477"/>
        <v>2.3598540748995949</v>
      </c>
      <c r="AV179" s="5"/>
      <c r="AW179" s="150">
        <f t="shared" si="478"/>
        <v>0.58485333338756607</v>
      </c>
      <c r="AX179" s="150">
        <f t="shared" si="435"/>
        <v>81.213670582520606</v>
      </c>
      <c r="AY179" s="150">
        <f t="shared" si="436"/>
        <v>2.9093367630266611</v>
      </c>
      <c r="AZ179" s="150">
        <f t="shared" si="440"/>
        <v>27.914840115666721</v>
      </c>
      <c r="BA179" s="144">
        <f t="shared" si="433"/>
        <v>30.585697594859795</v>
      </c>
      <c r="BB179" s="5">
        <f t="shared" si="434"/>
        <v>5.8006522951093205</v>
      </c>
      <c r="BD179" s="150">
        <f t="shared" si="441"/>
        <v>6.1884985391502436</v>
      </c>
      <c r="BE179" s="150">
        <f t="shared" si="437"/>
        <v>5.2138986578593567</v>
      </c>
      <c r="BG179" s="456">
        <f t="shared" si="479"/>
        <v>0.45957017002877637</v>
      </c>
      <c r="BH179" s="456">
        <f t="shared" si="524"/>
        <v>2.2640972537794823</v>
      </c>
      <c r="BI179" s="456">
        <f t="shared" si="480"/>
        <v>2.0230855444933048E-2</v>
      </c>
      <c r="BJ179" s="456">
        <f t="shared" si="481"/>
        <v>0.23046951883513567</v>
      </c>
      <c r="BK179">
        <f t="shared" si="482"/>
        <v>8.91666076375313E-3</v>
      </c>
      <c r="BL179" s="144">
        <f t="shared" si="587"/>
        <v>29.147516208686177</v>
      </c>
      <c r="BM179" s="456">
        <f t="shared" si="525"/>
        <v>3.4555452563404057</v>
      </c>
      <c r="BN179" s="144">
        <f t="shared" si="526"/>
        <v>3455.5452563404056</v>
      </c>
      <c r="BO179" s="456">
        <f t="shared" si="483"/>
        <v>1.9319999999999997</v>
      </c>
      <c r="BR179" s="144">
        <f t="shared" si="484"/>
        <v>1931.9999999999998</v>
      </c>
      <c r="BS179" s="456">
        <f t="shared" si="485"/>
        <v>0.53616519836690579</v>
      </c>
      <c r="BT179" s="456">
        <f t="shared" si="486"/>
        <v>0.3805863490019864</v>
      </c>
      <c r="BU179" s="456">
        <f t="shared" si="487"/>
        <v>15.094443606136467</v>
      </c>
      <c r="BV179" s="456"/>
      <c r="BW179" s="456">
        <f t="shared" si="488"/>
        <v>3.4559008758519409</v>
      </c>
      <c r="BX179" s="144">
        <f t="shared" si="489"/>
        <v>19467.096029357301</v>
      </c>
      <c r="BY179" s="150">
        <f t="shared" si="490"/>
        <v>24.382380488209382</v>
      </c>
      <c r="BZ179" s="5">
        <f t="shared" si="491"/>
        <v>82.8</v>
      </c>
      <c r="CA179" s="150">
        <f t="shared" si="492"/>
        <v>0.77251503113525666</v>
      </c>
      <c r="CB179" s="5">
        <f t="shared" si="493"/>
        <v>77.251503113525672</v>
      </c>
      <c r="CE179" s="59">
        <f t="shared" si="527"/>
        <v>-50</v>
      </c>
      <c r="CF179">
        <f t="shared" si="528"/>
        <v>-50</v>
      </c>
      <c r="CG179" s="150">
        <f t="shared" si="529"/>
        <v>0.38747655311291779</v>
      </c>
      <c r="CI179" s="147">
        <v>69</v>
      </c>
      <c r="CJ179" s="188">
        <f t="shared" si="588"/>
        <v>2.76</v>
      </c>
      <c r="CK179" s="188"/>
      <c r="CL179" s="188">
        <f t="shared" si="530"/>
        <v>82.8</v>
      </c>
      <c r="CM179" s="465">
        <f t="shared" si="531"/>
        <v>20</v>
      </c>
      <c r="CN179" s="379">
        <f t="shared" si="532"/>
        <v>30.4</v>
      </c>
      <c r="CO179" s="379">
        <f t="shared" si="533"/>
        <v>50.4</v>
      </c>
      <c r="CP179" s="379"/>
      <c r="CQ179" s="188">
        <f t="shared" si="534"/>
        <v>0.60317460317460314</v>
      </c>
      <c r="CR179" s="149">
        <f t="shared" si="589"/>
        <v>183.55019291189507</v>
      </c>
      <c r="CS179" s="149">
        <f t="shared" si="535"/>
        <v>82.8</v>
      </c>
      <c r="CT179" s="188">
        <f t="shared" si="536"/>
        <v>6.1183397637298356</v>
      </c>
      <c r="CU179" s="188">
        <f t="shared" si="537"/>
        <v>30</v>
      </c>
      <c r="CV179" s="188"/>
      <c r="CW179" s="149">
        <f t="shared" si="538"/>
        <v>89.882199099379051</v>
      </c>
      <c r="CX179" s="149">
        <f t="shared" si="539"/>
        <v>30</v>
      </c>
      <c r="CY179" s="188">
        <f t="shared" si="540"/>
        <v>13.727368421052631</v>
      </c>
      <c r="CZ179" s="188">
        <f t="shared" si="541"/>
        <v>3.2259315789473679</v>
      </c>
      <c r="DA179" s="188">
        <f t="shared" si="542"/>
        <v>2.1223234072022157</v>
      </c>
      <c r="DB179" s="172">
        <f t="shared" si="543"/>
        <v>350</v>
      </c>
      <c r="DC179" s="379">
        <f t="shared" si="544"/>
        <v>186.97687424958372</v>
      </c>
      <c r="DE179" s="188">
        <f t="shared" si="545"/>
        <v>7.3334298258310406</v>
      </c>
      <c r="DF179" s="150">
        <f t="shared" si="546"/>
        <v>1.1337868480725624</v>
      </c>
      <c r="DG179" s="150">
        <f t="shared" si="547"/>
        <v>1.4550456003633017</v>
      </c>
      <c r="DH179" s="150"/>
      <c r="DI179" s="150">
        <f t="shared" si="548"/>
        <v>0.93700159489633172</v>
      </c>
      <c r="DJ179" s="314">
        <f t="shared" si="549"/>
        <v>972.03676595744673</v>
      </c>
      <c r="DK179" s="456">
        <f t="shared" si="550"/>
        <v>0.99378957034459414</v>
      </c>
      <c r="DM179" s="150">
        <f t="shared" si="551"/>
        <v>10.10004664589427</v>
      </c>
      <c r="DN179" s="150">
        <f t="shared" si="552"/>
        <v>13.727368421052631</v>
      </c>
      <c r="DO179" s="150">
        <f t="shared" si="553"/>
        <v>6.8790832299604228</v>
      </c>
      <c r="DQ179" s="314">
        <f t="shared" si="554"/>
        <v>2760</v>
      </c>
      <c r="DR179" s="144">
        <f t="shared" si="555"/>
        <v>186.97687424958372</v>
      </c>
      <c r="DT179">
        <f t="shared" si="590"/>
        <v>2760</v>
      </c>
      <c r="DU179">
        <f t="shared" si="591"/>
        <v>186.97687424958372</v>
      </c>
      <c r="DW179" s="5">
        <f t="shared" si="556"/>
        <v>5.3482549861495849</v>
      </c>
      <c r="DX179" s="5">
        <f t="shared" si="557"/>
        <v>3.2259315789473679</v>
      </c>
      <c r="DY179" s="5">
        <f t="shared" si="558"/>
        <v>2.122323407202217</v>
      </c>
      <c r="DZ179" s="5"/>
      <c r="EA179" s="150">
        <f t="shared" si="559"/>
        <v>0.60317460317460303</v>
      </c>
      <c r="EB179" s="150">
        <f t="shared" si="560"/>
        <v>82.8</v>
      </c>
      <c r="EC179" s="150">
        <f t="shared" si="561"/>
        <v>2.7236842105263168</v>
      </c>
      <c r="ED179" s="150">
        <f t="shared" si="562"/>
        <v>30.399999999999988</v>
      </c>
      <c r="EE179" s="144">
        <f t="shared" si="563"/>
        <v>29.678570526315784</v>
      </c>
      <c r="EF179" s="5">
        <f t="shared" si="564"/>
        <v>5.1684817093042215</v>
      </c>
      <c r="EH179" s="150">
        <f t="shared" si="565"/>
        <v>6.1552852770692317</v>
      </c>
      <c r="EI179" s="150">
        <f t="shared" si="566"/>
        <v>4.9925956255571524</v>
      </c>
      <c r="EK179" s="456">
        <f t="shared" si="567"/>
        <v>0.45465044210526301</v>
      </c>
      <c r="EL179" s="456">
        <f t="shared" si="568"/>
        <v>2.4578723404255323</v>
      </c>
      <c r="EM179" s="456">
        <f t="shared" si="569"/>
        <v>2.1502340538702126E-2</v>
      </c>
      <c r="EN179" s="456">
        <f t="shared" si="570"/>
        <v>0.2457872340425532</v>
      </c>
      <c r="EO179">
        <f t="shared" si="571"/>
        <v>8.9999999999999993E-3</v>
      </c>
      <c r="EP179" s="144">
        <f t="shared" si="572"/>
        <v>30.502340538702128</v>
      </c>
      <c r="EQ179" s="144"/>
      <c r="ER179" s="144">
        <f t="shared" si="592"/>
        <v>3188.8123571120504</v>
      </c>
      <c r="ES179" s="456">
        <f t="shared" si="573"/>
        <v>1.9319999999999997</v>
      </c>
      <c r="EV179" s="144">
        <f t="shared" si="494"/>
        <v>1931.9999999999998</v>
      </c>
      <c r="EW179" s="456">
        <f t="shared" si="574"/>
        <v>0.5304255157894735</v>
      </c>
      <c r="EX179" s="456">
        <f t="shared" si="575"/>
        <v>0.34896415512465384</v>
      </c>
      <c r="EY179" s="456">
        <f t="shared" si="576"/>
        <v>16.688141232989647</v>
      </c>
      <c r="EZ179" s="456"/>
      <c r="FA179" s="456">
        <f t="shared" si="577"/>
        <v>3.5234042553191491</v>
      </c>
      <c r="FB179" s="144">
        <f t="shared" si="578"/>
        <v>21090.935159222921</v>
      </c>
      <c r="FC179" s="150">
        <f t="shared" si="579"/>
        <v>26.211747516334974</v>
      </c>
      <c r="FD179" s="5">
        <f t="shared" si="580"/>
        <v>82.8</v>
      </c>
      <c r="FE179" s="150">
        <f t="shared" si="581"/>
        <v>0.75955116660791766</v>
      </c>
      <c r="FF179" s="5">
        <f t="shared" si="582"/>
        <v>75.955116660791759</v>
      </c>
      <c r="FI179" s="59">
        <f t="shared" si="583"/>
        <v>-50</v>
      </c>
      <c r="FJ179">
        <f t="shared" si="584"/>
        <v>-50</v>
      </c>
      <c r="FL179">
        <f t="shared" si="585"/>
        <v>0.39682539682539697</v>
      </c>
    </row>
    <row r="180" spans="5:168">
      <c r="E180" s="147">
        <v>70</v>
      </c>
      <c r="F180" s="188">
        <f t="shared" si="586"/>
        <v>2.8</v>
      </c>
      <c r="G180" s="188"/>
      <c r="H180" s="188">
        <f t="shared" si="495"/>
        <v>84</v>
      </c>
      <c r="I180" s="465">
        <f t="shared" si="496"/>
        <v>19.812182400579548</v>
      </c>
      <c r="J180" s="149">
        <f t="shared" si="497"/>
        <v>30.501132553534088</v>
      </c>
      <c r="K180" s="149">
        <f t="shared" si="498"/>
        <v>50.313314954113636</v>
      </c>
      <c r="L180" s="379"/>
      <c r="M180" s="188">
        <f t="shared" si="499"/>
        <v>0.60620548922011308</v>
      </c>
      <c r="N180" s="149">
        <f t="shared" si="500"/>
        <v>182.7401532226211</v>
      </c>
      <c r="O180" s="149">
        <f t="shared" si="438"/>
        <v>84</v>
      </c>
      <c r="P180" s="188">
        <f t="shared" si="501"/>
        <v>6.0913384407540372</v>
      </c>
      <c r="Q180" s="188">
        <f t="shared" si="502"/>
        <v>30</v>
      </c>
      <c r="R180" s="188"/>
      <c r="S180" s="149">
        <f t="shared" si="503"/>
        <v>87.486768223654693</v>
      </c>
      <c r="T180" s="149">
        <f t="shared" si="504"/>
        <v>30</v>
      </c>
      <c r="U180" s="188">
        <f t="shared" si="505"/>
        <v>14.220614677714856</v>
      </c>
      <c r="V180" s="188">
        <f t="shared" si="506"/>
        <v>3.3735248158882638</v>
      </c>
      <c r="W180" s="188">
        <f t="shared" si="507"/>
        <v>2.1912920403185359</v>
      </c>
      <c r="X180" s="172">
        <f t="shared" si="508"/>
        <v>350</v>
      </c>
      <c r="Y180" s="379">
        <f t="shared" si="509"/>
        <v>173.46604843540362</v>
      </c>
      <c r="AA180" s="188">
        <f t="shared" si="510"/>
        <v>7.3012874817787115</v>
      </c>
      <c r="AB180" s="150">
        <f t="shared" si="511"/>
        <v>1.1250746543306251</v>
      </c>
      <c r="AC180" s="150">
        <f t="shared" si="512"/>
        <v>1.4375363607028733</v>
      </c>
      <c r="AD180" s="150"/>
      <c r="AE180" s="150">
        <f t="shared" si="513"/>
        <v>0.93389478029556039</v>
      </c>
      <c r="AF180" s="314">
        <f t="shared" si="514"/>
        <v>989.40482321527827</v>
      </c>
      <c r="AG180" s="456">
        <f t="shared" si="515"/>
        <v>0.99049446394983665</v>
      </c>
      <c r="AI180" s="150">
        <f t="shared" si="516"/>
        <v>10.189879426933137</v>
      </c>
      <c r="AJ180" s="150">
        <f t="shared" si="517"/>
        <v>14.220614677714856</v>
      </c>
      <c r="AK180" s="150">
        <f t="shared" si="518"/>
        <v>7.2444508274879968</v>
      </c>
      <c r="AM180" s="314">
        <f t="shared" si="519"/>
        <v>2800</v>
      </c>
      <c r="AN180" s="144">
        <f t="shared" si="520"/>
        <v>173.46604843540362</v>
      </c>
      <c r="AP180">
        <f t="shared" si="521"/>
        <v>2800</v>
      </c>
      <c r="AQ180">
        <f t="shared" si="522"/>
        <v>173.46604843540362</v>
      </c>
      <c r="AS180" s="5">
        <f t="shared" si="439"/>
        <v>5.7648168562067994</v>
      </c>
      <c r="AT180" s="5">
        <f t="shared" si="523"/>
        <v>3.3735248158882638</v>
      </c>
      <c r="AU180" s="5">
        <f t="shared" si="477"/>
        <v>2.3912920403185356</v>
      </c>
      <c r="AV180" s="5"/>
      <c r="AW180" s="150">
        <f t="shared" si="478"/>
        <v>0.58519201911090968</v>
      </c>
      <c r="AX180" s="150">
        <f t="shared" si="435"/>
        <v>82.436412831853588</v>
      </c>
      <c r="AY180" s="150">
        <f t="shared" si="436"/>
        <v>2.9494122307323307</v>
      </c>
      <c r="AZ180" s="150">
        <f t="shared" si="440"/>
        <v>27.950115610453292</v>
      </c>
      <c r="BA180" s="144">
        <f t="shared" si="433"/>
        <v>31.486231614957131</v>
      </c>
      <c r="BB180" s="5">
        <f t="shared" si="434"/>
        <v>5.9639042913219109</v>
      </c>
      <c r="BD180" s="150">
        <f t="shared" si="441"/>
        <v>6.280683935529936</v>
      </c>
      <c r="BE180" s="150">
        <f t="shared" si="437"/>
        <v>5.2878763764535881</v>
      </c>
      <c r="BG180" s="456">
        <f t="shared" si="479"/>
        <v>0.47336388837628568</v>
      </c>
      <c r="BH180" s="456">
        <f t="shared" si="524"/>
        <v>2.2650544959461731</v>
      </c>
      <c r="BI180" s="456">
        <f t="shared" si="480"/>
        <v>1.994859557007142E-2</v>
      </c>
      <c r="BJ180" s="456">
        <f t="shared" si="481"/>
        <v>0.22724309940648368</v>
      </c>
      <c r="BK180">
        <f t="shared" si="482"/>
        <v>8.9154820802607969E-3</v>
      </c>
      <c r="BL180" s="144">
        <f t="shared" si="587"/>
        <v>28.864077650332217</v>
      </c>
      <c r="BM180" s="456">
        <f t="shared" si="525"/>
        <v>3.4854868284783955</v>
      </c>
      <c r="BN180" s="144">
        <f t="shared" si="526"/>
        <v>3485.4868284783956</v>
      </c>
      <c r="BO180" s="456">
        <f t="shared" si="483"/>
        <v>1.9599999999999997</v>
      </c>
      <c r="BR180" s="144">
        <f t="shared" si="484"/>
        <v>1959.9999999999998</v>
      </c>
      <c r="BS180" s="456">
        <f t="shared" si="485"/>
        <v>0.55225786977233327</v>
      </c>
      <c r="BT180" s="456">
        <f t="shared" si="486"/>
        <v>0.39146291201718303</v>
      </c>
      <c r="BU180" s="456">
        <f t="shared" si="487"/>
        <v>15.111310871541356</v>
      </c>
      <c r="BV180" s="456"/>
      <c r="BW180" s="456">
        <f t="shared" si="488"/>
        <v>3.5079324609299403</v>
      </c>
      <c r="BX180" s="144">
        <f t="shared" si="489"/>
        <v>19562.964114260812</v>
      </c>
      <c r="BY180" s="150">
        <f t="shared" si="490"/>
        <v>24.517489675640086</v>
      </c>
      <c r="BZ180" s="5">
        <f t="shared" si="491"/>
        <v>84</v>
      </c>
      <c r="CA180" s="150">
        <f t="shared" si="492"/>
        <v>0.77406877224193882</v>
      </c>
      <c r="CB180" s="5">
        <f t="shared" si="493"/>
        <v>77.406877224193877</v>
      </c>
      <c r="CE180" s="59">
        <f t="shared" si="527"/>
        <v>-50</v>
      </c>
      <c r="CF180">
        <f t="shared" si="528"/>
        <v>-50</v>
      </c>
      <c r="CG180" s="150">
        <f t="shared" si="529"/>
        <v>0.38761010802309592</v>
      </c>
      <c r="CI180" s="147">
        <v>70</v>
      </c>
      <c r="CJ180" s="188">
        <f t="shared" si="588"/>
        <v>2.8</v>
      </c>
      <c r="CK180" s="188"/>
      <c r="CL180" s="188">
        <f t="shared" si="530"/>
        <v>84</v>
      </c>
      <c r="CM180" s="465">
        <f t="shared" si="531"/>
        <v>20</v>
      </c>
      <c r="CN180" s="379">
        <f t="shared" si="532"/>
        <v>30.4</v>
      </c>
      <c r="CO180" s="379">
        <f t="shared" si="533"/>
        <v>50.4</v>
      </c>
      <c r="CP180" s="379"/>
      <c r="CQ180" s="188">
        <f t="shared" si="534"/>
        <v>0.60317460317460314</v>
      </c>
      <c r="CR180" s="149">
        <f t="shared" si="589"/>
        <v>183.55019291189507</v>
      </c>
      <c r="CS180" s="149">
        <f t="shared" si="535"/>
        <v>84</v>
      </c>
      <c r="CT180" s="188">
        <f t="shared" si="536"/>
        <v>6.1183397637298356</v>
      </c>
      <c r="CU180" s="188">
        <f t="shared" si="537"/>
        <v>30</v>
      </c>
      <c r="CV180" s="188"/>
      <c r="CW180" s="149">
        <f t="shared" si="538"/>
        <v>88.315284343678826</v>
      </c>
      <c r="CX180" s="149">
        <f t="shared" si="539"/>
        <v>30</v>
      </c>
      <c r="CY180" s="188">
        <f t="shared" si="540"/>
        <v>13.926315789473685</v>
      </c>
      <c r="CZ180" s="188">
        <f t="shared" si="541"/>
        <v>3.2726842105263159</v>
      </c>
      <c r="DA180" s="188">
        <f t="shared" si="542"/>
        <v>2.1530817174515233</v>
      </c>
      <c r="DB180" s="172">
        <f t="shared" si="543"/>
        <v>350</v>
      </c>
      <c r="DC180" s="379">
        <f t="shared" si="544"/>
        <v>184.30577604601825</v>
      </c>
      <c r="DE180" s="188">
        <f t="shared" si="545"/>
        <v>7.3334298258310406</v>
      </c>
      <c r="DF180" s="150">
        <f t="shared" si="546"/>
        <v>1.1337868480725624</v>
      </c>
      <c r="DG180" s="150">
        <f t="shared" si="547"/>
        <v>1.4550456003633017</v>
      </c>
      <c r="DH180" s="150"/>
      <c r="DI180" s="150">
        <f t="shared" si="548"/>
        <v>0.93700159489633172</v>
      </c>
      <c r="DJ180" s="314">
        <f t="shared" si="549"/>
        <v>986.12425531914892</v>
      </c>
      <c r="DK180" s="456">
        <f t="shared" si="550"/>
        <v>0.99378957034459414</v>
      </c>
      <c r="DM180" s="150">
        <f t="shared" si="551"/>
        <v>10.17297211743587</v>
      </c>
      <c r="DN180" s="150">
        <f t="shared" si="552"/>
        <v>13.926315789473685</v>
      </c>
      <c r="DO180" s="150">
        <f t="shared" si="553"/>
        <v>7.0264516510130557</v>
      </c>
      <c r="DQ180" s="314">
        <f t="shared" si="554"/>
        <v>2800</v>
      </c>
      <c r="DR180" s="144">
        <f t="shared" si="555"/>
        <v>184.30577604601825</v>
      </c>
      <c r="DT180">
        <f t="shared" si="590"/>
        <v>2800</v>
      </c>
      <c r="DU180">
        <f t="shared" si="591"/>
        <v>184.30577604601825</v>
      </c>
      <c r="DW180" s="5">
        <f t="shared" si="556"/>
        <v>5.4257659279778396</v>
      </c>
      <c r="DX180" s="5">
        <f t="shared" si="557"/>
        <v>3.2726842105263159</v>
      </c>
      <c r="DY180" s="5">
        <f t="shared" si="558"/>
        <v>2.1530817174515238</v>
      </c>
      <c r="DZ180" s="5"/>
      <c r="EA180" s="150">
        <f t="shared" si="559"/>
        <v>0.60317460317460314</v>
      </c>
      <c r="EB180" s="150">
        <f t="shared" si="560"/>
        <v>84.000000000000014</v>
      </c>
      <c r="EC180" s="150">
        <f t="shared" si="561"/>
        <v>2.7631578947368425</v>
      </c>
      <c r="ED180" s="150">
        <f t="shared" si="562"/>
        <v>30.400000000000002</v>
      </c>
      <c r="EE180" s="144">
        <f t="shared" si="563"/>
        <v>30.545052631578944</v>
      </c>
      <c r="EF180" s="5">
        <f t="shared" si="564"/>
        <v>5.3193783607625882</v>
      </c>
      <c r="EH180" s="150">
        <f t="shared" si="565"/>
        <v>6.2444923100702363</v>
      </c>
      <c r="EI180" s="150">
        <f t="shared" si="566"/>
        <v>5.0649520838985609</v>
      </c>
      <c r="EK180" s="456">
        <f t="shared" si="567"/>
        <v>0.46792421052631583</v>
      </c>
      <c r="EL180" s="456">
        <f t="shared" si="568"/>
        <v>2.4578723404255323</v>
      </c>
      <c r="EM180" s="456">
        <f t="shared" si="569"/>
        <v>2.1195164245292102E-2</v>
      </c>
      <c r="EN180" s="456">
        <f t="shared" si="570"/>
        <v>0.24227598784194532</v>
      </c>
      <c r="EO180">
        <f t="shared" si="571"/>
        <v>8.9999999999999993E-3</v>
      </c>
      <c r="EP180" s="144">
        <f t="shared" si="572"/>
        <v>30.195164245292101</v>
      </c>
      <c r="EQ180" s="144"/>
      <c r="ER180" s="144">
        <f t="shared" si="592"/>
        <v>3198.2677030390855</v>
      </c>
      <c r="ES180" s="456">
        <f t="shared" si="573"/>
        <v>1.9599999999999997</v>
      </c>
      <c r="EV180" s="144">
        <f t="shared" si="494"/>
        <v>1959.9999999999998</v>
      </c>
      <c r="EW180" s="456">
        <f t="shared" si="574"/>
        <v>0.54591157894736841</v>
      </c>
      <c r="EX180" s="456">
        <f t="shared" si="575"/>
        <v>0.35915235457063727</v>
      </c>
      <c r="EY180" s="456">
        <f t="shared" si="576"/>
        <v>16.688141232989633</v>
      </c>
      <c r="EZ180" s="456"/>
      <c r="FA180" s="456">
        <f t="shared" si="577"/>
        <v>3.5744680851063841</v>
      </c>
      <c r="FB180" s="144">
        <f t="shared" si="578"/>
        <v>21167.673251614022</v>
      </c>
      <c r="FC180" s="150">
        <f t="shared" si="579"/>
        <v>26.32594095465311</v>
      </c>
      <c r="FD180" s="5">
        <f t="shared" si="580"/>
        <v>84</v>
      </c>
      <c r="FE180" s="150">
        <f t="shared" si="581"/>
        <v>0.76138031793017957</v>
      </c>
      <c r="FF180" s="5">
        <f t="shared" si="582"/>
        <v>76.138031793017959</v>
      </c>
      <c r="FI180" s="59">
        <f t="shared" si="583"/>
        <v>-50</v>
      </c>
      <c r="FJ180">
        <f t="shared" si="584"/>
        <v>-50</v>
      </c>
      <c r="FL180">
        <f t="shared" si="585"/>
        <v>0.39682539682539686</v>
      </c>
    </row>
    <row r="181" spans="5:168">
      <c r="E181" s="147">
        <v>71</v>
      </c>
      <c r="F181" s="188">
        <f t="shared" si="586"/>
        <v>2.84</v>
      </c>
      <c r="G181" s="188"/>
      <c r="H181" s="188">
        <f t="shared" si="495"/>
        <v>85.199999999999989</v>
      </c>
      <c r="I181" s="465">
        <f t="shared" si="496"/>
        <v>19.809563060589724</v>
      </c>
      <c r="J181" s="149">
        <f t="shared" si="497"/>
        <v>30.502542967374762</v>
      </c>
      <c r="K181" s="149">
        <f t="shared" si="498"/>
        <v>50.312106027964489</v>
      </c>
      <c r="L181" s="379"/>
      <c r="M181" s="188">
        <f t="shared" si="499"/>
        <v>0.60624809688048942</v>
      </c>
      <c r="N181" s="149">
        <f t="shared" si="500"/>
        <v>182.72883575775978</v>
      </c>
      <c r="O181" s="149">
        <f t="shared" si="438"/>
        <v>85.199999999999989</v>
      </c>
      <c r="P181" s="188">
        <f t="shared" si="501"/>
        <v>6.0909611919253264</v>
      </c>
      <c r="Q181" s="188">
        <f t="shared" si="502"/>
        <v>30</v>
      </c>
      <c r="R181" s="188"/>
      <c r="S181" s="149">
        <f t="shared" si="503"/>
        <v>85.967005048904753</v>
      </c>
      <c r="T181" s="149">
        <f t="shared" si="504"/>
        <v>30</v>
      </c>
      <c r="U181" s="188">
        <f t="shared" si="505"/>
        <v>14.4253271031836</v>
      </c>
      <c r="V181" s="188">
        <f t="shared" si="506"/>
        <v>3.4225407787941666</v>
      </c>
      <c r="W181" s="188">
        <f t="shared" si="507"/>
        <v>2.2227339359042992</v>
      </c>
      <c r="X181" s="172">
        <f t="shared" si="508"/>
        <v>350</v>
      </c>
      <c r="Y181" s="379">
        <f t="shared" si="509"/>
        <v>171.07835795731046</v>
      </c>
      <c r="AA181" s="188">
        <f t="shared" si="510"/>
        <v>7.300835190092557</v>
      </c>
      <c r="AB181" s="150">
        <f t="shared" si="511"/>
        <v>1.1249529401577067</v>
      </c>
      <c r="AC181" s="150">
        <f t="shared" si="512"/>
        <v>1.4372918022227574</v>
      </c>
      <c r="AD181" s="150"/>
      <c r="AE181" s="150">
        <f t="shared" si="513"/>
        <v>0.93385159772795379</v>
      </c>
      <c r="AF181" s="314">
        <f t="shared" si="514"/>
        <v>1003.5855828487018</v>
      </c>
      <c r="AG181" s="456">
        <f t="shared" si="515"/>
        <v>0.99044866425692057</v>
      </c>
      <c r="AI181" s="150">
        <f t="shared" si="516"/>
        <v>10.262643445485789</v>
      </c>
      <c r="AJ181" s="150">
        <f t="shared" si="517"/>
        <v>14.4253271031836</v>
      </c>
      <c r="AK181" s="150">
        <f t="shared" si="518"/>
        <v>7.3960896611685474</v>
      </c>
      <c r="AM181" s="314">
        <f t="shared" si="519"/>
        <v>2840</v>
      </c>
      <c r="AN181" s="144">
        <f t="shared" si="520"/>
        <v>171.07835795731046</v>
      </c>
      <c r="AP181">
        <f t="shared" si="521"/>
        <v>2840</v>
      </c>
      <c r="AQ181">
        <f t="shared" si="522"/>
        <v>171.07835795731046</v>
      </c>
      <c r="AS181" s="5">
        <f t="shared" si="439"/>
        <v>5.8452747146984665</v>
      </c>
      <c r="AT181" s="5">
        <f t="shared" si="523"/>
        <v>3.4225407787941666</v>
      </c>
      <c r="AU181" s="5">
        <f t="shared" si="477"/>
        <v>2.4227339359042999</v>
      </c>
      <c r="AV181" s="5"/>
      <c r="AW181" s="150">
        <f t="shared" si="478"/>
        <v>0.58552265647804058</v>
      </c>
      <c r="AX181" s="150">
        <f t="shared" si="435"/>
        <v>83.659309381964249</v>
      </c>
      <c r="AY181" s="150">
        <f t="shared" si="436"/>
        <v>2.9894856285814302</v>
      </c>
      <c r="AZ181" s="150">
        <f t="shared" si="440"/>
        <v>27.984516326864647</v>
      </c>
      <c r="BA181" s="144">
        <f t="shared" ref="BA181:BA244" si="593">F181*AT181/Vout_ripple*1000</f>
        <v>32.400052705918107</v>
      </c>
      <c r="BB181" s="5">
        <f t="shared" ref="BB181:BB244" si="594">H181/Efficiency/I181*AU181/Vinripple1</f>
        <v>6.1294498998137614</v>
      </c>
      <c r="BD181" s="150">
        <f t="shared" si="441"/>
        <v>6.3728969317659656</v>
      </c>
      <c r="BE181" s="150">
        <f t="shared" si="437"/>
        <v>5.3618596315428695</v>
      </c>
      <c r="BG181" s="456">
        <f t="shared" si="479"/>
        <v>0.4873657836349447</v>
      </c>
      <c r="BH181" s="456">
        <f t="shared" si="524"/>
        <v>2.265980189781569</v>
      </c>
      <c r="BI181" s="456">
        <f t="shared" si="480"/>
        <v>1.9674011165090703E-2</v>
      </c>
      <c r="BJ181" s="456">
        <f t="shared" si="481"/>
        <v>0.22410441949247298</v>
      </c>
      <c r="BK181">
        <f t="shared" si="482"/>
        <v>8.9143033772653753E-3</v>
      </c>
      <c r="BL181" s="144">
        <f t="shared" si="587"/>
        <v>28.58831454235608</v>
      </c>
      <c r="BM181" s="456">
        <f t="shared" si="525"/>
        <v>3.5162095787471661</v>
      </c>
      <c r="BN181" s="144">
        <f t="shared" si="526"/>
        <v>3516.2095787471662</v>
      </c>
      <c r="BO181" s="456">
        <f t="shared" si="483"/>
        <v>1.9879999999999998</v>
      </c>
      <c r="BR181" s="144">
        <f t="shared" si="484"/>
        <v>1987.9999999999998</v>
      </c>
      <c r="BS181" s="456">
        <f t="shared" si="485"/>
        <v>0.56859341424076881</v>
      </c>
      <c r="BT181" s="456">
        <f t="shared" si="486"/>
        <v>0.40249354191716652</v>
      </c>
      <c r="BU181" s="456">
        <f t="shared" si="487"/>
        <v>15.12766372085502</v>
      </c>
      <c r="BV181" s="456"/>
      <c r="BW181" s="456">
        <f t="shared" si="488"/>
        <v>3.5599706119984798</v>
      </c>
      <c r="BX181" s="144">
        <f t="shared" si="489"/>
        <v>19658.721289011435</v>
      </c>
      <c r="BY181" s="150">
        <f t="shared" si="490"/>
        <v>24.652759996462777</v>
      </c>
      <c r="BZ181" s="5">
        <f t="shared" si="491"/>
        <v>85.199999999999989</v>
      </c>
      <c r="CA181" s="150">
        <f t="shared" si="492"/>
        <v>0.77558360848415109</v>
      </c>
      <c r="CB181" s="5">
        <f t="shared" si="493"/>
        <v>77.558360848415106</v>
      </c>
      <c r="CE181" s="59">
        <f t="shared" si="527"/>
        <v>-50</v>
      </c>
      <c r="CF181">
        <f t="shared" si="528"/>
        <v>-50</v>
      </c>
      <c r="CG181" s="150">
        <f t="shared" si="529"/>
        <v>0.38773990082312837</v>
      </c>
      <c r="CI181" s="147">
        <v>71</v>
      </c>
      <c r="CJ181" s="188">
        <f t="shared" si="588"/>
        <v>2.84</v>
      </c>
      <c r="CK181" s="188"/>
      <c r="CL181" s="188">
        <f t="shared" si="530"/>
        <v>85.199999999999989</v>
      </c>
      <c r="CM181" s="465">
        <f t="shared" si="531"/>
        <v>20</v>
      </c>
      <c r="CN181" s="379">
        <f t="shared" si="532"/>
        <v>30.4</v>
      </c>
      <c r="CO181" s="379">
        <f t="shared" si="533"/>
        <v>50.4</v>
      </c>
      <c r="CP181" s="379"/>
      <c r="CQ181" s="188">
        <f t="shared" si="534"/>
        <v>0.60317460317460314</v>
      </c>
      <c r="CR181" s="149">
        <f t="shared" si="589"/>
        <v>183.55019291189507</v>
      </c>
      <c r="CS181" s="149">
        <f t="shared" si="535"/>
        <v>85.199999999999989</v>
      </c>
      <c r="CT181" s="188">
        <f t="shared" si="536"/>
        <v>6.1183397637298356</v>
      </c>
      <c r="CU181" s="188">
        <f t="shared" si="537"/>
        <v>30</v>
      </c>
      <c r="CV181" s="188"/>
      <c r="CW181" s="149">
        <f t="shared" si="538"/>
        <v>86.792561871751346</v>
      </c>
      <c r="CX181" s="149">
        <f t="shared" si="539"/>
        <v>30</v>
      </c>
      <c r="CY181" s="188">
        <f t="shared" si="540"/>
        <v>14.125263157894736</v>
      </c>
      <c r="CZ181" s="188">
        <f t="shared" si="541"/>
        <v>3.3194368421052625</v>
      </c>
      <c r="DA181" s="188">
        <f t="shared" si="542"/>
        <v>2.1838400277008305</v>
      </c>
      <c r="DB181" s="172">
        <f t="shared" si="543"/>
        <v>350</v>
      </c>
      <c r="DC181" s="379">
        <f t="shared" si="544"/>
        <v>181.70992004537013</v>
      </c>
      <c r="DE181" s="188">
        <f t="shared" si="545"/>
        <v>7.3334298258310406</v>
      </c>
      <c r="DF181" s="150">
        <f t="shared" si="546"/>
        <v>1.1337868480725624</v>
      </c>
      <c r="DG181" s="150">
        <f t="shared" si="547"/>
        <v>1.4550456003633017</v>
      </c>
      <c r="DH181" s="150"/>
      <c r="DI181" s="150">
        <f t="shared" si="548"/>
        <v>0.93700159489633172</v>
      </c>
      <c r="DJ181" s="314">
        <f t="shared" si="549"/>
        <v>1000.211744680851</v>
      </c>
      <c r="DK181" s="456">
        <f t="shared" si="550"/>
        <v>0.99378957034459414</v>
      </c>
      <c r="DM181" s="150">
        <f t="shared" si="551"/>
        <v>10.245378526682906</v>
      </c>
      <c r="DN181" s="150">
        <f t="shared" si="552"/>
        <v>14.125263157894736</v>
      </c>
      <c r="DO181" s="150">
        <f t="shared" si="553"/>
        <v>7.1738200720656851</v>
      </c>
      <c r="DQ181" s="314">
        <f t="shared" si="554"/>
        <v>2840</v>
      </c>
      <c r="DR181" s="144">
        <f t="shared" si="555"/>
        <v>181.70992004537013</v>
      </c>
      <c r="DT181">
        <f t="shared" si="590"/>
        <v>2840</v>
      </c>
      <c r="DU181">
        <f t="shared" si="591"/>
        <v>181.70992004537013</v>
      </c>
      <c r="DW181" s="5">
        <f t="shared" si="556"/>
        <v>5.5032768698060934</v>
      </c>
      <c r="DX181" s="5">
        <f t="shared" si="557"/>
        <v>3.3194368421052625</v>
      </c>
      <c r="DY181" s="5">
        <f t="shared" si="558"/>
        <v>2.183840027700831</v>
      </c>
      <c r="DZ181" s="5"/>
      <c r="EA181" s="150">
        <f t="shared" si="559"/>
        <v>0.60317460317460314</v>
      </c>
      <c r="EB181" s="150">
        <f t="shared" si="560"/>
        <v>85.199999999999989</v>
      </c>
      <c r="EC181" s="150">
        <f t="shared" si="561"/>
        <v>2.8026315789473686</v>
      </c>
      <c r="ED181" s="150">
        <f t="shared" si="562"/>
        <v>30.399999999999995</v>
      </c>
      <c r="EE181" s="144">
        <f t="shared" si="563"/>
        <v>31.424002105263153</v>
      </c>
      <c r="EF181" s="5">
        <f t="shared" si="564"/>
        <v>5.4724461870620811</v>
      </c>
      <c r="EH181" s="150">
        <f t="shared" si="565"/>
        <v>6.3336993430712392</v>
      </c>
      <c r="EI181" s="150">
        <f t="shared" si="566"/>
        <v>5.1373085422399676</v>
      </c>
      <c r="EK181" s="456">
        <f t="shared" si="567"/>
        <v>0.48138896842105255</v>
      </c>
      <c r="EL181" s="456">
        <f t="shared" si="568"/>
        <v>2.4578723404255323</v>
      </c>
      <c r="EM181" s="456">
        <f t="shared" si="569"/>
        <v>2.0896640805217564E-2</v>
      </c>
      <c r="EN181" s="456">
        <f t="shared" si="570"/>
        <v>0.23886364998501655</v>
      </c>
      <c r="EO181">
        <f t="shared" si="571"/>
        <v>8.9999999999999993E-3</v>
      </c>
      <c r="EP181" s="144">
        <f t="shared" si="572"/>
        <v>29.896640805217562</v>
      </c>
      <c r="EQ181" s="144"/>
      <c r="ER181" s="144">
        <f t="shared" si="592"/>
        <v>3208.0215996368188</v>
      </c>
      <c r="ES181" s="456">
        <f t="shared" si="573"/>
        <v>1.9879999999999998</v>
      </c>
      <c r="EV181" s="144">
        <f t="shared" si="494"/>
        <v>1987.9999999999998</v>
      </c>
      <c r="EW181" s="456">
        <f t="shared" si="574"/>
        <v>0.56162046315789471</v>
      </c>
      <c r="EX181" s="456">
        <f t="shared" si="575"/>
        <v>0.36948714681440437</v>
      </c>
      <c r="EY181" s="456">
        <f t="shared" si="576"/>
        <v>16.688141232989647</v>
      </c>
      <c r="EZ181" s="456"/>
      <c r="FA181" s="456">
        <f t="shared" si="577"/>
        <v>3.6255319148936169</v>
      </c>
      <c r="FB181" s="144">
        <f t="shared" si="578"/>
        <v>21244.780757855562</v>
      </c>
      <c r="FC181" s="150">
        <f t="shared" si="579"/>
        <v>26.440802357492384</v>
      </c>
      <c r="FD181" s="5">
        <f t="shared" si="580"/>
        <v>85.199999999999989</v>
      </c>
      <c r="FE181" s="150">
        <f t="shared" si="581"/>
        <v>0.76316183869026177</v>
      </c>
      <c r="FF181" s="5">
        <f t="shared" si="582"/>
        <v>76.316183869026176</v>
      </c>
      <c r="FI181" s="59">
        <f t="shared" si="583"/>
        <v>-50</v>
      </c>
      <c r="FJ181">
        <f t="shared" si="584"/>
        <v>-50</v>
      </c>
      <c r="FL181">
        <f t="shared" si="585"/>
        <v>0.39682539682539686</v>
      </c>
    </row>
    <row r="182" spans="5:168">
      <c r="E182" s="147">
        <v>72</v>
      </c>
      <c r="F182" s="188">
        <f t="shared" si="586"/>
        <v>2.88</v>
      </c>
      <c r="G182" s="188"/>
      <c r="H182" s="188">
        <f t="shared" si="495"/>
        <v>86.399999999999991</v>
      </c>
      <c r="I182" s="465">
        <f t="shared" si="496"/>
        <v>19.806943679107267</v>
      </c>
      <c r="J182" s="149">
        <f t="shared" si="497"/>
        <v>30.503953403557624</v>
      </c>
      <c r="K182" s="149">
        <f t="shared" si="498"/>
        <v>50.310897082664894</v>
      </c>
      <c r="L182" s="379"/>
      <c r="M182" s="188">
        <f t="shared" si="499"/>
        <v>0.60629070708732413</v>
      </c>
      <c r="N182" s="149">
        <f t="shared" si="500"/>
        <v>182.71751528137182</v>
      </c>
      <c r="O182" s="149">
        <f t="shared" si="438"/>
        <v>86.399999999999991</v>
      </c>
      <c r="P182" s="188">
        <f t="shared" si="501"/>
        <v>6.0905838427123937</v>
      </c>
      <c r="Q182" s="188">
        <f t="shared" si="502"/>
        <v>30</v>
      </c>
      <c r="R182" s="188"/>
      <c r="S182" s="149">
        <f t="shared" si="503"/>
        <v>84.489583670247654</v>
      </c>
      <c r="T182" s="149">
        <f t="shared" si="504"/>
        <v>30</v>
      </c>
      <c r="U182" s="188">
        <f t="shared" si="505"/>
        <v>14.630083931693122</v>
      </c>
      <c r="V182" s="188">
        <f t="shared" si="506"/>
        <v>3.4715802494803105</v>
      </c>
      <c r="W182" s="188">
        <f t="shared" si="507"/>
        <v>2.2541797638249128</v>
      </c>
      <c r="X182" s="172">
        <f t="shared" si="508"/>
        <v>350</v>
      </c>
      <c r="Y182" s="379">
        <f t="shared" si="509"/>
        <v>168.75472475339549</v>
      </c>
      <c r="AA182" s="188">
        <f t="shared" si="510"/>
        <v>7.3003827802255534</v>
      </c>
      <c r="AB182" s="150">
        <f t="shared" si="511"/>
        <v>1.1248312182072233</v>
      </c>
      <c r="AC182" s="150">
        <f t="shared" si="512"/>
        <v>1.4370472298105252</v>
      </c>
      <c r="AD182" s="150"/>
      <c r="AE182" s="150">
        <f t="shared" si="513"/>
        <v>0.93380841846966445</v>
      </c>
      <c r="AF182" s="314">
        <f t="shared" si="514"/>
        <v>1017.7676504111261</v>
      </c>
      <c r="AG182" s="456">
        <f t="shared" si="515"/>
        <v>0.99040286807388644</v>
      </c>
      <c r="AI182" s="150">
        <f t="shared" si="516"/>
        <v>10.334901813962743</v>
      </c>
      <c r="AJ182" s="150">
        <f t="shared" si="517"/>
        <v>14.630083931693122</v>
      </c>
      <c r="AK182" s="150">
        <f t="shared" si="518"/>
        <v>7.547761385990416</v>
      </c>
      <c r="AM182" s="314">
        <f t="shared" si="519"/>
        <v>2880</v>
      </c>
      <c r="AN182" s="144">
        <f t="shared" si="520"/>
        <v>168.75472475339549</v>
      </c>
      <c r="AP182">
        <f t="shared" si="521"/>
        <v>2880</v>
      </c>
      <c r="AQ182">
        <f t="shared" si="522"/>
        <v>168.75472475339549</v>
      </c>
      <c r="AS182" s="5">
        <f t="shared" si="439"/>
        <v>5.9257600133052222</v>
      </c>
      <c r="AT182" s="5">
        <f t="shared" si="523"/>
        <v>3.4715802494803105</v>
      </c>
      <c r="AU182" s="5">
        <f t="shared" si="477"/>
        <v>2.4541797638249117</v>
      </c>
      <c r="AV182" s="5"/>
      <c r="AW182" s="150">
        <f t="shared" si="478"/>
        <v>0.58584556946037392</v>
      </c>
      <c r="AX182" s="150">
        <f t="shared" si="435"/>
        <v>84.882358569082584</v>
      </c>
      <c r="AY182" s="150">
        <f t="shared" si="436"/>
        <v>3.0295570397386493</v>
      </c>
      <c r="AZ182" s="150">
        <f t="shared" si="440"/>
        <v>28.018075730439168</v>
      </c>
      <c r="BA182" s="144">
        <f t="shared" si="593"/>
        <v>33.327170395010981</v>
      </c>
      <c r="BB182" s="5">
        <f t="shared" si="594"/>
        <v>6.2972904567846451</v>
      </c>
      <c r="BD182" s="150">
        <f t="shared" si="441"/>
        <v>6.4651374905186376</v>
      </c>
      <c r="BE182" s="150">
        <f t="shared" si="437"/>
        <v>5.435848524209641</v>
      </c>
      <c r="BG182" s="456">
        <f t="shared" si="479"/>
        <v>0.50157603325571554</v>
      </c>
      <c r="BH182" s="456">
        <f t="shared" si="524"/>
        <v>2.26687560372934</v>
      </c>
      <c r="BI182" s="456">
        <f t="shared" si="480"/>
        <v>1.9406793346640486E-2</v>
      </c>
      <c r="BJ182" s="456">
        <f t="shared" si="481"/>
        <v>0.22104994820617516</v>
      </c>
      <c r="BK182">
        <f t="shared" si="482"/>
        <v>8.9131246555982698E-3</v>
      </c>
      <c r="BL182" s="144">
        <f t="shared" si="587"/>
        <v>28.319918002238758</v>
      </c>
      <c r="BM182" s="456">
        <f t="shared" si="525"/>
        <v>3.5477253914416367</v>
      </c>
      <c r="BN182" s="144">
        <f t="shared" si="526"/>
        <v>3547.7253914416365</v>
      </c>
      <c r="BO182" s="456">
        <f t="shared" si="483"/>
        <v>2.016</v>
      </c>
      <c r="BR182" s="144">
        <f t="shared" si="484"/>
        <v>2016</v>
      </c>
      <c r="BS182" s="456">
        <f t="shared" si="485"/>
        <v>0.58517203879833479</v>
      </c>
      <c r="BT182" s="456">
        <f t="shared" si="486"/>
        <v>0.41367828849412985</v>
      </c>
      <c r="BU182" s="456">
        <f t="shared" si="487"/>
        <v>15.143522278796413</v>
      </c>
      <c r="BV182" s="456"/>
      <c r="BW182" s="456">
        <f t="shared" si="488"/>
        <v>3.6120152582588334</v>
      </c>
      <c r="BX182" s="144">
        <f t="shared" si="489"/>
        <v>19754.387864347711</v>
      </c>
      <c r="BY182" s="150">
        <f t="shared" si="490"/>
        <v>24.788209367541178</v>
      </c>
      <c r="BZ182" s="5">
        <f t="shared" si="491"/>
        <v>86.399999999999991</v>
      </c>
      <c r="CA182" s="150">
        <f t="shared" si="492"/>
        <v>0.77706080969788949</v>
      </c>
      <c r="CB182" s="5">
        <f t="shared" si="493"/>
        <v>77.706080969788943</v>
      </c>
      <c r="CE182" s="59">
        <f t="shared" si="527"/>
        <v>-50</v>
      </c>
      <c r="CF182">
        <f t="shared" si="528"/>
        <v>-50</v>
      </c>
      <c r="CG182" s="150">
        <f t="shared" si="529"/>
        <v>0.38786608826760433</v>
      </c>
      <c r="CI182" s="147">
        <v>72</v>
      </c>
      <c r="CJ182" s="188">
        <f t="shared" si="588"/>
        <v>2.88</v>
      </c>
      <c r="CK182" s="188"/>
      <c r="CL182" s="188">
        <f t="shared" si="530"/>
        <v>86.399999999999991</v>
      </c>
      <c r="CM182" s="465">
        <f t="shared" si="531"/>
        <v>20</v>
      </c>
      <c r="CN182" s="379">
        <f t="shared" si="532"/>
        <v>30.4</v>
      </c>
      <c r="CO182" s="379">
        <f t="shared" si="533"/>
        <v>50.4</v>
      </c>
      <c r="CP182" s="379"/>
      <c r="CQ182" s="188">
        <f t="shared" si="534"/>
        <v>0.60317460317460314</v>
      </c>
      <c r="CR182" s="149">
        <f t="shared" si="589"/>
        <v>183.55019291189507</v>
      </c>
      <c r="CS182" s="149">
        <f t="shared" si="535"/>
        <v>86.399999999999991</v>
      </c>
      <c r="CT182" s="188">
        <f t="shared" si="536"/>
        <v>6.1183397637298356</v>
      </c>
      <c r="CU182" s="188">
        <f t="shared" si="537"/>
        <v>30</v>
      </c>
      <c r="CV182" s="188"/>
      <c r="CW182" s="149">
        <f t="shared" si="538"/>
        <v>85.312190833336899</v>
      </c>
      <c r="CX182" s="149">
        <f t="shared" si="539"/>
        <v>30</v>
      </c>
      <c r="CY182" s="188">
        <f t="shared" si="540"/>
        <v>14.324210526315788</v>
      </c>
      <c r="CZ182" s="188">
        <f t="shared" si="541"/>
        <v>3.36618947368421</v>
      </c>
      <c r="DA182" s="188">
        <f t="shared" si="542"/>
        <v>2.2145983379501382</v>
      </c>
      <c r="DB182" s="172">
        <f t="shared" si="543"/>
        <v>350</v>
      </c>
      <c r="DC182" s="379">
        <f t="shared" si="544"/>
        <v>179.1861711558511</v>
      </c>
      <c r="DE182" s="188">
        <f t="shared" si="545"/>
        <v>7.3334298258310406</v>
      </c>
      <c r="DF182" s="150">
        <f t="shared" si="546"/>
        <v>1.1337868480725624</v>
      </c>
      <c r="DG182" s="150">
        <f t="shared" si="547"/>
        <v>1.4550456003633017</v>
      </c>
      <c r="DH182" s="150"/>
      <c r="DI182" s="150">
        <f t="shared" si="548"/>
        <v>0.93700159489633172</v>
      </c>
      <c r="DJ182" s="314">
        <f t="shared" si="549"/>
        <v>1014.2992340425533</v>
      </c>
      <c r="DK182" s="456">
        <f t="shared" si="550"/>
        <v>0.99378957034459414</v>
      </c>
      <c r="DM182" s="150">
        <f t="shared" si="551"/>
        <v>10.31727680194259</v>
      </c>
      <c r="DN182" s="150">
        <f t="shared" si="552"/>
        <v>14.324210526315788</v>
      </c>
      <c r="DO182" s="150">
        <f t="shared" si="553"/>
        <v>7.3211884931183171</v>
      </c>
      <c r="DQ182" s="314">
        <f t="shared" si="554"/>
        <v>2880</v>
      </c>
      <c r="DR182" s="144">
        <f t="shared" si="555"/>
        <v>179.1861711558511</v>
      </c>
      <c r="DT182">
        <f t="shared" si="590"/>
        <v>2880</v>
      </c>
      <c r="DU182">
        <f t="shared" si="591"/>
        <v>179.1861711558511</v>
      </c>
      <c r="DW182" s="5">
        <f t="shared" si="556"/>
        <v>5.5807878116343481</v>
      </c>
      <c r="DX182" s="5">
        <f t="shared" si="557"/>
        <v>3.36618947368421</v>
      </c>
      <c r="DY182" s="5">
        <f t="shared" si="558"/>
        <v>2.2145983379501382</v>
      </c>
      <c r="DZ182" s="5"/>
      <c r="EA182" s="150">
        <f t="shared" si="559"/>
        <v>0.60317460317460314</v>
      </c>
      <c r="EB182" s="150">
        <f t="shared" si="560"/>
        <v>86.399999999999991</v>
      </c>
      <c r="EC182" s="150">
        <f t="shared" si="561"/>
        <v>2.8421052631578947</v>
      </c>
      <c r="ED182" s="150">
        <f t="shared" si="562"/>
        <v>30.4</v>
      </c>
      <c r="EE182" s="144">
        <f t="shared" si="563"/>
        <v>32.315418947368421</v>
      </c>
      <c r="EF182" s="5">
        <f t="shared" si="564"/>
        <v>5.6276851882027028</v>
      </c>
      <c r="EH182" s="150">
        <f t="shared" si="565"/>
        <v>6.422906376072242</v>
      </c>
      <c r="EI182" s="150">
        <f t="shared" si="566"/>
        <v>5.209665000581376</v>
      </c>
      <c r="EK182" s="456">
        <f t="shared" si="567"/>
        <v>0.49504471578947357</v>
      </c>
      <c r="EL182" s="456">
        <f t="shared" si="568"/>
        <v>2.4578723404255323</v>
      </c>
      <c r="EM182" s="456">
        <f t="shared" si="569"/>
        <v>2.0606409682922881E-2</v>
      </c>
      <c r="EN182" s="456">
        <f t="shared" si="570"/>
        <v>0.23554609929078019</v>
      </c>
      <c r="EO182">
        <f t="shared" si="571"/>
        <v>8.9999999999999993E-3</v>
      </c>
      <c r="EP182" s="144">
        <f t="shared" si="572"/>
        <v>29.606409682922877</v>
      </c>
      <c r="EQ182" s="144"/>
      <c r="ER182" s="144">
        <f t="shared" si="592"/>
        <v>3218.069565188709</v>
      </c>
      <c r="ES182" s="456">
        <f t="shared" si="573"/>
        <v>2.016</v>
      </c>
      <c r="EV182" s="144">
        <f t="shared" si="494"/>
        <v>2016</v>
      </c>
      <c r="EW182" s="456">
        <f t="shared" si="574"/>
        <v>0.5775521684210525</v>
      </c>
      <c r="EX182" s="456">
        <f t="shared" si="575"/>
        <v>0.37996853185595569</v>
      </c>
      <c r="EY182" s="456">
        <f t="shared" si="576"/>
        <v>16.688141232989675</v>
      </c>
      <c r="EZ182" s="456"/>
      <c r="FA182" s="456">
        <f t="shared" si="577"/>
        <v>3.676595744680851</v>
      </c>
      <c r="FB182" s="144">
        <f t="shared" si="578"/>
        <v>21322.257677947535</v>
      </c>
      <c r="FC182" s="150">
        <f t="shared" si="579"/>
        <v>26.556327243136245</v>
      </c>
      <c r="FD182" s="5">
        <f t="shared" si="580"/>
        <v>86.399999999999991</v>
      </c>
      <c r="FE182" s="150">
        <f t="shared" si="581"/>
        <v>0.76489739095381282</v>
      </c>
      <c r="FF182" s="5">
        <f t="shared" si="582"/>
        <v>76.489739095381282</v>
      </c>
      <c r="FI182" s="59">
        <f t="shared" si="583"/>
        <v>-50</v>
      </c>
      <c r="FJ182">
        <f t="shared" si="584"/>
        <v>-50</v>
      </c>
      <c r="FL182">
        <f t="shared" si="585"/>
        <v>0.39682539682539686</v>
      </c>
    </row>
    <row r="183" spans="5:168">
      <c r="E183" s="147">
        <v>73</v>
      </c>
      <c r="F183" s="188">
        <f t="shared" si="586"/>
        <v>2.92</v>
      </c>
      <c r="G183" s="188"/>
      <c r="H183" s="188">
        <f t="shared" si="495"/>
        <v>87.6</v>
      </c>
      <c r="I183" s="465">
        <f t="shared" si="496"/>
        <v>19.804324257876182</v>
      </c>
      <c r="J183" s="149">
        <f t="shared" si="497"/>
        <v>30.505363861143593</v>
      </c>
      <c r="K183" s="149">
        <f t="shared" si="498"/>
        <v>50.309688119019775</v>
      </c>
      <c r="L183" s="379"/>
      <c r="M183" s="188">
        <f t="shared" si="499"/>
        <v>0.60633331981988647</v>
      </c>
      <c r="N183" s="149">
        <f t="shared" si="500"/>
        <v>182.7061918029147</v>
      </c>
      <c r="O183" s="149">
        <f t="shared" si="438"/>
        <v>87.6</v>
      </c>
      <c r="P183" s="188">
        <f t="shared" si="501"/>
        <v>6.0902063934304902</v>
      </c>
      <c r="Q183" s="188">
        <f t="shared" si="502"/>
        <v>30</v>
      </c>
      <c r="R183" s="188"/>
      <c r="S183" s="149">
        <f t="shared" si="503"/>
        <v>83.052764516121854</v>
      </c>
      <c r="T183" s="149">
        <f t="shared" si="504"/>
        <v>30</v>
      </c>
      <c r="U183" s="188">
        <f t="shared" si="505"/>
        <v>14.834885180854108</v>
      </c>
      <c r="V183" s="188">
        <f t="shared" si="506"/>
        <v>3.5206432414519311</v>
      </c>
      <c r="W183" s="188">
        <f t="shared" si="507"/>
        <v>2.2856295262495019</v>
      </c>
      <c r="X183" s="172">
        <f t="shared" si="508"/>
        <v>350</v>
      </c>
      <c r="Y183" s="379">
        <f t="shared" si="509"/>
        <v>166.49260509403976</v>
      </c>
      <c r="AA183" s="188">
        <f t="shared" si="510"/>
        <v>7.2999302524657512</v>
      </c>
      <c r="AB183" s="150">
        <f t="shared" si="511"/>
        <v>1.124709488559525</v>
      </c>
      <c r="AC183" s="150">
        <f t="shared" si="512"/>
        <v>1.4368026436349177</v>
      </c>
      <c r="AD183" s="150"/>
      <c r="AE183" s="150">
        <f t="shared" si="513"/>
        <v>0.93376524254907334</v>
      </c>
      <c r="AF183" s="314">
        <f t="shared" si="514"/>
        <v>1031.9510259018436</v>
      </c>
      <c r="AG183" s="456">
        <f t="shared" si="515"/>
        <v>0.99035707543083529</v>
      </c>
      <c r="AI183" s="150">
        <f t="shared" si="516"/>
        <v>10.406665065264418</v>
      </c>
      <c r="AJ183" s="150">
        <f t="shared" si="517"/>
        <v>14.834885180854108</v>
      </c>
      <c r="AK183" s="150">
        <f t="shared" si="518"/>
        <v>7.6994660149985537</v>
      </c>
      <c r="AM183" s="314">
        <f t="shared" si="519"/>
        <v>2920</v>
      </c>
      <c r="AN183" s="144">
        <f t="shared" si="520"/>
        <v>166.49260509403976</v>
      </c>
      <c r="AP183">
        <f t="shared" si="521"/>
        <v>2920</v>
      </c>
      <c r="AQ183">
        <f t="shared" si="522"/>
        <v>166.49260509403976</v>
      </c>
      <c r="AS183" s="5">
        <f t="shared" si="439"/>
        <v>6.006272767701434</v>
      </c>
      <c r="AT183" s="5">
        <f t="shared" si="523"/>
        <v>3.5206432414519311</v>
      </c>
      <c r="AU183" s="5">
        <f t="shared" si="477"/>
        <v>2.485629526249503</v>
      </c>
      <c r="AV183" s="5"/>
      <c r="AW183" s="150">
        <f t="shared" si="478"/>
        <v>0.58616106487605635</v>
      </c>
      <c r="AX183" s="150">
        <f t="shared" si="435"/>
        <v>86.105558817529825</v>
      </c>
      <c r="AY183" s="150">
        <f t="shared" si="436"/>
        <v>3.0696265429653184</v>
      </c>
      <c r="AZ183" s="150">
        <f t="shared" si="440"/>
        <v>28.050825601198444</v>
      </c>
      <c r="BA183" s="144">
        <f t="shared" si="593"/>
        <v>34.267594216798798</v>
      </c>
      <c r="BB183" s="5">
        <f t="shared" si="594"/>
        <v>6.4674272994536928</v>
      </c>
      <c r="BD183" s="150">
        <f t="shared" si="441"/>
        <v>6.5574055769829069</v>
      </c>
      <c r="BE183" s="150">
        <f t="shared" si="437"/>
        <v>5.5098431503986651</v>
      </c>
      <c r="BG183" s="456">
        <f t="shared" si="479"/>
        <v>0.51599481481255838</v>
      </c>
      <c r="BH183" s="456">
        <f t="shared" si="524"/>
        <v>2.2677419390727085</v>
      </c>
      <c r="BI183" s="456">
        <f t="shared" si="480"/>
        <v>1.9146649585814576E-2</v>
      </c>
      <c r="BJ183" s="456">
        <f t="shared" si="481"/>
        <v>0.21807634161008324</v>
      </c>
      <c r="BK183">
        <f t="shared" si="482"/>
        <v>8.9119459160442813E-3</v>
      </c>
      <c r="BL183" s="144">
        <f t="shared" si="587"/>
        <v>28.058595501858857</v>
      </c>
      <c r="BM183" s="456">
        <f t="shared" si="525"/>
        <v>3.580046743731506</v>
      </c>
      <c r="BN183" s="144">
        <f t="shared" si="526"/>
        <v>3580.046743731506</v>
      </c>
      <c r="BO183" s="456">
        <f t="shared" si="483"/>
        <v>2.044</v>
      </c>
      <c r="BR183" s="144">
        <f t="shared" si="484"/>
        <v>2044</v>
      </c>
      <c r="BS183" s="456">
        <f t="shared" si="485"/>
        <v>0.60199395061465144</v>
      </c>
      <c r="BT183" s="456">
        <f t="shared" si="486"/>
        <v>0.42501720158793121</v>
      </c>
      <c r="BU183" s="456">
        <f t="shared" si="487"/>
        <v>15.158905633699471</v>
      </c>
      <c r="BV183" s="456"/>
      <c r="BW183" s="456">
        <f t="shared" si="488"/>
        <v>3.6640663326608429</v>
      </c>
      <c r="BX183" s="144">
        <f t="shared" si="489"/>
        <v>19849.983118562897</v>
      </c>
      <c r="BY183" s="150">
        <f t="shared" si="490"/>
        <v>24.923854809560105</v>
      </c>
      <c r="BZ183" s="5">
        <f t="shared" si="491"/>
        <v>87.6</v>
      </c>
      <c r="CA183" s="150">
        <f t="shared" si="492"/>
        <v>0.77850159104714067</v>
      </c>
      <c r="CB183" s="5">
        <f t="shared" si="493"/>
        <v>77.850159104714066</v>
      </c>
      <c r="CE183" s="59">
        <f t="shared" si="527"/>
        <v>-50</v>
      </c>
      <c r="CF183">
        <f t="shared" si="528"/>
        <v>-50</v>
      </c>
      <c r="CG183" s="150">
        <f t="shared" si="529"/>
        <v>0.38798881852182066</v>
      </c>
      <c r="CI183" s="147">
        <v>73</v>
      </c>
      <c r="CJ183" s="188">
        <f t="shared" si="588"/>
        <v>2.92</v>
      </c>
      <c r="CK183" s="188"/>
      <c r="CL183" s="188">
        <f t="shared" si="530"/>
        <v>87.6</v>
      </c>
      <c r="CM183" s="465">
        <f t="shared" si="531"/>
        <v>20</v>
      </c>
      <c r="CN183" s="379">
        <f t="shared" si="532"/>
        <v>30.4</v>
      </c>
      <c r="CO183" s="379">
        <f t="shared" si="533"/>
        <v>50.4</v>
      </c>
      <c r="CP183" s="379"/>
      <c r="CQ183" s="188">
        <f t="shared" si="534"/>
        <v>0.60317460317460314</v>
      </c>
      <c r="CR183" s="149">
        <f t="shared" si="589"/>
        <v>183.55019291189507</v>
      </c>
      <c r="CS183" s="149">
        <f t="shared" si="535"/>
        <v>87.6</v>
      </c>
      <c r="CT183" s="188">
        <f t="shared" si="536"/>
        <v>6.1183397637298356</v>
      </c>
      <c r="CU183" s="188">
        <f t="shared" si="537"/>
        <v>30</v>
      </c>
      <c r="CV183" s="188"/>
      <c r="CW183" s="149">
        <f t="shared" si="538"/>
        <v>83.872431252568788</v>
      </c>
      <c r="CX183" s="149">
        <f t="shared" si="539"/>
        <v>30</v>
      </c>
      <c r="CY183" s="188">
        <f t="shared" si="540"/>
        <v>14.523157894736842</v>
      </c>
      <c r="CZ183" s="188">
        <f t="shared" si="541"/>
        <v>3.4129421052631579</v>
      </c>
      <c r="DA183" s="188">
        <f t="shared" si="542"/>
        <v>2.2453566481994462</v>
      </c>
      <c r="DB183" s="172">
        <f t="shared" si="543"/>
        <v>350</v>
      </c>
      <c r="DC183" s="379">
        <f t="shared" si="544"/>
        <v>176.73156607152433</v>
      </c>
      <c r="DE183" s="188">
        <f t="shared" si="545"/>
        <v>7.3334298258310406</v>
      </c>
      <c r="DF183" s="150">
        <f t="shared" si="546"/>
        <v>1.1337868480725624</v>
      </c>
      <c r="DG183" s="150">
        <f t="shared" si="547"/>
        <v>1.4550456003633017</v>
      </c>
      <c r="DH183" s="150"/>
      <c r="DI183" s="150">
        <f t="shared" si="548"/>
        <v>0.93700159489633172</v>
      </c>
      <c r="DJ183" s="314">
        <f t="shared" si="549"/>
        <v>1028.3867234042552</v>
      </c>
      <c r="DK183" s="456">
        <f t="shared" si="550"/>
        <v>0.99378957034459414</v>
      </c>
      <c r="DM183" s="150">
        <f t="shared" si="551"/>
        <v>10.388677493347759</v>
      </c>
      <c r="DN183" s="150">
        <f t="shared" si="552"/>
        <v>14.523157894736842</v>
      </c>
      <c r="DO183" s="150">
        <f t="shared" si="553"/>
        <v>7.46855691417095</v>
      </c>
      <c r="DQ183" s="314">
        <f t="shared" si="554"/>
        <v>2920</v>
      </c>
      <c r="DR183" s="144">
        <f t="shared" si="555"/>
        <v>176.73156607152433</v>
      </c>
      <c r="DT183">
        <f t="shared" si="590"/>
        <v>2920</v>
      </c>
      <c r="DU183">
        <f t="shared" si="591"/>
        <v>176.73156607152433</v>
      </c>
      <c r="DW183" s="5">
        <f t="shared" si="556"/>
        <v>5.6582987534626046</v>
      </c>
      <c r="DX183" s="5">
        <f t="shared" si="557"/>
        <v>3.4129421052631579</v>
      </c>
      <c r="DY183" s="5">
        <f t="shared" si="558"/>
        <v>2.2453566481994467</v>
      </c>
      <c r="DZ183" s="5"/>
      <c r="EA183" s="150">
        <f t="shared" si="559"/>
        <v>0.60317460317460314</v>
      </c>
      <c r="EB183" s="150">
        <f t="shared" si="560"/>
        <v>87.6</v>
      </c>
      <c r="EC183" s="150">
        <f t="shared" si="561"/>
        <v>2.8815789473684212</v>
      </c>
      <c r="ED183" s="150">
        <f t="shared" si="562"/>
        <v>30.399999999999995</v>
      </c>
      <c r="EE183" s="144">
        <f t="shared" si="563"/>
        <v>33.219303157894736</v>
      </c>
      <c r="EF183" s="5">
        <f t="shared" si="564"/>
        <v>5.785095364184456</v>
      </c>
      <c r="EH183" s="150">
        <f t="shared" si="565"/>
        <v>6.5121134090732467</v>
      </c>
      <c r="EI183" s="150">
        <f t="shared" si="566"/>
        <v>5.2820214589227845</v>
      </c>
      <c r="EK183" s="456">
        <f t="shared" si="567"/>
        <v>0.50889145263157898</v>
      </c>
      <c r="EL183" s="456">
        <f t="shared" si="568"/>
        <v>2.4578723404255318</v>
      </c>
      <c r="EM183" s="456">
        <f t="shared" si="569"/>
        <v>2.0324130098225302E-2</v>
      </c>
      <c r="EN183" s="456">
        <f t="shared" si="570"/>
        <v>0.23231944039638588</v>
      </c>
      <c r="EO183">
        <f t="shared" si="571"/>
        <v>8.9999999999999993E-3</v>
      </c>
      <c r="EP183" s="144">
        <f t="shared" si="572"/>
        <v>29.3241300982253</v>
      </c>
      <c r="EQ183" s="144"/>
      <c r="ER183" s="144">
        <f t="shared" si="592"/>
        <v>3228.407363551722</v>
      </c>
      <c r="ES183" s="456">
        <f t="shared" si="573"/>
        <v>2.044</v>
      </c>
      <c r="EV183" s="144">
        <f t="shared" si="494"/>
        <v>2044</v>
      </c>
      <c r="EW183" s="456">
        <f t="shared" si="574"/>
        <v>0.59370669473684223</v>
      </c>
      <c r="EX183" s="456">
        <f t="shared" si="575"/>
        <v>0.39059650969529092</v>
      </c>
      <c r="EY183" s="456">
        <f t="shared" si="576"/>
        <v>16.688141232989633</v>
      </c>
      <c r="EZ183" s="456"/>
      <c r="FA183" s="456">
        <f t="shared" si="577"/>
        <v>3.7276595744680847</v>
      </c>
      <c r="FB183" s="144">
        <f t="shared" si="578"/>
        <v>21400.104011889853</v>
      </c>
      <c r="FC183" s="150">
        <f t="shared" si="579"/>
        <v>26.672511375441573</v>
      </c>
      <c r="FD183" s="5">
        <f t="shared" si="580"/>
        <v>87.6</v>
      </c>
      <c r="FE183" s="150">
        <f t="shared" si="581"/>
        <v>0.76658856049982815</v>
      </c>
      <c r="FF183" s="5">
        <f t="shared" si="582"/>
        <v>76.658856049982816</v>
      </c>
      <c r="FI183" s="59">
        <f t="shared" si="583"/>
        <v>-50</v>
      </c>
      <c r="FJ183">
        <f t="shared" si="584"/>
        <v>-50</v>
      </c>
      <c r="FL183">
        <f t="shared" si="585"/>
        <v>0.39682539682539686</v>
      </c>
    </row>
    <row r="184" spans="5:168">
      <c r="E184" s="147">
        <v>74</v>
      </c>
      <c r="F184" s="188">
        <f t="shared" si="586"/>
        <v>2.96</v>
      </c>
      <c r="G184" s="188"/>
      <c r="H184" s="188">
        <f t="shared" si="495"/>
        <v>88.8</v>
      </c>
      <c r="I184" s="465">
        <f t="shared" si="496"/>
        <v>19.801704798544101</v>
      </c>
      <c r="J184" s="149">
        <f t="shared" si="497"/>
        <v>30.506774339245482</v>
      </c>
      <c r="K184" s="149">
        <f t="shared" si="498"/>
        <v>50.308479137789583</v>
      </c>
      <c r="L184" s="379"/>
      <c r="M184" s="188">
        <f t="shared" si="499"/>
        <v>0.60637593505859932</v>
      </c>
      <c r="N184" s="149">
        <f t="shared" si="500"/>
        <v>182.6948653313122</v>
      </c>
      <c r="O184" s="149">
        <f t="shared" si="438"/>
        <v>88.8</v>
      </c>
      <c r="P184" s="188">
        <f t="shared" si="501"/>
        <v>6.0898288443770729</v>
      </c>
      <c r="Q184" s="188">
        <f t="shared" si="502"/>
        <v>30</v>
      </c>
      <c r="R184" s="188"/>
      <c r="S184" s="149">
        <f t="shared" si="503"/>
        <v>81.654902051233165</v>
      </c>
      <c r="T184" s="149">
        <f t="shared" si="504"/>
        <v>30</v>
      </c>
      <c r="U184" s="188">
        <f t="shared" si="505"/>
        <v>15.039730868287531</v>
      </c>
      <c r="V184" s="188">
        <f t="shared" si="506"/>
        <v>3.5697297682242271</v>
      </c>
      <c r="W184" s="188">
        <f t="shared" si="507"/>
        <v>2.3170832253482909</v>
      </c>
      <c r="X184" s="172">
        <f t="shared" si="508"/>
        <v>350</v>
      </c>
      <c r="Y184" s="379">
        <f t="shared" si="509"/>
        <v>164.28958817298454</v>
      </c>
      <c r="AA184" s="188">
        <f t="shared" si="510"/>
        <v>7.2994776070848388</v>
      </c>
      <c r="AB184" s="150">
        <f t="shared" si="511"/>
        <v>1.1245877512904978</v>
      </c>
      <c r="AC184" s="150">
        <f t="shared" si="512"/>
        <v>1.4365580438557044</v>
      </c>
      <c r="AD184" s="150"/>
      <c r="AE184" s="150">
        <f t="shared" si="513"/>
        <v>0.93372206999296248</v>
      </c>
      <c r="AF184" s="314">
        <f t="shared" si="514"/>
        <v>1046.1357093201857</v>
      </c>
      <c r="AG184" s="456">
        <f t="shared" si="515"/>
        <v>0.99031128635617227</v>
      </c>
      <c r="AI184" s="150">
        <f t="shared" si="516"/>
        <v>10.477943372539084</v>
      </c>
      <c r="AJ184" s="150">
        <f t="shared" si="517"/>
        <v>15.039730868287531</v>
      </c>
      <c r="AK184" s="150">
        <f t="shared" si="518"/>
        <v>7.8512035612455344</v>
      </c>
      <c r="AM184" s="314">
        <f t="shared" si="519"/>
        <v>2960</v>
      </c>
      <c r="AN184" s="144">
        <f t="shared" si="520"/>
        <v>164.28958817298454</v>
      </c>
      <c r="AP184">
        <f t="shared" si="521"/>
        <v>2960</v>
      </c>
      <c r="AQ184">
        <f t="shared" si="522"/>
        <v>164.28958817298454</v>
      </c>
      <c r="AS184" s="5">
        <f t="shared" si="439"/>
        <v>6.0868129935725177</v>
      </c>
      <c r="AT184" s="5">
        <f t="shared" si="523"/>
        <v>3.5697297682242271</v>
      </c>
      <c r="AU184" s="5">
        <f t="shared" si="477"/>
        <v>2.5170832253482907</v>
      </c>
      <c r="AV184" s="5"/>
      <c r="AW184" s="150">
        <f t="shared" si="478"/>
        <v>0.58646943351040171</v>
      </c>
      <c r="AX184" s="150">
        <f t="shared" si="435"/>
        <v>87.328908633964787</v>
      </c>
      <c r="AY184" s="150">
        <f t="shared" si="436"/>
        <v>3.1096942129070206</v>
      </c>
      <c r="AZ184" s="150">
        <f t="shared" si="440"/>
        <v>28.08279613844331</v>
      </c>
      <c r="BA184" s="144">
        <f t="shared" si="593"/>
        <v>35.221333713145704</v>
      </c>
      <c r="BB184" s="5">
        <f t="shared" si="594"/>
        <v>6.6398617660601928</v>
      </c>
      <c r="BD184" s="150">
        <f t="shared" si="441"/>
        <v>6.6497011587222268</v>
      </c>
      <c r="BE184" s="150">
        <f t="shared" si="437"/>
        <v>5.5838436012477297</v>
      </c>
      <c r="BG184" s="456">
        <f t="shared" si="479"/>
        <v>0.53062230600374072</v>
      </c>
      <c r="BH184" s="456">
        <f t="shared" si="524"/>
        <v>2.268580334321328</v>
      </c>
      <c r="BI184" s="456">
        <f t="shared" si="480"/>
        <v>1.8893302639893226E-2</v>
      </c>
      <c r="BJ184" s="456">
        <f t="shared" si="481"/>
        <v>0.21518043050476959</v>
      </c>
      <c r="BK184">
        <f t="shared" si="482"/>
        <v>8.9107671593448446E-3</v>
      </c>
      <c r="BL184" s="144">
        <f t="shared" si="587"/>
        <v>27.804069799238071</v>
      </c>
      <c r="BM184" s="456">
        <f t="shared" si="525"/>
        <v>3.6131867156261128</v>
      </c>
      <c r="BN184" s="144">
        <f t="shared" si="526"/>
        <v>3613.1867156261128</v>
      </c>
      <c r="BO184" s="456">
        <f t="shared" si="483"/>
        <v>2.0720000000000001</v>
      </c>
      <c r="BR184" s="144">
        <f t="shared" si="484"/>
        <v>2072</v>
      </c>
      <c r="BS184" s="456">
        <f t="shared" si="485"/>
        <v>0.61905935700436421</v>
      </c>
      <c r="BT184" s="456">
        <f t="shared" si="486"/>
        <v>0.43651033108473303</v>
      </c>
      <c r="BU184" s="456">
        <f t="shared" si="487"/>
        <v>15.173831903340515</v>
      </c>
      <c r="BV184" s="456"/>
      <c r="BW184" s="456">
        <f t="shared" si="488"/>
        <v>3.7161237716580762</v>
      </c>
      <c r="BX184" s="144">
        <f t="shared" si="489"/>
        <v>19945.52536308769</v>
      </c>
      <c r="BY184" s="150">
        <f t="shared" si="490"/>
        <v>25.059712503716764</v>
      </c>
      <c r="BZ184" s="5">
        <f t="shared" si="491"/>
        <v>88.8</v>
      </c>
      <c r="CA184" s="150">
        <f t="shared" si="492"/>
        <v>0.77990711593533368</v>
      </c>
      <c r="CB184" s="5">
        <f t="shared" si="493"/>
        <v>77.990711593533362</v>
      </c>
      <c r="CE184" s="59">
        <f t="shared" si="527"/>
        <v>-50</v>
      </c>
      <c r="CF184">
        <f t="shared" si="528"/>
        <v>-50</v>
      </c>
      <c r="CG184" s="150">
        <f t="shared" si="529"/>
        <v>0.38810823174213926</v>
      </c>
      <c r="CI184" s="147">
        <v>74</v>
      </c>
      <c r="CJ184" s="188">
        <f t="shared" si="588"/>
        <v>2.96</v>
      </c>
      <c r="CK184" s="188"/>
      <c r="CL184" s="188">
        <f t="shared" si="530"/>
        <v>88.8</v>
      </c>
      <c r="CM184" s="465">
        <f t="shared" si="531"/>
        <v>20</v>
      </c>
      <c r="CN184" s="379">
        <f t="shared" si="532"/>
        <v>30.4</v>
      </c>
      <c r="CO184" s="379">
        <f t="shared" si="533"/>
        <v>50.4</v>
      </c>
      <c r="CP184" s="379"/>
      <c r="CQ184" s="188">
        <f t="shared" si="534"/>
        <v>0.60317460317460314</v>
      </c>
      <c r="CR184" s="149">
        <f t="shared" si="589"/>
        <v>183.55019291189507</v>
      </c>
      <c r="CS184" s="149">
        <f t="shared" si="535"/>
        <v>88.8</v>
      </c>
      <c r="CT184" s="188">
        <f t="shared" si="536"/>
        <v>6.1183397637298356</v>
      </c>
      <c r="CU184" s="188">
        <f t="shared" si="537"/>
        <v>30</v>
      </c>
      <c r="CV184" s="188"/>
      <c r="CW184" s="149">
        <f t="shared" si="538"/>
        <v>82.471637212220585</v>
      </c>
      <c r="CX184" s="149">
        <f t="shared" si="539"/>
        <v>30</v>
      </c>
      <c r="CY184" s="188">
        <f t="shared" si="540"/>
        <v>14.722105263157895</v>
      </c>
      <c r="CZ184" s="188">
        <f t="shared" si="541"/>
        <v>3.4596947368421049</v>
      </c>
      <c r="DA184" s="188">
        <f t="shared" si="542"/>
        <v>2.2761149584487534</v>
      </c>
      <c r="DB184" s="172">
        <f t="shared" si="543"/>
        <v>350</v>
      </c>
      <c r="DC184" s="379">
        <f t="shared" si="544"/>
        <v>174.34330166515241</v>
      </c>
      <c r="DE184" s="188">
        <f t="shared" si="545"/>
        <v>7.3334298258310406</v>
      </c>
      <c r="DF184" s="150">
        <f t="shared" si="546"/>
        <v>1.1337868480725624</v>
      </c>
      <c r="DG184" s="150">
        <f t="shared" si="547"/>
        <v>1.4550456003633017</v>
      </c>
      <c r="DH184" s="150"/>
      <c r="DI184" s="150">
        <f t="shared" si="548"/>
        <v>0.93700159489633172</v>
      </c>
      <c r="DJ184" s="314">
        <f t="shared" si="549"/>
        <v>1042.4742127659574</v>
      </c>
      <c r="DK184" s="456">
        <f t="shared" si="550"/>
        <v>0.99378957034459414</v>
      </c>
      <c r="DM184" s="150">
        <f t="shared" si="551"/>
        <v>10.459590790928573</v>
      </c>
      <c r="DN184" s="150">
        <f t="shared" si="552"/>
        <v>14.722105263157895</v>
      </c>
      <c r="DO184" s="150">
        <f t="shared" si="553"/>
        <v>7.6159253352235812</v>
      </c>
      <c r="DQ184" s="314">
        <f t="shared" si="554"/>
        <v>2960</v>
      </c>
      <c r="DR184" s="144">
        <f t="shared" si="555"/>
        <v>174.34330166515241</v>
      </c>
      <c r="DT184">
        <f t="shared" si="590"/>
        <v>2960</v>
      </c>
      <c r="DU184">
        <f t="shared" si="591"/>
        <v>174.34330166515241</v>
      </c>
      <c r="DW184" s="5">
        <f t="shared" si="556"/>
        <v>5.7358096952908584</v>
      </c>
      <c r="DX184" s="5">
        <f t="shared" si="557"/>
        <v>3.4596947368421049</v>
      </c>
      <c r="DY184" s="5">
        <f t="shared" si="558"/>
        <v>2.2761149584487534</v>
      </c>
      <c r="DZ184" s="5"/>
      <c r="EA184" s="150">
        <f t="shared" si="559"/>
        <v>0.60317460317460314</v>
      </c>
      <c r="EB184" s="150">
        <f t="shared" si="560"/>
        <v>88.8</v>
      </c>
      <c r="EC184" s="150">
        <f t="shared" si="561"/>
        <v>2.9210526315789478</v>
      </c>
      <c r="ED184" s="150">
        <f t="shared" si="562"/>
        <v>30.399999999999995</v>
      </c>
      <c r="EE184" s="144">
        <f t="shared" si="563"/>
        <v>34.135654736842099</v>
      </c>
      <c r="EF184" s="5">
        <f t="shared" si="564"/>
        <v>5.944676715007331</v>
      </c>
      <c r="EH184" s="150">
        <f t="shared" si="565"/>
        <v>6.6013204420742495</v>
      </c>
      <c r="EI184" s="150">
        <f t="shared" si="566"/>
        <v>5.3543779172641921</v>
      </c>
      <c r="EK184" s="456">
        <f t="shared" si="567"/>
        <v>0.52292917894736834</v>
      </c>
      <c r="EL184" s="456">
        <f t="shared" si="568"/>
        <v>2.4578723404255323</v>
      </c>
      <c r="EM184" s="456">
        <f t="shared" si="569"/>
        <v>2.0049479691492528E-2</v>
      </c>
      <c r="EN184" s="456">
        <f t="shared" si="570"/>
        <v>0.22917998849913748</v>
      </c>
      <c r="EO184">
        <f t="shared" si="571"/>
        <v>8.9999999999999993E-3</v>
      </c>
      <c r="EP184" s="144">
        <f t="shared" si="572"/>
        <v>29.049479691492525</v>
      </c>
      <c r="EQ184" s="144"/>
      <c r="ER184" s="144">
        <f t="shared" si="592"/>
        <v>3239.0309875635307</v>
      </c>
      <c r="ES184" s="456">
        <f t="shared" si="573"/>
        <v>2.0720000000000001</v>
      </c>
      <c r="EV184" s="144">
        <f t="shared" si="494"/>
        <v>2072</v>
      </c>
      <c r="EW184" s="456">
        <f t="shared" si="574"/>
        <v>0.61008404210526312</v>
      </c>
      <c r="EX184" s="456">
        <f t="shared" si="575"/>
        <v>0.40137108033240998</v>
      </c>
      <c r="EY184" s="456">
        <f t="shared" si="576"/>
        <v>16.688141232989633</v>
      </c>
      <c r="EZ184" s="456"/>
      <c r="FA184" s="456">
        <f t="shared" si="577"/>
        <v>3.7787234042553193</v>
      </c>
      <c r="FB184" s="144">
        <f t="shared" si="578"/>
        <v>21478.319759682629</v>
      </c>
      <c r="FC184" s="150">
        <f t="shared" si="579"/>
        <v>26.789350747246157</v>
      </c>
      <c r="FD184" s="5">
        <f t="shared" si="580"/>
        <v>88.8</v>
      </c>
      <c r="FE184" s="150">
        <f t="shared" si="581"/>
        <v>0.76823686114627299</v>
      </c>
      <c r="FF184" s="5">
        <f t="shared" si="582"/>
        <v>76.823686114627293</v>
      </c>
      <c r="FI184" s="59">
        <f t="shared" si="583"/>
        <v>-50</v>
      </c>
      <c r="FJ184">
        <f t="shared" si="584"/>
        <v>-50</v>
      </c>
      <c r="FL184">
        <f t="shared" si="585"/>
        <v>0.39682539682539686</v>
      </c>
    </row>
    <row r="185" spans="5:168">
      <c r="E185" s="147">
        <v>75</v>
      </c>
      <c r="F185" s="188">
        <f t="shared" si="586"/>
        <v>3</v>
      </c>
      <c r="G185" s="188"/>
      <c r="H185" s="188">
        <f t="shared" si="495"/>
        <v>90</v>
      </c>
      <c r="I185" s="465">
        <f t="shared" si="496"/>
        <v>19.799085302668825</v>
      </c>
      <c r="J185" s="149">
        <f t="shared" si="497"/>
        <v>30.508184837024476</v>
      </c>
      <c r="K185" s="149">
        <f t="shared" si="498"/>
        <v>50.307270139693301</v>
      </c>
      <c r="L185" s="379"/>
      <c r="M185" s="188">
        <f t="shared" si="499"/>
        <v>0.60641855278496115</v>
      </c>
      <c r="N185" s="149">
        <f t="shared" si="500"/>
        <v>182.68353587499053</v>
      </c>
      <c r="O185" s="149">
        <f t="shared" si="438"/>
        <v>90</v>
      </c>
      <c r="P185" s="188">
        <f t="shared" si="501"/>
        <v>6.0894511958330177</v>
      </c>
      <c r="Q185" s="188">
        <f t="shared" si="502"/>
        <v>30</v>
      </c>
      <c r="R185" s="188"/>
      <c r="S185" s="149">
        <f t="shared" si="503"/>
        <v>80.294438507587159</v>
      </c>
      <c r="T185" s="149">
        <f t="shared" si="504"/>
        <v>30</v>
      </c>
      <c r="U185" s="188">
        <f t="shared" si="505"/>
        <v>15.244621011624597</v>
      </c>
      <c r="V185" s="188">
        <f t="shared" si="506"/>
        <v>3.6188398433223354</v>
      </c>
      <c r="W185" s="188">
        <f t="shared" si="507"/>
        <v>2.3485408632925981</v>
      </c>
      <c r="X185" s="172">
        <f t="shared" si="508"/>
        <v>350</v>
      </c>
      <c r="Y185" s="379">
        <f t="shared" si="509"/>
        <v>162.14338753685695</v>
      </c>
      <c r="AA185" s="188">
        <f t="shared" si="510"/>
        <v>7.2990248443392547</v>
      </c>
      <c r="AB185" s="150">
        <f t="shared" si="511"/>
        <v>1.1244660064718677</v>
      </c>
      <c r="AC185" s="150">
        <f t="shared" si="512"/>
        <v>1.4363134306242937</v>
      </c>
      <c r="AD185" s="150"/>
      <c r="AE185" s="150">
        <f t="shared" si="513"/>
        <v>0.93367890082662375</v>
      </c>
      <c r="AF185" s="314">
        <f t="shared" si="514"/>
        <v>1060.3217006655209</v>
      </c>
      <c r="AG185" s="456">
        <f t="shared" si="515"/>
        <v>0.99026550087672216</v>
      </c>
      <c r="AI185" s="150">
        <f t="shared" si="516"/>
        <v>10.548746566147402</v>
      </c>
      <c r="AJ185" s="150">
        <f t="shared" si="517"/>
        <v>15.244621011624597</v>
      </c>
      <c r="AK185" s="150">
        <f t="shared" si="518"/>
        <v>8.0029740377915068</v>
      </c>
      <c r="AM185" s="314">
        <f t="shared" si="519"/>
        <v>3000</v>
      </c>
      <c r="AN185" s="144">
        <f t="shared" si="520"/>
        <v>162.14338753685695</v>
      </c>
      <c r="AP185">
        <f t="shared" si="521"/>
        <v>3000</v>
      </c>
      <c r="AQ185">
        <f t="shared" si="522"/>
        <v>162.14338753685695</v>
      </c>
      <c r="AS185" s="5">
        <f t="shared" si="439"/>
        <v>6.1673807066149351</v>
      </c>
      <c r="AT185" s="5">
        <f t="shared" si="523"/>
        <v>3.6188398433223354</v>
      </c>
      <c r="AU185" s="5">
        <f t="shared" si="477"/>
        <v>2.5485408632925997</v>
      </c>
      <c r="AV185" s="5"/>
      <c r="AW185" s="150">
        <f t="shared" si="478"/>
        <v>0.58677095114963207</v>
      </c>
      <c r="AX185" s="150">
        <f t="shared" si="435"/>
        <v>88.552406602074527</v>
      </c>
      <c r="AY185" s="150">
        <f t="shared" si="436"/>
        <v>3.1497601203589829</v>
      </c>
      <c r="AZ185" s="150">
        <f t="shared" si="440"/>
        <v>28.114016057826674</v>
      </c>
      <c r="BA185" s="144">
        <f t="shared" si="593"/>
        <v>36.188398433223348</v>
      </c>
      <c r="BB185" s="5">
        <f t="shared" si="594"/>
        <v>6.8145951958645199</v>
      </c>
      <c r="BD185" s="150">
        <f t="shared" si="441"/>
        <v>6.7420242055152988</v>
      </c>
      <c r="BE185" s="150">
        <f t="shared" si="437"/>
        <v>5.6578499633931481</v>
      </c>
      <c r="BG185" s="456">
        <f t="shared" si="479"/>
        <v>0.54545868465305036</v>
      </c>
      <c r="BH185" s="456">
        <f t="shared" si="524"/>
        <v>2.2693918692587212</v>
      </c>
      <c r="BI185" s="456">
        <f t="shared" si="480"/>
        <v>1.8646489566738551E-2</v>
      </c>
      <c r="BJ185" s="456">
        <f t="shared" si="481"/>
        <v>0.21235920916235768</v>
      </c>
      <c r="BK185">
        <f t="shared" si="482"/>
        <v>8.9095883862009718E-3</v>
      </c>
      <c r="BL185" s="144">
        <f t="shared" si="587"/>
        <v>27.556077952939525</v>
      </c>
      <c r="BM185" s="456">
        <f t="shared" si="525"/>
        <v>3.6471590013958148</v>
      </c>
      <c r="BN185" s="144">
        <f t="shared" si="526"/>
        <v>3647.1590013958148</v>
      </c>
      <c r="BO185" s="456">
        <f t="shared" si="483"/>
        <v>2.0999999999999996</v>
      </c>
      <c r="BR185" s="144">
        <f t="shared" si="484"/>
        <v>2099.9999999999995</v>
      </c>
      <c r="BS185" s="456">
        <f t="shared" si="485"/>
        <v>0.63636846542855874</v>
      </c>
      <c r="BT185" s="456">
        <f t="shared" si="486"/>
        <v>0.4481577269157499</v>
      </c>
      <c r="BU185" s="456">
        <f t="shared" si="487"/>
        <v>15.188318295814389</v>
      </c>
      <c r="BV185" s="456"/>
      <c r="BW185" s="456">
        <f t="shared" si="488"/>
        <v>3.7681875149818951</v>
      </c>
      <c r="BX185" s="144">
        <f t="shared" si="489"/>
        <v>20041.032003140594</v>
      </c>
      <c r="BY185" s="150">
        <f t="shared" si="490"/>
        <v>25.195797844167664</v>
      </c>
      <c r="BZ185" s="5">
        <f t="shared" si="491"/>
        <v>90</v>
      </c>
      <c r="CA185" s="150">
        <f t="shared" si="492"/>
        <v>0.78127849873263999</v>
      </c>
      <c r="CB185" s="5">
        <f t="shared" si="493"/>
        <v>78.127849873263997</v>
      </c>
      <c r="CE185" s="59">
        <f t="shared" si="527"/>
        <v>-50</v>
      </c>
      <c r="CF185">
        <f t="shared" si="528"/>
        <v>-50</v>
      </c>
      <c r="CG185" s="150">
        <f t="shared" si="529"/>
        <v>0.38822446060991611</v>
      </c>
      <c r="CI185" s="147">
        <v>75</v>
      </c>
      <c r="CJ185" s="188">
        <f t="shared" si="588"/>
        <v>3</v>
      </c>
      <c r="CK185" s="188"/>
      <c r="CL185" s="188">
        <f t="shared" si="530"/>
        <v>90</v>
      </c>
      <c r="CM185" s="465">
        <f t="shared" si="531"/>
        <v>20</v>
      </c>
      <c r="CN185" s="379">
        <f t="shared" si="532"/>
        <v>30.4</v>
      </c>
      <c r="CO185" s="379">
        <f t="shared" si="533"/>
        <v>50.4</v>
      </c>
      <c r="CP185" s="379"/>
      <c r="CQ185" s="188">
        <f t="shared" si="534"/>
        <v>0.60317460317460314</v>
      </c>
      <c r="CR185" s="149">
        <f t="shared" si="589"/>
        <v>183.55019291189507</v>
      </c>
      <c r="CS185" s="149">
        <f t="shared" si="535"/>
        <v>90</v>
      </c>
      <c r="CT185" s="188">
        <f t="shared" si="536"/>
        <v>6.1183397637298356</v>
      </c>
      <c r="CU185" s="188">
        <f t="shared" si="537"/>
        <v>30</v>
      </c>
      <c r="CV185" s="188"/>
      <c r="CW185" s="149">
        <f t="shared" si="538"/>
        <v>81.108250583214883</v>
      </c>
      <c r="CX185" s="149">
        <f t="shared" si="539"/>
        <v>30</v>
      </c>
      <c r="CY185" s="188">
        <f t="shared" si="540"/>
        <v>14.921052631578947</v>
      </c>
      <c r="CZ185" s="188">
        <f t="shared" si="541"/>
        <v>3.5064473684210524</v>
      </c>
      <c r="DA185" s="188">
        <f t="shared" si="542"/>
        <v>2.3068732686980611</v>
      </c>
      <c r="DB185" s="172">
        <f t="shared" si="543"/>
        <v>350</v>
      </c>
      <c r="DC185" s="379">
        <f t="shared" si="544"/>
        <v>172.018724309617</v>
      </c>
      <c r="DE185" s="188">
        <f t="shared" si="545"/>
        <v>7.3334298258310406</v>
      </c>
      <c r="DF185" s="150">
        <f t="shared" si="546"/>
        <v>1.1337868480725624</v>
      </c>
      <c r="DG185" s="150">
        <f t="shared" si="547"/>
        <v>1.4550456003633017</v>
      </c>
      <c r="DH185" s="150"/>
      <c r="DI185" s="150">
        <f t="shared" si="548"/>
        <v>0.93700159489633172</v>
      </c>
      <c r="DJ185" s="314">
        <f t="shared" si="549"/>
        <v>1056.5617021276596</v>
      </c>
      <c r="DK185" s="456">
        <f t="shared" si="550"/>
        <v>0.99378957034459414</v>
      </c>
      <c r="DM185" s="150">
        <f t="shared" si="551"/>
        <v>10.530026541588835</v>
      </c>
      <c r="DN185" s="150">
        <f t="shared" si="552"/>
        <v>14.921052631578947</v>
      </c>
      <c r="DO185" s="150">
        <f t="shared" si="553"/>
        <v>7.7632937562762132</v>
      </c>
      <c r="DQ185" s="314">
        <f t="shared" si="554"/>
        <v>3000</v>
      </c>
      <c r="DR185" s="144">
        <f t="shared" si="555"/>
        <v>172.018724309617</v>
      </c>
      <c r="DT185">
        <f t="shared" si="590"/>
        <v>3000</v>
      </c>
      <c r="DU185">
        <f t="shared" si="591"/>
        <v>172.018724309617</v>
      </c>
      <c r="DW185" s="5">
        <f t="shared" si="556"/>
        <v>5.8133206371191148</v>
      </c>
      <c r="DX185" s="5">
        <f t="shared" si="557"/>
        <v>3.5064473684210524</v>
      </c>
      <c r="DY185" s="5">
        <f t="shared" si="558"/>
        <v>2.3068732686980624</v>
      </c>
      <c r="DZ185" s="5"/>
      <c r="EA185" s="150">
        <f t="shared" si="559"/>
        <v>0.60317460317460303</v>
      </c>
      <c r="EB185" s="150">
        <f t="shared" si="560"/>
        <v>89.999999999999986</v>
      </c>
      <c r="EC185" s="150">
        <f t="shared" si="561"/>
        <v>2.9605263157894748</v>
      </c>
      <c r="ED185" s="150">
        <f t="shared" si="562"/>
        <v>30.399999999999984</v>
      </c>
      <c r="EE185" s="144">
        <f t="shared" si="563"/>
        <v>35.064473684210519</v>
      </c>
      <c r="EF185" s="5">
        <f t="shared" si="564"/>
        <v>6.106429240671341</v>
      </c>
      <c r="EH185" s="150">
        <f t="shared" si="565"/>
        <v>6.6905274750752524</v>
      </c>
      <c r="EI185" s="150">
        <f t="shared" si="566"/>
        <v>5.4267343756056006</v>
      </c>
      <c r="EK185" s="456">
        <f t="shared" si="567"/>
        <v>0.53715789473684195</v>
      </c>
      <c r="EL185" s="456">
        <f t="shared" si="568"/>
        <v>2.4578723404255314</v>
      </c>
      <c r="EM185" s="456">
        <f t="shared" si="569"/>
        <v>1.9782153295605957E-2</v>
      </c>
      <c r="EN185" s="456">
        <f t="shared" si="570"/>
        <v>0.2261242553191489</v>
      </c>
      <c r="EO185">
        <f t="shared" si="571"/>
        <v>8.9999999999999993E-3</v>
      </c>
      <c r="EP185" s="144">
        <f t="shared" si="572"/>
        <v>28.782153295605955</v>
      </c>
      <c r="EQ185" s="144"/>
      <c r="ER185" s="144">
        <f t="shared" si="592"/>
        <v>3249.9366437771282</v>
      </c>
      <c r="ES185" s="456">
        <f t="shared" si="573"/>
        <v>2.0999999999999996</v>
      </c>
      <c r="EV185" s="144">
        <f t="shared" si="494"/>
        <v>2099.9999999999995</v>
      </c>
      <c r="EW185" s="456">
        <f t="shared" si="574"/>
        <v>0.62668421052631562</v>
      </c>
      <c r="EX185" s="456">
        <f t="shared" si="575"/>
        <v>0.4122922437673131</v>
      </c>
      <c r="EY185" s="456">
        <f t="shared" si="576"/>
        <v>16.688141232989633</v>
      </c>
      <c r="EZ185" s="456"/>
      <c r="FA185" s="456">
        <f t="shared" si="577"/>
        <v>3.8297872340425529</v>
      </c>
      <c r="FB185" s="144">
        <f t="shared" si="578"/>
        <v>21556.904921325815</v>
      </c>
      <c r="FC185" s="150">
        <f t="shared" si="579"/>
        <v>26.90684156510294</v>
      </c>
      <c r="FD185" s="5">
        <f t="shared" si="580"/>
        <v>90</v>
      </c>
      <c r="FE185" s="150">
        <f t="shared" si="581"/>
        <v>0.76984373878479051</v>
      </c>
      <c r="FF185" s="5">
        <f t="shared" si="582"/>
        <v>76.984373878479047</v>
      </c>
      <c r="FI185" s="59">
        <f t="shared" si="583"/>
        <v>-50</v>
      </c>
      <c r="FJ185">
        <f t="shared" si="584"/>
        <v>-50</v>
      </c>
      <c r="FL185">
        <f t="shared" si="585"/>
        <v>0.39682539682539697</v>
      </c>
    </row>
    <row r="186" spans="5:168">
      <c r="E186" s="147">
        <v>76</v>
      </c>
      <c r="F186" s="188">
        <f t="shared" si="586"/>
        <v>3.04</v>
      </c>
      <c r="G186" s="188"/>
      <c r="H186" s="188">
        <f t="shared" si="495"/>
        <v>91.2</v>
      </c>
      <c r="I186" s="465">
        <f t="shared" si="496"/>
        <v>19.796465771724375</v>
      </c>
      <c r="J186" s="149">
        <f t="shared" si="497"/>
        <v>30.509595353686873</v>
      </c>
      <c r="K186" s="149">
        <f t="shared" si="498"/>
        <v>50.306061125411247</v>
      </c>
      <c r="L186" s="379"/>
      <c r="M186" s="188">
        <f t="shared" si="499"/>
        <v>0.60646117298147317</v>
      </c>
      <c r="N186" s="149">
        <f t="shared" si="500"/>
        <v>182.6722034419119</v>
      </c>
      <c r="O186" s="149">
        <f t="shared" si="438"/>
        <v>91.2</v>
      </c>
      <c r="P186" s="188">
        <f t="shared" si="501"/>
        <v>6.0890734480637301</v>
      </c>
      <c r="Q186" s="188">
        <f t="shared" si="502"/>
        <v>30</v>
      </c>
      <c r="R186" s="188"/>
      <c r="S186" s="149">
        <f t="shared" si="503"/>
        <v>78.969898110439019</v>
      </c>
      <c r="T186" s="149">
        <f t="shared" si="504"/>
        <v>30</v>
      </c>
      <c r="U186" s="188">
        <f t="shared" si="505"/>
        <v>15.44955562850668</v>
      </c>
      <c r="V186" s="188">
        <f t="shared" si="506"/>
        <v>3.6679734802812956</v>
      </c>
      <c r="W186" s="188">
        <f t="shared" si="507"/>
        <v>2.3800024422548312</v>
      </c>
      <c r="X186" s="172">
        <f t="shared" si="508"/>
        <v>350</v>
      </c>
      <c r="Y186" s="379">
        <f t="shared" si="509"/>
        <v>160.05183316937115</v>
      </c>
      <c r="AA186" s="188">
        <f t="shared" si="510"/>
        <v>7.2985719644712113</v>
      </c>
      <c r="AB186" s="150">
        <f t="shared" si="511"/>
        <v>1.124344254171479</v>
      </c>
      <c r="AC186" s="150">
        <f t="shared" si="512"/>
        <v>1.4360688040842937</v>
      </c>
      <c r="AD186" s="150"/>
      <c r="AE186" s="150">
        <f t="shared" si="513"/>
        <v>0.93363573507395892</v>
      </c>
      <c r="AF186" s="314">
        <f t="shared" si="514"/>
        <v>1074.5089999372515</v>
      </c>
      <c r="AG186" s="456">
        <f t="shared" si="515"/>
        <v>0.99021971901783512</v>
      </c>
      <c r="AI186" s="150">
        <f t="shared" si="516"/>
        <v>10.619084149612187</v>
      </c>
      <c r="AJ186" s="150">
        <f t="shared" si="517"/>
        <v>15.44955562850668</v>
      </c>
      <c r="AK186" s="150">
        <f t="shared" si="518"/>
        <v>8.1547774577041618</v>
      </c>
      <c r="AM186" s="314">
        <f t="shared" si="519"/>
        <v>3040</v>
      </c>
      <c r="AN186" s="144">
        <f t="shared" si="520"/>
        <v>160.05183316937115</v>
      </c>
      <c r="AP186">
        <f t="shared" si="521"/>
        <v>3040</v>
      </c>
      <c r="AQ186">
        <f t="shared" si="522"/>
        <v>160.05183316937115</v>
      </c>
      <c r="AS186" s="5">
        <f t="shared" si="439"/>
        <v>6.2479759225361269</v>
      </c>
      <c r="AT186" s="5">
        <f t="shared" si="523"/>
        <v>3.6679734802812956</v>
      </c>
      <c r="AU186" s="5">
        <f t="shared" si="477"/>
        <v>2.5800024422548313</v>
      </c>
      <c r="AV186" s="5"/>
      <c r="AW186" s="150">
        <f t="shared" si="478"/>
        <v>0.58706587953565958</v>
      </c>
      <c r="AX186" s="150">
        <f t="shared" si="435"/>
        <v>89.776051377671493</v>
      </c>
      <c r="AY186" s="150">
        <f t="shared" si="436"/>
        <v>3.189824332511153</v>
      </c>
      <c r="AZ186" s="150">
        <f t="shared" si="440"/>
        <v>28.144512681360204</v>
      </c>
      <c r="BA186" s="144">
        <f t="shared" si="593"/>
        <v>37.168797933517126</v>
      </c>
      <c r="BB186" s="5">
        <f t="shared" si="594"/>
        <v>6.9916289291489155</v>
      </c>
      <c r="BD186" s="150">
        <f t="shared" si="441"/>
        <v>6.834374689214612</v>
      </c>
      <c r="BE186" s="150">
        <f t="shared" si="437"/>
        <v>5.7318623192522251</v>
      </c>
      <c r="BG186" s="456">
        <f t="shared" si="479"/>
        <v>0.56050412871092792</v>
      </c>
      <c r="BH186" s="456">
        <f t="shared" si="524"/>
        <v>2.2701775686805683</v>
      </c>
      <c r="BI186" s="456">
        <f t="shared" si="480"/>
        <v>1.8405960814477682E-2</v>
      </c>
      <c r="BJ186" s="456">
        <f t="shared" si="481"/>
        <v>0.20960982492061164</v>
      </c>
      <c r="BK186">
        <f t="shared" si="482"/>
        <v>8.9084095972759691E-3</v>
      </c>
      <c r="BL186" s="144">
        <f t="shared" si="587"/>
        <v>27.31437041175365</v>
      </c>
      <c r="BM186" s="456">
        <f t="shared" si="525"/>
        <v>3.6819779224428184</v>
      </c>
      <c r="BN186" s="144">
        <f t="shared" si="526"/>
        <v>3681.9779224428185</v>
      </c>
      <c r="BO186" s="456">
        <f t="shared" si="483"/>
        <v>2.1279999999999997</v>
      </c>
      <c r="BR186" s="144">
        <f t="shared" si="484"/>
        <v>2127.9999999999995</v>
      </c>
      <c r="BS186" s="456">
        <f t="shared" si="485"/>
        <v>0.65392148349608248</v>
      </c>
      <c r="BT186" s="456">
        <f t="shared" si="486"/>
        <v>0.45995943905608894</v>
      </c>
      <c r="BU186" s="456">
        <f t="shared" si="487"/>
        <v>15.202381165888198</v>
      </c>
      <c r="BV186" s="456"/>
      <c r="BW186" s="456">
        <f t="shared" si="488"/>
        <v>3.8202575054328292</v>
      </c>
      <c r="BX186" s="144">
        <f t="shared" si="489"/>
        <v>20136.519593873196</v>
      </c>
      <c r="BY186" s="150">
        <f t="shared" si="490"/>
        <v>25.332125486597057</v>
      </c>
      <c r="BZ186" s="5">
        <f t="shared" si="491"/>
        <v>91.2</v>
      </c>
      <c r="CA186" s="150">
        <f t="shared" si="492"/>
        <v>0.78261680733257855</v>
      </c>
      <c r="CB186" s="5">
        <f t="shared" si="493"/>
        <v>78.261680733257862</v>
      </c>
      <c r="CE186" s="59">
        <f t="shared" si="527"/>
        <v>-50</v>
      </c>
      <c r="CF186">
        <f t="shared" si="528"/>
        <v>-50</v>
      </c>
      <c r="CG186" s="150">
        <f t="shared" si="529"/>
        <v>0.38833763082327749</v>
      </c>
      <c r="CI186" s="147">
        <v>76</v>
      </c>
      <c r="CJ186" s="188">
        <f t="shared" si="588"/>
        <v>3.04</v>
      </c>
      <c r="CK186" s="188"/>
      <c r="CL186" s="188">
        <f t="shared" si="530"/>
        <v>91.2</v>
      </c>
      <c r="CM186" s="465">
        <f t="shared" si="531"/>
        <v>20</v>
      </c>
      <c r="CN186" s="379">
        <f t="shared" si="532"/>
        <v>30.4</v>
      </c>
      <c r="CO186" s="379">
        <f t="shared" si="533"/>
        <v>50.4</v>
      </c>
      <c r="CP186" s="379"/>
      <c r="CQ186" s="188">
        <f t="shared" si="534"/>
        <v>0.60317460317460314</v>
      </c>
      <c r="CR186" s="149">
        <f t="shared" si="589"/>
        <v>183.55019291189507</v>
      </c>
      <c r="CS186" s="149">
        <f t="shared" si="535"/>
        <v>91.2</v>
      </c>
      <c r="CT186" s="188">
        <f t="shared" si="536"/>
        <v>6.1183397637298356</v>
      </c>
      <c r="CU186" s="188">
        <f t="shared" si="537"/>
        <v>30</v>
      </c>
      <c r="CV186" s="188"/>
      <c r="CW186" s="149">
        <f t="shared" si="538"/>
        <v>79.780795249172385</v>
      </c>
      <c r="CX186" s="149">
        <f t="shared" si="539"/>
        <v>30</v>
      </c>
      <c r="CY186" s="188">
        <f t="shared" si="540"/>
        <v>15.120000000000001</v>
      </c>
      <c r="CZ186" s="188">
        <f t="shared" si="541"/>
        <v>3.5532000000000004</v>
      </c>
      <c r="DA186" s="188">
        <f t="shared" si="542"/>
        <v>2.3376315789473687</v>
      </c>
      <c r="DB186" s="172">
        <f t="shared" si="543"/>
        <v>350</v>
      </c>
      <c r="DC186" s="379">
        <f t="shared" si="544"/>
        <v>169.75532004238522</v>
      </c>
      <c r="DE186" s="188">
        <f t="shared" si="545"/>
        <v>7.3334298258310406</v>
      </c>
      <c r="DF186" s="150">
        <f t="shared" si="546"/>
        <v>1.1337868480725624</v>
      </c>
      <c r="DG186" s="150">
        <f t="shared" si="547"/>
        <v>1.4550456003633017</v>
      </c>
      <c r="DH186" s="150"/>
      <c r="DI186" s="150">
        <f t="shared" si="548"/>
        <v>0.93700159489633172</v>
      </c>
      <c r="DJ186" s="314">
        <f t="shared" si="549"/>
        <v>1070.6491914893618</v>
      </c>
      <c r="DK186" s="456">
        <f t="shared" si="550"/>
        <v>0.99378957034459414</v>
      </c>
      <c r="DM186" s="150">
        <f t="shared" si="551"/>
        <v>10.599994265066981</v>
      </c>
      <c r="DN186" s="150">
        <f t="shared" si="552"/>
        <v>15.120000000000001</v>
      </c>
      <c r="DO186" s="150">
        <f t="shared" si="553"/>
        <v>7.9106621773288444</v>
      </c>
      <c r="DQ186" s="314">
        <f t="shared" si="554"/>
        <v>3040</v>
      </c>
      <c r="DR186" s="144">
        <f t="shared" si="555"/>
        <v>169.75532004238522</v>
      </c>
      <c r="DT186">
        <f t="shared" si="590"/>
        <v>3040</v>
      </c>
      <c r="DU186">
        <f t="shared" si="591"/>
        <v>169.75532004238522</v>
      </c>
      <c r="DW186" s="5">
        <f t="shared" si="556"/>
        <v>5.8908315789473686</v>
      </c>
      <c r="DX186" s="5">
        <f t="shared" si="557"/>
        <v>3.5532000000000004</v>
      </c>
      <c r="DY186" s="5">
        <f t="shared" si="558"/>
        <v>2.3376315789473683</v>
      </c>
      <c r="DZ186" s="5"/>
      <c r="EA186" s="150">
        <f t="shared" si="559"/>
        <v>0.60317460317460325</v>
      </c>
      <c r="EB186" s="150">
        <f t="shared" si="560"/>
        <v>91.200000000000017</v>
      </c>
      <c r="EC186" s="150">
        <f t="shared" si="561"/>
        <v>2.9999999999999996</v>
      </c>
      <c r="ED186" s="150">
        <f t="shared" si="562"/>
        <v>30.400000000000009</v>
      </c>
      <c r="EE186" s="144">
        <f t="shared" si="563"/>
        <v>36.005760000000002</v>
      </c>
      <c r="EF186" s="5">
        <f t="shared" si="564"/>
        <v>6.2703529411764709</v>
      </c>
      <c r="EH186" s="150">
        <f t="shared" si="565"/>
        <v>6.7797345080762579</v>
      </c>
      <c r="EI186" s="150">
        <f t="shared" si="566"/>
        <v>5.4990908339470073</v>
      </c>
      <c r="EK186" s="456">
        <f t="shared" si="567"/>
        <v>0.55157760000000022</v>
      </c>
      <c r="EL186" s="456">
        <f t="shared" si="568"/>
        <v>2.4578723404255323</v>
      </c>
      <c r="EM186" s="456">
        <f t="shared" si="569"/>
        <v>1.9521861804874301E-2</v>
      </c>
      <c r="EN186" s="456">
        <f t="shared" si="570"/>
        <v>0.22314893617021278</v>
      </c>
      <c r="EO186">
        <f t="shared" si="571"/>
        <v>8.9999999999999993E-3</v>
      </c>
      <c r="EP186" s="144">
        <f t="shared" si="572"/>
        <v>28.521861804874302</v>
      </c>
      <c r="EQ186" s="144"/>
      <c r="ER186" s="144">
        <f t="shared" si="592"/>
        <v>3261.1207384006193</v>
      </c>
      <c r="ES186" s="456">
        <f t="shared" si="573"/>
        <v>2.1279999999999997</v>
      </c>
      <c r="EV186" s="144">
        <f t="shared" si="494"/>
        <v>2127.9999999999995</v>
      </c>
      <c r="EW186" s="456">
        <f t="shared" si="574"/>
        <v>0.64350720000000028</v>
      </c>
      <c r="EX186" s="456">
        <f t="shared" si="575"/>
        <v>0.4233599999999999</v>
      </c>
      <c r="EY186" s="456">
        <f t="shared" si="576"/>
        <v>16.688141232989661</v>
      </c>
      <c r="EZ186" s="456"/>
      <c r="FA186" s="456">
        <f t="shared" si="577"/>
        <v>3.8808510638297875</v>
      </c>
      <c r="FB186" s="144">
        <f t="shared" si="578"/>
        <v>21635.859496819448</v>
      </c>
      <c r="FC186" s="150">
        <f t="shared" si="579"/>
        <v>27.024980235220067</v>
      </c>
      <c r="FD186" s="5">
        <f t="shared" si="580"/>
        <v>91.2</v>
      </c>
      <c r="FE186" s="150">
        <f t="shared" si="581"/>
        <v>0.77141057514705225</v>
      </c>
      <c r="FF186" s="5">
        <f t="shared" si="582"/>
        <v>77.141057514705224</v>
      </c>
      <c r="FI186" s="59">
        <f t="shared" si="583"/>
        <v>-50</v>
      </c>
      <c r="FJ186">
        <f t="shared" si="584"/>
        <v>-50</v>
      </c>
      <c r="FL186">
        <f t="shared" si="585"/>
        <v>0.39682539682539675</v>
      </c>
    </row>
    <row r="187" spans="5:168">
      <c r="E187" s="147">
        <v>77</v>
      </c>
      <c r="F187" s="188">
        <f t="shared" si="586"/>
        <v>3.08</v>
      </c>
      <c r="G187" s="188"/>
      <c r="H187" s="188">
        <f t="shared" si="495"/>
        <v>92.4</v>
      </c>
      <c r="I187" s="465">
        <f t="shared" si="496"/>
        <v>19.793846207106554</v>
      </c>
      <c r="J187" s="149">
        <f t="shared" si="497"/>
        <v>30.511005888481087</v>
      </c>
      <c r="K187" s="149">
        <f t="shared" si="498"/>
        <v>50.304852095587641</v>
      </c>
      <c r="L187" s="379"/>
      <c r="M187" s="188">
        <f t="shared" si="499"/>
        <v>0.60650379563157308</v>
      </c>
      <c r="N187" s="149">
        <f t="shared" si="500"/>
        <v>182.66086803960539</v>
      </c>
      <c r="O187" s="149">
        <f t="shared" si="438"/>
        <v>92.4</v>
      </c>
      <c r="P187" s="188">
        <f t="shared" si="501"/>
        <v>6.0886956013201798</v>
      </c>
      <c r="Q187" s="188">
        <f t="shared" si="502"/>
        <v>30</v>
      </c>
      <c r="R187" s="188"/>
      <c r="S187" s="149">
        <f t="shared" si="503"/>
        <v>77.679881754168349</v>
      </c>
      <c r="T187" s="149">
        <f t="shared" si="504"/>
        <v>30</v>
      </c>
      <c r="U187" s="188">
        <f t="shared" si="505"/>
        <v>15.654534736585282</v>
      </c>
      <c r="V187" s="188">
        <f t="shared" si="506"/>
        <v>3.7171306926460219</v>
      </c>
      <c r="W187" s="188">
        <f t="shared" si="507"/>
        <v>2.4114679644084864</v>
      </c>
      <c r="X187" s="172">
        <f t="shared" si="508"/>
        <v>350</v>
      </c>
      <c r="Y187" s="379">
        <f t="shared" si="509"/>
        <v>158.01286417259163</v>
      </c>
      <c r="AA187" s="188">
        <f t="shared" si="510"/>
        <v>7.2981189677096463</v>
      </c>
      <c r="AB187" s="150">
        <f t="shared" si="511"/>
        <v>1.1242224944535559</v>
      </c>
      <c r="AC187" s="150">
        <f t="shared" si="512"/>
        <v>1.435824164372036</v>
      </c>
      <c r="AD187" s="150"/>
      <c r="AE187" s="150">
        <f t="shared" si="513"/>
        <v>0.9335925727575719</v>
      </c>
      <c r="AF187" s="314">
        <f t="shared" si="514"/>
        <v>1088.6976071348106</v>
      </c>
      <c r="AG187" s="456">
        <f t="shared" si="515"/>
        <v>0.99017394080348531</v>
      </c>
      <c r="AI187" s="150">
        <f t="shared" si="516"/>
        <v>10.688965314626616</v>
      </c>
      <c r="AJ187" s="150">
        <f t="shared" si="517"/>
        <v>15.654534736585282</v>
      </c>
      <c r="AK187" s="150">
        <f t="shared" si="518"/>
        <v>8.3066138340586821</v>
      </c>
      <c r="AM187" s="314">
        <f t="shared" si="519"/>
        <v>3080</v>
      </c>
      <c r="AN187" s="144">
        <f t="shared" si="520"/>
        <v>158.01286417259163</v>
      </c>
      <c r="AP187">
        <f t="shared" si="521"/>
        <v>3080</v>
      </c>
      <c r="AQ187">
        <f t="shared" si="522"/>
        <v>158.01286417259163</v>
      </c>
      <c r="AS187" s="5">
        <f t="shared" si="439"/>
        <v>6.328598657054509</v>
      </c>
      <c r="AT187" s="5">
        <f t="shared" si="523"/>
        <v>3.7171306926460219</v>
      </c>
      <c r="AU187" s="5">
        <f t="shared" si="477"/>
        <v>2.6114679644084871</v>
      </c>
      <c r="AV187" s="5"/>
      <c r="AW187" s="150">
        <f t="shared" si="478"/>
        <v>0.58735446724884732</v>
      </c>
      <c r="AX187" s="150">
        <f t="shared" si="435"/>
        <v>90.999841684159492</v>
      </c>
      <c r="AY187" s="150">
        <f t="shared" si="436"/>
        <v>3.2298869131748296</v>
      </c>
      <c r="AZ187" s="150">
        <f t="shared" si="440"/>
        <v>28.174312020946534</v>
      </c>
      <c r="BA187" s="144">
        <f t="shared" si="593"/>
        <v>38.162541777832487</v>
      </c>
      <c r="BB187" s="5">
        <f t="shared" si="594"/>
        <v>7.1709643072184237</v>
      </c>
      <c r="BD187" s="150">
        <f t="shared" si="441"/>
        <v>6.926752583615694</v>
      </c>
      <c r="BE187" s="150">
        <f t="shared" si="437"/>
        <v>5.8058807472847489</v>
      </c>
      <c r="BG187" s="456">
        <f t="shared" si="479"/>
        <v>0.57575881625552028</v>
      </c>
      <c r="BH187" s="456">
        <f t="shared" si="524"/>
        <v>2.2709384058510085</v>
      </c>
      <c r="BI187" s="456">
        <f t="shared" si="480"/>
        <v>1.8171479379848039E-2</v>
      </c>
      <c r="BJ187" s="456">
        <f t="shared" si="481"/>
        <v>0.20692956856190736</v>
      </c>
      <c r="BK187">
        <f t="shared" si="482"/>
        <v>8.9072307931979487E-3</v>
      </c>
      <c r="BL187" s="144">
        <f t="shared" si="587"/>
        <v>27.078710173045987</v>
      </c>
      <c r="BM187" s="456">
        <f t="shared" si="525"/>
        <v>3.7176584416226479</v>
      </c>
      <c r="BN187" s="144">
        <f t="shared" si="526"/>
        <v>3717.6584416226478</v>
      </c>
      <c r="BO187" s="456">
        <f t="shared" si="483"/>
        <v>2.1559999999999997</v>
      </c>
      <c r="BR187" s="144">
        <f t="shared" si="484"/>
        <v>2155.9999999999995</v>
      </c>
      <c r="BS187" s="456">
        <f t="shared" si="485"/>
        <v>0.67171861896477369</v>
      </c>
      <c r="BT187" s="456">
        <f t="shared" si="486"/>
        <v>0.47191551752368399</v>
      </c>
      <c r="BU187" s="456">
        <f t="shared" si="487"/>
        <v>15.216036067219141</v>
      </c>
      <c r="BV187" s="456"/>
      <c r="BW187" s="456">
        <f t="shared" si="488"/>
        <v>3.8723336886876387</v>
      </c>
      <c r="BX187" s="144">
        <f t="shared" si="489"/>
        <v>20232.003892395238</v>
      </c>
      <c r="BY187" s="150">
        <f t="shared" si="490"/>
        <v>25.468709393236722</v>
      </c>
      <c r="BZ187" s="5">
        <f t="shared" si="491"/>
        <v>92.4</v>
      </c>
      <c r="CA187" s="150">
        <f t="shared" si="492"/>
        <v>0.78392306555026969</v>
      </c>
      <c r="CB187" s="5">
        <f t="shared" si="493"/>
        <v>78.392306555026963</v>
      </c>
      <c r="CE187" s="59">
        <f t="shared" si="527"/>
        <v>-50</v>
      </c>
      <c r="CF187">
        <f t="shared" si="528"/>
        <v>-50</v>
      </c>
      <c r="CG187" s="150">
        <f t="shared" si="529"/>
        <v>0.38844786155057787</v>
      </c>
      <c r="CI187" s="147">
        <v>77</v>
      </c>
      <c r="CJ187" s="188">
        <f t="shared" si="588"/>
        <v>3.08</v>
      </c>
      <c r="CK187" s="188"/>
      <c r="CL187" s="188">
        <f t="shared" si="530"/>
        <v>92.4</v>
      </c>
      <c r="CM187" s="465">
        <f t="shared" si="531"/>
        <v>20</v>
      </c>
      <c r="CN187" s="379">
        <f t="shared" si="532"/>
        <v>30.4</v>
      </c>
      <c r="CO187" s="379">
        <f t="shared" si="533"/>
        <v>50.4</v>
      </c>
      <c r="CP187" s="379"/>
      <c r="CQ187" s="188">
        <f t="shared" si="534"/>
        <v>0.60317460317460314</v>
      </c>
      <c r="CR187" s="149">
        <f t="shared" si="589"/>
        <v>183.55019291189507</v>
      </c>
      <c r="CS187" s="149">
        <f t="shared" si="535"/>
        <v>92.4</v>
      </c>
      <c r="CT187" s="188">
        <f t="shared" si="536"/>
        <v>6.1183397637298356</v>
      </c>
      <c r="CU187" s="188">
        <f t="shared" si="537"/>
        <v>30</v>
      </c>
      <c r="CV187" s="188"/>
      <c r="CW187" s="149">
        <f t="shared" si="538"/>
        <v>78.48787178099748</v>
      </c>
      <c r="CX187" s="149">
        <f t="shared" si="539"/>
        <v>30</v>
      </c>
      <c r="CY187" s="188">
        <f t="shared" si="540"/>
        <v>15.318947368421053</v>
      </c>
      <c r="CZ187" s="188">
        <f t="shared" si="541"/>
        <v>3.599952631578947</v>
      </c>
      <c r="DA187" s="188">
        <f t="shared" si="542"/>
        <v>2.3683898891966759</v>
      </c>
      <c r="DB187" s="172">
        <f t="shared" si="543"/>
        <v>350</v>
      </c>
      <c r="DC187" s="379">
        <f t="shared" si="544"/>
        <v>167.5507054963802</v>
      </c>
      <c r="DE187" s="188">
        <f t="shared" si="545"/>
        <v>7.3334298258310406</v>
      </c>
      <c r="DF187" s="150">
        <f t="shared" si="546"/>
        <v>1.1337868480725624</v>
      </c>
      <c r="DG187" s="150">
        <f t="shared" si="547"/>
        <v>1.4550456003633017</v>
      </c>
      <c r="DH187" s="150"/>
      <c r="DI187" s="150">
        <f t="shared" si="548"/>
        <v>0.93700159489633172</v>
      </c>
      <c r="DJ187" s="314">
        <f t="shared" si="549"/>
        <v>1084.736680851064</v>
      </c>
      <c r="DK187" s="456">
        <f t="shared" si="550"/>
        <v>0.99378957034459414</v>
      </c>
      <c r="DM187" s="150">
        <f t="shared" si="551"/>
        <v>10.669503168954982</v>
      </c>
      <c r="DN187" s="150">
        <f t="shared" si="552"/>
        <v>15.318947368421053</v>
      </c>
      <c r="DO187" s="150">
        <f t="shared" si="553"/>
        <v>8.0580305983814746</v>
      </c>
      <c r="DQ187" s="314">
        <f t="shared" si="554"/>
        <v>3080</v>
      </c>
      <c r="DR187" s="144">
        <f t="shared" si="555"/>
        <v>167.5507054963802</v>
      </c>
      <c r="DT187">
        <f t="shared" si="590"/>
        <v>3080</v>
      </c>
      <c r="DU187">
        <f t="shared" si="591"/>
        <v>167.5507054963802</v>
      </c>
      <c r="DW187" s="5">
        <f t="shared" si="556"/>
        <v>5.9683425207756233</v>
      </c>
      <c r="DX187" s="5">
        <f t="shared" si="557"/>
        <v>3.599952631578947</v>
      </c>
      <c r="DY187" s="5">
        <f t="shared" si="558"/>
        <v>2.3683898891966764</v>
      </c>
      <c r="DZ187" s="5"/>
      <c r="EA187" s="150">
        <f t="shared" si="559"/>
        <v>0.60317460317460314</v>
      </c>
      <c r="EB187" s="150">
        <f t="shared" si="560"/>
        <v>92.399999999999977</v>
      </c>
      <c r="EC187" s="150">
        <f t="shared" si="561"/>
        <v>3.0394736842105265</v>
      </c>
      <c r="ED187" s="150">
        <f t="shared" si="562"/>
        <v>30.399999999999991</v>
      </c>
      <c r="EE187" s="144">
        <f t="shared" si="563"/>
        <v>36.959513684210521</v>
      </c>
      <c r="EF187" s="5">
        <f t="shared" si="564"/>
        <v>6.4364478165227323</v>
      </c>
      <c r="EH187" s="150">
        <f t="shared" si="565"/>
        <v>6.8689415410772598</v>
      </c>
      <c r="EI187" s="150">
        <f t="shared" si="566"/>
        <v>5.5714472922884166</v>
      </c>
      <c r="EK187" s="456">
        <f t="shared" si="567"/>
        <v>0.56618829473684207</v>
      </c>
      <c r="EL187" s="456">
        <f t="shared" si="568"/>
        <v>2.4578723404255318</v>
      </c>
      <c r="EM187" s="456">
        <f t="shared" si="569"/>
        <v>1.9268331132083722E-2</v>
      </c>
      <c r="EN187" s="456">
        <f t="shared" si="570"/>
        <v>0.22025089803813208</v>
      </c>
      <c r="EO187">
        <f t="shared" si="571"/>
        <v>8.9999999999999993E-3</v>
      </c>
      <c r="EP187" s="144">
        <f t="shared" si="572"/>
        <v>28.26833113208372</v>
      </c>
      <c r="EQ187" s="144"/>
      <c r="ER187" s="144">
        <f t="shared" si="592"/>
        <v>3272.5798643325893</v>
      </c>
      <c r="ES187" s="456">
        <f t="shared" si="573"/>
        <v>2.1559999999999997</v>
      </c>
      <c r="EV187" s="144">
        <f t="shared" si="494"/>
        <v>2155.9999999999995</v>
      </c>
      <c r="EW187" s="456">
        <f t="shared" si="574"/>
        <v>0.66055301052631576</v>
      </c>
      <c r="EX187" s="456">
        <f t="shared" si="575"/>
        <v>0.43457434903047104</v>
      </c>
      <c r="EY187" s="456">
        <f t="shared" si="576"/>
        <v>16.688141232989665</v>
      </c>
      <c r="EZ187" s="456"/>
      <c r="FA187" s="456">
        <f t="shared" si="577"/>
        <v>3.9319148936170216</v>
      </c>
      <c r="FB187" s="144">
        <f t="shared" si="578"/>
        <v>21715.183486163474</v>
      </c>
      <c r="FC187" s="150">
        <f t="shared" si="579"/>
        <v>27.143763350496062</v>
      </c>
      <c r="FD187" s="5">
        <f t="shared" si="580"/>
        <v>92.4</v>
      </c>
      <c r="FE187" s="150">
        <f t="shared" si="581"/>
        <v>0.77293869132334436</v>
      </c>
      <c r="FF187" s="5">
        <f t="shared" si="582"/>
        <v>77.293869132334436</v>
      </c>
      <c r="FI187" s="59">
        <f t="shared" si="583"/>
        <v>-50</v>
      </c>
      <c r="FJ187">
        <f t="shared" si="584"/>
        <v>-50</v>
      </c>
      <c r="FL187">
        <f t="shared" si="585"/>
        <v>0.39682539682539686</v>
      </c>
    </row>
    <row r="188" spans="5:168">
      <c r="E188" s="147">
        <v>78</v>
      </c>
      <c r="F188" s="188">
        <f t="shared" si="586"/>
        <v>3.12</v>
      </c>
      <c r="G188" s="188"/>
      <c r="H188" s="188">
        <f t="shared" si="495"/>
        <v>93.600000000000009</v>
      </c>
      <c r="I188" s="465">
        <f t="shared" si="496"/>
        <v>19.791226610138054</v>
      </c>
      <c r="J188" s="149">
        <f t="shared" si="497"/>
        <v>30.512416440694892</v>
      </c>
      <c r="K188" s="149">
        <f t="shared" si="498"/>
        <v>50.303643050832946</v>
      </c>
      <c r="L188" s="379"/>
      <c r="M188" s="188">
        <f t="shared" si="499"/>
        <v>0.6065464207195741</v>
      </c>
      <c r="N188" s="149">
        <f t="shared" si="500"/>
        <v>182.64952967519517</v>
      </c>
      <c r="O188" s="149">
        <f t="shared" si="438"/>
        <v>93.600000000000009</v>
      </c>
      <c r="P188" s="188">
        <f t="shared" si="501"/>
        <v>6.0883176558398393</v>
      </c>
      <c r="Q188" s="188">
        <f t="shared" si="502"/>
        <v>30</v>
      </c>
      <c r="R188" s="188"/>
      <c r="S188" s="149">
        <f t="shared" si="503"/>
        <v>76.423062087701268</v>
      </c>
      <c r="T188" s="149">
        <f t="shared" si="504"/>
        <v>30</v>
      </c>
      <c r="U188" s="188">
        <f t="shared" si="505"/>
        <v>15.859558353521981</v>
      </c>
      <c r="V188" s="188">
        <f t="shared" si="506"/>
        <v>3.7663114939712852</v>
      </c>
      <c r="W188" s="188">
        <f t="shared" si="507"/>
        <v>2.4429374319281454</v>
      </c>
      <c r="X188" s="172">
        <f t="shared" si="508"/>
        <v>350</v>
      </c>
      <c r="Y188" s="379">
        <f t="shared" si="509"/>
        <v>156.0245219933733</v>
      </c>
      <c r="AA188" s="188">
        <f t="shared" si="510"/>
        <v>7.2976658542710808</v>
      </c>
      <c r="AB188" s="150">
        <f t="shared" si="511"/>
        <v>1.1241007273789341</v>
      </c>
      <c r="AC188" s="150">
        <f t="shared" si="512"/>
        <v>1.4355795116170431</v>
      </c>
      <c r="AD188" s="150"/>
      <c r="AE188" s="150">
        <f t="shared" si="513"/>
        <v>0.93354941389885437</v>
      </c>
      <c r="AF188" s="314">
        <f t="shared" si="514"/>
        <v>1102.8875222576619</v>
      </c>
      <c r="AG188" s="456">
        <f t="shared" si="515"/>
        <v>0.99012816625636069</v>
      </c>
      <c r="AI188" s="150">
        <f t="shared" si="516"/>
        <v>10.758398955187921</v>
      </c>
      <c r="AJ188" s="150">
        <f t="shared" si="517"/>
        <v>15.859558353521981</v>
      </c>
      <c r="AK188" s="150">
        <f t="shared" si="518"/>
        <v>8.4584831799377191</v>
      </c>
      <c r="AM188" s="314">
        <f t="shared" si="519"/>
        <v>3120</v>
      </c>
      <c r="AN188" s="144">
        <f t="shared" si="520"/>
        <v>156.0245219933733</v>
      </c>
      <c r="AP188">
        <f t="shared" si="521"/>
        <v>3120</v>
      </c>
      <c r="AQ188">
        <f t="shared" si="522"/>
        <v>156.0245219933733</v>
      </c>
      <c r="AS188" s="5">
        <f t="shared" si="439"/>
        <v>6.4092489258994307</v>
      </c>
      <c r="AT188" s="5">
        <f t="shared" si="523"/>
        <v>3.7663114939712852</v>
      </c>
      <c r="AU188" s="5">
        <f t="shared" si="477"/>
        <v>2.6429374319281456</v>
      </c>
      <c r="AV188" s="5"/>
      <c r="AW188" s="150">
        <f t="shared" si="478"/>
        <v>0.58763695052501752</v>
      </c>
      <c r="AX188" s="150">
        <f t="shared" si="435"/>
        <v>92.22377630833833</v>
      </c>
      <c r="AY188" s="150">
        <f t="shared" si="436"/>
        <v>3.2699479229923782</v>
      </c>
      <c r="AZ188" s="150">
        <f t="shared" si="440"/>
        <v>28.203438855975104</v>
      </c>
      <c r="BA188" s="144">
        <f t="shared" si="593"/>
        <v>39.169639537301371</v>
      </c>
      <c r="BB188" s="5">
        <f t="shared" si="594"/>
        <v>7.3526026724016891</v>
      </c>
      <c r="BD188" s="150">
        <f t="shared" si="441"/>
        <v>7.0191578643361865</v>
      </c>
      <c r="BE188" s="150">
        <f t="shared" si="437"/>
        <v>5.87990532223525</v>
      </c>
      <c r="BG188" s="456">
        <f t="shared" si="479"/>
        <v>0.59122292549367039</v>
      </c>
      <c r="BH188" s="456">
        <f t="shared" si="524"/>
        <v>2.2716753057014869</v>
      </c>
      <c r="BI188" s="456">
        <f t="shared" si="480"/>
        <v>1.7942820029237933E-2</v>
      </c>
      <c r="BJ188" s="456">
        <f t="shared" si="481"/>
        <v>0.20431586540887661</v>
      </c>
      <c r="BK188">
        <f t="shared" si="482"/>
        <v>8.9060519745621236E-3</v>
      </c>
      <c r="BL188" s="144">
        <f t="shared" si="587"/>
        <v>26.848872003800057</v>
      </c>
      <c r="BM188" s="456">
        <f t="shared" si="525"/>
        <v>3.7542161790256134</v>
      </c>
      <c r="BN188" s="144">
        <f t="shared" si="526"/>
        <v>3754.2161790256137</v>
      </c>
      <c r="BO188" s="456">
        <f t="shared" si="483"/>
        <v>2.1839999999999997</v>
      </c>
      <c r="BR188" s="144">
        <f t="shared" si="484"/>
        <v>2183.9999999999995</v>
      </c>
      <c r="BS188" s="456">
        <f t="shared" si="485"/>
        <v>0.68976007974261555</v>
      </c>
      <c r="BT188" s="456">
        <f t="shared" si="486"/>
        <v>0.48402601237830584</v>
      </c>
      <c r="BU188" s="456">
        <f t="shared" si="487"/>
        <v>15.229297800786789</v>
      </c>
      <c r="BV188" s="456"/>
      <c r="BW188" s="456">
        <f t="shared" si="488"/>
        <v>3.9244160131207804</v>
      </c>
      <c r="BX188" s="144">
        <f t="shared" si="489"/>
        <v>20327.49990602849</v>
      </c>
      <c r="BY188" s="150">
        <f t="shared" si="490"/>
        <v>25.605562874636323</v>
      </c>
      <c r="BZ188" s="5">
        <f t="shared" si="491"/>
        <v>93.600000000000009</v>
      </c>
      <c r="CA188" s="150">
        <f t="shared" si="492"/>
        <v>0.78519825537366361</v>
      </c>
      <c r="CB188" s="5">
        <f t="shared" si="493"/>
        <v>78.519825537366359</v>
      </c>
      <c r="CE188" s="59">
        <f t="shared" si="527"/>
        <v>-50</v>
      </c>
      <c r="CF188">
        <f t="shared" si="528"/>
        <v>-50</v>
      </c>
      <c r="CG188" s="150">
        <f t="shared" si="529"/>
        <v>0.38855526584897299</v>
      </c>
      <c r="CI188" s="147">
        <v>78</v>
      </c>
      <c r="CJ188" s="188">
        <f t="shared" si="588"/>
        <v>3.12</v>
      </c>
      <c r="CK188" s="188"/>
      <c r="CL188" s="188">
        <f t="shared" si="530"/>
        <v>93.600000000000009</v>
      </c>
      <c r="CM188" s="465">
        <f t="shared" si="531"/>
        <v>20</v>
      </c>
      <c r="CN188" s="379">
        <f t="shared" si="532"/>
        <v>30.4</v>
      </c>
      <c r="CO188" s="379">
        <f t="shared" si="533"/>
        <v>50.4</v>
      </c>
      <c r="CP188" s="379"/>
      <c r="CQ188" s="188">
        <f t="shared" si="534"/>
        <v>0.60317460317460314</v>
      </c>
      <c r="CR188" s="149">
        <f t="shared" si="589"/>
        <v>183.55019291189507</v>
      </c>
      <c r="CS188" s="149">
        <f t="shared" si="535"/>
        <v>93.600000000000009</v>
      </c>
      <c r="CT188" s="188">
        <f t="shared" si="536"/>
        <v>6.1183397637298356</v>
      </c>
      <c r="CU188" s="188">
        <f t="shared" si="537"/>
        <v>30</v>
      </c>
      <c r="CV188" s="188"/>
      <c r="CW188" s="149">
        <f t="shared" si="538"/>
        <v>77.228152521112435</v>
      </c>
      <c r="CX188" s="149">
        <f t="shared" si="539"/>
        <v>30</v>
      </c>
      <c r="CY188" s="188">
        <f t="shared" si="540"/>
        <v>15.517894736842107</v>
      </c>
      <c r="CZ188" s="188">
        <f t="shared" si="541"/>
        <v>3.6467052631578953</v>
      </c>
      <c r="DA188" s="188">
        <f t="shared" si="542"/>
        <v>2.399148199445984</v>
      </c>
      <c r="DB188" s="172">
        <f t="shared" si="543"/>
        <v>350</v>
      </c>
      <c r="DC188" s="379">
        <f t="shared" si="544"/>
        <v>165.40261952847789</v>
      </c>
      <c r="DE188" s="188">
        <f t="shared" si="545"/>
        <v>7.3334298258310406</v>
      </c>
      <c r="DF188" s="150">
        <f t="shared" si="546"/>
        <v>1.1337868480725624</v>
      </c>
      <c r="DG188" s="150">
        <f t="shared" si="547"/>
        <v>1.4550456003633017</v>
      </c>
      <c r="DH188" s="150"/>
      <c r="DI188" s="150">
        <f t="shared" si="548"/>
        <v>0.93700159489633172</v>
      </c>
      <c r="DJ188" s="314">
        <f t="shared" si="549"/>
        <v>1098.8241702127659</v>
      </c>
      <c r="DK188" s="456">
        <f t="shared" si="550"/>
        <v>0.99378957034459414</v>
      </c>
      <c r="DM188" s="150">
        <f t="shared" si="551"/>
        <v>10.738562162842285</v>
      </c>
      <c r="DN188" s="150">
        <f t="shared" si="552"/>
        <v>15.517894736842107</v>
      </c>
      <c r="DO188" s="150">
        <f t="shared" si="553"/>
        <v>8.2053990194341075</v>
      </c>
      <c r="DQ188" s="314">
        <f t="shared" si="554"/>
        <v>3120</v>
      </c>
      <c r="DR188" s="144">
        <f t="shared" si="555"/>
        <v>165.40261952847789</v>
      </c>
      <c r="DT188">
        <f t="shared" si="590"/>
        <v>3120</v>
      </c>
      <c r="DU188">
        <f t="shared" si="591"/>
        <v>165.40261952847789</v>
      </c>
      <c r="DW188" s="5">
        <f t="shared" si="556"/>
        <v>6.0458534626038789</v>
      </c>
      <c r="DX188" s="5">
        <f t="shared" si="557"/>
        <v>3.6467052631578953</v>
      </c>
      <c r="DY188" s="5">
        <f t="shared" si="558"/>
        <v>2.3991481994459836</v>
      </c>
      <c r="DZ188" s="5"/>
      <c r="EA188" s="150">
        <f t="shared" si="559"/>
        <v>0.60317460317460314</v>
      </c>
      <c r="EB188" s="150">
        <f t="shared" si="560"/>
        <v>93.600000000000009</v>
      </c>
      <c r="EC188" s="150">
        <f t="shared" si="561"/>
        <v>3.0789473684210531</v>
      </c>
      <c r="ED188" s="150">
        <f t="shared" si="562"/>
        <v>30.4</v>
      </c>
      <c r="EE188" s="144">
        <f t="shared" si="563"/>
        <v>37.925734736842116</v>
      </c>
      <c r="EF188" s="5">
        <f t="shared" si="564"/>
        <v>6.60471386671012</v>
      </c>
      <c r="EH188" s="150">
        <f t="shared" si="565"/>
        <v>6.9581485740782645</v>
      </c>
      <c r="EI188" s="150">
        <f t="shared" si="566"/>
        <v>5.6438037506298251</v>
      </c>
      <c r="EK188" s="456">
        <f t="shared" si="567"/>
        <v>0.58098997894736859</v>
      </c>
      <c r="EL188" s="456">
        <f t="shared" si="568"/>
        <v>2.4578723404255318</v>
      </c>
      <c r="EM188" s="456">
        <f t="shared" si="569"/>
        <v>1.9021301245774957E-2</v>
      </c>
      <c r="EN188" s="456">
        <f t="shared" si="570"/>
        <v>0.21742716857610472</v>
      </c>
      <c r="EO188">
        <f t="shared" si="571"/>
        <v>8.9999999999999993E-3</v>
      </c>
      <c r="EP188" s="144">
        <f t="shared" si="572"/>
        <v>28.021301245774954</v>
      </c>
      <c r="EQ188" s="144"/>
      <c r="ER188" s="144">
        <f t="shared" si="592"/>
        <v>3284.3107891947802</v>
      </c>
      <c r="ES188" s="456">
        <f t="shared" si="573"/>
        <v>2.1839999999999997</v>
      </c>
      <c r="EV188" s="144">
        <f t="shared" si="494"/>
        <v>2183.9999999999995</v>
      </c>
      <c r="EW188" s="456">
        <f t="shared" si="574"/>
        <v>0.67782164210526341</v>
      </c>
      <c r="EX188" s="456">
        <f t="shared" si="575"/>
        <v>0.44593529085872591</v>
      </c>
      <c r="EY188" s="456">
        <f t="shared" si="576"/>
        <v>16.688141232989619</v>
      </c>
      <c r="EZ188" s="456"/>
      <c r="FA188" s="456">
        <f t="shared" si="577"/>
        <v>3.9829787234042566</v>
      </c>
      <c r="FB188" s="144">
        <f t="shared" si="578"/>
        <v>21794.876889357867</v>
      </c>
      <c r="FC188" s="150">
        <f t="shared" si="579"/>
        <v>27.263187678552647</v>
      </c>
      <c r="FD188" s="5">
        <f t="shared" si="580"/>
        <v>93.600000000000009</v>
      </c>
      <c r="FE188" s="150">
        <f t="shared" si="581"/>
        <v>0.77442935105218524</v>
      </c>
      <c r="FF188" s="5">
        <f t="shared" si="582"/>
        <v>77.442935105218524</v>
      </c>
      <c r="FI188" s="59">
        <f t="shared" si="583"/>
        <v>-50</v>
      </c>
      <c r="FJ188">
        <f t="shared" si="584"/>
        <v>-50</v>
      </c>
      <c r="FL188">
        <f t="shared" si="585"/>
        <v>0.39682539682539686</v>
      </c>
    </row>
    <row r="189" spans="5:168">
      <c r="E189" s="147">
        <v>79</v>
      </c>
      <c r="F189" s="188">
        <f t="shared" si="586"/>
        <v>3.16</v>
      </c>
      <c r="G189" s="188"/>
      <c r="H189" s="188">
        <f t="shared" si="495"/>
        <v>94.800000000000011</v>
      </c>
      <c r="I189" s="465">
        <f t="shared" si="496"/>
        <v>19.78860698207319</v>
      </c>
      <c r="J189" s="149">
        <f t="shared" si="497"/>
        <v>30.513827009652896</v>
      </c>
      <c r="K189" s="149">
        <f t="shared" si="498"/>
        <v>50.30243399172609</v>
      </c>
      <c r="L189" s="379"/>
      <c r="M189" s="188">
        <f t="shared" si="499"/>
        <v>0.60658904823060789</v>
      </c>
      <c r="N189" s="149">
        <f t="shared" si="500"/>
        <v>182.63818835542679</v>
      </c>
      <c r="O189" s="149">
        <f t="shared" si="438"/>
        <v>94.800000000000011</v>
      </c>
      <c r="P189" s="188">
        <f t="shared" si="501"/>
        <v>6.0879396118475597</v>
      </c>
      <c r="Q189" s="188">
        <f t="shared" si="502"/>
        <v>30</v>
      </c>
      <c r="R189" s="188"/>
      <c r="S189" s="149">
        <f t="shared" si="503"/>
        <v>75.198178973191233</v>
      </c>
      <c r="T189" s="149">
        <f t="shared" si="504"/>
        <v>30</v>
      </c>
      <c r="U189" s="188">
        <f t="shared" si="505"/>
        <v>16.064626496988396</v>
      </c>
      <c r="V189" s="188">
        <f t="shared" si="506"/>
        <v>3.815515897821685</v>
      </c>
      <c r="W189" s="188">
        <f t="shared" si="507"/>
        <v>2.4744108469894721</v>
      </c>
      <c r="X189" s="172">
        <f t="shared" si="508"/>
        <v>350</v>
      </c>
      <c r="Y189" s="379">
        <f t="shared" si="509"/>
        <v>154.08494414817895</v>
      </c>
      <c r="AA189" s="188">
        <f t="shared" si="510"/>
        <v>7.2972126243604292</v>
      </c>
      <c r="AB189" s="150">
        <f t="shared" si="511"/>
        <v>1.1239789530052837</v>
      </c>
      <c r="AC189" s="150">
        <f t="shared" si="512"/>
        <v>1.4353348459424753</v>
      </c>
      <c r="AD189" s="150"/>
      <c r="AE189" s="150">
        <f t="shared" si="513"/>
        <v>0.93350625851806279</v>
      </c>
      <c r="AF189" s="314">
        <f t="shared" si="514"/>
        <v>1117.0787453052972</v>
      </c>
      <c r="AG189" s="456">
        <f t="shared" si="515"/>
        <v>0.99008239539794551</v>
      </c>
      <c r="AI189" s="150">
        <f t="shared" si="516"/>
        <v>10.827393680918062</v>
      </c>
      <c r="AJ189" s="150">
        <f t="shared" si="517"/>
        <v>16.064626496988396</v>
      </c>
      <c r="AK189" s="150">
        <f t="shared" si="518"/>
        <v>8.6103855084313601</v>
      </c>
      <c r="AM189" s="314">
        <f t="shared" si="519"/>
        <v>3160</v>
      </c>
      <c r="AN189" s="144">
        <f t="shared" si="520"/>
        <v>154.08494414817895</v>
      </c>
      <c r="AP189">
        <f t="shared" si="521"/>
        <v>3160</v>
      </c>
      <c r="AQ189">
        <f t="shared" si="522"/>
        <v>154.08494414817895</v>
      </c>
      <c r="AS189" s="5">
        <f t="shared" si="439"/>
        <v>6.4899267448111573</v>
      </c>
      <c r="AT189" s="5">
        <f t="shared" si="523"/>
        <v>3.815515897821685</v>
      </c>
      <c r="AU189" s="5">
        <f t="shared" si="477"/>
        <v>2.6744108469894723</v>
      </c>
      <c r="AV189" s="5"/>
      <c r="AW189" s="150">
        <f t="shared" si="478"/>
        <v>0.58791355401234324</v>
      </c>
      <c r="AX189" s="150">
        <f t="shared" si="435"/>
        <v>93.447854096516437</v>
      </c>
      <c r="AY189" s="150">
        <f t="shared" si="436"/>
        <v>3.3100074196315439</v>
      </c>
      <c r="AZ189" s="150">
        <f t="shared" si="440"/>
        <v>28.231916805467058</v>
      </c>
      <c r="BA189" s="144">
        <f t="shared" si="593"/>
        <v>40.190100790388414</v>
      </c>
      <c r="BB189" s="5">
        <f t="shared" si="594"/>
        <v>7.5365453680518559</v>
      </c>
      <c r="BD189" s="150">
        <f t="shared" si="441"/>
        <v>7.1115905087038369</v>
      </c>
      <c r="BE189" s="150">
        <f t="shared" si="437"/>
        <v>5.9539361153576991</v>
      </c>
      <c r="BG189" s="456">
        <f t="shared" si="479"/>
        <v>0.60689663476183797</v>
      </c>
      <c r="BH189" s="456">
        <f t="shared" si="524"/>
        <v>2.2723891477942431</v>
      </c>
      <c r="BI189" s="456">
        <f t="shared" si="480"/>
        <v>1.7719768577040579E-2</v>
      </c>
      <c r="BJ189" s="456">
        <f t="shared" si="481"/>
        <v>0.2017662670752059</v>
      </c>
      <c r="BK189">
        <f t="shared" si="482"/>
        <v>8.9048731419329348E-3</v>
      </c>
      <c r="BL189" s="144">
        <f t="shared" si="587"/>
        <v>26.624641718973514</v>
      </c>
      <c r="BM189" s="456">
        <f t="shared" si="525"/>
        <v>3.7916674292352806</v>
      </c>
      <c r="BN189" s="144">
        <f t="shared" si="526"/>
        <v>3791.6674292352805</v>
      </c>
      <c r="BO189" s="456">
        <f t="shared" si="483"/>
        <v>2.2119999999999997</v>
      </c>
      <c r="BR189" s="144">
        <f t="shared" si="484"/>
        <v>2211.9999999999995</v>
      </c>
      <c r="BS189" s="456">
        <f t="shared" si="485"/>
        <v>0.70804607388881091</v>
      </c>
      <c r="BT189" s="456">
        <f t="shared" si="486"/>
        <v>0.49629097372065023</v>
      </c>
      <c r="BU189" s="456">
        <f t="shared" si="487"/>
        <v>15.242180459855353</v>
      </c>
      <c r="BV189" s="456"/>
      <c r="BW189" s="456">
        <f t="shared" si="488"/>
        <v>3.9765044296389975</v>
      </c>
      <c r="BX189" s="144">
        <f t="shared" si="489"/>
        <v>20423.021937103811</v>
      </c>
      <c r="BY189" s="150">
        <f t="shared" si="490"/>
        <v>25.742698628454072</v>
      </c>
      <c r="BZ189" s="5">
        <f t="shared" si="491"/>
        <v>94.800000000000011</v>
      </c>
      <c r="CA189" s="150">
        <f t="shared" si="492"/>
        <v>0.7864433190781619</v>
      </c>
      <c r="CB189" s="5">
        <f t="shared" si="493"/>
        <v>78.644331907816195</v>
      </c>
      <c r="CE189" s="59">
        <f t="shared" si="527"/>
        <v>-50</v>
      </c>
      <c r="CF189">
        <f t="shared" si="528"/>
        <v>-50</v>
      </c>
      <c r="CG189" s="150">
        <f t="shared" si="529"/>
        <v>0.38865995105120615</v>
      </c>
      <c r="CI189" s="147">
        <v>79</v>
      </c>
      <c r="CJ189" s="188">
        <f t="shared" si="588"/>
        <v>3.16</v>
      </c>
      <c r="CK189" s="188"/>
      <c r="CL189" s="188">
        <f t="shared" si="530"/>
        <v>94.800000000000011</v>
      </c>
      <c r="CM189" s="465">
        <f t="shared" si="531"/>
        <v>20</v>
      </c>
      <c r="CN189" s="379">
        <f t="shared" si="532"/>
        <v>30.4</v>
      </c>
      <c r="CO189" s="379">
        <f t="shared" si="533"/>
        <v>50.4</v>
      </c>
      <c r="CP189" s="379"/>
      <c r="CQ189" s="188">
        <f t="shared" si="534"/>
        <v>0.60317460317460314</v>
      </c>
      <c r="CR189" s="149">
        <f t="shared" si="589"/>
        <v>183.55019291189507</v>
      </c>
      <c r="CS189" s="149">
        <f t="shared" si="535"/>
        <v>94.800000000000011</v>
      </c>
      <c r="CT189" s="188">
        <f t="shared" si="536"/>
        <v>6.1183397637298356</v>
      </c>
      <c r="CU189" s="188">
        <f t="shared" si="537"/>
        <v>30</v>
      </c>
      <c r="CV189" s="188"/>
      <c r="CW189" s="149">
        <f t="shared" si="538"/>
        <v>76.000377041042469</v>
      </c>
      <c r="CX189" s="149">
        <f t="shared" si="539"/>
        <v>30</v>
      </c>
      <c r="CY189" s="188">
        <f t="shared" si="540"/>
        <v>15.71684210526316</v>
      </c>
      <c r="CZ189" s="188">
        <f t="shared" si="541"/>
        <v>3.6934578947368424</v>
      </c>
      <c r="DA189" s="188">
        <f t="shared" si="542"/>
        <v>2.4299065096952908</v>
      </c>
      <c r="DB189" s="172">
        <f t="shared" si="543"/>
        <v>350</v>
      </c>
      <c r="DC189" s="379">
        <f t="shared" si="544"/>
        <v>163.30891548381362</v>
      </c>
      <c r="DE189" s="188">
        <f t="shared" si="545"/>
        <v>7.3334298258310406</v>
      </c>
      <c r="DF189" s="150">
        <f t="shared" si="546"/>
        <v>1.1337868480725624</v>
      </c>
      <c r="DG189" s="150">
        <f t="shared" si="547"/>
        <v>1.4550456003633017</v>
      </c>
      <c r="DH189" s="150"/>
      <c r="DI189" s="150">
        <f t="shared" si="548"/>
        <v>0.93700159489633172</v>
      </c>
      <c r="DJ189" s="314">
        <f t="shared" si="549"/>
        <v>1112.9116595744681</v>
      </c>
      <c r="DK189" s="456">
        <f t="shared" si="550"/>
        <v>0.99378957034459414</v>
      </c>
      <c r="DM189" s="150">
        <f t="shared" si="551"/>
        <v>10.807179871646234</v>
      </c>
      <c r="DN189" s="150">
        <f t="shared" si="552"/>
        <v>15.71684210526316</v>
      </c>
      <c r="DO189" s="150">
        <f t="shared" si="553"/>
        <v>8.3527674404867405</v>
      </c>
      <c r="DQ189" s="314">
        <f t="shared" si="554"/>
        <v>3160</v>
      </c>
      <c r="DR189" s="144">
        <f t="shared" si="555"/>
        <v>163.30891548381362</v>
      </c>
      <c r="DT189">
        <f t="shared" si="590"/>
        <v>3160</v>
      </c>
      <c r="DU189">
        <f t="shared" si="591"/>
        <v>163.30891548381362</v>
      </c>
      <c r="DW189" s="5">
        <f t="shared" si="556"/>
        <v>6.1233644044321336</v>
      </c>
      <c r="DX189" s="5">
        <f t="shared" si="557"/>
        <v>3.6934578947368424</v>
      </c>
      <c r="DY189" s="5">
        <f t="shared" si="558"/>
        <v>2.4299065096952912</v>
      </c>
      <c r="DZ189" s="5"/>
      <c r="EA189" s="150">
        <f t="shared" si="559"/>
        <v>0.60317460317460314</v>
      </c>
      <c r="EB189" s="150">
        <f t="shared" si="560"/>
        <v>94.800000000000011</v>
      </c>
      <c r="EC189" s="150">
        <f t="shared" si="561"/>
        <v>3.1184210526315796</v>
      </c>
      <c r="ED189" s="150">
        <f t="shared" si="562"/>
        <v>30.4</v>
      </c>
      <c r="EE189" s="144">
        <f t="shared" si="563"/>
        <v>38.90442315789474</v>
      </c>
      <c r="EF189" s="5">
        <f t="shared" si="564"/>
        <v>6.7751510917386346</v>
      </c>
      <c r="EH189" s="150">
        <f t="shared" si="565"/>
        <v>7.0473556070792673</v>
      </c>
      <c r="EI189" s="150">
        <f t="shared" si="566"/>
        <v>5.7161602089712327</v>
      </c>
      <c r="EK189" s="456">
        <f t="shared" si="567"/>
        <v>0.59598265263157901</v>
      </c>
      <c r="EL189" s="456">
        <f t="shared" si="568"/>
        <v>2.4578723404255318</v>
      </c>
      <c r="EM189" s="456">
        <f t="shared" si="569"/>
        <v>1.8780525280638571E-2</v>
      </c>
      <c r="EN189" s="456">
        <f t="shared" si="570"/>
        <v>0.21467492593590087</v>
      </c>
      <c r="EO189">
        <f t="shared" si="571"/>
        <v>8.9999999999999993E-3</v>
      </c>
      <c r="EP189" s="144">
        <f t="shared" si="572"/>
        <v>27.780525280638567</v>
      </c>
      <c r="EQ189" s="144"/>
      <c r="ER189" s="144">
        <f t="shared" si="592"/>
        <v>3296.3104442736499</v>
      </c>
      <c r="ES189" s="456">
        <f t="shared" si="573"/>
        <v>2.2119999999999997</v>
      </c>
      <c r="EV189" s="144">
        <f t="shared" si="494"/>
        <v>2211.9999999999995</v>
      </c>
      <c r="EW189" s="456">
        <f t="shared" si="574"/>
        <v>0.69531309473684222</v>
      </c>
      <c r="EX189" s="456">
        <f t="shared" si="575"/>
        <v>0.45744282548476467</v>
      </c>
      <c r="EY189" s="456">
        <f t="shared" si="576"/>
        <v>16.688141232989647</v>
      </c>
      <c r="EZ189" s="456"/>
      <c r="FA189" s="456">
        <f t="shared" si="577"/>
        <v>4.0340425531914894</v>
      </c>
      <c r="FB189" s="144">
        <f t="shared" si="578"/>
        <v>21874.939706402747</v>
      </c>
      <c r="FC189" s="150">
        <f t="shared" si="579"/>
        <v>27.383250150676393</v>
      </c>
      <c r="FD189" s="5">
        <f t="shared" si="580"/>
        <v>94.800000000000011</v>
      </c>
      <c r="FE189" s="150">
        <f t="shared" si="581"/>
        <v>0.77588376379816903</v>
      </c>
      <c r="FF189" s="5">
        <f t="shared" si="582"/>
        <v>77.588376379816907</v>
      </c>
      <c r="FI189" s="59">
        <f t="shared" si="583"/>
        <v>-50</v>
      </c>
      <c r="FJ189">
        <f t="shared" si="584"/>
        <v>-50</v>
      </c>
      <c r="FL189">
        <f t="shared" si="585"/>
        <v>0.39682539682539686</v>
      </c>
    </row>
    <row r="190" spans="5:168">
      <c r="E190" s="147">
        <v>80</v>
      </c>
      <c r="F190" s="188">
        <f t="shared" si="586"/>
        <v>3.2</v>
      </c>
      <c r="G190" s="188"/>
      <c r="H190" s="188">
        <f t="shared" si="495"/>
        <v>96</v>
      </c>
      <c r="I190" s="465">
        <f t="shared" si="496"/>
        <v>19.785987324102269</v>
      </c>
      <c r="J190" s="149">
        <f t="shared" si="497"/>
        <v>30.515237594714161</v>
      </c>
      <c r="K190" s="149">
        <f t="shared" si="498"/>
        <v>50.30122491881643</v>
      </c>
      <c r="L190" s="379"/>
      <c r="M190" s="188">
        <f t="shared" si="499"/>
        <v>0.6066316781505724</v>
      </c>
      <c r="N190" s="149">
        <f t="shared" si="500"/>
        <v>182.62684408669116</v>
      </c>
      <c r="O190" s="149">
        <f t="shared" si="438"/>
        <v>96</v>
      </c>
      <c r="P190" s="188">
        <f t="shared" si="501"/>
        <v>6.0875614695563725</v>
      </c>
      <c r="Q190" s="188">
        <f t="shared" si="502"/>
        <v>30</v>
      </c>
      <c r="R190" s="188"/>
      <c r="S190" s="149">
        <f t="shared" si="503"/>
        <v>74.0040352852985</v>
      </c>
      <c r="T190" s="149">
        <f t="shared" si="504"/>
        <v>30</v>
      </c>
      <c r="U190" s="188">
        <f t="shared" si="505"/>
        <v>16.269739184666154</v>
      </c>
      <c r="V190" s="188">
        <f t="shared" si="506"/>
        <v>3.8647439177716354</v>
      </c>
      <c r="W190" s="188">
        <f t="shared" si="507"/>
        <v>2.5058882117692129</v>
      </c>
      <c r="X190" s="172">
        <f t="shared" si="508"/>
        <v>350</v>
      </c>
      <c r="Y190" s="379">
        <f t="shared" si="509"/>
        <v>152.1923584040124</v>
      </c>
      <c r="AA190" s="188">
        <f t="shared" si="510"/>
        <v>7.296759278171737</v>
      </c>
      <c r="AB190" s="150">
        <f t="shared" si="511"/>
        <v>1.1238571713873102</v>
      </c>
      <c r="AC190" s="150">
        <f t="shared" si="512"/>
        <v>1.4350901674655352</v>
      </c>
      <c r="AD190" s="150"/>
      <c r="AE190" s="150">
        <f t="shared" si="513"/>
        <v>0.93346310663439236</v>
      </c>
      <c r="AF190" s="314">
        <f t="shared" si="514"/>
        <v>1131.2712762772335</v>
      </c>
      <c r="AG190" s="456">
        <f t="shared" si="515"/>
        <v>0.99003662824859784</v>
      </c>
      <c r="AI190" s="150">
        <f t="shared" si="516"/>
        <v>10.895957829627818</v>
      </c>
      <c r="AJ190" s="150">
        <f t="shared" si="517"/>
        <v>16.269739184666154</v>
      </c>
      <c r="AK190" s="150">
        <f t="shared" si="518"/>
        <v>8.7623208326371049</v>
      </c>
      <c r="AM190" s="314">
        <f t="shared" si="519"/>
        <v>3200</v>
      </c>
      <c r="AN190" s="144">
        <f t="shared" si="520"/>
        <v>152.1923584040124</v>
      </c>
      <c r="AP190">
        <f t="shared" si="521"/>
        <v>3200</v>
      </c>
      <c r="AQ190">
        <f t="shared" si="522"/>
        <v>152.1923584040124</v>
      </c>
      <c r="AS190" s="5">
        <f t="shared" si="439"/>
        <v>6.5706321295408481</v>
      </c>
      <c r="AT190" s="5">
        <f t="shared" si="523"/>
        <v>3.8647439177716354</v>
      </c>
      <c r="AU190" s="5">
        <f t="shared" si="477"/>
        <v>2.7058882117692127</v>
      </c>
      <c r="AV190" s="5"/>
      <c r="AW190" s="150">
        <f t="shared" si="478"/>
        <v>0.58818449147322782</v>
      </c>
      <c r="AX190" s="150">
        <f t="shared" si="435"/>
        <v>94.672073950906579</v>
      </c>
      <c r="AY190" s="150">
        <f t="shared" si="436"/>
        <v>3.3500654579656222</v>
      </c>
      <c r="AZ190" s="150">
        <f t="shared" si="440"/>
        <v>28.259768395211484</v>
      </c>
      <c r="BA190" s="144">
        <f t="shared" si="593"/>
        <v>41.223935122897451</v>
      </c>
      <c r="BB190" s="5">
        <f t="shared" si="594"/>
        <v>7.7227937385474146</v>
      </c>
      <c r="BD190" s="150">
        <f t="shared" si="441"/>
        <v>7.2040504956526972</v>
      </c>
      <c r="BE190" s="150">
        <f t="shared" si="437"/>
        <v>6.0279731946240904</v>
      </c>
      <c r="BG190" s="456">
        <f t="shared" si="479"/>
        <v>0.62278012252696646</v>
      </c>
      <c r="BH190" s="456">
        <f t="shared" si="524"/>
        <v>2.273080769070388</v>
      </c>
      <c r="BI190" s="456">
        <f t="shared" si="480"/>
        <v>1.7502121216461428E-2</v>
      </c>
      <c r="BJ190" s="456">
        <f t="shared" si="481"/>
        <v>0.19927844381603091</v>
      </c>
      <c r="BK190">
        <f t="shared" si="482"/>
        <v>8.9036942958460215E-3</v>
      </c>
      <c r="BL190" s="144">
        <f t="shared" si="587"/>
        <v>26.405815512307449</v>
      </c>
      <c r="BM190" s="456">
        <f t="shared" si="525"/>
        <v>3.830029180088498</v>
      </c>
      <c r="BN190" s="144">
        <f t="shared" si="526"/>
        <v>3830.0291800884979</v>
      </c>
      <c r="BO190" s="456">
        <f t="shared" si="483"/>
        <v>2.2399999999999998</v>
      </c>
      <c r="BR190" s="144">
        <f t="shared" si="484"/>
        <v>2239.9999999999995</v>
      </c>
      <c r="BS190" s="456">
        <f t="shared" si="485"/>
        <v>0.72657680961479421</v>
      </c>
      <c r="BT190" s="456">
        <f t="shared" si="486"/>
        <v>0.50871045169149187</v>
      </c>
      <c r="BU190" s="456">
        <f t="shared" si="487"/>
        <v>15.254697471752664</v>
      </c>
      <c r="BV190" s="456"/>
      <c r="BW190" s="456">
        <f t="shared" si="488"/>
        <v>4.02859889152794</v>
      </c>
      <c r="BX190" s="144">
        <f t="shared" si="489"/>
        <v>20518.583624586889</v>
      </c>
      <c r="BY190" s="150">
        <f t="shared" si="490"/>
        <v>25.880128775512581</v>
      </c>
      <c r="BZ190" s="5">
        <f t="shared" si="491"/>
        <v>96</v>
      </c>
      <c r="CA190" s="150">
        <f t="shared" si="492"/>
        <v>0.78765916121420876</v>
      </c>
      <c r="CB190" s="5">
        <f t="shared" si="493"/>
        <v>78.765916121420872</v>
      </c>
      <c r="CE190" s="59">
        <f t="shared" si="527"/>
        <v>-50</v>
      </c>
      <c r="CF190">
        <f t="shared" si="528"/>
        <v>-50</v>
      </c>
      <c r="CG190" s="150">
        <f t="shared" si="529"/>
        <v>0.38876201912338343</v>
      </c>
      <c r="CI190" s="147">
        <v>80</v>
      </c>
      <c r="CJ190" s="188">
        <f t="shared" si="588"/>
        <v>3.2</v>
      </c>
      <c r="CK190" s="188"/>
      <c r="CL190" s="188">
        <f t="shared" si="530"/>
        <v>96</v>
      </c>
      <c r="CM190" s="465">
        <f t="shared" si="531"/>
        <v>20</v>
      </c>
      <c r="CN190" s="379">
        <f t="shared" si="532"/>
        <v>30.4</v>
      </c>
      <c r="CO190" s="379">
        <f t="shared" si="533"/>
        <v>50.4</v>
      </c>
      <c r="CP190" s="379"/>
      <c r="CQ190" s="188">
        <f t="shared" si="534"/>
        <v>0.60317460317460314</v>
      </c>
      <c r="CR190" s="149">
        <f t="shared" si="589"/>
        <v>183.55019291189507</v>
      </c>
      <c r="CS190" s="149">
        <f t="shared" si="535"/>
        <v>96</v>
      </c>
      <c r="CT190" s="188">
        <f t="shared" si="536"/>
        <v>6.1183397637298356</v>
      </c>
      <c r="CU190" s="188">
        <f t="shared" si="537"/>
        <v>30</v>
      </c>
      <c r="CV190" s="188"/>
      <c r="CW190" s="149">
        <f t="shared" si="538"/>
        <v>74.803347939683263</v>
      </c>
      <c r="CX190" s="149">
        <f t="shared" si="539"/>
        <v>30</v>
      </c>
      <c r="CY190" s="188">
        <f t="shared" si="540"/>
        <v>15.91578947368421</v>
      </c>
      <c r="CZ190" s="188">
        <f t="shared" si="541"/>
        <v>3.7402105263157894</v>
      </c>
      <c r="DA190" s="188">
        <f t="shared" si="542"/>
        <v>2.4606648199445984</v>
      </c>
      <c r="DB190" s="172">
        <f t="shared" si="543"/>
        <v>350</v>
      </c>
      <c r="DC190" s="379">
        <f t="shared" si="544"/>
        <v>161.26755404026596</v>
      </c>
      <c r="DE190" s="188">
        <f t="shared" si="545"/>
        <v>7.3334298258310406</v>
      </c>
      <c r="DF190" s="150">
        <f t="shared" si="546"/>
        <v>1.1337868480725624</v>
      </c>
      <c r="DG190" s="150">
        <f t="shared" si="547"/>
        <v>1.4550456003633017</v>
      </c>
      <c r="DH190" s="150"/>
      <c r="DI190" s="150">
        <f t="shared" si="548"/>
        <v>0.93700159489633172</v>
      </c>
      <c r="DJ190" s="314">
        <f t="shared" si="549"/>
        <v>1126.9991489361703</v>
      </c>
      <c r="DK190" s="456">
        <f t="shared" si="550"/>
        <v>0.99378957034459414</v>
      </c>
      <c r="DM190" s="150">
        <f t="shared" si="551"/>
        <v>10.875364648185505</v>
      </c>
      <c r="DN190" s="150">
        <f t="shared" si="552"/>
        <v>15.91578947368421</v>
      </c>
      <c r="DO190" s="150">
        <f t="shared" si="553"/>
        <v>8.5001358615393698</v>
      </c>
      <c r="DQ190" s="314">
        <f t="shared" si="554"/>
        <v>3200</v>
      </c>
      <c r="DR190" s="144">
        <f t="shared" si="555"/>
        <v>161.26755404026596</v>
      </c>
      <c r="DT190">
        <f t="shared" si="590"/>
        <v>3200</v>
      </c>
      <c r="DU190">
        <f t="shared" si="591"/>
        <v>161.26755404026596</v>
      </c>
      <c r="DW190" s="5">
        <f t="shared" si="556"/>
        <v>6.2008753462603874</v>
      </c>
      <c r="DX190" s="5">
        <f t="shared" si="557"/>
        <v>3.7402105263157894</v>
      </c>
      <c r="DY190" s="5">
        <f t="shared" si="558"/>
        <v>2.460664819944598</v>
      </c>
      <c r="DZ190" s="5"/>
      <c r="EA190" s="150">
        <f t="shared" si="559"/>
        <v>0.60317460317460325</v>
      </c>
      <c r="EB190" s="150">
        <f t="shared" si="560"/>
        <v>95.999999999999986</v>
      </c>
      <c r="EC190" s="150">
        <f t="shared" si="561"/>
        <v>3.1578947368421044</v>
      </c>
      <c r="ED190" s="150">
        <f t="shared" si="562"/>
        <v>30.400000000000002</v>
      </c>
      <c r="EE190" s="144">
        <f t="shared" si="563"/>
        <v>39.895578947368421</v>
      </c>
      <c r="EF190" s="5">
        <f t="shared" si="564"/>
        <v>6.9477594916082754</v>
      </c>
      <c r="EH190" s="150">
        <f t="shared" si="565"/>
        <v>7.1365626400802702</v>
      </c>
      <c r="EI190" s="150">
        <f t="shared" si="566"/>
        <v>5.7885166673126394</v>
      </c>
      <c r="EK190" s="456">
        <f t="shared" si="567"/>
        <v>0.61116631578947378</v>
      </c>
      <c r="EL190" s="456">
        <f t="shared" si="568"/>
        <v>2.4578723404255323</v>
      </c>
      <c r="EM190" s="456">
        <f t="shared" si="569"/>
        <v>1.8545768714630588E-2</v>
      </c>
      <c r="EN190" s="456">
        <f t="shared" si="570"/>
        <v>0.21199148936170215</v>
      </c>
      <c r="EO190">
        <f t="shared" si="571"/>
        <v>8.9999999999999993E-3</v>
      </c>
      <c r="EP190" s="144">
        <f t="shared" si="572"/>
        <v>27.54576871463059</v>
      </c>
      <c r="EQ190" s="144"/>
      <c r="ER190" s="144">
        <f t="shared" si="592"/>
        <v>3308.5759142913384</v>
      </c>
      <c r="ES190" s="456">
        <f t="shared" si="573"/>
        <v>2.2399999999999998</v>
      </c>
      <c r="EV190" s="144">
        <f t="shared" si="494"/>
        <v>2239.9999999999995</v>
      </c>
      <c r="EW190" s="456">
        <f t="shared" si="574"/>
        <v>0.71302736842105274</v>
      </c>
      <c r="EX190" s="456">
        <f t="shared" si="575"/>
        <v>0.46909695290858716</v>
      </c>
      <c r="EY190" s="456">
        <f t="shared" si="576"/>
        <v>16.688141232989633</v>
      </c>
      <c r="EZ190" s="456"/>
      <c r="FA190" s="456">
        <f t="shared" si="577"/>
        <v>4.0851063829787231</v>
      </c>
      <c r="FB190" s="144">
        <f t="shared" si="578"/>
        <v>21955.371937297994</v>
      </c>
      <c r="FC190" s="150">
        <f t="shared" si="579"/>
        <v>27.503947851589334</v>
      </c>
      <c r="FD190" s="5">
        <f t="shared" si="580"/>
        <v>96</v>
      </c>
      <c r="FE190" s="150">
        <f t="shared" si="581"/>
        <v>0.77730308763376599</v>
      </c>
      <c r="FF190" s="5">
        <f t="shared" si="582"/>
        <v>77.730308763376598</v>
      </c>
      <c r="FI190" s="59">
        <f t="shared" si="583"/>
        <v>-50</v>
      </c>
      <c r="FJ190">
        <f t="shared" si="584"/>
        <v>-50</v>
      </c>
      <c r="FL190">
        <f t="shared" si="585"/>
        <v>0.39682539682539675</v>
      </c>
    </row>
    <row r="191" spans="5:168">
      <c r="E191" s="147">
        <v>81</v>
      </c>
      <c r="F191" s="188">
        <f t="shared" si="586"/>
        <v>3.24</v>
      </c>
      <c r="G191" s="188"/>
      <c r="H191" s="188">
        <f t="shared" si="495"/>
        <v>97.2</v>
      </c>
      <c r="I191" s="465">
        <f t="shared" si="496"/>
        <v>19.783367637355603</v>
      </c>
      <c r="J191" s="149">
        <f t="shared" si="497"/>
        <v>30.516648195270058</v>
      </c>
      <c r="K191" s="149">
        <f t="shared" si="498"/>
        <v>50.300015832625661</v>
      </c>
      <c r="L191" s="379"/>
      <c r="M191" s="188">
        <f t="shared" si="499"/>
        <v>0.60667431046608367</v>
      </c>
      <c r="N191" s="149">
        <f t="shared" si="500"/>
        <v>182.61549687504703</v>
      </c>
      <c r="O191" s="149">
        <f t="shared" si="438"/>
        <v>97.2</v>
      </c>
      <c r="P191" s="188">
        <f t="shared" si="501"/>
        <v>6.0871832291682342</v>
      </c>
      <c r="Q191" s="188">
        <f t="shared" si="502"/>
        <v>30</v>
      </c>
      <c r="R191" s="188"/>
      <c r="S191" s="149">
        <f t="shared" si="503"/>
        <v>72.839493021633714</v>
      </c>
      <c r="T191" s="149">
        <f t="shared" si="504"/>
        <v>30</v>
      </c>
      <c r="U191" s="188">
        <f t="shared" si="505"/>
        <v>16.474896434246848</v>
      </c>
      <c r="V191" s="188">
        <f t="shared" si="506"/>
        <v>3.9139955674053448</v>
      </c>
      <c r="W191" s="188">
        <f t="shared" si="507"/>
        <v>2.5373695284451911</v>
      </c>
      <c r="X191" s="172">
        <f t="shared" si="508"/>
        <v>350</v>
      </c>
      <c r="Y191" s="379">
        <f t="shared" si="509"/>
        <v>150.3450773772517</v>
      </c>
      <c r="AA191" s="188">
        <f t="shared" si="510"/>
        <v>7.2963058158888678</v>
      </c>
      <c r="AB191" s="150">
        <f t="shared" si="511"/>
        <v>1.1237353825769396</v>
      </c>
      <c r="AC191" s="150">
        <f t="shared" si="512"/>
        <v>1.4348454762978398</v>
      </c>
      <c r="AD191" s="150"/>
      <c r="AE191" s="150">
        <f t="shared" si="513"/>
        <v>0.93341995826604274</v>
      </c>
      <c r="AF191" s="314">
        <f t="shared" si="514"/>
        <v>1145.4651151730113</v>
      </c>
      <c r="AG191" s="456">
        <f t="shared" si="515"/>
        <v>0.989990864827621</v>
      </c>
      <c r="AI191" s="150">
        <f t="shared" si="516"/>
        <v>10.96409947917614</v>
      </c>
      <c r="AJ191" s="150">
        <f t="shared" si="517"/>
        <v>16.474896434246848</v>
      </c>
      <c r="AK191" s="150">
        <f t="shared" si="518"/>
        <v>8.9142891656598415</v>
      </c>
      <c r="AM191" s="314">
        <f t="shared" si="519"/>
        <v>3240</v>
      </c>
      <c r="AN191" s="144">
        <f t="shared" si="520"/>
        <v>150.3450773772517</v>
      </c>
      <c r="AP191">
        <f t="shared" si="521"/>
        <v>3240</v>
      </c>
      <c r="AQ191">
        <f t="shared" si="522"/>
        <v>150.3450773772517</v>
      </c>
      <c r="AS191" s="5">
        <f t="shared" si="439"/>
        <v>6.6513650958505357</v>
      </c>
      <c r="AT191" s="5">
        <f t="shared" si="523"/>
        <v>3.9139955674053448</v>
      </c>
      <c r="AU191" s="5">
        <f t="shared" si="477"/>
        <v>2.7373695284451909</v>
      </c>
      <c r="AV191" s="5"/>
      <c r="AW191" s="150">
        <f t="shared" si="478"/>
        <v>0.58844996643577674</v>
      </c>
      <c r="AX191" s="150">
        <f t="shared" si="435"/>
        <v>95.896434826280029</v>
      </c>
      <c r="AY191" s="150">
        <f t="shared" si="436"/>
        <v>3.3901220902406961</v>
      </c>
      <c r="AZ191" s="150">
        <f t="shared" si="440"/>
        <v>28.287015120293635</v>
      </c>
      <c r="BA191" s="144">
        <f t="shared" si="593"/>
        <v>42.271152127977722</v>
      </c>
      <c r="BB191" s="5">
        <f t="shared" si="594"/>
        <v>7.9113491292930709</v>
      </c>
      <c r="BD191" s="150">
        <f t="shared" si="441"/>
        <v>7.2965378056268042</v>
      </c>
      <c r="BE191" s="150">
        <f t="shared" si="437"/>
        <v>6.1020166249182424</v>
      </c>
      <c r="BG191" s="456">
        <f t="shared" si="479"/>
        <v>0.63887356738729462</v>
      </c>
      <c r="BH191" s="456">
        <f t="shared" si="524"/>
        <v>2.273750966400633</v>
      </c>
      <c r="BI191" s="456">
        <f t="shared" si="480"/>
        <v>1.7289683898383944E-2</v>
      </c>
      <c r="BJ191" s="456">
        <f t="shared" si="481"/>
        <v>0.19685017742769234</v>
      </c>
      <c r="BK191">
        <f t="shared" si="482"/>
        <v>8.9025154368100219E-3</v>
      </c>
      <c r="BL191" s="144">
        <f t="shared" si="587"/>
        <v>26.192199335193965</v>
      </c>
      <c r="BM191" s="456">
        <f t="shared" si="525"/>
        <v>3.8693191329689185</v>
      </c>
      <c r="BN191" s="144">
        <f t="shared" si="526"/>
        <v>3869.3191329689184</v>
      </c>
      <c r="BO191" s="456">
        <f t="shared" si="483"/>
        <v>2.2679999999999998</v>
      </c>
      <c r="BR191" s="144">
        <f t="shared" si="484"/>
        <v>2268</v>
      </c>
      <c r="BS191" s="456">
        <f t="shared" si="485"/>
        <v>0.74535249528517711</v>
      </c>
      <c r="BT191" s="456">
        <f t="shared" si="486"/>
        <v>0.52128449647090058</v>
      </c>
      <c r="BU191" s="456">
        <f t="shared" si="487"/>
        <v>15.266861636725562</v>
      </c>
      <c r="BV191" s="456"/>
      <c r="BW191" s="456">
        <f t="shared" si="488"/>
        <v>4.0806993543097887</v>
      </c>
      <c r="BX191" s="144">
        <f t="shared" si="489"/>
        <v>20614.197982791429</v>
      </c>
      <c r="BY191" s="150">
        <f t="shared" si="490"/>
        <v>26.017864893342242</v>
      </c>
      <c r="BZ191" s="5">
        <f t="shared" si="491"/>
        <v>97.2</v>
      </c>
      <c r="CA191" s="150">
        <f t="shared" si="492"/>
        <v>0.78884665047667091</v>
      </c>
      <c r="CB191" s="5">
        <f t="shared" si="493"/>
        <v>78.884665047667085</v>
      </c>
      <c r="CE191" s="59">
        <f t="shared" si="527"/>
        <v>-50</v>
      </c>
      <c r="CF191">
        <f t="shared" si="528"/>
        <v>-50</v>
      </c>
      <c r="CG191" s="150">
        <f t="shared" si="529"/>
        <v>0.38886156699624791</v>
      </c>
      <c r="CI191" s="147">
        <v>81</v>
      </c>
      <c r="CJ191" s="188">
        <f t="shared" si="588"/>
        <v>3.24</v>
      </c>
      <c r="CK191" s="188"/>
      <c r="CL191" s="188">
        <f t="shared" si="530"/>
        <v>97.2</v>
      </c>
      <c r="CM191" s="465">
        <f t="shared" si="531"/>
        <v>20</v>
      </c>
      <c r="CN191" s="379">
        <f t="shared" si="532"/>
        <v>30.4</v>
      </c>
      <c r="CO191" s="379">
        <f t="shared" si="533"/>
        <v>50.4</v>
      </c>
      <c r="CP191" s="379"/>
      <c r="CQ191" s="188">
        <f t="shared" si="534"/>
        <v>0.60317460317460314</v>
      </c>
      <c r="CR191" s="149">
        <f t="shared" si="589"/>
        <v>183.55019291189507</v>
      </c>
      <c r="CS191" s="149">
        <f t="shared" si="535"/>
        <v>97.2</v>
      </c>
      <c r="CT191" s="188">
        <f t="shared" si="536"/>
        <v>6.1183397637298356</v>
      </c>
      <c r="CU191" s="188">
        <f t="shared" si="537"/>
        <v>30</v>
      </c>
      <c r="CV191" s="188"/>
      <c r="CW191" s="149">
        <f t="shared" si="538"/>
        <v>73.635926952809399</v>
      </c>
      <c r="CX191" s="149">
        <f t="shared" si="539"/>
        <v>30</v>
      </c>
      <c r="CY191" s="188">
        <f t="shared" si="540"/>
        <v>16.114736842105263</v>
      </c>
      <c r="CZ191" s="188">
        <f t="shared" si="541"/>
        <v>3.7869631578947365</v>
      </c>
      <c r="DA191" s="188">
        <f t="shared" si="542"/>
        <v>2.4914231301939056</v>
      </c>
      <c r="DB191" s="172">
        <f t="shared" si="543"/>
        <v>350</v>
      </c>
      <c r="DC191" s="379">
        <f t="shared" si="544"/>
        <v>159.27659658297875</v>
      </c>
      <c r="DE191" s="188">
        <f t="shared" si="545"/>
        <v>7.3334298258310406</v>
      </c>
      <c r="DF191" s="150">
        <f t="shared" si="546"/>
        <v>1.1337868480725624</v>
      </c>
      <c r="DG191" s="150">
        <f t="shared" si="547"/>
        <v>1.4550456003633017</v>
      </c>
      <c r="DH191" s="150"/>
      <c r="DI191" s="150">
        <f t="shared" si="548"/>
        <v>0.93700159489633172</v>
      </c>
      <c r="DJ191" s="314">
        <f t="shared" si="549"/>
        <v>1141.0866382978725</v>
      </c>
      <c r="DK191" s="456">
        <f t="shared" si="550"/>
        <v>0.99378957034459414</v>
      </c>
      <c r="DM191" s="150">
        <f t="shared" si="551"/>
        <v>10.943124585048393</v>
      </c>
      <c r="DN191" s="150">
        <f t="shared" si="552"/>
        <v>16.114736842105263</v>
      </c>
      <c r="DO191" s="150">
        <f t="shared" si="553"/>
        <v>8.647504282592001</v>
      </c>
      <c r="DQ191" s="314">
        <f t="shared" si="554"/>
        <v>3240</v>
      </c>
      <c r="DR191" s="144">
        <f t="shared" si="555"/>
        <v>159.27659658297875</v>
      </c>
      <c r="DT191">
        <f t="shared" si="590"/>
        <v>3240</v>
      </c>
      <c r="DU191">
        <f t="shared" si="591"/>
        <v>159.27659658297875</v>
      </c>
      <c r="DW191" s="5">
        <f t="shared" si="556"/>
        <v>6.2783862880886421</v>
      </c>
      <c r="DX191" s="5">
        <f t="shared" si="557"/>
        <v>3.7869631578947365</v>
      </c>
      <c r="DY191" s="5">
        <f t="shared" si="558"/>
        <v>2.4914231301939056</v>
      </c>
      <c r="DZ191" s="5"/>
      <c r="EA191" s="150">
        <f t="shared" si="559"/>
        <v>0.60317460317460314</v>
      </c>
      <c r="EB191" s="150">
        <f t="shared" si="560"/>
        <v>97.2</v>
      </c>
      <c r="EC191" s="150">
        <f t="shared" si="561"/>
        <v>3.1973684210526319</v>
      </c>
      <c r="ED191" s="150">
        <f t="shared" si="562"/>
        <v>30.4</v>
      </c>
      <c r="EE191" s="144">
        <f t="shared" si="563"/>
        <v>40.899202105263157</v>
      </c>
      <c r="EF191" s="5">
        <f t="shared" si="564"/>
        <v>7.1225390663190478</v>
      </c>
      <c r="EH191" s="150">
        <f t="shared" si="565"/>
        <v>7.225769673081273</v>
      </c>
      <c r="EI191" s="150">
        <f t="shared" si="566"/>
        <v>5.8608731256540478</v>
      </c>
      <c r="EK191" s="456">
        <f t="shared" si="567"/>
        <v>0.62654096842105267</v>
      </c>
      <c r="EL191" s="456">
        <f t="shared" si="568"/>
        <v>2.4578723404255323</v>
      </c>
      <c r="EM191" s="456">
        <f t="shared" si="569"/>
        <v>1.8316808607042559E-2</v>
      </c>
      <c r="EN191" s="456">
        <f t="shared" si="570"/>
        <v>0.20937431048069349</v>
      </c>
      <c r="EO191">
        <f t="shared" si="571"/>
        <v>8.9999999999999993E-3</v>
      </c>
      <c r="EP191" s="144">
        <f t="shared" si="572"/>
        <v>27.31680860704256</v>
      </c>
      <c r="EQ191" s="144"/>
      <c r="ER191" s="144">
        <f t="shared" si="592"/>
        <v>3321.1044279343209</v>
      </c>
      <c r="ES191" s="456">
        <f t="shared" si="573"/>
        <v>2.2679999999999998</v>
      </c>
      <c r="EV191" s="144">
        <f t="shared" si="494"/>
        <v>2268</v>
      </c>
      <c r="EW191" s="456">
        <f t="shared" si="574"/>
        <v>0.73096446315789476</v>
      </c>
      <c r="EX191" s="456">
        <f t="shared" si="575"/>
        <v>0.48089767313019394</v>
      </c>
      <c r="EY191" s="456">
        <f t="shared" si="576"/>
        <v>16.688141232989647</v>
      </c>
      <c r="EZ191" s="456"/>
      <c r="FA191" s="456">
        <f t="shared" si="577"/>
        <v>4.1361702127659585</v>
      </c>
      <c r="FB191" s="144">
        <f t="shared" si="578"/>
        <v>22036.173582043695</v>
      </c>
      <c r="FC191" s="150">
        <f t="shared" si="579"/>
        <v>27.625278009978015</v>
      </c>
      <c r="FD191" s="5">
        <f t="shared" si="580"/>
        <v>97.2</v>
      </c>
      <c r="FE191" s="150">
        <f t="shared" si="581"/>
        <v>0.77868843193948456</v>
      </c>
      <c r="FF191" s="5">
        <f t="shared" si="582"/>
        <v>77.86884319394845</v>
      </c>
      <c r="FI191" s="59">
        <f t="shared" si="583"/>
        <v>-50</v>
      </c>
      <c r="FJ191">
        <f t="shared" si="584"/>
        <v>-50</v>
      </c>
      <c r="FL191">
        <f t="shared" si="585"/>
        <v>0.39682539682539686</v>
      </c>
    </row>
    <row r="192" spans="5:168">
      <c r="E192" s="147">
        <v>82</v>
      </c>
      <c r="F192" s="188">
        <f t="shared" si="586"/>
        <v>3.28</v>
      </c>
      <c r="G192" s="188"/>
      <c r="H192" s="188">
        <f t="shared" si="495"/>
        <v>98.399999999999991</v>
      </c>
      <c r="I192" s="465">
        <f t="shared" si="496"/>
        <v>19.780747922907253</v>
      </c>
      <c r="J192" s="149">
        <f t="shared" si="497"/>
        <v>30.518058810742247</v>
      </c>
      <c r="K192" s="149">
        <f t="shared" si="498"/>
        <v>50.298806733649499</v>
      </c>
      <c r="L192" s="379"/>
      <c r="M192" s="188">
        <f t="shared" si="499"/>
        <v>0.60671694516443153</v>
      </c>
      <c r="N192" s="149">
        <f t="shared" si="500"/>
        <v>182.60414672624157</v>
      </c>
      <c r="O192" s="149">
        <f t="shared" si="438"/>
        <v>98.399999999999991</v>
      </c>
      <c r="P192" s="188">
        <f t="shared" si="501"/>
        <v>6.0868048908747188</v>
      </c>
      <c r="Q192" s="188">
        <f t="shared" si="502"/>
        <v>30</v>
      </c>
      <c r="R192" s="188"/>
      <c r="S192" s="149">
        <f t="shared" si="503"/>
        <v>71.703469697803641</v>
      </c>
      <c r="T192" s="149">
        <f t="shared" si="504"/>
        <v>30</v>
      </c>
      <c r="U192" s="188">
        <f t="shared" si="505"/>
        <v>16.680098263432008</v>
      </c>
      <c r="V192" s="188">
        <f t="shared" si="506"/>
        <v>3.9632708603168036</v>
      </c>
      <c r="W192" s="188">
        <f t="shared" si="507"/>
        <v>2.5688547991963095</v>
      </c>
      <c r="X192" s="172">
        <f t="shared" si="508"/>
        <v>350</v>
      </c>
      <c r="Y192" s="379">
        <f t="shared" si="509"/>
        <v>148.54149351578246</v>
      </c>
      <c r="AA192" s="188">
        <f t="shared" si="510"/>
        <v>7.2958522376861312</v>
      </c>
      <c r="AB192" s="150">
        <f t="shared" si="511"/>
        <v>1.1236135866234938</v>
      </c>
      <c r="AC192" s="150">
        <f t="shared" si="512"/>
        <v>1.4346007725457726</v>
      </c>
      <c r="AD192" s="150"/>
      <c r="AE192" s="150">
        <f t="shared" si="513"/>
        <v>0.93337681343028012</v>
      </c>
      <c r="AF192" s="314">
        <f t="shared" si="514"/>
        <v>1159.6602619921964</v>
      </c>
      <c r="AG192" s="456">
        <f t="shared" si="515"/>
        <v>0.98994510515332734</v>
      </c>
      <c r="AI192" s="150">
        <f t="shared" si="516"/>
        <v>11.031826458672514</v>
      </c>
      <c r="AJ192" s="150">
        <f t="shared" si="517"/>
        <v>16.680098263432008</v>
      </c>
      <c r="AK192" s="150">
        <f t="shared" si="518"/>
        <v>9.0662905206118118</v>
      </c>
      <c r="AM192" s="314">
        <f t="shared" si="519"/>
        <v>3280</v>
      </c>
      <c r="AN192" s="144">
        <f t="shared" si="520"/>
        <v>148.54149351578246</v>
      </c>
      <c r="AP192">
        <f t="shared" si="521"/>
        <v>3280</v>
      </c>
      <c r="AQ192">
        <f t="shared" si="522"/>
        <v>148.54149351578246</v>
      </c>
      <c r="AS192" s="5">
        <f t="shared" si="439"/>
        <v>6.7321256595131143</v>
      </c>
      <c r="AT192" s="5">
        <f t="shared" si="523"/>
        <v>3.9632708603168036</v>
      </c>
      <c r="AU192" s="5">
        <f t="shared" si="477"/>
        <v>2.7688547991963106</v>
      </c>
      <c r="AV192" s="5"/>
      <c r="AW192" s="150">
        <f t="shared" si="478"/>
        <v>0.58871017279903803</v>
      </c>
      <c r="AX192" s="150">
        <f t="shared" si="435"/>
        <v>97.120935726858278</v>
      </c>
      <c r="AY192" s="150">
        <f t="shared" si="436"/>
        <v>3.4301773662310082</v>
      </c>
      <c r="AZ192" s="150">
        <f t="shared" si="440"/>
        <v>28.313677503380035</v>
      </c>
      <c r="BA192" s="144">
        <f t="shared" si="593"/>
        <v>43.331761406130383</v>
      </c>
      <c r="BB192" s="5">
        <f t="shared" si="594"/>
        <v>8.1022128867206114</v>
      </c>
      <c r="BD192" s="150">
        <f t="shared" si="441"/>
        <v>7.3890524204907413</v>
      </c>
      <c r="BE192" s="150">
        <f t="shared" si="437"/>
        <v>6.1760664682160282</v>
      </c>
      <c r="BG192" s="456">
        <f t="shared" si="479"/>
        <v>0.655177148073121</v>
      </c>
      <c r="BH192" s="456">
        <f t="shared" si="524"/>
        <v>2.2744004989549946</v>
      </c>
      <c r="BI192" s="456">
        <f t="shared" si="480"/>
        <v>1.7082271754314985E-2</v>
      </c>
      <c r="BJ192" s="456">
        <f t="shared" si="481"/>
        <v>0.19447935465136718</v>
      </c>
      <c r="BK192">
        <f t="shared" si="482"/>
        <v>8.901336565308263E-3</v>
      </c>
      <c r="BL192" s="144">
        <f t="shared" si="587"/>
        <v>25.983608319623251</v>
      </c>
      <c r="BM192" s="456">
        <f t="shared" si="525"/>
        <v>3.9095557246732549</v>
      </c>
      <c r="BN192" s="144">
        <f t="shared" si="526"/>
        <v>3909.5557246732546</v>
      </c>
      <c r="BO192" s="456">
        <f t="shared" si="483"/>
        <v>2.2959999999999998</v>
      </c>
      <c r="BR192" s="144">
        <f t="shared" si="484"/>
        <v>2296</v>
      </c>
      <c r="BS192" s="456">
        <f t="shared" si="485"/>
        <v>0.76437333941864116</v>
      </c>
      <c r="BT192" s="456">
        <f t="shared" si="486"/>
        <v>0.53401315827751372</v>
      </c>
      <c r="BU192" s="456">
        <f t="shared" si="487"/>
        <v>15.278685164107776</v>
      </c>
      <c r="BV192" s="456"/>
      <c r="BW192" s="456">
        <f t="shared" si="488"/>
        <v>4.1328057756109908</v>
      </c>
      <c r="BX192" s="144">
        <f t="shared" si="489"/>
        <v>20709.877437414922</v>
      </c>
      <c r="BY192" s="150">
        <f t="shared" si="490"/>
        <v>26.155918047414026</v>
      </c>
      <c r="BZ192" s="5">
        <f t="shared" si="491"/>
        <v>98.399999999999991</v>
      </c>
      <c r="CA192" s="150">
        <f t="shared" si="492"/>
        <v>0.79000662146412504</v>
      </c>
      <c r="CB192" s="5">
        <f t="shared" si="493"/>
        <v>79.000662146412509</v>
      </c>
      <c r="CE192" s="59">
        <f t="shared" si="527"/>
        <v>-50</v>
      </c>
      <c r="CF192">
        <f t="shared" si="528"/>
        <v>-50</v>
      </c>
      <c r="CG192" s="150">
        <f t="shared" si="529"/>
        <v>0.38895868687221313</v>
      </c>
      <c r="CI192" s="147">
        <v>82</v>
      </c>
      <c r="CJ192" s="188">
        <f t="shared" si="588"/>
        <v>3.28</v>
      </c>
      <c r="CK192" s="188"/>
      <c r="CL192" s="188">
        <f t="shared" si="530"/>
        <v>98.399999999999991</v>
      </c>
      <c r="CM192" s="465">
        <f t="shared" si="531"/>
        <v>20</v>
      </c>
      <c r="CN192" s="379">
        <f t="shared" si="532"/>
        <v>30.4</v>
      </c>
      <c r="CO192" s="379">
        <f t="shared" si="533"/>
        <v>50.4</v>
      </c>
      <c r="CP192" s="379"/>
      <c r="CQ192" s="188">
        <f t="shared" si="534"/>
        <v>0.60317460317460314</v>
      </c>
      <c r="CR192" s="149">
        <f t="shared" si="589"/>
        <v>183.55019291189507</v>
      </c>
      <c r="CS192" s="149">
        <f t="shared" si="535"/>
        <v>98.399999999999991</v>
      </c>
      <c r="CT192" s="188">
        <f t="shared" si="536"/>
        <v>6.1183397637298356</v>
      </c>
      <c r="CU192" s="188">
        <f t="shared" si="537"/>
        <v>30</v>
      </c>
      <c r="CV192" s="188"/>
      <c r="CW192" s="149">
        <f t="shared" si="538"/>
        <v>72.497031347254463</v>
      </c>
      <c r="CX192" s="149">
        <f t="shared" si="539"/>
        <v>30</v>
      </c>
      <c r="CY192" s="188">
        <f t="shared" si="540"/>
        <v>16.313684210526315</v>
      </c>
      <c r="CZ192" s="188">
        <f t="shared" si="541"/>
        <v>3.8337157894736835</v>
      </c>
      <c r="DA192" s="188">
        <f t="shared" si="542"/>
        <v>2.5221814404432132</v>
      </c>
      <c r="DB192" s="172">
        <f t="shared" si="543"/>
        <v>350</v>
      </c>
      <c r="DC192" s="379">
        <f t="shared" si="544"/>
        <v>157.33419906367413</v>
      </c>
      <c r="DE192" s="188">
        <f t="shared" si="545"/>
        <v>7.3334298258310406</v>
      </c>
      <c r="DF192" s="150">
        <f t="shared" si="546"/>
        <v>1.1337868480725624</v>
      </c>
      <c r="DG192" s="150">
        <f t="shared" si="547"/>
        <v>1.4550456003633017</v>
      </c>
      <c r="DH192" s="150"/>
      <c r="DI192" s="150">
        <f t="shared" si="548"/>
        <v>0.93700159489633172</v>
      </c>
      <c r="DJ192" s="314">
        <f t="shared" si="549"/>
        <v>1155.1741276595744</v>
      </c>
      <c r="DK192" s="456">
        <f t="shared" si="550"/>
        <v>0.99378957034459414</v>
      </c>
      <c r="DM192" s="150">
        <f t="shared" si="551"/>
        <v>11.010467525803712</v>
      </c>
      <c r="DN192" s="150">
        <f t="shared" si="552"/>
        <v>16.313684210526315</v>
      </c>
      <c r="DO192" s="150">
        <f t="shared" si="553"/>
        <v>8.7948727036446321</v>
      </c>
      <c r="DQ192" s="314">
        <f t="shared" si="554"/>
        <v>3280</v>
      </c>
      <c r="DR192" s="144">
        <f t="shared" si="555"/>
        <v>157.33419906367413</v>
      </c>
      <c r="DT192">
        <f t="shared" si="590"/>
        <v>3280</v>
      </c>
      <c r="DU192">
        <f t="shared" si="591"/>
        <v>157.33419906367413</v>
      </c>
      <c r="DW192" s="5">
        <f t="shared" si="556"/>
        <v>6.3558972299168968</v>
      </c>
      <c r="DX192" s="5">
        <f t="shared" si="557"/>
        <v>3.8337157894736835</v>
      </c>
      <c r="DY192" s="5">
        <f t="shared" si="558"/>
        <v>2.5221814404432132</v>
      </c>
      <c r="DZ192" s="5"/>
      <c r="EA192" s="150">
        <f t="shared" si="559"/>
        <v>0.60317460317460314</v>
      </c>
      <c r="EB192" s="150">
        <f t="shared" si="560"/>
        <v>98.40000000000002</v>
      </c>
      <c r="EC192" s="150">
        <f t="shared" si="561"/>
        <v>3.236842105263158</v>
      </c>
      <c r="ED192" s="150">
        <f t="shared" si="562"/>
        <v>30.400000000000006</v>
      </c>
      <c r="EE192" s="144">
        <f t="shared" si="563"/>
        <v>41.915292631578936</v>
      </c>
      <c r="EF192" s="5">
        <f t="shared" si="564"/>
        <v>7.2994898158709454</v>
      </c>
      <c r="EH192" s="150">
        <f t="shared" si="565"/>
        <v>7.3149767060822759</v>
      </c>
      <c r="EI192" s="150">
        <f t="shared" si="566"/>
        <v>5.9332295839954554</v>
      </c>
      <c r="EK192" s="456">
        <f t="shared" si="567"/>
        <v>0.64210661052631568</v>
      </c>
      <c r="EL192" s="456">
        <f t="shared" si="568"/>
        <v>2.4578723404255323</v>
      </c>
      <c r="EM192" s="456">
        <f t="shared" si="569"/>
        <v>1.8093432892322528E-2</v>
      </c>
      <c r="EN192" s="456">
        <f t="shared" si="570"/>
        <v>0.20682096523092897</v>
      </c>
      <c r="EO192">
        <f t="shared" si="571"/>
        <v>8.9999999999999993E-3</v>
      </c>
      <c r="EP192" s="144">
        <f t="shared" si="572"/>
        <v>27.093432892322529</v>
      </c>
      <c r="EQ192" s="144"/>
      <c r="ER192" s="144">
        <f t="shared" si="592"/>
        <v>3333.8933490750992</v>
      </c>
      <c r="ES192" s="456">
        <f t="shared" si="573"/>
        <v>2.2959999999999998</v>
      </c>
      <c r="EV192" s="144">
        <f t="shared" si="494"/>
        <v>2296</v>
      </c>
      <c r="EW192" s="456">
        <f t="shared" si="574"/>
        <v>0.74912437894736827</v>
      </c>
      <c r="EX192" s="456">
        <f t="shared" si="575"/>
        <v>0.49284498614958439</v>
      </c>
      <c r="EY192" s="456">
        <f t="shared" si="576"/>
        <v>16.688141232989633</v>
      </c>
      <c r="EZ192" s="456"/>
      <c r="FA192" s="456">
        <f t="shared" si="577"/>
        <v>4.1872340425531922</v>
      </c>
      <c r="FB192" s="144">
        <f t="shared" si="578"/>
        <v>22117.344640639778</v>
      </c>
      <c r="FC192" s="150">
        <f t="shared" si="579"/>
        <v>27.747237989714876</v>
      </c>
      <c r="FD192" s="5">
        <f t="shared" si="580"/>
        <v>98.399999999999991</v>
      </c>
      <c r="FE192" s="150">
        <f t="shared" si="581"/>
        <v>0.780040859935616</v>
      </c>
      <c r="FF192" s="5">
        <f t="shared" si="582"/>
        <v>78.004085993561603</v>
      </c>
      <c r="FI192" s="59">
        <f t="shared" si="583"/>
        <v>-50</v>
      </c>
      <c r="FJ192">
        <f t="shared" si="584"/>
        <v>-50</v>
      </c>
      <c r="FL192">
        <f t="shared" si="585"/>
        <v>0.39682539682539686</v>
      </c>
    </row>
    <row r="193" spans="5:168">
      <c r="E193" s="147">
        <v>83</v>
      </c>
      <c r="F193" s="188">
        <f t="shared" si="586"/>
        <v>3.32</v>
      </c>
      <c r="G193" s="188"/>
      <c r="H193" s="188">
        <f t="shared" si="495"/>
        <v>99.6</v>
      </c>
      <c r="I193" s="465">
        <f t="shared" si="496"/>
        <v>19.778128181778492</v>
      </c>
      <c r="J193" s="149">
        <f t="shared" si="497"/>
        <v>30.51946944058081</v>
      </c>
      <c r="K193" s="149">
        <f t="shared" si="498"/>
        <v>50.297597622359305</v>
      </c>
      <c r="L193" s="379"/>
      <c r="M193" s="188">
        <f t="shared" si="499"/>
        <v>0.60675958223353765</v>
      </c>
      <c r="N193" s="149">
        <f t="shared" si="500"/>
        <v>182.5927936457297</v>
      </c>
      <c r="O193" s="149">
        <f t="shared" si="438"/>
        <v>99.6</v>
      </c>
      <c r="P193" s="188">
        <f t="shared" si="501"/>
        <v>6.0864264548576568</v>
      </c>
      <c r="Q193" s="188">
        <f t="shared" si="502"/>
        <v>30</v>
      </c>
      <c r="R193" s="188"/>
      <c r="S193" s="149">
        <f t="shared" si="503"/>
        <v>70.594935003055838</v>
      </c>
      <c r="T193" s="149">
        <f t="shared" si="504"/>
        <v>30</v>
      </c>
      <c r="U193" s="188">
        <f t="shared" si="505"/>
        <v>16.885344689933074</v>
      </c>
      <c r="V193" s="188">
        <f t="shared" si="506"/>
        <v>4.0125698101097615</v>
      </c>
      <c r="W193" s="188">
        <f t="shared" si="507"/>
        <v>2.6003440262025452</v>
      </c>
      <c r="X193" s="172">
        <f t="shared" si="508"/>
        <v>350</v>
      </c>
      <c r="Y193" s="379">
        <f t="shared" si="509"/>
        <v>146.78007443306808</v>
      </c>
      <c r="AA193" s="188">
        <f t="shared" si="510"/>
        <v>7.2953985437288793</v>
      </c>
      <c r="AB193" s="150">
        <f t="shared" si="511"/>
        <v>1.1234917835738496</v>
      </c>
      <c r="AC193" s="150">
        <f t="shared" si="512"/>
        <v>1.434356056310804</v>
      </c>
      <c r="AD193" s="150"/>
      <c r="AE193" s="150">
        <f t="shared" si="513"/>
        <v>0.93333367214349561</v>
      </c>
      <c r="AF193" s="314">
        <f t="shared" si="514"/>
        <v>1173.8567167343735</v>
      </c>
      <c r="AG193" s="456">
        <f t="shared" si="515"/>
        <v>0.9898993492431013</v>
      </c>
      <c r="AI193" s="150">
        <f t="shared" si="516"/>
        <v>11.09914635906625</v>
      </c>
      <c r="AJ193" s="150">
        <f t="shared" si="517"/>
        <v>16.885344689933074</v>
      </c>
      <c r="AK193" s="150">
        <f t="shared" si="518"/>
        <v>9.2183249106126031</v>
      </c>
      <c r="AM193" s="314">
        <f t="shared" si="519"/>
        <v>3320</v>
      </c>
      <c r="AN193" s="144">
        <f t="shared" si="520"/>
        <v>146.78007443306808</v>
      </c>
      <c r="AP193">
        <f t="shared" si="521"/>
        <v>3320</v>
      </c>
      <c r="AQ193">
        <f t="shared" si="522"/>
        <v>146.78007443306808</v>
      </c>
      <c r="AS193" s="5">
        <f t="shared" si="439"/>
        <v>6.8129138363123083</v>
      </c>
      <c r="AT193" s="5">
        <f t="shared" si="523"/>
        <v>4.0125698101097615</v>
      </c>
      <c r="AU193" s="5">
        <f t="shared" si="477"/>
        <v>2.8003440262025467</v>
      </c>
      <c r="AV193" s="5"/>
      <c r="AW193" s="150">
        <f t="shared" si="478"/>
        <v>0.58896529539579268</v>
      </c>
      <c r="AX193" s="150">
        <f t="shared" si="435"/>
        <v>98.34557570342298</v>
      </c>
      <c r="AY193" s="150">
        <f t="shared" si="436"/>
        <v>3.4702313333834307</v>
      </c>
      <c r="AZ193" s="150">
        <f t="shared" si="440"/>
        <v>28.339775149092816</v>
      </c>
      <c r="BA193" s="144">
        <f t="shared" si="593"/>
        <v>44.405772565214697</v>
      </c>
      <c r="BB193" s="5">
        <f t="shared" si="594"/>
        <v>8.2953863582897593</v>
      </c>
      <c r="BD193" s="150">
        <f t="shared" si="441"/>
        <v>7.4815943234464957</v>
      </c>
      <c r="BE193" s="150">
        <f t="shared" si="437"/>
        <v>6.250122783753147</v>
      </c>
      <c r="BG193" s="456">
        <f t="shared" si="479"/>
        <v>0.67169104344752195</v>
      </c>
      <c r="BH193" s="456">
        <f t="shared" si="524"/>
        <v>2.2750300904063092</v>
      </c>
      <c r="BI193" s="456">
        <f t="shared" si="480"/>
        <v>1.6879708559802829E-2</v>
      </c>
      <c r="BJ193" s="456">
        <f t="shared" si="481"/>
        <v>0.19216396103934688</v>
      </c>
      <c r="BK193">
        <f t="shared" si="482"/>
        <v>8.9001576818003216E-3</v>
      </c>
      <c r="BL193" s="144">
        <f t="shared" si="587"/>
        <v>25.779866241603152</v>
      </c>
      <c r="BM193" s="456">
        <f t="shared" si="525"/>
        <v>3.9507581508968563</v>
      </c>
      <c r="BN193" s="144">
        <f t="shared" si="526"/>
        <v>3950.7581508968565</v>
      </c>
      <c r="BO193" s="456">
        <f t="shared" si="483"/>
        <v>2.3239999999999998</v>
      </c>
      <c r="BR193" s="144">
        <f t="shared" si="484"/>
        <v>2324</v>
      </c>
      <c r="BS193" s="456">
        <f t="shared" si="485"/>
        <v>0.78363955068877555</v>
      </c>
      <c r="BT193" s="456">
        <f t="shared" si="486"/>
        <v>0.54689648736786267</v>
      </c>
      <c r="BU193" s="456">
        <f t="shared" si="487"/>
        <v>15.290179706013852</v>
      </c>
      <c r="BV193" s="456"/>
      <c r="BW193" s="456">
        <f t="shared" si="488"/>
        <v>4.1849181150392756</v>
      </c>
      <c r="BX193" s="144">
        <f t="shared" si="489"/>
        <v>20805.63385910977</v>
      </c>
      <c r="BY193" s="150">
        <f t="shared" si="490"/>
        <v>26.294298820244549</v>
      </c>
      <c r="BZ193" s="5">
        <f t="shared" si="491"/>
        <v>99.6</v>
      </c>
      <c r="CA193" s="150">
        <f t="shared" si="492"/>
        <v>0.79113987633555749</v>
      </c>
      <c r="CB193" s="5">
        <f t="shared" si="493"/>
        <v>79.113987633555752</v>
      </c>
      <c r="CE193" s="59">
        <f t="shared" si="527"/>
        <v>-50</v>
      </c>
      <c r="CF193">
        <f t="shared" si="528"/>
        <v>-50</v>
      </c>
      <c r="CG193" s="150">
        <f t="shared" si="529"/>
        <v>0.38905346651020345</v>
      </c>
      <c r="CI193" s="147">
        <v>83</v>
      </c>
      <c r="CJ193" s="188">
        <f t="shared" si="588"/>
        <v>3.32</v>
      </c>
      <c r="CK193" s="188"/>
      <c r="CL193" s="188">
        <f t="shared" si="530"/>
        <v>99.6</v>
      </c>
      <c r="CM193" s="465">
        <f t="shared" si="531"/>
        <v>20</v>
      </c>
      <c r="CN193" s="379">
        <f t="shared" si="532"/>
        <v>30.4</v>
      </c>
      <c r="CO193" s="379">
        <f t="shared" si="533"/>
        <v>50.4</v>
      </c>
      <c r="CP193" s="379"/>
      <c r="CQ193" s="188">
        <f t="shared" si="534"/>
        <v>0.60317460317460314</v>
      </c>
      <c r="CR193" s="149">
        <f t="shared" si="589"/>
        <v>183.55019291189507</v>
      </c>
      <c r="CS193" s="149">
        <f t="shared" si="535"/>
        <v>99.6</v>
      </c>
      <c r="CT193" s="188">
        <f t="shared" si="536"/>
        <v>6.1183397637298356</v>
      </c>
      <c r="CU193" s="188">
        <f t="shared" si="537"/>
        <v>30</v>
      </c>
      <c r="CV193" s="188"/>
      <c r="CW193" s="149">
        <f t="shared" si="538"/>
        <v>71.385630575754064</v>
      </c>
      <c r="CX193" s="149">
        <f t="shared" si="539"/>
        <v>30</v>
      </c>
      <c r="CY193" s="188">
        <f t="shared" si="540"/>
        <v>16.512631578947367</v>
      </c>
      <c r="CZ193" s="188">
        <f t="shared" si="541"/>
        <v>3.8804684210526315</v>
      </c>
      <c r="DA193" s="188">
        <f t="shared" si="542"/>
        <v>2.5529397506925209</v>
      </c>
      <c r="DB193" s="172">
        <f t="shared" si="543"/>
        <v>350</v>
      </c>
      <c r="DC193" s="379">
        <f t="shared" si="544"/>
        <v>155.43860630387078</v>
      </c>
      <c r="DE193" s="188">
        <f t="shared" si="545"/>
        <v>7.3334298258310406</v>
      </c>
      <c r="DF193" s="150">
        <f t="shared" si="546"/>
        <v>1.1337868480725624</v>
      </c>
      <c r="DG193" s="150">
        <f t="shared" si="547"/>
        <v>1.4550456003633017</v>
      </c>
      <c r="DH193" s="150"/>
      <c r="DI193" s="150">
        <f t="shared" si="548"/>
        <v>0.93700159489633172</v>
      </c>
      <c r="DJ193" s="314">
        <f t="shared" si="549"/>
        <v>1169.2616170212766</v>
      </c>
      <c r="DK193" s="456">
        <f t="shared" si="550"/>
        <v>0.99378957034459414</v>
      </c>
      <c r="DM193" s="150">
        <f t="shared" si="551"/>
        <v>11.077401075598267</v>
      </c>
      <c r="DN193" s="150">
        <f t="shared" si="552"/>
        <v>16.512631578947367</v>
      </c>
      <c r="DO193" s="150">
        <f t="shared" si="553"/>
        <v>8.9422411246972651</v>
      </c>
      <c r="DQ193" s="314">
        <f t="shared" si="554"/>
        <v>3320</v>
      </c>
      <c r="DR193" s="144">
        <f t="shared" si="555"/>
        <v>155.43860630387078</v>
      </c>
      <c r="DT193">
        <f t="shared" si="590"/>
        <v>3320</v>
      </c>
      <c r="DU193">
        <f t="shared" si="591"/>
        <v>155.43860630387078</v>
      </c>
      <c r="DW193" s="5">
        <f t="shared" si="556"/>
        <v>6.4334081717451532</v>
      </c>
      <c r="DX193" s="5">
        <f t="shared" si="557"/>
        <v>3.8804684210526315</v>
      </c>
      <c r="DY193" s="5">
        <f t="shared" si="558"/>
        <v>2.5529397506925218</v>
      </c>
      <c r="DZ193" s="5"/>
      <c r="EA193" s="150">
        <f t="shared" si="559"/>
        <v>0.60317460317460303</v>
      </c>
      <c r="EB193" s="150">
        <f t="shared" si="560"/>
        <v>99.599999999999952</v>
      </c>
      <c r="EC193" s="150">
        <f t="shared" si="561"/>
        <v>3.276315789473685</v>
      </c>
      <c r="ED193" s="150">
        <f t="shared" si="562"/>
        <v>30.399999999999977</v>
      </c>
      <c r="EE193" s="144">
        <f t="shared" si="563"/>
        <v>42.943850526315785</v>
      </c>
      <c r="EF193" s="5">
        <f t="shared" si="564"/>
        <v>7.4786117402639745</v>
      </c>
      <c r="EH193" s="150">
        <f t="shared" si="565"/>
        <v>7.4041837390832788</v>
      </c>
      <c r="EI193" s="150">
        <f t="shared" si="566"/>
        <v>6.0055860423368648</v>
      </c>
      <c r="EK193" s="456">
        <f t="shared" si="567"/>
        <v>0.65786324210526292</v>
      </c>
      <c r="EL193" s="456">
        <f t="shared" si="568"/>
        <v>2.4578723404255314</v>
      </c>
      <c r="EM193" s="456">
        <f t="shared" si="569"/>
        <v>1.7875439724945139E-2</v>
      </c>
      <c r="EN193" s="456">
        <f t="shared" si="570"/>
        <v>0.20432914637272492</v>
      </c>
      <c r="EO193">
        <f t="shared" si="571"/>
        <v>8.9999999999999993E-3</v>
      </c>
      <c r="EP193" s="144">
        <f t="shared" si="572"/>
        <v>26.875439724945139</v>
      </c>
      <c r="EQ193" s="144"/>
      <c r="ER193" s="144">
        <f t="shared" si="592"/>
        <v>3346.9401686284641</v>
      </c>
      <c r="ES193" s="456">
        <f t="shared" si="573"/>
        <v>2.3239999999999998</v>
      </c>
      <c r="EV193" s="144">
        <f t="shared" si="494"/>
        <v>2324</v>
      </c>
      <c r="EW193" s="456">
        <f t="shared" si="574"/>
        <v>0.76750711578947339</v>
      </c>
      <c r="EX193" s="456">
        <f t="shared" si="575"/>
        <v>0.50493889196675912</v>
      </c>
      <c r="EY193" s="456">
        <f t="shared" si="576"/>
        <v>16.688141232989647</v>
      </c>
      <c r="EZ193" s="456"/>
      <c r="FA193" s="456">
        <f t="shared" si="577"/>
        <v>4.2382978723404241</v>
      </c>
      <c r="FB193" s="144">
        <f t="shared" si="578"/>
        <v>22198.885113086304</v>
      </c>
      <c r="FC193" s="150">
        <f t="shared" si="579"/>
        <v>27.869825281714768</v>
      </c>
      <c r="FD193" s="5">
        <f t="shared" si="580"/>
        <v>99.6</v>
      </c>
      <c r="FE193" s="150">
        <f t="shared" si="581"/>
        <v>0.78136139105767943</v>
      </c>
      <c r="FF193" s="5">
        <f t="shared" si="582"/>
        <v>78.136139105767938</v>
      </c>
      <c r="FI193" s="59">
        <f t="shared" si="583"/>
        <v>-50</v>
      </c>
      <c r="FJ193">
        <f t="shared" si="584"/>
        <v>-50</v>
      </c>
      <c r="FL193">
        <f t="shared" si="585"/>
        <v>0.39682539682539697</v>
      </c>
    </row>
    <row r="194" spans="5:168">
      <c r="E194" s="147">
        <v>84</v>
      </c>
      <c r="F194" s="188">
        <f t="shared" si="586"/>
        <v>3.36</v>
      </c>
      <c r="G194" s="188"/>
      <c r="H194" s="188">
        <f t="shared" si="495"/>
        <v>100.8</v>
      </c>
      <c r="I194" s="465">
        <f t="shared" si="496"/>
        <v>19.77550841494099</v>
      </c>
      <c r="J194" s="149">
        <f t="shared" si="497"/>
        <v>30.520880084262544</v>
      </c>
      <c r="K194" s="149">
        <f t="shared" si="498"/>
        <v>50.29638849920353</v>
      </c>
      <c r="L194" s="379"/>
      <c r="M194" s="188">
        <f t="shared" si="499"/>
        <v>0.60680222166191733</v>
      </c>
      <c r="N194" s="149">
        <f t="shared" si="500"/>
        <v>182.58143763869151</v>
      </c>
      <c r="O194" s="149">
        <f t="shared" si="438"/>
        <v>100.8</v>
      </c>
      <c r="P194" s="188">
        <f t="shared" si="501"/>
        <v>6.0860479212897172</v>
      </c>
      <c r="Q194" s="188">
        <f t="shared" si="502"/>
        <v>30</v>
      </c>
      <c r="R194" s="188"/>
      <c r="S194" s="149">
        <f t="shared" si="503"/>
        <v>69.51290769480633</v>
      </c>
      <c r="T194" s="149">
        <f t="shared" si="504"/>
        <v>30</v>
      </c>
      <c r="U194" s="188">
        <f t="shared" si="505"/>
        <v>17.09063573147138</v>
      </c>
      <c r="V194" s="188">
        <f t="shared" si="506"/>
        <v>4.0618924303977337</v>
      </c>
      <c r="W194" s="188">
        <f t="shared" si="507"/>
        <v>2.6318372116449522</v>
      </c>
      <c r="X194" s="172">
        <f t="shared" si="508"/>
        <v>350</v>
      </c>
      <c r="Y194" s="379">
        <f t="shared" si="509"/>
        <v>145.05935856569062</v>
      </c>
      <c r="AA194" s="188">
        <f t="shared" si="510"/>
        <v>7.2949447341740354</v>
      </c>
      <c r="AB194" s="150">
        <f t="shared" si="511"/>
        <v>1.1233699734725853</v>
      </c>
      <c r="AC194" s="150">
        <f t="shared" si="512"/>
        <v>1.4341113276897859</v>
      </c>
      <c r="AD194" s="150"/>
      <c r="AE194" s="150">
        <f t="shared" si="513"/>
        <v>0.93329053442125676</v>
      </c>
      <c r="AF194" s="314">
        <f t="shared" si="514"/>
        <v>1188.0544793991492</v>
      </c>
      <c r="AG194" s="456">
        <f t="shared" si="515"/>
        <v>0.98985359711345411</v>
      </c>
      <c r="AI194" s="150">
        <f t="shared" si="516"/>
        <v>11.166066543163224</v>
      </c>
      <c r="AJ194" s="150">
        <f t="shared" si="517"/>
        <v>17.09063573147138</v>
      </c>
      <c r="AK194" s="150">
        <f t="shared" si="518"/>
        <v>9.3703923487891245</v>
      </c>
      <c r="AM194" s="314">
        <f t="shared" si="519"/>
        <v>3360</v>
      </c>
      <c r="AN194" s="144">
        <f t="shared" si="520"/>
        <v>145.05935856569062</v>
      </c>
      <c r="AP194">
        <f t="shared" si="521"/>
        <v>3360</v>
      </c>
      <c r="AQ194">
        <f t="shared" si="522"/>
        <v>145.05935856569062</v>
      </c>
      <c r="AS194" s="5">
        <f t="shared" si="439"/>
        <v>6.8937296420426861</v>
      </c>
      <c r="AT194" s="5">
        <f t="shared" si="523"/>
        <v>4.0618924303977337</v>
      </c>
      <c r="AU194" s="5">
        <f t="shared" si="477"/>
        <v>2.8318372116449524</v>
      </c>
      <c r="AV194" s="5"/>
      <c r="AW194" s="150">
        <f t="shared" si="478"/>
        <v>0.58921551051632937</v>
      </c>
      <c r="AX194" s="150">
        <f t="shared" si="435"/>
        <v>99.570353850625892</v>
      </c>
      <c r="AY194" s="150">
        <f t="shared" si="436"/>
        <v>3.5102840369519255</v>
      </c>
      <c r="AZ194" s="150">
        <f t="shared" si="440"/>
        <v>28.365326794775708</v>
      </c>
      <c r="BA194" s="144">
        <f t="shared" si="593"/>
        <v>45.493195220454616</v>
      </c>
      <c r="BB194" s="5">
        <f t="shared" si="594"/>
        <v>8.4908708924890544</v>
      </c>
      <c r="BD194" s="150">
        <f t="shared" si="441"/>
        <v>7.5741634989561266</v>
      </c>
      <c r="BE194" s="150">
        <f t="shared" si="437"/>
        <v>6.3241856281813966</v>
      </c>
      <c r="BG194" s="456">
        <f t="shared" si="479"/>
        <v>0.68841543250703174</v>
      </c>
      <c r="BH194" s="456">
        <f t="shared" si="524"/>
        <v>2.275640430980967</v>
      </c>
      <c r="BI194" s="456">
        <f t="shared" si="480"/>
        <v>1.6681826235054421E-2</v>
      </c>
      <c r="BJ194" s="456">
        <f t="shared" si="481"/>
        <v>0.18990207524654179</v>
      </c>
      <c r="BK194">
        <f t="shared" si="482"/>
        <v>8.8989787867234452E-3</v>
      </c>
      <c r="BL194" s="144">
        <f t="shared" si="587"/>
        <v>25.580805021777866</v>
      </c>
      <c r="BM194" s="456">
        <f t="shared" si="525"/>
        <v>3.9929463913925076</v>
      </c>
      <c r="BN194" s="144">
        <f t="shared" si="526"/>
        <v>3992.9463913925074</v>
      </c>
      <c r="BO194" s="456">
        <f t="shared" si="483"/>
        <v>2.3519999999999999</v>
      </c>
      <c r="BR194" s="144">
        <f t="shared" si="484"/>
        <v>2352</v>
      </c>
      <c r="BS194" s="456">
        <f t="shared" si="485"/>
        <v>0.80315133792487037</v>
      </c>
      <c r="BT194" s="456">
        <f t="shared" si="486"/>
        <v>0.55993453403574578</v>
      </c>
      <c r="BU194" s="456">
        <f t="shared" si="487"/>
        <v>15.30135638875505</v>
      </c>
      <c r="BV194" s="456"/>
      <c r="BW194" s="456">
        <f t="shared" si="488"/>
        <v>4.2370363340691872</v>
      </c>
      <c r="BX194" s="144">
        <f t="shared" si="489"/>
        <v>20901.478594784854</v>
      </c>
      <c r="BY194" s="150">
        <f t="shared" si="490"/>
        <v>26.43301733854117</v>
      </c>
      <c r="BZ194" s="5">
        <f t="shared" si="491"/>
        <v>100.8</v>
      </c>
      <c r="CA194" s="150">
        <f t="shared" si="492"/>
        <v>0.79224718637137803</v>
      </c>
      <c r="CB194" s="5">
        <f t="shared" si="493"/>
        <v>79.224718637137798</v>
      </c>
      <c r="CE194" s="59">
        <f t="shared" si="527"/>
        <v>-50</v>
      </c>
      <c r="CF194">
        <f t="shared" si="528"/>
        <v>-50</v>
      </c>
      <c r="CG194" s="150">
        <f t="shared" si="529"/>
        <v>0.38914598949014612</v>
      </c>
      <c r="CI194" s="147">
        <v>84</v>
      </c>
      <c r="CJ194" s="188">
        <f t="shared" si="588"/>
        <v>3.36</v>
      </c>
      <c r="CK194" s="188"/>
      <c r="CL194" s="188">
        <f t="shared" si="530"/>
        <v>100.8</v>
      </c>
      <c r="CM194" s="465">
        <f t="shared" si="531"/>
        <v>20</v>
      </c>
      <c r="CN194" s="379">
        <f t="shared" si="532"/>
        <v>30.4</v>
      </c>
      <c r="CO194" s="379">
        <f t="shared" si="533"/>
        <v>50.4</v>
      </c>
      <c r="CP194" s="379"/>
      <c r="CQ194" s="188">
        <f t="shared" si="534"/>
        <v>0.60317460317460314</v>
      </c>
      <c r="CR194" s="149">
        <f t="shared" si="589"/>
        <v>183.55019291189507</v>
      </c>
      <c r="CS194" s="149">
        <f t="shared" si="535"/>
        <v>100.8</v>
      </c>
      <c r="CT194" s="188">
        <f t="shared" si="536"/>
        <v>6.1183397637298356</v>
      </c>
      <c r="CU194" s="188">
        <f t="shared" si="537"/>
        <v>30</v>
      </c>
      <c r="CV194" s="188"/>
      <c r="CW194" s="149">
        <f t="shared" si="538"/>
        <v>70.300743170730428</v>
      </c>
      <c r="CX194" s="149">
        <f t="shared" si="539"/>
        <v>30</v>
      </c>
      <c r="CY194" s="188">
        <f t="shared" si="540"/>
        <v>16.71157894736842</v>
      </c>
      <c r="CZ194" s="188">
        <f t="shared" si="541"/>
        <v>3.9272210526315789</v>
      </c>
      <c r="DA194" s="188">
        <f t="shared" si="542"/>
        <v>2.5836980609418285</v>
      </c>
      <c r="DB194" s="172">
        <f t="shared" si="543"/>
        <v>350</v>
      </c>
      <c r="DC194" s="379">
        <f t="shared" si="544"/>
        <v>153.58814670501519</v>
      </c>
      <c r="DE194" s="188">
        <f t="shared" si="545"/>
        <v>7.3334298258310406</v>
      </c>
      <c r="DF194" s="150">
        <f t="shared" si="546"/>
        <v>1.1337868480725624</v>
      </c>
      <c r="DG194" s="150">
        <f t="shared" si="547"/>
        <v>1.4550456003633017</v>
      </c>
      <c r="DH194" s="150"/>
      <c r="DI194" s="150">
        <f t="shared" si="548"/>
        <v>0.93700159489633172</v>
      </c>
      <c r="DJ194" s="314">
        <f t="shared" si="549"/>
        <v>1183.3491063829786</v>
      </c>
      <c r="DK194" s="456">
        <f t="shared" si="550"/>
        <v>0.99378957034459414</v>
      </c>
      <c r="DM194" s="150">
        <f t="shared" si="551"/>
        <v>11.143932611181439</v>
      </c>
      <c r="DN194" s="150">
        <f t="shared" si="552"/>
        <v>16.71157894736842</v>
      </c>
      <c r="DO194" s="150">
        <f t="shared" si="553"/>
        <v>9.0896095457498944</v>
      </c>
      <c r="DQ194" s="314">
        <f t="shared" si="554"/>
        <v>3360</v>
      </c>
      <c r="DR194" s="144">
        <f t="shared" si="555"/>
        <v>153.58814670501519</v>
      </c>
      <c r="DT194">
        <f t="shared" si="590"/>
        <v>3360</v>
      </c>
      <c r="DU194">
        <f t="shared" si="591"/>
        <v>153.58814670501519</v>
      </c>
      <c r="DW194" s="5">
        <f t="shared" si="556"/>
        <v>6.5109191135734079</v>
      </c>
      <c r="DX194" s="5">
        <f t="shared" si="557"/>
        <v>3.9272210526315789</v>
      </c>
      <c r="DY194" s="5">
        <f t="shared" si="558"/>
        <v>2.583698060941829</v>
      </c>
      <c r="DZ194" s="5"/>
      <c r="EA194" s="150">
        <f t="shared" si="559"/>
        <v>0.60317460317460314</v>
      </c>
      <c r="EB194" s="150">
        <f t="shared" si="560"/>
        <v>100.79999999999995</v>
      </c>
      <c r="EC194" s="150">
        <f t="shared" si="561"/>
        <v>3.3157894736842106</v>
      </c>
      <c r="ED194" s="150">
        <f t="shared" si="562"/>
        <v>30.399999999999984</v>
      </c>
      <c r="EE194" s="144">
        <f t="shared" si="563"/>
        <v>43.984875789473683</v>
      </c>
      <c r="EF194" s="5">
        <f t="shared" si="564"/>
        <v>7.6599048394981271</v>
      </c>
      <c r="EH194" s="150">
        <f t="shared" si="565"/>
        <v>7.4933907720842825</v>
      </c>
      <c r="EI194" s="150">
        <f t="shared" si="566"/>
        <v>6.0779425006782715</v>
      </c>
      <c r="EK194" s="456">
        <f t="shared" si="567"/>
        <v>0.67381086315789462</v>
      </c>
      <c r="EL194" s="456">
        <f t="shared" si="568"/>
        <v>2.4578723404255314</v>
      </c>
      <c r="EM194" s="456">
        <f t="shared" si="569"/>
        <v>1.7662636871076748E-2</v>
      </c>
      <c r="EN194" s="456">
        <f t="shared" si="570"/>
        <v>0.20189665653495439</v>
      </c>
      <c r="EO194">
        <f t="shared" si="571"/>
        <v>8.9999999999999993E-3</v>
      </c>
      <c r="EP194" s="144">
        <f t="shared" si="572"/>
        <v>26.662636871076749</v>
      </c>
      <c r="EQ194" s="144"/>
      <c r="ER194" s="144">
        <f t="shared" si="592"/>
        <v>3360.2424969894573</v>
      </c>
      <c r="ES194" s="456">
        <f t="shared" si="573"/>
        <v>2.3519999999999999</v>
      </c>
      <c r="EV194" s="144">
        <f t="shared" si="494"/>
        <v>2352</v>
      </c>
      <c r="EW194" s="456">
        <f t="shared" si="574"/>
        <v>0.78611267368421034</v>
      </c>
      <c r="EX194" s="456">
        <f t="shared" si="575"/>
        <v>0.51717939058171736</v>
      </c>
      <c r="EY194" s="456">
        <f t="shared" si="576"/>
        <v>16.688141232989619</v>
      </c>
      <c r="EZ194" s="456"/>
      <c r="FA194" s="456">
        <f t="shared" si="577"/>
        <v>4.2893617021276595</v>
      </c>
      <c r="FB194" s="144">
        <f t="shared" si="578"/>
        <v>22280.794999383208</v>
      </c>
      <c r="FC194" s="150">
        <f t="shared" si="579"/>
        <v>27.993037496372665</v>
      </c>
      <c r="FD194" s="5">
        <f t="shared" si="580"/>
        <v>100.8</v>
      </c>
      <c r="FE194" s="150">
        <f t="shared" si="581"/>
        <v>0.78265100318671288</v>
      </c>
      <c r="FF194" s="5">
        <f t="shared" si="582"/>
        <v>78.265100318671287</v>
      </c>
      <c r="FI194" s="59">
        <f t="shared" si="583"/>
        <v>-50</v>
      </c>
      <c r="FJ194">
        <f t="shared" si="584"/>
        <v>-50</v>
      </c>
      <c r="FL194">
        <f t="shared" si="585"/>
        <v>0.39682539682539686</v>
      </c>
    </row>
    <row r="195" spans="5:168">
      <c r="E195" s="147">
        <v>85</v>
      </c>
      <c r="F195" s="188">
        <f t="shared" si="586"/>
        <v>3.4</v>
      </c>
      <c r="G195" s="188"/>
      <c r="H195" s="188">
        <f t="shared" si="495"/>
        <v>102</v>
      </c>
      <c r="I195" s="465">
        <f t="shared" si="496"/>
        <v>19.772888623319808</v>
      </c>
      <c r="J195" s="149">
        <f t="shared" si="497"/>
        <v>30.522290741289332</v>
      </c>
      <c r="K195" s="149">
        <f t="shared" si="498"/>
        <v>50.29517936460914</v>
      </c>
      <c r="L195" s="379"/>
      <c r="M195" s="188">
        <f t="shared" si="499"/>
        <v>0.60684486343864408</v>
      </c>
      <c r="N195" s="149">
        <f t="shared" si="500"/>
        <v>182.57007871004893</v>
      </c>
      <c r="O195" s="149">
        <f t="shared" si="438"/>
        <v>102</v>
      </c>
      <c r="P195" s="188">
        <f t="shared" si="501"/>
        <v>6.0856692903349643</v>
      </c>
      <c r="Q195" s="188">
        <f t="shared" si="502"/>
        <v>30</v>
      </c>
      <c r="R195" s="188"/>
      <c r="S195" s="149">
        <f t="shared" si="503"/>
        <v>68.456452712377484</v>
      </c>
      <c r="T195" s="149">
        <f t="shared" si="504"/>
        <v>30</v>
      </c>
      <c r="U195" s="188">
        <f t="shared" si="505"/>
        <v>17.295971405778108</v>
      </c>
      <c r="V195" s="188">
        <f t="shared" si="506"/>
        <v>4.111238734803969</v>
      </c>
      <c r="W195" s="188">
        <f t="shared" si="507"/>
        <v>2.6633343577056561</v>
      </c>
      <c r="X195" s="172">
        <f t="shared" si="508"/>
        <v>350</v>
      </c>
      <c r="Y195" s="379">
        <f t="shared" si="509"/>
        <v>143.37795112850054</v>
      </c>
      <c r="AA195" s="188">
        <f t="shared" si="510"/>
        <v>7.2944908091706173</v>
      </c>
      <c r="AB195" s="150">
        <f t="shared" si="511"/>
        <v>1.1232481563621217</v>
      </c>
      <c r="AC195" s="150">
        <f t="shared" si="512"/>
        <v>1.433866586775234</v>
      </c>
      <c r="AD195" s="150"/>
      <c r="AE195" s="150">
        <f t="shared" si="513"/>
        <v>0.93324740027835851</v>
      </c>
      <c r="AF195" s="314">
        <f t="shared" si="514"/>
        <v>1202.2535499861478</v>
      </c>
      <c r="AG195" s="456">
        <f t="shared" si="515"/>
        <v>0.98980784878007733</v>
      </c>
      <c r="AI195" s="150">
        <f t="shared" si="516"/>
        <v>11.232594155107451</v>
      </c>
      <c r="AJ195" s="150">
        <f t="shared" si="517"/>
        <v>17.295971405778108</v>
      </c>
      <c r="AK195" s="150">
        <f t="shared" si="518"/>
        <v>9.5224928482755899</v>
      </c>
      <c r="AM195" s="314">
        <f t="shared" si="519"/>
        <v>3400</v>
      </c>
      <c r="AN195" s="144">
        <f t="shared" si="520"/>
        <v>143.37795112850054</v>
      </c>
      <c r="AP195">
        <f t="shared" si="521"/>
        <v>3400</v>
      </c>
      <c r="AQ195">
        <f t="shared" si="522"/>
        <v>143.37795112850054</v>
      </c>
      <c r="AS195" s="5">
        <f t="shared" si="439"/>
        <v>6.9745730925096252</v>
      </c>
      <c r="AT195" s="5">
        <f t="shared" si="523"/>
        <v>4.111238734803969</v>
      </c>
      <c r="AU195" s="5">
        <f t="shared" si="477"/>
        <v>2.8633343577056563</v>
      </c>
      <c r="AV195" s="5"/>
      <c r="AW195" s="150">
        <f t="shared" si="478"/>
        <v>0.58946098639632194</v>
      </c>
      <c r="AX195" s="150">
        <f t="shared" si="435"/>
        <v>100.79526930448331</v>
      </c>
      <c r="AY195" s="150">
        <f t="shared" si="436"/>
        <v>3.5503355201227826</v>
      </c>
      <c r="AZ195" s="150">
        <f t="shared" si="440"/>
        <v>28.390350357928277</v>
      </c>
      <c r="BA195" s="144">
        <f t="shared" si="593"/>
        <v>46.594038994444979</v>
      </c>
      <c r="BB195" s="5">
        <f t="shared" si="594"/>
        <v>8.6886678388367233</v>
      </c>
      <c r="BD195" s="150">
        <f t="shared" si="441"/>
        <v>7.6667599326697315</v>
      </c>
      <c r="BE195" s="150">
        <f t="shared" si="437"/>
        <v>6.3982550557143831</v>
      </c>
      <c r="BG195" s="456">
        <f t="shared" si="479"/>
        <v>0.70535049438227992</v>
      </c>
      <c r="BH195" s="456">
        <f t="shared" si="524"/>
        <v>2.2762321793691171</v>
      </c>
      <c r="BI195" s="456">
        <f t="shared" si="480"/>
        <v>1.6488464379777565E-2</v>
      </c>
      <c r="BJ195" s="456">
        <f t="shared" si="481"/>
        <v>0.1876918637132147</v>
      </c>
      <c r="BK195">
        <f t="shared" si="482"/>
        <v>8.8977998804939135E-3</v>
      </c>
      <c r="BL195" s="144">
        <f t="shared" si="587"/>
        <v>25.386264260271478</v>
      </c>
      <c r="BM195" s="456">
        <f t="shared" si="525"/>
        <v>4.0361412368639495</v>
      </c>
      <c r="BN195" s="144">
        <f t="shared" si="526"/>
        <v>4036.1412368639494</v>
      </c>
      <c r="BO195" s="456">
        <f t="shared" si="483"/>
        <v>2.38</v>
      </c>
      <c r="BR195" s="144">
        <f t="shared" si="484"/>
        <v>2380</v>
      </c>
      <c r="BS195" s="456">
        <f t="shared" si="485"/>
        <v>0.82290891011265987</v>
      </c>
      <c r="BT195" s="456">
        <f t="shared" si="486"/>
        <v>0.57312734861164538</v>
      </c>
      <c r="BU195" s="456">
        <f t="shared" si="487"/>
        <v>15.31222584215444</v>
      </c>
      <c r="BV195" s="456"/>
      <c r="BW195" s="456">
        <f t="shared" si="488"/>
        <v>4.2891603959354612</v>
      </c>
      <c r="BX195" s="144">
        <f t="shared" si="489"/>
        <v>20997.422496814204</v>
      </c>
      <c r="BY195" s="150">
        <f t="shared" si="490"/>
        <v>26.572083298539091</v>
      </c>
      <c r="BZ195" s="5">
        <f t="shared" si="491"/>
        <v>102</v>
      </c>
      <c r="CA195" s="150">
        <f t="shared" si="492"/>
        <v>0.79332929344514225</v>
      </c>
      <c r="CB195" s="5">
        <f t="shared" si="493"/>
        <v>79.332929344514227</v>
      </c>
      <c r="CE195" s="59">
        <f t="shared" si="527"/>
        <v>-50</v>
      </c>
      <c r="CF195">
        <f t="shared" si="528"/>
        <v>-50</v>
      </c>
      <c r="CG195" s="150">
        <f t="shared" si="529"/>
        <v>0.38923633545879599</v>
      </c>
      <c r="CI195" s="147">
        <v>85</v>
      </c>
      <c r="CJ195" s="188">
        <f t="shared" si="588"/>
        <v>3.4</v>
      </c>
      <c r="CK195" s="188"/>
      <c r="CL195" s="188">
        <f t="shared" si="530"/>
        <v>102</v>
      </c>
      <c r="CM195" s="465">
        <f t="shared" si="531"/>
        <v>20</v>
      </c>
      <c r="CN195" s="379">
        <f t="shared" si="532"/>
        <v>30.4</v>
      </c>
      <c r="CO195" s="379">
        <f t="shared" si="533"/>
        <v>50.4</v>
      </c>
      <c r="CP195" s="379"/>
      <c r="CQ195" s="188">
        <f t="shared" si="534"/>
        <v>0.60317460317460314</v>
      </c>
      <c r="CR195" s="149">
        <f t="shared" si="589"/>
        <v>183.55019291189507</v>
      </c>
      <c r="CS195" s="149">
        <f t="shared" si="535"/>
        <v>102</v>
      </c>
      <c r="CT195" s="188">
        <f t="shared" si="536"/>
        <v>6.1183397637298356</v>
      </c>
      <c r="CU195" s="188">
        <f t="shared" si="537"/>
        <v>30</v>
      </c>
      <c r="CV195" s="188"/>
      <c r="CW195" s="149">
        <f t="shared" si="538"/>
        <v>69.241433857340496</v>
      </c>
      <c r="CX195" s="149">
        <f t="shared" si="539"/>
        <v>30</v>
      </c>
      <c r="CY195" s="188">
        <f t="shared" si="540"/>
        <v>16.910526315789475</v>
      </c>
      <c r="CZ195" s="188">
        <f t="shared" si="541"/>
        <v>3.9739736842105269</v>
      </c>
      <c r="DA195" s="188">
        <f t="shared" si="542"/>
        <v>2.6144563711911362</v>
      </c>
      <c r="DB195" s="172">
        <f t="shared" si="543"/>
        <v>350</v>
      </c>
      <c r="DC195" s="379">
        <f t="shared" si="544"/>
        <v>151.78122733201502</v>
      </c>
      <c r="DE195" s="188">
        <f t="shared" si="545"/>
        <v>7.3334298258310406</v>
      </c>
      <c r="DF195" s="150">
        <f t="shared" si="546"/>
        <v>1.1337868480725624</v>
      </c>
      <c r="DG195" s="150">
        <f t="shared" si="547"/>
        <v>1.4550456003633017</v>
      </c>
      <c r="DH195" s="150"/>
      <c r="DI195" s="150">
        <f t="shared" si="548"/>
        <v>0.93700159489633172</v>
      </c>
      <c r="DJ195" s="314">
        <f t="shared" si="549"/>
        <v>1197.4365957446807</v>
      </c>
      <c r="DK195" s="456">
        <f t="shared" si="550"/>
        <v>0.99378957034459414</v>
      </c>
      <c r="DM195" s="150">
        <f t="shared" si="551"/>
        <v>11.210069290394271</v>
      </c>
      <c r="DN195" s="150">
        <f t="shared" si="552"/>
        <v>16.910526315789475</v>
      </c>
      <c r="DO195" s="150">
        <f t="shared" si="553"/>
        <v>9.2369779668025291</v>
      </c>
      <c r="DQ195" s="314">
        <f t="shared" si="554"/>
        <v>3400</v>
      </c>
      <c r="DR195" s="144">
        <f t="shared" si="555"/>
        <v>151.78122733201502</v>
      </c>
      <c r="DT195">
        <f t="shared" si="590"/>
        <v>3400</v>
      </c>
      <c r="DU195">
        <f t="shared" si="591"/>
        <v>151.78122733201502</v>
      </c>
      <c r="DW195" s="5">
        <f t="shared" si="556"/>
        <v>6.5884300554016617</v>
      </c>
      <c r="DX195" s="5">
        <f t="shared" si="557"/>
        <v>3.9739736842105269</v>
      </c>
      <c r="DY195" s="5">
        <f t="shared" si="558"/>
        <v>2.6144563711911348</v>
      </c>
      <c r="DZ195" s="5"/>
      <c r="EA195" s="150">
        <f t="shared" si="559"/>
        <v>0.60317460317460325</v>
      </c>
      <c r="EB195" s="150">
        <f t="shared" si="560"/>
        <v>102.00000000000001</v>
      </c>
      <c r="EC195" s="150">
        <f t="shared" si="561"/>
        <v>3.3552631578947367</v>
      </c>
      <c r="ED195" s="150">
        <f t="shared" si="562"/>
        <v>30.400000000000006</v>
      </c>
      <c r="EE195" s="144">
        <f t="shared" si="563"/>
        <v>45.038368421052631</v>
      </c>
      <c r="EF195" s="5">
        <f t="shared" si="564"/>
        <v>7.8433691135734023</v>
      </c>
      <c r="EH195" s="150">
        <f t="shared" si="565"/>
        <v>7.582597805085288</v>
      </c>
      <c r="EI195" s="150">
        <f t="shared" si="566"/>
        <v>6.1502989590196799</v>
      </c>
      <c r="EK195" s="456">
        <f t="shared" si="567"/>
        <v>0.68994947368421078</v>
      </c>
      <c r="EL195" s="456">
        <f t="shared" si="568"/>
        <v>2.4578723404255323</v>
      </c>
      <c r="EM195" s="456">
        <f t="shared" si="569"/>
        <v>1.7454841143181729E-2</v>
      </c>
      <c r="EN195" s="456">
        <f t="shared" si="570"/>
        <v>0.19952140175219024</v>
      </c>
      <c r="EO195">
        <f t="shared" si="571"/>
        <v>8.9999999999999993E-3</v>
      </c>
      <c r="EP195" s="144">
        <f t="shared" si="572"/>
        <v>26.454841143181731</v>
      </c>
      <c r="EQ195" s="144"/>
      <c r="ER195" s="144">
        <f t="shared" si="592"/>
        <v>3373.7980570051145</v>
      </c>
      <c r="ES195" s="456">
        <f t="shared" si="573"/>
        <v>2.38</v>
      </c>
      <c r="EV195" s="144">
        <f t="shared" si="494"/>
        <v>2380</v>
      </c>
      <c r="EW195" s="456">
        <f t="shared" si="574"/>
        <v>0.80494105263157922</v>
      </c>
      <c r="EX195" s="456">
        <f t="shared" si="575"/>
        <v>0.52956648199445977</v>
      </c>
      <c r="EY195" s="456">
        <f t="shared" si="576"/>
        <v>16.688141232989658</v>
      </c>
      <c r="EZ195" s="456"/>
      <c r="FA195" s="456">
        <f t="shared" si="577"/>
        <v>4.340425531914895</v>
      </c>
      <c r="FB195" s="144">
        <f t="shared" si="578"/>
        <v>22363.074299530592</v>
      </c>
      <c r="FC195" s="150">
        <f t="shared" si="579"/>
        <v>28.116872356535708</v>
      </c>
      <c r="FD195" s="5">
        <f t="shared" si="580"/>
        <v>102</v>
      </c>
      <c r="FE195" s="150">
        <f t="shared" si="581"/>
        <v>0.78391063474464606</v>
      </c>
      <c r="FF195" s="5">
        <f t="shared" si="582"/>
        <v>78.391063474464602</v>
      </c>
      <c r="FI195" s="59">
        <f t="shared" si="583"/>
        <v>-50</v>
      </c>
      <c r="FJ195">
        <f t="shared" si="584"/>
        <v>-50</v>
      </c>
      <c r="FL195">
        <f t="shared" si="585"/>
        <v>0.39682539682539675</v>
      </c>
    </row>
    <row r="196" spans="5:168">
      <c r="E196" s="147">
        <v>86</v>
      </c>
      <c r="F196" s="188">
        <f t="shared" si="586"/>
        <v>3.44</v>
      </c>
      <c r="G196" s="188"/>
      <c r="H196" s="188">
        <f t="shared" si="495"/>
        <v>103.2</v>
      </c>
      <c r="I196" s="465">
        <f t="shared" si="496"/>
        <v>19.770268807796153</v>
      </c>
      <c r="J196" s="149">
        <f t="shared" si="497"/>
        <v>30.523701411186686</v>
      </c>
      <c r="K196" s="149">
        <f t="shared" si="498"/>
        <v>50.293970218982835</v>
      </c>
      <c r="L196" s="379"/>
      <c r="M196" s="188">
        <f t="shared" si="499"/>
        <v>0.60688750755331644</v>
      </c>
      <c r="N196" s="149">
        <f t="shared" si="500"/>
        <v>182.55871686448114</v>
      </c>
      <c r="O196" s="149">
        <f t="shared" si="438"/>
        <v>103.2</v>
      </c>
      <c r="P196" s="188">
        <f t="shared" si="501"/>
        <v>6.0852905621493711</v>
      </c>
      <c r="Q196" s="188">
        <f t="shared" si="502"/>
        <v>30</v>
      </c>
      <c r="R196" s="188"/>
      <c r="S196" s="149">
        <f t="shared" si="503"/>
        <v>67.42467849210361</v>
      </c>
      <c r="T196" s="149">
        <f t="shared" si="504"/>
        <v>30</v>
      </c>
      <c r="U196" s="188">
        <f t="shared" si="505"/>
        <v>17.501351730594291</v>
      </c>
      <c r="V196" s="188">
        <f t="shared" si="506"/>
        <v>4.1606087369614535</v>
      </c>
      <c r="W196" s="188">
        <f t="shared" si="507"/>
        <v>2.6948354665678553</v>
      </c>
      <c r="X196" s="172">
        <f t="shared" si="508"/>
        <v>350</v>
      </c>
      <c r="Y196" s="379">
        <f t="shared" si="509"/>
        <v>141.73452034384667</v>
      </c>
      <c r="AA196" s="188">
        <f t="shared" si="510"/>
        <v>7.2940367688601944</v>
      </c>
      <c r="AB196" s="150">
        <f t="shared" si="511"/>
        <v>1.1231263322828486</v>
      </c>
      <c r="AC196" s="150">
        <f t="shared" si="512"/>
        <v>1.4336218336555833</v>
      </c>
      <c r="AD196" s="150"/>
      <c r="AE196" s="150">
        <f t="shared" si="513"/>
        <v>0.93320426972886772</v>
      </c>
      <c r="AF196" s="314">
        <f t="shared" si="514"/>
        <v>1216.453928495012</v>
      </c>
      <c r="AG196" s="456">
        <f t="shared" si="515"/>
        <v>0.98976210425789002</v>
      </c>
      <c r="AI196" s="150">
        <f t="shared" si="516"/>
        <v>11.298736129362036</v>
      </c>
      <c r="AJ196" s="150">
        <f t="shared" si="517"/>
        <v>17.501351730594291</v>
      </c>
      <c r="AK196" s="150">
        <f t="shared" si="518"/>
        <v>9.6746264222135014</v>
      </c>
      <c r="AM196" s="314">
        <f t="shared" si="519"/>
        <v>3440</v>
      </c>
      <c r="AN196" s="144">
        <f t="shared" si="520"/>
        <v>141.73452034384667</v>
      </c>
      <c r="AP196">
        <f t="shared" si="521"/>
        <v>3440</v>
      </c>
      <c r="AQ196">
        <f t="shared" si="522"/>
        <v>141.73452034384667</v>
      </c>
      <c r="AS196" s="5">
        <f t="shared" si="439"/>
        <v>7.0554442035293095</v>
      </c>
      <c r="AT196" s="5">
        <f t="shared" si="523"/>
        <v>4.1606087369614535</v>
      </c>
      <c r="AU196" s="5">
        <f t="shared" si="477"/>
        <v>2.894835466567856</v>
      </c>
      <c r="AV196" s="5"/>
      <c r="AW196" s="150">
        <f t="shared" si="478"/>
        <v>0.58970188367164933</v>
      </c>
      <c r="AX196" s="150">
        <f t="shared" si="435"/>
        <v>102.02032124004066</v>
      </c>
      <c r="AY196" s="150">
        <f t="shared" si="436"/>
        <v>3.5903858241313786</v>
      </c>
      <c r="AZ196" s="150">
        <f t="shared" si="440"/>
        <v>28.414862980560709</v>
      </c>
      <c r="BA196" s="144">
        <f t="shared" si="593"/>
        <v>47.708313517157997</v>
      </c>
      <c r="BB196" s="5">
        <f t="shared" si="594"/>
        <v>8.8887785478815307</v>
      </c>
      <c r="BD196" s="150">
        <f t="shared" si="441"/>
        <v>7.7593836113583556</v>
      </c>
      <c r="BE196" s="150">
        <f t="shared" si="437"/>
        <v>6.4723311182634919</v>
      </c>
      <c r="BG196" s="456">
        <f t="shared" si="479"/>
        <v>0.72249640833859963</v>
      </c>
      <c r="BH196" s="456">
        <f t="shared" si="524"/>
        <v>2.2768059645054257</v>
      </c>
      <c r="BI196" s="456">
        <f t="shared" si="480"/>
        <v>1.6299469839542367E-2</v>
      </c>
      <c r="BJ196" s="456">
        <f t="shared" si="481"/>
        <v>0.18553157570801235</v>
      </c>
      <c r="BK196">
        <f t="shared" si="482"/>
        <v>8.8966209635082689E-3</v>
      </c>
      <c r="BL196" s="144">
        <f t="shared" si="587"/>
        <v>25.196090803050637</v>
      </c>
      <c r="BM196" s="456">
        <f t="shared" si="525"/>
        <v>4.0803643176632418</v>
      </c>
      <c r="BN196" s="144">
        <f t="shared" si="526"/>
        <v>4080.3643176632418</v>
      </c>
      <c r="BO196" s="456">
        <f t="shared" si="483"/>
        <v>2.4079999999999999</v>
      </c>
      <c r="BR196" s="144">
        <f t="shared" si="484"/>
        <v>2408</v>
      </c>
      <c r="BS196" s="456">
        <f t="shared" si="485"/>
        <v>0.84291247639503297</v>
      </c>
      <c r="BT196" s="456">
        <f t="shared" si="486"/>
        <v>0.58647498146218724</v>
      </c>
      <c r="BU196" s="456">
        <f t="shared" si="487"/>
        <v>15.322798226922934</v>
      </c>
      <c r="BV196" s="456"/>
      <c r="BW196" s="456">
        <f t="shared" si="488"/>
        <v>4.3412902655336456</v>
      </c>
      <c r="BX196" s="144">
        <f t="shared" si="489"/>
        <v>21093.475950313801</v>
      </c>
      <c r="BY196" s="150">
        <f t="shared" si="490"/>
        <v>26.711505989668886</v>
      </c>
      <c r="BZ196" s="5">
        <f t="shared" si="491"/>
        <v>103.2</v>
      </c>
      <c r="CA196" s="150">
        <f t="shared" si="492"/>
        <v>0.79438691141188766</v>
      </c>
      <c r="CB196" s="5">
        <f t="shared" si="493"/>
        <v>79.43869114118877</v>
      </c>
      <c r="CE196" s="59">
        <f t="shared" si="527"/>
        <v>-50</v>
      </c>
      <c r="CF196">
        <f t="shared" si="528"/>
        <v>-50</v>
      </c>
      <c r="CG196" s="150">
        <f t="shared" si="529"/>
        <v>0.38932458035840772</v>
      </c>
      <c r="CI196" s="147">
        <v>86</v>
      </c>
      <c r="CJ196" s="188">
        <f t="shared" si="588"/>
        <v>3.44</v>
      </c>
      <c r="CK196" s="188"/>
      <c r="CL196" s="188">
        <f t="shared" si="530"/>
        <v>103.2</v>
      </c>
      <c r="CM196" s="465">
        <f t="shared" si="531"/>
        <v>20</v>
      </c>
      <c r="CN196" s="379">
        <f t="shared" si="532"/>
        <v>30.4</v>
      </c>
      <c r="CO196" s="379">
        <f t="shared" si="533"/>
        <v>50.4</v>
      </c>
      <c r="CP196" s="379"/>
      <c r="CQ196" s="188">
        <f t="shared" si="534"/>
        <v>0.60317460317460314</v>
      </c>
      <c r="CR196" s="149">
        <f t="shared" si="589"/>
        <v>183.55019291189507</v>
      </c>
      <c r="CS196" s="149">
        <f t="shared" si="535"/>
        <v>103.2</v>
      </c>
      <c r="CT196" s="188">
        <f t="shared" si="536"/>
        <v>6.1183397637298356</v>
      </c>
      <c r="CU196" s="188">
        <f t="shared" si="537"/>
        <v>30</v>
      </c>
      <c r="CV196" s="188"/>
      <c r="CW196" s="149">
        <f t="shared" si="538"/>
        <v>68.20681086794086</v>
      </c>
      <c r="CX196" s="149">
        <f t="shared" si="539"/>
        <v>30</v>
      </c>
      <c r="CY196" s="188">
        <f t="shared" si="540"/>
        <v>17.109473684210528</v>
      </c>
      <c r="CZ196" s="188">
        <f t="shared" si="541"/>
        <v>4.0207263157894735</v>
      </c>
      <c r="DA196" s="188">
        <f t="shared" si="542"/>
        <v>2.6452146814404434</v>
      </c>
      <c r="DB196" s="172">
        <f t="shared" si="543"/>
        <v>350</v>
      </c>
      <c r="DC196" s="379">
        <f t="shared" si="544"/>
        <v>150.01632933978229</v>
      </c>
      <c r="DE196" s="188">
        <f t="shared" si="545"/>
        <v>7.3334298258310406</v>
      </c>
      <c r="DF196" s="150">
        <f t="shared" si="546"/>
        <v>1.1337868480725624</v>
      </c>
      <c r="DG196" s="150">
        <f t="shared" si="547"/>
        <v>1.4550456003633017</v>
      </c>
      <c r="DH196" s="150"/>
      <c r="DI196" s="150">
        <f t="shared" si="548"/>
        <v>0.93700159489633172</v>
      </c>
      <c r="DJ196" s="314">
        <f t="shared" si="549"/>
        <v>1211.5240851063832</v>
      </c>
      <c r="DK196" s="456">
        <f t="shared" si="550"/>
        <v>0.99378957034459414</v>
      </c>
      <c r="DM196" s="150">
        <f t="shared" si="551"/>
        <v>11.275818061157615</v>
      </c>
      <c r="DN196" s="150">
        <f t="shared" si="552"/>
        <v>17.109473684210528</v>
      </c>
      <c r="DO196" s="150">
        <f t="shared" si="553"/>
        <v>9.3843463878551603</v>
      </c>
      <c r="DQ196" s="314">
        <f t="shared" si="554"/>
        <v>3440</v>
      </c>
      <c r="DR196" s="144">
        <f t="shared" si="555"/>
        <v>150.01632933978229</v>
      </c>
      <c r="DT196">
        <f t="shared" si="590"/>
        <v>3440</v>
      </c>
      <c r="DU196">
        <f t="shared" si="591"/>
        <v>150.01632933978229</v>
      </c>
      <c r="DW196" s="5">
        <f t="shared" si="556"/>
        <v>6.6659409972299173</v>
      </c>
      <c r="DX196" s="5">
        <f t="shared" si="557"/>
        <v>4.0207263157894735</v>
      </c>
      <c r="DY196" s="5">
        <f t="shared" si="558"/>
        <v>2.6452146814404438</v>
      </c>
      <c r="DZ196" s="5"/>
      <c r="EA196" s="150">
        <f t="shared" si="559"/>
        <v>0.60317460317460314</v>
      </c>
      <c r="EB196" s="150">
        <f t="shared" si="560"/>
        <v>103.20000000000002</v>
      </c>
      <c r="EC196" s="150">
        <f t="shared" si="561"/>
        <v>3.3947368421052637</v>
      </c>
      <c r="ED196" s="150">
        <f t="shared" si="562"/>
        <v>30.4</v>
      </c>
      <c r="EE196" s="144">
        <f t="shared" si="563"/>
        <v>46.104328421052621</v>
      </c>
      <c r="EF196" s="5">
        <f t="shared" si="564"/>
        <v>8.029004562489817</v>
      </c>
      <c r="EH196" s="150">
        <f t="shared" si="565"/>
        <v>7.6718048380862909</v>
      </c>
      <c r="EI196" s="150">
        <f t="shared" si="566"/>
        <v>6.2226554173610884</v>
      </c>
      <c r="EK196" s="456">
        <f t="shared" si="567"/>
        <v>0.70627907368421061</v>
      </c>
      <c r="EL196" s="456">
        <f t="shared" si="568"/>
        <v>2.4578723404255323</v>
      </c>
      <c r="EM196" s="456">
        <f t="shared" si="569"/>
        <v>1.7251877874074967E-2</v>
      </c>
      <c r="EN196" s="456">
        <f t="shared" si="570"/>
        <v>0.19720138545274618</v>
      </c>
      <c r="EO196">
        <f t="shared" si="571"/>
        <v>8.9999999999999993E-3</v>
      </c>
      <c r="EP196" s="144">
        <f t="shared" si="572"/>
        <v>26.251877874074964</v>
      </c>
      <c r="EQ196" s="144"/>
      <c r="ER196" s="144">
        <f t="shared" si="592"/>
        <v>3387.6046774365641</v>
      </c>
      <c r="ES196" s="456">
        <f t="shared" si="573"/>
        <v>2.4079999999999999</v>
      </c>
      <c r="EV196" s="144">
        <f t="shared" si="494"/>
        <v>2408</v>
      </c>
      <c r="EW196" s="456">
        <f t="shared" si="574"/>
        <v>0.82399225263157905</v>
      </c>
      <c r="EX196" s="456">
        <f t="shared" si="575"/>
        <v>0.54210016620498624</v>
      </c>
      <c r="EY196" s="456">
        <f t="shared" si="576"/>
        <v>16.688141232989647</v>
      </c>
      <c r="EZ196" s="456"/>
      <c r="FA196" s="456">
        <f t="shared" si="577"/>
        <v>4.3914893617021287</v>
      </c>
      <c r="FB196" s="144">
        <f t="shared" si="578"/>
        <v>22445.723013528339</v>
      </c>
      <c r="FC196" s="150">
        <f t="shared" si="579"/>
        <v>28.241327690964905</v>
      </c>
      <c r="FD196" s="5">
        <f t="shared" si="580"/>
        <v>103.2</v>
      </c>
      <c r="FE196" s="150">
        <f t="shared" si="581"/>
        <v>0.78514118666418364</v>
      </c>
      <c r="FF196" s="5">
        <f t="shared" si="582"/>
        <v>78.514118666418369</v>
      </c>
      <c r="FI196" s="59">
        <f t="shared" si="583"/>
        <v>-50</v>
      </c>
      <c r="FJ196">
        <f t="shared" si="584"/>
        <v>-50</v>
      </c>
      <c r="FL196">
        <f t="shared" si="585"/>
        <v>0.39682539682539686</v>
      </c>
    </row>
    <row r="197" spans="5:168">
      <c r="E197" s="147">
        <v>87</v>
      </c>
      <c r="F197" s="188">
        <f t="shared" si="586"/>
        <v>3.48</v>
      </c>
      <c r="G197" s="188"/>
      <c r="H197" s="188">
        <f t="shared" si="495"/>
        <v>104.4</v>
      </c>
      <c r="I197" s="465">
        <f t="shared" si="496"/>
        <v>19.767648969209937</v>
      </c>
      <c r="J197" s="149">
        <f t="shared" si="497"/>
        <v>30.52511209350234</v>
      </c>
      <c r="K197" s="149">
        <f t="shared" si="498"/>
        <v>50.292761062712273</v>
      </c>
      <c r="L197" s="379"/>
      <c r="M197" s="188">
        <f t="shared" si="499"/>
        <v>0.60693015399602734</v>
      </c>
      <c r="N197" s="149">
        <f t="shared" si="500"/>
        <v>182.54735210643852</v>
      </c>
      <c r="O197" s="149">
        <f t="shared" si="438"/>
        <v>104.4</v>
      </c>
      <c r="P197" s="188">
        <f t="shared" si="501"/>
        <v>6.084911736881284</v>
      </c>
      <c r="Q197" s="188">
        <f t="shared" si="502"/>
        <v>30</v>
      </c>
      <c r="R197" s="188"/>
      <c r="S197" s="149">
        <f t="shared" si="503"/>
        <v>66.416734467602197</v>
      </c>
      <c r="T197" s="149">
        <f t="shared" si="504"/>
        <v>30</v>
      </c>
      <c r="U197" s="188">
        <f t="shared" si="505"/>
        <v>17.706776723670778</v>
      </c>
      <c r="V197" s="188">
        <f t="shared" si="506"/>
        <v>4.210002450512901</v>
      </c>
      <c r="W197" s="188">
        <f t="shared" si="507"/>
        <v>2.7263405404158201</v>
      </c>
      <c r="X197" s="172">
        <f t="shared" si="508"/>
        <v>350</v>
      </c>
      <c r="Y197" s="379">
        <f t="shared" si="509"/>
        <v>140.12779392346167</v>
      </c>
      <c r="AA197" s="188">
        <f t="shared" si="510"/>
        <v>7.2935826133773212</v>
      </c>
      <c r="AB197" s="150">
        <f t="shared" si="511"/>
        <v>1.1230045012732421</v>
      </c>
      <c r="AC197" s="150">
        <f t="shared" si="512"/>
        <v>1.4333770684154228</v>
      </c>
      <c r="AD197" s="150"/>
      <c r="AE197" s="150">
        <f t="shared" si="513"/>
        <v>0.93316114278616669</v>
      </c>
      <c r="AF197" s="314">
        <f t="shared" si="514"/>
        <v>1230.6556149254011</v>
      </c>
      <c r="AG197" s="456">
        <f t="shared" si="515"/>
        <v>0.98971636356108583</v>
      </c>
      <c r="AI197" s="150">
        <f t="shared" si="516"/>
        <v>11.364499199221413</v>
      </c>
      <c r="AJ197" s="150">
        <f t="shared" si="517"/>
        <v>17.706776723670778</v>
      </c>
      <c r="AK197" s="150">
        <f t="shared" si="518"/>
        <v>9.8267930837516406</v>
      </c>
      <c r="AM197" s="314">
        <f t="shared" si="519"/>
        <v>3480</v>
      </c>
      <c r="AN197" s="144">
        <f t="shared" si="520"/>
        <v>140.12779392346167</v>
      </c>
      <c r="AP197">
        <f t="shared" si="521"/>
        <v>3480</v>
      </c>
      <c r="AQ197">
        <f t="shared" si="522"/>
        <v>140.12779392346167</v>
      </c>
      <c r="AS197" s="5">
        <f t="shared" si="439"/>
        <v>7.1363429909287213</v>
      </c>
      <c r="AT197" s="5">
        <f t="shared" si="523"/>
        <v>4.210002450512901</v>
      </c>
      <c r="AU197" s="5">
        <f t="shared" si="477"/>
        <v>2.9263405404158203</v>
      </c>
      <c r="AV197" s="5"/>
      <c r="AW197" s="150">
        <f t="shared" si="478"/>
        <v>0.58993835580274046</v>
      </c>
      <c r="AX197" s="150">
        <f t="shared" ref="AX197:AX210" si="595">0.5*L*AJ197^2*AN197*1000</f>
        <v>103.24550886919289</v>
      </c>
      <c r="AY197" s="150">
        <f t="shared" ref="AY197:AY210" si="596">AJ197*Nps/2*(1-AW197)</f>
        <v>3.630434988371102</v>
      </c>
      <c r="AZ197" s="150">
        <f t="shared" si="440"/>
        <v>28.438881070699718</v>
      </c>
      <c r="BA197" s="144">
        <f t="shared" si="593"/>
        <v>48.836028425949657</v>
      </c>
      <c r="BB197" s="5">
        <f t="shared" si="594"/>
        <v>9.0912043712036628</v>
      </c>
      <c r="BD197" s="150">
        <f t="shared" si="441"/>
        <v>7.8520345228513957</v>
      </c>
      <c r="BE197" s="150">
        <f t="shared" ref="BE197:BE210" si="597">AJ197*Nps*SQRT((1-AW197)/3)</f>
        <v>6.5464138655648414</v>
      </c>
      <c r="BG197" s="456">
        <f t="shared" si="479"/>
        <v>0.73985335377660177</v>
      </c>
      <c r="BH197" s="456">
        <f t="shared" si="524"/>
        <v>2.2773623872305238</v>
      </c>
      <c r="BI197" s="456">
        <f t="shared" si="480"/>
        <v>1.6114696301198096E-2</v>
      </c>
      <c r="BJ197" s="456">
        <f t="shared" si="481"/>
        <v>0.1834195387031323</v>
      </c>
      <c r="BK197">
        <f t="shared" si="482"/>
        <v>8.895442036144471E-3</v>
      </c>
      <c r="BL197" s="144">
        <f t="shared" si="587"/>
        <v>25.010138337342564</v>
      </c>
      <c r="BM197" s="456">
        <f t="shared" si="525"/>
        <v>4.1256381343690913</v>
      </c>
      <c r="BN197" s="144">
        <f t="shared" si="526"/>
        <v>4125.6381343690909</v>
      </c>
      <c r="BO197" s="456">
        <f t="shared" si="483"/>
        <v>2.4359999999999999</v>
      </c>
      <c r="BR197" s="144">
        <f t="shared" si="484"/>
        <v>2436</v>
      </c>
      <c r="BS197" s="456">
        <f t="shared" si="485"/>
        <v>0.86316224607270209</v>
      </c>
      <c r="BT197" s="456">
        <f t="shared" si="486"/>
        <v>0.5999774829896346</v>
      </c>
      <c r="BU197" s="456">
        <f t="shared" si="487"/>
        <v>15.333083260244917</v>
      </c>
      <c r="BV197" s="456"/>
      <c r="BW197" s="456">
        <f t="shared" si="488"/>
        <v>4.3934259093273571</v>
      </c>
      <c r="BX197" s="144">
        <f t="shared" si="489"/>
        <v>21189.648898634608</v>
      </c>
      <c r="BY197" s="150">
        <f t="shared" si="490"/>
        <v>26.851294316682214</v>
      </c>
      <c r="BZ197" s="5">
        <f t="shared" si="491"/>
        <v>104.4</v>
      </c>
      <c r="CA197" s="150">
        <f t="shared" si="492"/>
        <v>0.79542072741853809</v>
      </c>
      <c r="CB197" s="5">
        <f t="shared" si="493"/>
        <v>79.542072741853815</v>
      </c>
      <c r="CE197" s="59">
        <f t="shared" si="527"/>
        <v>-50</v>
      </c>
      <c r="CF197">
        <f t="shared" si="528"/>
        <v>-50</v>
      </c>
      <c r="CG197" s="150">
        <f t="shared" si="529"/>
        <v>0.38941079663963762</v>
      </c>
      <c r="CI197" s="147">
        <v>87</v>
      </c>
      <c r="CJ197" s="188">
        <f t="shared" si="588"/>
        <v>3.48</v>
      </c>
      <c r="CK197" s="188"/>
      <c r="CL197" s="188">
        <f t="shared" si="530"/>
        <v>104.4</v>
      </c>
      <c r="CM197" s="465">
        <f t="shared" si="531"/>
        <v>20</v>
      </c>
      <c r="CN197" s="379">
        <f t="shared" si="532"/>
        <v>30.4</v>
      </c>
      <c r="CO197" s="379">
        <f t="shared" si="533"/>
        <v>50.4</v>
      </c>
      <c r="CP197" s="379"/>
      <c r="CQ197" s="188">
        <f t="shared" si="534"/>
        <v>0.60317460317460314</v>
      </c>
      <c r="CR197" s="149">
        <f t="shared" si="589"/>
        <v>183.55019291189507</v>
      </c>
      <c r="CS197" s="149">
        <f t="shared" si="535"/>
        <v>104.4</v>
      </c>
      <c r="CT197" s="188">
        <f t="shared" si="536"/>
        <v>6.1183397637298356</v>
      </c>
      <c r="CU197" s="188">
        <f t="shared" si="537"/>
        <v>30</v>
      </c>
      <c r="CV197" s="188"/>
      <c r="CW197" s="149">
        <f t="shared" si="538"/>
        <v>67.196023441763515</v>
      </c>
      <c r="CX197" s="149">
        <f t="shared" si="539"/>
        <v>30</v>
      </c>
      <c r="CY197" s="188">
        <f t="shared" si="540"/>
        <v>17.30842105263158</v>
      </c>
      <c r="CZ197" s="188">
        <f t="shared" si="541"/>
        <v>4.0674789473684205</v>
      </c>
      <c r="DA197" s="188">
        <f t="shared" si="542"/>
        <v>2.675972991689751</v>
      </c>
      <c r="DB197" s="172">
        <f t="shared" si="543"/>
        <v>350</v>
      </c>
      <c r="DC197" s="379">
        <f t="shared" si="544"/>
        <v>148.29200371518709</v>
      </c>
      <c r="DE197" s="188">
        <f t="shared" si="545"/>
        <v>7.3334298258310406</v>
      </c>
      <c r="DF197" s="150">
        <f t="shared" si="546"/>
        <v>1.1337868480725624</v>
      </c>
      <c r="DG197" s="150">
        <f t="shared" si="547"/>
        <v>1.4550456003633017</v>
      </c>
      <c r="DH197" s="150"/>
      <c r="DI197" s="150">
        <f t="shared" si="548"/>
        <v>0.93700159489633172</v>
      </c>
      <c r="DJ197" s="314">
        <f t="shared" si="549"/>
        <v>1225.6115744680851</v>
      </c>
      <c r="DK197" s="456">
        <f t="shared" si="550"/>
        <v>0.99378957034459414</v>
      </c>
      <c r="DM197" s="150">
        <f t="shared" si="551"/>
        <v>11.34118566999129</v>
      </c>
      <c r="DN197" s="150">
        <f t="shared" si="552"/>
        <v>17.30842105263158</v>
      </c>
      <c r="DO197" s="150">
        <f t="shared" si="553"/>
        <v>9.5317148089077914</v>
      </c>
      <c r="DQ197" s="314">
        <f t="shared" si="554"/>
        <v>3480</v>
      </c>
      <c r="DR197" s="144">
        <f t="shared" si="555"/>
        <v>148.29200371518709</v>
      </c>
      <c r="DT197">
        <f t="shared" si="590"/>
        <v>3480</v>
      </c>
      <c r="DU197">
        <f t="shared" si="591"/>
        <v>148.29200371518709</v>
      </c>
      <c r="DW197" s="5">
        <f t="shared" si="556"/>
        <v>6.743451939058172</v>
      </c>
      <c r="DX197" s="5">
        <f t="shared" si="557"/>
        <v>4.0674789473684205</v>
      </c>
      <c r="DY197" s="5">
        <f t="shared" si="558"/>
        <v>2.6759729916897514</v>
      </c>
      <c r="DZ197" s="5"/>
      <c r="EA197" s="150">
        <f t="shared" si="559"/>
        <v>0.60317460317460303</v>
      </c>
      <c r="EB197" s="150">
        <f t="shared" si="560"/>
        <v>104.40000000000002</v>
      </c>
      <c r="EC197" s="150">
        <f t="shared" si="561"/>
        <v>3.4342105263157912</v>
      </c>
      <c r="ED197" s="150">
        <f t="shared" si="562"/>
        <v>30.399999999999991</v>
      </c>
      <c r="EE197" s="144">
        <f t="shared" si="563"/>
        <v>47.182755789473681</v>
      </c>
      <c r="EF197" s="5">
        <f t="shared" si="564"/>
        <v>8.2168111862473552</v>
      </c>
      <c r="EH197" s="150">
        <f t="shared" si="565"/>
        <v>7.7610118710872928</v>
      </c>
      <c r="EI197" s="150">
        <f t="shared" si="566"/>
        <v>6.2950118757024978</v>
      </c>
      <c r="EK197" s="456">
        <f t="shared" si="567"/>
        <v>0.72279966315789457</v>
      </c>
      <c r="EL197" s="456">
        <f t="shared" si="568"/>
        <v>2.4578723404255323</v>
      </c>
      <c r="EM197" s="456">
        <f t="shared" si="569"/>
        <v>1.7053580427246515E-2</v>
      </c>
      <c r="EN197" s="456">
        <f t="shared" si="570"/>
        <v>0.1949347028613353</v>
      </c>
      <c r="EO197">
        <f t="shared" si="571"/>
        <v>8.9999999999999993E-3</v>
      </c>
      <c r="EP197" s="144">
        <f t="shared" si="572"/>
        <v>26.053580427246516</v>
      </c>
      <c r="EQ197" s="144"/>
      <c r="ER197" s="144">
        <f t="shared" si="592"/>
        <v>3401.6602868720083</v>
      </c>
      <c r="ES197" s="456">
        <f t="shared" si="573"/>
        <v>2.4359999999999999</v>
      </c>
      <c r="EV197" s="144">
        <f t="shared" si="494"/>
        <v>2436</v>
      </c>
      <c r="EW197" s="456">
        <f t="shared" si="574"/>
        <v>0.84326627368421037</v>
      </c>
      <c r="EX197" s="456">
        <f t="shared" si="575"/>
        <v>0.55478044321329678</v>
      </c>
      <c r="EY197" s="456">
        <f t="shared" si="576"/>
        <v>16.688141232989661</v>
      </c>
      <c r="EZ197" s="456"/>
      <c r="FA197" s="456">
        <f t="shared" si="577"/>
        <v>4.4425531914893623</v>
      </c>
      <c r="FB197" s="144">
        <f t="shared" si="578"/>
        <v>22528.741141376533</v>
      </c>
      <c r="FC197" s="150">
        <f t="shared" si="579"/>
        <v>28.36640142824854</v>
      </c>
      <c r="FD197" s="5">
        <f t="shared" si="580"/>
        <v>104.4</v>
      </c>
      <c r="FE197" s="150">
        <f t="shared" si="581"/>
        <v>0.78634352424187148</v>
      </c>
      <c r="FF197" s="5">
        <f t="shared" si="582"/>
        <v>78.634352424187142</v>
      </c>
      <c r="FI197" s="59">
        <f t="shared" si="583"/>
        <v>-50</v>
      </c>
      <c r="FJ197">
        <f t="shared" si="584"/>
        <v>-50</v>
      </c>
      <c r="FL197">
        <f t="shared" si="585"/>
        <v>0.39682539682539697</v>
      </c>
    </row>
    <row r="198" spans="5:168">
      <c r="E198" s="147">
        <v>88</v>
      </c>
      <c r="F198" s="188">
        <f t="shared" si="586"/>
        <v>3.52</v>
      </c>
      <c r="G198" s="188"/>
      <c r="H198" s="188">
        <f t="shared" si="495"/>
        <v>105.6</v>
      </c>
      <c r="I198" s="465">
        <f t="shared" si="496"/>
        <v>19.765029108362182</v>
      </c>
      <c r="J198" s="149">
        <f t="shared" si="497"/>
        <v>30.526522787804979</v>
      </c>
      <c r="K198" s="149">
        <f t="shared" si="498"/>
        <v>50.291551896167164</v>
      </c>
      <c r="L198" s="379"/>
      <c r="M198" s="188">
        <f t="shared" si="499"/>
        <v>0.60697280275733523</v>
      </c>
      <c r="N198" s="149">
        <f t="shared" si="500"/>
        <v>182.53598444015614</v>
      </c>
      <c r="O198" s="149">
        <f t="shared" ref="O198:O261" si="598">T198*F198</f>
        <v>105.6</v>
      </c>
      <c r="P198" s="188">
        <f t="shared" si="501"/>
        <v>6.0845328146718716</v>
      </c>
      <c r="Q198" s="188">
        <f t="shared" si="502"/>
        <v>30</v>
      </c>
      <c r="R198" s="188"/>
      <c r="S198" s="149">
        <f t="shared" si="503"/>
        <v>65.431808740482083</v>
      </c>
      <c r="T198" s="149">
        <f t="shared" si="504"/>
        <v>30</v>
      </c>
      <c r="U198" s="188">
        <f t="shared" si="505"/>
        <v>17.912246402768226</v>
      </c>
      <c r="V198" s="188">
        <f t="shared" si="506"/>
        <v>4.2594198891107435</v>
      </c>
      <c r="W198" s="188">
        <f t="shared" si="507"/>
        <v>2.7578495814348924</v>
      </c>
      <c r="X198" s="172">
        <f t="shared" si="508"/>
        <v>350</v>
      </c>
      <c r="Y198" s="379">
        <f t="shared" si="509"/>
        <v>138.55655578347117</v>
      </c>
      <c r="AA198" s="188">
        <f t="shared" si="510"/>
        <v>7.2931283428499558</v>
      </c>
      <c r="AB198" s="150">
        <f t="shared" si="511"/>
        <v>1.1228826633699784</v>
      </c>
      <c r="AC198" s="150">
        <f t="shared" si="512"/>
        <v>1.433132291135726</v>
      </c>
      <c r="AD198" s="150"/>
      <c r="AE198" s="150">
        <f t="shared" si="513"/>
        <v>0.93311801946299233</v>
      </c>
      <c r="AF198" s="314">
        <f t="shared" si="514"/>
        <v>1244.8586092769901</v>
      </c>
      <c r="AG198" s="456">
        <f t="shared" si="515"/>
        <v>0.98967062670317374</v>
      </c>
      <c r="AI198" s="150">
        <f t="shared" si="516"/>
        <v>11.429889904884446</v>
      </c>
      <c r="AJ198" s="150">
        <f t="shared" si="517"/>
        <v>17.912246402768226</v>
      </c>
      <c r="AK198" s="150">
        <f t="shared" si="518"/>
        <v>9.9789928460460473</v>
      </c>
      <c r="AM198" s="314">
        <f t="shared" si="519"/>
        <v>3520</v>
      </c>
      <c r="AN198" s="144">
        <f t="shared" si="520"/>
        <v>138.55655578347117</v>
      </c>
      <c r="AP198">
        <f t="shared" si="521"/>
        <v>3520</v>
      </c>
      <c r="AQ198">
        <f t="shared" si="522"/>
        <v>138.55655578347117</v>
      </c>
      <c r="AS198" s="5">
        <f t="shared" ref="AS198:AS262" si="599">1/AN198*1000</f>
        <v>7.2172694705456371</v>
      </c>
      <c r="AT198" s="5">
        <f t="shared" si="523"/>
        <v>4.2594198891107435</v>
      </c>
      <c r="AU198" s="5">
        <f t="shared" si="477"/>
        <v>2.9578495814348935</v>
      </c>
      <c r="AV198" s="5"/>
      <c r="AW198" s="150">
        <f t="shared" si="478"/>
        <v>0.59017054947079928</v>
      </c>
      <c r="AX198" s="150">
        <f t="shared" si="595"/>
        <v>104.47083143864965</v>
      </c>
      <c r="AY198" s="150">
        <f t="shared" si="596"/>
        <v>3.6704830504950769</v>
      </c>
      <c r="AZ198" s="150">
        <f t="shared" ref="AZ198:AZ210" si="600">AX198/AY198</f>
        <v>28.462420341256873</v>
      </c>
      <c r="BA198" s="144">
        <f t="shared" si="593"/>
        <v>49.977193365566059</v>
      </c>
      <c r="BB198" s="5">
        <f t="shared" si="594"/>
        <v>9.2959466614156021</v>
      </c>
      <c r="BD198" s="150">
        <f t="shared" ref="BD198:BD210" si="601">AJ198*SQRT(AW198/3)</f>
        <v>7.9447126559781651</v>
      </c>
      <c r="BE198" s="150">
        <f t="shared" si="597"/>
        <v>6.6205033452979585</v>
      </c>
      <c r="BG198" s="456">
        <f t="shared" si="479"/>
        <v>0.75742151023271564</v>
      </c>
      <c r="BH198" s="456">
        <f t="shared" si="524"/>
        <v>2.2779020218423498</v>
      </c>
      <c r="BI198" s="456">
        <f t="shared" si="480"/>
        <v>1.5934003915099186E-2</v>
      </c>
      <c r="BJ198" s="456">
        <f t="shared" si="481"/>
        <v>0.18135415405594787</v>
      </c>
      <c r="BK198">
        <f t="shared" si="482"/>
        <v>8.8942630987629816E-3</v>
      </c>
      <c r="BL198" s="144">
        <f t="shared" si="587"/>
        <v>24.82826701386217</v>
      </c>
      <c r="BM198" s="456">
        <f t="shared" si="525"/>
        <v>4.1719860903314387</v>
      </c>
      <c r="BN198" s="144">
        <f t="shared" si="526"/>
        <v>4171.9860903314384</v>
      </c>
      <c r="BO198" s="456">
        <f t="shared" si="483"/>
        <v>2.464</v>
      </c>
      <c r="BR198" s="144">
        <f t="shared" si="484"/>
        <v>2464</v>
      </c>
      <c r="BS198" s="456">
        <f t="shared" si="485"/>
        <v>0.8836584286048349</v>
      </c>
      <c r="BT198" s="456">
        <f t="shared" si="486"/>
        <v>0.61363490363142048</v>
      </c>
      <c r="BU198" s="456">
        <f t="shared" si="487"/>
        <v>15.343090239707765</v>
      </c>
      <c r="BV198" s="456"/>
      <c r="BW198" s="456">
        <f t="shared" si="488"/>
        <v>4.4455672952616876</v>
      </c>
      <c r="BX198" s="144">
        <f t="shared" si="489"/>
        <v>21285.950867205705</v>
      </c>
      <c r="BY198" s="150">
        <f t="shared" si="490"/>
        <v>26.991456820350585</v>
      </c>
      <c r="BZ198" s="5">
        <f t="shared" si="491"/>
        <v>105.6</v>
      </c>
      <c r="CA198" s="150">
        <f t="shared" si="492"/>
        <v>0.79643140314144401</v>
      </c>
      <c r="CB198" s="5">
        <f t="shared" si="493"/>
        <v>79.643140314144404</v>
      </c>
      <c r="CE198" s="59">
        <f t="shared" si="527"/>
        <v>-50</v>
      </c>
      <c r="CF198">
        <f t="shared" si="528"/>
        <v>-50</v>
      </c>
      <c r="CG198" s="150">
        <f t="shared" si="529"/>
        <v>0.38949505345993013</v>
      </c>
      <c r="CI198" s="147">
        <v>88</v>
      </c>
      <c r="CJ198" s="188">
        <f t="shared" si="588"/>
        <v>3.52</v>
      </c>
      <c r="CK198" s="188"/>
      <c r="CL198" s="188">
        <f t="shared" si="530"/>
        <v>105.6</v>
      </c>
      <c r="CM198" s="465">
        <f t="shared" si="531"/>
        <v>20</v>
      </c>
      <c r="CN198" s="379">
        <f t="shared" si="532"/>
        <v>30.4</v>
      </c>
      <c r="CO198" s="379">
        <f t="shared" si="533"/>
        <v>50.4</v>
      </c>
      <c r="CP198" s="379"/>
      <c r="CQ198" s="188">
        <f t="shared" si="534"/>
        <v>0.60317460317460314</v>
      </c>
      <c r="CR198" s="149">
        <f t="shared" si="589"/>
        <v>183.55019291189507</v>
      </c>
      <c r="CS198" s="149">
        <f t="shared" si="535"/>
        <v>105.6</v>
      </c>
      <c r="CT198" s="188">
        <f t="shared" si="536"/>
        <v>6.1183397637298356</v>
      </c>
      <c r="CU198" s="188">
        <f t="shared" si="537"/>
        <v>30</v>
      </c>
      <c r="CV198" s="188"/>
      <c r="CW198" s="149">
        <f t="shared" si="538"/>
        <v>66.208259495069825</v>
      </c>
      <c r="CX198" s="149">
        <f t="shared" si="539"/>
        <v>30</v>
      </c>
      <c r="CY198" s="188">
        <f t="shared" si="540"/>
        <v>17.507368421052632</v>
      </c>
      <c r="CZ198" s="188">
        <f t="shared" si="541"/>
        <v>4.1142315789473685</v>
      </c>
      <c r="DA198" s="188">
        <f t="shared" si="542"/>
        <v>2.7067313019390582</v>
      </c>
      <c r="DB198" s="172">
        <f t="shared" si="543"/>
        <v>350</v>
      </c>
      <c r="DC198" s="379">
        <f t="shared" si="544"/>
        <v>146.6068673093327</v>
      </c>
      <c r="DE198" s="188">
        <f t="shared" si="545"/>
        <v>7.3334298258310406</v>
      </c>
      <c r="DF198" s="150">
        <f t="shared" si="546"/>
        <v>1.1337868480725624</v>
      </c>
      <c r="DG198" s="150">
        <f t="shared" si="547"/>
        <v>1.4550456003633017</v>
      </c>
      <c r="DH198" s="150"/>
      <c r="DI198" s="150">
        <f t="shared" si="548"/>
        <v>0.93700159489633172</v>
      </c>
      <c r="DJ198" s="314">
        <f t="shared" si="549"/>
        <v>1239.6990638297873</v>
      </c>
      <c r="DK198" s="456">
        <f t="shared" si="550"/>
        <v>0.99378957034459414</v>
      </c>
      <c r="DM198" s="150">
        <f t="shared" si="551"/>
        <v>11.406178670093825</v>
      </c>
      <c r="DN198" s="150">
        <f t="shared" si="552"/>
        <v>17.507368421052632</v>
      </c>
      <c r="DO198" s="150">
        <f t="shared" si="553"/>
        <v>9.6790832299604226</v>
      </c>
      <c r="DQ198" s="314">
        <f t="shared" si="554"/>
        <v>3520</v>
      </c>
      <c r="DR198" s="144">
        <f t="shared" si="555"/>
        <v>146.6068673093327</v>
      </c>
      <c r="DT198">
        <f t="shared" si="590"/>
        <v>3520</v>
      </c>
      <c r="DU198">
        <f t="shared" si="591"/>
        <v>146.6068673093327</v>
      </c>
      <c r="DW198" s="5">
        <f t="shared" si="556"/>
        <v>6.8209628808864258</v>
      </c>
      <c r="DX198" s="5">
        <f t="shared" si="557"/>
        <v>4.1142315789473685</v>
      </c>
      <c r="DY198" s="5">
        <f t="shared" si="558"/>
        <v>2.7067313019390573</v>
      </c>
      <c r="DZ198" s="5"/>
      <c r="EA198" s="150">
        <f t="shared" si="559"/>
        <v>0.60317460317460325</v>
      </c>
      <c r="EB198" s="150">
        <f t="shared" si="560"/>
        <v>105.60000000000002</v>
      </c>
      <c r="EC198" s="150">
        <f t="shared" si="561"/>
        <v>3.4736842105263155</v>
      </c>
      <c r="ED198" s="150">
        <f t="shared" si="562"/>
        <v>30.400000000000009</v>
      </c>
      <c r="EE198" s="144">
        <f t="shared" si="563"/>
        <v>48.273650526315791</v>
      </c>
      <c r="EF198" s="5">
        <f t="shared" si="564"/>
        <v>8.4067889848460116</v>
      </c>
      <c r="EH198" s="150">
        <f t="shared" si="565"/>
        <v>7.8502189040882984</v>
      </c>
      <c r="EI198" s="150">
        <f t="shared" si="566"/>
        <v>6.3673683340439036</v>
      </c>
      <c r="EK198" s="456">
        <f t="shared" si="567"/>
        <v>0.73951124210526342</v>
      </c>
      <c r="EL198" s="456">
        <f t="shared" si="568"/>
        <v>2.4578723404255323</v>
      </c>
      <c r="EM198" s="456">
        <f t="shared" si="569"/>
        <v>1.6859789740573262E-2</v>
      </c>
      <c r="EN198" s="456">
        <f t="shared" si="570"/>
        <v>0.19271953578336559</v>
      </c>
      <c r="EO198">
        <f t="shared" si="571"/>
        <v>8.9999999999999993E-3</v>
      </c>
      <c r="EP198" s="144">
        <f t="shared" si="572"/>
        <v>25.859789740573262</v>
      </c>
      <c r="EQ198" s="144"/>
      <c r="ER198" s="144">
        <f t="shared" si="592"/>
        <v>3415.9629080547338</v>
      </c>
      <c r="ES198" s="456">
        <f t="shared" si="573"/>
        <v>2.464</v>
      </c>
      <c r="EV198" s="144">
        <f t="shared" si="494"/>
        <v>2464</v>
      </c>
      <c r="EW198" s="456">
        <f t="shared" si="574"/>
        <v>0.86276311578947396</v>
      </c>
      <c r="EX198" s="456">
        <f t="shared" si="575"/>
        <v>0.56760731301939049</v>
      </c>
      <c r="EY198" s="456">
        <f t="shared" si="576"/>
        <v>16.688141232989629</v>
      </c>
      <c r="EZ198" s="456"/>
      <c r="FA198" s="456">
        <f t="shared" si="577"/>
        <v>4.4936170212765969</v>
      </c>
      <c r="FB198" s="144">
        <f t="shared" si="578"/>
        <v>22612.128683075091</v>
      </c>
      <c r="FC198" s="150">
        <f t="shared" si="579"/>
        <v>28.492091591129828</v>
      </c>
      <c r="FD198" s="5">
        <f t="shared" si="580"/>
        <v>105.6</v>
      </c>
      <c r="FE198" s="150">
        <f t="shared" si="581"/>
        <v>0.78751847888235516</v>
      </c>
      <c r="FF198" s="5">
        <f t="shared" si="582"/>
        <v>78.751847888235517</v>
      </c>
      <c r="FI198" s="59">
        <f t="shared" si="583"/>
        <v>-50</v>
      </c>
      <c r="FJ198">
        <f t="shared" si="584"/>
        <v>-50</v>
      </c>
      <c r="FL198">
        <f t="shared" si="585"/>
        <v>0.39682539682539675</v>
      </c>
    </row>
    <row r="199" spans="5:168">
      <c r="E199" s="147">
        <v>89</v>
      </c>
      <c r="F199" s="188">
        <f t="shared" si="586"/>
        <v>3.56</v>
      </c>
      <c r="G199" s="188"/>
      <c r="H199" s="188">
        <f t="shared" si="495"/>
        <v>106.8</v>
      </c>
      <c r="I199" s="465">
        <f t="shared" si="496"/>
        <v>19.762409226017237</v>
      </c>
      <c r="J199" s="149">
        <f t="shared" si="497"/>
        <v>30.527933493683026</v>
      </c>
      <c r="K199" s="149">
        <f t="shared" si="498"/>
        <v>50.290342719700263</v>
      </c>
      <c r="L199" s="379"/>
      <c r="M199" s="188">
        <f t="shared" si="499"/>
        <v>0.60701545382823763</v>
      </c>
      <c r="N199" s="149">
        <f t="shared" si="500"/>
        <v>182.52461386966587</v>
      </c>
      <c r="O199" s="149">
        <f t="shared" si="598"/>
        <v>106.8</v>
      </c>
      <c r="P199" s="188">
        <f t="shared" si="501"/>
        <v>6.0841537956555287</v>
      </c>
      <c r="Q199" s="188">
        <f t="shared" si="502"/>
        <v>30</v>
      </c>
      <c r="R199" s="188"/>
      <c r="S199" s="149">
        <f t="shared" si="503"/>
        <v>64.469125908083186</v>
      </c>
      <c r="T199" s="149">
        <f t="shared" si="504"/>
        <v>30</v>
      </c>
      <c r="U199" s="188">
        <f t="shared" si="505"/>
        <v>18.117760785657076</v>
      </c>
      <c r="V199" s="188">
        <f t="shared" si="506"/>
        <v>4.3088610664171245</v>
      </c>
      <c r="W199" s="188">
        <f t="shared" si="507"/>
        <v>2.789362591811483</v>
      </c>
      <c r="X199" s="172">
        <f t="shared" si="508"/>
        <v>350</v>
      </c>
      <c r="Y199" s="379">
        <f t="shared" si="509"/>
        <v>137.01964297470099</v>
      </c>
      <c r="AA199" s="188">
        <f t="shared" si="510"/>
        <v>7.2926739573998232</v>
      </c>
      <c r="AB199" s="150">
        <f t="shared" si="511"/>
        <v>1.1227608186080338</v>
      </c>
      <c r="AC199" s="150">
        <f t="shared" si="512"/>
        <v>1.4328875018940501</v>
      </c>
      <c r="AD199" s="150"/>
      <c r="AE199" s="150">
        <f t="shared" si="513"/>
        <v>0.93307489977147295</v>
      </c>
      <c r="AF199" s="314">
        <f t="shared" si="514"/>
        <v>1259.0629115494692</v>
      </c>
      <c r="AG199" s="456">
        <f t="shared" si="515"/>
        <v>0.98962489369701667</v>
      </c>
      <c r="AI199" s="150">
        <f t="shared" si="516"/>
        <v>11.494914601115754</v>
      </c>
      <c r="AJ199" s="150">
        <f t="shared" si="517"/>
        <v>18.117760785657076</v>
      </c>
      <c r="AK199" s="150">
        <f t="shared" si="518"/>
        <v>10.131225722260011</v>
      </c>
      <c r="AM199" s="314">
        <f t="shared" si="519"/>
        <v>3560</v>
      </c>
      <c r="AN199" s="144">
        <f t="shared" si="520"/>
        <v>137.01964297470099</v>
      </c>
      <c r="AP199">
        <f t="shared" si="521"/>
        <v>3560</v>
      </c>
      <c r="AQ199">
        <f t="shared" si="522"/>
        <v>137.01964297470099</v>
      </c>
      <c r="AS199" s="5">
        <f t="shared" si="599"/>
        <v>7.2982236582286086</v>
      </c>
      <c r="AT199" s="5">
        <f t="shared" si="523"/>
        <v>4.3088610664171245</v>
      </c>
      <c r="AU199" s="5">
        <f t="shared" si="477"/>
        <v>2.9893625918114841</v>
      </c>
      <c r="AV199" s="5"/>
      <c r="AW199" s="150">
        <f t="shared" si="478"/>
        <v>0.59039860494806373</v>
      </c>
      <c r="AX199" s="150">
        <f t="shared" si="595"/>
        <v>105.69628822803422</v>
      </c>
      <c r="AY199" s="150">
        <f t="shared" si="596"/>
        <v>3.7105300465112014</v>
      </c>
      <c r="AZ199" s="150">
        <f t="shared" si="600"/>
        <v>28.485495846453091</v>
      </c>
      <c r="BA199" s="144">
        <f t="shared" si="593"/>
        <v>51.131817988149876</v>
      </c>
      <c r="BB199" s="5">
        <f t="shared" si="594"/>
        <v>9.5030067721629781</v>
      </c>
      <c r="BD199" s="150">
        <f t="shared" si="601"/>
        <v>8.0374180005133358</v>
      </c>
      <c r="BE199" s="150">
        <f t="shared" si="597"/>
        <v>6.6945996031967425</v>
      </c>
      <c r="BG199" s="456">
        <f t="shared" si="479"/>
        <v>0.77520105737970946</v>
      </c>
      <c r="BH199" s="456">
        <f t="shared" si="524"/>
        <v>2.2784254175458321</v>
      </c>
      <c r="BI199" s="456">
        <f t="shared" si="480"/>
        <v>1.5757258942090614E-2</v>
      </c>
      <c r="BJ199" s="456">
        <f t="shared" si="481"/>
        <v>0.17933389297365837</v>
      </c>
      <c r="BK199">
        <f t="shared" si="482"/>
        <v>8.8930841517077565E-3</v>
      </c>
      <c r="BL199" s="144">
        <f t="shared" si="587"/>
        <v>24.650343093798369</v>
      </c>
      <c r="BM199" s="456">
        <f t="shared" si="525"/>
        <v>4.2194325262763579</v>
      </c>
      <c r="BN199" s="144">
        <f t="shared" si="526"/>
        <v>4219.4325262763577</v>
      </c>
      <c r="BO199" s="456">
        <f t="shared" si="483"/>
        <v>2.492</v>
      </c>
      <c r="BR199" s="144">
        <f t="shared" si="484"/>
        <v>2492</v>
      </c>
      <c r="BS199" s="456">
        <f t="shared" si="485"/>
        <v>0.90440123360966107</v>
      </c>
      <c r="BT199" s="456">
        <f t="shared" si="486"/>
        <v>0.62744729385970777</v>
      </c>
      <c r="BU199" s="456">
        <f t="shared" si="487"/>
        <v>15.352828065699335</v>
      </c>
      <c r="BV199" s="456"/>
      <c r="BW199" s="456">
        <f t="shared" si="488"/>
        <v>4.4977143926823073</v>
      </c>
      <c r="BX199" s="144">
        <f t="shared" si="489"/>
        <v>21382.390985851012</v>
      </c>
      <c r="BY199" s="150">
        <f t="shared" si="490"/>
        <v>27.132001696844011</v>
      </c>
      <c r="BZ199" s="5">
        <f t="shared" si="491"/>
        <v>106.8</v>
      </c>
      <c r="CA199" s="150">
        <f t="shared" si="492"/>
        <v>0.79741957595573409</v>
      </c>
      <c r="CB199" s="5">
        <f t="shared" si="493"/>
        <v>79.74195759557341</v>
      </c>
      <c r="CE199" s="59">
        <f t="shared" si="527"/>
        <v>-50</v>
      </c>
      <c r="CF199">
        <f t="shared" si="528"/>
        <v>-50</v>
      </c>
      <c r="CG199" s="150">
        <f t="shared" si="529"/>
        <v>0.38957741686853098</v>
      </c>
      <c r="CI199" s="147">
        <v>89</v>
      </c>
      <c r="CJ199" s="188">
        <f t="shared" si="588"/>
        <v>3.56</v>
      </c>
      <c r="CK199" s="188"/>
      <c r="CL199" s="188">
        <f t="shared" si="530"/>
        <v>106.8</v>
      </c>
      <c r="CM199" s="465">
        <f t="shared" si="531"/>
        <v>20</v>
      </c>
      <c r="CN199" s="379">
        <f t="shared" si="532"/>
        <v>30.4</v>
      </c>
      <c r="CO199" s="379">
        <f t="shared" si="533"/>
        <v>50.4</v>
      </c>
      <c r="CP199" s="379"/>
      <c r="CQ199" s="188">
        <f t="shared" si="534"/>
        <v>0.60317460317460314</v>
      </c>
      <c r="CR199" s="149">
        <f t="shared" si="589"/>
        <v>183.55019291189507</v>
      </c>
      <c r="CS199" s="149">
        <f t="shared" si="535"/>
        <v>106.8</v>
      </c>
      <c r="CT199" s="188">
        <f t="shared" si="536"/>
        <v>6.1183397637298356</v>
      </c>
      <c r="CU199" s="188">
        <f t="shared" si="537"/>
        <v>30</v>
      </c>
      <c r="CV199" s="188"/>
      <c r="CW199" s="149">
        <f t="shared" si="538"/>
        <v>65.242743448374242</v>
      </c>
      <c r="CX199" s="149">
        <f t="shared" si="539"/>
        <v>30</v>
      </c>
      <c r="CY199" s="188">
        <f t="shared" si="540"/>
        <v>17.706315789473685</v>
      </c>
      <c r="CZ199" s="188">
        <f t="shared" si="541"/>
        <v>4.1609842105263164</v>
      </c>
      <c r="DA199" s="188">
        <f t="shared" si="542"/>
        <v>2.7374896121883658</v>
      </c>
      <c r="DB199" s="172">
        <f t="shared" si="543"/>
        <v>350</v>
      </c>
      <c r="DC199" s="379">
        <f t="shared" si="544"/>
        <v>144.9595991373177</v>
      </c>
      <c r="DE199" s="188">
        <f t="shared" si="545"/>
        <v>7.3334298258310406</v>
      </c>
      <c r="DF199" s="150">
        <f t="shared" si="546"/>
        <v>1.1337868480725624</v>
      </c>
      <c r="DG199" s="150">
        <f t="shared" si="547"/>
        <v>1.4550456003633017</v>
      </c>
      <c r="DH199" s="150"/>
      <c r="DI199" s="150">
        <f t="shared" si="548"/>
        <v>0.93700159489633172</v>
      </c>
      <c r="DJ199" s="314">
        <f t="shared" si="549"/>
        <v>1253.7865531914892</v>
      </c>
      <c r="DK199" s="456">
        <f t="shared" si="550"/>
        <v>0.99378957034459414</v>
      </c>
      <c r="DM199" s="150">
        <f t="shared" si="551"/>
        <v>11.470803429010143</v>
      </c>
      <c r="DN199" s="150">
        <f t="shared" si="552"/>
        <v>17.706315789473685</v>
      </c>
      <c r="DO199" s="150">
        <f t="shared" si="553"/>
        <v>9.8264516510130537</v>
      </c>
      <c r="DQ199" s="314">
        <f t="shared" si="554"/>
        <v>3560</v>
      </c>
      <c r="DR199" s="144">
        <f t="shared" si="555"/>
        <v>144.9595991373177</v>
      </c>
      <c r="DT199">
        <f t="shared" si="590"/>
        <v>3560</v>
      </c>
      <c r="DU199">
        <f t="shared" si="591"/>
        <v>144.9595991373177</v>
      </c>
      <c r="DW199" s="5">
        <f t="shared" si="556"/>
        <v>6.8984738227146822</v>
      </c>
      <c r="DX199" s="5">
        <f t="shared" si="557"/>
        <v>4.1609842105263164</v>
      </c>
      <c r="DY199" s="5">
        <f t="shared" si="558"/>
        <v>2.7374896121883658</v>
      </c>
      <c r="DZ199" s="5"/>
      <c r="EA199" s="150">
        <f t="shared" si="559"/>
        <v>0.60317460317460314</v>
      </c>
      <c r="EB199" s="150">
        <f t="shared" si="560"/>
        <v>106.79999999999998</v>
      </c>
      <c r="EC199" s="150">
        <f t="shared" si="561"/>
        <v>3.5131578947368425</v>
      </c>
      <c r="ED199" s="150">
        <f t="shared" si="562"/>
        <v>30.399999999999991</v>
      </c>
      <c r="EE199" s="144">
        <f t="shared" si="563"/>
        <v>49.377012631578957</v>
      </c>
      <c r="EF199" s="5">
        <f t="shared" si="564"/>
        <v>8.5989379582858074</v>
      </c>
      <c r="EH199" s="150">
        <f t="shared" si="565"/>
        <v>7.9394259370893003</v>
      </c>
      <c r="EI199" s="150">
        <f t="shared" si="566"/>
        <v>6.439724792385312</v>
      </c>
      <c r="EK199" s="456">
        <f t="shared" si="567"/>
        <v>0.75641381052631584</v>
      </c>
      <c r="EL199" s="456">
        <f t="shared" si="568"/>
        <v>2.4578723404255318</v>
      </c>
      <c r="EM199" s="456">
        <f t="shared" si="569"/>
        <v>1.6670353900791537E-2</v>
      </c>
      <c r="EN199" s="456">
        <f t="shared" si="570"/>
        <v>0.19055414774085583</v>
      </c>
      <c r="EO199">
        <f t="shared" si="571"/>
        <v>8.9999999999999993E-3</v>
      </c>
      <c r="EP199" s="144">
        <f t="shared" si="572"/>
        <v>25.67035390079154</v>
      </c>
      <c r="EQ199" s="144"/>
      <c r="ER199" s="144">
        <f t="shared" si="592"/>
        <v>3430.5106525934953</v>
      </c>
      <c r="ES199" s="456">
        <f t="shared" si="573"/>
        <v>2.492</v>
      </c>
      <c r="EV199" s="144">
        <f t="shared" si="494"/>
        <v>2492</v>
      </c>
      <c r="EW199" s="456">
        <f t="shared" si="574"/>
        <v>0.88248277894736848</v>
      </c>
      <c r="EX199" s="456">
        <f t="shared" si="575"/>
        <v>0.58058077562326871</v>
      </c>
      <c r="EY199" s="456">
        <f t="shared" si="576"/>
        <v>16.688141232989629</v>
      </c>
      <c r="EZ199" s="456"/>
      <c r="FA199" s="456">
        <f t="shared" si="577"/>
        <v>4.5446808510638306</v>
      </c>
      <c r="FB199" s="144">
        <f t="shared" si="578"/>
        <v>22695.885638624099</v>
      </c>
      <c r="FC199" s="150">
        <f t="shared" si="579"/>
        <v>28.618396291217593</v>
      </c>
      <c r="FD199" s="5">
        <f t="shared" si="580"/>
        <v>106.8</v>
      </c>
      <c r="FE199" s="150">
        <f t="shared" si="581"/>
        <v>0.78866684974120016</v>
      </c>
      <c r="FF199" s="5">
        <f t="shared" si="582"/>
        <v>78.86668497412002</v>
      </c>
      <c r="FI199" s="59">
        <f t="shared" si="583"/>
        <v>-50</v>
      </c>
      <c r="FJ199">
        <f t="shared" si="584"/>
        <v>-50</v>
      </c>
      <c r="FL199">
        <f t="shared" si="585"/>
        <v>0.39682539682539686</v>
      </c>
    </row>
    <row r="200" spans="5:168">
      <c r="E200" s="147">
        <v>90</v>
      </c>
      <c r="F200" s="188">
        <f t="shared" si="586"/>
        <v>3.6</v>
      </c>
      <c r="G200" s="188"/>
      <c r="H200" s="188">
        <f t="shared" si="495"/>
        <v>108</v>
      </c>
      <c r="I200" s="465">
        <f t="shared" si="496"/>
        <v>19.759789322904858</v>
      </c>
      <c r="J200" s="149">
        <f t="shared" si="497"/>
        <v>30.529344210743538</v>
      </c>
      <c r="K200" s="149">
        <f t="shared" si="498"/>
        <v>50.289133533648396</v>
      </c>
      <c r="L200" s="379"/>
      <c r="M200" s="188">
        <f t="shared" si="499"/>
        <v>0.60705810720014608</v>
      </c>
      <c r="N200" s="149">
        <f t="shared" si="500"/>
        <v>182.51324039880799</v>
      </c>
      <c r="O200" s="149">
        <f t="shared" si="598"/>
        <v>108</v>
      </c>
      <c r="P200" s="188">
        <f t="shared" si="501"/>
        <v>6.0837746799602668</v>
      </c>
      <c r="Q200" s="188">
        <f t="shared" si="502"/>
        <v>30</v>
      </c>
      <c r="R200" s="188"/>
      <c r="S200" s="149">
        <f t="shared" si="503"/>
        <v>63.527945036034616</v>
      </c>
      <c r="T200" s="149">
        <f t="shared" si="504"/>
        <v>30</v>
      </c>
      <c r="U200" s="188">
        <f t="shared" si="505"/>
        <v>18.323319890117549</v>
      </c>
      <c r="V200" s="188">
        <f t="shared" si="506"/>
        <v>4.3583259961038978</v>
      </c>
      <c r="W200" s="188">
        <f t="shared" si="507"/>
        <v>2.8208795737330727</v>
      </c>
      <c r="X200" s="172">
        <f t="shared" si="508"/>
        <v>350</v>
      </c>
      <c r="Y200" s="379">
        <f t="shared" si="509"/>
        <v>135.51594281199746</v>
      </c>
      <c r="AA200" s="188">
        <f t="shared" si="510"/>
        <v>7.2922194571427834</v>
      </c>
      <c r="AB200" s="150">
        <f t="shared" si="511"/>
        <v>1.1226389670207841</v>
      </c>
      <c r="AC200" s="150">
        <f t="shared" si="512"/>
        <v>1.4326427007647367</v>
      </c>
      <c r="AD200" s="150"/>
      <c r="AE200" s="150">
        <f t="shared" si="513"/>
        <v>0.93303178372316353</v>
      </c>
      <c r="AF200" s="314">
        <f t="shared" si="514"/>
        <v>1273.2685217425424</v>
      </c>
      <c r="AG200" s="456">
        <f t="shared" si="515"/>
        <v>0.98957916455487061</v>
      </c>
      <c r="AI200" s="150">
        <f t="shared" si="516"/>
        <v>11.559579464520649</v>
      </c>
      <c r="AJ200" s="150">
        <f t="shared" si="517"/>
        <v>18.323319890117549</v>
      </c>
      <c r="AK200" s="150">
        <f t="shared" si="518"/>
        <v>10.283491725564064</v>
      </c>
      <c r="AM200" s="314">
        <f t="shared" si="519"/>
        <v>3600</v>
      </c>
      <c r="AN200" s="144">
        <f t="shared" si="520"/>
        <v>135.51594281199746</v>
      </c>
      <c r="AP200">
        <f t="shared" si="521"/>
        <v>3600</v>
      </c>
      <c r="AQ200">
        <f t="shared" si="522"/>
        <v>135.51594281199746</v>
      </c>
      <c r="AS200" s="5">
        <f t="shared" si="599"/>
        <v>7.3792055698369703</v>
      </c>
      <c r="AT200" s="5">
        <f t="shared" si="523"/>
        <v>4.3583259961038978</v>
      </c>
      <c r="AU200" s="5">
        <f t="shared" si="477"/>
        <v>3.0208795737330725</v>
      </c>
      <c r="AV200" s="5"/>
      <c r="AW200" s="150">
        <f t="shared" si="478"/>
        <v>0.59062265644405765</v>
      </c>
      <c r="AX200" s="150">
        <f t="shared" si="595"/>
        <v>106.92187854810479</v>
      </c>
      <c r="AY200" s="150">
        <f t="shared" si="596"/>
        <v>3.750576010871042</v>
      </c>
      <c r="AZ200" s="150">
        <f t="shared" si="600"/>
        <v>28.508122015976159</v>
      </c>
      <c r="BA200" s="144">
        <f t="shared" si="593"/>
        <v>52.29991195324677</v>
      </c>
      <c r="BB200" s="5">
        <f t="shared" si="594"/>
        <v>9.712386058125464</v>
      </c>
      <c r="BD200" s="150">
        <f t="shared" si="601"/>
        <v>8.1301505471259095</v>
      </c>
      <c r="BE200" s="150">
        <f t="shared" si="597"/>
        <v>6.7687026831533528</v>
      </c>
      <c r="BG200" s="456">
        <f t="shared" si="479"/>
        <v>0.79319217502718076</v>
      </c>
      <c r="BH200" s="456">
        <f t="shared" si="524"/>
        <v>2.2789330998085737</v>
      </c>
      <c r="BI200" s="456">
        <f t="shared" si="480"/>
        <v>1.558433342337971E-2</v>
      </c>
      <c r="BJ200" s="456">
        <f t="shared" si="481"/>
        <v>0.17735729273955758</v>
      </c>
      <c r="BK200">
        <f t="shared" si="482"/>
        <v>8.8919051953071856E-3</v>
      </c>
      <c r="BL200" s="144">
        <f t="shared" si="587"/>
        <v>24.476238618686899</v>
      </c>
      <c r="BM200" s="456">
        <f t="shared" si="525"/>
        <v>4.2680027570742523</v>
      </c>
      <c r="BN200" s="144">
        <f t="shared" si="526"/>
        <v>4268.0027570742523</v>
      </c>
      <c r="BO200" s="456">
        <f t="shared" si="483"/>
        <v>2.52</v>
      </c>
      <c r="BR200" s="144">
        <f t="shared" si="484"/>
        <v>2520</v>
      </c>
      <c r="BS200" s="456">
        <f t="shared" si="485"/>
        <v>0.92539087086504423</v>
      </c>
      <c r="BT200" s="456">
        <f t="shared" si="486"/>
        <v>0.64141470418098356</v>
      </c>
      <c r="BU200" s="456">
        <f t="shared" si="487"/>
        <v>15.362305262386723</v>
      </c>
      <c r="BV200" s="456"/>
      <c r="BW200" s="456">
        <f t="shared" si="488"/>
        <v>4.5498671722597779</v>
      </c>
      <c r="BX200" s="144">
        <f t="shared" si="489"/>
        <v>21478.978009692528</v>
      </c>
      <c r="BY200" s="150">
        <f t="shared" si="490"/>
        <v>27.272936815886528</v>
      </c>
      <c r="BZ200" s="5">
        <f t="shared" si="491"/>
        <v>108</v>
      </c>
      <c r="CA200" s="150">
        <f t="shared" si="492"/>
        <v>0.79838586004082679</v>
      </c>
      <c r="CB200" s="5">
        <f t="shared" si="493"/>
        <v>79.838586004082686</v>
      </c>
      <c r="CE200" s="59">
        <f t="shared" si="527"/>
        <v>-50</v>
      </c>
      <c r="CF200">
        <f t="shared" si="528"/>
        <v>-50</v>
      </c>
      <c r="CG200" s="150">
        <f t="shared" si="529"/>
        <v>0.38965794997916281</v>
      </c>
      <c r="CI200" s="147">
        <v>90</v>
      </c>
      <c r="CJ200" s="188">
        <f t="shared" si="588"/>
        <v>3.6</v>
      </c>
      <c r="CK200" s="188"/>
      <c r="CL200" s="188">
        <f t="shared" si="530"/>
        <v>108</v>
      </c>
      <c r="CM200" s="465">
        <f t="shared" si="531"/>
        <v>20</v>
      </c>
      <c r="CN200" s="379">
        <f t="shared" si="532"/>
        <v>30.4</v>
      </c>
      <c r="CO200" s="379">
        <f t="shared" si="533"/>
        <v>50.4</v>
      </c>
      <c r="CP200" s="379"/>
      <c r="CQ200" s="188">
        <f t="shared" si="534"/>
        <v>0.60317460317460314</v>
      </c>
      <c r="CR200" s="149">
        <f t="shared" si="589"/>
        <v>183.55019291189507</v>
      </c>
      <c r="CS200" s="149">
        <f t="shared" si="535"/>
        <v>108</v>
      </c>
      <c r="CT200" s="188">
        <f t="shared" si="536"/>
        <v>6.1183397637298356</v>
      </c>
      <c r="CU200" s="188">
        <f t="shared" si="537"/>
        <v>30</v>
      </c>
      <c r="CV200" s="188"/>
      <c r="CW200" s="149">
        <f t="shared" si="538"/>
        <v>64.298734198521316</v>
      </c>
      <c r="CX200" s="149">
        <f t="shared" si="539"/>
        <v>30</v>
      </c>
      <c r="CY200" s="188">
        <f t="shared" si="540"/>
        <v>17.905263157894737</v>
      </c>
      <c r="CZ200" s="188">
        <f t="shared" si="541"/>
        <v>4.2077368421052626</v>
      </c>
      <c r="DA200" s="188">
        <f t="shared" si="542"/>
        <v>2.768247922437673</v>
      </c>
      <c r="DB200" s="172">
        <f t="shared" si="543"/>
        <v>350</v>
      </c>
      <c r="DC200" s="379">
        <f t="shared" si="544"/>
        <v>143.34893692468086</v>
      </c>
      <c r="DE200" s="188">
        <f t="shared" si="545"/>
        <v>7.3334298258310406</v>
      </c>
      <c r="DF200" s="150">
        <f t="shared" si="546"/>
        <v>1.1337868480725624</v>
      </c>
      <c r="DG200" s="150">
        <f t="shared" si="547"/>
        <v>1.4550456003633017</v>
      </c>
      <c r="DH200" s="150"/>
      <c r="DI200" s="150">
        <f t="shared" si="548"/>
        <v>0.93700159489633172</v>
      </c>
      <c r="DJ200" s="314">
        <f t="shared" si="549"/>
        <v>1267.8740425531914</v>
      </c>
      <c r="DK200" s="456">
        <f t="shared" si="550"/>
        <v>0.99378957034459414</v>
      </c>
      <c r="DM200" s="150">
        <f t="shared" si="551"/>
        <v>11.535066135912633</v>
      </c>
      <c r="DN200" s="150">
        <f t="shared" si="552"/>
        <v>17.905263157894737</v>
      </c>
      <c r="DO200" s="150">
        <f t="shared" si="553"/>
        <v>9.9738200720656867</v>
      </c>
      <c r="DQ200" s="314">
        <f t="shared" si="554"/>
        <v>3600</v>
      </c>
      <c r="DR200" s="144">
        <f t="shared" si="555"/>
        <v>143.34893692468086</v>
      </c>
      <c r="DT200">
        <f t="shared" si="590"/>
        <v>3600</v>
      </c>
      <c r="DU200">
        <f t="shared" si="591"/>
        <v>143.34893692468086</v>
      </c>
      <c r="DW200" s="5">
        <f t="shared" si="556"/>
        <v>6.975984764542936</v>
      </c>
      <c r="DX200" s="5">
        <f t="shared" si="557"/>
        <v>4.2077368421052626</v>
      </c>
      <c r="DY200" s="5">
        <f t="shared" si="558"/>
        <v>2.7682479224376735</v>
      </c>
      <c r="DZ200" s="5"/>
      <c r="EA200" s="150">
        <f t="shared" si="559"/>
        <v>0.60317460317460314</v>
      </c>
      <c r="EB200" s="150">
        <f t="shared" si="560"/>
        <v>108</v>
      </c>
      <c r="EC200" s="150">
        <f t="shared" si="561"/>
        <v>3.5526315789473686</v>
      </c>
      <c r="ED200" s="150">
        <f t="shared" si="562"/>
        <v>30.4</v>
      </c>
      <c r="EE200" s="144">
        <f t="shared" si="563"/>
        <v>50.492842105263158</v>
      </c>
      <c r="EF200" s="5">
        <f t="shared" si="564"/>
        <v>8.7932581065667268</v>
      </c>
      <c r="EH200" s="150">
        <f t="shared" si="565"/>
        <v>8.0286329700903032</v>
      </c>
      <c r="EI200" s="150">
        <f t="shared" si="566"/>
        <v>6.5120812507267205</v>
      </c>
      <c r="EK200" s="456">
        <f t="shared" si="567"/>
        <v>0.7735073684210525</v>
      </c>
      <c r="EL200" s="456">
        <f t="shared" si="568"/>
        <v>2.4578723404255323</v>
      </c>
      <c r="EM200" s="456">
        <f t="shared" si="569"/>
        <v>1.6485127746338299E-2</v>
      </c>
      <c r="EN200" s="456">
        <f t="shared" si="570"/>
        <v>0.18843687943262413</v>
      </c>
      <c r="EO200">
        <f t="shared" si="571"/>
        <v>8.9999999999999993E-3</v>
      </c>
      <c r="EP200" s="144">
        <f t="shared" si="572"/>
        <v>25.4851277463383</v>
      </c>
      <c r="EQ200" s="144"/>
      <c r="ER200" s="144">
        <f t="shared" si="592"/>
        <v>3445.3017160255472</v>
      </c>
      <c r="ES200" s="456">
        <f t="shared" si="573"/>
        <v>2.52</v>
      </c>
      <c r="EV200" s="144">
        <f t="shared" si="494"/>
        <v>2520</v>
      </c>
      <c r="EW200" s="456">
        <f t="shared" si="574"/>
        <v>0.90242526315789451</v>
      </c>
      <c r="EX200" s="456">
        <f t="shared" si="575"/>
        <v>0.59370083102493088</v>
      </c>
      <c r="EY200" s="456">
        <f t="shared" si="576"/>
        <v>16.688141232989647</v>
      </c>
      <c r="EZ200" s="456"/>
      <c r="FA200" s="456">
        <f t="shared" si="577"/>
        <v>4.5957446808510642</v>
      </c>
      <c r="FB200" s="144">
        <f t="shared" si="578"/>
        <v>22780.012008023532</v>
      </c>
      <c r="FC200" s="150">
        <f t="shared" si="579"/>
        <v>28.745313724049083</v>
      </c>
      <c r="FD200" s="5">
        <f t="shared" si="580"/>
        <v>108</v>
      </c>
      <c r="FE200" s="150">
        <f t="shared" si="581"/>
        <v>0.78978940527309849</v>
      </c>
      <c r="FF200" s="5">
        <f t="shared" si="582"/>
        <v>78.978940527309845</v>
      </c>
      <c r="FI200" s="59">
        <f t="shared" si="583"/>
        <v>-50</v>
      </c>
      <c r="FJ200">
        <f t="shared" si="584"/>
        <v>-50</v>
      </c>
      <c r="FL200">
        <f t="shared" si="585"/>
        <v>0.39682539682539686</v>
      </c>
    </row>
    <row r="201" spans="5:168">
      <c r="E201" s="147">
        <v>91</v>
      </c>
      <c r="F201" s="188">
        <f t="shared" si="586"/>
        <v>3.64</v>
      </c>
      <c r="G201" s="188"/>
      <c r="H201" s="188">
        <f t="shared" si="495"/>
        <v>109.2</v>
      </c>
      <c r="I201" s="465">
        <f t="shared" si="496"/>
        <v>19.757169399722137</v>
      </c>
      <c r="J201" s="149">
        <f t="shared" si="497"/>
        <v>30.530754938611157</v>
      </c>
      <c r="K201" s="149">
        <f t="shared" si="498"/>
        <v>50.287924338333298</v>
      </c>
      <c r="L201" s="379"/>
      <c r="M201" s="188">
        <f t="shared" si="499"/>
        <v>0.6071007628648637</v>
      </c>
      <c r="N201" s="149">
        <f t="shared" si="500"/>
        <v>182.50186403124201</v>
      </c>
      <c r="O201" s="149">
        <f t="shared" si="598"/>
        <v>109.2</v>
      </c>
      <c r="P201" s="188">
        <f t="shared" si="501"/>
        <v>6.0833954677080673</v>
      </c>
      <c r="Q201" s="188">
        <f t="shared" si="502"/>
        <v>30</v>
      </c>
      <c r="R201" s="188"/>
      <c r="S201" s="149">
        <f t="shared" si="503"/>
        <v>62.607557764491048</v>
      </c>
      <c r="T201" s="149">
        <f t="shared" si="504"/>
        <v>30</v>
      </c>
      <c r="U201" s="188">
        <f t="shared" si="505"/>
        <v>18.528923733939621</v>
      </c>
      <c r="V201" s="188">
        <f t="shared" si="506"/>
        <v>4.4078146918526189</v>
      </c>
      <c r="W201" s="188">
        <f t="shared" si="507"/>
        <v>2.8524005293882118</v>
      </c>
      <c r="X201" s="172">
        <f t="shared" si="508"/>
        <v>350</v>
      </c>
      <c r="Y201" s="379">
        <f t="shared" si="509"/>
        <v>134.0443901876699</v>
      </c>
      <c r="AA201" s="188">
        <f t="shared" si="510"/>
        <v>7.2917648421891421</v>
      </c>
      <c r="AB201" s="150">
        <f t="shared" si="511"/>
        <v>1.1225171086400907</v>
      </c>
      <c r="AC201" s="150">
        <f t="shared" si="512"/>
        <v>1.4323978878190842</v>
      </c>
      <c r="AD201" s="150"/>
      <c r="AE201" s="150">
        <f t="shared" si="513"/>
        <v>0.93298867132907715</v>
      </c>
      <c r="AF201" s="314">
        <f t="shared" si="514"/>
        <v>1287.4754398559264</v>
      </c>
      <c r="AG201" s="456">
        <f t="shared" si="515"/>
        <v>0.9895334392884152</v>
      </c>
      <c r="AI201" s="150">
        <f t="shared" si="516"/>
        <v>11.62389050045722</v>
      </c>
      <c r="AJ201" s="150">
        <f t="shared" si="517"/>
        <v>18.528923733939621</v>
      </c>
      <c r="AK201" s="150">
        <f t="shared" si="518"/>
        <v>10.435790869135969</v>
      </c>
      <c r="AM201" s="314">
        <f t="shared" si="519"/>
        <v>3640</v>
      </c>
      <c r="AN201" s="144">
        <f t="shared" si="520"/>
        <v>134.0443901876699</v>
      </c>
      <c r="AP201">
        <f t="shared" si="521"/>
        <v>3640</v>
      </c>
      <c r="AQ201">
        <f t="shared" si="522"/>
        <v>134.0443901876699</v>
      </c>
      <c r="AS201" s="5">
        <f t="shared" si="599"/>
        <v>7.4602152212408308</v>
      </c>
      <c r="AT201" s="5">
        <f t="shared" si="523"/>
        <v>4.4078146918526189</v>
      </c>
      <c r="AU201" s="5">
        <f t="shared" si="477"/>
        <v>3.0524005293882119</v>
      </c>
      <c r="AV201" s="5"/>
      <c r="AW201" s="150">
        <f t="shared" si="478"/>
        <v>0.59084283242963642</v>
      </c>
      <c r="AX201" s="150">
        <f t="shared" si="595"/>
        <v>108.14760173909058</v>
      </c>
      <c r="AY201" s="150">
        <f t="shared" si="596"/>
        <v>3.7906209765530101</v>
      </c>
      <c r="AZ201" s="150">
        <f t="shared" si="600"/>
        <v>28.530312687034797</v>
      </c>
      <c r="BA201" s="144">
        <f t="shared" si="593"/>
        <v>53.481484927811778</v>
      </c>
      <c r="BB201" s="5">
        <f t="shared" si="594"/>
        <v>9.9240858750176475</v>
      </c>
      <c r="BD201" s="150">
        <f t="shared" si="601"/>
        <v>8.222910287331489</v>
      </c>
      <c r="BE201" s="150">
        <f t="shared" si="597"/>
        <v>6.8428126273154879</v>
      </c>
      <c r="BG201" s="456">
        <f t="shared" si="479"/>
        <v>0.81139504312202448</v>
      </c>
      <c r="BH201" s="456">
        <f t="shared" si="524"/>
        <v>2.2794255716295893</v>
      </c>
      <c r="BI201" s="456">
        <f t="shared" si="480"/>
        <v>1.5415104871582042E-2</v>
      </c>
      <c r="BJ201" s="456">
        <f t="shared" si="481"/>
        <v>0.17542295318134413</v>
      </c>
      <c r="BK201">
        <f t="shared" si="482"/>
        <v>8.8907262298749609E-3</v>
      </c>
      <c r="BL201" s="144">
        <f t="shared" si="587"/>
        <v>24.305831101457002</v>
      </c>
      <c r="BM201" s="456">
        <f t="shared" si="525"/>
        <v>4.3177231107839544</v>
      </c>
      <c r="BN201" s="144">
        <f t="shared" si="526"/>
        <v>4317.7231107839543</v>
      </c>
      <c r="BO201" s="456">
        <f t="shared" si="483"/>
        <v>2.548</v>
      </c>
      <c r="BR201" s="144">
        <f t="shared" si="484"/>
        <v>2548</v>
      </c>
      <c r="BS201" s="456">
        <f t="shared" si="485"/>
        <v>0.94662755030902856</v>
      </c>
      <c r="BT201" s="456">
        <f t="shared" si="486"/>
        <v>0.65553718513567616</v>
      </c>
      <c r="BU201" s="456">
        <f t="shared" si="487"/>
        <v>15.371529997379616</v>
      </c>
      <c r="BV201" s="456"/>
      <c r="BW201" s="456">
        <f t="shared" si="488"/>
        <v>4.6020256059187492</v>
      </c>
      <c r="BX201" s="144">
        <f t="shared" si="489"/>
        <v>21575.720338743067</v>
      </c>
      <c r="BY201" s="150">
        <f t="shared" si="490"/>
        <v>27.414269737777488</v>
      </c>
      <c r="BZ201" s="5">
        <f t="shared" si="491"/>
        <v>109.2</v>
      </c>
      <c r="CA201" s="150">
        <f t="shared" si="492"/>
        <v>0.79933084742613314</v>
      </c>
      <c r="CB201" s="5">
        <f t="shared" si="493"/>
        <v>79.933084742613318</v>
      </c>
      <c r="CE201" s="59">
        <f t="shared" si="527"/>
        <v>-50</v>
      </c>
      <c r="CF201">
        <f t="shared" si="528"/>
        <v>-50</v>
      </c>
      <c r="CG201" s="150">
        <f t="shared" si="529"/>
        <v>0.38973671313131913</v>
      </c>
      <c r="CI201" s="147">
        <v>91</v>
      </c>
      <c r="CJ201" s="188">
        <f t="shared" si="588"/>
        <v>3.64</v>
      </c>
      <c r="CK201" s="188"/>
      <c r="CL201" s="188">
        <f t="shared" si="530"/>
        <v>109.2</v>
      </c>
      <c r="CM201" s="465">
        <f t="shared" si="531"/>
        <v>20</v>
      </c>
      <c r="CN201" s="379">
        <f t="shared" si="532"/>
        <v>30.4</v>
      </c>
      <c r="CO201" s="379">
        <f t="shared" si="533"/>
        <v>50.4</v>
      </c>
      <c r="CP201" s="379"/>
      <c r="CQ201" s="188">
        <f t="shared" si="534"/>
        <v>0.60317460317460314</v>
      </c>
      <c r="CR201" s="149">
        <f t="shared" si="589"/>
        <v>183.55019291189507</v>
      </c>
      <c r="CS201" s="149">
        <f t="shared" si="535"/>
        <v>109.2</v>
      </c>
      <c r="CT201" s="188">
        <f t="shared" si="536"/>
        <v>6.1183397637298356</v>
      </c>
      <c r="CU201" s="188">
        <f t="shared" si="537"/>
        <v>30</v>
      </c>
      <c r="CV201" s="188"/>
      <c r="CW201" s="149">
        <f t="shared" si="538"/>
        <v>63.375523224473469</v>
      </c>
      <c r="CX201" s="149">
        <f t="shared" si="539"/>
        <v>30</v>
      </c>
      <c r="CY201" s="188">
        <f t="shared" si="540"/>
        <v>18.104210526315789</v>
      </c>
      <c r="CZ201" s="188">
        <f t="shared" si="541"/>
        <v>4.2544894736842105</v>
      </c>
      <c r="DA201" s="188">
        <f t="shared" si="542"/>
        <v>2.7990062326869807</v>
      </c>
      <c r="DB201" s="172">
        <f t="shared" si="543"/>
        <v>350</v>
      </c>
      <c r="DC201" s="379">
        <f t="shared" si="544"/>
        <v>141.77367388155253</v>
      </c>
      <c r="DE201" s="188">
        <f t="shared" si="545"/>
        <v>7.3334298258310406</v>
      </c>
      <c r="DF201" s="150">
        <f t="shared" si="546"/>
        <v>1.1337868480725624</v>
      </c>
      <c r="DG201" s="150">
        <f t="shared" si="547"/>
        <v>1.4550456003633017</v>
      </c>
      <c r="DH201" s="150"/>
      <c r="DI201" s="150">
        <f t="shared" si="548"/>
        <v>0.93700159489633172</v>
      </c>
      <c r="DJ201" s="314">
        <f t="shared" si="549"/>
        <v>1281.9615319148938</v>
      </c>
      <c r="DK201" s="456">
        <f t="shared" si="550"/>
        <v>0.99378957034459414</v>
      </c>
      <c r="DM201" s="150">
        <f t="shared" si="551"/>
        <v>11.598972808519122</v>
      </c>
      <c r="DN201" s="150">
        <f t="shared" si="552"/>
        <v>18.104210526315789</v>
      </c>
      <c r="DO201" s="150">
        <f t="shared" si="553"/>
        <v>10.121188493118316</v>
      </c>
      <c r="DQ201" s="314">
        <f t="shared" si="554"/>
        <v>3640</v>
      </c>
      <c r="DR201" s="144">
        <f t="shared" si="555"/>
        <v>141.77367388155253</v>
      </c>
      <c r="DT201">
        <f t="shared" si="590"/>
        <v>3640</v>
      </c>
      <c r="DU201">
        <f t="shared" si="591"/>
        <v>141.77367388155253</v>
      </c>
      <c r="DW201" s="5">
        <f t="shared" si="556"/>
        <v>7.0534957063711898</v>
      </c>
      <c r="DX201" s="5">
        <f t="shared" si="557"/>
        <v>4.2544894736842105</v>
      </c>
      <c r="DY201" s="5">
        <f t="shared" si="558"/>
        <v>2.7990062326869793</v>
      </c>
      <c r="DZ201" s="5"/>
      <c r="EA201" s="150">
        <f t="shared" si="559"/>
        <v>0.60317460317460325</v>
      </c>
      <c r="EB201" s="150">
        <f t="shared" si="560"/>
        <v>109.20000000000002</v>
      </c>
      <c r="EC201" s="150">
        <f t="shared" si="561"/>
        <v>3.5921052631578938</v>
      </c>
      <c r="ED201" s="150">
        <f t="shared" si="562"/>
        <v>30.400000000000013</v>
      </c>
      <c r="EE201" s="144">
        <f t="shared" si="563"/>
        <v>51.621138947368415</v>
      </c>
      <c r="EF201" s="5">
        <f t="shared" si="564"/>
        <v>8.9897494296887679</v>
      </c>
      <c r="EH201" s="150">
        <f t="shared" si="565"/>
        <v>8.1178400030913078</v>
      </c>
      <c r="EI201" s="150">
        <f t="shared" si="566"/>
        <v>6.5844377090681272</v>
      </c>
      <c r="EK201" s="456">
        <f t="shared" si="567"/>
        <v>0.79079191578947383</v>
      </c>
      <c r="EL201" s="456">
        <f t="shared" si="568"/>
        <v>2.4578723404255323</v>
      </c>
      <c r="EM201" s="456">
        <f t="shared" si="569"/>
        <v>1.6303972496378542E-2</v>
      </c>
      <c r="EN201" s="456">
        <f t="shared" si="570"/>
        <v>0.18636614449380412</v>
      </c>
      <c r="EO201">
        <f t="shared" si="571"/>
        <v>8.9999999999999993E-3</v>
      </c>
      <c r="EP201" s="144">
        <f t="shared" si="572"/>
        <v>25.303972496378542</v>
      </c>
      <c r="EQ201" s="144"/>
      <c r="ER201" s="144">
        <f t="shared" si="592"/>
        <v>3460.334373205189</v>
      </c>
      <c r="ES201" s="456">
        <f t="shared" si="573"/>
        <v>2.548</v>
      </c>
      <c r="EV201" s="144">
        <f t="shared" si="494"/>
        <v>2548</v>
      </c>
      <c r="EW201" s="456">
        <f t="shared" si="574"/>
        <v>0.92259056842105269</v>
      </c>
      <c r="EX201" s="456">
        <f t="shared" si="575"/>
        <v>0.60696747922437655</v>
      </c>
      <c r="EY201" s="456">
        <f t="shared" si="576"/>
        <v>16.688141232989643</v>
      </c>
      <c r="EZ201" s="456"/>
      <c r="FA201" s="456">
        <f t="shared" si="577"/>
        <v>4.6468085106382997</v>
      </c>
      <c r="FB201" s="144">
        <f t="shared" si="578"/>
        <v>22864.507791273376</v>
      </c>
      <c r="FC201" s="150">
        <f t="shared" si="579"/>
        <v>28.872842164478563</v>
      </c>
      <c r="FD201" s="5">
        <f t="shared" si="580"/>
        <v>109.2</v>
      </c>
      <c r="FE201" s="150">
        <f t="shared" si="581"/>
        <v>0.79088688469174884</v>
      </c>
      <c r="FF201" s="5">
        <f t="shared" si="582"/>
        <v>79.088688469174883</v>
      </c>
      <c r="FI201" s="59">
        <f t="shared" si="583"/>
        <v>-50</v>
      </c>
      <c r="FJ201">
        <f t="shared" si="584"/>
        <v>-50</v>
      </c>
      <c r="FL201">
        <f t="shared" si="585"/>
        <v>0.39682539682539675</v>
      </c>
    </row>
    <row r="202" spans="5:168">
      <c r="E202" s="147">
        <v>92</v>
      </c>
      <c r="F202" s="188">
        <f t="shared" si="586"/>
        <v>3.68</v>
      </c>
      <c r="G202" s="188"/>
      <c r="H202" s="188">
        <f t="shared" si="495"/>
        <v>110.4</v>
      </c>
      <c r="I202" s="465">
        <f t="shared" si="496"/>
        <v>19.754549457135312</v>
      </c>
      <c r="J202" s="149">
        <f t="shared" si="497"/>
        <v>30.532165676927139</v>
      </c>
      <c r="K202" s="149">
        <f t="shared" si="498"/>
        <v>50.286715134062447</v>
      </c>
      <c r="L202" s="379"/>
      <c r="M202" s="188">
        <f t="shared" si="499"/>
        <v>0.60714342081456218</v>
      </c>
      <c r="N202" s="149">
        <f t="shared" si="500"/>
        <v>182.49048477045633</v>
      </c>
      <c r="O202" s="149">
        <f t="shared" si="598"/>
        <v>110.4</v>
      </c>
      <c r="P202" s="188">
        <f t="shared" si="501"/>
        <v>6.0830161590152114</v>
      </c>
      <c r="Q202" s="188">
        <f t="shared" si="502"/>
        <v>30</v>
      </c>
      <c r="R202" s="188"/>
      <c r="S202" s="149">
        <f t="shared" si="503"/>
        <v>61.707286537876577</v>
      </c>
      <c r="T202" s="149">
        <f t="shared" si="504"/>
        <v>30</v>
      </c>
      <c r="U202" s="188">
        <f t="shared" si="505"/>
        <v>18.734572334923026</v>
      </c>
      <c r="V202" s="188">
        <f t="shared" si="506"/>
        <v>4.4573271673545465</v>
      </c>
      <c r="W202" s="188">
        <f t="shared" si="507"/>
        <v>2.8839254609665188</v>
      </c>
      <c r="X202" s="172">
        <f t="shared" si="508"/>
        <v>350</v>
      </c>
      <c r="Y202" s="379">
        <f t="shared" si="509"/>
        <v>132.60396505542255</v>
      </c>
      <c r="AA202" s="188">
        <f t="shared" si="510"/>
        <v>7.2913101126439699</v>
      </c>
      <c r="AB202" s="150">
        <f t="shared" si="511"/>
        <v>1.1223952434963869</v>
      </c>
      <c r="AC202" s="150">
        <f t="shared" si="512"/>
        <v>1.4321530631255219</v>
      </c>
      <c r="AD202" s="150"/>
      <c r="AE202" s="150">
        <f t="shared" si="513"/>
        <v>0.93294556259971451</v>
      </c>
      <c r="AF202" s="314">
        <f t="shared" si="514"/>
        <v>1301.6836658893519</v>
      </c>
      <c r="AG202" s="456">
        <f t="shared" si="515"/>
        <v>0.98948771790878798</v>
      </c>
      <c r="AI202" s="150">
        <f t="shared" si="516"/>
        <v>11.687853549607482</v>
      </c>
      <c r="AJ202" s="150">
        <f t="shared" si="517"/>
        <v>18.734572334923026</v>
      </c>
      <c r="AK202" s="150">
        <f t="shared" si="518"/>
        <v>10.588123166160715</v>
      </c>
      <c r="AM202" s="314">
        <f t="shared" si="519"/>
        <v>3680</v>
      </c>
      <c r="AN202" s="144">
        <f t="shared" si="520"/>
        <v>132.60396505542255</v>
      </c>
      <c r="AP202">
        <f t="shared" si="521"/>
        <v>3680</v>
      </c>
      <c r="AQ202">
        <f t="shared" si="522"/>
        <v>132.60396505542255</v>
      </c>
      <c r="AS202" s="5">
        <f t="shared" si="599"/>
        <v>7.5412526283210655</v>
      </c>
      <c r="AT202" s="5">
        <f t="shared" si="523"/>
        <v>4.4573271673545465</v>
      </c>
      <c r="AU202" s="5">
        <f t="shared" si="477"/>
        <v>3.083925460966519</v>
      </c>
      <c r="AV202" s="5"/>
      <c r="AW202" s="150">
        <f t="shared" si="478"/>
        <v>0.59105925594046782</v>
      </c>
      <c r="AX202" s="150">
        <f t="shared" si="595"/>
        <v>109.37345716913339</v>
      </c>
      <c r="AY202" s="150">
        <f t="shared" si="596"/>
        <v>3.8306649751402748</v>
      </c>
      <c r="AZ202" s="150">
        <f t="shared" si="600"/>
        <v>28.552081134458451</v>
      </c>
      <c r="BA202" s="144">
        <f t="shared" si="593"/>
        <v>54.676546586215778</v>
      </c>
      <c r="BB202" s="5">
        <f t="shared" si="594"/>
        <v>10.138107579589891</v>
      </c>
      <c r="BD202" s="150">
        <f t="shared" si="601"/>
        <v>8.3156972134475886</v>
      </c>
      <c r="BE202" s="150">
        <f t="shared" si="597"/>
        <v>6.9169294761775904</v>
      </c>
      <c r="BG202" s="456">
        <f t="shared" si="479"/>
        <v>0.82980984174887984</v>
      </c>
      <c r="BH202" s="456">
        <f t="shared" si="524"/>
        <v>2.2799033147275303</v>
      </c>
      <c r="BI202" s="456">
        <f t="shared" si="480"/>
        <v>1.5249455981373594E-2</v>
      </c>
      <c r="BJ202" s="456">
        <f t="shared" si="481"/>
        <v>0.17352953336355323</v>
      </c>
      <c r="BK202">
        <f t="shared" si="482"/>
        <v>8.8895472557108893E-3</v>
      </c>
      <c r="BL202" s="144">
        <f t="shared" si="587"/>
        <v>24.139003237084484</v>
      </c>
      <c r="BM202" s="456">
        <f t="shared" si="525"/>
        <v>4.3686209700954945</v>
      </c>
      <c r="BN202" s="144">
        <f t="shared" si="526"/>
        <v>4368.6209700954942</v>
      </c>
      <c r="BO202" s="456">
        <f t="shared" si="483"/>
        <v>2.5760000000000001</v>
      </c>
      <c r="BR202" s="144">
        <f t="shared" si="484"/>
        <v>2576</v>
      </c>
      <c r="BS202" s="456">
        <f t="shared" si="485"/>
        <v>0.96811148204035979</v>
      </c>
      <c r="BT202" s="456">
        <f t="shared" si="486"/>
        <v>0.66981478729780153</v>
      </c>
      <c r="BU202" s="456">
        <f t="shared" si="487"/>
        <v>15.380510100173717</v>
      </c>
      <c r="BV202" s="456"/>
      <c r="BW202" s="456">
        <f t="shared" si="488"/>
        <v>4.654189666771634</v>
      </c>
      <c r="BX202" s="144">
        <f t="shared" si="489"/>
        <v>21672.626036283509</v>
      </c>
      <c r="BY202" s="150">
        <f t="shared" si="490"/>
        <v>27.556007729360559</v>
      </c>
      <c r="BZ202" s="5">
        <f t="shared" si="491"/>
        <v>110.4</v>
      </c>
      <c r="CA202" s="150">
        <f t="shared" si="492"/>
        <v>0.80025510898068741</v>
      </c>
      <c r="CB202" s="5">
        <f t="shared" si="493"/>
        <v>80.025510898068745</v>
      </c>
      <c r="CE202" s="59">
        <f t="shared" si="527"/>
        <v>-50</v>
      </c>
      <c r="CF202">
        <f t="shared" si="528"/>
        <v>-50</v>
      </c>
      <c r="CG202" s="150">
        <f t="shared" si="529"/>
        <v>0.38981376404103757</v>
      </c>
      <c r="CI202" s="147">
        <v>92</v>
      </c>
      <c r="CJ202" s="188">
        <f t="shared" si="588"/>
        <v>3.68</v>
      </c>
      <c r="CK202" s="188"/>
      <c r="CL202" s="188">
        <f t="shared" si="530"/>
        <v>110.4</v>
      </c>
      <c r="CM202" s="465">
        <f t="shared" si="531"/>
        <v>20</v>
      </c>
      <c r="CN202" s="379">
        <f t="shared" si="532"/>
        <v>30.4</v>
      </c>
      <c r="CO202" s="379">
        <f t="shared" si="533"/>
        <v>50.4</v>
      </c>
      <c r="CP202" s="379"/>
      <c r="CQ202" s="188">
        <f t="shared" si="534"/>
        <v>0.60317460317460314</v>
      </c>
      <c r="CR202" s="149">
        <f t="shared" si="589"/>
        <v>183.55019291189507</v>
      </c>
      <c r="CS202" s="149">
        <f t="shared" si="535"/>
        <v>110.4</v>
      </c>
      <c r="CT202" s="188">
        <f t="shared" si="536"/>
        <v>6.1183397637298356</v>
      </c>
      <c r="CU202" s="188">
        <f t="shared" si="537"/>
        <v>30</v>
      </c>
      <c r="CV202" s="188"/>
      <c r="CW202" s="149">
        <f t="shared" si="538"/>
        <v>62.47243281663598</v>
      </c>
      <c r="CX202" s="149">
        <f t="shared" si="539"/>
        <v>30</v>
      </c>
      <c r="CY202" s="188">
        <f t="shared" si="540"/>
        <v>18.303157894736842</v>
      </c>
      <c r="CZ202" s="188">
        <f t="shared" si="541"/>
        <v>4.3012421052631584</v>
      </c>
      <c r="DA202" s="188">
        <f t="shared" si="542"/>
        <v>2.8297645429362883</v>
      </c>
      <c r="DB202" s="172">
        <f t="shared" si="543"/>
        <v>350</v>
      </c>
      <c r="DC202" s="379">
        <f t="shared" si="544"/>
        <v>140.23265568718776</v>
      </c>
      <c r="DE202" s="188">
        <f t="shared" si="545"/>
        <v>7.3334298258310406</v>
      </c>
      <c r="DF202" s="150">
        <f t="shared" si="546"/>
        <v>1.1337868480725624</v>
      </c>
      <c r="DG202" s="150">
        <f t="shared" si="547"/>
        <v>1.4550456003633017</v>
      </c>
      <c r="DH202" s="150"/>
      <c r="DI202" s="150">
        <f t="shared" si="548"/>
        <v>0.93700159489633172</v>
      </c>
      <c r="DJ202" s="314">
        <f t="shared" si="549"/>
        <v>1296.0490212765958</v>
      </c>
      <c r="DK202" s="456">
        <f t="shared" si="550"/>
        <v>0.99378957034459414</v>
      </c>
      <c r="DM202" s="150">
        <f t="shared" si="551"/>
        <v>11.662529299669668</v>
      </c>
      <c r="DN202" s="150">
        <f t="shared" si="552"/>
        <v>18.303157894736842</v>
      </c>
      <c r="DO202" s="150">
        <f t="shared" si="553"/>
        <v>10.268556914170947</v>
      </c>
      <c r="DQ202" s="314">
        <f t="shared" si="554"/>
        <v>3680</v>
      </c>
      <c r="DR202" s="144">
        <f t="shared" si="555"/>
        <v>140.23265568718776</v>
      </c>
      <c r="DT202">
        <f t="shared" si="590"/>
        <v>3680</v>
      </c>
      <c r="DU202">
        <f t="shared" si="591"/>
        <v>140.23265568718776</v>
      </c>
      <c r="DW202" s="5">
        <f t="shared" si="556"/>
        <v>7.1310066481994481</v>
      </c>
      <c r="DX202" s="5">
        <f t="shared" si="557"/>
        <v>4.3012421052631584</v>
      </c>
      <c r="DY202" s="5">
        <f t="shared" si="558"/>
        <v>2.8297645429362897</v>
      </c>
      <c r="DZ202" s="5"/>
      <c r="EA202" s="150">
        <f t="shared" si="559"/>
        <v>0.60317460317460303</v>
      </c>
      <c r="EB202" s="150">
        <f t="shared" si="560"/>
        <v>110.39999999999996</v>
      </c>
      <c r="EC202" s="150">
        <f t="shared" si="561"/>
        <v>3.6315789473684221</v>
      </c>
      <c r="ED202" s="150">
        <f t="shared" si="562"/>
        <v>30.399999999999981</v>
      </c>
      <c r="EE202" s="144">
        <f t="shared" si="563"/>
        <v>52.761903157894743</v>
      </c>
      <c r="EF202" s="5">
        <f t="shared" si="564"/>
        <v>9.188411927651952</v>
      </c>
      <c r="EH202" s="150">
        <f t="shared" si="565"/>
        <v>8.2070470360923089</v>
      </c>
      <c r="EI202" s="150">
        <f t="shared" si="566"/>
        <v>6.6567941674095366</v>
      </c>
      <c r="EK202" s="456">
        <f t="shared" si="567"/>
        <v>0.80826745263157862</v>
      </c>
      <c r="EL202" s="456">
        <f t="shared" si="568"/>
        <v>2.4578723404255314</v>
      </c>
      <c r="EM202" s="456">
        <f t="shared" si="569"/>
        <v>1.6126755404026593E-2</v>
      </c>
      <c r="EN202" s="456">
        <f t="shared" si="570"/>
        <v>0.18434042553191488</v>
      </c>
      <c r="EO202">
        <f t="shared" si="571"/>
        <v>8.9999999999999993E-3</v>
      </c>
      <c r="EP202" s="144">
        <f t="shared" si="572"/>
        <v>25.126755404026589</v>
      </c>
      <c r="EQ202" s="144"/>
      <c r="ER202" s="144">
        <f t="shared" si="592"/>
        <v>3475.6069739930517</v>
      </c>
      <c r="ES202" s="456">
        <f t="shared" si="573"/>
        <v>2.5760000000000001</v>
      </c>
      <c r="EV202" s="144">
        <f t="shared" si="494"/>
        <v>2576</v>
      </c>
      <c r="EW202" s="456">
        <f t="shared" si="574"/>
        <v>0.9429786947368417</v>
      </c>
      <c r="EX202" s="456">
        <f t="shared" si="575"/>
        <v>0.62038072022160673</v>
      </c>
      <c r="EY202" s="456">
        <f t="shared" si="576"/>
        <v>16.688141232989601</v>
      </c>
      <c r="EZ202" s="456"/>
      <c r="FA202" s="456">
        <f t="shared" si="577"/>
        <v>4.6978723404255307</v>
      </c>
      <c r="FB202" s="144">
        <f t="shared" si="578"/>
        <v>22949.37298837358</v>
      </c>
      <c r="FC202" s="150">
        <f t="shared" si="579"/>
        <v>29.000979962366632</v>
      </c>
      <c r="FD202" s="5">
        <f t="shared" si="580"/>
        <v>110.4</v>
      </c>
      <c r="FE202" s="150">
        <f t="shared" si="581"/>
        <v>0.79195999934723638</v>
      </c>
      <c r="FF202" s="5">
        <f t="shared" si="582"/>
        <v>79.195999934723631</v>
      </c>
      <c r="FI202" s="59">
        <f t="shared" si="583"/>
        <v>-50</v>
      </c>
      <c r="FJ202">
        <f t="shared" si="584"/>
        <v>-50</v>
      </c>
      <c r="FL202">
        <f t="shared" si="585"/>
        <v>0.39682539682539697</v>
      </c>
    </row>
    <row r="203" spans="5:168">
      <c r="E203" s="147">
        <v>93</v>
      </c>
      <c r="F203" s="188">
        <f t="shared" si="586"/>
        <v>3.72</v>
      </c>
      <c r="G203" s="188"/>
      <c r="H203" s="188">
        <f t="shared" si="495"/>
        <v>111.60000000000001</v>
      </c>
      <c r="I203" s="465">
        <f t="shared" si="496"/>
        <v>19.751929495781461</v>
      </c>
      <c r="J203" s="149">
        <f t="shared" si="497"/>
        <v>30.533576425348443</v>
      </c>
      <c r="K203" s="149">
        <f t="shared" si="498"/>
        <v>50.285505921129904</v>
      </c>
      <c r="L203" s="379"/>
      <c r="M203" s="188">
        <f t="shared" si="499"/>
        <v>0.60718608104176308</v>
      </c>
      <c r="N203" s="149">
        <f t="shared" si="500"/>
        <v>182.4791026197781</v>
      </c>
      <c r="O203" s="149">
        <f t="shared" si="598"/>
        <v>111.60000000000001</v>
      </c>
      <c r="P203" s="188">
        <f t="shared" si="501"/>
        <v>6.0826367539926034</v>
      </c>
      <c r="Q203" s="188">
        <f t="shared" si="502"/>
        <v>30</v>
      </c>
      <c r="R203" s="188"/>
      <c r="S203" s="149">
        <f t="shared" si="503"/>
        <v>60.826482948839583</v>
      </c>
      <c r="T203" s="149">
        <f t="shared" si="504"/>
        <v>30</v>
      </c>
      <c r="U203" s="188">
        <f t="shared" si="505"/>
        <v>18.940265710877224</v>
      </c>
      <c r="V203" s="188">
        <f t="shared" si="506"/>
        <v>4.5068634363106312</v>
      </c>
      <c r="W203" s="188">
        <f t="shared" si="507"/>
        <v>2.9154543706586802</v>
      </c>
      <c r="X203" s="172">
        <f t="shared" si="508"/>
        <v>350</v>
      </c>
      <c r="Y203" s="379">
        <f t="shared" si="509"/>
        <v>131.19369007228619</v>
      </c>
      <c r="AA203" s="188">
        <f t="shared" si="510"/>
        <v>7.2908552686073875</v>
      </c>
      <c r="AB203" s="150">
        <f t="shared" si="511"/>
        <v>1.1222733716187547</v>
      </c>
      <c r="AC203" s="150">
        <f t="shared" si="512"/>
        <v>1.4319082267497656</v>
      </c>
      <c r="AD203" s="150"/>
      <c r="AE203" s="150">
        <f t="shared" si="513"/>
        <v>0.93290245754509316</v>
      </c>
      <c r="AF203" s="314">
        <f t="shared" si="514"/>
        <v>1315.8931998425594</v>
      </c>
      <c r="AG203" s="456">
        <f t="shared" si="515"/>
        <v>0.9894420004266139</v>
      </c>
      <c r="AI203" s="150">
        <f t="shared" si="516"/>
        <v>11.751474294227858</v>
      </c>
      <c r="AJ203" s="150">
        <f t="shared" si="517"/>
        <v>18.940265710877224</v>
      </c>
      <c r="AK203" s="150">
        <f t="shared" si="518"/>
        <v>10.740488629830489</v>
      </c>
      <c r="AM203" s="314">
        <f t="shared" si="519"/>
        <v>3720</v>
      </c>
      <c r="AN203" s="144">
        <f t="shared" si="520"/>
        <v>131.19369007228619</v>
      </c>
      <c r="AP203">
        <f t="shared" si="521"/>
        <v>3720</v>
      </c>
      <c r="AQ203">
        <f t="shared" si="522"/>
        <v>131.19369007228619</v>
      </c>
      <c r="AS203" s="5">
        <f t="shared" si="599"/>
        <v>7.6223178069693116</v>
      </c>
      <c r="AT203" s="5">
        <f t="shared" si="523"/>
        <v>4.5068634363106312</v>
      </c>
      <c r="AU203" s="5">
        <f t="shared" si="477"/>
        <v>3.1154543706586804</v>
      </c>
      <c r="AV203" s="5"/>
      <c r="AW203" s="150">
        <f t="shared" si="478"/>
        <v>0.59127204486145568</v>
      </c>
      <c r="AX203" s="150">
        <f t="shared" si="595"/>
        <v>110.59944423282668</v>
      </c>
      <c r="AY203" s="150">
        <f t="shared" si="596"/>
        <v>3.8707080368937676</v>
      </c>
      <c r="AZ203" s="150">
        <f t="shared" si="600"/>
        <v>28.573440098980555</v>
      </c>
      <c r="BA203" s="144">
        <f t="shared" si="593"/>
        <v>55.885106610251825</v>
      </c>
      <c r="BB203" s="5">
        <f t="shared" si="594"/>
        <v>10.354452529629212</v>
      </c>
      <c r="BD203" s="150">
        <f t="shared" si="601"/>
        <v>8.4085113185517688</v>
      </c>
      <c r="BE203" s="150">
        <f t="shared" si="597"/>
        <v>6.9910532686663611</v>
      </c>
      <c r="BG203" s="456">
        <f t="shared" si="479"/>
        <v>0.8484367511305585</v>
      </c>
      <c r="BH203" s="456">
        <f t="shared" si="524"/>
        <v>2.280366790654289</v>
      </c>
      <c r="BI203" s="456">
        <f t="shared" si="480"/>
        <v>1.5087274358312914E-2</v>
      </c>
      <c r="BJ203" s="456">
        <f t="shared" si="481"/>
        <v>0.1716757484876914</v>
      </c>
      <c r="BK203">
        <f t="shared" si="482"/>
        <v>8.8883682731016565E-3</v>
      </c>
      <c r="BL203" s="144">
        <f t="shared" si="587"/>
        <v>23.975642631414573</v>
      </c>
      <c r="BM203" s="456">
        <f t="shared" si="525"/>
        <v>4.4207248163050377</v>
      </c>
      <c r="BN203" s="144">
        <f t="shared" si="526"/>
        <v>4420.7248163050381</v>
      </c>
      <c r="BO203" s="456">
        <f t="shared" si="483"/>
        <v>2.6040000000000001</v>
      </c>
      <c r="BR203" s="144">
        <f t="shared" si="484"/>
        <v>2604</v>
      </c>
      <c r="BS203" s="456">
        <f t="shared" si="485"/>
        <v>0.98984287631898493</v>
      </c>
      <c r="BT203" s="456">
        <f t="shared" si="486"/>
        <v>0.68424756127462849</v>
      </c>
      <c r="BU203" s="456">
        <f t="shared" si="487"/>
        <v>15.389253079461499</v>
      </c>
      <c r="BV203" s="456"/>
      <c r="BW203" s="456">
        <f t="shared" si="488"/>
        <v>4.706359329056454</v>
      </c>
      <c r="BX203" s="144">
        <f t="shared" si="489"/>
        <v>21769.702846111566</v>
      </c>
      <c r="BY203" s="150">
        <f t="shared" si="490"/>
        <v>27.698157779015521</v>
      </c>
      <c r="BZ203" s="5">
        <f t="shared" si="491"/>
        <v>111.60000000000001</v>
      </c>
      <c r="CA203" s="150">
        <f t="shared" si="492"/>
        <v>0.80115919535019087</v>
      </c>
      <c r="CB203" s="5">
        <f t="shared" si="493"/>
        <v>80.115919535019088</v>
      </c>
      <c r="CE203" s="59">
        <f t="shared" si="527"/>
        <v>-50</v>
      </c>
      <c r="CF203">
        <f t="shared" si="528"/>
        <v>-50</v>
      </c>
      <c r="CG203" s="150">
        <f t="shared" si="529"/>
        <v>0.38988915794194456</v>
      </c>
      <c r="CI203" s="147">
        <v>93</v>
      </c>
      <c r="CJ203" s="188">
        <f t="shared" si="588"/>
        <v>3.72</v>
      </c>
      <c r="CK203" s="188"/>
      <c r="CL203" s="188">
        <f t="shared" si="530"/>
        <v>111.60000000000001</v>
      </c>
      <c r="CM203" s="465">
        <f t="shared" si="531"/>
        <v>20</v>
      </c>
      <c r="CN203" s="379">
        <f t="shared" si="532"/>
        <v>30.4</v>
      </c>
      <c r="CO203" s="379">
        <f t="shared" si="533"/>
        <v>50.4</v>
      </c>
      <c r="CP203" s="379"/>
      <c r="CQ203" s="188">
        <f t="shared" si="534"/>
        <v>0.60317460317460314</v>
      </c>
      <c r="CR203" s="149">
        <f t="shared" si="589"/>
        <v>183.55019291189507</v>
      </c>
      <c r="CS203" s="149">
        <f t="shared" si="535"/>
        <v>111.60000000000001</v>
      </c>
      <c r="CT203" s="188">
        <f t="shared" si="536"/>
        <v>6.1183397637298356</v>
      </c>
      <c r="CU203" s="188">
        <f t="shared" si="537"/>
        <v>30</v>
      </c>
      <c r="CV203" s="188"/>
      <c r="CW203" s="149">
        <f t="shared" si="538"/>
        <v>61.588814420420618</v>
      </c>
      <c r="CX203" s="149">
        <f t="shared" si="539"/>
        <v>30</v>
      </c>
      <c r="CY203" s="188">
        <f t="shared" si="540"/>
        <v>18.502105263157897</v>
      </c>
      <c r="CZ203" s="188">
        <f t="shared" si="541"/>
        <v>4.3479947368421055</v>
      </c>
      <c r="DA203" s="188">
        <f t="shared" si="542"/>
        <v>2.860522853185596</v>
      </c>
      <c r="DB203" s="172">
        <f t="shared" si="543"/>
        <v>350</v>
      </c>
      <c r="DC203" s="379">
        <f t="shared" si="544"/>
        <v>138.72477766904598</v>
      </c>
      <c r="DE203" s="188">
        <f t="shared" si="545"/>
        <v>7.3334298258310406</v>
      </c>
      <c r="DF203" s="150">
        <f t="shared" si="546"/>
        <v>1.1337868480725624</v>
      </c>
      <c r="DG203" s="150">
        <f t="shared" si="547"/>
        <v>1.4550456003633017</v>
      </c>
      <c r="DH203" s="150"/>
      <c r="DI203" s="150">
        <f t="shared" si="548"/>
        <v>0.93700159489633172</v>
      </c>
      <c r="DJ203" s="314">
        <f t="shared" si="549"/>
        <v>1310.136510638298</v>
      </c>
      <c r="DK203" s="456">
        <f t="shared" si="550"/>
        <v>0.99378957034459414</v>
      </c>
      <c r="DM203" s="150">
        <f t="shared" si="551"/>
        <v>11.725741303582518</v>
      </c>
      <c r="DN203" s="150">
        <f t="shared" si="552"/>
        <v>18.502105263157897</v>
      </c>
      <c r="DO203" s="150">
        <f t="shared" si="553"/>
        <v>10.415925335223582</v>
      </c>
      <c r="DQ203" s="314">
        <f t="shared" si="554"/>
        <v>3720</v>
      </c>
      <c r="DR203" s="144">
        <f t="shared" si="555"/>
        <v>138.72477766904598</v>
      </c>
      <c r="DT203">
        <f t="shared" si="590"/>
        <v>3720</v>
      </c>
      <c r="DU203">
        <f t="shared" si="591"/>
        <v>138.72477766904598</v>
      </c>
      <c r="DW203" s="5">
        <f t="shared" si="556"/>
        <v>7.208517590027701</v>
      </c>
      <c r="DX203" s="5">
        <f t="shared" si="557"/>
        <v>4.3479947368421055</v>
      </c>
      <c r="DY203" s="5">
        <f t="shared" si="558"/>
        <v>2.8605228531855955</v>
      </c>
      <c r="DZ203" s="5"/>
      <c r="EA203" s="150">
        <f t="shared" si="559"/>
        <v>0.60317460317460314</v>
      </c>
      <c r="EB203" s="150">
        <f t="shared" si="560"/>
        <v>111.60000000000002</v>
      </c>
      <c r="EC203" s="150">
        <f t="shared" si="561"/>
        <v>3.6710526315789482</v>
      </c>
      <c r="ED203" s="150">
        <f t="shared" si="562"/>
        <v>30.4</v>
      </c>
      <c r="EE203" s="144">
        <f t="shared" si="563"/>
        <v>53.915134736842113</v>
      </c>
      <c r="EF203" s="5">
        <f t="shared" si="564"/>
        <v>9.389245600456249</v>
      </c>
      <c r="EH203" s="150">
        <f t="shared" si="565"/>
        <v>8.2962540690933153</v>
      </c>
      <c r="EI203" s="150">
        <f t="shared" si="566"/>
        <v>6.729150625750945</v>
      </c>
      <c r="EK203" s="456">
        <f t="shared" si="567"/>
        <v>0.82593397894736875</v>
      </c>
      <c r="EL203" s="456">
        <f t="shared" si="568"/>
        <v>2.4578723404255323</v>
      </c>
      <c r="EM203" s="456">
        <f t="shared" si="569"/>
        <v>1.5953349431940291E-2</v>
      </c>
      <c r="EN203" s="456">
        <f t="shared" si="570"/>
        <v>0.18235827041866851</v>
      </c>
      <c r="EO203">
        <f t="shared" si="571"/>
        <v>8.9999999999999993E-3</v>
      </c>
      <c r="EP203" s="144">
        <f t="shared" si="572"/>
        <v>24.953349431940289</v>
      </c>
      <c r="EQ203" s="144"/>
      <c r="ER203" s="144">
        <f t="shared" si="592"/>
        <v>3491.1179392235094</v>
      </c>
      <c r="ES203" s="456">
        <f t="shared" si="573"/>
        <v>2.6040000000000001</v>
      </c>
      <c r="EV203" s="144">
        <f t="shared" si="494"/>
        <v>2604</v>
      </c>
      <c r="EW203" s="456">
        <f t="shared" si="574"/>
        <v>0.96358964210526354</v>
      </c>
      <c r="EX203" s="456">
        <f t="shared" si="575"/>
        <v>0.63394055401662064</v>
      </c>
      <c r="EY203" s="456">
        <f t="shared" si="576"/>
        <v>16.688141232989633</v>
      </c>
      <c r="EZ203" s="456"/>
      <c r="FA203" s="456">
        <f t="shared" si="577"/>
        <v>4.7489361702127679</v>
      </c>
      <c r="FB203" s="144">
        <f t="shared" si="578"/>
        <v>23034.607599324285</v>
      </c>
      <c r="FC203" s="150">
        <f t="shared" si="579"/>
        <v>29.129725538547795</v>
      </c>
      <c r="FD203" s="5">
        <f t="shared" si="580"/>
        <v>111.60000000000001</v>
      </c>
      <c r="FE203" s="150">
        <f t="shared" si="581"/>
        <v>0.79300943402629775</v>
      </c>
      <c r="FF203" s="5">
        <f t="shared" si="582"/>
        <v>79.30094340262977</v>
      </c>
      <c r="FI203" s="59">
        <f t="shared" si="583"/>
        <v>-50</v>
      </c>
      <c r="FJ203">
        <f t="shared" si="584"/>
        <v>-50</v>
      </c>
      <c r="FL203">
        <f t="shared" si="585"/>
        <v>0.39682539682539686</v>
      </c>
    </row>
    <row r="204" spans="5:168">
      <c r="E204" s="147">
        <v>94</v>
      </c>
      <c r="F204" s="188">
        <f t="shared" si="586"/>
        <v>3.76</v>
      </c>
      <c r="G204" s="188"/>
      <c r="H204" s="188">
        <f t="shared" si="495"/>
        <v>112.8</v>
      </c>
      <c r="I204" s="465">
        <f>VIN_min-F204*(Rdcr_pri+RON/1000)/CG204/Nps</f>
        <v>19.749309516270067</v>
      </c>
      <c r="J204" s="149">
        <f t="shared" si="497"/>
        <v>30.534987183546885</v>
      </c>
      <c r="K204" s="149">
        <f t="shared" si="498"/>
        <v>50.284296699816949</v>
      </c>
      <c r="L204" s="379"/>
      <c r="M204" s="188">
        <f t="shared" si="499"/>
        <v>0.60722874353931777</v>
      </c>
      <c r="N204" s="149">
        <f t="shared" si="500"/>
        <v>182.4677175823814</v>
      </c>
      <c r="O204" s="149">
        <f t="shared" si="598"/>
        <v>112.8</v>
      </c>
      <c r="P204" s="188">
        <f t="shared" si="501"/>
        <v>6.0822572527460466</v>
      </c>
      <c r="Q204" s="188">
        <f t="shared" si="502"/>
        <v>30</v>
      </c>
      <c r="R204" s="188"/>
      <c r="S204" s="149">
        <f>(SQRT(Isw_max^2*Nps^2*I204^2+4*Isw_max*F204/Efficiency*(Nps^2*Vfwd1*I204-Nps*I204^2)+4*(F204/Efficiency)^2*Nps^2*Vfwd1^2+8*(F204/Efficiency)^2*Nps*Vfwd1*I204+4*(F204/Efficiency)^2*I204^2)-2*0*F204/Efficiency*I204-2*F204/Efficiency*Nps*Vfwd1+Isw_max*Nps*I204)/(4*F204/Efficiency*Nps)</f>
        <v>69.839180946048856</v>
      </c>
      <c r="T204" s="149">
        <f t="shared" si="504"/>
        <v>30</v>
      </c>
      <c r="U204" s="188">
        <f t="shared" si="505"/>
        <v>19.146003879621418</v>
      </c>
      <c r="V204" s="188">
        <f t="shared" si="506"/>
        <v>4.556423512431528</v>
      </c>
      <c r="W204" s="188">
        <f t="shared" si="507"/>
        <v>2.9469872606564507</v>
      </c>
      <c r="X204" s="172">
        <f t="shared" si="508"/>
        <v>350</v>
      </c>
      <c r="Y204" s="379">
        <f t="shared" si="509"/>
        <v>129.81262838709318</v>
      </c>
      <c r="AA204" s="188">
        <f t="shared" si="510"/>
        <v>7.2904003101748289</v>
      </c>
      <c r="AB204" s="150">
        <f t="shared" si="511"/>
        <v>1.1221514930349989</v>
      </c>
      <c r="AC204" s="150">
        <f t="shared" si="512"/>
        <v>1.4316633787549631</v>
      </c>
      <c r="AD204" s="150"/>
      <c r="AE204" s="150">
        <f t="shared" si="513"/>
        <v>0.93285935617477267</v>
      </c>
      <c r="AF204" s="314">
        <f t="shared" si="514"/>
        <v>1330.1040417153022</v>
      </c>
      <c r="AG204" s="456">
        <f t="shared" si="515"/>
        <v>0.98939628685203174</v>
      </c>
      <c r="AI204" s="150">
        <f t="shared" si="516"/>
        <v>11.814758264097977</v>
      </c>
      <c r="AJ204" s="150">
        <f t="shared" si="517"/>
        <v>19.146003879621418</v>
      </c>
      <c r="AK204" s="150">
        <f t="shared" si="518"/>
        <v>10.892887273344709</v>
      </c>
      <c r="AM204" s="314">
        <f t="shared" si="519"/>
        <v>3760</v>
      </c>
      <c r="AN204" s="144">
        <f t="shared" si="520"/>
        <v>129.81262838709318</v>
      </c>
      <c r="AP204">
        <f t="shared" si="521"/>
        <v>3760</v>
      </c>
      <c r="AQ204">
        <f t="shared" si="522"/>
        <v>129.81262838709318</v>
      </c>
      <c r="AS204" s="5">
        <f t="shared" si="599"/>
        <v>7.7034107730879793</v>
      </c>
      <c r="AT204" s="5">
        <f t="shared" si="523"/>
        <v>4.556423512431528</v>
      </c>
      <c r="AU204" s="5">
        <f t="shared" si="477"/>
        <v>3.1469872606564513</v>
      </c>
      <c r="AV204" s="5"/>
      <c r="AW204" s="150">
        <f t="shared" si="478"/>
        <v>0.59148131219348776</v>
      </c>
      <c r="AX204" s="150">
        <f t="shared" si="595"/>
        <v>111.82556234984588</v>
      </c>
      <c r="AY204" s="150">
        <f t="shared" si="596"/>
        <v>3.910750190820667</v>
      </c>
      <c r="AZ204" s="150">
        <f t="shared" si="600"/>
        <v>28.594401813831887</v>
      </c>
      <c r="BA204" s="144">
        <f t="shared" si="593"/>
        <v>57.107174689141814</v>
      </c>
      <c r="BB204" s="5">
        <f t="shared" si="594"/>
        <v>10.57312208396017</v>
      </c>
      <c r="BD204" s="150">
        <f t="shared" si="601"/>
        <v>8.5013525964423842</v>
      </c>
      <c r="BE204" s="150">
        <f t="shared" si="597"/>
        <v>7.0651840422210608</v>
      </c>
      <c r="BG204" s="456">
        <f t="shared" si="479"/>
        <v>0.86727595162845206</v>
      </c>
      <c r="BH204" s="456">
        <f t="shared" si="524"/>
        <v>2.280816441839399</v>
      </c>
      <c r="BI204" s="456">
        <f t="shared" si="480"/>
        <v>1.4928452264515718E-2</v>
      </c>
      <c r="BJ204" s="456">
        <f t="shared" si="481"/>
        <v>0.16986036698501306</v>
      </c>
      <c r="BK204">
        <f t="shared" si="482"/>
        <v>8.8871892823215292E-3</v>
      </c>
      <c r="BL204" s="144">
        <f t="shared" si="587"/>
        <v>23.815641546837249</v>
      </c>
      <c r="BM204" s="456">
        <f t="shared" si="525"/>
        <v>4.4740642759670166</v>
      </c>
      <c r="BN204" s="144">
        <f t="shared" si="526"/>
        <v>4474.0642759670163</v>
      </c>
      <c r="BO204" s="456">
        <f t="shared" si="483"/>
        <v>2.6319999999999997</v>
      </c>
      <c r="BR204" s="144">
        <f t="shared" si="484"/>
        <v>2631.9999999999995</v>
      </c>
      <c r="BS204" s="456">
        <f t="shared" si="485"/>
        <v>1.0118219435665274</v>
      </c>
      <c r="BT204" s="456">
        <f t="shared" si="486"/>
        <v>0.69883555770637185</v>
      </c>
      <c r="BU204" s="456">
        <f t="shared" si="487"/>
        <v>15.397766139390599</v>
      </c>
      <c r="BV204" s="456"/>
      <c r="BW204" s="456">
        <f t="shared" si="488"/>
        <v>4.7585345680785487</v>
      </c>
      <c r="BX204" s="144">
        <f t="shared" si="489"/>
        <v>21866.958208742049</v>
      </c>
      <c r="BY204" s="150">
        <f t="shared" si="490"/>
        <v>27.840726610741747</v>
      </c>
      <c r="BZ204" s="5">
        <f t="shared" si="491"/>
        <v>112.8</v>
      </c>
      <c r="CA204" s="150">
        <f t="shared" si="492"/>
        <v>0.80204363784469135</v>
      </c>
      <c r="CB204" s="5">
        <f t="shared" si="493"/>
        <v>80.204363784469137</v>
      </c>
      <c r="CE204" s="59">
        <f t="shared" si="527"/>
        <v>-50</v>
      </c>
      <c r="CF204">
        <f t="shared" si="528"/>
        <v>-50</v>
      </c>
      <c r="CG204" s="150">
        <f t="shared" si="529"/>
        <v>0.38996294771730045</v>
      </c>
      <c r="CI204" s="147">
        <v>94</v>
      </c>
      <c r="CJ204" s="188">
        <f t="shared" si="588"/>
        <v>3.76</v>
      </c>
      <c r="CK204" s="188"/>
      <c r="CL204" s="188">
        <f t="shared" si="530"/>
        <v>112.8</v>
      </c>
      <c r="CM204" s="465">
        <f t="shared" si="531"/>
        <v>20</v>
      </c>
      <c r="CN204" s="379">
        <f t="shared" si="532"/>
        <v>30.4</v>
      </c>
      <c r="CO204" s="379">
        <f t="shared" si="533"/>
        <v>50.4</v>
      </c>
      <c r="CP204" s="379"/>
      <c r="CQ204" s="188">
        <f t="shared" si="534"/>
        <v>0.60317460317460314</v>
      </c>
      <c r="CR204" s="149">
        <f t="shared" si="589"/>
        <v>183.55019291189507</v>
      </c>
      <c r="CS204" s="149">
        <f t="shared" si="535"/>
        <v>112.8</v>
      </c>
      <c r="CT204" s="188">
        <f t="shared" si="536"/>
        <v>6.1183397637298356</v>
      </c>
      <c r="CU204" s="188">
        <f t="shared" si="537"/>
        <v>30</v>
      </c>
      <c r="CV204" s="188"/>
      <c r="CW204" s="149">
        <f t="shared" si="538"/>
        <v>60.724047085540754</v>
      </c>
      <c r="CX204" s="149">
        <f t="shared" si="539"/>
        <v>30</v>
      </c>
      <c r="CY204" s="188">
        <f t="shared" si="540"/>
        <v>18.701052631578946</v>
      </c>
      <c r="CZ204" s="188">
        <f t="shared" si="541"/>
        <v>4.3947473684210516</v>
      </c>
      <c r="DA204" s="188">
        <f t="shared" si="542"/>
        <v>2.8912811634349027</v>
      </c>
      <c r="DB204" s="172">
        <f t="shared" si="543"/>
        <v>350</v>
      </c>
      <c r="DC204" s="379">
        <f t="shared" si="544"/>
        <v>137.2489821619285</v>
      </c>
      <c r="DE204" s="188">
        <f t="shared" si="545"/>
        <v>7.3334298258310406</v>
      </c>
      <c r="DF204" s="150">
        <f t="shared" si="546"/>
        <v>1.1337868480725624</v>
      </c>
      <c r="DG204" s="150">
        <f t="shared" si="547"/>
        <v>1.4550456003633017</v>
      </c>
      <c r="DH204" s="150"/>
      <c r="DI204" s="150">
        <f t="shared" si="548"/>
        <v>0.93700159489633172</v>
      </c>
      <c r="DJ204" s="314">
        <f t="shared" si="549"/>
        <v>1324.2239999999999</v>
      </c>
      <c r="DK204" s="456">
        <f t="shared" si="550"/>
        <v>0.99378957034459414</v>
      </c>
      <c r="DM204" s="150">
        <f t="shared" si="551"/>
        <v>11.788614361808115</v>
      </c>
      <c r="DN204" s="150">
        <f t="shared" si="552"/>
        <v>18.701052631578946</v>
      </c>
      <c r="DO204" s="150">
        <f t="shared" si="553"/>
        <v>10.563293756276211</v>
      </c>
      <c r="DQ204" s="314">
        <f t="shared" si="554"/>
        <v>3760</v>
      </c>
      <c r="DR204" s="144">
        <f t="shared" si="555"/>
        <v>137.2489821619285</v>
      </c>
      <c r="DT204">
        <f t="shared" si="590"/>
        <v>3760</v>
      </c>
      <c r="DU204">
        <f t="shared" si="591"/>
        <v>137.2489821619285</v>
      </c>
      <c r="DW204" s="5">
        <f t="shared" si="556"/>
        <v>7.2860285318559548</v>
      </c>
      <c r="DX204" s="5">
        <f t="shared" si="557"/>
        <v>4.3947473684210516</v>
      </c>
      <c r="DY204" s="5">
        <f t="shared" si="558"/>
        <v>2.8912811634349032</v>
      </c>
      <c r="DZ204" s="5"/>
      <c r="EA204" s="150">
        <f t="shared" si="559"/>
        <v>0.60317460317460314</v>
      </c>
      <c r="EB204" s="150">
        <f t="shared" si="560"/>
        <v>112.8</v>
      </c>
      <c r="EC204" s="150">
        <f t="shared" si="561"/>
        <v>3.7105263157894739</v>
      </c>
      <c r="ED204" s="150">
        <f t="shared" si="562"/>
        <v>30.4</v>
      </c>
      <c r="EE204" s="144">
        <f t="shared" si="563"/>
        <v>55.080833684210511</v>
      </c>
      <c r="EF204" s="5">
        <f t="shared" si="564"/>
        <v>9.5922504481016766</v>
      </c>
      <c r="EH204" s="150">
        <f t="shared" si="565"/>
        <v>8.3854611020943164</v>
      </c>
      <c r="EI204" s="150">
        <f t="shared" si="566"/>
        <v>6.8015070840923517</v>
      </c>
      <c r="EK204" s="456">
        <f t="shared" si="567"/>
        <v>0.8437914947368419</v>
      </c>
      <c r="EL204" s="456">
        <f t="shared" si="568"/>
        <v>2.4578723404255323</v>
      </c>
      <c r="EM204" s="456">
        <f t="shared" si="569"/>
        <v>1.5783632948621781E-2</v>
      </c>
      <c r="EN204" s="456">
        <f t="shared" si="570"/>
        <v>0.18041828881846994</v>
      </c>
      <c r="EO204">
        <f t="shared" si="571"/>
        <v>8.9999999999999993E-3</v>
      </c>
      <c r="EP204" s="144">
        <f t="shared" si="572"/>
        <v>24.783632948621779</v>
      </c>
      <c r="EQ204" s="144"/>
      <c r="ER204" s="144">
        <f t="shared" si="592"/>
        <v>3506.865756929466</v>
      </c>
      <c r="ES204" s="456">
        <f t="shared" si="573"/>
        <v>2.6319999999999997</v>
      </c>
      <c r="EV204" s="144">
        <f t="shared" si="494"/>
        <v>2631.9999999999995</v>
      </c>
      <c r="EW204" s="456">
        <f t="shared" si="574"/>
        <v>0.98442341052631555</v>
      </c>
      <c r="EX204" s="456">
        <f t="shared" si="575"/>
        <v>0.64764698060941817</v>
      </c>
      <c r="EY204" s="456">
        <f t="shared" si="576"/>
        <v>16.688141232989647</v>
      </c>
      <c r="EZ204" s="456"/>
      <c r="FA204" s="456">
        <f t="shared" si="577"/>
        <v>4.8000000000000007</v>
      </c>
      <c r="FB204" s="144">
        <f t="shared" si="578"/>
        <v>23120.211624125383</v>
      </c>
      <c r="FC204" s="150">
        <f t="shared" si="579"/>
        <v>29.259077381054848</v>
      </c>
      <c r="FD204" s="5">
        <f t="shared" si="580"/>
        <v>112.8</v>
      </c>
      <c r="FE204" s="150">
        <f t="shared" si="581"/>
        <v>0.79403584818046369</v>
      </c>
      <c r="FF204" s="5">
        <f t="shared" si="582"/>
        <v>79.403584818046369</v>
      </c>
      <c r="FI204" s="59">
        <f t="shared" si="583"/>
        <v>-50</v>
      </c>
      <c r="FJ204">
        <f t="shared" si="584"/>
        <v>-50</v>
      </c>
      <c r="FL204">
        <f t="shared" si="585"/>
        <v>0.39682539682539686</v>
      </c>
    </row>
    <row r="205" spans="5:168">
      <c r="E205" s="147">
        <v>95</v>
      </c>
      <c r="F205" s="188">
        <f t="shared" si="586"/>
        <v>3.8</v>
      </c>
      <c r="G205" s="188"/>
      <c r="H205" s="188">
        <f t="shared" si="495"/>
        <v>114</v>
      </c>
      <c r="I205" s="465">
        <f t="shared" si="496"/>
        <v>19.746689519184514</v>
      </c>
      <c r="J205" s="149">
        <f t="shared" si="497"/>
        <v>30.536397951208336</v>
      </c>
      <c r="K205" s="149">
        <f t="shared" si="498"/>
        <v>50.28308747039285</v>
      </c>
      <c r="L205" s="379"/>
      <c r="M205" s="188">
        <f t="shared" si="499"/>
        <v>0.6072714083003905</v>
      </c>
      <c r="N205" s="149">
        <f t="shared" si="500"/>
        <v>182.45632966129588</v>
      </c>
      <c r="O205" s="149">
        <f t="shared" si="598"/>
        <v>114</v>
      </c>
      <c r="P205" s="188">
        <f t="shared" si="501"/>
        <v>6.0818776553765295</v>
      </c>
      <c r="Q205" s="188">
        <f t="shared" si="502"/>
        <v>30</v>
      </c>
      <c r="R205" s="188"/>
      <c r="S205" s="149">
        <f t="shared" si="503"/>
        <v>59.120821591096764</v>
      </c>
      <c r="T205" s="149">
        <f t="shared" si="504"/>
        <v>30</v>
      </c>
      <c r="U205" s="188">
        <f t="shared" si="505"/>
        <v>19.351786858984525</v>
      </c>
      <c r="V205" s="188">
        <f t="shared" si="506"/>
        <v>4.6060074094375798</v>
      </c>
      <c r="W205" s="188">
        <f t="shared" si="507"/>
        <v>2.9785241331526531</v>
      </c>
      <c r="X205" s="172">
        <f t="shared" si="508"/>
        <v>350</v>
      </c>
      <c r="Y205" s="379">
        <f t="shared" si="509"/>
        <v>128.45988156498098</v>
      </c>
      <c r="AA205" s="188">
        <f t="shared" si="510"/>
        <v>7.2899452374372977</v>
      </c>
      <c r="AB205" s="150">
        <f t="shared" si="511"/>
        <v>1.1220296077717153</v>
      </c>
      <c r="AC205" s="150">
        <f t="shared" si="512"/>
        <v>1.4314185192018349</v>
      </c>
      <c r="AD205" s="150"/>
      <c r="AE205" s="150">
        <f t="shared" si="513"/>
        <v>0.93281625849787986</v>
      </c>
      <c r="AF205" s="314">
        <f t="shared" si="514"/>
        <v>1344.3161915073442</v>
      </c>
      <c r="AG205" s="456">
        <f t="shared" si="515"/>
        <v>0.98935057719472097</v>
      </c>
      <c r="AI205" s="150">
        <f t="shared" si="516"/>
        <v>11.877710842185348</v>
      </c>
      <c r="AJ205" s="150">
        <f t="shared" si="517"/>
        <v>19.351786858984525</v>
      </c>
      <c r="AK205" s="150">
        <f t="shared" si="518"/>
        <v>11.045319109909972</v>
      </c>
      <c r="AM205" s="314">
        <f t="shared" si="519"/>
        <v>3800</v>
      </c>
      <c r="AN205" s="144">
        <f t="shared" si="520"/>
        <v>128.45988156498098</v>
      </c>
      <c r="AP205">
        <f t="shared" si="521"/>
        <v>3800</v>
      </c>
      <c r="AQ205">
        <f t="shared" si="522"/>
        <v>128.45988156498098</v>
      </c>
      <c r="AS205" s="5">
        <f t="shared" si="599"/>
        <v>7.7845315425902335</v>
      </c>
      <c r="AT205" s="5">
        <f t="shared" si="523"/>
        <v>4.6060074094375798</v>
      </c>
      <c r="AU205" s="5">
        <f t="shared" si="477"/>
        <v>3.1785241331526537</v>
      </c>
      <c r="AV205" s="5"/>
      <c r="AW205" s="150">
        <f t="shared" si="478"/>
        <v>0.59168716630377627</v>
      </c>
      <c r="AX205" s="150">
        <f t="shared" si="595"/>
        <v>113.05181096366266</v>
      </c>
      <c r="AY205" s="150">
        <f t="shared" si="596"/>
        <v>3.9507914647386579</v>
      </c>
      <c r="AZ205" s="150">
        <f t="shared" si="600"/>
        <v>28.614978029760668</v>
      </c>
      <c r="BA205" s="144">
        <f t="shared" si="593"/>
        <v>58.342760519542672</v>
      </c>
      <c r="BB205" s="5">
        <f t="shared" si="594"/>
        <v>10.794117602445736</v>
      </c>
      <c r="BD205" s="150">
        <f t="shared" si="601"/>
        <v>8.5942210416017453</v>
      </c>
      <c r="BE205" s="150">
        <f t="shared" si="597"/>
        <v>7.139321832868899</v>
      </c>
      <c r="BG205" s="456">
        <f t="shared" si="479"/>
        <v>0.88632762374292229</v>
      </c>
      <c r="BH205" s="456">
        <f t="shared" si="524"/>
        <v>2.281252692570197</v>
      </c>
      <c r="BI205" s="456">
        <f t="shared" si="480"/>
        <v>1.4772886379972814E-2</v>
      </c>
      <c r="BJ205" s="456">
        <f t="shared" si="481"/>
        <v>0.1680822077881173</v>
      </c>
      <c r="BK205">
        <f t="shared" si="482"/>
        <v>8.8860102836330317E-3</v>
      </c>
      <c r="BL205" s="144">
        <f t="shared" si="587"/>
        <v>23.658896663605844</v>
      </c>
      <c r="BM205" s="456">
        <f t="shared" si="525"/>
        <v>4.5286701703808161</v>
      </c>
      <c r="BN205" s="144">
        <f t="shared" si="526"/>
        <v>4528.6701703808158</v>
      </c>
      <c r="BO205" s="456">
        <f t="shared" si="483"/>
        <v>2.6599999999999997</v>
      </c>
      <c r="BR205" s="144">
        <f t="shared" si="484"/>
        <v>2659.9999999999995</v>
      </c>
      <c r="BS205" s="456">
        <f t="shared" si="485"/>
        <v>1.0340488943667427</v>
      </c>
      <c r="BT205" s="456">
        <f t="shared" si="486"/>
        <v>0.7135788272658995</v>
      </c>
      <c r="BU205" s="456">
        <f t="shared" si="487"/>
        <v>15.406056194843778</v>
      </c>
      <c r="BV205" s="456"/>
      <c r="BW205" s="456">
        <f t="shared" si="488"/>
        <v>4.8107153601558581</v>
      </c>
      <c r="BX205" s="144">
        <f t="shared" si="489"/>
        <v>21964.399276632277</v>
      </c>
      <c r="BY205" s="150">
        <f t="shared" si="490"/>
        <v>27.983720697397121</v>
      </c>
      <c r="BZ205" s="5">
        <f t="shared" si="491"/>
        <v>114</v>
      </c>
      <c r="CA205" s="150">
        <f t="shared" si="492"/>
        <v>0.80290894927991463</v>
      </c>
      <c r="CB205" s="5">
        <f t="shared" si="493"/>
        <v>80.290894927991459</v>
      </c>
      <c r="CE205" s="59">
        <f t="shared" si="527"/>
        <v>-50</v>
      </c>
      <c r="CF205">
        <f t="shared" si="528"/>
        <v>-50</v>
      </c>
      <c r="CG205" s="150">
        <f t="shared" si="529"/>
        <v>0.39003518402370135</v>
      </c>
      <c r="CI205" s="147">
        <v>95</v>
      </c>
      <c r="CJ205" s="188">
        <f t="shared" si="588"/>
        <v>3.8</v>
      </c>
      <c r="CK205" s="188"/>
      <c r="CL205" s="188">
        <f t="shared" si="530"/>
        <v>114</v>
      </c>
      <c r="CM205" s="465">
        <f t="shared" si="531"/>
        <v>20</v>
      </c>
      <c r="CN205" s="379">
        <f t="shared" si="532"/>
        <v>30.4</v>
      </c>
      <c r="CO205" s="379">
        <f t="shared" si="533"/>
        <v>50.4</v>
      </c>
      <c r="CP205" s="379"/>
      <c r="CQ205" s="188">
        <f t="shared" si="534"/>
        <v>0.60317460317460314</v>
      </c>
      <c r="CR205" s="149">
        <f t="shared" si="589"/>
        <v>183.55019291189507</v>
      </c>
      <c r="CS205" s="149">
        <f t="shared" si="535"/>
        <v>114</v>
      </c>
      <c r="CT205" s="188">
        <f t="shared" si="536"/>
        <v>6.1183397637298356</v>
      </c>
      <c r="CU205" s="188">
        <f t="shared" si="537"/>
        <v>30</v>
      </c>
      <c r="CV205" s="188"/>
      <c r="CW205" s="149">
        <f t="shared" si="538"/>
        <v>59.877536013247479</v>
      </c>
      <c r="CX205" s="149">
        <f t="shared" si="539"/>
        <v>30</v>
      </c>
      <c r="CY205" s="188">
        <f t="shared" si="540"/>
        <v>18.899999999999999</v>
      </c>
      <c r="CZ205" s="188">
        <f t="shared" si="541"/>
        <v>4.4414999999999996</v>
      </c>
      <c r="DA205" s="188">
        <f t="shared" si="542"/>
        <v>2.9220394736842104</v>
      </c>
      <c r="DB205" s="172">
        <f t="shared" si="543"/>
        <v>350</v>
      </c>
      <c r="DC205" s="379">
        <f t="shared" si="544"/>
        <v>135.80425603390819</v>
      </c>
      <c r="DE205" s="188">
        <f t="shared" si="545"/>
        <v>7.3334298258310406</v>
      </c>
      <c r="DF205" s="150">
        <f t="shared" si="546"/>
        <v>1.1337868480725624</v>
      </c>
      <c r="DG205" s="150">
        <f t="shared" si="547"/>
        <v>1.4550456003633017</v>
      </c>
      <c r="DH205" s="150"/>
      <c r="DI205" s="150">
        <f t="shared" si="548"/>
        <v>0.93700159489633172</v>
      </c>
      <c r="DJ205" s="314">
        <f t="shared" si="549"/>
        <v>1338.3114893617019</v>
      </c>
      <c r="DK205" s="456">
        <f t="shared" si="550"/>
        <v>0.99378957034459414</v>
      </c>
      <c r="DM205" s="150">
        <f t="shared" si="551"/>
        <v>11.851153868898846</v>
      </c>
      <c r="DN205" s="150">
        <f t="shared" si="552"/>
        <v>18.899999999999999</v>
      </c>
      <c r="DO205" s="150">
        <f t="shared" si="553"/>
        <v>10.710662177328842</v>
      </c>
      <c r="DQ205" s="314">
        <f t="shared" si="554"/>
        <v>3800</v>
      </c>
      <c r="DR205" s="144">
        <f t="shared" si="555"/>
        <v>135.80425603390819</v>
      </c>
      <c r="DT205">
        <f t="shared" si="590"/>
        <v>3800</v>
      </c>
      <c r="DU205">
        <f t="shared" si="591"/>
        <v>135.80425603390819</v>
      </c>
      <c r="DW205" s="5">
        <f t="shared" si="556"/>
        <v>7.3635394736842095</v>
      </c>
      <c r="DX205" s="5">
        <f t="shared" si="557"/>
        <v>4.4414999999999996</v>
      </c>
      <c r="DY205" s="5">
        <f t="shared" si="558"/>
        <v>2.9220394736842099</v>
      </c>
      <c r="DZ205" s="5"/>
      <c r="EA205" s="150">
        <f t="shared" si="559"/>
        <v>0.60317460317460325</v>
      </c>
      <c r="EB205" s="150">
        <f t="shared" si="560"/>
        <v>113.99999999999997</v>
      </c>
      <c r="EC205" s="150">
        <f t="shared" si="561"/>
        <v>3.7499999999999991</v>
      </c>
      <c r="ED205" s="150">
        <f t="shared" si="562"/>
        <v>30.4</v>
      </c>
      <c r="EE205" s="144">
        <f t="shared" si="563"/>
        <v>56.258999999999986</v>
      </c>
      <c r="EF205" s="5">
        <f t="shared" si="564"/>
        <v>9.797426470588233</v>
      </c>
      <c r="EH205" s="150">
        <f t="shared" si="565"/>
        <v>8.474668135095321</v>
      </c>
      <c r="EI205" s="150">
        <f t="shared" si="566"/>
        <v>6.8738635424337584</v>
      </c>
      <c r="EK205" s="456">
        <f t="shared" si="567"/>
        <v>0.86184000000000016</v>
      </c>
      <c r="EL205" s="456">
        <f t="shared" si="568"/>
        <v>2.4578723404255323</v>
      </c>
      <c r="EM205" s="456">
        <f t="shared" si="569"/>
        <v>1.5617489443899445E-2</v>
      </c>
      <c r="EN205" s="456">
        <f t="shared" si="570"/>
        <v>0.17851914893617024</v>
      </c>
      <c r="EO205">
        <f t="shared" si="571"/>
        <v>8.9999999999999993E-3</v>
      </c>
      <c r="EP205" s="144">
        <f t="shared" si="572"/>
        <v>24.617489443899444</v>
      </c>
      <c r="EQ205" s="144"/>
      <c r="ER205" s="144">
        <f t="shared" si="592"/>
        <v>3522.8489788056017</v>
      </c>
      <c r="ES205" s="456">
        <f t="shared" si="573"/>
        <v>2.6599999999999997</v>
      </c>
      <c r="EV205" s="144">
        <f t="shared" si="494"/>
        <v>2659.9999999999995</v>
      </c>
      <c r="EW205" s="456">
        <f t="shared" si="574"/>
        <v>1.0054800000000002</v>
      </c>
      <c r="EX205" s="456">
        <f t="shared" si="575"/>
        <v>0.66149999999999975</v>
      </c>
      <c r="EY205" s="456">
        <f t="shared" si="576"/>
        <v>16.688141232989675</v>
      </c>
      <c r="EZ205" s="456"/>
      <c r="FA205" s="456">
        <f t="shared" si="577"/>
        <v>4.8510638297872326</v>
      </c>
      <c r="FB205" s="144">
        <f t="shared" si="578"/>
        <v>23206.185062776905</v>
      </c>
      <c r="FC205" s="150">
        <f t="shared" si="579"/>
        <v>29.389034041582509</v>
      </c>
      <c r="FD205" s="5">
        <f t="shared" si="580"/>
        <v>114</v>
      </c>
      <c r="FE205" s="150">
        <f t="shared" si="581"/>
        <v>0.79503987708669721</v>
      </c>
      <c r="FF205" s="5">
        <f t="shared" si="582"/>
        <v>79.503987708669726</v>
      </c>
      <c r="FI205" s="59">
        <f t="shared" si="583"/>
        <v>-50</v>
      </c>
      <c r="FJ205">
        <f t="shared" si="584"/>
        <v>-50</v>
      </c>
      <c r="FL205">
        <f t="shared" si="585"/>
        <v>0.39682539682539675</v>
      </c>
    </row>
    <row r="206" spans="5:168">
      <c r="E206" s="147">
        <v>96</v>
      </c>
      <c r="F206" s="188">
        <f t="shared" si="586"/>
        <v>3.84</v>
      </c>
      <c r="G206" s="188"/>
      <c r="H206" s="188">
        <f>F206*Vout</f>
        <v>115.19999999999999</v>
      </c>
      <c r="I206" s="465">
        <f t="shared" si="496"/>
        <v>19.744069505083452</v>
      </c>
      <c r="J206" s="149">
        <f t="shared" si="497"/>
        <v>30.537808728031987</v>
      </c>
      <c r="K206" s="149">
        <f t="shared" si="498"/>
        <v>50.281878233115435</v>
      </c>
      <c r="L206" s="379"/>
      <c r="M206" s="188">
        <f t="shared" si="499"/>
        <v>0.6073140753184415</v>
      </c>
      <c r="N206" s="149">
        <f>M206*I206*(Isw_max+VIN_min/Lmag*ILIM_delay)*0.5*Efficiency</f>
        <v>182.44493885941426</v>
      </c>
      <c r="O206" s="149">
        <f t="shared" si="598"/>
        <v>115.19999999999999</v>
      </c>
      <c r="P206" s="188">
        <f>N206/Vout</f>
        <v>6.0814979619804754</v>
      </c>
      <c r="Q206" s="188">
        <f t="shared" si="502"/>
        <v>30</v>
      </c>
      <c r="R206" s="188"/>
      <c r="S206" s="149">
        <f t="shared" si="503"/>
        <v>58.294799278205467</v>
      </c>
      <c r="T206" s="149">
        <f>MIN(Vout, S206)</f>
        <v>30</v>
      </c>
      <c r="U206" s="188">
        <f t="shared" si="505"/>
        <v>19.557614666805172</v>
      </c>
      <c r="V206" s="188">
        <f>L*U206/I206*1000000</f>
        <v>4.6556151410588225</v>
      </c>
      <c r="W206" s="188">
        <f t="shared" si="507"/>
        <v>3.0100649903411769</v>
      </c>
      <c r="X206" s="172">
        <f t="shared" si="508"/>
        <v>350</v>
      </c>
      <c r="Y206" s="379">
        <f t="shared" si="509"/>
        <v>127.1345876382608</v>
      </c>
      <c r="AA206" s="188">
        <f t="shared" si="510"/>
        <v>7.2894900504815983</v>
      </c>
      <c r="AB206" s="150">
        <f>L*AA206/J206*1000000</f>
        <v>1.1219077158543538</v>
      </c>
      <c r="AC206" s="150">
        <f>0.5*AB206*AA206*Nps*X206/1000</f>
        <v>1.4311736481487984</v>
      </c>
      <c r="AD206" s="150"/>
      <c r="AE206" s="150">
        <f t="shared" si="513"/>
        <v>0.93277316452313086</v>
      </c>
      <c r="AF206" s="314">
        <f>MAX(12000,F206/(0.5*AE206/1000000*Isw_min*Nps))/1000</f>
        <v>1358.5296492184577</v>
      </c>
      <c r="AG206" s="456">
        <f t="shared" si="515"/>
        <v>0.98930487146392676</v>
      </c>
      <c r="AI206" s="150">
        <f t="shared" si="516"/>
        <v>11.940337270042336</v>
      </c>
      <c r="AJ206" s="150">
        <f>MAX(IF(F206&gt;AC206,U206,AI206),Isw_min)</f>
        <v>19.557614666805172</v>
      </c>
      <c r="AK206" s="150">
        <f>IF(F206&gt;AG206, (AJ206-Isw_min)/1.08*0.8+1.2, AF206*0.2/350+1)</f>
        <v>11.197784152740081</v>
      </c>
      <c r="AM206" s="314">
        <f t="shared" si="519"/>
        <v>3840</v>
      </c>
      <c r="AN206" s="144">
        <f t="shared" si="520"/>
        <v>127.1345876382608</v>
      </c>
      <c r="AP206">
        <f t="shared" si="521"/>
        <v>3840</v>
      </c>
      <c r="AQ206">
        <f t="shared" si="522"/>
        <v>127.1345876382608</v>
      </c>
      <c r="AS206" s="5">
        <f t="shared" si="599"/>
        <v>7.8656801314000004</v>
      </c>
      <c r="AT206" s="5">
        <f t="shared" si="523"/>
        <v>4.6556151410588225</v>
      </c>
      <c r="AU206" s="5">
        <f t="shared" si="477"/>
        <v>3.210064990341178</v>
      </c>
      <c r="AV206" s="5"/>
      <c r="AW206" s="150">
        <f t="shared" si="478"/>
        <v>0.59188971116095668</v>
      </c>
      <c r="AX206" s="150">
        <f t="shared" si="595"/>
        <v>114.27818954033764</v>
      </c>
      <c r="AY206" s="150">
        <f t="shared" si="596"/>
        <v>3.9908318853362843</v>
      </c>
      <c r="AZ206" s="150">
        <f t="shared" si="600"/>
        <v>28.635180038586885</v>
      </c>
      <c r="BA206" s="144">
        <f t="shared" si="593"/>
        <v>59.591873805552922</v>
      </c>
      <c r="BB206" s="5">
        <f t="shared" si="594"/>
        <v>11.017440445988168</v>
      </c>
      <c r="BD206" s="150">
        <f t="shared" si="601"/>
        <v>8.6871166491615508</v>
      </c>
      <c r="BE206" s="150">
        <f t="shared" si="597"/>
        <v>7.2134666752958969</v>
      </c>
      <c r="BG206" s="456">
        <f t="shared" si="479"/>
        <v>0.90559194811367771</v>
      </c>
      <c r="BH206" s="456">
        <f t="shared" si="524"/>
        <v>2.281675949912306</v>
      </c>
      <c r="BI206" s="456">
        <f t="shared" si="480"/>
        <v>1.4620477578399993E-2</v>
      </c>
      <c r="BJ206" s="456">
        <f t="shared" si="481"/>
        <v>0.16634013776866111</v>
      </c>
      <c r="BK206">
        <f t="shared" si="482"/>
        <v>8.8848312772875533E-3</v>
      </c>
      <c r="BL206" s="144">
        <f t="shared" si="587"/>
        <v>23.505308855687545</v>
      </c>
      <c r="BM206" s="456">
        <f t="shared" si="525"/>
        <v>4.5845745680825782</v>
      </c>
      <c r="BN206" s="144">
        <f t="shared" si="526"/>
        <v>4584.5745680825785</v>
      </c>
      <c r="BO206" s="456">
        <f t="shared" si="483"/>
        <v>2.6879999999999997</v>
      </c>
      <c r="BR206" s="144">
        <f t="shared" si="484"/>
        <v>2687.9999999999995</v>
      </c>
      <c r="BS206" s="456">
        <f t="shared" si="485"/>
        <v>1.0565239394659574</v>
      </c>
      <c r="BT206" s="456">
        <f t="shared" si="486"/>
        <v>0.7284774206584621</v>
      </c>
      <c r="BU206" s="456">
        <f t="shared" si="487"/>
        <v>15.414129885808221</v>
      </c>
      <c r="BV206" s="456"/>
      <c r="BW206" s="456">
        <f t="shared" si="488"/>
        <v>4.8629016825675597</v>
      </c>
      <c r="BX206" s="144">
        <f t="shared" si="489"/>
        <v>22062.032928500201</v>
      </c>
      <c r="BY206" s="150">
        <f t="shared" si="490"/>
        <v>28.127146273150533</v>
      </c>
      <c r="BZ206" s="5">
        <f t="shared" si="491"/>
        <v>115.19999999999999</v>
      </c>
      <c r="CA206" s="150">
        <f t="shared" si="492"/>
        <v>0.80375562477504237</v>
      </c>
      <c r="CB206" s="5">
        <f t="shared" si="493"/>
        <v>80.375562477504232</v>
      </c>
      <c r="CE206" s="59">
        <f t="shared" si="527"/>
        <v>-50</v>
      </c>
      <c r="CF206">
        <f t="shared" si="528"/>
        <v>-50</v>
      </c>
      <c r="CG206" s="150">
        <f t="shared" si="529"/>
        <v>0.39010591540705242</v>
      </c>
      <c r="CI206" s="147">
        <v>96</v>
      </c>
      <c r="CJ206" s="188">
        <f t="shared" si="588"/>
        <v>3.84</v>
      </c>
      <c r="CK206" s="188"/>
      <c r="CL206" s="188">
        <f t="shared" si="530"/>
        <v>115.19999999999999</v>
      </c>
      <c r="CM206" s="465">
        <f t="shared" si="531"/>
        <v>20</v>
      </c>
      <c r="CN206" s="379">
        <f t="shared" si="532"/>
        <v>30.4</v>
      </c>
      <c r="CO206" s="379">
        <f t="shared" si="533"/>
        <v>50.4</v>
      </c>
      <c r="CP206" s="379"/>
      <c r="CQ206" s="188">
        <f t="shared" si="534"/>
        <v>0.60317460317460314</v>
      </c>
      <c r="CR206" s="149">
        <f t="shared" si="589"/>
        <v>183.55019291189507</v>
      </c>
      <c r="CS206" s="149">
        <f t="shared" si="535"/>
        <v>115.19999999999999</v>
      </c>
      <c r="CT206" s="188">
        <f t="shared" si="536"/>
        <v>6.1183397637298356</v>
      </c>
      <c r="CU206" s="188">
        <f t="shared" si="537"/>
        <v>30</v>
      </c>
      <c r="CV206" s="188"/>
      <c r="CW206" s="149">
        <f t="shared" si="538"/>
        <v>59.048711194364991</v>
      </c>
      <c r="CX206" s="149">
        <f t="shared" si="539"/>
        <v>30</v>
      </c>
      <c r="CY206" s="188">
        <f t="shared" si="540"/>
        <v>19.098947368421051</v>
      </c>
      <c r="CZ206" s="188">
        <f t="shared" si="541"/>
        <v>4.4882526315789466</v>
      </c>
      <c r="DA206" s="188">
        <f t="shared" si="542"/>
        <v>2.952797783933518</v>
      </c>
      <c r="DB206" s="172">
        <f t="shared" si="543"/>
        <v>350</v>
      </c>
      <c r="DC206" s="379">
        <f t="shared" si="544"/>
        <v>134.38962836688833</v>
      </c>
      <c r="DE206" s="188">
        <f t="shared" si="545"/>
        <v>7.3334298258310406</v>
      </c>
      <c r="DF206" s="150">
        <f t="shared" si="546"/>
        <v>1.1337868480725624</v>
      </c>
      <c r="DG206" s="150">
        <f t="shared" si="547"/>
        <v>1.4550456003633017</v>
      </c>
      <c r="DH206" s="150"/>
      <c r="DI206" s="150">
        <f t="shared" si="548"/>
        <v>0.93700159489633172</v>
      </c>
      <c r="DJ206" s="314">
        <f t="shared" si="549"/>
        <v>1352.3989787234043</v>
      </c>
      <c r="DK206" s="456">
        <f t="shared" si="550"/>
        <v>0.99378957034459414</v>
      </c>
      <c r="DM206" s="150">
        <f t="shared" si="551"/>
        <v>11.913365077810871</v>
      </c>
      <c r="DN206" s="150">
        <f t="shared" si="552"/>
        <v>19.098947368421051</v>
      </c>
      <c r="DO206" s="150">
        <f t="shared" si="553"/>
        <v>10.858030598381474</v>
      </c>
      <c r="DQ206" s="314">
        <f t="shared" si="554"/>
        <v>3840</v>
      </c>
      <c r="DR206" s="144">
        <f t="shared" si="555"/>
        <v>134.38962836688833</v>
      </c>
      <c r="DT206">
        <f t="shared" si="590"/>
        <v>3840</v>
      </c>
      <c r="DU206">
        <f t="shared" si="591"/>
        <v>134.38962836688833</v>
      </c>
      <c r="DW206" s="5">
        <f t="shared" si="556"/>
        <v>7.4410504155124642</v>
      </c>
      <c r="DX206" s="5">
        <f t="shared" si="557"/>
        <v>4.4882526315789466</v>
      </c>
      <c r="DY206" s="5">
        <f t="shared" si="558"/>
        <v>2.9527977839335176</v>
      </c>
      <c r="DZ206" s="5"/>
      <c r="EA206" s="150">
        <f t="shared" si="559"/>
        <v>0.60317460317460314</v>
      </c>
      <c r="EB206" s="150">
        <f t="shared" si="560"/>
        <v>115.19999999999999</v>
      </c>
      <c r="EC206" s="150">
        <f t="shared" si="561"/>
        <v>3.7894736842105261</v>
      </c>
      <c r="ED206" s="150">
        <f t="shared" si="562"/>
        <v>30.4</v>
      </c>
      <c r="EE206" s="144">
        <f t="shared" si="563"/>
        <v>57.449633684210518</v>
      </c>
      <c r="EF206" s="5">
        <f t="shared" si="564"/>
        <v>10.004773667915918</v>
      </c>
      <c r="EH206" s="150">
        <f t="shared" si="565"/>
        <v>8.5638751680963239</v>
      </c>
      <c r="EI206" s="150">
        <f t="shared" si="566"/>
        <v>6.9462200007751678</v>
      </c>
      <c r="EK206" s="456">
        <f t="shared" si="567"/>
        <v>0.88007949473684211</v>
      </c>
      <c r="EL206" s="456">
        <f t="shared" si="568"/>
        <v>2.4578723404255323</v>
      </c>
      <c r="EM206" s="456">
        <f t="shared" si="569"/>
        <v>1.545480726219216E-2</v>
      </c>
      <c r="EN206" s="456">
        <f t="shared" si="570"/>
        <v>0.17665957446808514</v>
      </c>
      <c r="EO206">
        <f t="shared" si="571"/>
        <v>8.9999999999999993E-3</v>
      </c>
      <c r="EP206" s="144">
        <f t="shared" si="572"/>
        <v>24.454807262192158</v>
      </c>
      <c r="EQ206" s="144"/>
      <c r="ER206" s="144">
        <f t="shared" si="592"/>
        <v>3539.0662168926515</v>
      </c>
      <c r="ES206" s="456">
        <f t="shared" si="573"/>
        <v>2.6879999999999997</v>
      </c>
      <c r="EV206" s="144">
        <f t="shared" si="494"/>
        <v>2687.9999999999995</v>
      </c>
      <c r="EW206" s="456">
        <f t="shared" si="574"/>
        <v>1.0267594105263158</v>
      </c>
      <c r="EX206" s="456">
        <f t="shared" si="575"/>
        <v>0.67549961218836563</v>
      </c>
      <c r="EY206" s="456">
        <f t="shared" si="576"/>
        <v>16.688141232989647</v>
      </c>
      <c r="EZ206" s="456"/>
      <c r="FA206" s="456">
        <f t="shared" si="577"/>
        <v>4.9021276595744689</v>
      </c>
      <c r="FB206" s="144">
        <f t="shared" si="578"/>
        <v>23292.527915278795</v>
      </c>
      <c r="FC206" s="150">
        <f t="shared" si="579"/>
        <v>29.519594132171449</v>
      </c>
      <c r="FD206" s="5">
        <f t="shared" si="580"/>
        <v>115.19999999999999</v>
      </c>
      <c r="FE206" s="150">
        <f t="shared" si="581"/>
        <v>0.7960221329448216</v>
      </c>
      <c r="FF206" s="5">
        <f t="shared" si="582"/>
        <v>79.602213294482155</v>
      </c>
      <c r="FI206" s="59">
        <f t="shared" si="583"/>
        <v>-50</v>
      </c>
      <c r="FJ206">
        <f t="shared" si="584"/>
        <v>-50</v>
      </c>
      <c r="FL206">
        <f t="shared" si="585"/>
        <v>0.39682539682539686</v>
      </c>
    </row>
    <row r="207" spans="5:168">
      <c r="E207" s="147">
        <v>97</v>
      </c>
      <c r="F207" s="188">
        <f>IF(PLOT_TYPE=1, E207/100*Iout_max, min_I*EXP(N207*rr/100))</f>
        <v>3.88</v>
      </c>
      <c r="G207" s="188"/>
      <c r="H207" s="188">
        <f>F207*Vout</f>
        <v>116.39999999999999</v>
      </c>
      <c r="I207" s="465">
        <f t="shared" si="496"/>
        <v>19.741449474502101</v>
      </c>
      <c r="J207" s="149">
        <f t="shared" si="497"/>
        <v>30.539219513729638</v>
      </c>
      <c r="K207" s="149">
        <f t="shared" si="498"/>
        <v>50.280668988231739</v>
      </c>
      <c r="L207" s="379"/>
      <c r="M207" s="188">
        <f t="shared" si="499"/>
        <v>0.60735674458721134</v>
      </c>
      <c r="N207" s="149">
        <f>M207*I207*(Isw_max+VIN_min/Lmag*ILIM_delay)*0.5*Efficiency</f>
        <v>182.43354517949928</v>
      </c>
      <c r="O207" s="149">
        <f t="shared" si="598"/>
        <v>116.39999999999999</v>
      </c>
      <c r="P207" s="188">
        <f>N207/Vout</f>
        <v>6.0811181726499761</v>
      </c>
      <c r="Q207" s="188">
        <f t="shared" si="502"/>
        <v>30</v>
      </c>
      <c r="R207" s="188"/>
      <c r="S207" s="149">
        <f t="shared" si="503"/>
        <v>57.485912875459242</v>
      </c>
      <c r="T207" s="149">
        <f>MIN(Vout, S207)</f>
        <v>30</v>
      </c>
      <c r="U207" s="188">
        <f t="shared" si="505"/>
        <v>19.763487320931713</v>
      </c>
      <c r="V207" s="188">
        <f>L*U207/I207*1000000</f>
        <v>4.7052467210349951</v>
      </c>
      <c r="W207" s="188">
        <f t="shared" si="507"/>
        <v>3.0416098344169815</v>
      </c>
      <c r="X207" s="172">
        <f t="shared" si="508"/>
        <v>350</v>
      </c>
      <c r="Y207" s="379">
        <f t="shared" si="509"/>
        <v>125.83591927476601</v>
      </c>
      <c r="AA207" s="188">
        <f t="shared" si="510"/>
        <v>7.2890347493905532</v>
      </c>
      <c r="AB207" s="150">
        <f>L*AA207/J207*1000000</f>
        <v>1.1217858173072788</v>
      </c>
      <c r="AC207" s="150">
        <f>0.5*AB207*AA207*Nps*X207/1000</f>
        <v>1.4309287656520917</v>
      </c>
      <c r="AD207" s="150"/>
      <c r="AE207" s="150">
        <f t="shared" si="513"/>
        <v>0.93273007425885379</v>
      </c>
      <c r="AF207" s="314">
        <f>MAX(12000,F207/(0.5*AE207/1000000*Isw_min*Nps))/1000</f>
        <v>1372.7444148484269</v>
      </c>
      <c r="AG207" s="456">
        <f t="shared" si="515"/>
        <v>0.98925916966848126</v>
      </c>
      <c r="AI207" s="150">
        <f t="shared" si="516"/>
        <v>12.002642652950758</v>
      </c>
      <c r="AJ207" s="150">
        <f>MAX(IF(F207&gt;AC207,U207,AI207),Isw_min)</f>
        <v>19.763487320931713</v>
      </c>
      <c r="AK207" s="150">
        <f>IF(F207&gt;AG207, (AJ207-Isw_min)/1.08*0.8+1.2, AF207*0.2/350+1)</f>
        <v>11.350282415056039</v>
      </c>
      <c r="AM207" s="314">
        <f t="shared" si="519"/>
        <v>3880</v>
      </c>
      <c r="AN207" s="144">
        <f t="shared" si="520"/>
        <v>125.83591927476601</v>
      </c>
      <c r="AP207">
        <f t="shared" si="521"/>
        <v>3880</v>
      </c>
      <c r="AQ207">
        <f t="shared" si="522"/>
        <v>125.83591927476601</v>
      </c>
      <c r="AS207" s="5">
        <f t="shared" si="599"/>
        <v>7.9468565554519763</v>
      </c>
      <c r="AT207" s="5">
        <f t="shared" si="523"/>
        <v>4.7052467210349951</v>
      </c>
      <c r="AU207" s="5">
        <f t="shared" si="477"/>
        <v>3.2416098344169813</v>
      </c>
      <c r="AV207" s="5"/>
      <c r="AW207" s="150">
        <f t="shared" si="478"/>
        <v>0.59208904655601713</v>
      </c>
      <c r="AX207" s="150">
        <f t="shared" si="595"/>
        <v>115.5046975673857</v>
      </c>
      <c r="AY207" s="150">
        <f t="shared" si="596"/>
        <v>4.0308714782296606</v>
      </c>
      <c r="AZ207" s="150">
        <f t="shared" si="600"/>
        <v>28.655018695390112</v>
      </c>
      <c r="BA207" s="144">
        <f t="shared" si="593"/>
        <v>60.854524258719266</v>
      </c>
      <c r="BB207" s="5">
        <f t="shared" si="594"/>
        <v>11.243091976529904</v>
      </c>
      <c r="BD207" s="150">
        <f t="shared" si="601"/>
        <v>8.7800394148704175</v>
      </c>
      <c r="BE207" s="150">
        <f t="shared" si="597"/>
        <v>7.287618602913537</v>
      </c>
      <c r="BG207" s="456">
        <f t="shared" si="479"/>
        <v>0.92506910552013688</v>
      </c>
      <c r="BH207" s="456">
        <f t="shared" si="524"/>
        <v>2.282086604574638</v>
      </c>
      <c r="BI207" s="456">
        <f t="shared" si="480"/>
        <v>1.4471130716598092E-2</v>
      </c>
      <c r="BJ207" s="456">
        <f t="shared" si="481"/>
        <v>0.1646330693295088</v>
      </c>
      <c r="BK207">
        <f t="shared" si="482"/>
        <v>8.8836522635259447E-3</v>
      </c>
      <c r="BL207" s="144">
        <f t="shared" si="587"/>
        <v>23.354782980124035</v>
      </c>
      <c r="BM207" s="456">
        <f t="shared" si="525"/>
        <v>4.6418108405269249</v>
      </c>
      <c r="BN207" s="144">
        <f t="shared" si="526"/>
        <v>4641.8108405269249</v>
      </c>
      <c r="BO207" s="456">
        <f t="shared" si="483"/>
        <v>2.7159999999999997</v>
      </c>
      <c r="BR207" s="144">
        <f t="shared" si="484"/>
        <v>2715.9999999999995</v>
      </c>
      <c r="BS207" s="456">
        <f t="shared" si="485"/>
        <v>1.079247289773493</v>
      </c>
      <c r="BT207" s="456">
        <f t="shared" si="486"/>
        <v>0.74353138862144041</v>
      </c>
      <c r="BU207" s="456">
        <f t="shared" si="487"/>
        <v>15.421993590897131</v>
      </c>
      <c r="BV207" s="456"/>
      <c r="BW207" s="456">
        <f t="shared" si="488"/>
        <v>4.9150935135057754</v>
      </c>
      <c r="BX207" s="144">
        <f t="shared" si="489"/>
        <v>22159.865782797839</v>
      </c>
      <c r="BY207" s="150">
        <f t="shared" si="490"/>
        <v>28.271009345202245</v>
      </c>
      <c r="BZ207" s="5">
        <f t="shared" si="491"/>
        <v>116.39999999999999</v>
      </c>
      <c r="CA207" s="150">
        <f t="shared" si="492"/>
        <v>0.80458414250954557</v>
      </c>
      <c r="CB207" s="5">
        <f t="shared" si="493"/>
        <v>80.458414250954561</v>
      </c>
      <c r="CE207" s="59">
        <f t="shared" si="527"/>
        <v>-50</v>
      </c>
      <c r="CF207">
        <f t="shared" si="528"/>
        <v>-50</v>
      </c>
      <c r="CG207" s="150">
        <f t="shared" si="529"/>
        <v>0.39017518841136528</v>
      </c>
      <c r="CI207" s="147">
        <v>97</v>
      </c>
      <c r="CJ207" s="188">
        <f t="shared" si="588"/>
        <v>3.88</v>
      </c>
      <c r="CK207" s="188"/>
      <c r="CL207" s="188">
        <f t="shared" si="530"/>
        <v>116.39999999999999</v>
      </c>
      <c r="CM207" s="465">
        <f t="shared" si="531"/>
        <v>20</v>
      </c>
      <c r="CN207" s="379">
        <f t="shared" si="532"/>
        <v>30.4</v>
      </c>
      <c r="CO207" s="379">
        <f t="shared" si="533"/>
        <v>50.4</v>
      </c>
      <c r="CP207" s="379"/>
      <c r="CQ207" s="188">
        <f t="shared" si="534"/>
        <v>0.60317460317460314</v>
      </c>
      <c r="CR207" s="149">
        <f t="shared" si="589"/>
        <v>183.55019291189507</v>
      </c>
      <c r="CS207" s="149">
        <f t="shared" si="535"/>
        <v>116.39999999999999</v>
      </c>
      <c r="CT207" s="188">
        <f t="shared" si="536"/>
        <v>6.1183397637298356</v>
      </c>
      <c r="CU207" s="188">
        <f t="shared" si="537"/>
        <v>30</v>
      </c>
      <c r="CV207" s="188"/>
      <c r="CW207" s="149">
        <f t="shared" si="538"/>
        <v>58.23702613157289</v>
      </c>
      <c r="CX207" s="149">
        <f t="shared" si="539"/>
        <v>30</v>
      </c>
      <c r="CY207" s="188">
        <f t="shared" si="540"/>
        <v>19.297894736842103</v>
      </c>
      <c r="CZ207" s="188">
        <f t="shared" si="541"/>
        <v>4.5350052631578945</v>
      </c>
      <c r="DA207" s="188">
        <f t="shared" si="542"/>
        <v>2.9835560941828252</v>
      </c>
      <c r="DB207" s="172">
        <f t="shared" si="543"/>
        <v>350</v>
      </c>
      <c r="DC207" s="379">
        <f t="shared" si="544"/>
        <v>133.00416828063172</v>
      </c>
      <c r="DE207" s="188">
        <f t="shared" si="545"/>
        <v>7.3334298258310406</v>
      </c>
      <c r="DF207" s="150">
        <f t="shared" si="546"/>
        <v>1.1337868480725624</v>
      </c>
      <c r="DG207" s="150">
        <f t="shared" si="547"/>
        <v>1.4550456003633017</v>
      </c>
      <c r="DH207" s="150"/>
      <c r="DI207" s="150">
        <f t="shared" si="548"/>
        <v>0.93700159489633172</v>
      </c>
      <c r="DJ207" s="314">
        <f t="shared" si="549"/>
        <v>1366.4864680851065</v>
      </c>
      <c r="DK207" s="456">
        <f t="shared" si="550"/>
        <v>0.99378957034459414</v>
      </c>
      <c r="DM207" s="150">
        <f t="shared" si="551"/>
        <v>11.975253105053403</v>
      </c>
      <c r="DN207" s="150">
        <f t="shared" si="552"/>
        <v>19.297894736842103</v>
      </c>
      <c r="DO207" s="150">
        <f t="shared" si="553"/>
        <v>11.005399019434105</v>
      </c>
      <c r="DQ207" s="314">
        <f t="shared" si="554"/>
        <v>3880</v>
      </c>
      <c r="DR207" s="144">
        <f t="shared" si="555"/>
        <v>133.00416828063172</v>
      </c>
      <c r="DT207">
        <f t="shared" si="590"/>
        <v>3880</v>
      </c>
      <c r="DU207">
        <f t="shared" si="591"/>
        <v>133.00416828063172</v>
      </c>
      <c r="DW207" s="5">
        <f t="shared" si="556"/>
        <v>7.5185613573407206</v>
      </c>
      <c r="DX207" s="5">
        <f t="shared" si="557"/>
        <v>4.5350052631578945</v>
      </c>
      <c r="DY207" s="5">
        <f t="shared" si="558"/>
        <v>2.9835560941828261</v>
      </c>
      <c r="DZ207" s="5"/>
      <c r="EA207" s="150">
        <f t="shared" si="559"/>
        <v>0.60317460317460314</v>
      </c>
      <c r="EB207" s="150">
        <f t="shared" si="560"/>
        <v>116.39999999999996</v>
      </c>
      <c r="EC207" s="150">
        <f t="shared" si="561"/>
        <v>3.8289473684210527</v>
      </c>
      <c r="ED207" s="150">
        <f t="shared" si="562"/>
        <v>30.399999999999991</v>
      </c>
      <c r="EE207" s="144">
        <f t="shared" si="563"/>
        <v>58.652734736842099</v>
      </c>
      <c r="EF207" s="5">
        <f t="shared" si="564"/>
        <v>10.214292040084732</v>
      </c>
      <c r="EH207" s="150">
        <f t="shared" si="565"/>
        <v>8.6530822010973267</v>
      </c>
      <c r="EI207" s="150">
        <f t="shared" si="566"/>
        <v>7.0185764591165754</v>
      </c>
      <c r="EK207" s="456">
        <f t="shared" si="567"/>
        <v>0.89850997894736828</v>
      </c>
      <c r="EL207" s="456">
        <f t="shared" si="568"/>
        <v>2.4578723404255314</v>
      </c>
      <c r="EM207" s="456">
        <f t="shared" si="569"/>
        <v>1.5295479352272649E-2</v>
      </c>
      <c r="EN207" s="456">
        <f t="shared" si="570"/>
        <v>0.17483834174161</v>
      </c>
      <c r="EO207">
        <f t="shared" si="571"/>
        <v>8.9999999999999993E-3</v>
      </c>
      <c r="EP207" s="144">
        <f t="shared" si="572"/>
        <v>24.29547935227265</v>
      </c>
      <c r="EQ207" s="144"/>
      <c r="ER207" s="144">
        <f t="shared" si="592"/>
        <v>3555.516140466782</v>
      </c>
      <c r="ES207" s="456">
        <f t="shared" si="573"/>
        <v>2.7159999999999997</v>
      </c>
      <c r="EV207" s="144">
        <f t="shared" si="494"/>
        <v>2715.9999999999995</v>
      </c>
      <c r="EW207" s="456">
        <f t="shared" si="574"/>
        <v>1.0482616421052631</v>
      </c>
      <c r="EX207" s="456">
        <f t="shared" si="575"/>
        <v>0.68964581717451512</v>
      </c>
      <c r="EY207" s="456">
        <f t="shared" si="576"/>
        <v>16.688141232989647</v>
      </c>
      <c r="EZ207" s="456"/>
      <c r="FA207" s="456">
        <f t="shared" si="577"/>
        <v>4.9531914893617008</v>
      </c>
      <c r="FB207" s="144">
        <f t="shared" si="578"/>
        <v>23379.240181631125</v>
      </c>
      <c r="FC207" s="150">
        <f t="shared" si="579"/>
        <v>29.650756322097905</v>
      </c>
      <c r="FD207" s="5">
        <f t="shared" si="580"/>
        <v>116.39999999999999</v>
      </c>
      <c r="FE207" s="150">
        <f t="shared" si="581"/>
        <v>0.79698320591571181</v>
      </c>
      <c r="FF207" s="5">
        <f t="shared" si="582"/>
        <v>79.698320591571175</v>
      </c>
      <c r="FI207" s="59">
        <f t="shared" si="583"/>
        <v>-50</v>
      </c>
      <c r="FJ207">
        <f t="shared" si="584"/>
        <v>-50</v>
      </c>
      <c r="FL207">
        <f t="shared" si="585"/>
        <v>0.39682539682539686</v>
      </c>
    </row>
    <row r="208" spans="5:168">
      <c r="E208" s="147">
        <v>98</v>
      </c>
      <c r="F208" s="188">
        <f>IF(PLOT_TYPE=1, E208/100*Iout_max, min_I*EXP(N208*rr/100))</f>
        <v>3.92</v>
      </c>
      <c r="G208" s="188"/>
      <c r="H208" s="188">
        <f>F208*Vout</f>
        <v>117.6</v>
      </c>
      <c r="I208" s="465">
        <f t="shared" si="496"/>
        <v>19.738829427953473</v>
      </c>
      <c r="J208" s="149">
        <f t="shared" si="497"/>
        <v>30.540630308025051</v>
      </c>
      <c r="K208" s="149">
        <f t="shared" si="498"/>
        <v>50.27945973597852</v>
      </c>
      <c r="L208" s="379"/>
      <c r="M208" s="188">
        <f t="shared" si="499"/>
        <v>0.6073994161007068</v>
      </c>
      <c r="N208" s="149">
        <f>M208*I208*(Isw_max+VIN_min/Lmag*ILIM_delay)*0.5*Efficiency</f>
        <v>182.42214862419092</v>
      </c>
      <c r="O208" s="149">
        <f t="shared" si="598"/>
        <v>117.6</v>
      </c>
      <c r="P208" s="188">
        <f>N208/Vout</f>
        <v>6.0807382874730305</v>
      </c>
      <c r="Q208" s="188">
        <f t="shared" si="502"/>
        <v>30</v>
      </c>
      <c r="R208" s="188"/>
      <c r="S208" s="149">
        <f t="shared" si="503"/>
        <v>56.693638316272683</v>
      </c>
      <c r="T208" s="149">
        <f>MIN(Vout, S208)</f>
        <v>30</v>
      </c>
      <c r="U208" s="188">
        <f t="shared" si="505"/>
        <v>19.969404839222175</v>
      </c>
      <c r="V208" s="188">
        <f>L*U208/I208*1000000</f>
        <v>4.7549021631155188</v>
      </c>
      <c r="W208" s="188">
        <f t="shared" si="507"/>
        <v>3.0731586675760902</v>
      </c>
      <c r="X208" s="172">
        <f t="shared" si="508"/>
        <v>350</v>
      </c>
      <c r="Y208" s="379">
        <f t="shared" si="509"/>
        <v>124.56308205550195</v>
      </c>
      <c r="AA208" s="188">
        <f t="shared" si="510"/>
        <v>7.2885793342432148</v>
      </c>
      <c r="AB208" s="150">
        <f>L*AA208/J208*1000000</f>
        <v>1.1216639121538265</v>
      </c>
      <c r="AC208" s="150">
        <f>0.5*AB208*AA208*Nps*X208/1000</f>
        <v>1.4306838717658859</v>
      </c>
      <c r="AD208" s="150"/>
      <c r="AE208" s="150">
        <f t="shared" si="513"/>
        <v>0.93268698771300806</v>
      </c>
      <c r="AF208" s="314">
        <f>MAX(12000,F208/(0.5*AE208/1000000*Isw_min*Nps))/1000</f>
        <v>1386.9604883970426</v>
      </c>
      <c r="AG208" s="456">
        <f t="shared" si="515"/>
        <v>0.98921347181682673</v>
      </c>
      <c r="AI208" s="150">
        <f t="shared" si="516"/>
        <v>12.064631964828338</v>
      </c>
      <c r="AJ208" s="150">
        <f>MAX(IF(F208&gt;AC208,U208,AI208),Isw_min)</f>
        <v>19.969404839222175</v>
      </c>
      <c r="AK208" s="150">
        <f>IF(F208&gt;AG208, (AJ208-Isw_min)/1.08*0.8+1.2, AF208*0.2/350+1)</f>
        <v>11.50281391008601</v>
      </c>
      <c r="AM208" s="314">
        <f t="shared" si="519"/>
        <v>3920</v>
      </c>
      <c r="AN208" s="144">
        <f t="shared" si="520"/>
        <v>124.56308205550195</v>
      </c>
      <c r="AP208">
        <f t="shared" si="521"/>
        <v>3920</v>
      </c>
      <c r="AQ208">
        <f t="shared" si="522"/>
        <v>124.56308205550195</v>
      </c>
      <c r="AS208" s="5">
        <f t="shared" si="599"/>
        <v>8.0280608306916097</v>
      </c>
      <c r="AT208" s="5">
        <f t="shared" si="523"/>
        <v>4.7549021631155188</v>
      </c>
      <c r="AU208" s="5">
        <f t="shared" si="477"/>
        <v>3.2731586675760909</v>
      </c>
      <c r="AV208" s="5"/>
      <c r="AW208" s="150">
        <f t="shared" si="478"/>
        <v>0.59228526831004202</v>
      </c>
      <c r="AX208" s="150">
        <f t="shared" si="595"/>
        <v>116.73133455270917</v>
      </c>
      <c r="AY208" s="150">
        <f t="shared" si="596"/>
        <v>4.0709102680158091</v>
      </c>
      <c r="AZ208" s="150">
        <f t="shared" si="600"/>
        <v>28.674504439422307</v>
      </c>
      <c r="BA208" s="144">
        <f t="shared" si="593"/>
        <v>62.130721598042783</v>
      </c>
      <c r="BB208" s="5">
        <f t="shared" si="594"/>
        <v>11.471073557054426</v>
      </c>
      <c r="BD208" s="150">
        <f t="shared" si="601"/>
        <v>8.8729893350633109</v>
      </c>
      <c r="BE208" s="150">
        <f t="shared" si="597"/>
        <v>7.3617776479214649</v>
      </c>
      <c r="BG208" s="456">
        <f t="shared" si="479"/>
        <v>0.94475927688176708</v>
      </c>
      <c r="BH208" s="456">
        <f t="shared" si="524"/>
        <v>2.2824850317227807</v>
      </c>
      <c r="BI208" s="456">
        <f t="shared" si="480"/>
        <v>1.4324754436382725E-2</v>
      </c>
      <c r="BJ208" s="456">
        <f t="shared" si="481"/>
        <v>0.16295995814056644</v>
      </c>
      <c r="BK208">
        <f t="shared" si="482"/>
        <v>8.8824732425790628E-3</v>
      </c>
      <c r="BL208" s="144">
        <f t="shared" si="587"/>
        <v>23.207227678961786</v>
      </c>
      <c r="BM208" s="456">
        <f t="shared" si="525"/>
        <v>4.7004137211586814</v>
      </c>
      <c r="BN208" s="144">
        <f t="shared" si="526"/>
        <v>4700.4137211586813</v>
      </c>
      <c r="BO208" s="456">
        <f t="shared" si="483"/>
        <v>2.7439999999999998</v>
      </c>
      <c r="BR208" s="144">
        <f t="shared" si="484"/>
        <v>2744</v>
      </c>
      <c r="BS208" s="456">
        <f t="shared" si="485"/>
        <v>1.1022191563620616</v>
      </c>
      <c r="BT208" s="456">
        <f t="shared" si="486"/>
        <v>0.75874078192410543</v>
      </c>
      <c r="BU208" s="456">
        <f t="shared" si="487"/>
        <v>15.42965344008125</v>
      </c>
      <c r="BV208" s="456"/>
      <c r="BW208" s="456">
        <f t="shared" si="488"/>
        <v>4.9672908320301783</v>
      </c>
      <c r="BX208" s="144">
        <f t="shared" si="489"/>
        <v>22257.904210397599</v>
      </c>
      <c r="BY208" s="150">
        <f t="shared" si="490"/>
        <v>28.415315704821673</v>
      </c>
      <c r="BZ208" s="5">
        <f t="shared" si="491"/>
        <v>117.6</v>
      </c>
      <c r="CA208" s="150">
        <f t="shared" si="492"/>
        <v>0.80539496444150516</v>
      </c>
      <c r="CB208" s="5">
        <f t="shared" si="493"/>
        <v>80.539496444150515</v>
      </c>
      <c r="CE208" s="59">
        <f t="shared" si="527"/>
        <v>-50</v>
      </c>
      <c r="CF208">
        <f t="shared" si="528"/>
        <v>-50</v>
      </c>
      <c r="CG208" s="150">
        <f t="shared" si="529"/>
        <v>0.39024304768089618</v>
      </c>
      <c r="CI208" s="147">
        <v>98</v>
      </c>
      <c r="CJ208" s="188">
        <f t="shared" si="588"/>
        <v>3.92</v>
      </c>
      <c r="CK208" s="188"/>
      <c r="CL208" s="188">
        <f t="shared" si="530"/>
        <v>117.6</v>
      </c>
      <c r="CM208" s="465">
        <f t="shared" si="531"/>
        <v>20</v>
      </c>
      <c r="CN208" s="379">
        <f t="shared" si="532"/>
        <v>30.4</v>
      </c>
      <c r="CO208" s="379">
        <f t="shared" si="533"/>
        <v>50.4</v>
      </c>
      <c r="CP208" s="379"/>
      <c r="CQ208" s="188">
        <f t="shared" si="534"/>
        <v>0.60317460317460314</v>
      </c>
      <c r="CR208" s="149">
        <f t="shared" si="589"/>
        <v>183.55019291189507</v>
      </c>
      <c r="CS208" s="149">
        <f t="shared" si="535"/>
        <v>117.6</v>
      </c>
      <c r="CT208" s="188">
        <f t="shared" si="536"/>
        <v>6.1183397637298356</v>
      </c>
      <c r="CU208" s="188">
        <f t="shared" si="537"/>
        <v>30</v>
      </c>
      <c r="CV208" s="188"/>
      <c r="CW208" s="149">
        <f t="shared" si="538"/>
        <v>57.44195663991772</v>
      </c>
      <c r="CX208" s="149">
        <f t="shared" si="539"/>
        <v>30</v>
      </c>
      <c r="CY208" s="188">
        <f t="shared" si="540"/>
        <v>19.496842105263159</v>
      </c>
      <c r="CZ208" s="188">
        <f t="shared" si="541"/>
        <v>4.5817578947368425</v>
      </c>
      <c r="DA208" s="188">
        <f t="shared" si="542"/>
        <v>3.0143144044321333</v>
      </c>
      <c r="DB208" s="172">
        <f t="shared" si="543"/>
        <v>350</v>
      </c>
      <c r="DC208" s="379">
        <f t="shared" si="544"/>
        <v>131.64698289001302</v>
      </c>
      <c r="DE208" s="188">
        <f t="shared" si="545"/>
        <v>7.3334298258310406</v>
      </c>
      <c r="DF208" s="150">
        <f t="shared" si="546"/>
        <v>1.1337868480725624</v>
      </c>
      <c r="DG208" s="150">
        <f t="shared" si="547"/>
        <v>1.4550456003633017</v>
      </c>
      <c r="DH208" s="150"/>
      <c r="DI208" s="150">
        <f t="shared" si="548"/>
        <v>0.93700159489633172</v>
      </c>
      <c r="DJ208" s="314">
        <f t="shared" si="549"/>
        <v>1380.5739574468084</v>
      </c>
      <c r="DK208" s="456">
        <f t="shared" si="550"/>
        <v>0.99378957034459414</v>
      </c>
      <c r="DM208" s="150">
        <f t="shared" si="551"/>
        <v>12.036822935599689</v>
      </c>
      <c r="DN208" s="150">
        <f t="shared" si="552"/>
        <v>19.496842105263159</v>
      </c>
      <c r="DO208" s="150">
        <f t="shared" si="553"/>
        <v>11.152767440486738</v>
      </c>
      <c r="DQ208" s="314">
        <f t="shared" si="554"/>
        <v>3920</v>
      </c>
      <c r="DR208" s="144">
        <f t="shared" si="555"/>
        <v>131.64698289001302</v>
      </c>
      <c r="DT208">
        <f t="shared" si="590"/>
        <v>3920</v>
      </c>
      <c r="DU208">
        <f t="shared" si="591"/>
        <v>131.64698289001302</v>
      </c>
      <c r="DW208" s="5">
        <f t="shared" si="556"/>
        <v>7.5960722991689762</v>
      </c>
      <c r="DX208" s="5">
        <f t="shared" si="557"/>
        <v>4.5817578947368425</v>
      </c>
      <c r="DY208" s="5">
        <f t="shared" si="558"/>
        <v>3.0143144044321337</v>
      </c>
      <c r="DZ208" s="5"/>
      <c r="EA208" s="150">
        <f t="shared" si="559"/>
        <v>0.60317460317460314</v>
      </c>
      <c r="EB208" s="150">
        <f t="shared" si="560"/>
        <v>117.6</v>
      </c>
      <c r="EC208" s="150">
        <f t="shared" si="561"/>
        <v>3.8684210526315796</v>
      </c>
      <c r="ED208" s="150">
        <f t="shared" si="562"/>
        <v>30.399999999999991</v>
      </c>
      <c r="EE208" s="144">
        <f t="shared" si="563"/>
        <v>59.868303157894744</v>
      </c>
      <c r="EF208" s="5">
        <f t="shared" si="564"/>
        <v>10.425981587094673</v>
      </c>
      <c r="EH208" s="150">
        <f t="shared" si="565"/>
        <v>8.7422892340983314</v>
      </c>
      <c r="EI208" s="150">
        <f t="shared" si="566"/>
        <v>7.0909329174579847</v>
      </c>
      <c r="EK208" s="456">
        <f t="shared" si="567"/>
        <v>0.91713145263157914</v>
      </c>
      <c r="EL208" s="456">
        <f t="shared" si="568"/>
        <v>2.4578723404255323</v>
      </c>
      <c r="EM208" s="456">
        <f t="shared" si="569"/>
        <v>1.5139403032351499E-2</v>
      </c>
      <c r="EN208" s="456">
        <f t="shared" si="570"/>
        <v>0.17305427702996093</v>
      </c>
      <c r="EO208">
        <f t="shared" si="571"/>
        <v>8.9999999999999993E-3</v>
      </c>
      <c r="EP208" s="144">
        <f t="shared" si="572"/>
        <v>24.139403032351499</v>
      </c>
      <c r="EQ208" s="144"/>
      <c r="ER208" s="144">
        <f t="shared" si="592"/>
        <v>3572.1974731194236</v>
      </c>
      <c r="ES208" s="456">
        <f t="shared" si="573"/>
        <v>2.7439999999999998</v>
      </c>
      <c r="EV208" s="144">
        <f t="shared" si="494"/>
        <v>2744</v>
      </c>
      <c r="EW208" s="456">
        <f t="shared" si="574"/>
        <v>1.0699866947368424</v>
      </c>
      <c r="EX208" s="456">
        <f t="shared" si="575"/>
        <v>0.70393861495844889</v>
      </c>
      <c r="EY208" s="456">
        <f t="shared" si="576"/>
        <v>16.688141232989647</v>
      </c>
      <c r="EZ208" s="456"/>
      <c r="FA208" s="456">
        <f t="shared" si="577"/>
        <v>5.0042553191489363</v>
      </c>
      <c r="FB208" s="144">
        <f t="shared" si="578"/>
        <v>23466.321861833872</v>
      </c>
      <c r="FC208" s="150">
        <f t="shared" si="579"/>
        <v>29.782519334953296</v>
      </c>
      <c r="FD208" s="5">
        <f t="shared" si="580"/>
        <v>117.6</v>
      </c>
      <c r="FE208" s="150">
        <f t="shared" si="581"/>
        <v>0.79792366510395196</v>
      </c>
      <c r="FF208" s="5">
        <f t="shared" si="582"/>
        <v>79.792366510395198</v>
      </c>
      <c r="FI208" s="59">
        <f t="shared" si="583"/>
        <v>-50</v>
      </c>
      <c r="FJ208">
        <f t="shared" si="584"/>
        <v>-50</v>
      </c>
      <c r="FL208">
        <f t="shared" si="585"/>
        <v>0.39682539682539686</v>
      </c>
    </row>
    <row r="209" spans="5:168">
      <c r="E209" s="147">
        <v>99</v>
      </c>
      <c r="F209" s="188">
        <f>IF(PLOT_TYPE=1, E209/100*Iout_max, min_I*EXP(N209*rr/100))</f>
        <v>3.96</v>
      </c>
      <c r="G209" s="188"/>
      <c r="H209" s="188">
        <f>F209*Vout</f>
        <v>118.8</v>
      </c>
      <c r="I209" s="465">
        <f t="shared" si="496"/>
        <v>19.736209365929497</v>
      </c>
      <c r="J209" s="149">
        <f t="shared" si="497"/>
        <v>30.542041110653344</v>
      </c>
      <c r="K209" s="149">
        <f t="shared" si="498"/>
        <v>50.278250476582841</v>
      </c>
      <c r="L209" s="379"/>
      <c r="M209" s="188">
        <f t="shared" si="499"/>
        <v>0.6074420898531866</v>
      </c>
      <c r="N209" s="149">
        <f>M209*I209*(Isw_max+VIN_min/Lmag*ILIM_delay)*0.5*Efficiency</f>
        <v>182.41074919601215</v>
      </c>
      <c r="O209" s="149">
        <f t="shared" si="598"/>
        <v>118.8</v>
      </c>
      <c r="P209" s="188">
        <f>N209/Vout</f>
        <v>6.0803583065337383</v>
      </c>
      <c r="Q209" s="188">
        <f t="shared" si="502"/>
        <v>30</v>
      </c>
      <c r="R209" s="188"/>
      <c r="S209" s="149">
        <f t="shared" si="503"/>
        <v>55.917472714729328</v>
      </c>
      <c r="T209" s="149">
        <f>MIN(Vout, S209)</f>
        <v>30</v>
      </c>
      <c r="U209" s="188">
        <f t="shared" si="505"/>
        <v>20.175367239544315</v>
      </c>
      <c r="V209" s="188">
        <f>L*U209/I209*1000000</f>
        <v>4.8045814810595182</v>
      </c>
      <c r="W209" s="188">
        <f t="shared" si="507"/>
        <v>3.104711492015598</v>
      </c>
      <c r="X209" s="172">
        <f t="shared" si="508"/>
        <v>350</v>
      </c>
      <c r="Y209" s="379">
        <f t="shared" si="509"/>
        <v>123.31531285406146</v>
      </c>
      <c r="AA209" s="188">
        <f t="shared" si="510"/>
        <v>7.2881238051150605</v>
      </c>
      <c r="AB209" s="150">
        <f>L*AA209/J209*1000000</f>
        <v>1.1215420004163577</v>
      </c>
      <c r="AC209" s="150">
        <f>0.5*AB209*AA209*Nps*X209/1000</f>
        <v>1.4304389665423938</v>
      </c>
      <c r="AD209" s="150"/>
      <c r="AE209" s="150">
        <f t="shared" si="513"/>
        <v>0.93264390489320337</v>
      </c>
      <c r="AF209" s="314">
        <f>MAX(12000,F209/(0.5*AE209/1000000*Isw_min*Nps))/1000</f>
        <v>1401.1778698641056</v>
      </c>
      <c r="AG209" s="456">
        <f t="shared" si="515"/>
        <v>0.9891677779170337</v>
      </c>
      <c r="AI209" s="150">
        <f t="shared" si="516"/>
        <v>12.126310052910398</v>
      </c>
      <c r="AJ209" s="150">
        <f>MAX(IF(F209&gt;AC209,U209,AI209),Isw_min)</f>
        <v>20.175367239544315</v>
      </c>
      <c r="AK209" s="150">
        <f>IF(F209&gt;AG209, (AJ209-Isw_min)/1.08*0.8+1.2, AF209*0.2/350+1)</f>
        <v>11.655378651065373</v>
      </c>
      <c r="AM209" s="314">
        <f t="shared" si="519"/>
        <v>3960</v>
      </c>
      <c r="AN209" s="144">
        <f t="shared" si="520"/>
        <v>123.31531285406146</v>
      </c>
      <c r="AP209">
        <f t="shared" si="521"/>
        <v>3960</v>
      </c>
      <c r="AQ209">
        <f t="shared" si="522"/>
        <v>123.31531285406146</v>
      </c>
      <c r="AS209" s="5">
        <f t="shared" si="599"/>
        <v>8.1092929730751138</v>
      </c>
      <c r="AT209" s="5">
        <f t="shared" si="523"/>
        <v>4.8045814810595182</v>
      </c>
      <c r="AU209" s="5">
        <f t="shared" si="477"/>
        <v>3.3047114920155956</v>
      </c>
      <c r="AV209" s="5"/>
      <c r="AW209" s="150">
        <f t="shared" si="478"/>
        <v>0.59247846846968455</v>
      </c>
      <c r="AX209" s="150">
        <f t="shared" si="595"/>
        <v>117.95810002359411</v>
      </c>
      <c r="AY209" s="150">
        <f t="shared" si="596"/>
        <v>4.1109482783228257</v>
      </c>
      <c r="AZ209" s="150">
        <f t="shared" si="600"/>
        <v>28.69364731383056</v>
      </c>
      <c r="BA209" s="144">
        <f t="shared" si="593"/>
        <v>63.420475549985646</v>
      </c>
      <c r="BB209" s="5">
        <f t="shared" si="594"/>
        <v>11.701386551587147</v>
      </c>
      <c r="BD209" s="150">
        <f t="shared" si="601"/>
        <v>8.9659664066328641</v>
      </c>
      <c r="BE209" s="150">
        <f t="shared" si="597"/>
        <v>7.4359438413665391</v>
      </c>
      <c r="BG209" s="456">
        <f t="shared" si="479"/>
        <v>0.96466264325842843</v>
      </c>
      <c r="BH209" s="456">
        <f t="shared" si="524"/>
        <v>2.2828715917443256</v>
      </c>
      <c r="BI209" s="456">
        <f t="shared" si="480"/>
        <v>1.4181260978217069E-2</v>
      </c>
      <c r="BJ209" s="456">
        <f t="shared" si="481"/>
        <v>0.16131980100839538</v>
      </c>
      <c r="BK209">
        <f t="shared" si="482"/>
        <v>8.8812942146682741E-3</v>
      </c>
      <c r="BL209" s="144">
        <f t="shared" si="587"/>
        <v>23.062555192885345</v>
      </c>
      <c r="BM209" s="456">
        <f t="shared" si="525"/>
        <v>4.7604193680913811</v>
      </c>
      <c r="BN209" s="144">
        <f t="shared" si="526"/>
        <v>4760.4193680913813</v>
      </c>
      <c r="BO209" s="456">
        <f t="shared" si="483"/>
        <v>2.7719999999999998</v>
      </c>
      <c r="BR209" s="144">
        <f t="shared" si="484"/>
        <v>2772</v>
      </c>
      <c r="BS209" s="456">
        <f t="shared" si="485"/>
        <v>1.1254397504681664</v>
      </c>
      <c r="BT209" s="456">
        <f t="shared" si="486"/>
        <v>0.77410565136739751</v>
      </c>
      <c r="BU209" s="456">
        <f t="shared" si="487"/>
        <v>15.437115326683491</v>
      </c>
      <c r="BV209" s="456"/>
      <c r="BW209" s="456">
        <f t="shared" si="488"/>
        <v>5.0194936180252823</v>
      </c>
      <c r="BX209" s="144">
        <f t="shared" si="489"/>
        <v>22356.154346544339</v>
      </c>
      <c r="BY209" s="150">
        <f t="shared" si="490"/>
        <v>28.560070937748375</v>
      </c>
      <c r="BZ209" s="5">
        <f t="shared" si="491"/>
        <v>118.8</v>
      </c>
      <c r="CA209" s="150">
        <f t="shared" si="492"/>
        <v>0.80618853698968806</v>
      </c>
      <c r="CB209" s="5">
        <f t="shared" si="493"/>
        <v>80.618853698968806</v>
      </c>
      <c r="CE209" s="59">
        <f t="shared" si="527"/>
        <v>-50</v>
      </c>
      <c r="CF209">
        <f t="shared" si="528"/>
        <v>-50</v>
      </c>
      <c r="CG209" s="150">
        <f t="shared" si="529"/>
        <v>0.39030953605609331</v>
      </c>
      <c r="CI209" s="147">
        <v>99</v>
      </c>
      <c r="CJ209" s="188">
        <f t="shared" si="588"/>
        <v>3.96</v>
      </c>
      <c r="CK209" s="188"/>
      <c r="CL209" s="188">
        <f t="shared" si="530"/>
        <v>118.8</v>
      </c>
      <c r="CM209" s="465">
        <f t="shared" si="531"/>
        <v>20</v>
      </c>
      <c r="CN209" s="379">
        <f t="shared" si="532"/>
        <v>30.4</v>
      </c>
      <c r="CO209" s="379">
        <f t="shared" si="533"/>
        <v>50.4</v>
      </c>
      <c r="CP209" s="379"/>
      <c r="CQ209" s="188">
        <f t="shared" si="534"/>
        <v>0.60317460317460314</v>
      </c>
      <c r="CR209" s="149">
        <f t="shared" si="589"/>
        <v>183.55019291189507</v>
      </c>
      <c r="CS209" s="149">
        <f t="shared" si="535"/>
        <v>118.8</v>
      </c>
      <c r="CT209" s="188">
        <f t="shared" si="536"/>
        <v>6.1183397637298356</v>
      </c>
      <c r="CU209" s="188">
        <f t="shared" si="537"/>
        <v>30</v>
      </c>
      <c r="CV209" s="188"/>
      <c r="CW209" s="149">
        <f t="shared" si="538"/>
        <v>56.662999720022455</v>
      </c>
      <c r="CX209" s="149">
        <f t="shared" si="539"/>
        <v>30</v>
      </c>
      <c r="CY209" s="188">
        <f t="shared" si="540"/>
        <v>19.695789473684211</v>
      </c>
      <c r="CZ209" s="188">
        <f t="shared" si="541"/>
        <v>4.6285105263157904</v>
      </c>
      <c r="DA209" s="188">
        <f t="shared" si="542"/>
        <v>3.0450727146814409</v>
      </c>
      <c r="DB209" s="172">
        <f t="shared" si="543"/>
        <v>350</v>
      </c>
      <c r="DC209" s="379">
        <f t="shared" si="544"/>
        <v>130.31721538607346</v>
      </c>
      <c r="DE209" s="188">
        <f t="shared" si="545"/>
        <v>7.3334298258310406</v>
      </c>
      <c r="DF209" s="150">
        <f t="shared" si="546"/>
        <v>1.1337868480725624</v>
      </c>
      <c r="DG209" s="150">
        <f t="shared" si="547"/>
        <v>1.4550456003633017</v>
      </c>
      <c r="DH209" s="150"/>
      <c r="DI209" s="150">
        <f t="shared" si="548"/>
        <v>0.93700159489633172</v>
      </c>
      <c r="DJ209" s="314">
        <f t="shared" si="549"/>
        <v>1394.6614468085106</v>
      </c>
      <c r="DK209" s="456">
        <f t="shared" si="550"/>
        <v>0.99378957034459414</v>
      </c>
      <c r="DM209" s="150">
        <f t="shared" si="551"/>
        <v>12.098079427573049</v>
      </c>
      <c r="DN209" s="150">
        <f t="shared" si="552"/>
        <v>19.695789473684211</v>
      </c>
      <c r="DO209" s="150">
        <f t="shared" si="553"/>
        <v>11.300135861539371</v>
      </c>
      <c r="DQ209" s="314">
        <f t="shared" si="554"/>
        <v>3960</v>
      </c>
      <c r="DR209" s="144">
        <f t="shared" si="555"/>
        <v>130.31721538607346</v>
      </c>
      <c r="DT209">
        <f t="shared" si="590"/>
        <v>3960</v>
      </c>
      <c r="DU209">
        <f t="shared" si="591"/>
        <v>130.31721538607346</v>
      </c>
      <c r="DW209" s="5">
        <f t="shared" si="556"/>
        <v>7.6735832409972327</v>
      </c>
      <c r="DX209" s="5">
        <f t="shared" si="557"/>
        <v>4.6285105263157904</v>
      </c>
      <c r="DY209" s="5">
        <f t="shared" si="558"/>
        <v>3.0450727146814422</v>
      </c>
      <c r="DZ209" s="5"/>
      <c r="EA209" s="150">
        <f t="shared" si="559"/>
        <v>0.60317460317460303</v>
      </c>
      <c r="EB209" s="150">
        <f t="shared" si="560"/>
        <v>118.79999999999995</v>
      </c>
      <c r="EC209" s="150">
        <f t="shared" si="561"/>
        <v>3.9078947368421066</v>
      </c>
      <c r="ED209" s="150">
        <f t="shared" si="562"/>
        <v>30.399999999999977</v>
      </c>
      <c r="EE209" s="144">
        <f t="shared" si="563"/>
        <v>61.09633894736843</v>
      </c>
      <c r="EF209" s="5">
        <f t="shared" si="564"/>
        <v>10.639842308945743</v>
      </c>
      <c r="EH209" s="150">
        <f t="shared" si="565"/>
        <v>8.8314962670993324</v>
      </c>
      <c r="EI209" s="150">
        <f t="shared" si="566"/>
        <v>7.1632893757993932</v>
      </c>
      <c r="EK209" s="456">
        <f t="shared" si="567"/>
        <v>0.93594391578947334</v>
      </c>
      <c r="EL209" s="456">
        <f t="shared" si="568"/>
        <v>2.4578723404255314</v>
      </c>
      <c r="EM209" s="456">
        <f t="shared" si="569"/>
        <v>1.498647976939845E-2</v>
      </c>
      <c r="EN209" s="456">
        <f t="shared" si="570"/>
        <v>0.17130625402965824</v>
      </c>
      <c r="EO209">
        <f t="shared" si="571"/>
        <v>8.9999999999999993E-3</v>
      </c>
      <c r="EP209" s="144">
        <f t="shared" si="572"/>
        <v>23.98647976939845</v>
      </c>
      <c r="EQ209" s="144"/>
      <c r="ER209" s="144">
        <f t="shared" si="592"/>
        <v>3589.1089900140614</v>
      </c>
      <c r="ES209" s="456">
        <f t="shared" si="573"/>
        <v>2.7719999999999998</v>
      </c>
      <c r="EV209" s="144">
        <f t="shared" si="494"/>
        <v>2772</v>
      </c>
      <c r="EW209" s="456">
        <f t="shared" si="574"/>
        <v>1.0919345684210522</v>
      </c>
      <c r="EX209" s="456">
        <f t="shared" si="575"/>
        <v>0.71837800554016651</v>
      </c>
      <c r="EY209" s="456">
        <f t="shared" si="576"/>
        <v>16.688141232989647</v>
      </c>
      <c r="EZ209" s="456"/>
      <c r="FA209" s="456">
        <f t="shared" si="577"/>
        <v>5.05531914893617</v>
      </c>
      <c r="FB209" s="144">
        <f t="shared" si="578"/>
        <v>23553.772955887038</v>
      </c>
      <c r="FC209" s="150">
        <f t="shared" si="579"/>
        <v>29.914881945901101</v>
      </c>
      <c r="FD209" s="5">
        <f t="shared" si="580"/>
        <v>118.8</v>
      </c>
      <c r="FE209" s="150">
        <f t="shared" si="581"/>
        <v>0.79884405948838799</v>
      </c>
      <c r="FF209" s="5">
        <f t="shared" si="582"/>
        <v>79.884405948838804</v>
      </c>
      <c r="FI209" s="59">
        <f t="shared" si="583"/>
        <v>-50</v>
      </c>
      <c r="FJ209">
        <f t="shared" si="584"/>
        <v>-50</v>
      </c>
      <c r="FL209">
        <f t="shared" si="585"/>
        <v>0.39682539682539697</v>
      </c>
    </row>
    <row r="210" spans="5:168">
      <c r="E210" s="147">
        <v>100</v>
      </c>
      <c r="F210" s="188">
        <f>IF(PLOT_TYPE=1, E210/100*Iout_max, min_I*EXP(N210*rr/100))</f>
        <v>4</v>
      </c>
      <c r="G210" s="188"/>
      <c r="H210" s="188">
        <f>F210*Vout</f>
        <v>120</v>
      </c>
      <c r="I210" s="465">
        <f t="shared" si="496"/>
        <v>19.733589288902113</v>
      </c>
      <c r="J210" s="149">
        <f t="shared" si="497"/>
        <v>30.543451921360401</v>
      </c>
      <c r="K210" s="149">
        <f t="shared" si="498"/>
        <v>50.27704121026251</v>
      </c>
      <c r="L210" s="379"/>
      <c r="M210" s="188">
        <f>(Vout+Vfwd1+F210/FL210*Rdcr_sec)*Nps/((Vout+Vfwd1+F210/FL210*Rdcr_sec)*Nps+I210)</f>
        <v>0.60748476583914912</v>
      </c>
      <c r="N210" s="149">
        <f>M210*I210*(Isw_max+VIN_min/Lmag*ILIM_delay)*0.5*Efficiency</f>
        <v>182.39934689737541</v>
      </c>
      <c r="O210" s="149">
        <f t="shared" si="598"/>
        <v>120</v>
      </c>
      <c r="P210" s="188">
        <f>N210/Vout</f>
        <v>6.0799782299125136</v>
      </c>
      <c r="Q210" s="188">
        <f t="shared" si="502"/>
        <v>30</v>
      </c>
      <c r="R210" s="188"/>
      <c r="S210" s="149">
        <f t="shared" si="503"/>
        <v>55.15693330664827</v>
      </c>
      <c r="T210" s="149">
        <f>MIN(Vout, S210)</f>
        <v>30</v>
      </c>
      <c r="U210" s="188">
        <f>MIN(2*(Vout+Vfwd1+F210/FL210*Rdcr_sec)*F210/(I210*M210), Isw_max)</f>
        <v>20.381374539775546</v>
      </c>
      <c r="V210" s="188">
        <f>L*U210/I210*1000000</f>
        <v>4.854284688635806</v>
      </c>
      <c r="W210" s="188">
        <f t="shared" si="507"/>
        <v>3.136268309933663</v>
      </c>
      <c r="X210" s="172">
        <f t="shared" si="508"/>
        <v>350</v>
      </c>
      <c r="Y210" s="379">
        <f>MIN(1/(V210+W210+0.2)*1000, 350)</f>
        <v>122.09187831086084</v>
      </c>
      <c r="AA210" s="188">
        <f t="shared" si="510"/>
        <v>7.2876681620781731</v>
      </c>
      <c r="AB210" s="150">
        <f>L*AA210/J210*1000000</f>
        <v>1.1214200821163056</v>
      </c>
      <c r="AC210" s="150">
        <f>0.5*AB210*AA210*Nps*X210/1000</f>
        <v>1.4301940500319659</v>
      </c>
      <c r="AD210" s="150"/>
      <c r="AE210" s="150">
        <f t="shared" si="513"/>
        <v>0.93260082580671755</v>
      </c>
      <c r="AF210" s="314">
        <f>MAX(12000,F210/(0.5*AE210/1000000*Isw_min*Nps))/1000</f>
        <v>1415.3965592494246</v>
      </c>
      <c r="AG210" s="456">
        <f t="shared" si="515"/>
        <v>0.98912208797682166</v>
      </c>
      <c r="AI210" s="150">
        <f t="shared" si="516"/>
        <v>12.187681642219207</v>
      </c>
      <c r="AJ210" s="150">
        <f>MAX(IF(F210&gt;AC210,U210,AI210),Isw_min)</f>
        <v>20.381374539775546</v>
      </c>
      <c r="AK210" s="150">
        <f>IF(F210&gt;AG210, (AJ210-Isw_min)/1.08*0.8+1.2, AF210*0.2/350+1)</f>
        <v>11.807976651236654</v>
      </c>
      <c r="AM210" s="314">
        <f t="shared" si="519"/>
        <v>4000</v>
      </c>
      <c r="AN210" s="144">
        <f t="shared" si="520"/>
        <v>122.09187831086084</v>
      </c>
      <c r="AP210">
        <f t="shared" si="521"/>
        <v>4000</v>
      </c>
      <c r="AQ210">
        <f t="shared" si="522"/>
        <v>122.09187831086084</v>
      </c>
      <c r="AS210" s="5">
        <f t="shared" si="599"/>
        <v>8.1905529985694709</v>
      </c>
      <c r="AT210" s="5">
        <f t="shared" si="523"/>
        <v>4.854284688635806</v>
      </c>
      <c r="AU210" s="5">
        <f t="shared" si="477"/>
        <v>3.336268309933665</v>
      </c>
      <c r="AV210" s="5"/>
      <c r="AW210" s="150">
        <f t="shared" si="478"/>
        <v>0.5926687354911977</v>
      </c>
      <c r="AX210" s="150">
        <f t="shared" si="595"/>
        <v>119.18499352576478</v>
      </c>
      <c r="AY210" s="150">
        <f t="shared" si="596"/>
        <v>4.1509855318571409</v>
      </c>
      <c r="AZ210" s="150">
        <f t="shared" si="600"/>
        <v>28.712456984267469</v>
      </c>
      <c r="BA210" s="144">
        <f t="shared" si="593"/>
        <v>64.723795848477408</v>
      </c>
      <c r="BB210" s="5">
        <f t="shared" si="594"/>
        <v>11.934032325196323</v>
      </c>
      <c r="BD210" s="150">
        <f t="shared" si="601"/>
        <v>9.0589706270022994</v>
      </c>
      <c r="BE210" s="150">
        <f t="shared" si="597"/>
        <v>7.5101172131984635</v>
      </c>
      <c r="BG210" s="456">
        <f t="shared" si="479"/>
        <v>0.98477938585068525</v>
      </c>
      <c r="BH210" s="456">
        <f t="shared" si="524"/>
        <v>2.2832466309694111</v>
      </c>
      <c r="BI210" s="456">
        <f t="shared" si="480"/>
        <v>1.4040566005748996E-2</v>
      </c>
      <c r="BJ210" s="456">
        <f t="shared" si="481"/>
        <v>0.15971163387047396</v>
      </c>
      <c r="BK210">
        <f t="shared" si="482"/>
        <v>8.8801151800059503E-3</v>
      </c>
      <c r="BL210" s="144">
        <f t="shared" si="587"/>
        <v>22.920681185754944</v>
      </c>
      <c r="BM210" s="456">
        <f t="shared" si="525"/>
        <v>4.8218654306270397</v>
      </c>
      <c r="BN210" s="144">
        <f t="shared" si="526"/>
        <v>4821.86543062704</v>
      </c>
      <c r="BO210" s="456">
        <f t="shared" si="483"/>
        <v>2.8</v>
      </c>
      <c r="BR210" s="144">
        <f t="shared" si="484"/>
        <v>2800</v>
      </c>
      <c r="BS210" s="456">
        <f t="shared" si="485"/>
        <v>1.1489092834924661</v>
      </c>
      <c r="BT210" s="456">
        <f t="shared" si="486"/>
        <v>0.78962604778371803</v>
      </c>
      <c r="BU210" s="456">
        <f t="shared" si="487"/>
        <v>15.44438491868641</v>
      </c>
      <c r="BV210" s="456"/>
      <c r="BW210" s="456">
        <f t="shared" si="488"/>
        <v>5.0717018521602037</v>
      </c>
      <c r="BX210" s="144">
        <f t="shared" si="489"/>
        <v>22454.622102122798</v>
      </c>
      <c r="BY210" s="150">
        <f t="shared" si="490"/>
        <v>28.705280433999121</v>
      </c>
      <c r="BZ210" s="5">
        <f t="shared" si="491"/>
        <v>120</v>
      </c>
      <c r="CA210" s="150">
        <f t="shared" si="492"/>
        <v>0.80696529168149089</v>
      </c>
      <c r="CB210" s="5">
        <f t="shared" si="493"/>
        <v>80.696529168149084</v>
      </c>
      <c r="CE210" s="59">
        <f t="shared" si="527"/>
        <v>-50</v>
      </c>
      <c r="CF210">
        <f t="shared" si="528"/>
        <v>-50</v>
      </c>
      <c r="CG210" s="150">
        <f t="shared" si="529"/>
        <v>0.39037469466378621</v>
      </c>
      <c r="CI210" s="147">
        <v>100</v>
      </c>
      <c r="CJ210" s="188">
        <f t="shared" si="588"/>
        <v>4</v>
      </c>
      <c r="CK210" s="188"/>
      <c r="CL210" s="188">
        <f t="shared" si="530"/>
        <v>120</v>
      </c>
      <c r="CM210" s="465">
        <f t="shared" si="531"/>
        <v>20</v>
      </c>
      <c r="CN210" s="379">
        <f t="shared" si="532"/>
        <v>30.4</v>
      </c>
      <c r="CO210" s="379">
        <f t="shared" si="533"/>
        <v>50.4</v>
      </c>
      <c r="CP210" s="379"/>
      <c r="CQ210" s="188">
        <f t="shared" si="534"/>
        <v>0.60317460317460314</v>
      </c>
      <c r="CR210" s="149">
        <f t="shared" si="589"/>
        <v>183.55019291189507</v>
      </c>
      <c r="CS210" s="149">
        <f t="shared" si="535"/>
        <v>120</v>
      </c>
      <c r="CT210" s="188">
        <f t="shared" si="536"/>
        <v>6.1183397637298356</v>
      </c>
      <c r="CU210" s="188">
        <f t="shared" si="537"/>
        <v>30</v>
      </c>
      <c r="CV210" s="188"/>
      <c r="CW210" s="149">
        <f t="shared" si="538"/>
        <v>55.899672498905041</v>
      </c>
      <c r="CX210" s="149">
        <f t="shared" si="539"/>
        <v>30</v>
      </c>
      <c r="CY210" s="188">
        <f t="shared" si="540"/>
        <v>19.894736842105264</v>
      </c>
      <c r="CZ210" s="188">
        <f t="shared" si="541"/>
        <v>4.6752631578947375</v>
      </c>
      <c r="DA210" s="188">
        <f t="shared" si="542"/>
        <v>3.0758310249307481</v>
      </c>
      <c r="DB210" s="172">
        <f t="shared" si="543"/>
        <v>350</v>
      </c>
      <c r="DC210" s="379">
        <f t="shared" si="544"/>
        <v>129.01404323221274</v>
      </c>
      <c r="DE210" s="188">
        <f t="shared" si="545"/>
        <v>7.3334298258310406</v>
      </c>
      <c r="DF210" s="150">
        <f t="shared" si="546"/>
        <v>1.1337868480725624</v>
      </c>
      <c r="DG210" s="150">
        <f t="shared" si="547"/>
        <v>1.4550456003633017</v>
      </c>
      <c r="DH210" s="150"/>
      <c r="DI210" s="150">
        <f t="shared" si="548"/>
        <v>0.93700159489633172</v>
      </c>
      <c r="DJ210" s="314">
        <f t="shared" si="549"/>
        <v>1408.7489361702128</v>
      </c>
      <c r="DK210" s="456">
        <f t="shared" si="550"/>
        <v>0.99378957034459414</v>
      </c>
      <c r="DM210" s="150">
        <f t="shared" si="551"/>
        <v>12.159027316720438</v>
      </c>
      <c r="DN210" s="150">
        <f t="shared" si="552"/>
        <v>19.894736842105264</v>
      </c>
      <c r="DO210" s="150">
        <f t="shared" si="553"/>
        <v>11.447504282592002</v>
      </c>
      <c r="DQ210" s="314">
        <f t="shared" si="554"/>
        <v>4000</v>
      </c>
      <c r="DR210" s="144">
        <f t="shared" si="555"/>
        <v>129.01404323221274</v>
      </c>
      <c r="DT210">
        <f>IF(CL210&gt;CR210, " ",DQ210)</f>
        <v>4000</v>
      </c>
      <c r="DU210">
        <f>IF(CL210&gt;CR210, " ",DR210)</f>
        <v>129.01404323221274</v>
      </c>
      <c r="DW210" s="5">
        <f t="shared" si="556"/>
        <v>7.7510941828254865</v>
      </c>
      <c r="DX210" s="5">
        <f t="shared" si="557"/>
        <v>4.6752631578947375</v>
      </c>
      <c r="DY210" s="5">
        <f t="shared" si="558"/>
        <v>3.075831024930749</v>
      </c>
      <c r="DZ210" s="5"/>
      <c r="EA210" s="150">
        <f t="shared" si="559"/>
        <v>0.60317460317460314</v>
      </c>
      <c r="EB210" s="150">
        <f t="shared" si="560"/>
        <v>119.99999999999999</v>
      </c>
      <c r="EC210" s="150">
        <f t="shared" si="561"/>
        <v>3.9473684210526319</v>
      </c>
      <c r="ED210" s="150">
        <f t="shared" si="562"/>
        <v>30.399999999999995</v>
      </c>
      <c r="EE210" s="144">
        <f t="shared" si="563"/>
        <v>62.336842105263166</v>
      </c>
      <c r="EF210" s="5">
        <f t="shared" si="564"/>
        <v>10.855874205637935</v>
      </c>
      <c r="EH210" s="150">
        <f t="shared" si="565"/>
        <v>8.9207033001003371</v>
      </c>
      <c r="EI210" s="150">
        <f t="shared" si="566"/>
        <v>7.2356458341408008</v>
      </c>
      <c r="EK210" s="456">
        <f t="shared" si="567"/>
        <v>0.95494736842105254</v>
      </c>
      <c r="EL210" s="456">
        <f t="shared" si="568"/>
        <v>2.4578723404255314</v>
      </c>
      <c r="EM210" s="456">
        <f t="shared" si="569"/>
        <v>1.4836614971704467E-2</v>
      </c>
      <c r="EN210" s="456">
        <f t="shared" si="570"/>
        <v>0.16959319148936167</v>
      </c>
      <c r="EO210">
        <f t="shared" si="571"/>
        <v>8.9999999999999993E-3</v>
      </c>
      <c r="EP210" s="144">
        <f t="shared" si="572"/>
        <v>23.836614971704467</v>
      </c>
      <c r="EQ210" s="144"/>
      <c r="ER210" s="144">
        <f t="shared" si="592"/>
        <v>3606.2495153076497</v>
      </c>
      <c r="ES210" s="456">
        <f t="shared" si="573"/>
        <v>2.8</v>
      </c>
      <c r="EV210" s="144">
        <f t="shared" si="494"/>
        <v>2800</v>
      </c>
      <c r="EW210" s="456">
        <f t="shared" si="574"/>
        <v>1.1141052631578945</v>
      </c>
      <c r="EX210" s="456">
        <f t="shared" si="575"/>
        <v>0.73296398891966774</v>
      </c>
      <c r="EY210" s="456">
        <f t="shared" si="576"/>
        <v>16.688141232989647</v>
      </c>
      <c r="EZ210" s="456"/>
      <c r="FA210" s="456">
        <f t="shared" si="577"/>
        <v>5.1063829787234036</v>
      </c>
      <c r="FB210" s="144">
        <f t="shared" si="578"/>
        <v>23641.593463790614</v>
      </c>
      <c r="FC210" s="150">
        <f t="shared" si="579"/>
        <v>30.047842979098263</v>
      </c>
      <c r="FD210" s="5">
        <f t="shared" si="580"/>
        <v>120</v>
      </c>
      <c r="FE210" s="150">
        <f t="shared" si="581"/>
        <v>0.79974491880377141</v>
      </c>
      <c r="FF210" s="5">
        <f t="shared" si="582"/>
        <v>79.974491880377144</v>
      </c>
      <c r="FI210" s="59">
        <f t="shared" si="583"/>
        <v>-50</v>
      </c>
      <c r="FJ210">
        <f t="shared" si="584"/>
        <v>-50</v>
      </c>
      <c r="FL210">
        <f t="shared" si="585"/>
        <v>0.39682539682539686</v>
      </c>
    </row>
    <row r="211" spans="5:168">
      <c r="E211" s="147"/>
      <c r="F211" s="188"/>
      <c r="G211" s="188"/>
      <c r="H211" s="188"/>
      <c r="I211" s="465"/>
      <c r="J211" s="379"/>
      <c r="K211" s="379"/>
      <c r="L211" s="379"/>
      <c r="M211" s="188"/>
      <c r="N211" s="149"/>
      <c r="O211" s="149"/>
      <c r="P211" s="188"/>
      <c r="Q211" s="188"/>
      <c r="R211" s="188"/>
      <c r="S211" s="149"/>
      <c r="T211" s="149"/>
      <c r="U211" s="188"/>
      <c r="V211" s="188"/>
      <c r="W211" s="188"/>
      <c r="X211" s="172"/>
      <c r="Y211" s="379"/>
      <c r="AA211" s="188"/>
      <c r="AB211" s="150"/>
      <c r="AC211" s="150"/>
      <c r="AD211" s="150"/>
      <c r="AE211" s="150"/>
      <c r="AF211" s="314"/>
      <c r="AG211" s="456"/>
      <c r="AI211" s="150"/>
      <c r="AJ211" s="150"/>
      <c r="AK211" s="150"/>
      <c r="AM211" s="314"/>
      <c r="AN211" s="144"/>
      <c r="AS211" s="5"/>
      <c r="AT211" s="5"/>
      <c r="AU211" s="5"/>
      <c r="AV211" s="5"/>
      <c r="AW211" s="150"/>
      <c r="AX211" s="150"/>
      <c r="BA211" s="144"/>
      <c r="BB211" s="5"/>
      <c r="CE211" s="59"/>
      <c r="CF211" s="458">
        <f>MAX(CF110:CF210)</f>
        <v>-50</v>
      </c>
      <c r="CH211" s="59"/>
      <c r="CI211" s="147"/>
      <c r="CJ211" s="188"/>
      <c r="CK211" s="188"/>
      <c r="CL211" s="188"/>
      <c r="CM211" s="465"/>
      <c r="CN211" s="379"/>
      <c r="CO211" s="379"/>
      <c r="CP211" s="379"/>
      <c r="CQ211" s="188"/>
      <c r="CR211" s="149"/>
      <c r="CS211" s="149"/>
      <c r="CT211" s="188"/>
      <c r="CU211" s="188"/>
      <c r="CV211" s="188"/>
      <c r="CW211" s="149"/>
      <c r="CX211" s="149"/>
      <c r="CY211" s="188"/>
      <c r="CZ211" s="188"/>
      <c r="DA211" s="188"/>
      <c r="DB211" s="172"/>
      <c r="DC211" s="379"/>
      <c r="DE211" s="188"/>
      <c r="DF211" s="150"/>
      <c r="DG211" s="150"/>
      <c r="DH211" s="150"/>
      <c r="DI211" s="150"/>
      <c r="DJ211" s="314"/>
      <c r="DK211" s="456"/>
      <c r="DM211" s="150"/>
      <c r="DN211" s="150"/>
      <c r="DO211" s="150"/>
      <c r="DQ211" s="314"/>
      <c r="DR211" s="144"/>
      <c r="DW211" s="5"/>
      <c r="DX211" s="5"/>
      <c r="DY211" s="5"/>
      <c r="DZ211" s="5"/>
      <c r="EA211" s="150"/>
      <c r="EB211" s="150"/>
      <c r="EE211" s="144"/>
      <c r="EF211" s="5"/>
      <c r="FI211" s="59"/>
    </row>
    <row r="212" spans="5:168">
      <c r="E212" s="147">
        <v>110</v>
      </c>
      <c r="F212" s="188">
        <f>Ioutmax_Vinmin</f>
        <v>6.1183378700349742</v>
      </c>
      <c r="G212" s="188"/>
      <c r="H212" s="188">
        <f>F212*Vout</f>
        <v>183.55013610104922</v>
      </c>
      <c r="I212" s="465">
        <f>VIN_min-F212*(Rdcr_pri+RON/1000)/CG212/Nps</f>
        <v>19.592502314326712</v>
      </c>
      <c r="J212" s="149">
        <f>(T212+Vfwd1+F212/CG212*Rdcr_sec)*Nps</f>
        <v>29.810835163374932</v>
      </c>
      <c r="K212" s="149">
        <f>(Vout+Vfwd1+F212/CG212*Rdcr_sec)*Nps++I212</f>
        <v>50.211924145073866</v>
      </c>
      <c r="L212" s="379"/>
      <c r="M212" s="188">
        <f>(Vout+Vfwd1+F212/FL212*Rdcr_sec)*Nps/((Vout+Vfwd1+F212/FL212*Rdcr_sec)*Nps+I212)</f>
        <v>0.6097760735875809</v>
      </c>
      <c r="N212" s="149">
        <f>M212*I212*(Isw_max+VIN_min/Lmag*ILIM_delay)*0.5*Efficiency</f>
        <v>181.77832140511308</v>
      </c>
      <c r="O212" s="149">
        <f>T212*F212</f>
        <v>178.6029296728604</v>
      </c>
      <c r="P212" s="188">
        <f>N212/Vout</f>
        <v>6.0592773801704363</v>
      </c>
      <c r="Q212" s="188">
        <f>MIN(Vout,N212/F212)</f>
        <v>29.710409144840831</v>
      </c>
      <c r="R212" s="188"/>
      <c r="S212" s="149">
        <f>(SQRT(Isw_max^2*Nps^2*I212^2+4*Isw_max*F212/Efficiency*(Nps^2*Vfwd1*I212-Nps*I212^2)+4*(F212/Efficiency)^2*Nps^2*Vfwd1^2+8*(F212/Efficiency)^2*Nps*Vfwd1*I212+4*(F212/Efficiency)^2*I212^2)-2*F212/Efficiency*I212-2*F212/Efficiency*Nps*Vfwd1+Isw_max*Nps*I212)/(4*F212/Efficiency*Nps)</f>
        <v>29.191413332627778</v>
      </c>
      <c r="T212" s="149">
        <f>MIN(Vout, S212)</f>
        <v>29.191413332627778</v>
      </c>
      <c r="U212" s="188">
        <f>MIN(2*(Vout+Vfwd1+F212/FL212*Rdcr_sec)*F212/(I212*M212), Isw_max)</f>
        <v>30.303030303030305</v>
      </c>
      <c r="V212" s="188">
        <f>L*U212/I212*1000000</f>
        <v>7.2693237514687912</v>
      </c>
      <c r="W212" s="188">
        <f>L*U212/J212*1000000</f>
        <v>4.7775998774842225</v>
      </c>
      <c r="X212" s="172">
        <f>IF(1/((350000*L)*(1/I212+1/J212))&gt;Isw_min, 350, 0.001/((Isw_min*L)*(1/I212+1/J212)))</f>
        <v>350</v>
      </c>
      <c r="Y212" s="379">
        <f>MIN(1/(V212+W212+0.2)*1000, 350)</f>
        <v>81.65315880927804</v>
      </c>
      <c r="AA212" s="188">
        <f>1/((X212*1000*L)*(1/I212+1/J212))</f>
        <v>7.1869042459938939</v>
      </c>
      <c r="AB212" s="150">
        <f>L*AA212/J212*1000000</f>
        <v>1.1330930438899918</v>
      </c>
      <c r="AC212" s="150">
        <f>0.5*AB212*AA212*Nps*X212/1000</f>
        <v>1.4251004614418472</v>
      </c>
      <c r="AD212" s="150"/>
      <c r="AE212" s="150">
        <f>L*Isw_min/J212*1000000</f>
        <v>0.95551997549684442</v>
      </c>
      <c r="AF212" s="314">
        <f>MAX(12000,F212/(0.5*AE212/1000000*Isw_min*Nps))/1000</f>
        <v>2113.0395479819135</v>
      </c>
      <c r="AG212" s="456">
        <f>0.5*AE212/1000000*Isw_min*Nps*X212*1000</f>
        <v>1.0134302770421078</v>
      </c>
      <c r="AI212" s="150">
        <f>SQRT(F212/(0.5*L/J212*Fsw_DCM*Nps))</f>
        <v>14.89141086632161</v>
      </c>
      <c r="AJ212" s="150">
        <f>MAX(IF(F212&gt;AC212,U212,AI212),Isw_min)</f>
        <v>30.303030303030305</v>
      </c>
      <c r="AK212" s="150">
        <f>IF(F212&gt;AG212, (AJ212-Isw_min)/1.08*0.8+1.2, AF212*0.2/350+1)</f>
        <v>19.157351290684623</v>
      </c>
      <c r="AM212" s="314">
        <f>F212*1000</f>
        <v>6118.337870034974</v>
      </c>
      <c r="AN212" s="144">
        <f>IF(F212&gt;AG212, Y212, AF212)</f>
        <v>81.65315880927804</v>
      </c>
      <c r="AP212" t="str">
        <f>IF(H212&gt;N212, "",AM212)</f>
        <v/>
      </c>
      <c r="AQ212" t="str">
        <f>IF(H212&gt;N212, "",AN212)</f>
        <v/>
      </c>
      <c r="AS212" s="5">
        <f>1/AN212*1000</f>
        <v>12.246923628953011</v>
      </c>
      <c r="AT212" s="5">
        <f>L*AJ212/I212*1000000</f>
        <v>7.2693237514687912</v>
      </c>
      <c r="AU212" s="5">
        <f>AS212-AT212</f>
        <v>4.9775998774842201</v>
      </c>
      <c r="AV212" s="5"/>
      <c r="AW212" s="150">
        <f>AT212/AS212</f>
        <v>0.59356324671473804</v>
      </c>
      <c r="AX212" s="150">
        <f>0.5*L*AJ212^2*AN212*1000</f>
        <v>176.20286795390581</v>
      </c>
      <c r="AY212" s="150">
        <f>AJ212*Nps/2*(1-AW212)</f>
        <v>6.1581326255342725</v>
      </c>
      <c r="AZ212" s="150">
        <f>AX212/AY212</f>
        <v>28.613035585380665</v>
      </c>
      <c r="BA212" s="144">
        <f>F212*AT212/Vout_ripple*1000</f>
        <v>148.25392932718736</v>
      </c>
      <c r="BB212" s="5">
        <f>H212/Efficiency/I212*AU212/Vinripple1</f>
        <v>27.430635283517134</v>
      </c>
      <c r="BD212" s="150">
        <f>AJ212*SQRT(AW212/3)</f>
        <v>13.479039115395475</v>
      </c>
      <c r="BE212" s="150">
        <f>AJ212*Nps*SQRT((1-AW212)/3)</f>
        <v>11.153776029119605</v>
      </c>
      <c r="BG212" s="456">
        <f>Rdson*BD212^2</f>
        <v>2.1802139456923348</v>
      </c>
      <c r="BH212" s="456">
        <f>0.5*K212*AJ212*AN212*1000*Tfall</f>
        <v>2.2674033469137211</v>
      </c>
      <c r="BI212" s="456">
        <f>Qg*Vdd*AN212*1000</f>
        <v>9.3901132630669747E-3</v>
      </c>
      <c r="BJ212" s="456">
        <f>0.5*(Coss+Csw)*K212^2*AN212*1000</f>
        <v>0.10653616825877149</v>
      </c>
      <c r="BK212">
        <f>I212*IQ</f>
        <v>8.8166260414470204E-3</v>
      </c>
      <c r="BL212" s="144">
        <f>(BK212+BI212)*1000</f>
        <v>18.206739304513995</v>
      </c>
      <c r="BM212" s="456">
        <f>(BH212+BI212*0+BJ212+BK212*0+BG212*(1+RdsonTC*(Ta-25)))/(1-BG212*RdsonTC*ThetaJA)</f>
        <v>10.670149756078484</v>
      </c>
      <c r="BN212" s="144">
        <f>BM212*1000</f>
        <v>10670.149756078483</v>
      </c>
      <c r="BO212" s="456">
        <f>Vfwd2*F212</f>
        <v>4.2828365090244818</v>
      </c>
      <c r="BR212" s="144">
        <f>SUM(BO212:BQ212)*1000</f>
        <v>4282.8365090244815</v>
      </c>
      <c r="BS212" s="456">
        <f>Rdcr_pri*BD212^2</f>
        <v>2.5435829366410574</v>
      </c>
      <c r="BT212" s="456">
        <f>Rdcr_sec*BE212^2</f>
        <v>1.7416940759086834</v>
      </c>
      <c r="BU212" s="456">
        <f>AJ212^2.5*AN212^2.5*k_core</f>
        <v>15.227115102305781</v>
      </c>
      <c r="BV212" s="456"/>
      <c r="BW212" s="456">
        <f>0.5*Lleak*0.000000001*AJ212^2*AN212*1000</f>
        <v>7.4979943810172678</v>
      </c>
      <c r="BX212" s="144">
        <f>SUM(BS212:BW212)*1000</f>
        <v>27010.38649587279</v>
      </c>
      <c r="BY212" s="150">
        <f>SUM(BG212:BK212,BO212:BQ212,BS212:BW212)</f>
        <v>35.865583205066613</v>
      </c>
      <c r="BZ212" s="5">
        <f>MIN(H212,O212)</f>
        <v>178.6029296728604</v>
      </c>
      <c r="CA212" s="150">
        <f>BZ212/(BZ212+BY212)</f>
        <v>0.83276993567125213</v>
      </c>
      <c r="CB212" s="5">
        <f>CA212*100</f>
        <v>83.276993567125217</v>
      </c>
      <c r="CE212" s="59">
        <f>IF(ABS(F212-Ioutmax_Vinmin)&lt;Iout/200, AN212, -50)</f>
        <v>81.65315880927804</v>
      </c>
      <c r="CF212">
        <f>IF(ABS(F212-Ioutmax_Vinmin)&lt;Iout/200, N212*CA212, -50)</f>
        <v>151.37952102296421</v>
      </c>
      <c r="CG212" s="150">
        <f>MIN(SQRT(2*DU212*1000*Ls1_*CL212)/CU212,1-EA212-0.00000005*DU212*1000)</f>
        <v>0.39037469466378621</v>
      </c>
      <c r="CI212" s="147">
        <v>100</v>
      </c>
      <c r="CJ212" s="188">
        <f>IF(PLOT_TYPE=1, CI212/100*Iout_max, min_I*EXP(CR212*rr/100))</f>
        <v>4</v>
      </c>
      <c r="CK212" s="188"/>
      <c r="CL212" s="188">
        <f>CJ212*Vout</f>
        <v>120</v>
      </c>
      <c r="CM212" s="465">
        <f t="shared" si="531"/>
        <v>20</v>
      </c>
      <c r="CN212" s="379">
        <f>(CX212+Vfwd1)*Nps</f>
        <v>30.4</v>
      </c>
      <c r="CO212" s="379">
        <f>(Vout+Vfwd1)*Nps+CM212</f>
        <v>50.4</v>
      </c>
      <c r="CP212" s="379"/>
      <c r="CQ212" s="188">
        <f>(Vout+Vfwd1)*Nps/((Vout+Vfwd1)*Nps+CM212)</f>
        <v>0.60317460317460314</v>
      </c>
      <c r="CR212" s="149">
        <f>CQ212*CM212*(Isw_max+VIN_min/Lmag*ILIM_delay)*0.5*Efficiency</f>
        <v>183.55019291189507</v>
      </c>
      <c r="CS212" s="149">
        <f>CX212*CJ212</f>
        <v>120</v>
      </c>
      <c r="CT212" s="188">
        <f>CR212/Vout</f>
        <v>6.1183397637298356</v>
      </c>
      <c r="CU212" s="188">
        <f>MIN(Vout,CR212/CJ212)</f>
        <v>30</v>
      </c>
      <c r="CV212" s="188"/>
      <c r="CW212" s="149">
        <f>(SQRT(Isw_max^2*Nps^2*CM212^2+4*Isw_max*CJ212/Efficiency*(Nps^2*Vfwd1*CM212-Nps*CM212^2)+4*(CJ212/Efficiency)^2*Nps^2*Vfwd1^2+8*(CJ212/Efficiency)^2*Nps*Vfwd1*CM212+4*(CJ212/Efficiency)^2*CM212^2)-2*CJ212/Efficiency*CM212-2*CJ212/Efficiency*Nps*Vfwd1+Isw_max*Nps*CM212)/(4*CJ212/Efficiency*Nps)</f>
        <v>55.899672498905041</v>
      </c>
      <c r="CX212" s="149">
        <f>MIN(Vout, CW212)</f>
        <v>30</v>
      </c>
      <c r="CY212" s="188">
        <f>MIN(2*Vout*CJ212/(Efficiency*CM212*CQ212), Isw_max)</f>
        <v>19.894736842105264</v>
      </c>
      <c r="CZ212" s="188">
        <f>L*CY212/CM212*1000000</f>
        <v>4.6752631578947375</v>
      </c>
      <c r="DA212" s="188">
        <f>L*CY212/CN212*1000000</f>
        <v>3.0758310249307481</v>
      </c>
      <c r="DB212" s="172">
        <f>IF(1/((350000*L)*(1/CM212+1/CN212))&gt;Isw_min, 350, 0.001/((Isw_min*L)*(1/CM212+1/CN212)))</f>
        <v>350</v>
      </c>
      <c r="DC212" s="379">
        <f>MIN(1/(CZ212+DA212)*1000, 350)</f>
        <v>129.01404323221274</v>
      </c>
      <c r="DE212" s="188">
        <f>1/((DB212*1000*L)*(1/CM212+1/CN212))</f>
        <v>7.3334298258310406</v>
      </c>
      <c r="DF212" s="150">
        <f>L*DE212/CN212*1000000</f>
        <v>1.1337868480725624</v>
      </c>
      <c r="DG212" s="150">
        <f>0.5*DF212*DE212*Nps*DB212/1000</f>
        <v>1.4550456003633017</v>
      </c>
      <c r="DH212" s="150"/>
      <c r="DI212" s="150">
        <f>L*Isw_min/CN212*1000000</f>
        <v>0.93700159489633172</v>
      </c>
      <c r="DJ212" s="314">
        <f>MAX(12000,CJ212/(0.5*DI212/1000000*Isw_min*Nps))/1000</f>
        <v>1408.7489361702128</v>
      </c>
      <c r="DK212" s="456">
        <f>0.5*DI212/1000000*Isw_min*Nps*DB212*1000</f>
        <v>0.99378957034459414</v>
      </c>
      <c r="DM212" s="150">
        <f>SQRT(CJ212/(0.5*L/CN212*Fsw_DCM*Nps))</f>
        <v>12.159027316720438</v>
      </c>
      <c r="DN212" s="150">
        <f>MAX(IF(CJ212&gt;DG212,CY212,DM212),Isw_min)</f>
        <v>19.894736842105264</v>
      </c>
      <c r="DO212" s="150">
        <f>IF(CJ212&gt;DK212, (DN212-Isw_min)/1.08*0.8+1.2, DJ212*0.2/350+1)</f>
        <v>11.447504282592002</v>
      </c>
      <c r="DQ212" s="314">
        <f>CJ212*1000</f>
        <v>4000</v>
      </c>
      <c r="DR212" s="144">
        <f>IF(CJ212&gt;DK212, DC212, DJ212)</f>
        <v>129.01404323221274</v>
      </c>
      <c r="DT212">
        <f>IF(CL212&gt;CR212, " ",DQ212)</f>
        <v>4000</v>
      </c>
      <c r="DU212">
        <f>IF(CL212&gt;CR212, " ",DR212)</f>
        <v>129.01404323221274</v>
      </c>
      <c r="DW212" s="5">
        <f>1/DR212*1000</f>
        <v>7.7510941828254865</v>
      </c>
      <c r="DX212" s="5">
        <f>L*DN212/CM212*1000000</f>
        <v>4.6752631578947375</v>
      </c>
      <c r="DY212" s="5">
        <f>DW212-DX212</f>
        <v>3.075831024930749</v>
      </c>
      <c r="DZ212" s="5"/>
      <c r="EA212" s="150">
        <f>DX212/DW212</f>
        <v>0.60317460317460314</v>
      </c>
      <c r="EB212" s="150">
        <f>0.5*L*DN212^2*DR212*1000</f>
        <v>119.99999999999999</v>
      </c>
      <c r="EC212" s="150">
        <f>DN212*Nps/2*(1-EA212)</f>
        <v>3.9473684210526319</v>
      </c>
      <c r="ED212" s="150">
        <f>EB212/EC212</f>
        <v>30.399999999999995</v>
      </c>
      <c r="EE212" s="144">
        <f>CJ212*DX212/Vout_ripple*1000</f>
        <v>62.336842105263166</v>
      </c>
      <c r="EF212" s="5">
        <f>CL212/Efficiency/CM212*DY212/Vinripple1</f>
        <v>10.855874205637935</v>
      </c>
      <c r="EH212" s="150">
        <f>DN212*SQRT(EA212/3)</f>
        <v>8.9207033001003371</v>
      </c>
      <c r="EI212" s="150">
        <f>DN212*Nps*SQRT((1-EA212)/3)</f>
        <v>7.2356458341408008</v>
      </c>
      <c r="EK212" s="456">
        <f>Rdson*EH212^2</f>
        <v>0.95494736842105254</v>
      </c>
      <c r="EL212" s="456">
        <f>0.5*CO212*DN212*DR212*1000*Trise</f>
        <v>2.4578723404255314</v>
      </c>
      <c r="EM212" s="456">
        <f>Qg*Vdd*DR212*1000</f>
        <v>1.4836614971704467E-2</v>
      </c>
      <c r="EN212" s="456">
        <f>0.5*(Coss+Csw)*CO212^2*DR212*1000</f>
        <v>0.16959319148936167</v>
      </c>
      <c r="EO212">
        <f>CM212*IQ</f>
        <v>8.9999999999999993E-3</v>
      </c>
      <c r="EP212" s="144">
        <f>(EO212+EM212)*1000</f>
        <v>23.836614971704467</v>
      </c>
      <c r="EQ212" s="144"/>
      <c r="ER212" s="144">
        <f>SUM(EK212:EO212)*1000</f>
        <v>3606.2495153076497</v>
      </c>
      <c r="ES212" s="456">
        <f>Vfwd2*CJ212</f>
        <v>2.8</v>
      </c>
      <c r="EV212" s="144">
        <f>SUM(ES212:EU212)*1000</f>
        <v>2800</v>
      </c>
      <c r="EW212" s="456">
        <f>Rdcr_pri*EH212^2</f>
        <v>1.1141052631578945</v>
      </c>
      <c r="EX212" s="456">
        <f>Rdcr_sec*EI212^2</f>
        <v>0.73296398891966774</v>
      </c>
      <c r="EY212" s="456">
        <f>DN212^2.5*DR212^2.5*k_core</f>
        <v>16.688141232989647</v>
      </c>
      <c r="EZ212" s="456"/>
      <c r="FA212" s="456">
        <f>0.5*Lleak*0.000000001*DN212^2*DR212*1000</f>
        <v>5.1063829787234036</v>
      </c>
      <c r="FB212" s="144">
        <f>SUM(EW212:FA212)*1000</f>
        <v>23641.593463790614</v>
      </c>
      <c r="FC212" s="150">
        <f>SUM(EK212:EO212,ES212:EU212,EW212:FA212)</f>
        <v>30.047842979098263</v>
      </c>
      <c r="FD212" s="5">
        <f>MIN(CL212,CS212)</f>
        <v>120</v>
      </c>
      <c r="FE212" s="150">
        <f>FD212/(FD212+FC212)</f>
        <v>0.79974491880377141</v>
      </c>
      <c r="FF212" s="5">
        <f>FE212*100</f>
        <v>79.974491880377144</v>
      </c>
      <c r="FI212" s="59">
        <f>IF(ABS(CJ212-Ioutmax_Vinmin)&lt;Iout/200, DR212, -50)</f>
        <v>-50</v>
      </c>
      <c r="FJ212">
        <f>IF(ABS(CJ212-Ioutmax_Vinmin)&lt;Iout/200, CR212*FE212, -50)</f>
        <v>-50</v>
      </c>
      <c r="FL212">
        <f>MIN(SQRT(2*L*DR212*1000*CJ212*(CX212+Vfwd1))/(Nps*(CX212+Vfwd1)), 1-EA212)</f>
        <v>0.39682539682539686</v>
      </c>
    </row>
    <row r="213" spans="5:168">
      <c r="H213" s="188"/>
      <c r="I213" s="465"/>
      <c r="J213" s="379"/>
      <c r="K213" s="379"/>
      <c r="L213" s="379"/>
      <c r="M213" s="188"/>
      <c r="N213" s="149"/>
      <c r="O213" s="149"/>
      <c r="P213" s="188"/>
      <c r="Q213" s="188"/>
      <c r="R213" s="188"/>
      <c r="S213" s="149"/>
      <c r="T213" s="149"/>
      <c r="U213" s="188"/>
      <c r="V213" s="188"/>
      <c r="W213" s="188"/>
      <c r="X213" s="172"/>
      <c r="Y213" s="379"/>
      <c r="AA213" s="188"/>
      <c r="AB213" s="150"/>
      <c r="AC213" s="150"/>
      <c r="AD213" s="150"/>
      <c r="AE213" s="150"/>
      <c r="AF213" s="314"/>
      <c r="AI213" s="150"/>
      <c r="AJ213" s="150"/>
      <c r="AK213" s="150"/>
      <c r="AM213" s="314"/>
      <c r="AN213" s="144"/>
      <c r="AS213" s="5"/>
      <c r="AT213" s="5"/>
      <c r="AU213" s="5"/>
      <c r="AV213" s="5"/>
      <c r="AW213" s="150"/>
      <c r="AX213" s="150"/>
      <c r="BA213" s="144"/>
      <c r="BB213" s="5"/>
      <c r="CE213" s="59"/>
      <c r="CL213" s="188"/>
      <c r="CM213" s="465"/>
      <c r="CN213" s="379"/>
      <c r="CO213" s="379"/>
      <c r="CP213" s="379"/>
      <c r="CQ213" s="188"/>
      <c r="CR213" s="149"/>
      <c r="CS213" s="149"/>
      <c r="CT213" s="188"/>
      <c r="CU213" s="188"/>
      <c r="CV213" s="188"/>
      <c r="CW213" s="149"/>
      <c r="CX213" s="149"/>
      <c r="CY213" s="188"/>
      <c r="CZ213" s="188"/>
      <c r="DA213" s="188"/>
      <c r="DB213" s="172"/>
      <c r="DC213" s="379"/>
      <c r="DE213" s="188"/>
      <c r="DF213" s="150"/>
      <c r="DG213" s="150"/>
      <c r="DH213" s="150"/>
      <c r="DI213" s="150"/>
      <c r="DJ213" s="314"/>
      <c r="DM213" s="150"/>
      <c r="DN213" s="150"/>
      <c r="DO213" s="150"/>
      <c r="DQ213" s="314"/>
      <c r="DR213" s="144"/>
      <c r="DW213" s="5"/>
      <c r="DX213" s="5"/>
      <c r="DY213" s="5"/>
      <c r="DZ213" s="5"/>
      <c r="EA213" s="150"/>
      <c r="EB213" s="150"/>
      <c r="EE213" s="144"/>
      <c r="EF213" s="5"/>
      <c r="FI213" s="59"/>
    </row>
    <row r="214" spans="5:168">
      <c r="E214" s="159" t="s">
        <v>435</v>
      </c>
      <c r="H214" s="188"/>
      <c r="I214" s="465"/>
      <c r="J214" s="379"/>
      <c r="K214" s="379"/>
      <c r="L214" s="379"/>
      <c r="M214" s="188"/>
      <c r="N214" s="149"/>
      <c r="O214" s="149"/>
      <c r="P214" s="188"/>
      <c r="Q214" s="188"/>
      <c r="R214" s="188"/>
      <c r="S214" s="149"/>
      <c r="T214" s="149"/>
      <c r="U214" s="188"/>
      <c r="V214" s="188"/>
      <c r="W214" s="188"/>
      <c r="X214" s="172"/>
      <c r="Y214" s="379"/>
      <c r="AA214" s="188"/>
      <c r="AB214" s="150"/>
      <c r="AC214" s="150"/>
      <c r="AD214" s="150"/>
      <c r="AE214" s="150"/>
      <c r="AF214" s="314"/>
      <c r="AI214" s="150"/>
      <c r="AJ214" s="150"/>
      <c r="AK214" s="150"/>
      <c r="AM214" s="314"/>
      <c r="AN214" s="144"/>
      <c r="AS214" s="5"/>
      <c r="AT214" s="5"/>
      <c r="AU214" s="5"/>
      <c r="AV214" s="5"/>
      <c r="AW214" s="150"/>
      <c r="AX214" s="150"/>
      <c r="BA214" s="144"/>
      <c r="BB214" s="5"/>
      <c r="CE214" s="59"/>
      <c r="CI214" s="159" t="s">
        <v>435</v>
      </c>
      <c r="CL214" s="188"/>
      <c r="CM214" s="465"/>
      <c r="CN214" s="379"/>
      <c r="CO214" s="379"/>
      <c r="CP214" s="379"/>
      <c r="CQ214" s="188"/>
      <c r="CR214" s="149"/>
      <c r="CS214" s="149"/>
      <c r="CT214" s="188"/>
      <c r="CU214" s="188"/>
      <c r="CV214" s="188"/>
      <c r="CW214" s="149"/>
      <c r="CX214" s="149"/>
      <c r="CY214" s="188"/>
      <c r="CZ214" s="188"/>
      <c r="DA214" s="188"/>
      <c r="DB214" s="172"/>
      <c r="DC214" s="379"/>
      <c r="DE214" s="188"/>
      <c r="DF214" s="150"/>
      <c r="DG214" s="150"/>
      <c r="DH214" s="150"/>
      <c r="DI214" s="150"/>
      <c r="DJ214" s="314"/>
      <c r="DM214" s="150"/>
      <c r="DN214" s="150"/>
      <c r="DO214" s="150"/>
      <c r="DQ214" s="314"/>
      <c r="DR214" s="144"/>
      <c r="DW214" s="5"/>
      <c r="DX214" s="5"/>
      <c r="DY214" s="5"/>
      <c r="DZ214" s="5"/>
      <c r="EA214" s="150"/>
      <c r="EB214" s="150"/>
      <c r="EE214" s="144"/>
      <c r="EF214" s="5"/>
      <c r="FI214" s="59"/>
    </row>
    <row r="215" spans="5:168" ht="45" customHeight="1" thickBot="1">
      <c r="E215" s="211" t="s">
        <v>25</v>
      </c>
      <c r="F215" s="380" t="s">
        <v>194</v>
      </c>
      <c r="G215" s="230"/>
      <c r="H215" s="455" t="s">
        <v>223</v>
      </c>
      <c r="I215" s="212" t="s">
        <v>412</v>
      </c>
      <c r="J215" s="213" t="s">
        <v>418</v>
      </c>
      <c r="K215" s="455" t="s">
        <v>413</v>
      </c>
      <c r="L215" s="455"/>
      <c r="M215" s="214" t="s">
        <v>48</v>
      </c>
      <c r="N215" s="455" t="s">
        <v>402</v>
      </c>
      <c r="O215" s="455" t="s">
        <v>656</v>
      </c>
      <c r="P215" s="455" t="s">
        <v>403</v>
      </c>
      <c r="Q215" s="455" t="s">
        <v>433</v>
      </c>
      <c r="R215" s="455" t="s">
        <v>654</v>
      </c>
      <c r="S215" s="455" t="s">
        <v>657</v>
      </c>
      <c r="T215" s="455" t="s">
        <v>655</v>
      </c>
      <c r="U215" s="455" t="s">
        <v>414</v>
      </c>
      <c r="V215" s="455" t="s">
        <v>466</v>
      </c>
      <c r="W215" s="455" t="s">
        <v>465</v>
      </c>
      <c r="X215" s="469" t="s">
        <v>420</v>
      </c>
      <c r="Y215" s="466" t="s">
        <v>425</v>
      </c>
      <c r="AA215" s="215" t="s">
        <v>417</v>
      </c>
      <c r="AB215" s="215" t="s">
        <v>464</v>
      </c>
      <c r="AC215" s="215" t="s">
        <v>423</v>
      </c>
      <c r="AD215" s="468"/>
      <c r="AE215" s="215" t="s">
        <v>463</v>
      </c>
      <c r="AF215" s="215" t="s">
        <v>681</v>
      </c>
      <c r="AG215" s="215" t="s">
        <v>427</v>
      </c>
      <c r="AH215" s="468"/>
      <c r="AI215" s="215" t="s">
        <v>429</v>
      </c>
      <c r="AJ215" s="470" t="s">
        <v>430</v>
      </c>
      <c r="AK215" s="470" t="s">
        <v>431</v>
      </c>
      <c r="AM215" s="467" t="s">
        <v>275</v>
      </c>
      <c r="AN215" s="467" t="s">
        <v>432</v>
      </c>
      <c r="AP215" s="215" t="s">
        <v>275</v>
      </c>
      <c r="AQ215" s="215" t="s">
        <v>432</v>
      </c>
      <c r="AR215" s="471"/>
      <c r="AS215" s="215" t="s">
        <v>467</v>
      </c>
      <c r="AT215" s="215" t="s">
        <v>461</v>
      </c>
      <c r="AU215" s="215" t="s">
        <v>462</v>
      </c>
      <c r="AV215" s="215" t="s">
        <v>653</v>
      </c>
      <c r="AW215" s="215" t="s">
        <v>48</v>
      </c>
      <c r="AX215" s="471" t="s">
        <v>651</v>
      </c>
      <c r="AY215" s="468" t="s">
        <v>650</v>
      </c>
      <c r="AZ215" s="468" t="s">
        <v>652</v>
      </c>
      <c r="BA215" s="215" t="s">
        <v>481</v>
      </c>
      <c r="BB215" s="215" t="s">
        <v>514</v>
      </c>
      <c r="BC215" s="468"/>
      <c r="BD215" s="479" t="s">
        <v>456</v>
      </c>
      <c r="BE215" s="215" t="s">
        <v>457</v>
      </c>
      <c r="BF215" s="468"/>
      <c r="BG215" s="479" t="s">
        <v>474</v>
      </c>
      <c r="BH215" s="215" t="s">
        <v>475</v>
      </c>
      <c r="BI215" s="215" t="s">
        <v>473</v>
      </c>
      <c r="BJ215" s="215" t="s">
        <v>469</v>
      </c>
      <c r="BK215" s="215" t="s">
        <v>478</v>
      </c>
      <c r="BL215" s="215" t="s">
        <v>777</v>
      </c>
      <c r="BM215" s="215" t="s">
        <v>776</v>
      </c>
      <c r="BN215" s="215" t="s">
        <v>491</v>
      </c>
      <c r="BO215" s="479" t="s">
        <v>476</v>
      </c>
      <c r="BP215" s="215" t="s">
        <v>477</v>
      </c>
      <c r="BQ215" s="215" t="s">
        <v>483</v>
      </c>
      <c r="BR215" s="215" t="s">
        <v>487</v>
      </c>
      <c r="BS215" s="479" t="s">
        <v>458</v>
      </c>
      <c r="BT215" s="215" t="s">
        <v>459</v>
      </c>
      <c r="BU215" s="215" t="s">
        <v>468</v>
      </c>
      <c r="BV215" s="215" t="s">
        <v>666</v>
      </c>
      <c r="BW215" s="215" t="s">
        <v>484</v>
      </c>
      <c r="BX215" s="215" t="s">
        <v>667</v>
      </c>
      <c r="BY215" s="479" t="s">
        <v>482</v>
      </c>
      <c r="BZ215" s="215" t="s">
        <v>223</v>
      </c>
      <c r="CA215" s="215" t="s">
        <v>47</v>
      </c>
      <c r="CB215" s="215" t="s">
        <v>485</v>
      </c>
      <c r="CC215" s="215"/>
      <c r="CE215" s="490" t="s">
        <v>664</v>
      </c>
      <c r="CF215" s="490" t="s">
        <v>665</v>
      </c>
      <c r="CG215" s="667" t="s">
        <v>828</v>
      </c>
      <c r="CI215" s="211" t="s">
        <v>25</v>
      </c>
      <c r="CJ215" s="380" t="s">
        <v>194</v>
      </c>
      <c r="CK215" s="230"/>
      <c r="CL215" s="455" t="s">
        <v>223</v>
      </c>
      <c r="CM215" s="212" t="s">
        <v>412</v>
      </c>
      <c r="CN215" s="213" t="s">
        <v>418</v>
      </c>
      <c r="CO215" s="455" t="s">
        <v>413</v>
      </c>
      <c r="CP215" s="455"/>
      <c r="CQ215" s="214" t="s">
        <v>48</v>
      </c>
      <c r="CR215" s="455" t="s">
        <v>402</v>
      </c>
      <c r="CS215" s="455" t="s">
        <v>656</v>
      </c>
      <c r="CT215" s="455" t="s">
        <v>403</v>
      </c>
      <c r="CU215" s="455" t="s">
        <v>433</v>
      </c>
      <c r="CV215" s="455" t="s">
        <v>654</v>
      </c>
      <c r="CW215" s="455" t="s">
        <v>657</v>
      </c>
      <c r="CX215" s="455" t="s">
        <v>655</v>
      </c>
      <c r="CY215" s="455" t="s">
        <v>414</v>
      </c>
      <c r="CZ215" s="455" t="s">
        <v>466</v>
      </c>
      <c r="DA215" s="455" t="s">
        <v>465</v>
      </c>
      <c r="DB215" s="469" t="s">
        <v>420</v>
      </c>
      <c r="DC215" s="466" t="s">
        <v>425</v>
      </c>
      <c r="DE215" s="215" t="s">
        <v>417</v>
      </c>
      <c r="DF215" s="215" t="s">
        <v>464</v>
      </c>
      <c r="DG215" s="215" t="s">
        <v>423</v>
      </c>
      <c r="DH215" s="468"/>
      <c r="DI215" s="215" t="s">
        <v>463</v>
      </c>
      <c r="DJ215" s="215" t="s">
        <v>681</v>
      </c>
      <c r="DK215" s="215" t="s">
        <v>427</v>
      </c>
      <c r="DL215" s="468"/>
      <c r="DM215" s="215" t="s">
        <v>429</v>
      </c>
      <c r="DN215" s="470" t="s">
        <v>430</v>
      </c>
      <c r="DO215" s="470" t="s">
        <v>431</v>
      </c>
      <c r="DQ215" s="467" t="s">
        <v>275</v>
      </c>
      <c r="DR215" s="467" t="s">
        <v>432</v>
      </c>
      <c r="DT215" s="215" t="s">
        <v>275</v>
      </c>
      <c r="DU215" s="215" t="s">
        <v>432</v>
      </c>
      <c r="DV215" s="471"/>
      <c r="DW215" s="215" t="s">
        <v>467</v>
      </c>
      <c r="DX215" s="215" t="s">
        <v>461</v>
      </c>
      <c r="DY215" s="215" t="s">
        <v>462</v>
      </c>
      <c r="DZ215" s="215" t="s">
        <v>653</v>
      </c>
      <c r="EA215" s="215" t="s">
        <v>48</v>
      </c>
      <c r="EB215" s="471" t="s">
        <v>651</v>
      </c>
      <c r="EC215" s="468" t="s">
        <v>650</v>
      </c>
      <c r="ED215" s="468" t="s">
        <v>652</v>
      </c>
      <c r="EE215" s="215" t="s">
        <v>481</v>
      </c>
      <c r="EF215" s="215" t="s">
        <v>514</v>
      </c>
      <c r="EG215" s="468"/>
      <c r="EH215" s="479" t="s">
        <v>456</v>
      </c>
      <c r="EI215" s="215" t="s">
        <v>457</v>
      </c>
      <c r="EJ215" s="468"/>
      <c r="EK215" s="479" t="s">
        <v>474</v>
      </c>
      <c r="EL215" s="215" t="s">
        <v>475</v>
      </c>
      <c r="EM215" s="215" t="s">
        <v>473</v>
      </c>
      <c r="EN215" s="215" t="s">
        <v>469</v>
      </c>
      <c r="EO215" s="215" t="s">
        <v>478</v>
      </c>
      <c r="EP215" s="215" t="s">
        <v>777</v>
      </c>
      <c r="EQ215" s="215" t="s">
        <v>776</v>
      </c>
      <c r="ER215" s="215" t="s">
        <v>491</v>
      </c>
      <c r="ES215" s="479" t="s">
        <v>476</v>
      </c>
      <c r="ET215" s="215" t="s">
        <v>477</v>
      </c>
      <c r="EU215" s="215" t="s">
        <v>483</v>
      </c>
      <c r="EV215" s="215" t="s">
        <v>487</v>
      </c>
      <c r="EW215" s="479" t="s">
        <v>458</v>
      </c>
      <c r="EX215" s="215" t="s">
        <v>459</v>
      </c>
      <c r="EY215" s="215" t="s">
        <v>468</v>
      </c>
      <c r="EZ215" s="215" t="s">
        <v>666</v>
      </c>
      <c r="FA215" s="215" t="s">
        <v>484</v>
      </c>
      <c r="FB215" s="215" t="s">
        <v>667</v>
      </c>
      <c r="FC215" s="479" t="s">
        <v>482</v>
      </c>
      <c r="FD215" s="215" t="s">
        <v>223</v>
      </c>
      <c r="FE215" s="215" t="s">
        <v>47</v>
      </c>
      <c r="FF215" s="215" t="s">
        <v>485</v>
      </c>
      <c r="FG215" s="215"/>
      <c r="FI215" s="490" t="s">
        <v>664</v>
      </c>
      <c r="FJ215" s="490" t="s">
        <v>665</v>
      </c>
      <c r="FL215" t="s">
        <v>825</v>
      </c>
    </row>
    <row r="216" spans="5:168">
      <c r="E216" s="147">
        <v>0.1</v>
      </c>
      <c r="F216" s="188">
        <v>1.0000000000000001E-9</v>
      </c>
      <c r="G216" s="188"/>
      <c r="H216" s="188">
        <f t="shared" ref="H216:H247" si="602">F216*Vout</f>
        <v>3.0000000000000004E-8</v>
      </c>
      <c r="I216" s="465">
        <f t="shared" ref="I216:I247" si="603">VIN_max-F216*(Rdcr_pri+RON/1000)/CG216/Nps</f>
        <v>47.9999865915238</v>
      </c>
      <c r="J216" s="149">
        <f t="shared" ref="J216:J247" si="604">(T216+Vfwd1+F216/CG216*Rdcr_sec)*Nps</f>
        <v>30.400007219948723</v>
      </c>
      <c r="K216" s="149">
        <f t="shared" ref="K216:K247" si="605">(Vout+Vfwd1+F216/CG216*Rdcr_sec)*Nps+I216</f>
        <v>78.399993811472527</v>
      </c>
      <c r="L216" s="379"/>
      <c r="M216" s="188">
        <f t="shared" ref="M216:M247" si="606">(Vout+Vfwd1+F216/FL216*Rdcr_sec)*Nps/((Vout+Vfwd1+F216/FL216*Rdcr_sec)*Nps+I216)</f>
        <v>0.38775522511421145</v>
      </c>
      <c r="N216" s="149">
        <f t="shared" ref="N216:N247" si="607">M216*I216*(Isw_max+VIN_max/Lmag*ILIM_delay)*0.5*Efficiency</f>
        <v>284.85495893199487</v>
      </c>
      <c r="O216" s="149">
        <f t="shared" si="598"/>
        <v>3.0000000000000004E-8</v>
      </c>
      <c r="P216" s="188">
        <f t="shared" ref="P216:P247" si="608">N216/Vout</f>
        <v>9.4951652977331626</v>
      </c>
      <c r="Q216" s="188">
        <f t="shared" ref="Q216:Q247" si="609">MIN(Vout,N216/F216)</f>
        <v>30</v>
      </c>
      <c r="R216" s="188"/>
      <c r="S216" s="149">
        <f t="shared" ref="S216:S247" si="610">(SQRT(Isw_max^2*Nps^2*I216^2+4*Isw_max*F216/Efficiency*(Nps^2*Vfwd1*I216-Nps*I216^2)+4*(F216/Efficiency)^2*Nps^2*Vfwd1^2+8*(F216/Efficiency)^2*Nps*Vfwd1*I216+4*(F216/Efficiency)^2*I216^2)-2*F216/Efficiency*I216-2*F216/Efficiency*Nps*Vfwd1+Isw_max*Nps*I216)/(4*F216/Efficiency*Nps)</f>
        <v>727272524065.99695</v>
      </c>
      <c r="T216" s="149">
        <f t="shared" ref="T216:T247" si="611">MIN(Vout, S216)</f>
        <v>30</v>
      </c>
      <c r="U216" s="188">
        <f t="shared" ref="U216:U247" si="612">MIN(2*Vout*F216/(Efficiency*I216*M216), Isw_max)</f>
        <v>3.2236840878442933E-9</v>
      </c>
      <c r="V216" s="188">
        <f t="shared" ref="V216:V247" si="613">L*U216/I216*1000000</f>
        <v>3.156524884434803E-10</v>
      </c>
      <c r="W216" s="188">
        <f t="shared" ref="W216:W247" si="614">L*U216/J216*1000000</f>
        <v>4.9839840837030345E-10</v>
      </c>
      <c r="X216" s="172">
        <f t="shared" ref="X216:X247" si="615">IF(1/((350000*L)*(1/I216+1/J216))&gt;Isw_min, 350, 0.001/((Isw_min*L)*(1/I216+1/J216)))</f>
        <v>350</v>
      </c>
      <c r="Y216" s="379">
        <f>MIN(1/(V216+W216+0.2)*1000, 350)</f>
        <v>350</v>
      </c>
      <c r="AA216" s="188">
        <f t="shared" ref="AA216:AA247" si="616">1/((X216*1000*L)*(1/I216+1/J216))</f>
        <v>11.314435008080753</v>
      </c>
      <c r="AB216" s="150">
        <f t="shared" ref="AB216:AB247" si="617">L*AA216/J216*1000000</f>
        <v>1.7492707864583605</v>
      </c>
      <c r="AC216" s="150">
        <f t="shared" ref="AC216:AC247" si="618">0.5*AB216*AA216*Nps*X216/1000</f>
        <v>3.46360185936055</v>
      </c>
      <c r="AD216" s="150"/>
      <c r="AE216" s="150">
        <f t="shared" ref="AE216:AE247" si="619">L*Isw_min/J216*1000000</f>
        <v>0.93700137236008618</v>
      </c>
      <c r="AF216" s="314">
        <f t="shared" ref="AF216:AF247" si="620">MAX(12000,F216/(0.5*AE216/1000000*Isw_min*Nps))/1000</f>
        <v>12</v>
      </c>
      <c r="AG216" s="456">
        <f t="shared" ref="AG216:AG247" si="621">0.5*AE216/1000000*Isw_min*Nps*X216*1000</f>
        <v>0.99378933432130367</v>
      </c>
      <c r="AI216" s="150">
        <f t="shared" ref="AI216:AI247" si="622">SQRT(F216/(0.5*L/J216*Fsw_DCM*Nps))</f>
        <v>1.9225112509486548E-4</v>
      </c>
      <c r="AJ216" s="150">
        <f t="shared" ref="AJ216:AJ247" si="623">MAX(IF(F216&gt;AC216,U216,AI216),Isw_min)</f>
        <v>6.0606060606060606</v>
      </c>
      <c r="AK216" s="150">
        <f t="shared" ref="AK216:AK247" si="624">IF(F216&gt;AG216, (AJ216-Isw_min)/1.08*0.8+1.2, AF216*0.2/350+1)</f>
        <v>1.0068571428571429</v>
      </c>
      <c r="AM216" s="314">
        <f t="shared" ref="AM216:AM247" si="625">F216*1000</f>
        <v>1.0000000000000002E-6</v>
      </c>
      <c r="AN216" s="144">
        <f t="shared" ref="AN216:AN247" si="626">IF(F216&gt;AG216, Y216, AF216)</f>
        <v>12</v>
      </c>
      <c r="AP216">
        <f t="shared" ref="AP216:AP247" si="627">IF(H216&gt;N216, "",AM216)</f>
        <v>1.0000000000000002E-6</v>
      </c>
      <c r="AQ216">
        <f t="shared" ref="AQ216:AQ247" si="628">IF(H216&gt;N216, "",AN216)</f>
        <v>12</v>
      </c>
      <c r="AS216" s="5">
        <f t="shared" si="599"/>
        <v>83.333333333333329</v>
      </c>
      <c r="AT216" s="5">
        <f t="shared" ref="AT216:AT247" si="629">L*AJ216/I216*1000000</f>
        <v>0.59343450920627039</v>
      </c>
      <c r="AU216" s="5">
        <f t="shared" si="477"/>
        <v>82.739898824127053</v>
      </c>
      <c r="AV216" s="5"/>
      <c r="AW216" s="150">
        <f t="shared" si="478"/>
        <v>7.1212141104752451E-3</v>
      </c>
      <c r="AX216" s="150">
        <f t="shared" ref="AX216:AX279" si="630">0.5*L*AJ216^2*AN216*1000</f>
        <v>1.0358126721763083</v>
      </c>
      <c r="AY216" s="150">
        <f t="shared" ref="AY216:AY279" si="631">AJ216*Nps/2*(1-AW216)</f>
        <v>3.0087235936046204</v>
      </c>
      <c r="AZ216" s="150">
        <f t="shared" ref="AZ216:AZ279" si="632">AX216/AY216</f>
        <v>0.34426980078131619</v>
      </c>
      <c r="BA216" s="144">
        <f t="shared" si="593"/>
        <v>1.978115030687568E-9</v>
      </c>
      <c r="BB216" s="5">
        <f t="shared" si="594"/>
        <v>3.0419088947414005E-8</v>
      </c>
      <c r="BD216" s="150">
        <f>AJ216*SQRT(AW216/3)</f>
        <v>0.29527892445262383</v>
      </c>
      <c r="BE216" s="150">
        <f>AJ216*Nps*SQRT((1-AW216)/3)</f>
        <v>3.4866113870144853</v>
      </c>
      <c r="BG216" s="456">
        <f>Rdson*BD216^2</f>
        <v>1.0462757187107798E-3</v>
      </c>
      <c r="BH216" s="456">
        <f t="shared" ref="BH216:BH247" si="633">0.5*K216*AJ216*AN216*1000*Tfall</f>
        <v>0.1040581736043181</v>
      </c>
      <c r="BI216" s="456">
        <f>Qg*Vdd*AN216*1000</f>
        <v>1.3800000000000002E-3</v>
      </c>
      <c r="BJ216" s="456">
        <f>0.5*(Coss+Csw)*K216^2*AN216*1000</f>
        <v>3.8170131574057756E-2</v>
      </c>
      <c r="BK216">
        <f>I216*IQ</f>
        <v>2.1599993966185709E-2</v>
      </c>
      <c r="BL216" s="144">
        <f>(BK216+BI216)*1000</f>
        <v>22.97999396618571</v>
      </c>
      <c r="BM216" s="456">
        <f t="shared" ref="BM216:BM247" si="634">(BH216+BI216*0+BJ216+BK216*0+BG216*(1+RdsonTC*(Ta-25)))/(1-BG216*RdsonTC*ThetaJA)</f>
        <v>0.14359277180214988</v>
      </c>
      <c r="BN216" s="144">
        <f>BM216*1000</f>
        <v>143.59277180214988</v>
      </c>
      <c r="BO216" s="456">
        <f t="shared" ref="BO216:BO279" si="635">Vfwd2*F216</f>
        <v>6.9999999999999996E-10</v>
      </c>
      <c r="BR216" s="144">
        <f>SUM(BO216:BQ216)*1000</f>
        <v>6.9999999999999997E-7</v>
      </c>
      <c r="BS216" s="456">
        <f>Rdcr_pri*BD216^2</f>
        <v>1.2206550051625765E-3</v>
      </c>
      <c r="BT216" s="456">
        <f>Rdcr_sec*BE216^2</f>
        <v>0.17019042549682703</v>
      </c>
      <c r="BU216" s="456">
        <f>AJ216^2.5*AN216^2.5*k_core</f>
        <v>2.2553464209519132E-3</v>
      </c>
      <c r="BV216" s="456"/>
      <c r="BW216" s="456">
        <f>0.5*Lleak*0.000000001*AJ216^2*AN216*1000</f>
        <v>4.4077134986225897E-2</v>
      </c>
      <c r="BX216" s="144">
        <f>SUM(BS216:BW216)*1000</f>
        <v>217.7435619091674</v>
      </c>
      <c r="BY216" s="150">
        <f>SUM(BG216:BK216,BO216:BQ216,BS216:BW216)</f>
        <v>0.38399813747243983</v>
      </c>
      <c r="BZ216" s="5">
        <f>MIN(H216,O216)</f>
        <v>3.0000000000000004E-8</v>
      </c>
      <c r="CA216" s="150">
        <f>BZ216/(BZ216+BY216)</f>
        <v>7.8125372830465796E-8</v>
      </c>
      <c r="CB216" s="5">
        <f>CA216*100</f>
        <v>7.8125372830465792E-6</v>
      </c>
      <c r="CE216" s="59">
        <f t="shared" ref="CE216:CE247" si="636">IF(ABS(F216-Ioutmax_Vinmax)&lt;Iout/200, AN216, -50)</f>
        <v>-50</v>
      </c>
      <c r="CF216">
        <f t="shared" ref="CF216:CF247" si="637">IF(ABS(F216-Ioutmax_Vinmin)&lt;Iout/200, N216*CA216, -50)</f>
        <v>-50</v>
      </c>
      <c r="CG216" s="150">
        <f t="shared" ref="CG216:CG247" si="638">MIN(SQRT(2*DU216*1000*Ls1_*CL216)/CU216,1-EA216-0.00000005*DU216*1000)</f>
        <v>1.9390719429665318E-6</v>
      </c>
      <c r="CI216" s="147">
        <v>0.1</v>
      </c>
      <c r="CJ216" s="188">
        <v>1.0000000000000001E-9</v>
      </c>
      <c r="CK216" s="188"/>
      <c r="CL216" s="188">
        <f t="shared" ref="CL216:CL279" si="639">CJ216*Vout</f>
        <v>3.0000000000000004E-8</v>
      </c>
      <c r="CM216" s="465">
        <f t="shared" ref="CM216:CM279" si="640">VIN_max</f>
        <v>48</v>
      </c>
      <c r="CN216" s="379">
        <f t="shared" ref="CN216:CN279" si="641">(CX216+Vfwd1)*Nps</f>
        <v>30.4</v>
      </c>
      <c r="CO216" s="379">
        <f t="shared" ref="CO216:CO279" si="642">(Vout+Vfwd1)*Nps+CM216</f>
        <v>78.400000000000006</v>
      </c>
      <c r="CP216" s="379"/>
      <c r="CQ216" s="188">
        <f t="shared" ref="CQ216:CQ279" si="643">(Vout+Vfwd1)*Nps/((Vout+Vfwd1)*Nps+CM216)</f>
        <v>0.38775510204081626</v>
      </c>
      <c r="CR216" s="149">
        <f t="shared" ref="CR216:CR279" si="644">CQ216*CM216*(Isw_max+VIN_max/Lmag*ILIM_delay)*0.5*Efficiency</f>
        <v>284.85494809142222</v>
      </c>
      <c r="CS216" s="149">
        <f t="shared" ref="CS216:CS279" si="645">CX216*CJ216</f>
        <v>3.0000000000000004E-8</v>
      </c>
      <c r="CT216" s="188">
        <f t="shared" ref="CT216:CT279" si="646">CR216/Vout</f>
        <v>9.4951649363807409</v>
      </c>
      <c r="CU216" s="188">
        <f t="shared" ref="CU216:CU279" si="647">MIN(Vout,CR216/CJ216)</f>
        <v>30</v>
      </c>
      <c r="CV216" s="188"/>
      <c r="CW216" s="149">
        <f t="shared" ref="CW216:CW279" si="648">(SQRT(Isw_max^2*Nps^2*CM216^2+4*Isw_max*CJ216/Efficiency*(Nps^2*Vfwd1*CM216-Nps*CM216^2)+4*(CJ216/Efficiency)^2*Nps^2*Vfwd1^2+8*(CJ216/Efficiency)^2*Nps*Vfwd1*CM216+4*(CJ216/Efficiency)^2*CM216^2)-2*CJ216/Efficiency*CM216-2*CJ216/Efficiency*Nps*Vfwd1+Isw_max*Nps*CM216)/(4*CJ216/Efficiency*Nps)</f>
        <v>727272727224.72729</v>
      </c>
      <c r="CX216" s="149">
        <f t="shared" ref="CX216:CX279" si="649">MIN(Vout, CW216)</f>
        <v>30</v>
      </c>
      <c r="CY216" s="188">
        <f t="shared" ref="CY216:CY279" si="650">MIN(2*Vout*CJ216/(Efficiency*CM216*CQ216), Isw_max)</f>
        <v>3.2236842105263169E-9</v>
      </c>
      <c r="CZ216" s="188">
        <f t="shared" ref="CZ216:CZ279" si="651">L*CY216/CM216*1000000</f>
        <v>3.1565241228070184E-10</v>
      </c>
      <c r="DA216" s="188">
        <f t="shared" ref="DA216:DA279" si="652">L*CY216/CN216*1000000</f>
        <v>4.9839854570637139E-10</v>
      </c>
      <c r="DB216" s="172">
        <f t="shared" ref="DB216:DB279" si="653">IF(1/((350000*L)*(1/CM216+1/CN216))&gt;Isw_min, 350, 0.001/((Isw_min*L)*(1/CM216+1/CN216)))</f>
        <v>350</v>
      </c>
      <c r="DC216" s="379">
        <f t="shared" ref="DC216:DC279" si="654">MIN(1/(CZ216+DA216)*1000, 350)</f>
        <v>350</v>
      </c>
      <c r="DE216" s="188">
        <f t="shared" ref="DE216:DE279" si="655">1/((DB216*1000*L)*(1/CM216+1/CN216))</f>
        <v>11.314434588425037</v>
      </c>
      <c r="DF216" s="150">
        <f t="shared" ref="DF216:DF279" si="656">L*DE216/CN216*1000000</f>
        <v>1.7492711370262393</v>
      </c>
      <c r="DG216" s="150">
        <f t="shared" ref="DG216:DG279" si="657">0.5*DF216*DE216*Nps*DB216/1000</f>
        <v>3.463602425028073</v>
      </c>
      <c r="DH216" s="150"/>
      <c r="DI216" s="150">
        <f t="shared" ref="DI216:DI279" si="658">L*Isw_min/CN216*1000000</f>
        <v>0.93700159489633172</v>
      </c>
      <c r="DJ216" s="314">
        <f t="shared" ref="DJ216:DJ279" si="659">MAX(12000,CJ216/(0.5*DI216/1000000*Isw_min*Nps))/1000</f>
        <v>12</v>
      </c>
      <c r="DK216" s="456">
        <f t="shared" ref="DK216:DK279" si="660">0.5*DI216/1000000*Isw_min*Nps*DB216*1000</f>
        <v>0.99378957034459414</v>
      </c>
      <c r="DM216" s="150">
        <f t="shared" ref="DM216:DM279" si="661">SQRT(CJ216/(0.5*L/CN216*Fsw_DCM*Nps))</f>
        <v>1.9225110226521057E-4</v>
      </c>
      <c r="DN216" s="150">
        <f t="shared" ref="DN216:DN279" si="662">MAX(IF(CJ216&gt;DG216,CY216,DM216),Isw_min)</f>
        <v>6.0606060606060606</v>
      </c>
      <c r="DO216" s="150">
        <f t="shared" ref="DO216:DO279" si="663">IF(CJ216&gt;DK216, (DN216-Isw_min)/1.08*0.8+1.2, DJ216*0.2/350+1)</f>
        <v>1.0068571428571429</v>
      </c>
      <c r="DQ216" s="314">
        <f t="shared" ref="DQ216:DQ279" si="664">CJ216*1000</f>
        <v>1.0000000000000002E-6</v>
      </c>
      <c r="DR216" s="144">
        <f t="shared" ref="DR216:DR279" si="665">IF(CJ216&gt;DK216, DC216, DJ216)</f>
        <v>12</v>
      </c>
      <c r="DT216">
        <f t="shared" ref="DT216:DT279" si="666">IF(CL216&gt;CR216, "",DQ216)</f>
        <v>1.0000000000000002E-6</v>
      </c>
      <c r="DU216">
        <f t="shared" ref="DU216:DU279" si="667">IF(CL216&gt;CR216, "",DR216)</f>
        <v>12</v>
      </c>
      <c r="DW216" s="5">
        <f t="shared" ref="DW216:DW280" si="668">1/DR216*1000</f>
        <v>83.333333333333329</v>
      </c>
      <c r="DX216" s="5">
        <f t="shared" ref="DX216:DX279" si="669">L*DN216/CM216*1000000</f>
        <v>0.59343434343434343</v>
      </c>
      <c r="DY216" s="5">
        <f t="shared" ref="DY216:DY279" si="670">DW216-DX216</f>
        <v>82.73989898989899</v>
      </c>
      <c r="DZ216" s="5"/>
      <c r="EA216" s="150">
        <f t="shared" ref="EA216:EA279" si="671">DX216/DW216</f>
        <v>7.1212121212121211E-3</v>
      </c>
      <c r="EB216" s="150">
        <f>0.5*L*DN216^2*DR216*1000</f>
        <v>1.0358126721763083</v>
      </c>
      <c r="EC216" s="150">
        <f>DN216*Nps/2*(1-EA216)</f>
        <v>3.0087235996326904</v>
      </c>
      <c r="ED216" s="150">
        <f>EB216/EC216</f>
        <v>0.34426980009156105</v>
      </c>
      <c r="EE216" s="144">
        <f t="shared" ref="EE216:EE279" si="672">CJ216*DX216/Vout_ripple*1000</f>
        <v>1.9781144781144782E-9</v>
      </c>
      <c r="EF216" s="5">
        <f t="shared" ref="EF216:EF279" si="673">CL216/Efficiency/CM216*DY216/Vinripple1</f>
        <v>3.0419080510992281E-8</v>
      </c>
      <c r="EH216" s="150">
        <f>DN216*SQRT(EA216/3)</f>
        <v>0.29527888321053314</v>
      </c>
      <c r="EI216" s="150">
        <f>DN216*Nps*SQRT((1-EA216)/3)</f>
        <v>3.4866113905072513</v>
      </c>
      <c r="EK216" s="456">
        <f>Rdson*EH216^2</f>
        <v>1.046275426440716E-3</v>
      </c>
      <c r="EL216" s="456">
        <f>0.5*CO216*DN216*DR216*1000*Trise</f>
        <v>0.10833454545454546</v>
      </c>
      <c r="EM216" s="456">
        <f>Qg*Vdd*DR216*1000</f>
        <v>1.3800000000000002E-3</v>
      </c>
      <c r="EN216" s="456">
        <f>0.5*(Coss+Csw)*CO216^2*DR216*1000</f>
        <v>3.8170137600000008E-2</v>
      </c>
      <c r="EO216">
        <f>CM216*IQ</f>
        <v>2.1600000000000001E-2</v>
      </c>
      <c r="EP216" s="144">
        <f>(EO216+EM216)*1000</f>
        <v>22.98</v>
      </c>
      <c r="EQ216" s="144"/>
      <c r="ER216" s="144">
        <f>SUM(EK216:EO216)*1000</f>
        <v>170.53095848098621</v>
      </c>
      <c r="ES216" s="456">
        <f>Vfwd2*CJ216</f>
        <v>6.9999999999999996E-10</v>
      </c>
      <c r="EV216" s="144">
        <f>SUM(ES216:EU216)*1000</f>
        <v>6.9999999999999997E-7</v>
      </c>
      <c r="EW216" s="456">
        <f>Rdcr_pri*EH216^2</f>
        <v>1.2206546641808354E-3</v>
      </c>
      <c r="EX216" s="456">
        <f>Rdcr_sec*EI216^2</f>
        <v>0.17019042583780872</v>
      </c>
      <c r="EY216" s="456">
        <f>DN216^2.5*DR216^2.5*k_core</f>
        <v>2.2553464209519132E-3</v>
      </c>
      <c r="EZ216" s="456"/>
      <c r="FA216" s="456">
        <f>0.5*Lleak*0.000000001*DN216^2*DR216*1000</f>
        <v>4.4077134986225897E-2</v>
      </c>
      <c r="FB216" s="144">
        <f>SUM(EW216:FA216)*1000</f>
        <v>217.74356190916737</v>
      </c>
      <c r="FC216" s="150">
        <f>SUM(EK216:EO216,ES216:EU216,EW216:FA216)</f>
        <v>0.38827452109015359</v>
      </c>
      <c r="FD216" s="5">
        <f>MIN(CL216,CS216)</f>
        <v>3.0000000000000004E-8</v>
      </c>
      <c r="FE216" s="150">
        <f>FD216/(FD216+FC216)</f>
        <v>7.726491451929924E-8</v>
      </c>
      <c r="FF216" s="5">
        <f>FE216*100</f>
        <v>7.7264914519299245E-6</v>
      </c>
      <c r="FI216" s="59">
        <f t="shared" ref="FI216:FI279" si="674">IF(ABS(CJ216-Ioutmax_Vinmax)&lt;Iout/200, DR216, -50)</f>
        <v>-50</v>
      </c>
      <c r="FJ216">
        <f t="shared" ref="FJ216:FJ279" si="675">IF(ABS(CJ216-Ioutmax_Vinmin)&lt;Iout/200, CR216*FE216, -50)</f>
        <v>-50</v>
      </c>
      <c r="FL216">
        <f t="shared" ref="FL216:FL247" si="676">MIN(SQRT(2*L*DR216*1000*CJ216*(CX216+Vfwd1))/(Nps*(CX216+Vfwd1)), 1-EA216)</f>
        <v>1.9262726483521158E-6</v>
      </c>
    </row>
    <row r="217" spans="5:168">
      <c r="E217" s="147">
        <v>1</v>
      </c>
      <c r="F217" s="188">
        <f t="shared" ref="F217:F248" si="677">IF(PLOT_TYPE=1, E217/100*Iout_max, min_I*EXP(N217*rr/100))</f>
        <v>0.04</v>
      </c>
      <c r="G217" s="188"/>
      <c r="H217" s="188">
        <f t="shared" si="602"/>
        <v>1.2</v>
      </c>
      <c r="I217" s="465">
        <f t="shared" si="603"/>
        <v>47.921732178900704</v>
      </c>
      <c r="J217" s="149">
        <f t="shared" si="604"/>
        <v>30.44214421136116</v>
      </c>
      <c r="K217" s="149">
        <f t="shared" si="605"/>
        <v>78.363876390261865</v>
      </c>
      <c r="L217" s="379"/>
      <c r="M217" s="188">
        <f t="shared" si="606"/>
        <v>0.38847383335246438</v>
      </c>
      <c r="N217" s="149">
        <f t="shared" si="607"/>
        <v>284.91760712866062</v>
      </c>
      <c r="O217" s="149">
        <f t="shared" si="598"/>
        <v>1.2</v>
      </c>
      <c r="P217" s="188">
        <f t="shared" si="608"/>
        <v>9.4972535709553547</v>
      </c>
      <c r="Q217" s="188">
        <f t="shared" si="609"/>
        <v>30</v>
      </c>
      <c r="R217" s="188"/>
      <c r="S217" s="149">
        <f t="shared" si="610"/>
        <v>18104.250606479494</v>
      </c>
      <c r="T217" s="149">
        <f t="shared" si="611"/>
        <v>30</v>
      </c>
      <c r="U217" s="188">
        <f t="shared" si="612"/>
        <v>0.12891901033521475</v>
      </c>
      <c r="V217" s="188">
        <f t="shared" si="613"/>
        <v>1.2643936707327275E-2</v>
      </c>
      <c r="W217" s="188">
        <f t="shared" si="614"/>
        <v>1.990396420070099E-2</v>
      </c>
      <c r="X217" s="172">
        <f t="shared" si="615"/>
        <v>350</v>
      </c>
      <c r="Y217" s="379">
        <f t="shared" ref="Y217:Y280" si="678">MIN(1/(V217+W217+0.2)*1000, 350)</f>
        <v>350</v>
      </c>
      <c r="AA217" s="188">
        <f t="shared" si="616"/>
        <v>11.316859743736355</v>
      </c>
      <c r="AB217" s="150">
        <f t="shared" si="617"/>
        <v>1.7472238626249716</v>
      </c>
      <c r="AC217" s="150">
        <f t="shared" si="618"/>
        <v>3.460290293991314</v>
      </c>
      <c r="AD217" s="150"/>
      <c r="AE217" s="150">
        <f t="shared" si="619"/>
        <v>0.93570440659754173</v>
      </c>
      <c r="AF217" s="314">
        <f t="shared" si="620"/>
        <v>14.10701916858396</v>
      </c>
      <c r="AG217" s="456">
        <f t="shared" si="621"/>
        <v>0.99241376457315034</v>
      </c>
      <c r="AI217" s="150">
        <f t="shared" si="622"/>
        <v>1.2167452565748935</v>
      </c>
      <c r="AJ217" s="150">
        <f t="shared" si="623"/>
        <v>6.0606060606060606</v>
      </c>
      <c r="AK217" s="150">
        <f t="shared" si="624"/>
        <v>1.0080611538106194</v>
      </c>
      <c r="AM217" s="314">
        <f t="shared" si="625"/>
        <v>40</v>
      </c>
      <c r="AN217" s="144">
        <f t="shared" si="626"/>
        <v>14.10701916858396</v>
      </c>
      <c r="AP217">
        <f t="shared" si="627"/>
        <v>40</v>
      </c>
      <c r="AQ217">
        <f t="shared" si="628"/>
        <v>14.10701916858396</v>
      </c>
      <c r="AS217" s="5">
        <f t="shared" si="599"/>
        <v>70.886697469510736</v>
      </c>
      <c r="AT217" s="5">
        <f t="shared" si="629"/>
        <v>0.59440356576655595</v>
      </c>
      <c r="AU217" s="5">
        <f t="shared" si="477"/>
        <v>70.292293903744181</v>
      </c>
      <c r="AV217" s="5"/>
      <c r="AW217" s="150">
        <f t="shared" si="478"/>
        <v>8.3852624961434606E-3</v>
      </c>
      <c r="AX217" s="150">
        <f t="shared" si="630"/>
        <v>1.2176857684544464</v>
      </c>
      <c r="AY217" s="150">
        <f t="shared" si="631"/>
        <v>3.0048931439510804</v>
      </c>
      <c r="AZ217" s="150">
        <f t="shared" si="632"/>
        <v>0.40523429956425444</v>
      </c>
      <c r="BA217" s="144">
        <f t="shared" si="593"/>
        <v>7.9253808768874126E-2</v>
      </c>
      <c r="BB217" s="5">
        <f t="shared" si="594"/>
        <v>1.0353985041520228</v>
      </c>
      <c r="BD217" s="150">
        <f t="shared" ref="BD217:BD280" si="679">AJ217*SQRT(AW217/3)</f>
        <v>0.32041567920847097</v>
      </c>
      <c r="BE217" s="150">
        <f t="shared" ref="BE217:BE280" si="680">AJ217*Nps*SQRT((1-AW217)/3)</f>
        <v>3.4843912524001013</v>
      </c>
      <c r="BG217" s="456">
        <f t="shared" ref="BG217:BG280" si="681">Rdson*BD217^2</f>
        <v>1.2319944897915094E-3</v>
      </c>
      <c r="BH217" s="456">
        <f t="shared" si="633"/>
        <v>0.12227286600670254</v>
      </c>
      <c r="BI217" s="456">
        <f t="shared" ref="BI217:BI280" si="682">Qg*Vdd*AN217*1000</f>
        <v>1.6223072043871558E-3</v>
      </c>
      <c r="BJ217" s="456">
        <f t="shared" ref="BJ217:BJ280" si="683">0.5*(Coss+Csw)*K217^2*AN217*1000</f>
        <v>4.4830897397524778E-2</v>
      </c>
      <c r="BK217">
        <f t="shared" ref="BK217:BK280" si="684">I217*IQ</f>
        <v>2.1564779480505315E-2</v>
      </c>
      <c r="BL217" s="144">
        <f t="shared" ref="BL217:BL280" si="685">(BK217+BI217)*1000</f>
        <v>23.187086684892471</v>
      </c>
      <c r="BM217" s="456">
        <f t="shared" si="634"/>
        <v>0.16871778379494226</v>
      </c>
      <c r="BN217" s="144">
        <f t="shared" ref="BN217:BN280" si="686">BM217*1000</f>
        <v>168.71778379494225</v>
      </c>
      <c r="BO217" s="456">
        <f t="shared" si="635"/>
        <v>2.7999999999999997E-2</v>
      </c>
      <c r="BR217" s="144">
        <f t="shared" ref="BR217:BR280" si="687">SUM(BO217:BQ217)*1000</f>
        <v>27.999999999999996</v>
      </c>
      <c r="BS217" s="456">
        <f t="shared" ref="BS217:BS280" si="688">Rdcr_pri*BD217^2</f>
        <v>1.4373269047567609E-3</v>
      </c>
      <c r="BT217" s="456">
        <f t="shared" ref="BT217:BT280" si="689">Rdcr_sec*BE217^2</f>
        <v>0.16997375359723285</v>
      </c>
      <c r="BU217" s="456">
        <f t="shared" ref="BU217:BU280" si="690">AJ217^2.5*AN217^2.5*k_core</f>
        <v>3.3794675834397454E-3</v>
      </c>
      <c r="BV217" s="456"/>
      <c r="BW217" s="456">
        <f t="shared" ref="BW217:BW280" si="691">0.5*Lleak*0.000000001*AJ217^2*AN217*1000</f>
        <v>5.1816415678912625E-2</v>
      </c>
      <c r="BX217" s="144">
        <f t="shared" ref="BX217:BX280" si="692">SUM(BS217:BW217)*1000</f>
        <v>226.60696376434197</v>
      </c>
      <c r="BY217" s="150">
        <f t="shared" ref="BY217:BY280" si="693">SUM(BG217:BK217,BO217:BQ217,BS217:BW217)</f>
        <v>0.44612980834325322</v>
      </c>
      <c r="BZ217" s="5">
        <f t="shared" ref="BZ217:BZ280" si="694">MIN(H217,O217)</f>
        <v>1.2</v>
      </c>
      <c r="CA217" s="150">
        <f t="shared" ref="CA217:CA280" si="695">BZ217/(BZ217+BY217)</f>
        <v>0.72898260751850397</v>
      </c>
      <c r="CB217" s="5">
        <f t="shared" ref="CB217:CB280" si="696">CA217*100</f>
        <v>72.898260751850401</v>
      </c>
      <c r="CE217" s="59">
        <f t="shared" si="636"/>
        <v>-50</v>
      </c>
      <c r="CF217">
        <f t="shared" si="637"/>
        <v>-50</v>
      </c>
      <c r="CG217" s="150">
        <f t="shared" si="638"/>
        <v>1.3287708606076521E-2</v>
      </c>
      <c r="CI217" s="147">
        <v>1</v>
      </c>
      <c r="CJ217" s="188">
        <f t="shared" ref="CJ217:CJ280" si="697">IF(PLOT_TYPE=1, CI217/100*Iout_max, min_I*EXP(CR217*rr/100))</f>
        <v>0.04</v>
      </c>
      <c r="CK217" s="188"/>
      <c r="CL217" s="188">
        <f t="shared" si="639"/>
        <v>1.2</v>
      </c>
      <c r="CM217" s="465">
        <f t="shared" si="640"/>
        <v>48</v>
      </c>
      <c r="CN217" s="379">
        <f t="shared" si="641"/>
        <v>30.4</v>
      </c>
      <c r="CO217" s="379">
        <f t="shared" si="642"/>
        <v>78.400000000000006</v>
      </c>
      <c r="CP217" s="379"/>
      <c r="CQ217" s="188">
        <f t="shared" si="643"/>
        <v>0.38775510204081626</v>
      </c>
      <c r="CR217" s="149">
        <f t="shared" si="644"/>
        <v>284.85494809142222</v>
      </c>
      <c r="CS217" s="149">
        <f t="shared" si="645"/>
        <v>1.2</v>
      </c>
      <c r="CT217" s="188">
        <f t="shared" si="646"/>
        <v>9.4951649363807409</v>
      </c>
      <c r="CU217" s="188">
        <f t="shared" si="647"/>
        <v>30</v>
      </c>
      <c r="CV217" s="188"/>
      <c r="CW217" s="149">
        <f t="shared" si="648"/>
        <v>18133.819240589986</v>
      </c>
      <c r="CX217" s="149">
        <f t="shared" si="649"/>
        <v>30</v>
      </c>
      <c r="CY217" s="188">
        <f t="shared" si="650"/>
        <v>0.12894736842105264</v>
      </c>
      <c r="CZ217" s="188">
        <f t="shared" si="651"/>
        <v>1.2626096491228072E-2</v>
      </c>
      <c r="DA217" s="188">
        <f t="shared" si="652"/>
        <v>1.9935941828254849E-2</v>
      </c>
      <c r="DB217" s="172">
        <f t="shared" si="653"/>
        <v>350</v>
      </c>
      <c r="DC217" s="379">
        <f t="shared" si="654"/>
        <v>350</v>
      </c>
      <c r="DE217" s="188">
        <f t="shared" si="655"/>
        <v>11.314434588425037</v>
      </c>
      <c r="DF217" s="150">
        <f t="shared" si="656"/>
        <v>1.7492711370262393</v>
      </c>
      <c r="DG217" s="150">
        <f t="shared" si="657"/>
        <v>3.463602425028073</v>
      </c>
      <c r="DH217" s="150"/>
      <c r="DI217" s="150">
        <f t="shared" si="658"/>
        <v>0.93700159489633172</v>
      </c>
      <c r="DJ217" s="314">
        <f t="shared" si="659"/>
        <v>14.087489361702128</v>
      </c>
      <c r="DK217" s="456">
        <f t="shared" si="660"/>
        <v>0.99378957034459414</v>
      </c>
      <c r="DM217" s="150">
        <f t="shared" si="661"/>
        <v>1.2159027316720437</v>
      </c>
      <c r="DN217" s="150">
        <f t="shared" si="662"/>
        <v>6.0606060606060606</v>
      </c>
      <c r="DO217" s="150">
        <f t="shared" si="663"/>
        <v>1.0080499939209726</v>
      </c>
      <c r="DQ217" s="314">
        <f t="shared" si="664"/>
        <v>40</v>
      </c>
      <c r="DR217" s="144">
        <f t="shared" si="665"/>
        <v>14.087489361702128</v>
      </c>
      <c r="DT217">
        <f t="shared" si="666"/>
        <v>40</v>
      </c>
      <c r="DU217">
        <f t="shared" si="667"/>
        <v>14.087489361702128</v>
      </c>
      <c r="DW217" s="5">
        <f t="shared" si="668"/>
        <v>70.984969310328154</v>
      </c>
      <c r="DX217" s="5">
        <f t="shared" si="669"/>
        <v>0.59343434343434343</v>
      </c>
      <c r="DY217" s="5">
        <f t="shared" si="670"/>
        <v>70.391534966893815</v>
      </c>
      <c r="DZ217" s="5"/>
      <c r="EA217" s="150">
        <f t="shared" si="671"/>
        <v>8.3600000000000011E-3</v>
      </c>
      <c r="EB217" s="150">
        <f t="shared" ref="EB217:EB280" si="698">0.5*L*DN217^2*DR217*1000</f>
        <v>1.2159999999999997</v>
      </c>
      <c r="EC217" s="150">
        <f t="shared" ref="EC217:EC280" si="699">DN217*Nps/2*(1-EA217)</f>
        <v>3.0049696969696966</v>
      </c>
      <c r="ED217" s="150">
        <f t="shared" ref="ED217:ED280" si="700">EB217/EC217</f>
        <v>0.40466298253398408</v>
      </c>
      <c r="EE217" s="144">
        <f t="shared" si="672"/>
        <v>7.9124579124579125E-2</v>
      </c>
      <c r="EF217" s="5">
        <f t="shared" si="673"/>
        <v>1.0351696318660852</v>
      </c>
      <c r="EH217" s="150">
        <f t="shared" ref="EH217:EH280" si="701">DN217*SQRT(EA217/3)</f>
        <v>0.3199326528457237</v>
      </c>
      <c r="EI217" s="150">
        <f t="shared" ref="EI217:EI280" si="702">DN217*Nps*SQRT((1-EA217)/3)</f>
        <v>3.4844356365024258</v>
      </c>
      <c r="EK217" s="456">
        <f t="shared" ref="EK217:EK280" si="703">Rdson*EH217^2</f>
        <v>1.2282828282828282E-3</v>
      </c>
      <c r="EL217" s="456">
        <f t="shared" ref="EL217:EL280" si="704">0.5*CO217*DN217*DR217*1000*Trise</f>
        <v>0.12718014638297875</v>
      </c>
      <c r="EM217" s="456">
        <f t="shared" ref="EM217:EM280" si="705">Qg*Vdd*DR217*1000</f>
        <v>1.6200612765957449E-3</v>
      </c>
      <c r="EN217" s="456">
        <f t="shared" ref="EN217:EN280" si="706">0.5*(Coss+Csw)*CO217^2*DR217*1000</f>
        <v>4.4810117281225546E-2</v>
      </c>
      <c r="EO217">
        <f t="shared" ref="EO217:EO280" si="707">CM217*IQ</f>
        <v>2.1600000000000001E-2</v>
      </c>
      <c r="EP217" s="144">
        <f t="shared" ref="EP217:EP280" si="708">(EO217+EM217)*1000</f>
        <v>23.220061276595747</v>
      </c>
      <c r="EQ217" s="144"/>
      <c r="ER217" s="144">
        <f t="shared" ref="ER217:ER280" si="709">SUM(EK217:EO217)*1000</f>
        <v>196.43860776908289</v>
      </c>
      <c r="ES217" s="456">
        <f t="shared" ref="ES217:ES280" si="710">Vfwd2*CJ217</f>
        <v>2.7999999999999997E-2</v>
      </c>
      <c r="EV217" s="144">
        <f t="shared" ref="EV217:EV280" si="711">SUM(ES217:EU217)*1000</f>
        <v>27.999999999999996</v>
      </c>
      <c r="EW217" s="456">
        <f t="shared" ref="EW217:EW280" si="712">Rdcr_pri*EH217^2</f>
        <v>1.4329966329966329E-3</v>
      </c>
      <c r="EX217" s="456">
        <f t="shared" ref="EX217:EX280" si="713">Rdcr_sec*EI217^2</f>
        <v>0.16997808386899291</v>
      </c>
      <c r="EY217" s="456">
        <f t="shared" ref="EY217:EY280" si="714">DN217^2.5*DR217^2.5*k_core</f>
        <v>3.3677833580271835E-3</v>
      </c>
      <c r="EZ217" s="456"/>
      <c r="FA217" s="456">
        <f t="shared" ref="FA217:FA280" si="715">0.5*Lleak*0.000000001*DN217^2*DR217*1000</f>
        <v>5.1744680851063832E-2</v>
      </c>
      <c r="FB217" s="144">
        <f t="shared" ref="FB217:FB280" si="716">SUM(EW217:FA217)*1000</f>
        <v>226.52354471108055</v>
      </c>
      <c r="FC217" s="150">
        <f t="shared" ref="FC217:FC280" si="717">SUM(EK217:EO217,ES217:EU217,EW217:FA217)</f>
        <v>0.45096215248016341</v>
      </c>
      <c r="FD217" s="5">
        <f t="shared" ref="FD217:FD280" si="718">MIN(CL217,CS217)</f>
        <v>1.2</v>
      </c>
      <c r="FE217" s="150">
        <f t="shared" ref="FE217:FE280" si="719">FD217/(FD217+FC217)</f>
        <v>0.7268488851772259</v>
      </c>
      <c r="FF217" s="5">
        <f t="shared" ref="FF217:FF280" si="720">FE217*100</f>
        <v>72.684888517722584</v>
      </c>
      <c r="FI217" s="59">
        <f t="shared" si="674"/>
        <v>-50</v>
      </c>
      <c r="FJ217">
        <f t="shared" si="675"/>
        <v>-50</v>
      </c>
      <c r="FL217">
        <f t="shared" si="676"/>
        <v>1.32E-2</v>
      </c>
    </row>
    <row r="218" spans="5:168">
      <c r="E218" s="147">
        <v>2</v>
      </c>
      <c r="F218" s="188">
        <f t="shared" si="677"/>
        <v>0.08</v>
      </c>
      <c r="G218" s="188"/>
      <c r="H218" s="188">
        <f t="shared" si="602"/>
        <v>2.4</v>
      </c>
      <c r="I218" s="465">
        <f t="shared" si="603"/>
        <v>47.921732178900704</v>
      </c>
      <c r="J218" s="149">
        <f t="shared" si="604"/>
        <v>30.44214421136116</v>
      </c>
      <c r="K218" s="149">
        <f t="shared" si="605"/>
        <v>78.363876390261865</v>
      </c>
      <c r="L218" s="379"/>
      <c r="M218" s="188">
        <f t="shared" si="606"/>
        <v>0.38847383335246438</v>
      </c>
      <c r="N218" s="149">
        <f t="shared" si="607"/>
        <v>284.91760712866062</v>
      </c>
      <c r="O218" s="149">
        <f t="shared" si="598"/>
        <v>2.4</v>
      </c>
      <c r="P218" s="188">
        <f t="shared" si="608"/>
        <v>9.4972535709553547</v>
      </c>
      <c r="Q218" s="188">
        <f t="shared" si="609"/>
        <v>30</v>
      </c>
      <c r="R218" s="188"/>
      <c r="S218" s="149">
        <f t="shared" si="610"/>
        <v>9028.1660308803985</v>
      </c>
      <c r="T218" s="149">
        <f t="shared" si="611"/>
        <v>30</v>
      </c>
      <c r="U218" s="188">
        <f t="shared" si="612"/>
        <v>0.25783802067042949</v>
      </c>
      <c r="V218" s="188">
        <f t="shared" si="613"/>
        <v>2.5287873414654549E-2</v>
      </c>
      <c r="W218" s="188">
        <f t="shared" si="614"/>
        <v>3.980792840140198E-2</v>
      </c>
      <c r="X218" s="172">
        <f t="shared" si="615"/>
        <v>350</v>
      </c>
      <c r="Y218" s="379">
        <f t="shared" si="678"/>
        <v>350</v>
      </c>
      <c r="AA218" s="188">
        <f t="shared" si="616"/>
        <v>11.316859743736355</v>
      </c>
      <c r="AB218" s="150">
        <f t="shared" si="617"/>
        <v>1.7472238626249716</v>
      </c>
      <c r="AC218" s="150">
        <f t="shared" si="618"/>
        <v>3.460290293991314</v>
      </c>
      <c r="AD218" s="150"/>
      <c r="AE218" s="150">
        <f t="shared" si="619"/>
        <v>0.93570440659754173</v>
      </c>
      <c r="AF218" s="314">
        <f t="shared" si="620"/>
        <v>28.214038337167921</v>
      </c>
      <c r="AG218" s="456">
        <f t="shared" si="621"/>
        <v>0.99241376457315034</v>
      </c>
      <c r="AI218" s="150">
        <f t="shared" si="622"/>
        <v>1.7207376438013458</v>
      </c>
      <c r="AJ218" s="150">
        <f t="shared" si="623"/>
        <v>6.0606060606060606</v>
      </c>
      <c r="AK218" s="150">
        <f t="shared" si="624"/>
        <v>1.0161223076212389</v>
      </c>
      <c r="AM218" s="314">
        <f t="shared" si="625"/>
        <v>80</v>
      </c>
      <c r="AN218" s="144">
        <f t="shared" si="626"/>
        <v>28.214038337167921</v>
      </c>
      <c r="AP218">
        <f t="shared" si="627"/>
        <v>80</v>
      </c>
      <c r="AQ218">
        <f t="shared" si="628"/>
        <v>28.214038337167921</v>
      </c>
      <c r="AS218" s="5">
        <f t="shared" si="599"/>
        <v>35.443348734755368</v>
      </c>
      <c r="AT218" s="5">
        <f t="shared" si="629"/>
        <v>0.59440356576655595</v>
      </c>
      <c r="AU218" s="5">
        <f t="shared" si="477"/>
        <v>34.848945168988813</v>
      </c>
      <c r="AV218" s="5"/>
      <c r="AW218" s="150">
        <f t="shared" si="478"/>
        <v>1.6770524992286921E-2</v>
      </c>
      <c r="AX218" s="150">
        <f t="shared" si="630"/>
        <v>2.4353715369088929</v>
      </c>
      <c r="AY218" s="150">
        <f t="shared" si="631"/>
        <v>2.9794832575991306</v>
      </c>
      <c r="AZ218" s="150">
        <f t="shared" si="632"/>
        <v>0.81738050740762236</v>
      </c>
      <c r="BA218" s="144">
        <f t="shared" si="593"/>
        <v>0.15850761753774825</v>
      </c>
      <c r="BB218" s="5">
        <f t="shared" si="594"/>
        <v>1.0266429986950507</v>
      </c>
      <c r="BD218" s="150">
        <f t="shared" si="679"/>
        <v>0.45313619913360659</v>
      </c>
      <c r="BE218" s="150">
        <f t="shared" si="680"/>
        <v>3.4696276734427451</v>
      </c>
      <c r="BG218" s="456">
        <f t="shared" si="681"/>
        <v>2.4639889795830187E-3</v>
      </c>
      <c r="BH218" s="456">
        <f t="shared" si="633"/>
        <v>0.24454573201340507</v>
      </c>
      <c r="BI218" s="456">
        <f t="shared" si="682"/>
        <v>3.2446144087743115E-3</v>
      </c>
      <c r="BJ218" s="456">
        <f t="shared" si="683"/>
        <v>8.9661794795049557E-2</v>
      </c>
      <c r="BK218">
        <f t="shared" si="684"/>
        <v>2.1564779480505315E-2</v>
      </c>
      <c r="BL218" s="144">
        <f t="shared" si="685"/>
        <v>24.80939388927963</v>
      </c>
      <c r="BM218" s="456">
        <f t="shared" si="634"/>
        <v>0.33753440022819747</v>
      </c>
      <c r="BN218" s="144">
        <f t="shared" si="686"/>
        <v>337.53440022819746</v>
      </c>
      <c r="BO218" s="456">
        <f t="shared" si="635"/>
        <v>5.5999999999999994E-2</v>
      </c>
      <c r="BR218" s="144">
        <f t="shared" si="687"/>
        <v>55.999999999999993</v>
      </c>
      <c r="BS218" s="456">
        <f t="shared" si="688"/>
        <v>2.8746538095135218E-3</v>
      </c>
      <c r="BT218" s="456">
        <f t="shared" si="689"/>
        <v>0.16853642669247601</v>
      </c>
      <c r="BU218" s="456">
        <f t="shared" si="690"/>
        <v>1.9117155560402891E-2</v>
      </c>
      <c r="BV218" s="456"/>
      <c r="BW218" s="456">
        <f t="shared" si="691"/>
        <v>0.10363283135782525</v>
      </c>
      <c r="BX218" s="144">
        <f t="shared" si="692"/>
        <v>294.16106742021765</v>
      </c>
      <c r="BY218" s="150">
        <f t="shared" si="693"/>
        <v>0.71164197709753507</v>
      </c>
      <c r="BZ218" s="5">
        <f t="shared" si="694"/>
        <v>2.4</v>
      </c>
      <c r="CA218" s="150">
        <f t="shared" si="695"/>
        <v>0.77129696078938437</v>
      </c>
      <c r="CB218" s="5">
        <f t="shared" si="696"/>
        <v>77.129696078938437</v>
      </c>
      <c r="CE218" s="59">
        <f t="shared" si="636"/>
        <v>-50</v>
      </c>
      <c r="CF218">
        <f t="shared" si="637"/>
        <v>-50</v>
      </c>
      <c r="CG218" s="150">
        <f t="shared" si="638"/>
        <v>2.6575417212153042E-2</v>
      </c>
      <c r="CI218" s="147">
        <v>2</v>
      </c>
      <c r="CJ218" s="188">
        <f t="shared" si="697"/>
        <v>0.08</v>
      </c>
      <c r="CK218" s="188"/>
      <c r="CL218" s="188">
        <f t="shared" si="639"/>
        <v>2.4</v>
      </c>
      <c r="CM218" s="465">
        <f t="shared" si="640"/>
        <v>48</v>
      </c>
      <c r="CN218" s="379">
        <f t="shared" si="641"/>
        <v>30.4</v>
      </c>
      <c r="CO218" s="379">
        <f t="shared" si="642"/>
        <v>78.400000000000006</v>
      </c>
      <c r="CP218" s="379"/>
      <c r="CQ218" s="188">
        <f t="shared" si="643"/>
        <v>0.38775510204081626</v>
      </c>
      <c r="CR218" s="149">
        <f t="shared" si="644"/>
        <v>284.85494809142222</v>
      </c>
      <c r="CS218" s="149">
        <f t="shared" si="645"/>
        <v>2.4</v>
      </c>
      <c r="CT218" s="188">
        <f t="shared" si="646"/>
        <v>9.4951649363807409</v>
      </c>
      <c r="CU218" s="188">
        <f t="shared" si="647"/>
        <v>30</v>
      </c>
      <c r="CV218" s="188"/>
      <c r="CW218" s="149">
        <f t="shared" si="648"/>
        <v>9042.9112140252309</v>
      </c>
      <c r="CX218" s="149">
        <f t="shared" si="649"/>
        <v>30</v>
      </c>
      <c r="CY218" s="188">
        <f t="shared" si="650"/>
        <v>0.25789473684210529</v>
      </c>
      <c r="CZ218" s="188">
        <f t="shared" si="651"/>
        <v>2.5252192982456144E-2</v>
      </c>
      <c r="DA218" s="188">
        <f t="shared" si="652"/>
        <v>3.9871883656509698E-2</v>
      </c>
      <c r="DB218" s="172">
        <f t="shared" si="653"/>
        <v>350</v>
      </c>
      <c r="DC218" s="379">
        <f t="shared" si="654"/>
        <v>350</v>
      </c>
      <c r="DE218" s="188">
        <f t="shared" si="655"/>
        <v>11.314434588425037</v>
      </c>
      <c r="DF218" s="150">
        <f t="shared" si="656"/>
        <v>1.7492711370262393</v>
      </c>
      <c r="DG218" s="150">
        <f t="shared" si="657"/>
        <v>3.463602425028073</v>
      </c>
      <c r="DH218" s="150"/>
      <c r="DI218" s="150">
        <f t="shared" si="658"/>
        <v>0.93700159489633172</v>
      </c>
      <c r="DJ218" s="314">
        <f t="shared" si="659"/>
        <v>28.174978723404255</v>
      </c>
      <c r="DK218" s="456">
        <f t="shared" si="660"/>
        <v>0.99378957034459414</v>
      </c>
      <c r="DM218" s="150">
        <f t="shared" si="661"/>
        <v>1.7195461336570985</v>
      </c>
      <c r="DN218" s="150">
        <f t="shared" si="662"/>
        <v>6.0606060606060606</v>
      </c>
      <c r="DO218" s="150">
        <f t="shared" si="663"/>
        <v>1.0160999878419452</v>
      </c>
      <c r="DQ218" s="314">
        <f t="shared" si="664"/>
        <v>80</v>
      </c>
      <c r="DR218" s="144">
        <f t="shared" si="665"/>
        <v>28.174978723404255</v>
      </c>
      <c r="DT218">
        <f t="shared" si="666"/>
        <v>80</v>
      </c>
      <c r="DU218">
        <f t="shared" si="667"/>
        <v>28.174978723404255</v>
      </c>
      <c r="DW218" s="5">
        <f t="shared" si="668"/>
        <v>35.492484655164077</v>
      </c>
      <c r="DX218" s="5">
        <f t="shared" si="669"/>
        <v>0.59343434343434343</v>
      </c>
      <c r="DY218" s="5">
        <f t="shared" si="670"/>
        <v>34.899050311729731</v>
      </c>
      <c r="DZ218" s="5"/>
      <c r="EA218" s="150">
        <f t="shared" si="671"/>
        <v>1.6720000000000002E-2</v>
      </c>
      <c r="EB218" s="150">
        <f t="shared" si="698"/>
        <v>2.4319999999999995</v>
      </c>
      <c r="EC218" s="150">
        <f t="shared" si="699"/>
        <v>2.9796363636363639</v>
      </c>
      <c r="ED218" s="150">
        <f t="shared" si="700"/>
        <v>0.81620698071759801</v>
      </c>
      <c r="EE218" s="144">
        <f t="shared" si="672"/>
        <v>0.15824915824915825</v>
      </c>
      <c r="EF218" s="5">
        <f t="shared" si="673"/>
        <v>1.0264426562273448</v>
      </c>
      <c r="EH218" s="150">
        <f t="shared" si="701"/>
        <v>0.45245309670042566</v>
      </c>
      <c r="EI218" s="150">
        <f t="shared" si="702"/>
        <v>3.4697168187866811</v>
      </c>
      <c r="EK218" s="456">
        <f t="shared" si="703"/>
        <v>2.4565656565656568E-3</v>
      </c>
      <c r="EL218" s="456">
        <f t="shared" si="704"/>
        <v>0.25436029276595751</v>
      </c>
      <c r="EM218" s="456">
        <f t="shared" si="705"/>
        <v>3.2401225531914898E-3</v>
      </c>
      <c r="EN218" s="456">
        <f t="shared" si="706"/>
        <v>8.9620234562451093E-2</v>
      </c>
      <c r="EO218">
        <f t="shared" si="707"/>
        <v>2.1600000000000001E-2</v>
      </c>
      <c r="EP218" s="144">
        <f t="shared" si="708"/>
        <v>24.840122553191492</v>
      </c>
      <c r="EQ218" s="144"/>
      <c r="ER218" s="144">
        <f t="shared" si="709"/>
        <v>371.27721553816576</v>
      </c>
      <c r="ES218" s="456">
        <f t="shared" si="710"/>
        <v>5.5999999999999994E-2</v>
      </c>
      <c r="EV218" s="144">
        <f t="shared" si="711"/>
        <v>55.999999999999993</v>
      </c>
      <c r="EW218" s="456">
        <f t="shared" si="712"/>
        <v>2.8659932659932663E-3</v>
      </c>
      <c r="EX218" s="456">
        <f t="shared" si="713"/>
        <v>0.16854508723599634</v>
      </c>
      <c r="EY218" s="456">
        <f t="shared" si="714"/>
        <v>1.9051059600225777E-2</v>
      </c>
      <c r="EZ218" s="456"/>
      <c r="FA218" s="456">
        <f t="shared" si="715"/>
        <v>0.10348936170212766</v>
      </c>
      <c r="FB218" s="144">
        <f t="shared" si="716"/>
        <v>293.95150180434302</v>
      </c>
      <c r="FC218" s="150">
        <f t="shared" si="717"/>
        <v>0.72122871734250882</v>
      </c>
      <c r="FD218" s="5">
        <f t="shared" si="718"/>
        <v>2.4</v>
      </c>
      <c r="FE218" s="150">
        <f t="shared" si="719"/>
        <v>0.76892795028600758</v>
      </c>
      <c r="FF218" s="5">
        <f t="shared" si="720"/>
        <v>76.892795028600759</v>
      </c>
      <c r="FI218" s="59">
        <f t="shared" si="674"/>
        <v>-50</v>
      </c>
      <c r="FJ218">
        <f t="shared" si="675"/>
        <v>-50</v>
      </c>
      <c r="FL218">
        <f t="shared" si="676"/>
        <v>2.64E-2</v>
      </c>
    </row>
    <row r="219" spans="5:168">
      <c r="E219" s="147">
        <v>3</v>
      </c>
      <c r="F219" s="188">
        <f t="shared" si="677"/>
        <v>0.12</v>
      </c>
      <c r="G219" s="188"/>
      <c r="H219" s="188">
        <f t="shared" si="602"/>
        <v>3.5999999999999996</v>
      </c>
      <c r="I219" s="465">
        <f t="shared" si="603"/>
        <v>47.921732178900704</v>
      </c>
      <c r="J219" s="149">
        <f t="shared" si="604"/>
        <v>30.44214421136116</v>
      </c>
      <c r="K219" s="149">
        <f t="shared" si="605"/>
        <v>78.363876390261865</v>
      </c>
      <c r="L219" s="379"/>
      <c r="M219" s="188">
        <f t="shared" si="606"/>
        <v>0.38847383335246438</v>
      </c>
      <c r="N219" s="149">
        <f t="shared" si="607"/>
        <v>284.91760712866062</v>
      </c>
      <c r="O219" s="149">
        <f t="shared" si="598"/>
        <v>3.5999999999999996</v>
      </c>
      <c r="P219" s="188">
        <f t="shared" si="608"/>
        <v>9.4972535709553547</v>
      </c>
      <c r="Q219" s="188">
        <f t="shared" si="609"/>
        <v>30</v>
      </c>
      <c r="R219" s="188"/>
      <c r="S219" s="149">
        <f t="shared" si="610"/>
        <v>6002.8052208597028</v>
      </c>
      <c r="T219" s="149">
        <f t="shared" si="611"/>
        <v>30</v>
      </c>
      <c r="U219" s="188">
        <f t="shared" si="612"/>
        <v>0.38675703100564418</v>
      </c>
      <c r="V219" s="188">
        <f t="shared" si="613"/>
        <v>3.7931810121981824E-2</v>
      </c>
      <c r="W219" s="188">
        <f t="shared" si="614"/>
        <v>5.9711892602102946E-2</v>
      </c>
      <c r="X219" s="172">
        <f t="shared" si="615"/>
        <v>350</v>
      </c>
      <c r="Y219" s="379">
        <f t="shared" si="678"/>
        <v>350</v>
      </c>
      <c r="AA219" s="188">
        <f t="shared" si="616"/>
        <v>11.316859743736355</v>
      </c>
      <c r="AB219" s="150">
        <f t="shared" si="617"/>
        <v>1.7472238626249716</v>
      </c>
      <c r="AC219" s="150">
        <f t="shared" si="618"/>
        <v>3.460290293991314</v>
      </c>
      <c r="AD219" s="150"/>
      <c r="AE219" s="150">
        <f t="shared" si="619"/>
        <v>0.93570440659754173</v>
      </c>
      <c r="AF219" s="314">
        <f t="shared" si="620"/>
        <v>42.321057505751874</v>
      </c>
      <c r="AG219" s="456">
        <f t="shared" si="621"/>
        <v>0.99241376457315034</v>
      </c>
      <c r="AI219" s="150">
        <f t="shared" si="622"/>
        <v>2.1074646042561449</v>
      </c>
      <c r="AJ219" s="150">
        <f t="shared" si="623"/>
        <v>6.0606060606060606</v>
      </c>
      <c r="AK219" s="150">
        <f t="shared" si="624"/>
        <v>1.0241834614318581</v>
      </c>
      <c r="AM219" s="314">
        <f t="shared" si="625"/>
        <v>120</v>
      </c>
      <c r="AN219" s="144">
        <f t="shared" si="626"/>
        <v>42.321057505751874</v>
      </c>
      <c r="AP219">
        <f t="shared" si="627"/>
        <v>120</v>
      </c>
      <c r="AQ219">
        <f t="shared" si="628"/>
        <v>42.321057505751874</v>
      </c>
      <c r="AS219" s="5">
        <f t="shared" si="599"/>
        <v>23.628899156503582</v>
      </c>
      <c r="AT219" s="5">
        <f t="shared" si="629"/>
        <v>0.59440356576655595</v>
      </c>
      <c r="AU219" s="5">
        <f t="shared" si="477"/>
        <v>23.034495590737027</v>
      </c>
      <c r="AV219" s="5"/>
      <c r="AW219" s="150">
        <f t="shared" si="478"/>
        <v>2.5155787488430378E-2</v>
      </c>
      <c r="AX219" s="150">
        <f t="shared" si="630"/>
        <v>3.6530573053633382</v>
      </c>
      <c r="AY219" s="150">
        <f t="shared" si="631"/>
        <v>2.9540733712471807</v>
      </c>
      <c r="AZ219" s="150">
        <f t="shared" si="632"/>
        <v>1.2366169848452522</v>
      </c>
      <c r="BA219" s="144">
        <f t="shared" si="593"/>
        <v>0.23776142630662234</v>
      </c>
      <c r="BB219" s="5">
        <f t="shared" si="594"/>
        <v>1.0178874932380788</v>
      </c>
      <c r="BD219" s="150">
        <f t="shared" si="679"/>
        <v>0.5549762359307624</v>
      </c>
      <c r="BE219" s="150">
        <f t="shared" si="680"/>
        <v>3.4548010050995837</v>
      </c>
      <c r="BG219" s="456">
        <f t="shared" si="681"/>
        <v>3.695983469374527E-3</v>
      </c>
      <c r="BH219" s="456">
        <f t="shared" si="633"/>
        <v>0.36681859802010763</v>
      </c>
      <c r="BI219" s="456">
        <f t="shared" si="682"/>
        <v>4.8669216131614658E-3</v>
      </c>
      <c r="BJ219" s="456">
        <f t="shared" si="683"/>
        <v>0.13449269219257431</v>
      </c>
      <c r="BK219">
        <f t="shared" si="684"/>
        <v>2.1564779480505315E-2</v>
      </c>
      <c r="BL219" s="144">
        <f t="shared" si="685"/>
        <v>26.431701093666781</v>
      </c>
      <c r="BM219" s="456">
        <f t="shared" si="634"/>
        <v>0.50644993616748024</v>
      </c>
      <c r="BN219" s="144">
        <f t="shared" si="686"/>
        <v>506.44993616748025</v>
      </c>
      <c r="BO219" s="456">
        <f t="shared" si="635"/>
        <v>8.3999999999999991E-2</v>
      </c>
      <c r="BR219" s="144">
        <f t="shared" si="687"/>
        <v>83.999999999999986</v>
      </c>
      <c r="BS219" s="456">
        <f t="shared" si="688"/>
        <v>4.3119807142702818E-3</v>
      </c>
      <c r="BT219" s="456">
        <f t="shared" si="689"/>
        <v>0.16709909978771931</v>
      </c>
      <c r="BU219" s="456">
        <f t="shared" si="690"/>
        <v>5.2680686013446852E-2</v>
      </c>
      <c r="BV219" s="456"/>
      <c r="BW219" s="456">
        <f t="shared" si="691"/>
        <v>0.15544924703673782</v>
      </c>
      <c r="BX219" s="144">
        <f t="shared" si="692"/>
        <v>379.54101355217426</v>
      </c>
      <c r="BY219" s="150">
        <f t="shared" si="693"/>
        <v>0.99497998832789747</v>
      </c>
      <c r="BZ219" s="5">
        <f t="shared" si="694"/>
        <v>3.5999999999999996</v>
      </c>
      <c r="CA219" s="150">
        <f t="shared" si="695"/>
        <v>0.78346369497683743</v>
      </c>
      <c r="CB219" s="5">
        <f t="shared" si="696"/>
        <v>78.346369497683739</v>
      </c>
      <c r="CE219" s="59">
        <f t="shared" si="636"/>
        <v>-50</v>
      </c>
      <c r="CF219">
        <f t="shared" si="637"/>
        <v>-50</v>
      </c>
      <c r="CG219" s="150">
        <f t="shared" si="638"/>
        <v>3.986312581822956E-2</v>
      </c>
      <c r="CI219" s="147">
        <v>3</v>
      </c>
      <c r="CJ219" s="188">
        <f t="shared" si="697"/>
        <v>0.12</v>
      </c>
      <c r="CK219" s="188"/>
      <c r="CL219" s="188">
        <f t="shared" si="639"/>
        <v>3.5999999999999996</v>
      </c>
      <c r="CM219" s="465">
        <f t="shared" si="640"/>
        <v>48</v>
      </c>
      <c r="CN219" s="379">
        <f t="shared" si="641"/>
        <v>30.4</v>
      </c>
      <c r="CO219" s="379">
        <f t="shared" si="642"/>
        <v>78.400000000000006</v>
      </c>
      <c r="CP219" s="379"/>
      <c r="CQ219" s="188">
        <f t="shared" si="643"/>
        <v>0.38775510204081626</v>
      </c>
      <c r="CR219" s="149">
        <f t="shared" si="644"/>
        <v>284.85494809142222</v>
      </c>
      <c r="CS219" s="149">
        <f t="shared" si="645"/>
        <v>3.5999999999999996</v>
      </c>
      <c r="CT219" s="188">
        <f t="shared" si="646"/>
        <v>9.4951649363807409</v>
      </c>
      <c r="CU219" s="188">
        <f t="shared" si="647"/>
        <v>30</v>
      </c>
      <c r="CV219" s="188"/>
      <c r="CW219" s="149">
        <f t="shared" si="648"/>
        <v>6012.6092536828037</v>
      </c>
      <c r="CX219" s="149">
        <f t="shared" si="649"/>
        <v>30</v>
      </c>
      <c r="CY219" s="188">
        <f t="shared" si="650"/>
        <v>0.38684210526315793</v>
      </c>
      <c r="CZ219" s="188">
        <f t="shared" si="651"/>
        <v>3.7878289473684212E-2</v>
      </c>
      <c r="DA219" s="188">
        <f t="shared" si="652"/>
        <v>5.9807825484764543E-2</v>
      </c>
      <c r="DB219" s="172">
        <f t="shared" si="653"/>
        <v>350</v>
      </c>
      <c r="DC219" s="379">
        <f t="shared" si="654"/>
        <v>350</v>
      </c>
      <c r="DE219" s="188">
        <f t="shared" si="655"/>
        <v>11.314434588425037</v>
      </c>
      <c r="DF219" s="150">
        <f t="shared" si="656"/>
        <v>1.7492711370262393</v>
      </c>
      <c r="DG219" s="150">
        <f t="shared" si="657"/>
        <v>3.463602425028073</v>
      </c>
      <c r="DH219" s="150"/>
      <c r="DI219" s="150">
        <f t="shared" si="658"/>
        <v>0.93700159489633172</v>
      </c>
      <c r="DJ219" s="314">
        <f t="shared" si="659"/>
        <v>42.262468085106384</v>
      </c>
      <c r="DK219" s="456">
        <f t="shared" si="660"/>
        <v>0.99378957034459414</v>
      </c>
      <c r="DM219" s="150">
        <f t="shared" si="661"/>
        <v>2.106005308317767</v>
      </c>
      <c r="DN219" s="150">
        <f t="shared" si="662"/>
        <v>6.0606060606060606</v>
      </c>
      <c r="DO219" s="150">
        <f t="shared" si="663"/>
        <v>1.0241499817629178</v>
      </c>
      <c r="DQ219" s="314">
        <f t="shared" si="664"/>
        <v>120</v>
      </c>
      <c r="DR219" s="144">
        <f t="shared" si="665"/>
        <v>42.262468085106384</v>
      </c>
      <c r="DT219">
        <f t="shared" si="666"/>
        <v>120</v>
      </c>
      <c r="DU219">
        <f t="shared" si="667"/>
        <v>42.262468085106384</v>
      </c>
      <c r="DW219" s="5">
        <f t="shared" si="668"/>
        <v>23.661656436776052</v>
      </c>
      <c r="DX219" s="5">
        <f t="shared" si="669"/>
        <v>0.59343434343434343</v>
      </c>
      <c r="DY219" s="5">
        <f t="shared" si="670"/>
        <v>23.06822209334171</v>
      </c>
      <c r="DZ219" s="5"/>
      <c r="EA219" s="150">
        <f t="shared" si="671"/>
        <v>2.5080000000000002E-2</v>
      </c>
      <c r="EB219" s="150">
        <f t="shared" si="698"/>
        <v>3.6479999999999992</v>
      </c>
      <c r="EC219" s="150">
        <f t="shared" si="699"/>
        <v>2.9543030303030302</v>
      </c>
      <c r="ED219" s="150">
        <f t="shared" si="700"/>
        <v>1.2348090099700486</v>
      </c>
      <c r="EE219" s="144">
        <f t="shared" si="672"/>
        <v>0.23737373737373738</v>
      </c>
      <c r="EF219" s="5">
        <f t="shared" si="673"/>
        <v>1.0177156805886047</v>
      </c>
      <c r="EH219" s="150">
        <f t="shared" si="701"/>
        <v>0.55413960972908904</v>
      </c>
      <c r="EI219" s="150">
        <f t="shared" si="702"/>
        <v>3.4549352960966235</v>
      </c>
      <c r="EK219" s="456">
        <f t="shared" si="703"/>
        <v>3.6848484848484853E-3</v>
      </c>
      <c r="EL219" s="456">
        <f t="shared" si="704"/>
        <v>0.38154043914893621</v>
      </c>
      <c r="EM219" s="456">
        <f t="shared" si="705"/>
        <v>4.8601838297872343E-3</v>
      </c>
      <c r="EN219" s="456">
        <f t="shared" si="706"/>
        <v>0.13443035184367663</v>
      </c>
      <c r="EO219">
        <f t="shared" si="707"/>
        <v>2.1600000000000001E-2</v>
      </c>
      <c r="EP219" s="144">
        <f t="shared" si="708"/>
        <v>26.460183829787237</v>
      </c>
      <c r="EQ219" s="144"/>
      <c r="ER219" s="144">
        <f t="shared" si="709"/>
        <v>546.11582330724866</v>
      </c>
      <c r="ES219" s="456">
        <f t="shared" si="710"/>
        <v>8.3999999999999991E-2</v>
      </c>
      <c r="EV219" s="144">
        <f t="shared" si="711"/>
        <v>83.999999999999986</v>
      </c>
      <c r="EW219" s="456">
        <f t="shared" si="712"/>
        <v>4.2989898989898995E-3</v>
      </c>
      <c r="EX219" s="456">
        <f t="shared" si="713"/>
        <v>0.1671120906029997</v>
      </c>
      <c r="EY219" s="456">
        <f t="shared" si="714"/>
        <v>5.2498546964892041E-2</v>
      </c>
      <c r="EZ219" s="456"/>
      <c r="FA219" s="456">
        <f t="shared" si="715"/>
        <v>0.15523404255319148</v>
      </c>
      <c r="FB219" s="144">
        <f t="shared" si="716"/>
        <v>379.1436700200731</v>
      </c>
      <c r="FC219" s="150">
        <f t="shared" si="717"/>
        <v>1.0092594933273218</v>
      </c>
      <c r="FD219" s="5">
        <f t="shared" si="718"/>
        <v>3.5999999999999996</v>
      </c>
      <c r="FE219" s="150">
        <f t="shared" si="719"/>
        <v>0.78103652120511002</v>
      </c>
      <c r="FF219" s="5">
        <f t="shared" si="720"/>
        <v>78.103652120511001</v>
      </c>
      <c r="FI219" s="59">
        <f t="shared" si="674"/>
        <v>-50</v>
      </c>
      <c r="FJ219">
        <f t="shared" si="675"/>
        <v>-50</v>
      </c>
      <c r="FL219">
        <f t="shared" si="676"/>
        <v>3.9600000000000003E-2</v>
      </c>
    </row>
    <row r="220" spans="5:168">
      <c r="E220" s="147">
        <v>4</v>
      </c>
      <c r="F220" s="188">
        <f t="shared" si="677"/>
        <v>0.16</v>
      </c>
      <c r="G220" s="188"/>
      <c r="H220" s="188">
        <f t="shared" si="602"/>
        <v>4.8</v>
      </c>
      <c r="I220" s="465">
        <f t="shared" si="603"/>
        <v>47.921732178900704</v>
      </c>
      <c r="J220" s="149">
        <f t="shared" si="604"/>
        <v>30.44214421136116</v>
      </c>
      <c r="K220" s="149">
        <f t="shared" si="605"/>
        <v>78.363876390261865</v>
      </c>
      <c r="L220" s="379"/>
      <c r="M220" s="188">
        <f t="shared" si="606"/>
        <v>0.38847383335246438</v>
      </c>
      <c r="N220" s="149">
        <f t="shared" si="607"/>
        <v>284.91760712866062</v>
      </c>
      <c r="O220" s="149">
        <f t="shared" si="598"/>
        <v>4.8</v>
      </c>
      <c r="P220" s="188">
        <f t="shared" si="608"/>
        <v>9.4972535709553547</v>
      </c>
      <c r="Q220" s="188">
        <f t="shared" si="609"/>
        <v>30</v>
      </c>
      <c r="R220" s="188"/>
      <c r="S220" s="149">
        <f t="shared" si="610"/>
        <v>4490.1253564899253</v>
      </c>
      <c r="T220" s="149">
        <f t="shared" si="611"/>
        <v>30</v>
      </c>
      <c r="U220" s="188">
        <f t="shared" si="612"/>
        <v>0.51567604134085898</v>
      </c>
      <c r="V220" s="188">
        <f t="shared" si="613"/>
        <v>5.0575746829309098E-2</v>
      </c>
      <c r="W220" s="188">
        <f t="shared" si="614"/>
        <v>7.9615856802803961E-2</v>
      </c>
      <c r="X220" s="172">
        <f t="shared" si="615"/>
        <v>350</v>
      </c>
      <c r="Y220" s="379">
        <f t="shared" si="678"/>
        <v>350</v>
      </c>
      <c r="AA220" s="188">
        <f t="shared" si="616"/>
        <v>11.316859743736355</v>
      </c>
      <c r="AB220" s="150">
        <f t="shared" si="617"/>
        <v>1.7472238626249716</v>
      </c>
      <c r="AC220" s="150">
        <f t="shared" si="618"/>
        <v>3.460290293991314</v>
      </c>
      <c r="AD220" s="150"/>
      <c r="AE220" s="150">
        <f t="shared" si="619"/>
        <v>0.93570440659754173</v>
      </c>
      <c r="AF220" s="314">
        <f t="shared" si="620"/>
        <v>56.428076674335841</v>
      </c>
      <c r="AG220" s="456">
        <f t="shared" si="621"/>
        <v>0.99241376457315034</v>
      </c>
      <c r="AI220" s="150">
        <f t="shared" si="622"/>
        <v>2.433490513149787</v>
      </c>
      <c r="AJ220" s="150">
        <f t="shared" si="623"/>
        <v>6.0606060606060606</v>
      </c>
      <c r="AK220" s="150">
        <f t="shared" si="624"/>
        <v>1.0322446152424776</v>
      </c>
      <c r="AM220" s="314">
        <f t="shared" si="625"/>
        <v>160</v>
      </c>
      <c r="AN220" s="144">
        <f t="shared" si="626"/>
        <v>56.428076674335841</v>
      </c>
      <c r="AP220">
        <f t="shared" si="627"/>
        <v>160</v>
      </c>
      <c r="AQ220">
        <f t="shared" si="628"/>
        <v>56.428076674335841</v>
      </c>
      <c r="AS220" s="5">
        <f t="shared" si="599"/>
        <v>17.721674367377684</v>
      </c>
      <c r="AT220" s="5">
        <f t="shared" si="629"/>
        <v>0.59440356576655595</v>
      </c>
      <c r="AU220" s="5">
        <f t="shared" si="477"/>
        <v>17.127270801611129</v>
      </c>
      <c r="AV220" s="5"/>
      <c r="AW220" s="150">
        <f t="shared" si="478"/>
        <v>3.3541049984573842E-2</v>
      </c>
      <c r="AX220" s="150">
        <f t="shared" si="630"/>
        <v>4.8707430738177857</v>
      </c>
      <c r="AY220" s="150">
        <f t="shared" si="631"/>
        <v>2.9286634848952309</v>
      </c>
      <c r="AZ220" s="150">
        <f t="shared" si="632"/>
        <v>1.6631282832387382</v>
      </c>
      <c r="BA220" s="144">
        <f t="shared" si="593"/>
        <v>0.3170152350754965</v>
      </c>
      <c r="BB220" s="5">
        <f t="shared" si="594"/>
        <v>1.0091319877811065</v>
      </c>
      <c r="BD220" s="150">
        <f t="shared" si="679"/>
        <v>0.64083135841694194</v>
      </c>
      <c r="BE220" s="150">
        <f t="shared" si="680"/>
        <v>3.4399104315889484</v>
      </c>
      <c r="BG220" s="456">
        <f t="shared" si="681"/>
        <v>4.9279779591660374E-3</v>
      </c>
      <c r="BH220" s="456">
        <f t="shared" si="633"/>
        <v>0.48909146402681014</v>
      </c>
      <c r="BI220" s="456">
        <f t="shared" si="682"/>
        <v>6.4892288175486231E-3</v>
      </c>
      <c r="BJ220" s="456">
        <f t="shared" si="683"/>
        <v>0.17932358959009911</v>
      </c>
      <c r="BK220">
        <f t="shared" si="684"/>
        <v>2.1564779480505315E-2</v>
      </c>
      <c r="BL220" s="144">
        <f t="shared" si="685"/>
        <v>28.054008298053937</v>
      </c>
      <c r="BM220" s="456">
        <f t="shared" si="634"/>
        <v>0.67546447858233649</v>
      </c>
      <c r="BN220" s="144">
        <f t="shared" si="686"/>
        <v>675.46447858233648</v>
      </c>
      <c r="BO220" s="456">
        <f t="shared" si="635"/>
        <v>0.11199999999999999</v>
      </c>
      <c r="BR220" s="144">
        <f t="shared" si="687"/>
        <v>111.99999999999999</v>
      </c>
      <c r="BS220" s="456">
        <f t="shared" si="688"/>
        <v>5.7493076190270435E-3</v>
      </c>
      <c r="BT220" s="456">
        <f t="shared" si="689"/>
        <v>0.16566177288296252</v>
      </c>
      <c r="BU220" s="456">
        <f t="shared" si="690"/>
        <v>0.10814296267007191</v>
      </c>
      <c r="BV220" s="456"/>
      <c r="BW220" s="456">
        <f t="shared" si="691"/>
        <v>0.2072656627156505</v>
      </c>
      <c r="BX220" s="144">
        <f t="shared" si="692"/>
        <v>486.81970588771196</v>
      </c>
      <c r="BY220" s="150">
        <f t="shared" si="693"/>
        <v>1.300216745761841</v>
      </c>
      <c r="BZ220" s="5">
        <f t="shared" si="694"/>
        <v>4.8</v>
      </c>
      <c r="CA220" s="150">
        <f t="shared" si="695"/>
        <v>0.78685728721603632</v>
      </c>
      <c r="CB220" s="5">
        <f t="shared" si="696"/>
        <v>78.685728721603638</v>
      </c>
      <c r="CE220" s="59">
        <f t="shared" si="636"/>
        <v>-50</v>
      </c>
      <c r="CF220">
        <f t="shared" si="637"/>
        <v>-50</v>
      </c>
      <c r="CG220" s="150">
        <f t="shared" si="638"/>
        <v>5.3150834424306084E-2</v>
      </c>
      <c r="CI220" s="147">
        <v>4</v>
      </c>
      <c r="CJ220" s="188">
        <f t="shared" si="697"/>
        <v>0.16</v>
      </c>
      <c r="CK220" s="188"/>
      <c r="CL220" s="188">
        <f t="shared" si="639"/>
        <v>4.8</v>
      </c>
      <c r="CM220" s="465">
        <f t="shared" si="640"/>
        <v>48</v>
      </c>
      <c r="CN220" s="379">
        <f t="shared" si="641"/>
        <v>30.4</v>
      </c>
      <c r="CO220" s="379">
        <f t="shared" si="642"/>
        <v>78.400000000000006</v>
      </c>
      <c r="CP220" s="379"/>
      <c r="CQ220" s="188">
        <f t="shared" si="643"/>
        <v>0.38775510204081626</v>
      </c>
      <c r="CR220" s="149">
        <f t="shared" si="644"/>
        <v>284.85494809142222</v>
      </c>
      <c r="CS220" s="149">
        <f t="shared" si="645"/>
        <v>4.8</v>
      </c>
      <c r="CT220" s="188">
        <f t="shared" si="646"/>
        <v>9.4951649363807409</v>
      </c>
      <c r="CU220" s="188">
        <f t="shared" si="647"/>
        <v>30</v>
      </c>
      <c r="CV220" s="188"/>
      <c r="CW220" s="149">
        <f t="shared" si="648"/>
        <v>4497.45881415234</v>
      </c>
      <c r="CX220" s="149">
        <f t="shared" si="649"/>
        <v>30</v>
      </c>
      <c r="CY220" s="188">
        <f t="shared" si="650"/>
        <v>0.51578947368421058</v>
      </c>
      <c r="CZ220" s="188">
        <f t="shared" si="651"/>
        <v>5.0504385964912288E-2</v>
      </c>
      <c r="DA220" s="188">
        <f t="shared" si="652"/>
        <v>7.9743767313019395E-2</v>
      </c>
      <c r="DB220" s="172">
        <f t="shared" si="653"/>
        <v>350</v>
      </c>
      <c r="DC220" s="379">
        <f t="shared" si="654"/>
        <v>350</v>
      </c>
      <c r="DE220" s="188">
        <f t="shared" si="655"/>
        <v>11.314434588425037</v>
      </c>
      <c r="DF220" s="150">
        <f t="shared" si="656"/>
        <v>1.7492711370262393</v>
      </c>
      <c r="DG220" s="150">
        <f t="shared" si="657"/>
        <v>3.463602425028073</v>
      </c>
      <c r="DH220" s="150"/>
      <c r="DI220" s="150">
        <f t="shared" si="658"/>
        <v>0.93700159489633172</v>
      </c>
      <c r="DJ220" s="314">
        <f t="shared" si="659"/>
        <v>56.34995744680851</v>
      </c>
      <c r="DK220" s="456">
        <f t="shared" si="660"/>
        <v>0.99378957034459414</v>
      </c>
      <c r="DM220" s="150">
        <f t="shared" si="661"/>
        <v>2.4318054633440873</v>
      </c>
      <c r="DN220" s="150">
        <f t="shared" si="662"/>
        <v>6.0606060606060606</v>
      </c>
      <c r="DO220" s="150">
        <f t="shared" si="663"/>
        <v>1.0321999756838907</v>
      </c>
      <c r="DQ220" s="314">
        <f t="shared" si="664"/>
        <v>160</v>
      </c>
      <c r="DR220" s="144">
        <f t="shared" si="665"/>
        <v>56.34995744680851</v>
      </c>
      <c r="DT220">
        <f t="shared" si="666"/>
        <v>160</v>
      </c>
      <c r="DU220">
        <f t="shared" si="667"/>
        <v>56.34995744680851</v>
      </c>
      <c r="DW220" s="5">
        <f t="shared" si="668"/>
        <v>17.746242327582038</v>
      </c>
      <c r="DX220" s="5">
        <f t="shared" si="669"/>
        <v>0.59343434343434343</v>
      </c>
      <c r="DY220" s="5">
        <f t="shared" si="670"/>
        <v>17.152807984147696</v>
      </c>
      <c r="DZ220" s="5"/>
      <c r="EA220" s="150">
        <f t="shared" si="671"/>
        <v>3.3440000000000004E-2</v>
      </c>
      <c r="EB220" s="150">
        <f t="shared" si="698"/>
        <v>4.863999999999999</v>
      </c>
      <c r="EC220" s="150">
        <f t="shared" si="699"/>
        <v>2.928969696969697</v>
      </c>
      <c r="ED220" s="150">
        <f t="shared" si="700"/>
        <v>1.6606522098990231</v>
      </c>
      <c r="EE220" s="144">
        <f t="shared" si="672"/>
        <v>0.3164983164983165</v>
      </c>
      <c r="EF220" s="5">
        <f t="shared" si="673"/>
        <v>1.0089887049498643</v>
      </c>
      <c r="EH220" s="150">
        <f t="shared" si="701"/>
        <v>0.63986530569144739</v>
      </c>
      <c r="EI220" s="150">
        <f t="shared" si="702"/>
        <v>3.4400902601323358</v>
      </c>
      <c r="EK220" s="456">
        <f t="shared" si="703"/>
        <v>4.9131313131313128E-3</v>
      </c>
      <c r="EL220" s="456">
        <f t="shared" si="704"/>
        <v>0.50872058553191501</v>
      </c>
      <c r="EM220" s="456">
        <f t="shared" si="705"/>
        <v>6.4802451063829796E-3</v>
      </c>
      <c r="EN220" s="456">
        <f t="shared" si="706"/>
        <v>0.17924046912490219</v>
      </c>
      <c r="EO220">
        <f t="shared" si="707"/>
        <v>2.1600000000000001E-2</v>
      </c>
      <c r="EP220" s="144">
        <f t="shared" si="708"/>
        <v>28.080245106382982</v>
      </c>
      <c r="EQ220" s="144"/>
      <c r="ER220" s="144">
        <f t="shared" si="709"/>
        <v>720.9544310763315</v>
      </c>
      <c r="ES220" s="456">
        <f t="shared" si="710"/>
        <v>0.11199999999999999</v>
      </c>
      <c r="EV220" s="144">
        <f t="shared" si="711"/>
        <v>111.99999999999999</v>
      </c>
      <c r="EW220" s="456">
        <f t="shared" si="712"/>
        <v>5.7319865319865318E-3</v>
      </c>
      <c r="EX220" s="456">
        <f t="shared" si="713"/>
        <v>0.16567909397000305</v>
      </c>
      <c r="EY220" s="456">
        <f t="shared" si="714"/>
        <v>0.1077690674568697</v>
      </c>
      <c r="EZ220" s="456"/>
      <c r="FA220" s="456">
        <f t="shared" si="715"/>
        <v>0.20697872340425533</v>
      </c>
      <c r="FB220" s="144">
        <f t="shared" si="716"/>
        <v>486.1588713631146</v>
      </c>
      <c r="FC220" s="150">
        <f t="shared" si="717"/>
        <v>1.3191133024394459</v>
      </c>
      <c r="FD220" s="5">
        <f t="shared" si="718"/>
        <v>4.8</v>
      </c>
      <c r="FE220" s="150">
        <f t="shared" si="719"/>
        <v>0.78442737742516255</v>
      </c>
      <c r="FF220" s="5">
        <f t="shared" si="720"/>
        <v>78.442737742516258</v>
      </c>
      <c r="FI220" s="59">
        <f t="shared" si="674"/>
        <v>-50</v>
      </c>
      <c r="FJ220">
        <f t="shared" si="675"/>
        <v>-50</v>
      </c>
      <c r="FL220">
        <f t="shared" si="676"/>
        <v>5.28E-2</v>
      </c>
    </row>
    <row r="221" spans="5:168">
      <c r="E221" s="147">
        <v>5</v>
      </c>
      <c r="F221" s="188">
        <f t="shared" si="677"/>
        <v>0.2</v>
      </c>
      <c r="G221" s="188"/>
      <c r="H221" s="188">
        <f t="shared" si="602"/>
        <v>6</v>
      </c>
      <c r="I221" s="465">
        <f t="shared" si="603"/>
        <v>47.921732178900704</v>
      </c>
      <c r="J221" s="149">
        <f t="shared" si="604"/>
        <v>30.44214421136116</v>
      </c>
      <c r="K221" s="149">
        <f t="shared" si="605"/>
        <v>78.363876390261865</v>
      </c>
      <c r="L221" s="379"/>
      <c r="M221" s="188">
        <f t="shared" si="606"/>
        <v>0.38847383335246438</v>
      </c>
      <c r="N221" s="149">
        <f t="shared" si="607"/>
        <v>284.91760712866062</v>
      </c>
      <c r="O221" s="149">
        <f t="shared" si="598"/>
        <v>6</v>
      </c>
      <c r="P221" s="188">
        <f t="shared" si="608"/>
        <v>9.4972535709553547</v>
      </c>
      <c r="Q221" s="188">
        <f t="shared" si="609"/>
        <v>30</v>
      </c>
      <c r="R221" s="188"/>
      <c r="S221" s="149">
        <f t="shared" si="610"/>
        <v>3582.5178738213804</v>
      </c>
      <c r="T221" s="149">
        <f t="shared" si="611"/>
        <v>30</v>
      </c>
      <c r="U221" s="188">
        <f t="shared" si="612"/>
        <v>0.64459505167607367</v>
      </c>
      <c r="V221" s="188">
        <f t="shared" si="613"/>
        <v>6.3219683536636373E-2</v>
      </c>
      <c r="W221" s="188">
        <f t="shared" si="614"/>
        <v>9.9519821003504927E-2</v>
      </c>
      <c r="X221" s="172">
        <f t="shared" si="615"/>
        <v>350</v>
      </c>
      <c r="Y221" s="379">
        <f t="shared" si="678"/>
        <v>350</v>
      </c>
      <c r="AA221" s="188">
        <f t="shared" si="616"/>
        <v>11.316859743736355</v>
      </c>
      <c r="AB221" s="150">
        <f t="shared" si="617"/>
        <v>1.7472238626249716</v>
      </c>
      <c r="AC221" s="150">
        <f t="shared" si="618"/>
        <v>3.460290293991314</v>
      </c>
      <c r="AD221" s="150"/>
      <c r="AE221" s="150">
        <f t="shared" si="619"/>
        <v>0.93570440659754173</v>
      </c>
      <c r="AF221" s="314">
        <f t="shared" si="620"/>
        <v>70.535095842919787</v>
      </c>
      <c r="AG221" s="456">
        <f t="shared" si="621"/>
        <v>0.99241376457315034</v>
      </c>
      <c r="AI221" s="150">
        <f t="shared" si="622"/>
        <v>2.7207251050018848</v>
      </c>
      <c r="AJ221" s="150">
        <f t="shared" si="623"/>
        <v>6.0606060606060606</v>
      </c>
      <c r="AK221" s="150">
        <f t="shared" si="624"/>
        <v>1.040305769053097</v>
      </c>
      <c r="AM221" s="314">
        <f t="shared" si="625"/>
        <v>200</v>
      </c>
      <c r="AN221" s="144">
        <f t="shared" si="626"/>
        <v>70.535095842919787</v>
      </c>
      <c r="AP221">
        <f t="shared" si="627"/>
        <v>200</v>
      </c>
      <c r="AQ221">
        <f t="shared" si="628"/>
        <v>70.535095842919787</v>
      </c>
      <c r="AS221" s="5">
        <f t="shared" si="599"/>
        <v>14.177339493902149</v>
      </c>
      <c r="AT221" s="5">
        <f t="shared" si="629"/>
        <v>0.59440356576655595</v>
      </c>
      <c r="AU221" s="5">
        <f t="shared" si="477"/>
        <v>13.582935928135594</v>
      </c>
      <c r="AV221" s="5"/>
      <c r="AW221" s="150">
        <f t="shared" si="478"/>
        <v>4.19263124807173E-2</v>
      </c>
      <c r="AX221" s="150">
        <f t="shared" si="630"/>
        <v>6.0884288422722301</v>
      </c>
      <c r="AY221" s="150">
        <f t="shared" si="631"/>
        <v>2.903253598543281</v>
      </c>
      <c r="AZ221" s="150">
        <f t="shared" si="632"/>
        <v>2.0971054148790595</v>
      </c>
      <c r="BA221" s="144">
        <f t="shared" si="593"/>
        <v>0.39626904384437067</v>
      </c>
      <c r="BB221" s="5">
        <f t="shared" si="594"/>
        <v>1.0003764823241346</v>
      </c>
      <c r="BD221" s="150">
        <f t="shared" si="679"/>
        <v>0.71647123976690708</v>
      </c>
      <c r="BE221" s="150">
        <f t="shared" si="680"/>
        <v>3.4249551193952663</v>
      </c>
      <c r="BG221" s="456">
        <f t="shared" si="681"/>
        <v>6.1599724489575453E-3</v>
      </c>
      <c r="BH221" s="456">
        <f t="shared" si="633"/>
        <v>0.61136433003351265</v>
      </c>
      <c r="BI221" s="456">
        <f t="shared" si="682"/>
        <v>8.1115360219357769E-3</v>
      </c>
      <c r="BJ221" s="456">
        <f t="shared" si="683"/>
        <v>0.22415448698762386</v>
      </c>
      <c r="BK221">
        <f t="shared" si="684"/>
        <v>2.1564779480505315E-2</v>
      </c>
      <c r="BL221" s="144">
        <f t="shared" si="685"/>
        <v>29.676315502441092</v>
      </c>
      <c r="BM221" s="456">
        <f t="shared" si="634"/>
        <v>0.84457811454429332</v>
      </c>
      <c r="BN221" s="144">
        <f t="shared" si="686"/>
        <v>844.57811454429327</v>
      </c>
      <c r="BO221" s="456">
        <f t="shared" si="635"/>
        <v>0.13999999999999999</v>
      </c>
      <c r="BR221" s="144">
        <f t="shared" si="687"/>
        <v>139.99999999999997</v>
      </c>
      <c r="BS221" s="456">
        <f t="shared" si="688"/>
        <v>7.1866345237838036E-3</v>
      </c>
      <c r="BT221" s="456">
        <f t="shared" si="689"/>
        <v>0.16422444597820582</v>
      </c>
      <c r="BU221" s="456">
        <f t="shared" si="690"/>
        <v>0.18891798110820565</v>
      </c>
      <c r="BV221" s="456"/>
      <c r="BW221" s="456">
        <f t="shared" si="691"/>
        <v>0.25908207839456304</v>
      </c>
      <c r="BX221" s="144">
        <f t="shared" si="692"/>
        <v>619.41114000475841</v>
      </c>
      <c r="BY221" s="150">
        <f t="shared" si="693"/>
        <v>1.6307662449772935</v>
      </c>
      <c r="BZ221" s="5">
        <f t="shared" si="694"/>
        <v>6</v>
      </c>
      <c r="CA221" s="150">
        <f t="shared" si="695"/>
        <v>0.78629063024297297</v>
      </c>
      <c r="CB221" s="5">
        <f t="shared" si="696"/>
        <v>78.629063024297295</v>
      </c>
      <c r="CE221" s="59">
        <f t="shared" si="636"/>
        <v>-50</v>
      </c>
      <c r="CF221">
        <f t="shared" si="637"/>
        <v>-50</v>
      </c>
      <c r="CG221" s="150">
        <f t="shared" si="638"/>
        <v>6.6438543030382602E-2</v>
      </c>
      <c r="CI221" s="147">
        <v>5</v>
      </c>
      <c r="CJ221" s="188">
        <f t="shared" si="697"/>
        <v>0.2</v>
      </c>
      <c r="CK221" s="188"/>
      <c r="CL221" s="188">
        <f t="shared" si="639"/>
        <v>6</v>
      </c>
      <c r="CM221" s="465">
        <f t="shared" si="640"/>
        <v>48</v>
      </c>
      <c r="CN221" s="379">
        <f t="shared" si="641"/>
        <v>30.4</v>
      </c>
      <c r="CO221" s="379">
        <f t="shared" si="642"/>
        <v>78.400000000000006</v>
      </c>
      <c r="CP221" s="379"/>
      <c r="CQ221" s="188">
        <f t="shared" si="643"/>
        <v>0.38775510204081626</v>
      </c>
      <c r="CR221" s="149">
        <f t="shared" si="644"/>
        <v>284.85494809142222</v>
      </c>
      <c r="CS221" s="149">
        <f t="shared" si="645"/>
        <v>6</v>
      </c>
      <c r="CT221" s="188">
        <f t="shared" si="646"/>
        <v>9.4951649363807409</v>
      </c>
      <c r="CU221" s="188">
        <f t="shared" si="647"/>
        <v>30</v>
      </c>
      <c r="CV221" s="188"/>
      <c r="CW221" s="149">
        <f t="shared" si="648"/>
        <v>3588.3689863875779</v>
      </c>
      <c r="CX221" s="149">
        <f t="shared" si="649"/>
        <v>30</v>
      </c>
      <c r="CY221" s="188">
        <f t="shared" si="650"/>
        <v>0.64473684210526327</v>
      </c>
      <c r="CZ221" s="188">
        <f t="shared" si="651"/>
        <v>6.3130482456140363E-2</v>
      </c>
      <c r="DA221" s="188">
        <f t="shared" si="652"/>
        <v>9.9679709141274261E-2</v>
      </c>
      <c r="DB221" s="172">
        <f t="shared" si="653"/>
        <v>350</v>
      </c>
      <c r="DC221" s="379">
        <f t="shared" si="654"/>
        <v>350</v>
      </c>
      <c r="DE221" s="188">
        <f t="shared" si="655"/>
        <v>11.314434588425037</v>
      </c>
      <c r="DF221" s="150">
        <f t="shared" si="656"/>
        <v>1.7492711370262393</v>
      </c>
      <c r="DG221" s="150">
        <f t="shared" si="657"/>
        <v>3.463602425028073</v>
      </c>
      <c r="DH221" s="150"/>
      <c r="DI221" s="150">
        <f t="shared" si="658"/>
        <v>0.93700159489633172</v>
      </c>
      <c r="DJ221" s="314">
        <f t="shared" si="659"/>
        <v>70.437446808510643</v>
      </c>
      <c r="DK221" s="456">
        <f t="shared" si="660"/>
        <v>0.99378957034459414</v>
      </c>
      <c r="DM221" s="150">
        <f t="shared" si="661"/>
        <v>2.7188411620463762</v>
      </c>
      <c r="DN221" s="150">
        <f t="shared" si="662"/>
        <v>6.0606060606060606</v>
      </c>
      <c r="DO221" s="150">
        <f t="shared" si="663"/>
        <v>1.0402499696048633</v>
      </c>
      <c r="DQ221" s="314">
        <f t="shared" si="664"/>
        <v>200</v>
      </c>
      <c r="DR221" s="144">
        <f t="shared" si="665"/>
        <v>70.437446808510643</v>
      </c>
      <c r="DT221">
        <f t="shared" si="666"/>
        <v>200</v>
      </c>
      <c r="DU221">
        <f t="shared" si="667"/>
        <v>70.437446808510643</v>
      </c>
      <c r="DW221" s="5">
        <f t="shared" si="668"/>
        <v>14.196993862065632</v>
      </c>
      <c r="DX221" s="5">
        <f t="shared" si="669"/>
        <v>0.59343434343434343</v>
      </c>
      <c r="DY221" s="5">
        <f t="shared" si="670"/>
        <v>13.60355951863129</v>
      </c>
      <c r="DZ221" s="5"/>
      <c r="EA221" s="150">
        <f t="shared" si="671"/>
        <v>4.1799999999999997E-2</v>
      </c>
      <c r="EB221" s="150">
        <f t="shared" si="698"/>
        <v>6.0799999999999992</v>
      </c>
      <c r="EC221" s="150">
        <f t="shared" si="699"/>
        <v>2.9036363636363638</v>
      </c>
      <c r="ED221" s="150">
        <f t="shared" si="700"/>
        <v>2.0939261114589853</v>
      </c>
      <c r="EE221" s="144">
        <f t="shared" si="672"/>
        <v>0.3956228956228956</v>
      </c>
      <c r="EF221" s="5">
        <f t="shared" si="673"/>
        <v>1.0002617293111242</v>
      </c>
      <c r="EH221" s="150">
        <f t="shared" si="701"/>
        <v>0.71539115998487968</v>
      </c>
      <c r="EI221" s="150">
        <f t="shared" si="702"/>
        <v>3.4251808850775252</v>
      </c>
      <c r="EK221" s="456">
        <f t="shared" si="703"/>
        <v>6.1414141414141404E-3</v>
      </c>
      <c r="EL221" s="456">
        <f t="shared" si="704"/>
        <v>0.63590073191489382</v>
      </c>
      <c r="EM221" s="456">
        <f t="shared" si="705"/>
        <v>8.1003063829787249E-3</v>
      </c>
      <c r="EN221" s="456">
        <f t="shared" si="706"/>
        <v>0.22405058640612774</v>
      </c>
      <c r="EO221">
        <f t="shared" si="707"/>
        <v>2.1600000000000001E-2</v>
      </c>
      <c r="EP221" s="144">
        <f t="shared" si="708"/>
        <v>29.700306382978727</v>
      </c>
      <c r="EQ221" s="144"/>
      <c r="ER221" s="144">
        <f t="shared" si="709"/>
        <v>895.79303884541434</v>
      </c>
      <c r="ES221" s="456">
        <f t="shared" si="710"/>
        <v>0.13999999999999999</v>
      </c>
      <c r="EV221" s="144">
        <f t="shared" si="711"/>
        <v>139.99999999999997</v>
      </c>
      <c r="EW221" s="456">
        <f t="shared" si="712"/>
        <v>7.1649831649831632E-3</v>
      </c>
      <c r="EX221" s="456">
        <f t="shared" si="713"/>
        <v>0.16424609733700643</v>
      </c>
      <c r="EY221" s="456">
        <f t="shared" si="714"/>
        <v>0.18826481305103232</v>
      </c>
      <c r="EZ221" s="456"/>
      <c r="FA221" s="456">
        <f t="shared" si="715"/>
        <v>0.2587234042553192</v>
      </c>
      <c r="FB221" s="144">
        <f t="shared" si="716"/>
        <v>618.39929780834098</v>
      </c>
      <c r="FC221" s="150">
        <f t="shared" si="717"/>
        <v>1.6541923366537554</v>
      </c>
      <c r="FD221" s="5">
        <f t="shared" si="718"/>
        <v>6</v>
      </c>
      <c r="FE221" s="150">
        <f t="shared" si="719"/>
        <v>0.78388414297713715</v>
      </c>
      <c r="FF221" s="5">
        <f t="shared" si="720"/>
        <v>78.388414297713709</v>
      </c>
      <c r="FI221" s="59">
        <f t="shared" si="674"/>
        <v>-50</v>
      </c>
      <c r="FJ221">
        <f t="shared" si="675"/>
        <v>-50</v>
      </c>
      <c r="FL221">
        <f t="shared" si="676"/>
        <v>6.6000000000000003E-2</v>
      </c>
    </row>
    <row r="222" spans="5:168">
      <c r="E222" s="147">
        <v>6</v>
      </c>
      <c r="F222" s="188">
        <f t="shared" si="677"/>
        <v>0.24</v>
      </c>
      <c r="G222" s="188"/>
      <c r="H222" s="188">
        <f t="shared" si="602"/>
        <v>7.1999999999999993</v>
      </c>
      <c r="I222" s="465">
        <f t="shared" si="603"/>
        <v>47.921732178900704</v>
      </c>
      <c r="J222" s="149">
        <f t="shared" si="604"/>
        <v>30.44214421136116</v>
      </c>
      <c r="K222" s="149">
        <f t="shared" si="605"/>
        <v>78.363876390261865</v>
      </c>
      <c r="L222" s="379"/>
      <c r="M222" s="188">
        <f t="shared" si="606"/>
        <v>0.38847383335246438</v>
      </c>
      <c r="N222" s="149">
        <f t="shared" si="607"/>
        <v>284.91760712866062</v>
      </c>
      <c r="O222" s="149">
        <f t="shared" si="598"/>
        <v>7.1999999999999993</v>
      </c>
      <c r="P222" s="188">
        <f t="shared" si="608"/>
        <v>9.4972535709553547</v>
      </c>
      <c r="Q222" s="188">
        <f t="shared" si="609"/>
        <v>30</v>
      </c>
      <c r="R222" s="188"/>
      <c r="S222" s="149">
        <f t="shared" si="610"/>
        <v>2977.4465849010694</v>
      </c>
      <c r="T222" s="149">
        <f t="shared" si="611"/>
        <v>30</v>
      </c>
      <c r="U222" s="188">
        <f t="shared" si="612"/>
        <v>0.77351406201128836</v>
      </c>
      <c r="V222" s="188">
        <f t="shared" si="613"/>
        <v>7.5863620243963648E-2</v>
      </c>
      <c r="W222" s="188">
        <f t="shared" si="614"/>
        <v>0.11942378520420589</v>
      </c>
      <c r="X222" s="172">
        <f t="shared" si="615"/>
        <v>350</v>
      </c>
      <c r="Y222" s="379">
        <f t="shared" si="678"/>
        <v>350</v>
      </c>
      <c r="AA222" s="188">
        <f t="shared" si="616"/>
        <v>11.316859743736355</v>
      </c>
      <c r="AB222" s="150">
        <f t="shared" si="617"/>
        <v>1.7472238626249716</v>
      </c>
      <c r="AC222" s="150">
        <f t="shared" si="618"/>
        <v>3.460290293991314</v>
      </c>
      <c r="AD222" s="150"/>
      <c r="AE222" s="150">
        <f t="shared" si="619"/>
        <v>0.93570440659754173</v>
      </c>
      <c r="AF222" s="314">
        <f t="shared" si="620"/>
        <v>84.642115011503748</v>
      </c>
      <c r="AG222" s="456">
        <f t="shared" si="621"/>
        <v>0.99241376457315034</v>
      </c>
      <c r="AI222" s="150">
        <f t="shared" si="622"/>
        <v>2.9804050255602879</v>
      </c>
      <c r="AJ222" s="150">
        <f t="shared" si="623"/>
        <v>6.0606060606060606</v>
      </c>
      <c r="AK222" s="150">
        <f t="shared" si="624"/>
        <v>1.0483669228637165</v>
      </c>
      <c r="AM222" s="314">
        <f t="shared" si="625"/>
        <v>240</v>
      </c>
      <c r="AN222" s="144">
        <f t="shared" si="626"/>
        <v>84.642115011503748</v>
      </c>
      <c r="AP222">
        <f t="shared" si="627"/>
        <v>240</v>
      </c>
      <c r="AQ222">
        <f t="shared" si="628"/>
        <v>84.642115011503748</v>
      </c>
      <c r="AS222" s="5">
        <f t="shared" si="599"/>
        <v>11.814449578251791</v>
      </c>
      <c r="AT222" s="5">
        <f t="shared" si="629"/>
        <v>0.59440356576655595</v>
      </c>
      <c r="AU222" s="5">
        <f t="shared" si="477"/>
        <v>11.220046012485236</v>
      </c>
      <c r="AV222" s="5"/>
      <c r="AW222" s="150">
        <f t="shared" si="478"/>
        <v>5.0311574976860757E-2</v>
      </c>
      <c r="AX222" s="150">
        <f t="shared" si="630"/>
        <v>7.3061146107266763</v>
      </c>
      <c r="AY222" s="150">
        <f t="shared" si="631"/>
        <v>2.8778437121913307</v>
      </c>
      <c r="AZ222" s="150">
        <f t="shared" si="632"/>
        <v>2.5387461382200787</v>
      </c>
      <c r="BA222" s="144">
        <f t="shared" si="593"/>
        <v>0.47552285261324467</v>
      </c>
      <c r="BB222" s="5">
        <f t="shared" si="594"/>
        <v>0.99162097686716244</v>
      </c>
      <c r="BD222" s="150">
        <f t="shared" si="679"/>
        <v>0.78485491964805487</v>
      </c>
      <c r="BE222" s="150">
        <f t="shared" si="680"/>
        <v>3.4099342167246007</v>
      </c>
      <c r="BG222" s="456">
        <f t="shared" si="681"/>
        <v>7.3919669387490566E-3</v>
      </c>
      <c r="BH222" s="456">
        <f t="shared" si="633"/>
        <v>0.73363719604021527</v>
      </c>
      <c r="BI222" s="456">
        <f t="shared" si="682"/>
        <v>9.7338432263229316E-3</v>
      </c>
      <c r="BJ222" s="456">
        <f t="shared" si="683"/>
        <v>0.26898538438514863</v>
      </c>
      <c r="BK222">
        <f t="shared" si="684"/>
        <v>2.1564779480505315E-2</v>
      </c>
      <c r="BL222" s="144">
        <f t="shared" si="685"/>
        <v>31.298622706828247</v>
      </c>
      <c r="BM222" s="456">
        <f t="shared" si="634"/>
        <v>1.0137909312270077</v>
      </c>
      <c r="BN222" s="144">
        <f t="shared" si="686"/>
        <v>1013.7909312270077</v>
      </c>
      <c r="BO222" s="456">
        <f t="shared" si="635"/>
        <v>0.16799999999999998</v>
      </c>
      <c r="BR222" s="144">
        <f t="shared" si="687"/>
        <v>167.99999999999997</v>
      </c>
      <c r="BS222" s="456">
        <f t="shared" si="688"/>
        <v>8.6239614285405653E-3</v>
      </c>
      <c r="BT222" s="456">
        <f t="shared" si="689"/>
        <v>0.16278711907344903</v>
      </c>
      <c r="BU222" s="456">
        <f t="shared" si="690"/>
        <v>0.2980069625413404</v>
      </c>
      <c r="BV222" s="456"/>
      <c r="BW222" s="456">
        <f t="shared" si="691"/>
        <v>0.31089849407347564</v>
      </c>
      <c r="BX222" s="144">
        <f t="shared" si="692"/>
        <v>780.31653711680576</v>
      </c>
      <c r="BY222" s="150">
        <f t="shared" si="693"/>
        <v>1.9896297071877469</v>
      </c>
      <c r="BZ222" s="5">
        <f t="shared" si="694"/>
        <v>7.1999999999999993</v>
      </c>
      <c r="CA222" s="150">
        <f t="shared" si="695"/>
        <v>0.78349185216554029</v>
      </c>
      <c r="CB222" s="5">
        <f t="shared" si="696"/>
        <v>78.349185216554034</v>
      </c>
      <c r="CE222" s="59">
        <f t="shared" si="636"/>
        <v>-50</v>
      </c>
      <c r="CF222">
        <f t="shared" si="637"/>
        <v>-50</v>
      </c>
      <c r="CG222" s="150">
        <f t="shared" si="638"/>
        <v>7.9726251636459119E-2</v>
      </c>
      <c r="CI222" s="147">
        <v>6</v>
      </c>
      <c r="CJ222" s="188">
        <f t="shared" si="697"/>
        <v>0.24</v>
      </c>
      <c r="CK222" s="188"/>
      <c r="CL222" s="188">
        <f t="shared" si="639"/>
        <v>7.1999999999999993</v>
      </c>
      <c r="CM222" s="465">
        <f t="shared" si="640"/>
        <v>48</v>
      </c>
      <c r="CN222" s="379">
        <f t="shared" si="641"/>
        <v>30.4</v>
      </c>
      <c r="CO222" s="379">
        <f t="shared" si="642"/>
        <v>78.400000000000006</v>
      </c>
      <c r="CP222" s="379"/>
      <c r="CQ222" s="188">
        <f t="shared" si="643"/>
        <v>0.38775510204081626</v>
      </c>
      <c r="CR222" s="149">
        <f t="shared" si="644"/>
        <v>284.85494809142222</v>
      </c>
      <c r="CS222" s="149">
        <f t="shared" si="645"/>
        <v>7.1999999999999993</v>
      </c>
      <c r="CT222" s="188">
        <f t="shared" si="646"/>
        <v>9.4951649363807409</v>
      </c>
      <c r="CU222" s="188">
        <f t="shared" si="647"/>
        <v>30</v>
      </c>
      <c r="CV222" s="188"/>
      <c r="CW222" s="149">
        <f t="shared" si="648"/>
        <v>2982.3094674033277</v>
      </c>
      <c r="CX222" s="149">
        <f t="shared" si="649"/>
        <v>30</v>
      </c>
      <c r="CY222" s="188">
        <f t="shared" si="650"/>
        <v>0.77368421052631586</v>
      </c>
      <c r="CZ222" s="188">
        <f t="shared" si="651"/>
        <v>7.5756578947368425E-2</v>
      </c>
      <c r="DA222" s="188">
        <f t="shared" si="652"/>
        <v>0.11961565096952909</v>
      </c>
      <c r="DB222" s="172">
        <f t="shared" si="653"/>
        <v>350</v>
      </c>
      <c r="DC222" s="379">
        <f t="shared" si="654"/>
        <v>350</v>
      </c>
      <c r="DE222" s="188">
        <f t="shared" si="655"/>
        <v>11.314434588425037</v>
      </c>
      <c r="DF222" s="150">
        <f t="shared" si="656"/>
        <v>1.7492711370262393</v>
      </c>
      <c r="DG222" s="150">
        <f t="shared" si="657"/>
        <v>3.463602425028073</v>
      </c>
      <c r="DH222" s="150"/>
      <c r="DI222" s="150">
        <f t="shared" si="658"/>
        <v>0.93700159489633172</v>
      </c>
      <c r="DJ222" s="314">
        <f t="shared" si="659"/>
        <v>84.524936170212769</v>
      </c>
      <c r="DK222" s="456">
        <f t="shared" si="660"/>
        <v>0.99378957034459414</v>
      </c>
      <c r="DM222" s="150">
        <f t="shared" si="661"/>
        <v>2.9783412694527178</v>
      </c>
      <c r="DN222" s="150">
        <f t="shared" si="662"/>
        <v>6.0606060606060606</v>
      </c>
      <c r="DO222" s="150">
        <f t="shared" si="663"/>
        <v>1.0482999635258359</v>
      </c>
      <c r="DQ222" s="314">
        <f t="shared" si="664"/>
        <v>240</v>
      </c>
      <c r="DR222" s="144">
        <f t="shared" si="665"/>
        <v>84.524936170212769</v>
      </c>
      <c r="DT222">
        <f t="shared" si="666"/>
        <v>240</v>
      </c>
      <c r="DU222">
        <f t="shared" si="667"/>
        <v>84.524936170212769</v>
      </c>
      <c r="DW222" s="5">
        <f t="shared" si="668"/>
        <v>11.830828218388026</v>
      </c>
      <c r="DX222" s="5">
        <f t="shared" si="669"/>
        <v>0.59343434343434343</v>
      </c>
      <c r="DY222" s="5">
        <f t="shared" si="670"/>
        <v>11.237393874953682</v>
      </c>
      <c r="DZ222" s="5"/>
      <c r="EA222" s="150">
        <f t="shared" si="671"/>
        <v>5.0160000000000003E-2</v>
      </c>
      <c r="EB222" s="150">
        <f t="shared" si="698"/>
        <v>7.2959999999999985</v>
      </c>
      <c r="EC222" s="150">
        <f t="shared" si="699"/>
        <v>2.8783030303030301</v>
      </c>
      <c r="ED222" s="150">
        <f t="shared" si="700"/>
        <v>2.5348269182178047</v>
      </c>
      <c r="EE222" s="144">
        <f t="shared" si="672"/>
        <v>0.47474747474747475</v>
      </c>
      <c r="EF222" s="5">
        <f t="shared" si="673"/>
        <v>0.99153475367238353</v>
      </c>
      <c r="EH222" s="150">
        <f t="shared" si="701"/>
        <v>0.78367175152701163</v>
      </c>
      <c r="EI222" s="150">
        <f t="shared" si="702"/>
        <v>3.4102063270634457</v>
      </c>
      <c r="EK222" s="456">
        <f t="shared" si="703"/>
        <v>7.3696969696969705E-3</v>
      </c>
      <c r="EL222" s="456">
        <f t="shared" si="704"/>
        <v>0.76308087829787241</v>
      </c>
      <c r="EM222" s="456">
        <f t="shared" si="705"/>
        <v>9.7203676595744685E-3</v>
      </c>
      <c r="EN222" s="456">
        <f t="shared" si="706"/>
        <v>0.26886070368735326</v>
      </c>
      <c r="EO222">
        <f t="shared" si="707"/>
        <v>2.1600000000000001E-2</v>
      </c>
      <c r="EP222" s="144">
        <f t="shared" si="708"/>
        <v>31.320367659574465</v>
      </c>
      <c r="EQ222" s="144"/>
      <c r="ER222" s="144">
        <f t="shared" si="709"/>
        <v>1070.6316466144974</v>
      </c>
      <c r="ES222" s="456">
        <f t="shared" si="710"/>
        <v>0.16799999999999998</v>
      </c>
      <c r="EV222" s="144">
        <f t="shared" si="711"/>
        <v>167.99999999999997</v>
      </c>
      <c r="EW222" s="456">
        <f t="shared" si="712"/>
        <v>8.5979797979797989E-3</v>
      </c>
      <c r="EX222" s="456">
        <f t="shared" si="713"/>
        <v>0.16281310070400978</v>
      </c>
      <c r="EY222" s="456">
        <f t="shared" si="714"/>
        <v>0.29697662849052464</v>
      </c>
      <c r="EZ222" s="456"/>
      <c r="FA222" s="456">
        <f t="shared" si="715"/>
        <v>0.31046808510638296</v>
      </c>
      <c r="FB222" s="144">
        <f t="shared" si="716"/>
        <v>778.85579409889715</v>
      </c>
      <c r="FC222" s="150">
        <f t="shared" si="717"/>
        <v>2.0174874407133943</v>
      </c>
      <c r="FD222" s="5">
        <f t="shared" si="718"/>
        <v>7.1999999999999993</v>
      </c>
      <c r="FE222" s="150">
        <f t="shared" si="719"/>
        <v>0.78112392843605016</v>
      </c>
      <c r="FF222" s="5">
        <f t="shared" si="720"/>
        <v>78.112392843605022</v>
      </c>
      <c r="FI222" s="59">
        <f t="shared" si="674"/>
        <v>-50</v>
      </c>
      <c r="FJ222">
        <f t="shared" si="675"/>
        <v>-50</v>
      </c>
      <c r="FL222">
        <f t="shared" si="676"/>
        <v>7.9200000000000007E-2</v>
      </c>
    </row>
    <row r="223" spans="5:168">
      <c r="E223" s="147">
        <v>7</v>
      </c>
      <c r="F223" s="188">
        <f t="shared" si="677"/>
        <v>0.28000000000000003</v>
      </c>
      <c r="G223" s="188"/>
      <c r="H223" s="188">
        <f t="shared" si="602"/>
        <v>8.4</v>
      </c>
      <c r="I223" s="465">
        <f t="shared" si="603"/>
        <v>47.921732178900704</v>
      </c>
      <c r="J223" s="149">
        <f t="shared" si="604"/>
        <v>30.44214421136116</v>
      </c>
      <c r="K223" s="149">
        <f t="shared" si="605"/>
        <v>78.363876390261865</v>
      </c>
      <c r="L223" s="379"/>
      <c r="M223" s="188">
        <f t="shared" si="606"/>
        <v>0.38847383335246438</v>
      </c>
      <c r="N223" s="149">
        <f t="shared" si="607"/>
        <v>284.91760712866062</v>
      </c>
      <c r="O223" s="149">
        <f t="shared" si="598"/>
        <v>8.4</v>
      </c>
      <c r="P223" s="188">
        <f t="shared" si="608"/>
        <v>9.4972535709553547</v>
      </c>
      <c r="Q223" s="188">
        <f t="shared" si="609"/>
        <v>30</v>
      </c>
      <c r="R223" s="188"/>
      <c r="S223" s="149">
        <f t="shared" si="610"/>
        <v>2545.2531234896687</v>
      </c>
      <c r="T223" s="149">
        <f t="shared" si="611"/>
        <v>30</v>
      </c>
      <c r="U223" s="188">
        <f t="shared" si="612"/>
        <v>0.90243307234650327</v>
      </c>
      <c r="V223" s="188">
        <f t="shared" si="613"/>
        <v>8.8507556951290922E-2</v>
      </c>
      <c r="W223" s="188">
        <f t="shared" si="614"/>
        <v>0.13932774940490689</v>
      </c>
      <c r="X223" s="172">
        <f t="shared" si="615"/>
        <v>350</v>
      </c>
      <c r="Y223" s="379">
        <f t="shared" si="678"/>
        <v>350</v>
      </c>
      <c r="AA223" s="188">
        <f t="shared" si="616"/>
        <v>11.316859743736355</v>
      </c>
      <c r="AB223" s="150">
        <f t="shared" si="617"/>
        <v>1.7472238626249716</v>
      </c>
      <c r="AC223" s="150">
        <f t="shared" si="618"/>
        <v>3.460290293991314</v>
      </c>
      <c r="AD223" s="150"/>
      <c r="AE223" s="150">
        <f t="shared" si="619"/>
        <v>0.93570440659754173</v>
      </c>
      <c r="AF223" s="314">
        <f t="shared" si="620"/>
        <v>98.749134180087722</v>
      </c>
      <c r="AG223" s="456">
        <f t="shared" si="621"/>
        <v>0.99241376457315034</v>
      </c>
      <c r="AI223" s="150">
        <f t="shared" si="622"/>
        <v>3.2192053578146465</v>
      </c>
      <c r="AJ223" s="150">
        <f t="shared" si="623"/>
        <v>6.0606060606060606</v>
      </c>
      <c r="AK223" s="150">
        <f t="shared" si="624"/>
        <v>1.0564280766743359</v>
      </c>
      <c r="AM223" s="314">
        <f t="shared" si="625"/>
        <v>280</v>
      </c>
      <c r="AN223" s="144">
        <f t="shared" si="626"/>
        <v>98.749134180087722</v>
      </c>
      <c r="AP223">
        <f t="shared" si="627"/>
        <v>280</v>
      </c>
      <c r="AQ223">
        <f t="shared" si="628"/>
        <v>98.749134180087722</v>
      </c>
      <c r="AS223" s="5">
        <f t="shared" si="599"/>
        <v>10.126671067072962</v>
      </c>
      <c r="AT223" s="5">
        <f t="shared" si="629"/>
        <v>0.59440356576655595</v>
      </c>
      <c r="AU223" s="5">
        <f t="shared" si="477"/>
        <v>9.5322675013064071</v>
      </c>
      <c r="AV223" s="5"/>
      <c r="AW223" s="150">
        <f t="shared" si="478"/>
        <v>5.8696837473004228E-2</v>
      </c>
      <c r="AX223" s="150">
        <f t="shared" si="630"/>
        <v>8.5238003791811234</v>
      </c>
      <c r="AY223" s="150">
        <f t="shared" si="631"/>
        <v>2.8524338258393809</v>
      </c>
      <c r="AZ223" s="150">
        <f t="shared" si="632"/>
        <v>2.9882552583574271</v>
      </c>
      <c r="BA223" s="144">
        <f t="shared" si="593"/>
        <v>0.55477666138211901</v>
      </c>
      <c r="BB223" s="5">
        <f t="shared" si="594"/>
        <v>0.98286547141019032</v>
      </c>
      <c r="BD223" s="150">
        <f t="shared" si="679"/>
        <v>0.84774020335146349</v>
      </c>
      <c r="BE223" s="150">
        <f t="shared" si="680"/>
        <v>3.3948468529385223</v>
      </c>
      <c r="BG223" s="456">
        <f t="shared" si="681"/>
        <v>8.6239614285405688E-3</v>
      </c>
      <c r="BH223" s="456">
        <f t="shared" si="633"/>
        <v>0.85591006204691777</v>
      </c>
      <c r="BI223" s="456">
        <f t="shared" si="682"/>
        <v>1.1356150430710088E-2</v>
      </c>
      <c r="BJ223" s="456">
        <f t="shared" si="683"/>
        <v>0.31381628178267346</v>
      </c>
      <c r="BK223">
        <f t="shared" si="684"/>
        <v>2.1564779480505315E-2</v>
      </c>
      <c r="BL223" s="144">
        <f t="shared" si="685"/>
        <v>32.920929911215403</v>
      </c>
      <c r="BM223" s="456">
        <f t="shared" si="634"/>
        <v>1.1831030159064175</v>
      </c>
      <c r="BN223" s="144">
        <f t="shared" si="686"/>
        <v>1183.1030159064176</v>
      </c>
      <c r="BO223" s="456">
        <f t="shared" si="635"/>
        <v>0.19600000000000001</v>
      </c>
      <c r="BR223" s="144">
        <f t="shared" si="687"/>
        <v>196</v>
      </c>
      <c r="BS223" s="456">
        <f t="shared" si="688"/>
        <v>1.0061288333297331E-2</v>
      </c>
      <c r="BT223" s="456">
        <f t="shared" si="689"/>
        <v>0.16134979216869225</v>
      </c>
      <c r="BU223" s="456">
        <f t="shared" si="690"/>
        <v>0.43812030868971413</v>
      </c>
      <c r="BV223" s="456"/>
      <c r="BW223" s="456">
        <f t="shared" si="691"/>
        <v>0.36271490975238829</v>
      </c>
      <c r="BX223" s="144">
        <f t="shared" si="692"/>
        <v>972.24629894409202</v>
      </c>
      <c r="BY223" s="150">
        <f t="shared" si="693"/>
        <v>2.3795175341134396</v>
      </c>
      <c r="BZ223" s="5">
        <f t="shared" si="694"/>
        <v>8.4</v>
      </c>
      <c r="CA223" s="150">
        <f t="shared" si="695"/>
        <v>0.77925565531267138</v>
      </c>
      <c r="CB223" s="5">
        <f t="shared" si="696"/>
        <v>77.925565531267139</v>
      </c>
      <c r="CE223" s="59">
        <f t="shared" si="636"/>
        <v>-50</v>
      </c>
      <c r="CF223">
        <f t="shared" si="637"/>
        <v>-50</v>
      </c>
      <c r="CG223" s="150">
        <f t="shared" si="638"/>
        <v>9.3013960242535651E-2</v>
      </c>
      <c r="CI223" s="147">
        <v>7</v>
      </c>
      <c r="CJ223" s="188">
        <f t="shared" si="697"/>
        <v>0.28000000000000003</v>
      </c>
      <c r="CK223" s="188"/>
      <c r="CL223" s="188">
        <f t="shared" si="639"/>
        <v>8.4</v>
      </c>
      <c r="CM223" s="465">
        <f t="shared" si="640"/>
        <v>48</v>
      </c>
      <c r="CN223" s="379">
        <f t="shared" si="641"/>
        <v>30.4</v>
      </c>
      <c r="CO223" s="379">
        <f t="shared" si="642"/>
        <v>78.400000000000006</v>
      </c>
      <c r="CP223" s="379"/>
      <c r="CQ223" s="188">
        <f t="shared" si="643"/>
        <v>0.38775510204081626</v>
      </c>
      <c r="CR223" s="149">
        <f t="shared" si="644"/>
        <v>284.85494809142222</v>
      </c>
      <c r="CS223" s="149">
        <f t="shared" si="645"/>
        <v>8.4</v>
      </c>
      <c r="CT223" s="188">
        <f t="shared" si="646"/>
        <v>9.4951649363807409</v>
      </c>
      <c r="CU223" s="188">
        <f t="shared" si="647"/>
        <v>30</v>
      </c>
      <c r="CV223" s="188"/>
      <c r="CW223" s="149">
        <f t="shared" si="648"/>
        <v>2549.4101273750425</v>
      </c>
      <c r="CX223" s="149">
        <f t="shared" si="649"/>
        <v>30</v>
      </c>
      <c r="CY223" s="188">
        <f t="shared" si="650"/>
        <v>0.90263157894736867</v>
      </c>
      <c r="CZ223" s="188">
        <f t="shared" si="651"/>
        <v>8.8382675438596528E-2</v>
      </c>
      <c r="DA223" s="188">
        <f t="shared" si="652"/>
        <v>0.13955159279778398</v>
      </c>
      <c r="DB223" s="172">
        <f t="shared" si="653"/>
        <v>350</v>
      </c>
      <c r="DC223" s="379">
        <f t="shared" si="654"/>
        <v>350</v>
      </c>
      <c r="DE223" s="188">
        <f t="shared" si="655"/>
        <v>11.314434588425037</v>
      </c>
      <c r="DF223" s="150">
        <f t="shared" si="656"/>
        <v>1.7492711370262393</v>
      </c>
      <c r="DG223" s="150">
        <f t="shared" si="657"/>
        <v>3.463602425028073</v>
      </c>
      <c r="DH223" s="150"/>
      <c r="DI223" s="150">
        <f t="shared" si="658"/>
        <v>0.93700159489633172</v>
      </c>
      <c r="DJ223" s="314">
        <f t="shared" si="659"/>
        <v>98.612425531914909</v>
      </c>
      <c r="DK223" s="456">
        <f t="shared" si="660"/>
        <v>0.99378957034459414</v>
      </c>
      <c r="DM223" s="150">
        <f t="shared" si="661"/>
        <v>3.2169762464483269</v>
      </c>
      <c r="DN223" s="150">
        <f t="shared" si="662"/>
        <v>6.0606060606060606</v>
      </c>
      <c r="DO223" s="150">
        <f t="shared" si="663"/>
        <v>1.0563499574468085</v>
      </c>
      <c r="DQ223" s="314">
        <f t="shared" si="664"/>
        <v>280</v>
      </c>
      <c r="DR223" s="144">
        <f t="shared" si="665"/>
        <v>98.612425531914909</v>
      </c>
      <c r="DT223">
        <f t="shared" si="666"/>
        <v>280</v>
      </c>
      <c r="DU223">
        <f t="shared" si="667"/>
        <v>98.612425531914909</v>
      </c>
      <c r="DW223" s="5">
        <f t="shared" si="668"/>
        <v>10.14070990147545</v>
      </c>
      <c r="DX223" s="5">
        <f t="shared" si="669"/>
        <v>0.59343434343434343</v>
      </c>
      <c r="DY223" s="5">
        <f t="shared" si="670"/>
        <v>9.5472755580411075</v>
      </c>
      <c r="DZ223" s="5"/>
      <c r="EA223" s="150">
        <f t="shared" si="671"/>
        <v>5.852000000000001E-2</v>
      </c>
      <c r="EB223" s="150">
        <f t="shared" si="698"/>
        <v>8.5120000000000005</v>
      </c>
      <c r="EC223" s="150">
        <f t="shared" si="699"/>
        <v>2.8529696969696969</v>
      </c>
      <c r="ED223" s="150">
        <f t="shared" si="700"/>
        <v>2.9835578026086589</v>
      </c>
      <c r="EE223" s="144">
        <f t="shared" si="672"/>
        <v>0.55387205387205396</v>
      </c>
      <c r="EF223" s="5">
        <f t="shared" si="673"/>
        <v>0.9828077780336435</v>
      </c>
      <c r="EH223" s="150">
        <f t="shared" si="701"/>
        <v>0.84646223571894608</v>
      </c>
      <c r="EI223" s="150">
        <f t="shared" si="702"/>
        <v>3.3951657236115373</v>
      </c>
      <c r="EK223" s="456">
        <f t="shared" si="703"/>
        <v>8.5979797979797989E-3</v>
      </c>
      <c r="EL223" s="456">
        <f t="shared" si="704"/>
        <v>0.89026102468085133</v>
      </c>
      <c r="EM223" s="456">
        <f t="shared" si="705"/>
        <v>1.1340428936170216E-2</v>
      </c>
      <c r="EN223" s="456">
        <f t="shared" si="706"/>
        <v>0.31367082096857885</v>
      </c>
      <c r="EO223">
        <f t="shared" si="707"/>
        <v>2.1600000000000001E-2</v>
      </c>
      <c r="EP223" s="144">
        <f t="shared" si="708"/>
        <v>32.940428936170221</v>
      </c>
      <c r="EQ223" s="144"/>
      <c r="ER223" s="144">
        <f t="shared" si="709"/>
        <v>1245.4702543835804</v>
      </c>
      <c r="ES223" s="456">
        <f t="shared" si="710"/>
        <v>0.19600000000000001</v>
      </c>
      <c r="EV223" s="144">
        <f t="shared" si="711"/>
        <v>196</v>
      </c>
      <c r="EW223" s="456">
        <f t="shared" si="712"/>
        <v>1.0030976430976434E-2</v>
      </c>
      <c r="EX223" s="456">
        <f t="shared" si="713"/>
        <v>0.16138010407101316</v>
      </c>
      <c r="EY223" s="456">
        <f t="shared" si="714"/>
        <v>0.43660554450921435</v>
      </c>
      <c r="EZ223" s="456"/>
      <c r="FA223" s="456">
        <f t="shared" si="715"/>
        <v>0.36221276595744689</v>
      </c>
      <c r="FB223" s="144">
        <f t="shared" si="716"/>
        <v>970.22939096865093</v>
      </c>
      <c r="FC223" s="150">
        <f t="shared" si="717"/>
        <v>2.4116996453522312</v>
      </c>
      <c r="FD223" s="5">
        <f t="shared" si="718"/>
        <v>8.4</v>
      </c>
      <c r="FE223" s="150">
        <f t="shared" si="719"/>
        <v>0.77693612249125144</v>
      </c>
      <c r="FF223" s="5">
        <f t="shared" si="720"/>
        <v>77.693612249125138</v>
      </c>
      <c r="FI223" s="59">
        <f t="shared" si="674"/>
        <v>-50</v>
      </c>
      <c r="FJ223">
        <f t="shared" si="675"/>
        <v>-50</v>
      </c>
      <c r="FL223">
        <f t="shared" si="676"/>
        <v>9.240000000000001E-2</v>
      </c>
    </row>
    <row r="224" spans="5:168">
      <c r="E224" s="147">
        <v>8</v>
      </c>
      <c r="F224" s="188">
        <f t="shared" si="677"/>
        <v>0.32</v>
      </c>
      <c r="G224" s="188"/>
      <c r="H224" s="188">
        <f t="shared" si="602"/>
        <v>9.6</v>
      </c>
      <c r="I224" s="465">
        <f t="shared" si="603"/>
        <v>47.921732178900704</v>
      </c>
      <c r="J224" s="149">
        <f t="shared" si="604"/>
        <v>30.44214421136116</v>
      </c>
      <c r="K224" s="149">
        <f t="shared" si="605"/>
        <v>78.363876390261865</v>
      </c>
      <c r="L224" s="379"/>
      <c r="M224" s="188">
        <f t="shared" si="606"/>
        <v>0.38847383335246438</v>
      </c>
      <c r="N224" s="149">
        <f t="shared" si="607"/>
        <v>284.91760712866062</v>
      </c>
      <c r="O224" s="149">
        <f t="shared" si="598"/>
        <v>9.6</v>
      </c>
      <c r="P224" s="188">
        <f t="shared" si="608"/>
        <v>9.4972535709553547</v>
      </c>
      <c r="Q224" s="188">
        <f t="shared" si="609"/>
        <v>30</v>
      </c>
      <c r="R224" s="188"/>
      <c r="S224" s="149">
        <f t="shared" si="610"/>
        <v>2221.1083064907889</v>
      </c>
      <c r="T224" s="149">
        <f t="shared" si="611"/>
        <v>30</v>
      </c>
      <c r="U224" s="188">
        <f t="shared" si="612"/>
        <v>1.031352082681718</v>
      </c>
      <c r="V224" s="188">
        <f t="shared" si="613"/>
        <v>0.1011514936586182</v>
      </c>
      <c r="W224" s="188">
        <f t="shared" si="614"/>
        <v>0.15923171360560792</v>
      </c>
      <c r="X224" s="172">
        <f t="shared" si="615"/>
        <v>350</v>
      </c>
      <c r="Y224" s="379">
        <f t="shared" si="678"/>
        <v>350</v>
      </c>
      <c r="AA224" s="188">
        <f t="shared" si="616"/>
        <v>11.316859743736355</v>
      </c>
      <c r="AB224" s="150">
        <f t="shared" si="617"/>
        <v>1.7472238626249716</v>
      </c>
      <c r="AC224" s="150">
        <f t="shared" si="618"/>
        <v>3.460290293991314</v>
      </c>
      <c r="AD224" s="150"/>
      <c r="AE224" s="150">
        <f t="shared" si="619"/>
        <v>0.93570440659754173</v>
      </c>
      <c r="AF224" s="314">
        <f t="shared" si="620"/>
        <v>112.85615334867168</v>
      </c>
      <c r="AG224" s="456">
        <f t="shared" si="621"/>
        <v>0.99241376457315034</v>
      </c>
      <c r="AI224" s="150">
        <f t="shared" si="622"/>
        <v>3.4414752876026915</v>
      </c>
      <c r="AJ224" s="150">
        <f t="shared" si="623"/>
        <v>6.0606060606060606</v>
      </c>
      <c r="AK224" s="150">
        <f t="shared" si="624"/>
        <v>1.0644892304849551</v>
      </c>
      <c r="AM224" s="314">
        <f t="shared" si="625"/>
        <v>320</v>
      </c>
      <c r="AN224" s="144">
        <f t="shared" si="626"/>
        <v>112.85615334867168</v>
      </c>
      <c r="AP224">
        <f t="shared" si="627"/>
        <v>320</v>
      </c>
      <c r="AQ224">
        <f t="shared" si="628"/>
        <v>112.85615334867168</v>
      </c>
      <c r="AS224" s="5">
        <f t="shared" si="599"/>
        <v>8.860837183688842</v>
      </c>
      <c r="AT224" s="5">
        <f t="shared" si="629"/>
        <v>0.59440356576655595</v>
      </c>
      <c r="AU224" s="5">
        <f t="shared" si="477"/>
        <v>8.2664336179222868</v>
      </c>
      <c r="AV224" s="5"/>
      <c r="AW224" s="150">
        <f t="shared" si="478"/>
        <v>6.7082099969147685E-2</v>
      </c>
      <c r="AX224" s="150">
        <f t="shared" si="630"/>
        <v>9.7414861476355714</v>
      </c>
      <c r="AY224" s="150">
        <f t="shared" si="631"/>
        <v>2.827023939487431</v>
      </c>
      <c r="AZ224" s="150">
        <f t="shared" si="632"/>
        <v>3.44584494371201</v>
      </c>
      <c r="BA224" s="144">
        <f t="shared" si="593"/>
        <v>0.63403047015099301</v>
      </c>
      <c r="BB224" s="5">
        <f t="shared" si="594"/>
        <v>0.97410996595321808</v>
      </c>
      <c r="BD224" s="150">
        <f t="shared" si="679"/>
        <v>0.90627239826721318</v>
      </c>
      <c r="BE224" s="150">
        <f t="shared" si="680"/>
        <v>3.3796921379652263</v>
      </c>
      <c r="BG224" s="456">
        <f t="shared" si="681"/>
        <v>9.8559559183320749E-3</v>
      </c>
      <c r="BH224" s="456">
        <f t="shared" si="633"/>
        <v>0.97818292805362028</v>
      </c>
      <c r="BI224" s="456">
        <f t="shared" si="682"/>
        <v>1.2978457635097246E-2</v>
      </c>
      <c r="BJ224" s="456">
        <f t="shared" si="683"/>
        <v>0.35864717918019823</v>
      </c>
      <c r="BK224">
        <f t="shared" si="684"/>
        <v>2.1564779480505315E-2</v>
      </c>
      <c r="BL224" s="144">
        <f t="shared" si="685"/>
        <v>34.543237115602558</v>
      </c>
      <c r="BM224" s="456">
        <f t="shared" si="634"/>
        <v>1.3525144559608895</v>
      </c>
      <c r="BN224" s="144">
        <f t="shared" si="686"/>
        <v>1352.5144559608896</v>
      </c>
      <c r="BO224" s="456">
        <f t="shared" si="635"/>
        <v>0.22399999999999998</v>
      </c>
      <c r="BR224" s="144">
        <f t="shared" si="687"/>
        <v>223.99999999999997</v>
      </c>
      <c r="BS224" s="456">
        <f t="shared" si="688"/>
        <v>1.1498615238054087E-2</v>
      </c>
      <c r="BT224" s="456">
        <f t="shared" si="689"/>
        <v>0.15991246526393546</v>
      </c>
      <c r="BU224" s="456">
        <f t="shared" si="690"/>
        <v>0.61174897793289285</v>
      </c>
      <c r="BV224" s="456"/>
      <c r="BW224" s="456">
        <f t="shared" si="691"/>
        <v>0.414531325431301</v>
      </c>
      <c r="BX224" s="144">
        <f t="shared" si="692"/>
        <v>1197.6913838661833</v>
      </c>
      <c r="BY224" s="150">
        <f t="shared" si="693"/>
        <v>2.8029206841339365</v>
      </c>
      <c r="BZ224" s="5">
        <f t="shared" si="694"/>
        <v>9.6</v>
      </c>
      <c r="CA224" s="150">
        <f t="shared" si="695"/>
        <v>0.77401123852065845</v>
      </c>
      <c r="CB224" s="5">
        <f t="shared" si="696"/>
        <v>77.401123852065851</v>
      </c>
      <c r="CE224" s="59">
        <f t="shared" si="636"/>
        <v>-50</v>
      </c>
      <c r="CF224">
        <f t="shared" si="637"/>
        <v>-50</v>
      </c>
      <c r="CG224" s="150">
        <f t="shared" si="638"/>
        <v>0.10630166884861217</v>
      </c>
      <c r="CI224" s="147">
        <v>8</v>
      </c>
      <c r="CJ224" s="188">
        <f t="shared" si="697"/>
        <v>0.32</v>
      </c>
      <c r="CK224" s="188"/>
      <c r="CL224" s="188">
        <f t="shared" si="639"/>
        <v>9.6</v>
      </c>
      <c r="CM224" s="465">
        <f t="shared" si="640"/>
        <v>48</v>
      </c>
      <c r="CN224" s="379">
        <f t="shared" si="641"/>
        <v>30.4</v>
      </c>
      <c r="CO224" s="379">
        <f t="shared" si="642"/>
        <v>78.400000000000006</v>
      </c>
      <c r="CP224" s="379"/>
      <c r="CQ224" s="188">
        <f t="shared" si="643"/>
        <v>0.38775510204081626</v>
      </c>
      <c r="CR224" s="149">
        <f t="shared" si="644"/>
        <v>284.85494809142222</v>
      </c>
      <c r="CS224" s="149">
        <f t="shared" si="645"/>
        <v>9.6</v>
      </c>
      <c r="CT224" s="188">
        <f t="shared" si="646"/>
        <v>9.4951649363807409</v>
      </c>
      <c r="CU224" s="188">
        <f t="shared" si="647"/>
        <v>30</v>
      </c>
      <c r="CV224" s="188"/>
      <c r="CW224" s="149">
        <f t="shared" si="648"/>
        <v>2224.7359014137219</v>
      </c>
      <c r="CX224" s="149">
        <f t="shared" si="649"/>
        <v>30</v>
      </c>
      <c r="CY224" s="188">
        <f t="shared" si="650"/>
        <v>1.0315789473684212</v>
      </c>
      <c r="CZ224" s="188">
        <f t="shared" si="651"/>
        <v>0.10100877192982458</v>
      </c>
      <c r="DA224" s="188">
        <f t="shared" si="652"/>
        <v>0.15948753462603879</v>
      </c>
      <c r="DB224" s="172">
        <f t="shared" si="653"/>
        <v>350</v>
      </c>
      <c r="DC224" s="379">
        <f t="shared" si="654"/>
        <v>350</v>
      </c>
      <c r="DE224" s="188">
        <f t="shared" si="655"/>
        <v>11.314434588425037</v>
      </c>
      <c r="DF224" s="150">
        <f t="shared" si="656"/>
        <v>1.7492711370262393</v>
      </c>
      <c r="DG224" s="150">
        <f t="shared" si="657"/>
        <v>3.463602425028073</v>
      </c>
      <c r="DH224" s="150"/>
      <c r="DI224" s="150">
        <f t="shared" si="658"/>
        <v>0.93700159489633172</v>
      </c>
      <c r="DJ224" s="314">
        <f t="shared" si="659"/>
        <v>112.69991489361702</v>
      </c>
      <c r="DK224" s="456">
        <f t="shared" si="660"/>
        <v>0.99378957034459414</v>
      </c>
      <c r="DM224" s="150">
        <f t="shared" si="661"/>
        <v>3.439092267314197</v>
      </c>
      <c r="DN224" s="150">
        <f t="shared" si="662"/>
        <v>6.0606060606060606</v>
      </c>
      <c r="DO224" s="150">
        <f t="shared" si="663"/>
        <v>1.0643999513677811</v>
      </c>
      <c r="DQ224" s="314">
        <f t="shared" si="664"/>
        <v>320</v>
      </c>
      <c r="DR224" s="144">
        <f t="shared" si="665"/>
        <v>112.69991489361702</v>
      </c>
      <c r="DT224">
        <f t="shared" si="666"/>
        <v>320</v>
      </c>
      <c r="DU224">
        <f t="shared" si="667"/>
        <v>112.69991489361702</v>
      </c>
      <c r="DW224" s="5">
        <f t="shared" si="668"/>
        <v>8.8731211637910192</v>
      </c>
      <c r="DX224" s="5">
        <f t="shared" si="669"/>
        <v>0.59343434343434343</v>
      </c>
      <c r="DY224" s="5">
        <f t="shared" si="670"/>
        <v>8.2796868203566767</v>
      </c>
      <c r="DZ224" s="5"/>
      <c r="EA224" s="150">
        <f t="shared" si="671"/>
        <v>6.6880000000000009E-2</v>
      </c>
      <c r="EB224" s="150">
        <f t="shared" si="698"/>
        <v>9.727999999999998</v>
      </c>
      <c r="EC224" s="150">
        <f t="shared" si="699"/>
        <v>2.8276363636363633</v>
      </c>
      <c r="ED224" s="150">
        <f t="shared" si="700"/>
        <v>3.4403292181069958</v>
      </c>
      <c r="EE224" s="144">
        <f t="shared" si="672"/>
        <v>0.632996632996633</v>
      </c>
      <c r="EF224" s="5">
        <f t="shared" si="673"/>
        <v>0.97408080239490302</v>
      </c>
      <c r="EH224" s="150">
        <f t="shared" si="701"/>
        <v>0.90490619340085132</v>
      </c>
      <c r="EI224" s="150">
        <f t="shared" si="702"/>
        <v>3.3800581930537454</v>
      </c>
      <c r="EK224" s="456">
        <f t="shared" si="703"/>
        <v>9.8262626262626274E-3</v>
      </c>
      <c r="EL224" s="456">
        <f t="shared" si="704"/>
        <v>1.01744117106383</v>
      </c>
      <c r="EM224" s="456">
        <f t="shared" si="705"/>
        <v>1.2960490212765959E-2</v>
      </c>
      <c r="EN224" s="456">
        <f t="shared" si="706"/>
        <v>0.35848093824980437</v>
      </c>
      <c r="EO224">
        <f t="shared" si="707"/>
        <v>2.1600000000000001E-2</v>
      </c>
      <c r="EP224" s="144">
        <f t="shared" si="708"/>
        <v>34.560490212765956</v>
      </c>
      <c r="EQ224" s="144"/>
      <c r="ER224" s="144">
        <f t="shared" si="709"/>
        <v>1420.3088621526631</v>
      </c>
      <c r="ES224" s="456">
        <f t="shared" si="710"/>
        <v>0.22399999999999998</v>
      </c>
      <c r="EV224" s="144">
        <f t="shared" si="711"/>
        <v>223.99999999999997</v>
      </c>
      <c r="EW224" s="456">
        <f t="shared" si="712"/>
        <v>1.1463973063973065E-2</v>
      </c>
      <c r="EX224" s="456">
        <f t="shared" si="713"/>
        <v>0.15994710743801649</v>
      </c>
      <c r="EY224" s="456">
        <f t="shared" si="714"/>
        <v>0.6096339072072251</v>
      </c>
      <c r="EZ224" s="456"/>
      <c r="FA224" s="456">
        <f t="shared" si="715"/>
        <v>0.41395744680851065</v>
      </c>
      <c r="FB224" s="144">
        <f t="shared" si="716"/>
        <v>1195.0024345177255</v>
      </c>
      <c r="FC224" s="150">
        <f t="shared" si="717"/>
        <v>2.8393112966703882</v>
      </c>
      <c r="FD224" s="5">
        <f t="shared" si="718"/>
        <v>9.6</v>
      </c>
      <c r="FE224" s="150">
        <f t="shared" si="719"/>
        <v>0.77174690551956981</v>
      </c>
      <c r="FF224" s="5">
        <f t="shared" si="720"/>
        <v>77.174690551956985</v>
      </c>
      <c r="FI224" s="59">
        <f t="shared" si="674"/>
        <v>-50</v>
      </c>
      <c r="FJ224">
        <f t="shared" si="675"/>
        <v>-50</v>
      </c>
      <c r="FL224">
        <f t="shared" si="676"/>
        <v>0.1056</v>
      </c>
    </row>
    <row r="225" spans="5:168">
      <c r="E225" s="147">
        <v>9</v>
      </c>
      <c r="F225" s="188">
        <f t="shared" si="677"/>
        <v>0.36</v>
      </c>
      <c r="G225" s="188"/>
      <c r="H225" s="188">
        <f t="shared" si="602"/>
        <v>10.799999999999999</v>
      </c>
      <c r="I225" s="465">
        <f t="shared" si="603"/>
        <v>47.921732178900704</v>
      </c>
      <c r="J225" s="149">
        <f t="shared" si="604"/>
        <v>30.44214421136116</v>
      </c>
      <c r="K225" s="149">
        <f t="shared" si="605"/>
        <v>78.363876390261865</v>
      </c>
      <c r="L225" s="379"/>
      <c r="M225" s="188">
        <f t="shared" si="606"/>
        <v>0.38847383335246438</v>
      </c>
      <c r="N225" s="149">
        <f t="shared" si="607"/>
        <v>284.91760712866062</v>
      </c>
      <c r="O225" s="149">
        <f t="shared" si="598"/>
        <v>10.799999999999999</v>
      </c>
      <c r="P225" s="188">
        <f t="shared" si="608"/>
        <v>9.4972535709553547</v>
      </c>
      <c r="Q225" s="188">
        <f t="shared" si="609"/>
        <v>30</v>
      </c>
      <c r="R225" s="188"/>
      <c r="S225" s="149">
        <f t="shared" si="610"/>
        <v>1968.9959210940578</v>
      </c>
      <c r="T225" s="149">
        <f t="shared" si="611"/>
        <v>30</v>
      </c>
      <c r="U225" s="188">
        <f t="shared" si="612"/>
        <v>1.1602710930169327</v>
      </c>
      <c r="V225" s="188">
        <f t="shared" si="613"/>
        <v>0.11379543036594546</v>
      </c>
      <c r="W225" s="188">
        <f t="shared" si="614"/>
        <v>0.17913567780630887</v>
      </c>
      <c r="X225" s="172">
        <f t="shared" si="615"/>
        <v>350</v>
      </c>
      <c r="Y225" s="379">
        <f t="shared" si="678"/>
        <v>350</v>
      </c>
      <c r="AA225" s="188">
        <f t="shared" si="616"/>
        <v>11.316859743736355</v>
      </c>
      <c r="AB225" s="150">
        <f t="shared" si="617"/>
        <v>1.7472238626249716</v>
      </c>
      <c r="AC225" s="150">
        <f t="shared" si="618"/>
        <v>3.460290293991314</v>
      </c>
      <c r="AD225" s="150"/>
      <c r="AE225" s="150">
        <f t="shared" si="619"/>
        <v>0.93570440659754173</v>
      </c>
      <c r="AF225" s="314">
        <f t="shared" si="620"/>
        <v>126.96317251725563</v>
      </c>
      <c r="AG225" s="456">
        <f t="shared" si="621"/>
        <v>0.99241376457315034</v>
      </c>
      <c r="AI225" s="150">
        <f t="shared" si="622"/>
        <v>3.6502357697246803</v>
      </c>
      <c r="AJ225" s="150">
        <f t="shared" si="623"/>
        <v>6.0606060606060606</v>
      </c>
      <c r="AK225" s="150">
        <f t="shared" si="624"/>
        <v>1.0725503842955746</v>
      </c>
      <c r="AM225" s="314">
        <f t="shared" si="625"/>
        <v>360</v>
      </c>
      <c r="AN225" s="144">
        <f t="shared" si="626"/>
        <v>126.96317251725563</v>
      </c>
      <c r="AP225">
        <f t="shared" si="627"/>
        <v>360</v>
      </c>
      <c r="AQ225">
        <f t="shared" si="628"/>
        <v>126.96317251725563</v>
      </c>
      <c r="AS225" s="5">
        <f t="shared" si="599"/>
        <v>7.8762997188345265</v>
      </c>
      <c r="AT225" s="5">
        <f t="shared" si="629"/>
        <v>0.59440356576655595</v>
      </c>
      <c r="AU225" s="5">
        <f t="shared" si="477"/>
        <v>7.2818961530679704</v>
      </c>
      <c r="AV225" s="5"/>
      <c r="AW225" s="150">
        <f t="shared" si="478"/>
        <v>7.5467362465291149E-2</v>
      </c>
      <c r="AX225" s="150">
        <f t="shared" si="630"/>
        <v>10.959171916090016</v>
      </c>
      <c r="AY225" s="150">
        <f t="shared" si="631"/>
        <v>2.8016140531354812</v>
      </c>
      <c r="AZ225" s="150">
        <f t="shared" si="632"/>
        <v>3.9117350599469058</v>
      </c>
      <c r="BA225" s="144">
        <f t="shared" si="593"/>
        <v>0.71328427891986712</v>
      </c>
      <c r="BB225" s="5">
        <f t="shared" si="594"/>
        <v>0.96535446049624585</v>
      </c>
      <c r="BD225" s="150">
        <f t="shared" si="679"/>
        <v>0.96124703762541297</v>
      </c>
      <c r="BE225" s="150">
        <f t="shared" si="680"/>
        <v>3.3644691616867788</v>
      </c>
      <c r="BG225" s="456">
        <f t="shared" si="681"/>
        <v>1.1087950408123586E-2</v>
      </c>
      <c r="BH225" s="456">
        <f t="shared" si="633"/>
        <v>1.1004557940603228</v>
      </c>
      <c r="BI225" s="456">
        <f t="shared" si="682"/>
        <v>1.4600764839484399E-2</v>
      </c>
      <c r="BJ225" s="456">
        <f t="shared" si="683"/>
        <v>0.40347807657772294</v>
      </c>
      <c r="BK225">
        <f t="shared" si="684"/>
        <v>2.1564779480505315E-2</v>
      </c>
      <c r="BL225" s="144">
        <f t="shared" si="685"/>
        <v>36.165544319989714</v>
      </c>
      <c r="BM225" s="456">
        <f t="shared" si="634"/>
        <v>1.522025338871372</v>
      </c>
      <c r="BN225" s="144">
        <f t="shared" si="686"/>
        <v>1522.025338871372</v>
      </c>
      <c r="BO225" s="456">
        <f t="shared" si="635"/>
        <v>0.252</v>
      </c>
      <c r="BR225" s="144">
        <f t="shared" si="687"/>
        <v>252</v>
      </c>
      <c r="BS225" s="456">
        <f t="shared" si="688"/>
        <v>1.2935942142810851E-2</v>
      </c>
      <c r="BT225" s="456">
        <f t="shared" si="689"/>
        <v>0.1584751383591787</v>
      </c>
      <c r="BU225" s="456">
        <f t="shared" si="690"/>
        <v>0.82121062277585877</v>
      </c>
      <c r="BV225" s="456"/>
      <c r="BW225" s="456">
        <f t="shared" si="691"/>
        <v>0.46634774111021354</v>
      </c>
      <c r="BX225" s="144">
        <f t="shared" si="692"/>
        <v>1458.9694443880619</v>
      </c>
      <c r="BY225" s="150">
        <f t="shared" si="693"/>
        <v>3.2621568097542206</v>
      </c>
      <c r="BZ225" s="5">
        <f t="shared" si="694"/>
        <v>10.799999999999999</v>
      </c>
      <c r="CA225" s="150">
        <f t="shared" si="695"/>
        <v>0.76801874322071106</v>
      </c>
      <c r="CB225" s="5">
        <f t="shared" si="696"/>
        <v>76.8018743220711</v>
      </c>
      <c r="CE225" s="59">
        <f t="shared" si="636"/>
        <v>-50</v>
      </c>
      <c r="CF225">
        <f t="shared" si="637"/>
        <v>-50</v>
      </c>
      <c r="CG225" s="150">
        <f t="shared" si="638"/>
        <v>0.11958937745468869</v>
      </c>
      <c r="CI225" s="147">
        <v>9</v>
      </c>
      <c r="CJ225" s="188">
        <f t="shared" si="697"/>
        <v>0.36</v>
      </c>
      <c r="CK225" s="188"/>
      <c r="CL225" s="188">
        <f t="shared" si="639"/>
        <v>10.799999999999999</v>
      </c>
      <c r="CM225" s="465">
        <f t="shared" si="640"/>
        <v>48</v>
      </c>
      <c r="CN225" s="379">
        <f t="shared" si="641"/>
        <v>30.4</v>
      </c>
      <c r="CO225" s="379">
        <f t="shared" si="642"/>
        <v>78.400000000000006</v>
      </c>
      <c r="CP225" s="379"/>
      <c r="CQ225" s="188">
        <f t="shared" si="643"/>
        <v>0.38775510204081626</v>
      </c>
      <c r="CR225" s="149">
        <f t="shared" si="644"/>
        <v>284.85494809142222</v>
      </c>
      <c r="CS225" s="149">
        <f t="shared" si="645"/>
        <v>10.799999999999999</v>
      </c>
      <c r="CT225" s="188">
        <f t="shared" si="646"/>
        <v>9.4951649363807409</v>
      </c>
      <c r="CU225" s="188">
        <f t="shared" si="647"/>
        <v>30</v>
      </c>
      <c r="CV225" s="188"/>
      <c r="CW225" s="149">
        <f t="shared" si="648"/>
        <v>1972.2117534908775</v>
      </c>
      <c r="CX225" s="149">
        <f t="shared" si="649"/>
        <v>30</v>
      </c>
      <c r="CY225" s="188">
        <f t="shared" si="650"/>
        <v>1.1605263157894739</v>
      </c>
      <c r="CZ225" s="188">
        <f t="shared" si="651"/>
        <v>0.11363486842105265</v>
      </c>
      <c r="DA225" s="188">
        <f t="shared" si="652"/>
        <v>0.17942347645429366</v>
      </c>
      <c r="DB225" s="172">
        <f t="shared" si="653"/>
        <v>350</v>
      </c>
      <c r="DC225" s="379">
        <f t="shared" si="654"/>
        <v>350</v>
      </c>
      <c r="DE225" s="188">
        <f t="shared" si="655"/>
        <v>11.314434588425037</v>
      </c>
      <c r="DF225" s="150">
        <f t="shared" si="656"/>
        <v>1.7492711370262393</v>
      </c>
      <c r="DG225" s="150">
        <f t="shared" si="657"/>
        <v>3.463602425028073</v>
      </c>
      <c r="DH225" s="150"/>
      <c r="DI225" s="150">
        <f t="shared" si="658"/>
        <v>0.93700159489633172</v>
      </c>
      <c r="DJ225" s="314">
        <f t="shared" si="659"/>
        <v>126.78740425531916</v>
      </c>
      <c r="DK225" s="456">
        <f t="shared" si="660"/>
        <v>0.99378957034459414</v>
      </c>
      <c r="DM225" s="150">
        <f t="shared" si="661"/>
        <v>3.647708195016131</v>
      </c>
      <c r="DN225" s="150">
        <f t="shared" si="662"/>
        <v>6.0606060606060606</v>
      </c>
      <c r="DO225" s="150">
        <f t="shared" si="663"/>
        <v>1.0724499452887537</v>
      </c>
      <c r="DQ225" s="314">
        <f t="shared" si="664"/>
        <v>360</v>
      </c>
      <c r="DR225" s="144">
        <f t="shared" si="665"/>
        <v>126.78740425531916</v>
      </c>
      <c r="DT225">
        <f t="shared" si="666"/>
        <v>360</v>
      </c>
      <c r="DU225">
        <f t="shared" si="667"/>
        <v>126.78740425531916</v>
      </c>
      <c r="DW225" s="5">
        <f t="shared" si="668"/>
        <v>7.8872188122586833</v>
      </c>
      <c r="DX225" s="5">
        <f t="shared" si="669"/>
        <v>0.59343434343434343</v>
      </c>
      <c r="DY225" s="5">
        <f t="shared" si="670"/>
        <v>7.2937844688243398</v>
      </c>
      <c r="DZ225" s="5"/>
      <c r="EA225" s="150">
        <f t="shared" si="671"/>
        <v>7.5240000000000015E-2</v>
      </c>
      <c r="EB225" s="150">
        <f t="shared" si="698"/>
        <v>10.943999999999999</v>
      </c>
      <c r="EC225" s="150">
        <f t="shared" si="699"/>
        <v>2.8023030303030305</v>
      </c>
      <c r="ED225" s="150">
        <f t="shared" si="700"/>
        <v>3.9053592283403256</v>
      </c>
      <c r="EE225" s="144">
        <f t="shared" si="672"/>
        <v>0.71212121212121215</v>
      </c>
      <c r="EF225" s="5">
        <f t="shared" si="673"/>
        <v>0.96535382675616244</v>
      </c>
      <c r="EH225" s="150">
        <f t="shared" si="701"/>
        <v>0.95979795853717109</v>
      </c>
      <c r="EI225" s="150">
        <f t="shared" si="702"/>
        <v>3.3648828339294146</v>
      </c>
      <c r="EK225" s="456">
        <f t="shared" si="703"/>
        <v>1.1054545454545454E-2</v>
      </c>
      <c r="EL225" s="456">
        <f t="shared" si="704"/>
        <v>1.1446213174468087</v>
      </c>
      <c r="EM225" s="456">
        <f t="shared" si="705"/>
        <v>1.4580551489361705E-2</v>
      </c>
      <c r="EN225" s="456">
        <f t="shared" si="706"/>
        <v>0.40329105553102995</v>
      </c>
      <c r="EO225">
        <f t="shared" si="707"/>
        <v>2.1600000000000001E-2</v>
      </c>
      <c r="EP225" s="144">
        <f t="shared" si="708"/>
        <v>36.180551489361712</v>
      </c>
      <c r="EQ225" s="144"/>
      <c r="ER225" s="144">
        <f t="shared" si="709"/>
        <v>1595.1474699217461</v>
      </c>
      <c r="ES225" s="456">
        <f t="shared" si="710"/>
        <v>0.252</v>
      </c>
      <c r="EV225" s="144">
        <f t="shared" si="711"/>
        <v>252</v>
      </c>
      <c r="EW225" s="456">
        <f t="shared" si="712"/>
        <v>1.2896969696969697E-2</v>
      </c>
      <c r="EX225" s="456">
        <f t="shared" si="713"/>
        <v>0.15851411080501987</v>
      </c>
      <c r="EY225" s="456">
        <f t="shared" si="714"/>
        <v>0.81837135600060606</v>
      </c>
      <c r="EZ225" s="456"/>
      <c r="FA225" s="456">
        <f t="shared" si="715"/>
        <v>0.46570212765957453</v>
      </c>
      <c r="FB225" s="144">
        <f t="shared" si="716"/>
        <v>1455.48456416217</v>
      </c>
      <c r="FC225" s="150">
        <f t="shared" si="717"/>
        <v>3.3026320340839161</v>
      </c>
      <c r="FD225" s="5">
        <f t="shared" si="718"/>
        <v>10.799999999999999</v>
      </c>
      <c r="FE225" s="150">
        <f t="shared" si="719"/>
        <v>0.76581449291862991</v>
      </c>
      <c r="FF225" s="5">
        <f t="shared" si="720"/>
        <v>76.581449291862995</v>
      </c>
      <c r="FI225" s="59">
        <f t="shared" si="674"/>
        <v>-50</v>
      </c>
      <c r="FJ225">
        <f t="shared" si="675"/>
        <v>-50</v>
      </c>
      <c r="FL225">
        <f t="shared" si="676"/>
        <v>0.1188</v>
      </c>
    </row>
    <row r="226" spans="5:168">
      <c r="E226" s="147">
        <v>10</v>
      </c>
      <c r="F226" s="188">
        <f t="shared" si="677"/>
        <v>0.4</v>
      </c>
      <c r="G226" s="188"/>
      <c r="H226" s="188">
        <f t="shared" si="602"/>
        <v>12</v>
      </c>
      <c r="I226" s="465">
        <f t="shared" si="603"/>
        <v>47.921732178900704</v>
      </c>
      <c r="J226" s="149">
        <f t="shared" si="604"/>
        <v>30.44214421136116</v>
      </c>
      <c r="K226" s="149">
        <f t="shared" si="605"/>
        <v>78.363876390261865</v>
      </c>
      <c r="L226" s="379"/>
      <c r="M226" s="188">
        <f t="shared" si="606"/>
        <v>0.38847383335246438</v>
      </c>
      <c r="N226" s="149">
        <f t="shared" si="607"/>
        <v>284.91760712866062</v>
      </c>
      <c r="O226" s="149">
        <f t="shared" si="598"/>
        <v>12</v>
      </c>
      <c r="P226" s="188">
        <f t="shared" si="608"/>
        <v>9.4972535709553547</v>
      </c>
      <c r="Q226" s="188">
        <f t="shared" si="609"/>
        <v>30</v>
      </c>
      <c r="R226" s="188"/>
      <c r="S226" s="149">
        <f t="shared" si="610"/>
        <v>1767.3062396323623</v>
      </c>
      <c r="T226" s="149">
        <f t="shared" si="611"/>
        <v>30</v>
      </c>
      <c r="U226" s="188">
        <f t="shared" si="612"/>
        <v>1.2891901033521473</v>
      </c>
      <c r="V226" s="188">
        <f t="shared" si="613"/>
        <v>0.12643936707327275</v>
      </c>
      <c r="W226" s="188">
        <f t="shared" si="614"/>
        <v>0.19903964200700985</v>
      </c>
      <c r="X226" s="172">
        <f t="shared" si="615"/>
        <v>350</v>
      </c>
      <c r="Y226" s="379">
        <f t="shared" si="678"/>
        <v>350</v>
      </c>
      <c r="AA226" s="188">
        <f t="shared" si="616"/>
        <v>11.316859743736355</v>
      </c>
      <c r="AB226" s="150">
        <f t="shared" si="617"/>
        <v>1.7472238626249716</v>
      </c>
      <c r="AC226" s="150">
        <f t="shared" si="618"/>
        <v>3.460290293991314</v>
      </c>
      <c r="AD226" s="150"/>
      <c r="AE226" s="150">
        <f t="shared" si="619"/>
        <v>0.93570440659754173</v>
      </c>
      <c r="AF226" s="314">
        <f t="shared" si="620"/>
        <v>141.07019168583957</v>
      </c>
      <c r="AG226" s="456">
        <f t="shared" si="621"/>
        <v>0.99241376457315034</v>
      </c>
      <c r="AI226" s="150">
        <f t="shared" si="622"/>
        <v>3.8476863429826285</v>
      </c>
      <c r="AJ226" s="150">
        <f t="shared" si="623"/>
        <v>6.0606060606060606</v>
      </c>
      <c r="AK226" s="150">
        <f t="shared" si="624"/>
        <v>1.080611538106194</v>
      </c>
      <c r="AM226" s="314">
        <f t="shared" si="625"/>
        <v>400</v>
      </c>
      <c r="AN226" s="144">
        <f t="shared" si="626"/>
        <v>141.07019168583957</v>
      </c>
      <c r="AP226">
        <f t="shared" si="627"/>
        <v>400</v>
      </c>
      <c r="AQ226">
        <f t="shared" si="628"/>
        <v>141.07019168583957</v>
      </c>
      <c r="AS226" s="5">
        <f t="shared" si="599"/>
        <v>7.0886697469510747</v>
      </c>
      <c r="AT226" s="5">
        <f t="shared" si="629"/>
        <v>0.59440356576655595</v>
      </c>
      <c r="AU226" s="5">
        <f t="shared" si="477"/>
        <v>6.4942661811845186</v>
      </c>
      <c r="AV226" s="5"/>
      <c r="AW226" s="150">
        <f t="shared" si="478"/>
        <v>8.3852624961434599E-2</v>
      </c>
      <c r="AX226" s="150">
        <f t="shared" si="630"/>
        <v>12.17685768454446</v>
      </c>
      <c r="AY226" s="150">
        <f t="shared" si="631"/>
        <v>2.7762041667835313</v>
      </c>
      <c r="AZ226" s="150">
        <f t="shared" si="632"/>
        <v>4.3861535222218135</v>
      </c>
      <c r="BA226" s="144">
        <f t="shared" si="593"/>
        <v>0.79253808768874134</v>
      </c>
      <c r="BB226" s="5">
        <f t="shared" si="594"/>
        <v>0.95659895503927395</v>
      </c>
      <c r="BD226" s="150">
        <f t="shared" si="679"/>
        <v>1.0132433443286255</v>
      </c>
      <c r="BE226" s="150">
        <f t="shared" si="680"/>
        <v>3.3491769933012967</v>
      </c>
      <c r="BG226" s="456">
        <f t="shared" si="681"/>
        <v>1.2319944897915091E-2</v>
      </c>
      <c r="BH226" s="456">
        <f t="shared" si="633"/>
        <v>1.2227286600670253</v>
      </c>
      <c r="BI226" s="456">
        <f t="shared" si="682"/>
        <v>1.6223072043871554E-2</v>
      </c>
      <c r="BJ226" s="456">
        <f t="shared" si="683"/>
        <v>0.44830897397524772</v>
      </c>
      <c r="BK226">
        <f t="shared" si="684"/>
        <v>2.1564779480505315E-2</v>
      </c>
      <c r="BL226" s="144">
        <f t="shared" si="685"/>
        <v>37.787851524376876</v>
      </c>
      <c r="BM226" s="456">
        <f t="shared" si="634"/>
        <v>1.6916357522215448</v>
      </c>
      <c r="BN226" s="144">
        <f t="shared" si="686"/>
        <v>1691.6357522215449</v>
      </c>
      <c r="BO226" s="456">
        <f t="shared" si="635"/>
        <v>0.27999999999999997</v>
      </c>
      <c r="BR226" s="144">
        <f t="shared" si="687"/>
        <v>279.99999999999994</v>
      </c>
      <c r="BS226" s="456">
        <f t="shared" si="688"/>
        <v>1.4373269047567607E-2</v>
      </c>
      <c r="BT226" s="456">
        <f t="shared" si="689"/>
        <v>0.157037811454422</v>
      </c>
      <c r="BU226" s="456">
        <f t="shared" si="690"/>
        <v>1.0686814842374717</v>
      </c>
      <c r="BV226" s="456"/>
      <c r="BW226" s="456">
        <f t="shared" si="691"/>
        <v>0.51816415678912608</v>
      </c>
      <c r="BX226" s="144">
        <f t="shared" si="692"/>
        <v>1758.2567215285874</v>
      </c>
      <c r="BY226" s="150">
        <f t="shared" si="693"/>
        <v>3.7594021519931529</v>
      </c>
      <c r="BZ226" s="5">
        <f t="shared" si="694"/>
        <v>12</v>
      </c>
      <c r="CA226" s="150">
        <f t="shared" si="695"/>
        <v>0.7614502050436166</v>
      </c>
      <c r="CB226" s="5">
        <f t="shared" si="696"/>
        <v>76.145020504361653</v>
      </c>
      <c r="CE226" s="59">
        <f t="shared" si="636"/>
        <v>-50</v>
      </c>
      <c r="CF226">
        <f t="shared" si="637"/>
        <v>-50</v>
      </c>
      <c r="CG226" s="150">
        <f t="shared" si="638"/>
        <v>0.1328770860607652</v>
      </c>
      <c r="CI226" s="147">
        <v>10</v>
      </c>
      <c r="CJ226" s="188">
        <f t="shared" si="697"/>
        <v>0.4</v>
      </c>
      <c r="CK226" s="188"/>
      <c r="CL226" s="188">
        <f t="shared" si="639"/>
        <v>12</v>
      </c>
      <c r="CM226" s="465">
        <f t="shared" si="640"/>
        <v>48</v>
      </c>
      <c r="CN226" s="379">
        <f t="shared" si="641"/>
        <v>30.4</v>
      </c>
      <c r="CO226" s="379">
        <f t="shared" si="642"/>
        <v>78.400000000000006</v>
      </c>
      <c r="CP226" s="379"/>
      <c r="CQ226" s="188">
        <f t="shared" si="643"/>
        <v>0.38775510204081626</v>
      </c>
      <c r="CR226" s="149">
        <f t="shared" si="644"/>
        <v>284.85494809142222</v>
      </c>
      <c r="CS226" s="149">
        <f t="shared" si="645"/>
        <v>12</v>
      </c>
      <c r="CT226" s="188">
        <f t="shared" si="646"/>
        <v>9.4951649363807409</v>
      </c>
      <c r="CU226" s="188">
        <f t="shared" si="647"/>
        <v>30</v>
      </c>
      <c r="CV226" s="188"/>
      <c r="CW226" s="149">
        <f t="shared" si="648"/>
        <v>1770.1926620085276</v>
      </c>
      <c r="CX226" s="149">
        <f t="shared" si="649"/>
        <v>30</v>
      </c>
      <c r="CY226" s="188">
        <f t="shared" si="650"/>
        <v>1.2894736842105265</v>
      </c>
      <c r="CZ226" s="188">
        <f t="shared" si="651"/>
        <v>0.12626096491228073</v>
      </c>
      <c r="DA226" s="188">
        <f t="shared" si="652"/>
        <v>0.19935941828254852</v>
      </c>
      <c r="DB226" s="172">
        <f t="shared" si="653"/>
        <v>350</v>
      </c>
      <c r="DC226" s="379">
        <f t="shared" si="654"/>
        <v>350</v>
      </c>
      <c r="DE226" s="188">
        <f t="shared" si="655"/>
        <v>11.314434588425037</v>
      </c>
      <c r="DF226" s="150">
        <f t="shared" si="656"/>
        <v>1.7492711370262393</v>
      </c>
      <c r="DG226" s="150">
        <f t="shared" si="657"/>
        <v>3.463602425028073</v>
      </c>
      <c r="DH226" s="150"/>
      <c r="DI226" s="150">
        <f t="shared" si="658"/>
        <v>0.93700159489633172</v>
      </c>
      <c r="DJ226" s="314">
        <f t="shared" si="659"/>
        <v>140.87489361702129</v>
      </c>
      <c r="DK226" s="456">
        <f t="shared" si="660"/>
        <v>0.99378957034459414</v>
      </c>
      <c r="DM226" s="150">
        <f t="shared" si="661"/>
        <v>3.8450220453042112</v>
      </c>
      <c r="DN226" s="150">
        <f t="shared" si="662"/>
        <v>6.0606060606060606</v>
      </c>
      <c r="DO226" s="150">
        <f t="shared" si="663"/>
        <v>1.0804999392097265</v>
      </c>
      <c r="DQ226" s="314">
        <f t="shared" si="664"/>
        <v>400</v>
      </c>
      <c r="DR226" s="144">
        <f t="shared" si="665"/>
        <v>140.87489361702129</v>
      </c>
      <c r="DT226">
        <f t="shared" si="666"/>
        <v>400</v>
      </c>
      <c r="DU226">
        <f t="shared" si="667"/>
        <v>140.87489361702129</v>
      </c>
      <c r="DW226" s="5">
        <f t="shared" si="668"/>
        <v>7.0984969310328161</v>
      </c>
      <c r="DX226" s="5">
        <f t="shared" si="669"/>
        <v>0.59343434343434343</v>
      </c>
      <c r="DY226" s="5">
        <f t="shared" si="670"/>
        <v>6.5050625875984727</v>
      </c>
      <c r="DZ226" s="5"/>
      <c r="EA226" s="150">
        <f t="shared" si="671"/>
        <v>8.3599999999999994E-2</v>
      </c>
      <c r="EB226" s="150">
        <f t="shared" si="698"/>
        <v>12.159999999999998</v>
      </c>
      <c r="EC226" s="150">
        <f t="shared" si="699"/>
        <v>2.7769696969696969</v>
      </c>
      <c r="ED226" s="150">
        <f t="shared" si="700"/>
        <v>4.3788738542121344</v>
      </c>
      <c r="EE226" s="144">
        <f t="shared" si="672"/>
        <v>0.7912457912457912</v>
      </c>
      <c r="EF226" s="5">
        <f t="shared" si="673"/>
        <v>0.95662685111742241</v>
      </c>
      <c r="EH226" s="150">
        <f t="shared" si="701"/>
        <v>1.0117158808524376</v>
      </c>
      <c r="EI226" s="150">
        <f t="shared" si="702"/>
        <v>3.3496387243575909</v>
      </c>
      <c r="EK226" s="456">
        <f t="shared" si="703"/>
        <v>1.2282828282828282E-2</v>
      </c>
      <c r="EL226" s="456">
        <f t="shared" si="704"/>
        <v>1.2718014638297876</v>
      </c>
      <c r="EM226" s="456">
        <f t="shared" si="705"/>
        <v>1.620061276595745E-2</v>
      </c>
      <c r="EN226" s="456">
        <f t="shared" si="706"/>
        <v>0.44810117281225548</v>
      </c>
      <c r="EO226">
        <f t="shared" si="707"/>
        <v>2.1600000000000001E-2</v>
      </c>
      <c r="EP226" s="144">
        <f t="shared" si="708"/>
        <v>37.800612765957446</v>
      </c>
      <c r="EQ226" s="144"/>
      <c r="ER226" s="144">
        <f t="shared" si="709"/>
        <v>1769.986077690829</v>
      </c>
      <c r="ES226" s="456">
        <f t="shared" si="710"/>
        <v>0.27999999999999997</v>
      </c>
      <c r="EV226" s="144">
        <f t="shared" si="711"/>
        <v>279.99999999999994</v>
      </c>
      <c r="EW226" s="456">
        <f t="shared" si="712"/>
        <v>1.432996632996633E-2</v>
      </c>
      <c r="EX226" s="456">
        <f t="shared" si="713"/>
        <v>0.15708111417202328</v>
      </c>
      <c r="EY226" s="456">
        <f t="shared" si="714"/>
        <v>1.06498660773762</v>
      </c>
      <c r="EZ226" s="456"/>
      <c r="FA226" s="456">
        <f t="shared" si="715"/>
        <v>0.5174468085106384</v>
      </c>
      <c r="FB226" s="144">
        <f t="shared" si="716"/>
        <v>1753.844496750248</v>
      </c>
      <c r="FC226" s="150">
        <f t="shared" si="717"/>
        <v>3.803830574441077</v>
      </c>
      <c r="FD226" s="5">
        <f t="shared" si="718"/>
        <v>12</v>
      </c>
      <c r="FE226" s="150">
        <f t="shared" si="719"/>
        <v>0.75930958279236016</v>
      </c>
      <c r="FF226" s="5">
        <f t="shared" si="720"/>
        <v>75.930958279236023</v>
      </c>
      <c r="FI226" s="59">
        <f t="shared" si="674"/>
        <v>-50</v>
      </c>
      <c r="FJ226">
        <f t="shared" si="675"/>
        <v>-50</v>
      </c>
      <c r="FL226">
        <f t="shared" si="676"/>
        <v>0.13200000000000001</v>
      </c>
    </row>
    <row r="227" spans="5:168">
      <c r="E227" s="147">
        <v>11</v>
      </c>
      <c r="F227" s="188">
        <f t="shared" si="677"/>
        <v>0.44</v>
      </c>
      <c r="G227" s="188"/>
      <c r="H227" s="188">
        <f t="shared" si="602"/>
        <v>13.2</v>
      </c>
      <c r="I227" s="465">
        <f t="shared" si="603"/>
        <v>47.921732178900704</v>
      </c>
      <c r="J227" s="149">
        <f t="shared" si="604"/>
        <v>30.44214421136116</v>
      </c>
      <c r="K227" s="149">
        <f t="shared" si="605"/>
        <v>78.363876390261865</v>
      </c>
      <c r="L227" s="379"/>
      <c r="M227" s="188">
        <f t="shared" si="606"/>
        <v>0.38847383335246438</v>
      </c>
      <c r="N227" s="149">
        <f t="shared" si="607"/>
        <v>284.91760712866062</v>
      </c>
      <c r="O227" s="149">
        <f t="shared" si="598"/>
        <v>13.2</v>
      </c>
      <c r="P227" s="188">
        <f t="shared" si="608"/>
        <v>9.4972535709553547</v>
      </c>
      <c r="Q227" s="188">
        <f t="shared" si="609"/>
        <v>30</v>
      </c>
      <c r="R227" s="188"/>
      <c r="S227" s="149">
        <f t="shared" si="610"/>
        <v>1602.2876172442323</v>
      </c>
      <c r="T227" s="149">
        <f t="shared" si="611"/>
        <v>30</v>
      </c>
      <c r="U227" s="188">
        <f t="shared" si="612"/>
        <v>1.418109113687362</v>
      </c>
      <c r="V227" s="188">
        <f t="shared" si="613"/>
        <v>0.13908330378060002</v>
      </c>
      <c r="W227" s="188">
        <f t="shared" si="614"/>
        <v>0.21894360620771083</v>
      </c>
      <c r="X227" s="172">
        <f t="shared" si="615"/>
        <v>350</v>
      </c>
      <c r="Y227" s="379">
        <f t="shared" si="678"/>
        <v>350</v>
      </c>
      <c r="AA227" s="188">
        <f t="shared" si="616"/>
        <v>11.316859743736355</v>
      </c>
      <c r="AB227" s="150">
        <f t="shared" si="617"/>
        <v>1.7472238626249716</v>
      </c>
      <c r="AC227" s="150">
        <f t="shared" si="618"/>
        <v>3.460290293991314</v>
      </c>
      <c r="AD227" s="150"/>
      <c r="AE227" s="150">
        <f t="shared" si="619"/>
        <v>0.93570440659754173</v>
      </c>
      <c r="AF227" s="314">
        <f t="shared" si="620"/>
        <v>155.17721085442355</v>
      </c>
      <c r="AG227" s="456">
        <f t="shared" si="621"/>
        <v>0.99241376457315034</v>
      </c>
      <c r="AI227" s="150">
        <f t="shared" si="622"/>
        <v>4.0354874815036332</v>
      </c>
      <c r="AJ227" s="150">
        <f t="shared" si="623"/>
        <v>6.0606060606060606</v>
      </c>
      <c r="AK227" s="150">
        <f t="shared" si="624"/>
        <v>1.0886726919168135</v>
      </c>
      <c r="AM227" s="314">
        <f t="shared" si="625"/>
        <v>440</v>
      </c>
      <c r="AN227" s="144">
        <f t="shared" si="626"/>
        <v>155.17721085442355</v>
      </c>
      <c r="AP227">
        <f t="shared" si="627"/>
        <v>440</v>
      </c>
      <c r="AQ227">
        <f t="shared" si="628"/>
        <v>155.17721085442355</v>
      </c>
      <c r="AS227" s="5">
        <f t="shared" si="599"/>
        <v>6.4442452245009765</v>
      </c>
      <c r="AT227" s="5">
        <f t="shared" si="629"/>
        <v>0.59440356576655595</v>
      </c>
      <c r="AU227" s="5">
        <f t="shared" si="477"/>
        <v>5.8498416587344204</v>
      </c>
      <c r="AV227" s="5"/>
      <c r="AW227" s="150">
        <f t="shared" si="478"/>
        <v>9.2237887457578063E-2</v>
      </c>
      <c r="AX227" s="150">
        <f t="shared" si="630"/>
        <v>13.394543452998908</v>
      </c>
      <c r="AY227" s="150">
        <f t="shared" si="631"/>
        <v>2.7507942804315815</v>
      </c>
      <c r="AZ227" s="150">
        <f t="shared" si="632"/>
        <v>4.8693366669707459</v>
      </c>
      <c r="BA227" s="144">
        <f t="shared" si="593"/>
        <v>0.87179189645761546</v>
      </c>
      <c r="BB227" s="5">
        <f t="shared" si="594"/>
        <v>0.9478434495823016</v>
      </c>
      <c r="BD227" s="150">
        <f t="shared" si="679"/>
        <v>1.0626985848813781</v>
      </c>
      <c r="BE227" s="150">
        <f t="shared" si="680"/>
        <v>3.3338146806587927</v>
      </c>
      <c r="BG227" s="456">
        <f t="shared" si="681"/>
        <v>1.3551939387706605E-2</v>
      </c>
      <c r="BH227" s="456">
        <f t="shared" si="633"/>
        <v>1.345001526073728</v>
      </c>
      <c r="BI227" s="456">
        <f t="shared" si="682"/>
        <v>1.784537924825871E-2</v>
      </c>
      <c r="BJ227" s="456">
        <f t="shared" si="683"/>
        <v>0.49313987137277254</v>
      </c>
      <c r="BK227">
        <f t="shared" si="684"/>
        <v>2.1564779480505315E-2</v>
      </c>
      <c r="BL227" s="144">
        <f t="shared" si="685"/>
        <v>39.410158728764024</v>
      </c>
      <c r="BM227" s="456">
        <f t="shared" si="634"/>
        <v>1.8613457836979685</v>
      </c>
      <c r="BN227" s="144">
        <f t="shared" si="686"/>
        <v>1861.3457836979685</v>
      </c>
      <c r="BO227" s="456">
        <f t="shared" si="635"/>
        <v>0.308</v>
      </c>
      <c r="BR227" s="144">
        <f t="shared" si="687"/>
        <v>308</v>
      </c>
      <c r="BS227" s="456">
        <f t="shared" si="688"/>
        <v>1.5810595952324372E-2</v>
      </c>
      <c r="BT227" s="456">
        <f t="shared" si="689"/>
        <v>0.15560048454966524</v>
      </c>
      <c r="BU227" s="456">
        <f t="shared" si="690"/>
        <v>1.3562195418180865</v>
      </c>
      <c r="BV227" s="456"/>
      <c r="BW227" s="456">
        <f t="shared" si="691"/>
        <v>0.56998057246803879</v>
      </c>
      <c r="BX227" s="144">
        <f t="shared" si="692"/>
        <v>2097.611194788115</v>
      </c>
      <c r="BY227" s="150">
        <f t="shared" si="693"/>
        <v>4.2967146903510862</v>
      </c>
      <c r="BZ227" s="5">
        <f t="shared" si="694"/>
        <v>13.2</v>
      </c>
      <c r="CA227" s="150">
        <f t="shared" si="695"/>
        <v>0.75442734442480253</v>
      </c>
      <c r="CB227" s="5">
        <f t="shared" si="696"/>
        <v>75.442734442480258</v>
      </c>
      <c r="CE227" s="59">
        <f t="shared" si="636"/>
        <v>-50</v>
      </c>
      <c r="CF227">
        <f t="shared" si="637"/>
        <v>-50</v>
      </c>
      <c r="CG227" s="150">
        <f t="shared" si="638"/>
        <v>0.14616479466684174</v>
      </c>
      <c r="CI227" s="147">
        <v>11</v>
      </c>
      <c r="CJ227" s="188">
        <f t="shared" si="697"/>
        <v>0.44</v>
      </c>
      <c r="CK227" s="188"/>
      <c r="CL227" s="188">
        <f t="shared" si="639"/>
        <v>13.2</v>
      </c>
      <c r="CM227" s="465">
        <f t="shared" si="640"/>
        <v>48</v>
      </c>
      <c r="CN227" s="379">
        <f t="shared" si="641"/>
        <v>30.4</v>
      </c>
      <c r="CO227" s="379">
        <f t="shared" si="642"/>
        <v>78.400000000000006</v>
      </c>
      <c r="CP227" s="379"/>
      <c r="CQ227" s="188">
        <f t="shared" si="643"/>
        <v>0.38775510204081626</v>
      </c>
      <c r="CR227" s="149">
        <f t="shared" si="644"/>
        <v>284.85494809142222</v>
      </c>
      <c r="CS227" s="149">
        <f t="shared" si="645"/>
        <v>13.2</v>
      </c>
      <c r="CT227" s="188">
        <f t="shared" si="646"/>
        <v>9.4951649363807409</v>
      </c>
      <c r="CU227" s="188">
        <f t="shared" si="647"/>
        <v>30</v>
      </c>
      <c r="CV227" s="188"/>
      <c r="CW227" s="149">
        <f t="shared" si="648"/>
        <v>1604.9045223310145</v>
      </c>
      <c r="CX227" s="149">
        <f t="shared" si="649"/>
        <v>30</v>
      </c>
      <c r="CY227" s="188">
        <f t="shared" si="650"/>
        <v>1.4184210526315792</v>
      </c>
      <c r="CZ227" s="188">
        <f t="shared" si="651"/>
        <v>0.13888706140350882</v>
      </c>
      <c r="DA227" s="188">
        <f t="shared" si="652"/>
        <v>0.21929536011080339</v>
      </c>
      <c r="DB227" s="172">
        <f t="shared" si="653"/>
        <v>350</v>
      </c>
      <c r="DC227" s="379">
        <f t="shared" si="654"/>
        <v>350</v>
      </c>
      <c r="DE227" s="188">
        <f t="shared" si="655"/>
        <v>11.314434588425037</v>
      </c>
      <c r="DF227" s="150">
        <f t="shared" si="656"/>
        <v>1.7492711370262393</v>
      </c>
      <c r="DG227" s="150">
        <f t="shared" si="657"/>
        <v>3.463602425028073</v>
      </c>
      <c r="DH227" s="150"/>
      <c r="DI227" s="150">
        <f t="shared" si="658"/>
        <v>0.93700159489633172</v>
      </c>
      <c r="DJ227" s="314">
        <f t="shared" si="659"/>
        <v>154.96238297872341</v>
      </c>
      <c r="DK227" s="456">
        <f t="shared" si="660"/>
        <v>0.99378957034459414</v>
      </c>
      <c r="DM227" s="150">
        <f t="shared" si="661"/>
        <v>4.0326931425243497</v>
      </c>
      <c r="DN227" s="150">
        <f t="shared" si="662"/>
        <v>6.0606060606060606</v>
      </c>
      <c r="DO227" s="150">
        <f t="shared" si="663"/>
        <v>1.0885499331306991</v>
      </c>
      <c r="DQ227" s="314">
        <f t="shared" si="664"/>
        <v>440</v>
      </c>
      <c r="DR227" s="144">
        <f t="shared" si="665"/>
        <v>154.96238297872341</v>
      </c>
      <c r="DT227">
        <f t="shared" si="666"/>
        <v>440</v>
      </c>
      <c r="DU227">
        <f t="shared" si="667"/>
        <v>154.96238297872341</v>
      </c>
      <c r="DW227" s="5">
        <f t="shared" si="668"/>
        <v>6.4531790282116503</v>
      </c>
      <c r="DX227" s="5">
        <f t="shared" si="669"/>
        <v>0.59343434343434343</v>
      </c>
      <c r="DY227" s="5">
        <f t="shared" si="670"/>
        <v>5.8597446847773069</v>
      </c>
      <c r="DZ227" s="5"/>
      <c r="EA227" s="150">
        <f t="shared" si="671"/>
        <v>9.1960000000000014E-2</v>
      </c>
      <c r="EB227" s="150">
        <f t="shared" si="698"/>
        <v>13.375999999999999</v>
      </c>
      <c r="EC227" s="150">
        <f t="shared" si="699"/>
        <v>2.7516363636363637</v>
      </c>
      <c r="ED227" s="150">
        <f t="shared" si="700"/>
        <v>4.8611074402008718</v>
      </c>
      <c r="EE227" s="144">
        <f t="shared" si="672"/>
        <v>0.87037037037037046</v>
      </c>
      <c r="EF227" s="5">
        <f t="shared" si="673"/>
        <v>0.94789987547868171</v>
      </c>
      <c r="EH227" s="150">
        <f t="shared" si="701"/>
        <v>1.0610965676722952</v>
      </c>
      <c r="EI227" s="150">
        <f t="shared" si="702"/>
        <v>3.3343249213834945</v>
      </c>
      <c r="EK227" s="456">
        <f t="shared" si="703"/>
        <v>1.3511111111111109E-2</v>
      </c>
      <c r="EL227" s="456">
        <f t="shared" si="704"/>
        <v>1.3989816102127661</v>
      </c>
      <c r="EM227" s="456">
        <f t="shared" si="705"/>
        <v>1.7820674042553192E-2</v>
      </c>
      <c r="EN227" s="456">
        <f t="shared" si="706"/>
        <v>0.492911290093481</v>
      </c>
      <c r="EO227">
        <f t="shared" si="707"/>
        <v>2.1600000000000001E-2</v>
      </c>
      <c r="EP227" s="144">
        <f t="shared" si="708"/>
        <v>39.420674042553195</v>
      </c>
      <c r="EQ227" s="144"/>
      <c r="ER227" s="144">
        <f t="shared" si="709"/>
        <v>1944.8246854599113</v>
      </c>
      <c r="ES227" s="456">
        <f t="shared" si="710"/>
        <v>0.308</v>
      </c>
      <c r="EV227" s="144">
        <f t="shared" si="711"/>
        <v>308</v>
      </c>
      <c r="EW227" s="456">
        <f t="shared" si="712"/>
        <v>1.5762962962962961E-2</v>
      </c>
      <c r="EX227" s="456">
        <f t="shared" si="713"/>
        <v>0.15564811753902666</v>
      </c>
      <c r="EY227" s="456">
        <f t="shared" si="714"/>
        <v>1.3515305266272959</v>
      </c>
      <c r="EZ227" s="456"/>
      <c r="FA227" s="456">
        <f t="shared" si="715"/>
        <v>0.56919148936170216</v>
      </c>
      <c r="FB227" s="144">
        <f t="shared" si="716"/>
        <v>2092.1330964909876</v>
      </c>
      <c r="FC227" s="150">
        <f t="shared" si="717"/>
        <v>4.3449577819508987</v>
      </c>
      <c r="FD227" s="5">
        <f t="shared" si="718"/>
        <v>13.2</v>
      </c>
      <c r="FE227" s="150">
        <f t="shared" si="719"/>
        <v>0.75235290754471307</v>
      </c>
      <c r="FF227" s="5">
        <f t="shared" si="720"/>
        <v>75.235290754471308</v>
      </c>
      <c r="FI227" s="59">
        <f t="shared" si="674"/>
        <v>-50</v>
      </c>
      <c r="FJ227">
        <f t="shared" si="675"/>
        <v>-50</v>
      </c>
      <c r="FL227">
        <f t="shared" si="676"/>
        <v>0.1452</v>
      </c>
    </row>
    <row r="228" spans="5:168">
      <c r="E228" s="147">
        <v>12</v>
      </c>
      <c r="F228" s="188">
        <f t="shared" si="677"/>
        <v>0.48</v>
      </c>
      <c r="G228" s="188"/>
      <c r="H228" s="188">
        <f t="shared" si="602"/>
        <v>14.399999999999999</v>
      </c>
      <c r="I228" s="465">
        <f t="shared" si="603"/>
        <v>47.921732178900704</v>
      </c>
      <c r="J228" s="149">
        <f t="shared" si="604"/>
        <v>30.44214421136116</v>
      </c>
      <c r="K228" s="149">
        <f t="shared" si="605"/>
        <v>78.363876390261865</v>
      </c>
      <c r="L228" s="379"/>
      <c r="M228" s="188">
        <f t="shared" si="606"/>
        <v>0.38847383335246438</v>
      </c>
      <c r="N228" s="149">
        <f t="shared" si="607"/>
        <v>284.91760712866062</v>
      </c>
      <c r="O228" s="149">
        <f t="shared" si="598"/>
        <v>14.399999999999999</v>
      </c>
      <c r="P228" s="188">
        <f t="shared" si="608"/>
        <v>9.4972535709553547</v>
      </c>
      <c r="Q228" s="188">
        <f t="shared" si="609"/>
        <v>30</v>
      </c>
      <c r="R228" s="188"/>
      <c r="S228" s="149">
        <f t="shared" si="610"/>
        <v>1464.7722907050379</v>
      </c>
      <c r="T228" s="149">
        <f t="shared" si="611"/>
        <v>30</v>
      </c>
      <c r="U228" s="188">
        <f t="shared" si="612"/>
        <v>1.5470281240225767</v>
      </c>
      <c r="V228" s="188">
        <f t="shared" si="613"/>
        <v>0.1517272404879273</v>
      </c>
      <c r="W228" s="188">
        <f t="shared" si="614"/>
        <v>0.23884757040841179</v>
      </c>
      <c r="X228" s="172">
        <f t="shared" si="615"/>
        <v>350</v>
      </c>
      <c r="Y228" s="379">
        <f t="shared" si="678"/>
        <v>350</v>
      </c>
      <c r="AA228" s="188">
        <f t="shared" si="616"/>
        <v>11.316859743736355</v>
      </c>
      <c r="AB228" s="150">
        <f t="shared" si="617"/>
        <v>1.7472238626249716</v>
      </c>
      <c r="AC228" s="150">
        <f t="shared" si="618"/>
        <v>3.460290293991314</v>
      </c>
      <c r="AD228" s="150"/>
      <c r="AE228" s="150">
        <f t="shared" si="619"/>
        <v>0.93570440659754173</v>
      </c>
      <c r="AF228" s="314">
        <f t="shared" si="620"/>
        <v>169.2842300230075</v>
      </c>
      <c r="AG228" s="456">
        <f t="shared" si="621"/>
        <v>0.99241376457315034</v>
      </c>
      <c r="AI228" s="150">
        <f t="shared" si="622"/>
        <v>4.2149292085122898</v>
      </c>
      <c r="AJ228" s="150">
        <f t="shared" si="623"/>
        <v>6.0606060606060606</v>
      </c>
      <c r="AK228" s="150">
        <f t="shared" si="624"/>
        <v>1.0967338457274329</v>
      </c>
      <c r="AM228" s="314">
        <f t="shared" si="625"/>
        <v>480</v>
      </c>
      <c r="AN228" s="144">
        <f t="shared" si="626"/>
        <v>169.2842300230075</v>
      </c>
      <c r="AP228">
        <f t="shared" si="627"/>
        <v>480</v>
      </c>
      <c r="AQ228">
        <f t="shared" si="628"/>
        <v>169.2842300230075</v>
      </c>
      <c r="AS228" s="5">
        <f t="shared" si="599"/>
        <v>5.9072247891258955</v>
      </c>
      <c r="AT228" s="5">
        <f t="shared" si="629"/>
        <v>0.59440356576655595</v>
      </c>
      <c r="AU228" s="5">
        <f t="shared" si="477"/>
        <v>5.3128212233593395</v>
      </c>
      <c r="AV228" s="5"/>
      <c r="AW228" s="150">
        <f t="shared" si="478"/>
        <v>0.10062314995372151</v>
      </c>
      <c r="AX228" s="150">
        <f t="shared" si="630"/>
        <v>14.612229221453353</v>
      </c>
      <c r="AY228" s="150">
        <f t="shared" si="631"/>
        <v>2.7253843940796316</v>
      </c>
      <c r="AZ228" s="150">
        <f t="shared" si="632"/>
        <v>5.3615296444771543</v>
      </c>
      <c r="BA228" s="144">
        <f t="shared" si="593"/>
        <v>0.95104570522648935</v>
      </c>
      <c r="BB228" s="5">
        <f t="shared" si="594"/>
        <v>0.93908794412532959</v>
      </c>
      <c r="BD228" s="150">
        <f t="shared" si="679"/>
        <v>1.1099524718615248</v>
      </c>
      <c r="BE228" s="150">
        <f t="shared" si="680"/>
        <v>3.3183812495693528</v>
      </c>
      <c r="BG228" s="456">
        <f t="shared" si="681"/>
        <v>1.4783933877498108E-2</v>
      </c>
      <c r="BH228" s="456">
        <f t="shared" si="633"/>
        <v>1.4672743920804305</v>
      </c>
      <c r="BI228" s="456">
        <f t="shared" si="682"/>
        <v>1.9467686452645863E-2</v>
      </c>
      <c r="BJ228" s="456">
        <f t="shared" si="683"/>
        <v>0.53797076877029726</v>
      </c>
      <c r="BK228">
        <f t="shared" si="684"/>
        <v>2.1564779480505315E-2</v>
      </c>
      <c r="BL228" s="144">
        <f t="shared" si="685"/>
        <v>41.03246593315118</v>
      </c>
      <c r="BM228" s="456">
        <f t="shared" si="634"/>
        <v>2.0311555210902363</v>
      </c>
      <c r="BN228" s="144">
        <f t="shared" si="686"/>
        <v>2031.1555210902363</v>
      </c>
      <c r="BO228" s="456">
        <f t="shared" si="635"/>
        <v>0.33599999999999997</v>
      </c>
      <c r="BR228" s="144">
        <f t="shared" si="687"/>
        <v>335.99999999999994</v>
      </c>
      <c r="BS228" s="456">
        <f t="shared" si="688"/>
        <v>1.7247922857081127E-2</v>
      </c>
      <c r="BT228" s="456">
        <f t="shared" si="689"/>
        <v>0.15416315764490843</v>
      </c>
      <c r="BU228" s="456">
        <f t="shared" si="690"/>
        <v>1.6857819524302999</v>
      </c>
      <c r="BV228" s="456"/>
      <c r="BW228" s="456">
        <f t="shared" si="691"/>
        <v>0.62179698814695128</v>
      </c>
      <c r="BX228" s="144">
        <f t="shared" si="692"/>
        <v>2478.9900210792407</v>
      </c>
      <c r="BY228" s="150">
        <f t="shared" si="693"/>
        <v>4.8760515817406178</v>
      </c>
      <c r="BZ228" s="5">
        <f t="shared" si="694"/>
        <v>14.399999999999999</v>
      </c>
      <c r="CA228" s="150">
        <f t="shared" si="695"/>
        <v>0.74704095592068787</v>
      </c>
      <c r="CB228" s="5">
        <f t="shared" si="696"/>
        <v>74.704095592068782</v>
      </c>
      <c r="CE228" s="59">
        <f t="shared" si="636"/>
        <v>-50</v>
      </c>
      <c r="CF228">
        <f t="shared" si="637"/>
        <v>-50</v>
      </c>
      <c r="CG228" s="150">
        <f t="shared" si="638"/>
        <v>0.15945250327291824</v>
      </c>
      <c r="CI228" s="147">
        <v>12</v>
      </c>
      <c r="CJ228" s="188">
        <f t="shared" si="697"/>
        <v>0.48</v>
      </c>
      <c r="CK228" s="188"/>
      <c r="CL228" s="188">
        <f t="shared" si="639"/>
        <v>14.399999999999999</v>
      </c>
      <c r="CM228" s="465">
        <f t="shared" si="640"/>
        <v>48</v>
      </c>
      <c r="CN228" s="379">
        <f t="shared" si="641"/>
        <v>30.4</v>
      </c>
      <c r="CO228" s="379">
        <f t="shared" si="642"/>
        <v>78.400000000000006</v>
      </c>
      <c r="CP228" s="379"/>
      <c r="CQ228" s="188">
        <f t="shared" si="643"/>
        <v>0.38775510204081626</v>
      </c>
      <c r="CR228" s="149">
        <f t="shared" si="644"/>
        <v>284.85494809142222</v>
      </c>
      <c r="CS228" s="149">
        <f t="shared" si="645"/>
        <v>14.399999999999999</v>
      </c>
      <c r="CT228" s="188">
        <f t="shared" si="646"/>
        <v>9.4951649363807409</v>
      </c>
      <c r="CU228" s="188">
        <f t="shared" si="647"/>
        <v>30</v>
      </c>
      <c r="CV228" s="188"/>
      <c r="CW228" s="149">
        <f t="shared" si="648"/>
        <v>1467.1645980509159</v>
      </c>
      <c r="CX228" s="149">
        <f t="shared" si="649"/>
        <v>30</v>
      </c>
      <c r="CY228" s="188">
        <f t="shared" si="650"/>
        <v>1.5473684210526317</v>
      </c>
      <c r="CZ228" s="188">
        <f t="shared" si="651"/>
        <v>0.15151315789473685</v>
      </c>
      <c r="DA228" s="188">
        <f t="shared" si="652"/>
        <v>0.23923130193905817</v>
      </c>
      <c r="DB228" s="172">
        <f t="shared" si="653"/>
        <v>350</v>
      </c>
      <c r="DC228" s="379">
        <f t="shared" si="654"/>
        <v>350</v>
      </c>
      <c r="DE228" s="188">
        <f t="shared" si="655"/>
        <v>11.314434588425037</v>
      </c>
      <c r="DF228" s="150">
        <f t="shared" si="656"/>
        <v>1.7492711370262393</v>
      </c>
      <c r="DG228" s="150">
        <f t="shared" si="657"/>
        <v>3.463602425028073</v>
      </c>
      <c r="DH228" s="150"/>
      <c r="DI228" s="150">
        <f t="shared" si="658"/>
        <v>0.93700159489633172</v>
      </c>
      <c r="DJ228" s="314">
        <f t="shared" si="659"/>
        <v>169.04987234042554</v>
      </c>
      <c r="DK228" s="456">
        <f t="shared" si="660"/>
        <v>0.99378957034459414</v>
      </c>
      <c r="DM228" s="150">
        <f t="shared" si="661"/>
        <v>4.212010616635534</v>
      </c>
      <c r="DN228" s="150">
        <f t="shared" si="662"/>
        <v>6.0606060606060606</v>
      </c>
      <c r="DO228" s="150">
        <f t="shared" si="663"/>
        <v>1.0965999270516718</v>
      </c>
      <c r="DQ228" s="314">
        <f t="shared" si="664"/>
        <v>480</v>
      </c>
      <c r="DR228" s="144">
        <f t="shared" si="665"/>
        <v>169.04987234042554</v>
      </c>
      <c r="DT228">
        <f t="shared" si="666"/>
        <v>480</v>
      </c>
      <c r="DU228">
        <f t="shared" si="667"/>
        <v>169.04987234042554</v>
      </c>
      <c r="DW228" s="5">
        <f t="shared" si="668"/>
        <v>5.9154141091940131</v>
      </c>
      <c r="DX228" s="5">
        <f t="shared" si="669"/>
        <v>0.59343434343434343</v>
      </c>
      <c r="DY228" s="5">
        <f t="shared" si="670"/>
        <v>5.3219797657596697</v>
      </c>
      <c r="DZ228" s="5"/>
      <c r="EA228" s="150">
        <f t="shared" si="671"/>
        <v>0.10032000000000001</v>
      </c>
      <c r="EB228" s="150">
        <f t="shared" si="698"/>
        <v>14.591999999999997</v>
      </c>
      <c r="EC228" s="150">
        <f t="shared" si="699"/>
        <v>2.7263030303030305</v>
      </c>
      <c r="ED228" s="150">
        <f t="shared" si="700"/>
        <v>5.3523030410812718</v>
      </c>
      <c r="EE228" s="144">
        <f t="shared" si="672"/>
        <v>0.9494949494949495</v>
      </c>
      <c r="EF228" s="5">
        <f t="shared" si="673"/>
        <v>0.93917289983994157</v>
      </c>
      <c r="EH228" s="150">
        <f t="shared" si="701"/>
        <v>1.1082792194581781</v>
      </c>
      <c r="EI228" s="150">
        <f t="shared" si="702"/>
        <v>3.3189404602978554</v>
      </c>
      <c r="EK228" s="456">
        <f t="shared" si="703"/>
        <v>1.4739393939393941E-2</v>
      </c>
      <c r="EL228" s="456">
        <f t="shared" si="704"/>
        <v>1.5261617565957448</v>
      </c>
      <c r="EM228" s="456">
        <f t="shared" si="705"/>
        <v>1.9440735319148937E-2</v>
      </c>
      <c r="EN228" s="456">
        <f t="shared" si="706"/>
        <v>0.53772140737470653</v>
      </c>
      <c r="EO228">
        <f t="shared" si="707"/>
        <v>2.1600000000000001E-2</v>
      </c>
      <c r="EP228" s="144">
        <f t="shared" si="708"/>
        <v>41.040735319148936</v>
      </c>
      <c r="EQ228" s="144"/>
      <c r="ER228" s="144">
        <f t="shared" si="709"/>
        <v>2119.6632932289945</v>
      </c>
      <c r="ES228" s="456">
        <f t="shared" si="710"/>
        <v>0.33599999999999997</v>
      </c>
      <c r="EV228" s="144">
        <f t="shared" si="711"/>
        <v>335.99999999999994</v>
      </c>
      <c r="EW228" s="456">
        <f t="shared" si="712"/>
        <v>1.7195959595959598E-2</v>
      </c>
      <c r="EX228" s="456">
        <f t="shared" si="713"/>
        <v>0.15421512090602996</v>
      </c>
      <c r="EY228" s="456">
        <f t="shared" si="714"/>
        <v>1.6799535028765462</v>
      </c>
      <c r="EZ228" s="456"/>
      <c r="FA228" s="456">
        <f t="shared" si="715"/>
        <v>0.62093617021276593</v>
      </c>
      <c r="FB228" s="144">
        <f t="shared" si="716"/>
        <v>2472.3007535913016</v>
      </c>
      <c r="FC228" s="150">
        <f t="shared" si="717"/>
        <v>4.9279640468202963</v>
      </c>
      <c r="FD228" s="5">
        <f t="shared" si="718"/>
        <v>14.399999999999999</v>
      </c>
      <c r="FE228" s="150">
        <f t="shared" si="719"/>
        <v>0.74503449846643255</v>
      </c>
      <c r="FF228" s="5">
        <f t="shared" si="720"/>
        <v>74.50344984664325</v>
      </c>
      <c r="FI228" s="59">
        <f t="shared" si="674"/>
        <v>-50</v>
      </c>
      <c r="FJ228">
        <f t="shared" si="675"/>
        <v>-50</v>
      </c>
      <c r="FL228">
        <f t="shared" si="676"/>
        <v>0.15840000000000001</v>
      </c>
    </row>
    <row r="229" spans="5:168">
      <c r="E229" s="147">
        <v>13</v>
      </c>
      <c r="F229" s="188">
        <f t="shared" si="677"/>
        <v>0.52</v>
      </c>
      <c r="G229" s="188"/>
      <c r="H229" s="188">
        <f t="shared" si="602"/>
        <v>15.600000000000001</v>
      </c>
      <c r="I229" s="465">
        <f t="shared" si="603"/>
        <v>47.921732178900704</v>
      </c>
      <c r="J229" s="149">
        <f t="shared" si="604"/>
        <v>30.44214421136116</v>
      </c>
      <c r="K229" s="149">
        <f t="shared" si="605"/>
        <v>78.363876390261865</v>
      </c>
      <c r="L229" s="379"/>
      <c r="M229" s="188">
        <f t="shared" si="606"/>
        <v>0.38847383335246438</v>
      </c>
      <c r="N229" s="149">
        <f t="shared" si="607"/>
        <v>284.91760712866062</v>
      </c>
      <c r="O229" s="149">
        <f t="shared" si="598"/>
        <v>15.600000000000001</v>
      </c>
      <c r="P229" s="188">
        <f t="shared" si="608"/>
        <v>9.4972535709553547</v>
      </c>
      <c r="Q229" s="188">
        <f t="shared" si="609"/>
        <v>30</v>
      </c>
      <c r="R229" s="188"/>
      <c r="S229" s="149">
        <f t="shared" si="610"/>
        <v>1348.4133470284035</v>
      </c>
      <c r="T229" s="149">
        <f t="shared" si="611"/>
        <v>30</v>
      </c>
      <c r="U229" s="188">
        <f t="shared" si="612"/>
        <v>1.6759471343577919</v>
      </c>
      <c r="V229" s="188">
        <f t="shared" si="613"/>
        <v>0.1643711771952546</v>
      </c>
      <c r="W229" s="188">
        <f t="shared" si="614"/>
        <v>0.25875153460911282</v>
      </c>
      <c r="X229" s="172">
        <f t="shared" si="615"/>
        <v>350</v>
      </c>
      <c r="Y229" s="379">
        <f t="shared" si="678"/>
        <v>350</v>
      </c>
      <c r="AA229" s="188">
        <f t="shared" si="616"/>
        <v>11.316859743736355</v>
      </c>
      <c r="AB229" s="150">
        <f t="shared" si="617"/>
        <v>1.7472238626249716</v>
      </c>
      <c r="AC229" s="150">
        <f t="shared" si="618"/>
        <v>3.460290293991314</v>
      </c>
      <c r="AD229" s="150"/>
      <c r="AE229" s="150">
        <f t="shared" si="619"/>
        <v>0.93570440659754173</v>
      </c>
      <c r="AF229" s="314">
        <f t="shared" si="620"/>
        <v>183.3912491915915</v>
      </c>
      <c r="AG229" s="456">
        <f t="shared" si="621"/>
        <v>0.99241376457315034</v>
      </c>
      <c r="AI229" s="150">
        <f t="shared" si="622"/>
        <v>4.3870374117583664</v>
      </c>
      <c r="AJ229" s="150">
        <f t="shared" si="623"/>
        <v>6.0606060606060606</v>
      </c>
      <c r="AK229" s="150">
        <f t="shared" si="624"/>
        <v>1.1047949995380524</v>
      </c>
      <c r="AM229" s="314">
        <f t="shared" si="625"/>
        <v>520</v>
      </c>
      <c r="AN229" s="144">
        <f t="shared" si="626"/>
        <v>183.3912491915915</v>
      </c>
      <c r="AP229">
        <f t="shared" si="627"/>
        <v>520</v>
      </c>
      <c r="AQ229">
        <f t="shared" si="628"/>
        <v>183.3912491915915</v>
      </c>
      <c r="AS229" s="5">
        <f t="shared" si="599"/>
        <v>5.4528228822700564</v>
      </c>
      <c r="AT229" s="5">
        <f t="shared" si="629"/>
        <v>0.59440356576655595</v>
      </c>
      <c r="AU229" s="5">
        <f t="shared" si="477"/>
        <v>4.8584193165035003</v>
      </c>
      <c r="AV229" s="5"/>
      <c r="AW229" s="150">
        <f t="shared" si="478"/>
        <v>0.10900841244986499</v>
      </c>
      <c r="AX229" s="150">
        <f t="shared" si="630"/>
        <v>15.829914989907802</v>
      </c>
      <c r="AY229" s="150">
        <f t="shared" si="631"/>
        <v>2.6999745077276818</v>
      </c>
      <c r="AZ229" s="150">
        <f t="shared" si="632"/>
        <v>5.8629868336165787</v>
      </c>
      <c r="BA229" s="144">
        <f t="shared" si="593"/>
        <v>1.0302995139953637</v>
      </c>
      <c r="BB229" s="5">
        <f t="shared" si="594"/>
        <v>0.93033243866835735</v>
      </c>
      <c r="BD229" s="150">
        <f t="shared" si="679"/>
        <v>1.155275160848763</v>
      </c>
      <c r="BE229" s="150">
        <f t="shared" si="680"/>
        <v>3.3028757030822149</v>
      </c>
      <c r="BG229" s="456">
        <f t="shared" si="681"/>
        <v>1.6015928367289625E-2</v>
      </c>
      <c r="BH229" s="456">
        <f t="shared" si="633"/>
        <v>1.589547258087133</v>
      </c>
      <c r="BI229" s="456">
        <f t="shared" si="682"/>
        <v>2.1089993657033027E-2</v>
      </c>
      <c r="BJ229" s="456">
        <f t="shared" si="683"/>
        <v>0.58280166616782214</v>
      </c>
      <c r="BK229">
        <f t="shared" si="684"/>
        <v>2.1564779480505315E-2</v>
      </c>
      <c r="BL229" s="144">
        <f t="shared" si="685"/>
        <v>42.654773137538342</v>
      </c>
      <c r="BM229" s="456">
        <f t="shared" si="634"/>
        <v>2.2010650522911281</v>
      </c>
      <c r="BN229" s="144">
        <f t="shared" si="686"/>
        <v>2201.0650522911283</v>
      </c>
      <c r="BO229" s="456">
        <f t="shared" si="635"/>
        <v>0.36399999999999999</v>
      </c>
      <c r="BR229" s="144">
        <f t="shared" si="687"/>
        <v>364</v>
      </c>
      <c r="BS229" s="456">
        <f t="shared" si="688"/>
        <v>1.8685249761837896E-2</v>
      </c>
      <c r="BT229" s="456">
        <f t="shared" si="689"/>
        <v>0.1527258307401517</v>
      </c>
      <c r="BU229" s="456">
        <f t="shared" si="690"/>
        <v>2.0592385778404054</v>
      </c>
      <c r="BV229" s="456"/>
      <c r="BW229" s="456">
        <f t="shared" si="691"/>
        <v>0.6736134038258641</v>
      </c>
      <c r="BX229" s="144">
        <f t="shared" si="692"/>
        <v>2904.2630621682592</v>
      </c>
      <c r="BY229" s="150">
        <f t="shared" si="693"/>
        <v>5.4992826879280416</v>
      </c>
      <c r="BZ229" s="5">
        <f t="shared" si="694"/>
        <v>15.600000000000001</v>
      </c>
      <c r="CA229" s="150">
        <f t="shared" si="695"/>
        <v>0.73936162810527883</v>
      </c>
      <c r="CB229" s="5">
        <f t="shared" si="696"/>
        <v>73.93616281052789</v>
      </c>
      <c r="CE229" s="59">
        <f t="shared" si="636"/>
        <v>-50</v>
      </c>
      <c r="CF229">
        <f t="shared" si="637"/>
        <v>-50</v>
      </c>
      <c r="CG229" s="150">
        <f t="shared" si="638"/>
        <v>0.17274021187899477</v>
      </c>
      <c r="CI229" s="147">
        <v>13</v>
      </c>
      <c r="CJ229" s="188">
        <f t="shared" si="697"/>
        <v>0.52</v>
      </c>
      <c r="CK229" s="188"/>
      <c r="CL229" s="188">
        <f t="shared" si="639"/>
        <v>15.600000000000001</v>
      </c>
      <c r="CM229" s="465">
        <f t="shared" si="640"/>
        <v>48</v>
      </c>
      <c r="CN229" s="379">
        <f t="shared" si="641"/>
        <v>30.4</v>
      </c>
      <c r="CO229" s="379">
        <f t="shared" si="642"/>
        <v>78.400000000000006</v>
      </c>
      <c r="CP229" s="379"/>
      <c r="CQ229" s="188">
        <f t="shared" si="643"/>
        <v>0.38775510204081626</v>
      </c>
      <c r="CR229" s="149">
        <f t="shared" si="644"/>
        <v>284.85494809142222</v>
      </c>
      <c r="CS229" s="149">
        <f t="shared" si="645"/>
        <v>15.600000000000001</v>
      </c>
      <c r="CT229" s="188">
        <f t="shared" si="646"/>
        <v>9.4951649363807409</v>
      </c>
      <c r="CU229" s="188">
        <f t="shared" si="647"/>
        <v>30</v>
      </c>
      <c r="CV229" s="188"/>
      <c r="CW229" s="149">
        <f t="shared" si="648"/>
        <v>1350.615610132232</v>
      </c>
      <c r="CX229" s="149">
        <f t="shared" si="649"/>
        <v>30</v>
      </c>
      <c r="CY229" s="188">
        <f t="shared" si="650"/>
        <v>1.6763157894736846</v>
      </c>
      <c r="CZ229" s="188">
        <f t="shared" si="651"/>
        <v>0.16413925438596497</v>
      </c>
      <c r="DA229" s="188">
        <f t="shared" si="652"/>
        <v>0.25916724376731309</v>
      </c>
      <c r="DB229" s="172">
        <f t="shared" si="653"/>
        <v>350</v>
      </c>
      <c r="DC229" s="379">
        <f t="shared" si="654"/>
        <v>350</v>
      </c>
      <c r="DE229" s="188">
        <f t="shared" si="655"/>
        <v>11.314434588425037</v>
      </c>
      <c r="DF229" s="150">
        <f t="shared" si="656"/>
        <v>1.7492711370262393</v>
      </c>
      <c r="DG229" s="150">
        <f t="shared" si="657"/>
        <v>3.463602425028073</v>
      </c>
      <c r="DH229" s="150"/>
      <c r="DI229" s="150">
        <f t="shared" si="658"/>
        <v>0.93700159489633172</v>
      </c>
      <c r="DJ229" s="314">
        <f t="shared" si="659"/>
        <v>183.13736170212766</v>
      </c>
      <c r="DK229" s="456">
        <f t="shared" si="660"/>
        <v>0.99378957034459414</v>
      </c>
      <c r="DM229" s="150">
        <f t="shared" si="661"/>
        <v>4.3839996450202863</v>
      </c>
      <c r="DN229" s="150">
        <f t="shared" si="662"/>
        <v>6.0606060606060606</v>
      </c>
      <c r="DO229" s="150">
        <f t="shared" si="663"/>
        <v>1.1046499209726444</v>
      </c>
      <c r="DQ229" s="314">
        <f t="shared" si="664"/>
        <v>520</v>
      </c>
      <c r="DR229" s="144">
        <f t="shared" si="665"/>
        <v>183.13736170212766</v>
      </c>
      <c r="DT229">
        <f t="shared" si="666"/>
        <v>520</v>
      </c>
      <c r="DU229">
        <f t="shared" si="667"/>
        <v>183.13736170212766</v>
      </c>
      <c r="DW229" s="5">
        <f t="shared" si="668"/>
        <v>5.4603822546406278</v>
      </c>
      <c r="DX229" s="5">
        <f t="shared" si="669"/>
        <v>0.59343434343434343</v>
      </c>
      <c r="DY229" s="5">
        <f t="shared" si="670"/>
        <v>4.8669479112062843</v>
      </c>
      <c r="DZ229" s="5"/>
      <c r="EA229" s="150">
        <f t="shared" si="671"/>
        <v>0.10868</v>
      </c>
      <c r="EB229" s="150">
        <f t="shared" si="698"/>
        <v>15.808</v>
      </c>
      <c r="EC229" s="150">
        <f t="shared" si="699"/>
        <v>2.7009696969696968</v>
      </c>
      <c r="ED229" s="150">
        <f t="shared" si="700"/>
        <v>5.8527128304088318</v>
      </c>
      <c r="EE229" s="144">
        <f t="shared" si="672"/>
        <v>1.0286195286195285</v>
      </c>
      <c r="EF229" s="5">
        <f t="shared" si="673"/>
        <v>0.93044592420120131</v>
      </c>
      <c r="EH229" s="150">
        <f t="shared" si="701"/>
        <v>1.1535335845304768</v>
      </c>
      <c r="EI229" s="150">
        <f t="shared" si="702"/>
        <v>3.3034843539277192</v>
      </c>
      <c r="EK229" s="456">
        <f t="shared" si="703"/>
        <v>1.5967676767676769E-2</v>
      </c>
      <c r="EL229" s="456">
        <f t="shared" si="704"/>
        <v>1.6533419029787235</v>
      </c>
      <c r="EM229" s="456">
        <f t="shared" si="705"/>
        <v>2.1060796595744686E-2</v>
      </c>
      <c r="EN229" s="456">
        <f t="shared" si="706"/>
        <v>0.58253152465593205</v>
      </c>
      <c r="EO229">
        <f t="shared" si="707"/>
        <v>2.1600000000000001E-2</v>
      </c>
      <c r="EP229" s="144">
        <f t="shared" si="708"/>
        <v>42.660796595744692</v>
      </c>
      <c r="EQ229" s="144"/>
      <c r="ER229" s="144">
        <f t="shared" si="709"/>
        <v>2294.501900998077</v>
      </c>
      <c r="ES229" s="456">
        <f t="shared" si="710"/>
        <v>0.36399999999999999</v>
      </c>
      <c r="EV229" s="144">
        <f t="shared" si="711"/>
        <v>364</v>
      </c>
      <c r="EW229" s="456">
        <f t="shared" si="712"/>
        <v>1.8628956228956231E-2</v>
      </c>
      <c r="EX229" s="456">
        <f t="shared" si="713"/>
        <v>0.15278212427303339</v>
      </c>
      <c r="EY229" s="456">
        <f t="shared" si="714"/>
        <v>2.0521189333615988</v>
      </c>
      <c r="EZ229" s="456"/>
      <c r="FA229" s="456">
        <f t="shared" si="715"/>
        <v>0.6726808510638298</v>
      </c>
      <c r="FB229" s="144">
        <f t="shared" si="716"/>
        <v>2896.2108649274182</v>
      </c>
      <c r="FC229" s="150">
        <f t="shared" si="717"/>
        <v>5.5547127659254949</v>
      </c>
      <c r="FD229" s="5">
        <f t="shared" si="718"/>
        <v>15.600000000000001</v>
      </c>
      <c r="FE229" s="150">
        <f t="shared" si="719"/>
        <v>0.73742433530590734</v>
      </c>
      <c r="FF229" s="5">
        <f t="shared" si="720"/>
        <v>73.742433530590731</v>
      </c>
      <c r="FI229" s="59">
        <f t="shared" si="674"/>
        <v>-50</v>
      </c>
      <c r="FJ229">
        <f t="shared" si="675"/>
        <v>-50</v>
      </c>
      <c r="FL229">
        <f t="shared" si="676"/>
        <v>0.1716</v>
      </c>
    </row>
    <row r="230" spans="5:168">
      <c r="E230" s="147">
        <v>14</v>
      </c>
      <c r="F230" s="188">
        <f t="shared" si="677"/>
        <v>0.56000000000000005</v>
      </c>
      <c r="G230" s="188"/>
      <c r="H230" s="188">
        <f t="shared" si="602"/>
        <v>16.8</v>
      </c>
      <c r="I230" s="465">
        <f t="shared" si="603"/>
        <v>47.921732178900704</v>
      </c>
      <c r="J230" s="149">
        <f t="shared" si="604"/>
        <v>30.44214421136116</v>
      </c>
      <c r="K230" s="149">
        <f t="shared" si="605"/>
        <v>78.363876390261865</v>
      </c>
      <c r="L230" s="379"/>
      <c r="M230" s="188">
        <f t="shared" si="606"/>
        <v>0.38847383335246438</v>
      </c>
      <c r="N230" s="149">
        <f t="shared" si="607"/>
        <v>284.91760712866062</v>
      </c>
      <c r="O230" s="149">
        <f t="shared" si="598"/>
        <v>16.8</v>
      </c>
      <c r="P230" s="188">
        <f t="shared" si="608"/>
        <v>9.4972535709553547</v>
      </c>
      <c r="Q230" s="188">
        <f t="shared" si="609"/>
        <v>30</v>
      </c>
      <c r="R230" s="188"/>
      <c r="S230" s="149">
        <f t="shared" si="610"/>
        <v>1248.6772769527361</v>
      </c>
      <c r="T230" s="149">
        <f t="shared" si="611"/>
        <v>30</v>
      </c>
      <c r="U230" s="188">
        <f t="shared" si="612"/>
        <v>1.8048661446930065</v>
      </c>
      <c r="V230" s="188">
        <f t="shared" si="613"/>
        <v>0.17701511390258184</v>
      </c>
      <c r="W230" s="188">
        <f t="shared" si="614"/>
        <v>0.27865549880981377</v>
      </c>
      <c r="X230" s="172">
        <f t="shared" si="615"/>
        <v>350</v>
      </c>
      <c r="Y230" s="379">
        <f t="shared" si="678"/>
        <v>350</v>
      </c>
      <c r="AA230" s="188">
        <f t="shared" si="616"/>
        <v>11.316859743736355</v>
      </c>
      <c r="AB230" s="150">
        <f t="shared" si="617"/>
        <v>1.7472238626249716</v>
      </c>
      <c r="AC230" s="150">
        <f t="shared" si="618"/>
        <v>3.460290293991314</v>
      </c>
      <c r="AD230" s="150"/>
      <c r="AE230" s="150">
        <f t="shared" si="619"/>
        <v>0.93570440659754173</v>
      </c>
      <c r="AF230" s="314">
        <f t="shared" si="620"/>
        <v>197.49826836017544</v>
      </c>
      <c r="AG230" s="456">
        <f t="shared" si="621"/>
        <v>0.99241376457315034</v>
      </c>
      <c r="AI230" s="150">
        <f t="shared" si="622"/>
        <v>4.5526438770856048</v>
      </c>
      <c r="AJ230" s="150">
        <f t="shared" si="623"/>
        <v>6.0606060606060606</v>
      </c>
      <c r="AK230" s="150">
        <f t="shared" si="624"/>
        <v>1.1128561533486716</v>
      </c>
      <c r="AM230" s="314">
        <f t="shared" si="625"/>
        <v>560</v>
      </c>
      <c r="AN230" s="144">
        <f t="shared" si="626"/>
        <v>197.49826836017544</v>
      </c>
      <c r="AP230">
        <f t="shared" si="627"/>
        <v>560</v>
      </c>
      <c r="AQ230">
        <f t="shared" si="628"/>
        <v>197.49826836017544</v>
      </c>
      <c r="AS230" s="5">
        <f t="shared" si="599"/>
        <v>5.0633355335364811</v>
      </c>
      <c r="AT230" s="5">
        <f t="shared" si="629"/>
        <v>0.59440356576655595</v>
      </c>
      <c r="AU230" s="5">
        <f t="shared" si="477"/>
        <v>4.4689319677699251</v>
      </c>
      <c r="AV230" s="5"/>
      <c r="AW230" s="150">
        <f t="shared" si="478"/>
        <v>0.11739367494600846</v>
      </c>
      <c r="AX230" s="150">
        <f t="shared" si="630"/>
        <v>17.047600758362247</v>
      </c>
      <c r="AY230" s="150">
        <f t="shared" si="631"/>
        <v>2.6745646213757319</v>
      </c>
      <c r="AZ230" s="150">
        <f t="shared" si="632"/>
        <v>6.3739722802410244</v>
      </c>
      <c r="BA230" s="144">
        <f t="shared" si="593"/>
        <v>1.109553322764238</v>
      </c>
      <c r="BB230" s="5">
        <f t="shared" si="594"/>
        <v>0.92157693321138534</v>
      </c>
      <c r="BD230" s="150">
        <f t="shared" si="679"/>
        <v>1.198885692948565</v>
      </c>
      <c r="BE230" s="150">
        <f t="shared" si="680"/>
        <v>3.2872970207342398</v>
      </c>
      <c r="BG230" s="456">
        <f t="shared" si="681"/>
        <v>1.7247922857081131E-2</v>
      </c>
      <c r="BH230" s="456">
        <f t="shared" si="633"/>
        <v>1.7118201240938355</v>
      </c>
      <c r="BI230" s="456">
        <f t="shared" si="682"/>
        <v>2.2712300861420176E-2</v>
      </c>
      <c r="BJ230" s="456">
        <f t="shared" si="683"/>
        <v>0.62763256356534691</v>
      </c>
      <c r="BK230">
        <f t="shared" si="684"/>
        <v>2.1564779480505315E-2</v>
      </c>
      <c r="BL230" s="144">
        <f t="shared" si="685"/>
        <v>44.27708034192549</v>
      </c>
      <c r="BM230" s="456">
        <f t="shared" si="634"/>
        <v>2.3710744652967577</v>
      </c>
      <c r="BN230" s="144">
        <f t="shared" si="686"/>
        <v>2371.0744652967578</v>
      </c>
      <c r="BO230" s="456">
        <f t="shared" si="635"/>
        <v>0.39200000000000002</v>
      </c>
      <c r="BR230" s="144">
        <f t="shared" si="687"/>
        <v>392</v>
      </c>
      <c r="BS230" s="456">
        <f t="shared" si="688"/>
        <v>2.0122576666594651E-2</v>
      </c>
      <c r="BT230" s="456">
        <f t="shared" si="689"/>
        <v>0.15128850383539491</v>
      </c>
      <c r="BU230" s="456">
        <f t="shared" si="690"/>
        <v>2.4783827300003209</v>
      </c>
      <c r="BV230" s="456"/>
      <c r="BW230" s="456">
        <f t="shared" si="691"/>
        <v>0.72542981950477659</v>
      </c>
      <c r="BX230" s="144">
        <f t="shared" si="692"/>
        <v>3375.2236300070872</v>
      </c>
      <c r="BY230" s="150">
        <f t="shared" si="693"/>
        <v>6.1682013208652755</v>
      </c>
      <c r="BZ230" s="5">
        <f t="shared" si="694"/>
        <v>16.8</v>
      </c>
      <c r="CA230" s="150">
        <f t="shared" si="695"/>
        <v>0.73144604426373505</v>
      </c>
      <c r="CB230" s="5">
        <f t="shared" si="696"/>
        <v>73.144604426373505</v>
      </c>
      <c r="CE230" s="59">
        <f t="shared" si="636"/>
        <v>-50</v>
      </c>
      <c r="CF230">
        <f t="shared" si="637"/>
        <v>-50</v>
      </c>
      <c r="CG230" s="150">
        <f t="shared" si="638"/>
        <v>0.1860279204850713</v>
      </c>
      <c r="CI230" s="147">
        <v>14</v>
      </c>
      <c r="CJ230" s="188">
        <f t="shared" si="697"/>
        <v>0.56000000000000005</v>
      </c>
      <c r="CK230" s="188"/>
      <c r="CL230" s="188">
        <f t="shared" si="639"/>
        <v>16.8</v>
      </c>
      <c r="CM230" s="465">
        <f t="shared" si="640"/>
        <v>48</v>
      </c>
      <c r="CN230" s="379">
        <f t="shared" si="641"/>
        <v>30.4</v>
      </c>
      <c r="CO230" s="379">
        <f t="shared" si="642"/>
        <v>78.400000000000006</v>
      </c>
      <c r="CP230" s="379"/>
      <c r="CQ230" s="188">
        <f t="shared" si="643"/>
        <v>0.38775510204081626</v>
      </c>
      <c r="CR230" s="149">
        <f t="shared" si="644"/>
        <v>284.85494809142222</v>
      </c>
      <c r="CS230" s="149">
        <f t="shared" si="645"/>
        <v>16.8</v>
      </c>
      <c r="CT230" s="188">
        <f t="shared" si="646"/>
        <v>9.4951649363807409</v>
      </c>
      <c r="CU230" s="188">
        <f t="shared" si="647"/>
        <v>30</v>
      </c>
      <c r="CV230" s="188"/>
      <c r="CW230" s="149">
        <f t="shared" si="648"/>
        <v>1250.7166449922115</v>
      </c>
      <c r="CX230" s="149">
        <f t="shared" si="649"/>
        <v>30</v>
      </c>
      <c r="CY230" s="188">
        <f t="shared" si="650"/>
        <v>1.8052631578947373</v>
      </c>
      <c r="CZ230" s="188">
        <f t="shared" si="651"/>
        <v>0.17676535087719306</v>
      </c>
      <c r="DA230" s="188">
        <f t="shared" si="652"/>
        <v>0.27910318559556796</v>
      </c>
      <c r="DB230" s="172">
        <f t="shared" si="653"/>
        <v>350</v>
      </c>
      <c r="DC230" s="379">
        <f t="shared" si="654"/>
        <v>350</v>
      </c>
      <c r="DE230" s="188">
        <f t="shared" si="655"/>
        <v>11.314434588425037</v>
      </c>
      <c r="DF230" s="150">
        <f t="shared" si="656"/>
        <v>1.7492711370262393</v>
      </c>
      <c r="DG230" s="150">
        <f t="shared" si="657"/>
        <v>3.463602425028073</v>
      </c>
      <c r="DH230" s="150"/>
      <c r="DI230" s="150">
        <f t="shared" si="658"/>
        <v>0.93700159489633172</v>
      </c>
      <c r="DJ230" s="314">
        <f t="shared" si="659"/>
        <v>197.22485106382982</v>
      </c>
      <c r="DK230" s="456">
        <f t="shared" si="660"/>
        <v>0.99378957034459414</v>
      </c>
      <c r="DM230" s="150">
        <f t="shared" si="661"/>
        <v>4.5494914375593165</v>
      </c>
      <c r="DN230" s="150">
        <f t="shared" si="662"/>
        <v>6.0606060606060606</v>
      </c>
      <c r="DO230" s="150">
        <f t="shared" si="663"/>
        <v>1.112699914893617</v>
      </c>
      <c r="DQ230" s="314">
        <f t="shared" si="664"/>
        <v>560</v>
      </c>
      <c r="DR230" s="144">
        <f t="shared" si="665"/>
        <v>197.22485106382982</v>
      </c>
      <c r="DT230">
        <f t="shared" si="666"/>
        <v>560</v>
      </c>
      <c r="DU230">
        <f t="shared" si="667"/>
        <v>197.22485106382982</v>
      </c>
      <c r="DW230" s="5">
        <f t="shared" si="668"/>
        <v>5.070354950737725</v>
      </c>
      <c r="DX230" s="5">
        <f t="shared" si="669"/>
        <v>0.59343434343434343</v>
      </c>
      <c r="DY230" s="5">
        <f t="shared" si="670"/>
        <v>4.4769206073033816</v>
      </c>
      <c r="DZ230" s="5"/>
      <c r="EA230" s="150">
        <f t="shared" si="671"/>
        <v>0.11704000000000002</v>
      </c>
      <c r="EB230" s="150">
        <f t="shared" si="698"/>
        <v>17.024000000000001</v>
      </c>
      <c r="EC230" s="150">
        <f t="shared" si="699"/>
        <v>2.6756363636363636</v>
      </c>
      <c r="ED230" s="150">
        <f t="shared" si="700"/>
        <v>6.36259853220984</v>
      </c>
      <c r="EE230" s="144">
        <f t="shared" si="672"/>
        <v>1.1077441077441079</v>
      </c>
      <c r="EF230" s="5">
        <f t="shared" si="673"/>
        <v>0.92171894856246095</v>
      </c>
      <c r="EH230" s="150">
        <f t="shared" si="701"/>
        <v>1.1970783737903852</v>
      </c>
      <c r="EI230" s="150">
        <f t="shared" si="702"/>
        <v>3.2879555918972412</v>
      </c>
      <c r="EK230" s="456">
        <f t="shared" si="703"/>
        <v>1.7195959595959598E-2</v>
      </c>
      <c r="EL230" s="456">
        <f t="shared" si="704"/>
        <v>1.7805220493617027</v>
      </c>
      <c r="EM230" s="456">
        <f t="shared" si="705"/>
        <v>2.2680857872340431E-2</v>
      </c>
      <c r="EN230" s="456">
        <f t="shared" si="706"/>
        <v>0.62734164193715769</v>
      </c>
      <c r="EO230">
        <f t="shared" si="707"/>
        <v>2.1600000000000001E-2</v>
      </c>
      <c r="EP230" s="144">
        <f t="shared" si="708"/>
        <v>44.280857872340427</v>
      </c>
      <c r="EQ230" s="144"/>
      <c r="ER230" s="144">
        <f t="shared" si="709"/>
        <v>2469.3405087671604</v>
      </c>
      <c r="ES230" s="456">
        <f t="shared" si="710"/>
        <v>0.39200000000000002</v>
      </c>
      <c r="EV230" s="144">
        <f t="shared" si="711"/>
        <v>392</v>
      </c>
      <c r="EW230" s="456">
        <f t="shared" si="712"/>
        <v>2.0061952861952864E-2</v>
      </c>
      <c r="EX230" s="456">
        <f t="shared" si="713"/>
        <v>0.15134912764003672</v>
      </c>
      <c r="EY230" s="456">
        <f t="shared" si="714"/>
        <v>2.4698139298088821</v>
      </c>
      <c r="EZ230" s="456"/>
      <c r="FA230" s="456">
        <f t="shared" si="715"/>
        <v>0.72442553191489378</v>
      </c>
      <c r="FB230" s="144">
        <f t="shared" si="716"/>
        <v>3365.6505422257651</v>
      </c>
      <c r="FC230" s="150">
        <f t="shared" si="717"/>
        <v>6.2269910509929263</v>
      </c>
      <c r="FD230" s="5">
        <f t="shared" si="718"/>
        <v>16.8</v>
      </c>
      <c r="FE230" s="150">
        <f t="shared" si="719"/>
        <v>0.72957860463821145</v>
      </c>
      <c r="FF230" s="5">
        <f t="shared" si="720"/>
        <v>72.957860463821149</v>
      </c>
      <c r="FI230" s="59">
        <f t="shared" si="674"/>
        <v>-50</v>
      </c>
      <c r="FJ230">
        <f t="shared" si="675"/>
        <v>-50</v>
      </c>
      <c r="FL230">
        <f t="shared" si="676"/>
        <v>0.18480000000000002</v>
      </c>
    </row>
    <row r="231" spans="5:168">
      <c r="E231" s="147">
        <v>15</v>
      </c>
      <c r="F231" s="188">
        <f t="shared" si="677"/>
        <v>0.6</v>
      </c>
      <c r="G231" s="188"/>
      <c r="H231" s="188">
        <f t="shared" si="602"/>
        <v>18</v>
      </c>
      <c r="I231" s="465">
        <f t="shared" si="603"/>
        <v>47.921732178900704</v>
      </c>
      <c r="J231" s="149">
        <f t="shared" si="604"/>
        <v>30.44214421136116</v>
      </c>
      <c r="K231" s="149">
        <f t="shared" si="605"/>
        <v>78.363876390261865</v>
      </c>
      <c r="L231" s="379"/>
      <c r="M231" s="188">
        <f t="shared" si="606"/>
        <v>0.38847383335246438</v>
      </c>
      <c r="N231" s="149">
        <f t="shared" si="607"/>
        <v>284.91760712866062</v>
      </c>
      <c r="O231" s="149">
        <f t="shared" si="598"/>
        <v>18</v>
      </c>
      <c r="P231" s="188">
        <f t="shared" si="608"/>
        <v>9.4972535709553547</v>
      </c>
      <c r="Q231" s="188">
        <f t="shared" si="609"/>
        <v>30</v>
      </c>
      <c r="R231" s="188"/>
      <c r="S231" s="149">
        <f t="shared" si="610"/>
        <v>1162.2395070331445</v>
      </c>
      <c r="T231" s="149">
        <f t="shared" si="611"/>
        <v>30</v>
      </c>
      <c r="U231" s="188">
        <f t="shared" si="612"/>
        <v>1.9337851550282212</v>
      </c>
      <c r="V231" s="188">
        <f t="shared" si="613"/>
        <v>0.18965905060990912</v>
      </c>
      <c r="W231" s="188">
        <f t="shared" si="614"/>
        <v>0.29855946301051478</v>
      </c>
      <c r="X231" s="172">
        <f t="shared" si="615"/>
        <v>350</v>
      </c>
      <c r="Y231" s="379">
        <f t="shared" si="678"/>
        <v>350</v>
      </c>
      <c r="AA231" s="188">
        <f t="shared" si="616"/>
        <v>11.316859743736355</v>
      </c>
      <c r="AB231" s="150">
        <f t="shared" si="617"/>
        <v>1.7472238626249716</v>
      </c>
      <c r="AC231" s="150">
        <f t="shared" si="618"/>
        <v>3.460290293991314</v>
      </c>
      <c r="AD231" s="150"/>
      <c r="AE231" s="150">
        <f t="shared" si="619"/>
        <v>0.93570440659754173</v>
      </c>
      <c r="AF231" s="314">
        <f t="shared" si="620"/>
        <v>211.60528752875939</v>
      </c>
      <c r="AG231" s="456">
        <f t="shared" si="621"/>
        <v>0.99241376457315034</v>
      </c>
      <c r="AI231" s="150">
        <f t="shared" si="622"/>
        <v>4.7124341152914333</v>
      </c>
      <c r="AJ231" s="150">
        <f t="shared" si="623"/>
        <v>6.0606060606060606</v>
      </c>
      <c r="AK231" s="150">
        <f t="shared" si="624"/>
        <v>1.1209173071592911</v>
      </c>
      <c r="AM231" s="314">
        <f t="shared" si="625"/>
        <v>600</v>
      </c>
      <c r="AN231" s="144">
        <f t="shared" si="626"/>
        <v>211.60528752875939</v>
      </c>
      <c r="AP231">
        <f t="shared" si="627"/>
        <v>600</v>
      </c>
      <c r="AQ231">
        <f t="shared" si="628"/>
        <v>211.60528752875939</v>
      </c>
      <c r="AS231" s="5">
        <f t="shared" si="599"/>
        <v>4.7257798313007164</v>
      </c>
      <c r="AT231" s="5">
        <f t="shared" si="629"/>
        <v>0.59440356576655595</v>
      </c>
      <c r="AU231" s="5">
        <f t="shared" si="477"/>
        <v>4.1313762655341604</v>
      </c>
      <c r="AV231" s="5"/>
      <c r="AW231" s="150">
        <f t="shared" si="478"/>
        <v>0.12577893744215191</v>
      </c>
      <c r="AX231" s="150">
        <f t="shared" si="630"/>
        <v>18.265286526816695</v>
      </c>
      <c r="AY231" s="150">
        <f t="shared" si="631"/>
        <v>2.6491547350237821</v>
      </c>
      <c r="AZ231" s="150">
        <f t="shared" si="632"/>
        <v>6.8947601607924662</v>
      </c>
      <c r="BA231" s="144">
        <f t="shared" si="593"/>
        <v>1.1888071315331119</v>
      </c>
      <c r="BB231" s="5">
        <f t="shared" si="594"/>
        <v>0.91282142775441333</v>
      </c>
      <c r="BD231" s="150">
        <f t="shared" si="679"/>
        <v>1.240964589438146</v>
      </c>
      <c r="BE231" s="150">
        <f t="shared" si="680"/>
        <v>3.2716441577661812</v>
      </c>
      <c r="BG231" s="456">
        <f t="shared" si="681"/>
        <v>1.8479917346872637E-2</v>
      </c>
      <c r="BH231" s="456">
        <f t="shared" si="633"/>
        <v>1.8340929901005381</v>
      </c>
      <c r="BI231" s="456">
        <f t="shared" si="682"/>
        <v>2.4334608065807332E-2</v>
      </c>
      <c r="BJ231" s="456">
        <f t="shared" si="683"/>
        <v>0.67246346096287157</v>
      </c>
      <c r="BK231">
        <f t="shared" si="684"/>
        <v>2.1564779480505315E-2</v>
      </c>
      <c r="BL231" s="144">
        <f t="shared" si="685"/>
        <v>45.899387546312646</v>
      </c>
      <c r="BM231" s="456">
        <f t="shared" si="634"/>
        <v>2.5411838482067268</v>
      </c>
      <c r="BN231" s="144">
        <f t="shared" si="686"/>
        <v>2541.1838482067269</v>
      </c>
      <c r="BO231" s="456">
        <f t="shared" si="635"/>
        <v>0.42</v>
      </c>
      <c r="BR231" s="144">
        <f t="shared" si="687"/>
        <v>420</v>
      </c>
      <c r="BS231" s="456">
        <f t="shared" si="688"/>
        <v>2.1559903571351409E-2</v>
      </c>
      <c r="BT231" s="456">
        <f t="shared" si="689"/>
        <v>0.14985117693063818</v>
      </c>
      <c r="BU231" s="456">
        <f t="shared" si="690"/>
        <v>2.9449398756847387</v>
      </c>
      <c r="BV231" s="456"/>
      <c r="BW231" s="456">
        <f t="shared" si="691"/>
        <v>0.77724623518368929</v>
      </c>
      <c r="BX231" s="144">
        <f t="shared" si="692"/>
        <v>3893.5971913704175</v>
      </c>
      <c r="BY231" s="150">
        <f t="shared" si="693"/>
        <v>6.8845329473270116</v>
      </c>
      <c r="BZ231" s="5">
        <f t="shared" si="694"/>
        <v>18</v>
      </c>
      <c r="CA231" s="150">
        <f t="shared" si="695"/>
        <v>0.72334088158698928</v>
      </c>
      <c r="CB231" s="5">
        <f t="shared" si="696"/>
        <v>72.334088158698933</v>
      </c>
      <c r="CE231" s="59">
        <f t="shared" si="636"/>
        <v>-50</v>
      </c>
      <c r="CF231">
        <f t="shared" si="637"/>
        <v>-50</v>
      </c>
      <c r="CG231" s="150">
        <f t="shared" si="638"/>
        <v>0.19931562909114781</v>
      </c>
      <c r="CI231" s="147">
        <v>15</v>
      </c>
      <c r="CJ231" s="188">
        <f t="shared" si="697"/>
        <v>0.6</v>
      </c>
      <c r="CK231" s="188"/>
      <c r="CL231" s="188">
        <f t="shared" si="639"/>
        <v>18</v>
      </c>
      <c r="CM231" s="465">
        <f t="shared" si="640"/>
        <v>48</v>
      </c>
      <c r="CN231" s="379">
        <f t="shared" si="641"/>
        <v>30.4</v>
      </c>
      <c r="CO231" s="379">
        <f t="shared" si="642"/>
        <v>78.400000000000006</v>
      </c>
      <c r="CP231" s="379"/>
      <c r="CQ231" s="188">
        <f t="shared" si="643"/>
        <v>0.38775510204081626</v>
      </c>
      <c r="CR231" s="149">
        <f t="shared" si="644"/>
        <v>284.85494809142222</v>
      </c>
      <c r="CS231" s="149">
        <f t="shared" si="645"/>
        <v>18</v>
      </c>
      <c r="CT231" s="188">
        <f t="shared" si="646"/>
        <v>9.4951649363807409</v>
      </c>
      <c r="CU231" s="188">
        <f t="shared" si="647"/>
        <v>30</v>
      </c>
      <c r="CV231" s="188"/>
      <c r="CW231" s="149">
        <f t="shared" si="648"/>
        <v>1164.1376993504455</v>
      </c>
      <c r="CX231" s="149">
        <f t="shared" si="649"/>
        <v>30</v>
      </c>
      <c r="CY231" s="188">
        <f t="shared" si="650"/>
        <v>1.9342105263157898</v>
      </c>
      <c r="CZ231" s="188">
        <f t="shared" si="651"/>
        <v>0.18939144736842106</v>
      </c>
      <c r="DA231" s="188">
        <f t="shared" si="652"/>
        <v>0.29903912742382277</v>
      </c>
      <c r="DB231" s="172">
        <f t="shared" si="653"/>
        <v>350</v>
      </c>
      <c r="DC231" s="379">
        <f t="shared" si="654"/>
        <v>350</v>
      </c>
      <c r="DE231" s="188">
        <f t="shared" si="655"/>
        <v>11.314434588425037</v>
      </c>
      <c r="DF231" s="150">
        <f t="shared" si="656"/>
        <v>1.7492711370262393</v>
      </c>
      <c r="DG231" s="150">
        <f t="shared" si="657"/>
        <v>3.463602425028073</v>
      </c>
      <c r="DH231" s="150"/>
      <c r="DI231" s="150">
        <f t="shared" si="658"/>
        <v>0.93700159489633172</v>
      </c>
      <c r="DJ231" s="314">
        <f t="shared" si="659"/>
        <v>211.31234042553191</v>
      </c>
      <c r="DK231" s="456">
        <f t="shared" si="660"/>
        <v>0.99378957034459414</v>
      </c>
      <c r="DM231" s="150">
        <f t="shared" si="661"/>
        <v>4.7091710303739305</v>
      </c>
      <c r="DN231" s="150">
        <f t="shared" si="662"/>
        <v>6.0606060606060606</v>
      </c>
      <c r="DO231" s="150">
        <f t="shared" si="663"/>
        <v>1.1207499088145896</v>
      </c>
      <c r="DQ231" s="314">
        <f t="shared" si="664"/>
        <v>600</v>
      </c>
      <c r="DR231" s="144">
        <f t="shared" si="665"/>
        <v>211.31234042553191</v>
      </c>
      <c r="DT231">
        <f t="shared" si="666"/>
        <v>600</v>
      </c>
      <c r="DU231">
        <f t="shared" si="667"/>
        <v>211.31234042553191</v>
      </c>
      <c r="DW231" s="5">
        <f t="shared" si="668"/>
        <v>4.732331287355211</v>
      </c>
      <c r="DX231" s="5">
        <f t="shared" si="669"/>
        <v>0.59343434343434343</v>
      </c>
      <c r="DY231" s="5">
        <f t="shared" si="670"/>
        <v>4.1388969439208676</v>
      </c>
      <c r="DZ231" s="5"/>
      <c r="EA231" s="150">
        <f t="shared" si="671"/>
        <v>0.12539999999999998</v>
      </c>
      <c r="EB231" s="150">
        <f t="shared" si="698"/>
        <v>18.239999999999995</v>
      </c>
      <c r="EC231" s="150">
        <f t="shared" si="699"/>
        <v>2.6503030303030304</v>
      </c>
      <c r="ED231" s="150">
        <f t="shared" si="700"/>
        <v>6.88223187742968</v>
      </c>
      <c r="EE231" s="144">
        <f t="shared" si="672"/>
        <v>1.1868686868686866</v>
      </c>
      <c r="EF231" s="5">
        <f t="shared" si="673"/>
        <v>0.9129919729237207</v>
      </c>
      <c r="EH231" s="150">
        <f t="shared" si="701"/>
        <v>1.2390938363794466</v>
      </c>
      <c r="EI231" s="150">
        <f t="shared" si="702"/>
        <v>3.2723531398569192</v>
      </c>
      <c r="EK231" s="456">
        <f t="shared" si="703"/>
        <v>1.8424242424242419E-2</v>
      </c>
      <c r="EL231" s="456">
        <f t="shared" si="704"/>
        <v>1.9077021957446814</v>
      </c>
      <c r="EM231" s="456">
        <f t="shared" si="705"/>
        <v>2.4300919148936173E-2</v>
      </c>
      <c r="EN231" s="456">
        <f t="shared" si="706"/>
        <v>0.6721517592183831</v>
      </c>
      <c r="EO231">
        <f t="shared" si="707"/>
        <v>2.1600000000000001E-2</v>
      </c>
      <c r="EP231" s="144">
        <f t="shared" si="708"/>
        <v>45.900919148936175</v>
      </c>
      <c r="EQ231" s="144"/>
      <c r="ER231" s="144">
        <f t="shared" si="709"/>
        <v>2644.1791165362433</v>
      </c>
      <c r="ES231" s="456">
        <f t="shared" si="710"/>
        <v>0.42</v>
      </c>
      <c r="EV231" s="144">
        <f t="shared" si="711"/>
        <v>420</v>
      </c>
      <c r="EW231" s="456">
        <f t="shared" si="712"/>
        <v>2.1494949494949487E-2</v>
      </c>
      <c r="EX231" s="456">
        <f t="shared" si="713"/>
        <v>0.14991613100704013</v>
      </c>
      <c r="EY231" s="456">
        <f t="shared" si="714"/>
        <v>2.9347579933365968</v>
      </c>
      <c r="EZ231" s="456"/>
      <c r="FA231" s="456">
        <f t="shared" si="715"/>
        <v>0.77617021276595743</v>
      </c>
      <c r="FB231" s="144">
        <f t="shared" si="716"/>
        <v>3882.3392866045438</v>
      </c>
      <c r="FC231" s="150">
        <f t="shared" si="717"/>
        <v>6.9465184031407867</v>
      </c>
      <c r="FD231" s="5">
        <f t="shared" si="718"/>
        <v>18</v>
      </c>
      <c r="FE231" s="150">
        <f t="shared" si="719"/>
        <v>0.72154357209757114</v>
      </c>
      <c r="FF231" s="5">
        <f t="shared" si="720"/>
        <v>72.154357209757109</v>
      </c>
      <c r="FI231" s="59">
        <f t="shared" si="674"/>
        <v>-50</v>
      </c>
      <c r="FJ231">
        <f t="shared" si="675"/>
        <v>-50</v>
      </c>
      <c r="FL231">
        <f t="shared" si="676"/>
        <v>0.19800000000000001</v>
      </c>
    </row>
    <row r="232" spans="5:168">
      <c r="E232" s="147">
        <v>16</v>
      </c>
      <c r="F232" s="188">
        <f t="shared" si="677"/>
        <v>0.64</v>
      </c>
      <c r="G232" s="188"/>
      <c r="H232" s="188">
        <f t="shared" si="602"/>
        <v>19.2</v>
      </c>
      <c r="I232" s="465">
        <f t="shared" si="603"/>
        <v>47.921732178900704</v>
      </c>
      <c r="J232" s="149">
        <f t="shared" si="604"/>
        <v>30.44214421136116</v>
      </c>
      <c r="K232" s="149">
        <f t="shared" si="605"/>
        <v>78.363876390261865</v>
      </c>
      <c r="L232" s="379"/>
      <c r="M232" s="188">
        <f t="shared" si="606"/>
        <v>0.38847383335246438</v>
      </c>
      <c r="N232" s="149">
        <f t="shared" si="607"/>
        <v>284.91760712866062</v>
      </c>
      <c r="O232" s="149">
        <f t="shared" si="598"/>
        <v>19.2</v>
      </c>
      <c r="P232" s="188">
        <f t="shared" si="608"/>
        <v>9.4972535709553547</v>
      </c>
      <c r="Q232" s="188">
        <f t="shared" si="609"/>
        <v>30</v>
      </c>
      <c r="R232" s="188"/>
      <c r="S232" s="149">
        <f t="shared" si="610"/>
        <v>1086.6066071988876</v>
      </c>
      <c r="T232" s="149">
        <f t="shared" si="611"/>
        <v>30</v>
      </c>
      <c r="U232" s="188">
        <f t="shared" si="612"/>
        <v>2.0627041653634359</v>
      </c>
      <c r="V232" s="188">
        <f t="shared" si="613"/>
        <v>0.20230298731723639</v>
      </c>
      <c r="W232" s="188">
        <f t="shared" si="614"/>
        <v>0.31846342721121584</v>
      </c>
      <c r="X232" s="172">
        <f t="shared" si="615"/>
        <v>350</v>
      </c>
      <c r="Y232" s="379">
        <f t="shared" si="678"/>
        <v>350</v>
      </c>
      <c r="AA232" s="188">
        <f t="shared" si="616"/>
        <v>11.316859743736355</v>
      </c>
      <c r="AB232" s="150">
        <f t="shared" si="617"/>
        <v>1.7472238626249716</v>
      </c>
      <c r="AC232" s="150">
        <f t="shared" si="618"/>
        <v>3.460290293991314</v>
      </c>
      <c r="AD232" s="150"/>
      <c r="AE232" s="150">
        <f t="shared" si="619"/>
        <v>0.93570440659754173</v>
      </c>
      <c r="AF232" s="314">
        <f t="shared" si="620"/>
        <v>225.71230669734337</v>
      </c>
      <c r="AG232" s="456">
        <f t="shared" si="621"/>
        <v>0.99241376457315034</v>
      </c>
      <c r="AI232" s="150">
        <f t="shared" si="622"/>
        <v>4.8669810262995741</v>
      </c>
      <c r="AJ232" s="150">
        <f t="shared" si="623"/>
        <v>6.0606060606060606</v>
      </c>
      <c r="AK232" s="150">
        <f t="shared" si="624"/>
        <v>1.1289784609699105</v>
      </c>
      <c r="AM232" s="314">
        <f t="shared" si="625"/>
        <v>640</v>
      </c>
      <c r="AN232" s="144">
        <f t="shared" si="626"/>
        <v>225.71230669734337</v>
      </c>
      <c r="AP232">
        <f t="shared" si="627"/>
        <v>640</v>
      </c>
      <c r="AQ232">
        <f t="shared" si="628"/>
        <v>225.71230669734337</v>
      </c>
      <c r="AS232" s="5">
        <f t="shared" si="599"/>
        <v>4.430418591844421</v>
      </c>
      <c r="AT232" s="5">
        <f t="shared" si="629"/>
        <v>0.59440356576655595</v>
      </c>
      <c r="AU232" s="5">
        <f t="shared" si="477"/>
        <v>3.8360150260778649</v>
      </c>
      <c r="AV232" s="5"/>
      <c r="AW232" s="150">
        <f t="shared" si="478"/>
        <v>0.13416419993829537</v>
      </c>
      <c r="AX232" s="150">
        <f t="shared" si="630"/>
        <v>19.482972295271143</v>
      </c>
      <c r="AY232" s="150">
        <f t="shared" si="631"/>
        <v>2.6237448486718322</v>
      </c>
      <c r="AZ232" s="150">
        <f t="shared" si="632"/>
        <v>7.4256352728557555</v>
      </c>
      <c r="BA232" s="144">
        <f t="shared" si="593"/>
        <v>1.268060940301986</v>
      </c>
      <c r="BB232" s="5">
        <f t="shared" si="594"/>
        <v>0.90406592229744098</v>
      </c>
      <c r="BD232" s="150">
        <f t="shared" si="679"/>
        <v>1.2816627168338839</v>
      </c>
      <c r="BE232" s="150">
        <f t="shared" si="680"/>
        <v>3.2559160443050366</v>
      </c>
      <c r="BG232" s="456">
        <f t="shared" si="681"/>
        <v>1.971191183666415E-2</v>
      </c>
      <c r="BH232" s="456">
        <f t="shared" si="633"/>
        <v>1.9563658561072406</v>
      </c>
      <c r="BI232" s="456">
        <f t="shared" si="682"/>
        <v>2.5956915270194492E-2</v>
      </c>
      <c r="BJ232" s="456">
        <f t="shared" si="683"/>
        <v>0.71729435836039646</v>
      </c>
      <c r="BK232">
        <f t="shared" si="684"/>
        <v>2.1564779480505315E-2</v>
      </c>
      <c r="BL232" s="144">
        <f t="shared" si="685"/>
        <v>47.521694750699808</v>
      </c>
      <c r="BM232" s="456">
        <f t="shared" si="634"/>
        <v>2.7113932892242789</v>
      </c>
      <c r="BN232" s="144">
        <f t="shared" si="686"/>
        <v>2711.3932892242788</v>
      </c>
      <c r="BO232" s="456">
        <f t="shared" si="635"/>
        <v>0.44799999999999995</v>
      </c>
      <c r="BR232" s="144">
        <f t="shared" si="687"/>
        <v>447.99999999999994</v>
      </c>
      <c r="BS232" s="456">
        <f t="shared" si="688"/>
        <v>2.2997230476108174E-2</v>
      </c>
      <c r="BT232" s="456">
        <f t="shared" si="689"/>
        <v>0.14841385002588139</v>
      </c>
      <c r="BU232" s="456">
        <f t="shared" si="690"/>
        <v>3.4605748054423024</v>
      </c>
      <c r="BV232" s="456"/>
      <c r="BW232" s="456">
        <f t="shared" si="691"/>
        <v>0.829062650862602</v>
      </c>
      <c r="BX232" s="144">
        <f t="shared" si="692"/>
        <v>4461.0485368068939</v>
      </c>
      <c r="BY232" s="150">
        <f t="shared" si="693"/>
        <v>7.6499423578618941</v>
      </c>
      <c r="BZ232" s="5">
        <f t="shared" si="694"/>
        <v>19.2</v>
      </c>
      <c r="CA232" s="150">
        <f t="shared" si="695"/>
        <v>0.71508533404274055</v>
      </c>
      <c r="CB232" s="5">
        <f t="shared" si="696"/>
        <v>71.508533404274061</v>
      </c>
      <c r="CE232" s="59">
        <f t="shared" si="636"/>
        <v>-50</v>
      </c>
      <c r="CF232">
        <f t="shared" si="637"/>
        <v>-50</v>
      </c>
      <c r="CG232" s="150">
        <f t="shared" si="638"/>
        <v>0.21260333769722434</v>
      </c>
      <c r="CI232" s="147">
        <v>16</v>
      </c>
      <c r="CJ232" s="188">
        <f t="shared" si="697"/>
        <v>0.64</v>
      </c>
      <c r="CK232" s="188"/>
      <c r="CL232" s="188">
        <f t="shared" si="639"/>
        <v>19.2</v>
      </c>
      <c r="CM232" s="465">
        <f t="shared" si="640"/>
        <v>48</v>
      </c>
      <c r="CN232" s="379">
        <f t="shared" si="641"/>
        <v>30.4</v>
      </c>
      <c r="CO232" s="379">
        <f t="shared" si="642"/>
        <v>78.400000000000006</v>
      </c>
      <c r="CP232" s="379"/>
      <c r="CQ232" s="188">
        <f t="shared" si="643"/>
        <v>0.38775510204081626</v>
      </c>
      <c r="CR232" s="149">
        <f t="shared" si="644"/>
        <v>284.85494809142222</v>
      </c>
      <c r="CS232" s="149">
        <f t="shared" si="645"/>
        <v>19.2</v>
      </c>
      <c r="CT232" s="188">
        <f t="shared" si="646"/>
        <v>9.4951649363807409</v>
      </c>
      <c r="CU232" s="188">
        <f t="shared" si="647"/>
        <v>30</v>
      </c>
      <c r="CV232" s="188"/>
      <c r="CW232" s="149">
        <f t="shared" si="648"/>
        <v>1088.3812707595573</v>
      </c>
      <c r="CX232" s="149">
        <f t="shared" si="649"/>
        <v>30</v>
      </c>
      <c r="CY232" s="188">
        <f t="shared" si="650"/>
        <v>2.0631578947368423</v>
      </c>
      <c r="CZ232" s="188">
        <f t="shared" si="651"/>
        <v>0.20201754385964915</v>
      </c>
      <c r="DA232" s="188">
        <f t="shared" si="652"/>
        <v>0.31897506925207758</v>
      </c>
      <c r="DB232" s="172">
        <f t="shared" si="653"/>
        <v>350</v>
      </c>
      <c r="DC232" s="379">
        <f t="shared" si="654"/>
        <v>350</v>
      </c>
      <c r="DE232" s="188">
        <f t="shared" si="655"/>
        <v>11.314434588425037</v>
      </c>
      <c r="DF232" s="150">
        <f t="shared" si="656"/>
        <v>1.7492711370262393</v>
      </c>
      <c r="DG232" s="150">
        <f t="shared" si="657"/>
        <v>3.463602425028073</v>
      </c>
      <c r="DH232" s="150"/>
      <c r="DI232" s="150">
        <f t="shared" si="658"/>
        <v>0.93700159489633172</v>
      </c>
      <c r="DJ232" s="314">
        <f t="shared" si="659"/>
        <v>225.39982978723404</v>
      </c>
      <c r="DK232" s="456">
        <f t="shared" si="660"/>
        <v>0.99378957034459414</v>
      </c>
      <c r="DM232" s="150">
        <f t="shared" si="661"/>
        <v>4.8636109266881746</v>
      </c>
      <c r="DN232" s="150">
        <f t="shared" si="662"/>
        <v>6.0606060606060606</v>
      </c>
      <c r="DO232" s="150">
        <f t="shared" si="663"/>
        <v>1.1287999027355622</v>
      </c>
      <c r="DQ232" s="314">
        <f t="shared" si="664"/>
        <v>640</v>
      </c>
      <c r="DR232" s="144">
        <f t="shared" si="665"/>
        <v>225.39982978723404</v>
      </c>
      <c r="DT232">
        <f t="shared" si="666"/>
        <v>640</v>
      </c>
      <c r="DU232">
        <f t="shared" si="667"/>
        <v>225.39982978723404</v>
      </c>
      <c r="DW232" s="5">
        <f t="shared" si="668"/>
        <v>4.4365605818955096</v>
      </c>
      <c r="DX232" s="5">
        <f t="shared" si="669"/>
        <v>0.59343434343434343</v>
      </c>
      <c r="DY232" s="5">
        <f t="shared" si="670"/>
        <v>3.8431262384611662</v>
      </c>
      <c r="DZ232" s="5"/>
      <c r="EA232" s="150">
        <f t="shared" si="671"/>
        <v>0.13376000000000002</v>
      </c>
      <c r="EB232" s="150">
        <f t="shared" si="698"/>
        <v>19.455999999999996</v>
      </c>
      <c r="EC232" s="150">
        <f t="shared" si="699"/>
        <v>2.6249696969696972</v>
      </c>
      <c r="ED232" s="150">
        <f t="shared" si="700"/>
        <v>7.4118950868119668</v>
      </c>
      <c r="EE232" s="144">
        <f t="shared" si="672"/>
        <v>1.265993265993266</v>
      </c>
      <c r="EF232" s="5">
        <f t="shared" si="673"/>
        <v>0.90426499728498011</v>
      </c>
      <c r="EH232" s="150">
        <f t="shared" si="701"/>
        <v>1.2797306113828948</v>
      </c>
      <c r="EI232" s="150">
        <f t="shared" si="702"/>
        <v>3.2566759386795816</v>
      </c>
      <c r="EK232" s="456">
        <f t="shared" si="703"/>
        <v>1.9652525252525251E-2</v>
      </c>
      <c r="EL232" s="456">
        <f t="shared" si="704"/>
        <v>2.0348823421276601</v>
      </c>
      <c r="EM232" s="456">
        <f t="shared" si="705"/>
        <v>2.5920980425531918E-2</v>
      </c>
      <c r="EN232" s="456">
        <f t="shared" si="706"/>
        <v>0.71696187649960874</v>
      </c>
      <c r="EO232">
        <f t="shared" si="707"/>
        <v>2.1600000000000001E-2</v>
      </c>
      <c r="EP232" s="144">
        <f t="shared" si="708"/>
        <v>47.520980425531917</v>
      </c>
      <c r="EQ232" s="144"/>
      <c r="ER232" s="144">
        <f t="shared" si="709"/>
        <v>2819.0177243053258</v>
      </c>
      <c r="ES232" s="456">
        <f t="shared" si="710"/>
        <v>0.44799999999999995</v>
      </c>
      <c r="EV232" s="144">
        <f t="shared" si="711"/>
        <v>447.99999999999994</v>
      </c>
      <c r="EW232" s="456">
        <f t="shared" si="712"/>
        <v>2.2927946127946127E-2</v>
      </c>
      <c r="EX232" s="456">
        <f t="shared" si="713"/>
        <v>0.14848313437404348</v>
      </c>
      <c r="EY232" s="456">
        <f t="shared" si="714"/>
        <v>3.4486101586198328</v>
      </c>
      <c r="EZ232" s="456"/>
      <c r="FA232" s="456">
        <f t="shared" si="715"/>
        <v>0.82791489361702131</v>
      </c>
      <c r="FB232" s="144">
        <f t="shared" si="716"/>
        <v>4447.9361327388433</v>
      </c>
      <c r="FC232" s="150">
        <f t="shared" si="717"/>
        <v>7.7149538570441694</v>
      </c>
      <c r="FD232" s="5">
        <f t="shared" si="718"/>
        <v>19.2</v>
      </c>
      <c r="FE232" s="150">
        <f t="shared" si="719"/>
        <v>0.71335808718003746</v>
      </c>
      <c r="FF232" s="5">
        <f t="shared" si="720"/>
        <v>71.335808718003747</v>
      </c>
      <c r="FI232" s="59">
        <f t="shared" si="674"/>
        <v>-50</v>
      </c>
      <c r="FJ232">
        <f t="shared" si="675"/>
        <v>-50</v>
      </c>
      <c r="FL232">
        <f t="shared" si="676"/>
        <v>0.2112</v>
      </c>
    </row>
    <row r="233" spans="5:168">
      <c r="E233" s="147">
        <v>17</v>
      </c>
      <c r="F233" s="188">
        <f t="shared" si="677"/>
        <v>0.68</v>
      </c>
      <c r="G233" s="188"/>
      <c r="H233" s="188">
        <f t="shared" si="602"/>
        <v>20.400000000000002</v>
      </c>
      <c r="I233" s="465">
        <f t="shared" si="603"/>
        <v>47.921732178900704</v>
      </c>
      <c r="J233" s="149">
        <f t="shared" si="604"/>
        <v>30.44214421136116</v>
      </c>
      <c r="K233" s="149">
        <f t="shared" si="605"/>
        <v>78.363876390261865</v>
      </c>
      <c r="L233" s="379"/>
      <c r="M233" s="188">
        <f t="shared" si="606"/>
        <v>0.38847383335246438</v>
      </c>
      <c r="N233" s="149">
        <f t="shared" si="607"/>
        <v>284.91760712866062</v>
      </c>
      <c r="O233" s="149">
        <f t="shared" si="598"/>
        <v>20.400000000000002</v>
      </c>
      <c r="P233" s="188">
        <f t="shared" si="608"/>
        <v>9.4972535709553547</v>
      </c>
      <c r="Q233" s="188">
        <f t="shared" si="609"/>
        <v>30</v>
      </c>
      <c r="R233" s="188"/>
      <c r="S233" s="149">
        <f t="shared" si="610"/>
        <v>1019.8718368199676</v>
      </c>
      <c r="T233" s="149">
        <f t="shared" si="611"/>
        <v>30</v>
      </c>
      <c r="U233" s="188">
        <f t="shared" si="612"/>
        <v>2.1916231756986511</v>
      </c>
      <c r="V233" s="188">
        <f t="shared" si="613"/>
        <v>0.2149469240245637</v>
      </c>
      <c r="W233" s="188">
        <f t="shared" si="614"/>
        <v>0.33836739141191685</v>
      </c>
      <c r="X233" s="172">
        <f t="shared" si="615"/>
        <v>350</v>
      </c>
      <c r="Y233" s="379">
        <f t="shared" si="678"/>
        <v>350</v>
      </c>
      <c r="AA233" s="188">
        <f t="shared" si="616"/>
        <v>11.316859743736355</v>
      </c>
      <c r="AB233" s="150">
        <f t="shared" si="617"/>
        <v>1.7472238626249716</v>
      </c>
      <c r="AC233" s="150">
        <f t="shared" si="618"/>
        <v>3.460290293991314</v>
      </c>
      <c r="AD233" s="150"/>
      <c r="AE233" s="150">
        <f t="shared" si="619"/>
        <v>0.93570440659754173</v>
      </c>
      <c r="AF233" s="314">
        <f t="shared" si="620"/>
        <v>239.81932586592734</v>
      </c>
      <c r="AG233" s="456">
        <f t="shared" si="621"/>
        <v>0.99241376457315034</v>
      </c>
      <c r="AI233" s="150">
        <f t="shared" si="622"/>
        <v>5.0167692123275476</v>
      </c>
      <c r="AJ233" s="150">
        <f t="shared" si="623"/>
        <v>6.0606060606060606</v>
      </c>
      <c r="AK233" s="150">
        <f t="shared" si="624"/>
        <v>1.13703961478053</v>
      </c>
      <c r="AM233" s="314">
        <f t="shared" si="625"/>
        <v>680</v>
      </c>
      <c r="AN233" s="144">
        <f t="shared" si="626"/>
        <v>239.81932586592734</v>
      </c>
      <c r="AP233">
        <f t="shared" si="627"/>
        <v>680</v>
      </c>
      <c r="AQ233">
        <f t="shared" si="628"/>
        <v>239.81932586592734</v>
      </c>
      <c r="AS233" s="5">
        <f t="shared" si="599"/>
        <v>4.1698057335006311</v>
      </c>
      <c r="AT233" s="5">
        <f t="shared" si="629"/>
        <v>0.59440356576655595</v>
      </c>
      <c r="AU233" s="5">
        <f t="shared" si="477"/>
        <v>3.575402167734075</v>
      </c>
      <c r="AV233" s="5"/>
      <c r="AW233" s="150">
        <f t="shared" si="478"/>
        <v>0.14254946243443886</v>
      </c>
      <c r="AX233" s="150">
        <f t="shared" si="630"/>
        <v>20.700658063725587</v>
      </c>
      <c r="AY233" s="150">
        <f t="shared" si="631"/>
        <v>2.5983349623198819</v>
      </c>
      <c r="AZ233" s="150">
        <f t="shared" si="632"/>
        <v>7.9668935544951198</v>
      </c>
      <c r="BA233" s="144">
        <f t="shared" si="593"/>
        <v>1.3473147490708601</v>
      </c>
      <c r="BB233" s="5">
        <f t="shared" si="594"/>
        <v>0.89531041684046886</v>
      </c>
      <c r="BD233" s="150">
        <f t="shared" si="679"/>
        <v>1.3211076894805505</v>
      </c>
      <c r="BE233" s="150">
        <f t="shared" si="680"/>
        <v>3.2401115845106836</v>
      </c>
      <c r="BG233" s="456">
        <f t="shared" si="681"/>
        <v>2.0943906326455663E-2</v>
      </c>
      <c r="BH233" s="456">
        <f t="shared" si="633"/>
        <v>2.0786387221139435</v>
      </c>
      <c r="BI233" s="456">
        <f t="shared" si="682"/>
        <v>2.7579222474581645E-2</v>
      </c>
      <c r="BJ233" s="456">
        <f t="shared" si="683"/>
        <v>0.76212525575792123</v>
      </c>
      <c r="BK233">
        <f t="shared" si="684"/>
        <v>2.1564779480505315E-2</v>
      </c>
      <c r="BL233" s="144">
        <f t="shared" si="685"/>
        <v>49.144001955086964</v>
      </c>
      <c r="BM233" s="456">
        <f t="shared" si="634"/>
        <v>2.8817028766564499</v>
      </c>
      <c r="BN233" s="144">
        <f t="shared" si="686"/>
        <v>2881.7028766564499</v>
      </c>
      <c r="BO233" s="456">
        <f t="shared" si="635"/>
        <v>0.47599999999999998</v>
      </c>
      <c r="BR233" s="144">
        <f t="shared" si="687"/>
        <v>476</v>
      </c>
      <c r="BS233" s="456">
        <f t="shared" si="688"/>
        <v>2.4434557380864943E-2</v>
      </c>
      <c r="BT233" s="456">
        <f t="shared" si="689"/>
        <v>0.14697652312112466</v>
      </c>
      <c r="BU233" s="456">
        <f t="shared" si="690"/>
        <v>4.0268976216082848</v>
      </c>
      <c r="BV233" s="456"/>
      <c r="BW233" s="456">
        <f t="shared" si="691"/>
        <v>0.8808790665415146</v>
      </c>
      <c r="BX233" s="144">
        <f t="shared" si="692"/>
        <v>5079.1877686517892</v>
      </c>
      <c r="BY233" s="150">
        <f t="shared" si="693"/>
        <v>8.4660396548051953</v>
      </c>
      <c r="BZ233" s="5">
        <f t="shared" si="694"/>
        <v>20.400000000000002</v>
      </c>
      <c r="CA233" s="150">
        <f t="shared" si="695"/>
        <v>0.70671281006863396</v>
      </c>
      <c r="CB233" s="5">
        <f t="shared" si="696"/>
        <v>70.671281006863396</v>
      </c>
      <c r="CE233" s="59">
        <f t="shared" si="636"/>
        <v>-50</v>
      </c>
      <c r="CF233">
        <f t="shared" si="637"/>
        <v>-50</v>
      </c>
      <c r="CG233" s="150">
        <f t="shared" si="638"/>
        <v>0.22589104630330087</v>
      </c>
      <c r="CI233" s="147">
        <v>17</v>
      </c>
      <c r="CJ233" s="188">
        <f t="shared" si="697"/>
        <v>0.68</v>
      </c>
      <c r="CK233" s="188"/>
      <c r="CL233" s="188">
        <f t="shared" si="639"/>
        <v>20.400000000000002</v>
      </c>
      <c r="CM233" s="465">
        <f t="shared" si="640"/>
        <v>48</v>
      </c>
      <c r="CN233" s="379">
        <f t="shared" si="641"/>
        <v>30.4</v>
      </c>
      <c r="CO233" s="379">
        <f t="shared" si="642"/>
        <v>78.400000000000006</v>
      </c>
      <c r="CP233" s="379"/>
      <c r="CQ233" s="188">
        <f t="shared" si="643"/>
        <v>0.38775510204081626</v>
      </c>
      <c r="CR233" s="149">
        <f t="shared" si="644"/>
        <v>284.85494809142222</v>
      </c>
      <c r="CS233" s="149">
        <f t="shared" si="645"/>
        <v>20.400000000000002</v>
      </c>
      <c r="CT233" s="188">
        <f t="shared" si="646"/>
        <v>9.4951649363807409</v>
      </c>
      <c r="CU233" s="188">
        <f t="shared" si="647"/>
        <v>30</v>
      </c>
      <c r="CV233" s="188"/>
      <c r="CW233" s="149">
        <f t="shared" si="648"/>
        <v>1021.537504419181</v>
      </c>
      <c r="CX233" s="149">
        <f t="shared" si="649"/>
        <v>30</v>
      </c>
      <c r="CY233" s="188">
        <f t="shared" si="650"/>
        <v>2.1921052631578957</v>
      </c>
      <c r="CZ233" s="188">
        <f t="shared" si="651"/>
        <v>0.21464364035087727</v>
      </c>
      <c r="DA233" s="188">
        <f t="shared" si="652"/>
        <v>0.3389110110803325</v>
      </c>
      <c r="DB233" s="172">
        <f t="shared" si="653"/>
        <v>350</v>
      </c>
      <c r="DC233" s="379">
        <f t="shared" si="654"/>
        <v>350</v>
      </c>
      <c r="DE233" s="188">
        <f t="shared" si="655"/>
        <v>11.314434588425037</v>
      </c>
      <c r="DF233" s="150">
        <f t="shared" si="656"/>
        <v>1.7492711370262393</v>
      </c>
      <c r="DG233" s="150">
        <f t="shared" si="657"/>
        <v>3.463602425028073</v>
      </c>
      <c r="DH233" s="150"/>
      <c r="DI233" s="150">
        <f t="shared" si="658"/>
        <v>0.93700159489633172</v>
      </c>
      <c r="DJ233" s="314">
        <f t="shared" si="659"/>
        <v>239.48731914893619</v>
      </c>
      <c r="DK233" s="456">
        <f t="shared" si="660"/>
        <v>0.99378957034459414</v>
      </c>
      <c r="DM233" s="150">
        <f t="shared" si="661"/>
        <v>5.0132953931608846</v>
      </c>
      <c r="DN233" s="150">
        <f t="shared" si="662"/>
        <v>6.0606060606060606</v>
      </c>
      <c r="DO233" s="150">
        <f t="shared" si="663"/>
        <v>1.136849896656535</v>
      </c>
      <c r="DQ233" s="314">
        <f t="shared" si="664"/>
        <v>680</v>
      </c>
      <c r="DR233" s="144">
        <f t="shared" si="665"/>
        <v>239.48731914893619</v>
      </c>
      <c r="DT233">
        <f t="shared" si="666"/>
        <v>680</v>
      </c>
      <c r="DU233">
        <f t="shared" si="667"/>
        <v>239.48731914893619</v>
      </c>
      <c r="DW233" s="5">
        <f t="shared" si="668"/>
        <v>4.1755864300193037</v>
      </c>
      <c r="DX233" s="5">
        <f t="shared" si="669"/>
        <v>0.59343434343434343</v>
      </c>
      <c r="DY233" s="5">
        <f t="shared" si="670"/>
        <v>3.5821520865849603</v>
      </c>
      <c r="DZ233" s="5"/>
      <c r="EA233" s="150">
        <f t="shared" si="671"/>
        <v>0.14212</v>
      </c>
      <c r="EB233" s="150">
        <f t="shared" si="698"/>
        <v>20.672000000000001</v>
      </c>
      <c r="EC233" s="150">
        <f t="shared" si="699"/>
        <v>2.5996363636363635</v>
      </c>
      <c r="ED233" s="150">
        <f t="shared" si="700"/>
        <v>7.9518813820114707</v>
      </c>
      <c r="EE233" s="144">
        <f t="shared" si="672"/>
        <v>1.3451178451178454</v>
      </c>
      <c r="EF233" s="5">
        <f t="shared" si="673"/>
        <v>0.89553802164624008</v>
      </c>
      <c r="EH233" s="150">
        <f t="shared" si="701"/>
        <v>1.3191161207669855</v>
      </c>
      <c r="EI233" s="150">
        <f t="shared" si="702"/>
        <v>3.2409229036213789</v>
      </c>
      <c r="EK233" s="456">
        <f t="shared" si="703"/>
        <v>2.0880808080808083E-2</v>
      </c>
      <c r="EL233" s="456">
        <f t="shared" si="704"/>
        <v>2.1620624885106388</v>
      </c>
      <c r="EM233" s="456">
        <f t="shared" si="705"/>
        <v>2.7541041702127664E-2</v>
      </c>
      <c r="EN233" s="456">
        <f t="shared" si="706"/>
        <v>0.76177199378083427</v>
      </c>
      <c r="EO233">
        <f t="shared" si="707"/>
        <v>2.1600000000000001E-2</v>
      </c>
      <c r="EP233" s="144">
        <f t="shared" si="708"/>
        <v>49.141041702127666</v>
      </c>
      <c r="EQ233" s="144"/>
      <c r="ER233" s="144">
        <f t="shared" si="709"/>
        <v>2993.8563320744083</v>
      </c>
      <c r="ES233" s="456">
        <f t="shared" si="710"/>
        <v>0.47599999999999998</v>
      </c>
      <c r="EV233" s="144">
        <f t="shared" si="711"/>
        <v>476</v>
      </c>
      <c r="EW233" s="456">
        <f t="shared" si="712"/>
        <v>2.4360942760942764E-2</v>
      </c>
      <c r="EX233" s="456">
        <f t="shared" si="713"/>
        <v>0.14705013774104683</v>
      </c>
      <c r="EY233" s="456">
        <f t="shared" si="714"/>
        <v>4.0129749612002463</v>
      </c>
      <c r="EZ233" s="456"/>
      <c r="FA233" s="456">
        <f t="shared" si="715"/>
        <v>0.87965957446808529</v>
      </c>
      <c r="FB233" s="144">
        <f t="shared" si="716"/>
        <v>5064.0456161703223</v>
      </c>
      <c r="FC233" s="150">
        <f t="shared" si="717"/>
        <v>8.5339019482447291</v>
      </c>
      <c r="FD233" s="5">
        <f t="shared" si="718"/>
        <v>20.400000000000002</v>
      </c>
      <c r="FE233" s="150">
        <f t="shared" si="719"/>
        <v>0.70505526826248066</v>
      </c>
      <c r="FF233" s="5">
        <f t="shared" si="720"/>
        <v>70.505526826248072</v>
      </c>
      <c r="FI233" s="59">
        <f t="shared" si="674"/>
        <v>-50</v>
      </c>
      <c r="FJ233">
        <f t="shared" si="675"/>
        <v>-50</v>
      </c>
      <c r="FL233">
        <f t="shared" si="676"/>
        <v>0.22440000000000002</v>
      </c>
    </row>
    <row r="234" spans="5:168">
      <c r="E234" s="147">
        <v>18</v>
      </c>
      <c r="F234" s="188">
        <f t="shared" si="677"/>
        <v>0.72</v>
      </c>
      <c r="G234" s="188"/>
      <c r="H234" s="188">
        <f t="shared" si="602"/>
        <v>21.599999999999998</v>
      </c>
      <c r="I234" s="465">
        <f t="shared" si="603"/>
        <v>47.921732178900704</v>
      </c>
      <c r="J234" s="149">
        <f t="shared" si="604"/>
        <v>30.44214421136116</v>
      </c>
      <c r="K234" s="149">
        <f t="shared" si="605"/>
        <v>78.363876390261865</v>
      </c>
      <c r="L234" s="379"/>
      <c r="M234" s="188">
        <f t="shared" si="606"/>
        <v>0.38847383335246438</v>
      </c>
      <c r="N234" s="149">
        <f t="shared" si="607"/>
        <v>284.91760712866062</v>
      </c>
      <c r="O234" s="149">
        <f t="shared" si="598"/>
        <v>21.599999999999998</v>
      </c>
      <c r="P234" s="188">
        <f t="shared" si="608"/>
        <v>9.4972535709553547</v>
      </c>
      <c r="Q234" s="188">
        <f t="shared" si="609"/>
        <v>30</v>
      </c>
      <c r="R234" s="188"/>
      <c r="S234" s="149">
        <f t="shared" si="610"/>
        <v>960.55217541819059</v>
      </c>
      <c r="T234" s="149">
        <f t="shared" si="611"/>
        <v>30</v>
      </c>
      <c r="U234" s="188">
        <f t="shared" si="612"/>
        <v>2.3205421860338653</v>
      </c>
      <c r="V234" s="188">
        <f t="shared" si="613"/>
        <v>0.22759086073189091</v>
      </c>
      <c r="W234" s="188">
        <f t="shared" si="614"/>
        <v>0.35827135561261775</v>
      </c>
      <c r="X234" s="172">
        <f t="shared" si="615"/>
        <v>350</v>
      </c>
      <c r="Y234" s="379">
        <f t="shared" si="678"/>
        <v>350</v>
      </c>
      <c r="AA234" s="188">
        <f t="shared" si="616"/>
        <v>11.316859743736355</v>
      </c>
      <c r="AB234" s="150">
        <f t="shared" si="617"/>
        <v>1.7472238626249716</v>
      </c>
      <c r="AC234" s="150">
        <f t="shared" si="618"/>
        <v>3.460290293991314</v>
      </c>
      <c r="AD234" s="150"/>
      <c r="AE234" s="150">
        <f t="shared" si="619"/>
        <v>0.93570440659754173</v>
      </c>
      <c r="AF234" s="314">
        <f t="shared" si="620"/>
        <v>253.92634503451126</v>
      </c>
      <c r="AG234" s="456">
        <f t="shared" si="621"/>
        <v>0.99241376457315034</v>
      </c>
      <c r="AI234" s="150">
        <f t="shared" si="622"/>
        <v>5.1622129314040368</v>
      </c>
      <c r="AJ234" s="150">
        <f t="shared" si="623"/>
        <v>6.0606060606060606</v>
      </c>
      <c r="AK234" s="150">
        <f t="shared" si="624"/>
        <v>1.1451007685911492</v>
      </c>
      <c r="AM234" s="314">
        <f t="shared" si="625"/>
        <v>720</v>
      </c>
      <c r="AN234" s="144">
        <f t="shared" si="626"/>
        <v>253.92634503451126</v>
      </c>
      <c r="AP234">
        <f t="shared" si="627"/>
        <v>720</v>
      </c>
      <c r="AQ234">
        <f t="shared" si="628"/>
        <v>253.92634503451126</v>
      </c>
      <c r="AS234" s="5">
        <f t="shared" si="599"/>
        <v>3.9381498594172633</v>
      </c>
      <c r="AT234" s="5">
        <f t="shared" si="629"/>
        <v>0.59440356576655595</v>
      </c>
      <c r="AU234" s="5">
        <f t="shared" ref="AU234:AU297" si="721">AS234-AT234</f>
        <v>3.3437462936507072</v>
      </c>
      <c r="AV234" s="5"/>
      <c r="AW234" s="150">
        <f t="shared" ref="AW234:AW297" si="722">AT234/AS234</f>
        <v>0.1509347249305823</v>
      </c>
      <c r="AX234" s="150">
        <f t="shared" si="630"/>
        <v>21.918343832180032</v>
      </c>
      <c r="AY234" s="150">
        <f t="shared" si="631"/>
        <v>2.5729250759679321</v>
      </c>
      <c r="AZ234" s="150">
        <f t="shared" si="632"/>
        <v>8.51884263436407</v>
      </c>
      <c r="BA234" s="144">
        <f t="shared" si="593"/>
        <v>1.4265685578397342</v>
      </c>
      <c r="BB234" s="5">
        <f t="shared" si="594"/>
        <v>0.88655491138349674</v>
      </c>
      <c r="BD234" s="150">
        <f t="shared" si="679"/>
        <v>1.3594085974008197</v>
      </c>
      <c r="BE234" s="150">
        <f t="shared" si="680"/>
        <v>3.2242296556848591</v>
      </c>
      <c r="BG234" s="456">
        <f t="shared" si="681"/>
        <v>2.2175900816247165E-2</v>
      </c>
      <c r="BH234" s="456">
        <f t="shared" si="633"/>
        <v>2.2009115881206456</v>
      </c>
      <c r="BI234" s="456">
        <f t="shared" si="682"/>
        <v>2.9201529678968798E-2</v>
      </c>
      <c r="BJ234" s="456">
        <f t="shared" si="683"/>
        <v>0.80695615315544589</v>
      </c>
      <c r="BK234">
        <f t="shared" si="684"/>
        <v>2.1564779480505315E-2</v>
      </c>
      <c r="BL234" s="144">
        <f t="shared" si="685"/>
        <v>50.766309159474112</v>
      </c>
      <c r="BM234" s="456">
        <f t="shared" si="634"/>
        <v>3.0521126989142173</v>
      </c>
      <c r="BN234" s="144">
        <f t="shared" si="686"/>
        <v>3052.1126989142172</v>
      </c>
      <c r="BO234" s="456">
        <f t="shared" si="635"/>
        <v>0.504</v>
      </c>
      <c r="BR234" s="144">
        <f t="shared" si="687"/>
        <v>504</v>
      </c>
      <c r="BS234" s="456">
        <f t="shared" si="688"/>
        <v>2.5871884285621694E-2</v>
      </c>
      <c r="BT234" s="456">
        <f t="shared" si="689"/>
        <v>0.14553919621636788</v>
      </c>
      <c r="BU234" s="456">
        <f t="shared" si="690"/>
        <v>4.6454688011778975</v>
      </c>
      <c r="BV234" s="456"/>
      <c r="BW234" s="456">
        <f t="shared" si="691"/>
        <v>0.93269548222042709</v>
      </c>
      <c r="BX234" s="144">
        <f t="shared" si="692"/>
        <v>5749.5753639003142</v>
      </c>
      <c r="BY234" s="150">
        <f t="shared" si="693"/>
        <v>9.3343853151521277</v>
      </c>
      <c r="BZ234" s="5">
        <f t="shared" si="694"/>
        <v>21.599999999999998</v>
      </c>
      <c r="CA234" s="150">
        <f t="shared" si="695"/>
        <v>0.69825211588801128</v>
      </c>
      <c r="CB234" s="5">
        <f t="shared" si="696"/>
        <v>69.825211588801125</v>
      </c>
      <c r="CE234" s="59">
        <f t="shared" si="636"/>
        <v>-50</v>
      </c>
      <c r="CF234">
        <f t="shared" si="637"/>
        <v>-50</v>
      </c>
      <c r="CG234" s="150">
        <f t="shared" si="638"/>
        <v>0.23917875490937737</v>
      </c>
      <c r="CI234" s="147">
        <v>18</v>
      </c>
      <c r="CJ234" s="188">
        <f t="shared" si="697"/>
        <v>0.72</v>
      </c>
      <c r="CK234" s="188"/>
      <c r="CL234" s="188">
        <f t="shared" si="639"/>
        <v>21.599999999999998</v>
      </c>
      <c r="CM234" s="465">
        <f t="shared" si="640"/>
        <v>48</v>
      </c>
      <c r="CN234" s="379">
        <f t="shared" si="641"/>
        <v>30.4</v>
      </c>
      <c r="CO234" s="379">
        <f t="shared" si="642"/>
        <v>78.400000000000006</v>
      </c>
      <c r="CP234" s="379"/>
      <c r="CQ234" s="188">
        <f t="shared" si="643"/>
        <v>0.38775510204081626</v>
      </c>
      <c r="CR234" s="149">
        <f t="shared" si="644"/>
        <v>284.85494809142222</v>
      </c>
      <c r="CS234" s="149">
        <f t="shared" si="645"/>
        <v>21.599999999999998</v>
      </c>
      <c r="CT234" s="188">
        <f t="shared" si="646"/>
        <v>9.4951649363807409</v>
      </c>
      <c r="CU234" s="188">
        <f t="shared" si="647"/>
        <v>30</v>
      </c>
      <c r="CV234" s="188"/>
      <c r="CW234" s="149">
        <f t="shared" si="648"/>
        <v>962.12095771861379</v>
      </c>
      <c r="CX234" s="149">
        <f t="shared" si="649"/>
        <v>30</v>
      </c>
      <c r="CY234" s="188">
        <f t="shared" si="650"/>
        <v>2.3210526315789477</v>
      </c>
      <c r="CZ234" s="188">
        <f t="shared" si="651"/>
        <v>0.2272697368421053</v>
      </c>
      <c r="DA234" s="188">
        <f t="shared" si="652"/>
        <v>0.35884695290858731</v>
      </c>
      <c r="DB234" s="172">
        <f t="shared" si="653"/>
        <v>350</v>
      </c>
      <c r="DC234" s="379">
        <f t="shared" si="654"/>
        <v>350</v>
      </c>
      <c r="DE234" s="188">
        <f t="shared" si="655"/>
        <v>11.314434588425037</v>
      </c>
      <c r="DF234" s="150">
        <f t="shared" si="656"/>
        <v>1.7492711370262393</v>
      </c>
      <c r="DG234" s="150">
        <f t="shared" si="657"/>
        <v>3.463602425028073</v>
      </c>
      <c r="DH234" s="150"/>
      <c r="DI234" s="150">
        <f t="shared" si="658"/>
        <v>0.93700159489633172</v>
      </c>
      <c r="DJ234" s="314">
        <f t="shared" si="659"/>
        <v>253.57480851063832</v>
      </c>
      <c r="DK234" s="456">
        <f t="shared" si="660"/>
        <v>0.99378957034459414</v>
      </c>
      <c r="DM234" s="150">
        <f t="shared" si="661"/>
        <v>5.1586384009712951</v>
      </c>
      <c r="DN234" s="150">
        <f t="shared" si="662"/>
        <v>6.0606060606060606</v>
      </c>
      <c r="DO234" s="150">
        <f t="shared" si="663"/>
        <v>1.1448998905775076</v>
      </c>
      <c r="DQ234" s="314">
        <f t="shared" si="664"/>
        <v>720</v>
      </c>
      <c r="DR234" s="144">
        <f t="shared" si="665"/>
        <v>253.57480851063832</v>
      </c>
      <c r="DT234">
        <f t="shared" si="666"/>
        <v>720</v>
      </c>
      <c r="DU234">
        <f t="shared" si="667"/>
        <v>253.57480851063832</v>
      </c>
      <c r="DW234" s="5">
        <f t="shared" si="668"/>
        <v>3.9436094061293416</v>
      </c>
      <c r="DX234" s="5">
        <f t="shared" si="669"/>
        <v>0.59343434343434343</v>
      </c>
      <c r="DY234" s="5">
        <f t="shared" si="670"/>
        <v>3.3501750626949982</v>
      </c>
      <c r="DZ234" s="5"/>
      <c r="EA234" s="150">
        <f t="shared" si="671"/>
        <v>0.15048000000000003</v>
      </c>
      <c r="EB234" s="150">
        <f t="shared" si="698"/>
        <v>21.887999999999998</v>
      </c>
      <c r="EC234" s="150">
        <f t="shared" si="699"/>
        <v>2.5743030303030303</v>
      </c>
      <c r="ED234" s="150">
        <f t="shared" si="700"/>
        <v>8.5024955268857703</v>
      </c>
      <c r="EE234" s="144">
        <f t="shared" si="672"/>
        <v>1.4242424242424243</v>
      </c>
      <c r="EF234" s="5">
        <f t="shared" si="673"/>
        <v>0.88681104600749927</v>
      </c>
      <c r="EH234" s="150">
        <f t="shared" si="701"/>
        <v>1.357359290101277</v>
      </c>
      <c r="EI234" s="150">
        <f t="shared" si="702"/>
        <v>3.2250929234458861</v>
      </c>
      <c r="EK234" s="456">
        <f t="shared" si="703"/>
        <v>2.2109090909090912E-2</v>
      </c>
      <c r="EL234" s="456">
        <f t="shared" si="704"/>
        <v>2.2892426348936175</v>
      </c>
      <c r="EM234" s="456">
        <f t="shared" si="705"/>
        <v>2.9161102978723409E-2</v>
      </c>
      <c r="EN234" s="456">
        <f t="shared" si="706"/>
        <v>0.8065821110620599</v>
      </c>
      <c r="EO234">
        <f t="shared" si="707"/>
        <v>2.1600000000000001E-2</v>
      </c>
      <c r="EP234" s="144">
        <f t="shared" si="708"/>
        <v>50.761102978723407</v>
      </c>
      <c r="EQ234" s="144"/>
      <c r="ER234" s="144">
        <f t="shared" si="709"/>
        <v>3168.6949398434917</v>
      </c>
      <c r="ES234" s="456">
        <f t="shared" si="710"/>
        <v>0.504</v>
      </c>
      <c r="EV234" s="144">
        <f t="shared" si="711"/>
        <v>504</v>
      </c>
      <c r="EW234" s="456">
        <f t="shared" si="712"/>
        <v>2.5793939393939397E-2</v>
      </c>
      <c r="EX234" s="456">
        <f t="shared" si="713"/>
        <v>0.14561714110805024</v>
      </c>
      <c r="EY234" s="456">
        <f t="shared" si="714"/>
        <v>4.6294074828548668</v>
      </c>
      <c r="EZ234" s="456"/>
      <c r="FA234" s="456">
        <f t="shared" si="715"/>
        <v>0.93140425531914905</v>
      </c>
      <c r="FB234" s="144">
        <f t="shared" si="716"/>
        <v>5732.2228186760058</v>
      </c>
      <c r="FC234" s="150">
        <f t="shared" si="717"/>
        <v>9.4049177585194972</v>
      </c>
      <c r="FD234" s="5">
        <f t="shared" si="718"/>
        <v>21.599999999999998</v>
      </c>
      <c r="FE234" s="150">
        <f t="shared" si="719"/>
        <v>0.69666367665383577</v>
      </c>
      <c r="FF234" s="5">
        <f t="shared" si="720"/>
        <v>69.666367665383575</v>
      </c>
      <c r="FI234" s="59">
        <f t="shared" si="674"/>
        <v>-50</v>
      </c>
      <c r="FJ234">
        <f t="shared" si="675"/>
        <v>-50</v>
      </c>
      <c r="FL234">
        <f t="shared" si="676"/>
        <v>0.23760000000000001</v>
      </c>
    </row>
    <row r="235" spans="5:168">
      <c r="E235" s="147">
        <v>19</v>
      </c>
      <c r="F235" s="188">
        <f t="shared" si="677"/>
        <v>0.76</v>
      </c>
      <c r="G235" s="188"/>
      <c r="H235" s="188">
        <f t="shared" si="602"/>
        <v>22.8</v>
      </c>
      <c r="I235" s="465">
        <f t="shared" si="603"/>
        <v>47.921732178900704</v>
      </c>
      <c r="J235" s="149">
        <f t="shared" si="604"/>
        <v>30.44214421136116</v>
      </c>
      <c r="K235" s="149">
        <f t="shared" si="605"/>
        <v>78.363876390261865</v>
      </c>
      <c r="L235" s="379"/>
      <c r="M235" s="188">
        <f t="shared" si="606"/>
        <v>0.38847383335246438</v>
      </c>
      <c r="N235" s="149">
        <f t="shared" si="607"/>
        <v>284.91760712866062</v>
      </c>
      <c r="O235" s="149">
        <f t="shared" si="598"/>
        <v>22.8</v>
      </c>
      <c r="P235" s="188">
        <f t="shared" si="608"/>
        <v>9.4972535709553547</v>
      </c>
      <c r="Q235" s="188">
        <f t="shared" si="609"/>
        <v>30</v>
      </c>
      <c r="R235" s="188"/>
      <c r="S235" s="149">
        <f t="shared" si="610"/>
        <v>907.47681736420986</v>
      </c>
      <c r="T235" s="149">
        <f t="shared" si="611"/>
        <v>30</v>
      </c>
      <c r="U235" s="188">
        <f t="shared" si="612"/>
        <v>2.44946119636908</v>
      </c>
      <c r="V235" s="188">
        <f t="shared" si="613"/>
        <v>0.24023479743921819</v>
      </c>
      <c r="W235" s="188">
        <f t="shared" si="614"/>
        <v>0.3781753198133187</v>
      </c>
      <c r="X235" s="172">
        <f t="shared" si="615"/>
        <v>350</v>
      </c>
      <c r="Y235" s="379">
        <f t="shared" si="678"/>
        <v>350</v>
      </c>
      <c r="AA235" s="188">
        <f t="shared" si="616"/>
        <v>11.316859743736355</v>
      </c>
      <c r="AB235" s="150">
        <f t="shared" si="617"/>
        <v>1.7472238626249716</v>
      </c>
      <c r="AC235" s="150">
        <f t="shared" si="618"/>
        <v>3.460290293991314</v>
      </c>
      <c r="AD235" s="150"/>
      <c r="AE235" s="150">
        <f t="shared" si="619"/>
        <v>0.93570440659754173</v>
      </c>
      <c r="AF235" s="314">
        <f t="shared" si="620"/>
        <v>268.03336420309518</v>
      </c>
      <c r="AG235" s="456">
        <f t="shared" si="621"/>
        <v>0.99241376457315034</v>
      </c>
      <c r="AI235" s="150">
        <f t="shared" si="622"/>
        <v>5.3036696134424295</v>
      </c>
      <c r="AJ235" s="150">
        <f t="shared" si="623"/>
        <v>6.0606060606060606</v>
      </c>
      <c r="AK235" s="150">
        <f t="shared" si="624"/>
        <v>1.1531619224017686</v>
      </c>
      <c r="AM235" s="314">
        <f t="shared" si="625"/>
        <v>760</v>
      </c>
      <c r="AN235" s="144">
        <f t="shared" si="626"/>
        <v>268.03336420309518</v>
      </c>
      <c r="AP235">
        <f t="shared" si="627"/>
        <v>760</v>
      </c>
      <c r="AQ235">
        <f t="shared" si="628"/>
        <v>268.03336420309518</v>
      </c>
      <c r="AS235" s="5">
        <f t="shared" si="599"/>
        <v>3.7308788141847766</v>
      </c>
      <c r="AT235" s="5">
        <f t="shared" si="629"/>
        <v>0.59440356576655595</v>
      </c>
      <c r="AU235" s="5">
        <f t="shared" si="721"/>
        <v>3.1364752484182206</v>
      </c>
      <c r="AV235" s="5"/>
      <c r="AW235" s="150">
        <f t="shared" si="722"/>
        <v>0.15931998742672571</v>
      </c>
      <c r="AX235" s="150">
        <f t="shared" si="630"/>
        <v>23.136029600634476</v>
      </c>
      <c r="AY235" s="150">
        <f t="shared" si="631"/>
        <v>2.5475151896159827</v>
      </c>
      <c r="AZ235" s="150">
        <f t="shared" si="632"/>
        <v>9.0818024147373375</v>
      </c>
      <c r="BA235" s="144">
        <f t="shared" si="593"/>
        <v>1.5058223666086086</v>
      </c>
      <c r="BB235" s="5">
        <f t="shared" si="594"/>
        <v>0.87779940592652506</v>
      </c>
      <c r="BD235" s="150">
        <f t="shared" si="679"/>
        <v>1.3966595655956713</v>
      </c>
      <c r="BE235" s="150">
        <f t="shared" si="680"/>
        <v>3.2082691073404495</v>
      </c>
      <c r="BG235" s="456">
        <f t="shared" si="681"/>
        <v>2.3407895306038672E-2</v>
      </c>
      <c r="BH235" s="456">
        <f t="shared" si="633"/>
        <v>2.3231844541273476</v>
      </c>
      <c r="BI235" s="456">
        <f t="shared" si="682"/>
        <v>3.0823836883355948E-2</v>
      </c>
      <c r="BJ235" s="456">
        <f t="shared" si="683"/>
        <v>0.85178705055297055</v>
      </c>
      <c r="BK235">
        <f t="shared" si="684"/>
        <v>2.1564779480505315E-2</v>
      </c>
      <c r="BL235" s="144">
        <f t="shared" si="685"/>
        <v>52.38861636386126</v>
      </c>
      <c r="BM235" s="456">
        <f t="shared" si="634"/>
        <v>3.2226228445126628</v>
      </c>
      <c r="BN235" s="144">
        <f t="shared" si="686"/>
        <v>3222.6228445126626</v>
      </c>
      <c r="BO235" s="456">
        <f t="shared" si="635"/>
        <v>0.53199999999999992</v>
      </c>
      <c r="BR235" s="144">
        <f t="shared" si="687"/>
        <v>531.99999999999989</v>
      </c>
      <c r="BS235" s="456">
        <f t="shared" si="688"/>
        <v>2.7309211190378452E-2</v>
      </c>
      <c r="BT235" s="456">
        <f t="shared" si="689"/>
        <v>0.14410186931161117</v>
      </c>
      <c r="BU235" s="456">
        <f t="shared" si="690"/>
        <v>5.3178035221859528</v>
      </c>
      <c r="BV235" s="456"/>
      <c r="BW235" s="456">
        <f t="shared" si="691"/>
        <v>0.98451189789933946</v>
      </c>
      <c r="BX235" s="144">
        <f t="shared" si="692"/>
        <v>6473.7265005872823</v>
      </c>
      <c r="BY235" s="150">
        <f t="shared" si="693"/>
        <v>10.256494516937501</v>
      </c>
      <c r="BZ235" s="5">
        <f t="shared" si="694"/>
        <v>22.8</v>
      </c>
      <c r="CA235" s="150">
        <f t="shared" si="695"/>
        <v>0.68972830704470867</v>
      </c>
      <c r="CB235" s="5">
        <f t="shared" si="696"/>
        <v>68.972830704470866</v>
      </c>
      <c r="CE235" s="59">
        <f t="shared" si="636"/>
        <v>-50</v>
      </c>
      <c r="CF235">
        <f t="shared" si="637"/>
        <v>-50</v>
      </c>
      <c r="CG235" s="150">
        <f t="shared" si="638"/>
        <v>0.25246646351545388</v>
      </c>
      <c r="CI235" s="147">
        <v>19</v>
      </c>
      <c r="CJ235" s="188">
        <f t="shared" si="697"/>
        <v>0.76</v>
      </c>
      <c r="CK235" s="188"/>
      <c r="CL235" s="188">
        <f t="shared" si="639"/>
        <v>22.8</v>
      </c>
      <c r="CM235" s="465">
        <f t="shared" si="640"/>
        <v>48</v>
      </c>
      <c r="CN235" s="379">
        <f t="shared" si="641"/>
        <v>30.4</v>
      </c>
      <c r="CO235" s="379">
        <f t="shared" si="642"/>
        <v>78.400000000000006</v>
      </c>
      <c r="CP235" s="379"/>
      <c r="CQ235" s="188">
        <f t="shared" si="643"/>
        <v>0.38775510204081626</v>
      </c>
      <c r="CR235" s="149">
        <f t="shared" si="644"/>
        <v>284.85494809142222</v>
      </c>
      <c r="CS235" s="149">
        <f t="shared" si="645"/>
        <v>22.8</v>
      </c>
      <c r="CT235" s="188">
        <f t="shared" si="646"/>
        <v>9.4951649363807409</v>
      </c>
      <c r="CU235" s="188">
        <f t="shared" si="647"/>
        <v>30</v>
      </c>
      <c r="CV235" s="188"/>
      <c r="CW235" s="149">
        <f t="shared" si="648"/>
        <v>908.95891281863464</v>
      </c>
      <c r="CX235" s="149">
        <f t="shared" si="649"/>
        <v>30</v>
      </c>
      <c r="CY235" s="188">
        <f t="shared" si="650"/>
        <v>2.4500000000000006</v>
      </c>
      <c r="CZ235" s="188">
        <f t="shared" si="651"/>
        <v>0.23989583333333339</v>
      </c>
      <c r="DA235" s="188">
        <f t="shared" si="652"/>
        <v>0.37878289473684218</v>
      </c>
      <c r="DB235" s="172">
        <f t="shared" si="653"/>
        <v>350</v>
      </c>
      <c r="DC235" s="379">
        <f t="shared" si="654"/>
        <v>350</v>
      </c>
      <c r="DE235" s="188">
        <f t="shared" si="655"/>
        <v>11.314434588425037</v>
      </c>
      <c r="DF235" s="150">
        <f t="shared" si="656"/>
        <v>1.7492711370262393</v>
      </c>
      <c r="DG235" s="150">
        <f t="shared" si="657"/>
        <v>3.463602425028073</v>
      </c>
      <c r="DH235" s="150"/>
      <c r="DI235" s="150">
        <f t="shared" si="658"/>
        <v>0.93700159489633172</v>
      </c>
      <c r="DJ235" s="314">
        <f t="shared" si="659"/>
        <v>267.66229787234045</v>
      </c>
      <c r="DK235" s="456">
        <f t="shared" si="660"/>
        <v>0.99378957034459414</v>
      </c>
      <c r="DM235" s="150">
        <f t="shared" si="661"/>
        <v>5.2999971325334903</v>
      </c>
      <c r="DN235" s="150">
        <f t="shared" si="662"/>
        <v>6.0606060606060606</v>
      </c>
      <c r="DO235" s="150">
        <f t="shared" si="663"/>
        <v>1.1529498844984802</v>
      </c>
      <c r="DQ235" s="314">
        <f t="shared" si="664"/>
        <v>760</v>
      </c>
      <c r="DR235" s="144">
        <f t="shared" si="665"/>
        <v>267.66229787234045</v>
      </c>
      <c r="DT235">
        <f t="shared" si="666"/>
        <v>760</v>
      </c>
      <c r="DU235">
        <f t="shared" si="667"/>
        <v>267.66229787234045</v>
      </c>
      <c r="DW235" s="5">
        <f t="shared" si="668"/>
        <v>3.7360510163330609</v>
      </c>
      <c r="DX235" s="5">
        <f t="shared" si="669"/>
        <v>0.59343434343434343</v>
      </c>
      <c r="DY235" s="5">
        <f t="shared" si="670"/>
        <v>3.1426166728987175</v>
      </c>
      <c r="DZ235" s="5"/>
      <c r="EA235" s="150">
        <f t="shared" si="671"/>
        <v>0.15884000000000001</v>
      </c>
      <c r="EB235" s="150">
        <f t="shared" si="698"/>
        <v>23.103999999999999</v>
      </c>
      <c r="EC235" s="150">
        <f t="shared" si="699"/>
        <v>2.5489696969696971</v>
      </c>
      <c r="ED235" s="150">
        <f t="shared" si="700"/>
        <v>9.064054401065194</v>
      </c>
      <c r="EE235" s="144">
        <f t="shared" si="672"/>
        <v>1.5033670033670032</v>
      </c>
      <c r="EF235" s="5">
        <f t="shared" si="673"/>
        <v>0.87808407036875924</v>
      </c>
      <c r="EH235" s="150">
        <f t="shared" si="701"/>
        <v>1.3945541024933901</v>
      </c>
      <c r="EI235" s="150">
        <f t="shared" si="702"/>
        <v>3.2091848595093153</v>
      </c>
      <c r="EK235" s="456">
        <f t="shared" si="703"/>
        <v>2.3337373737373737E-2</v>
      </c>
      <c r="EL235" s="456">
        <f t="shared" si="704"/>
        <v>2.4164227812765962</v>
      </c>
      <c r="EM235" s="456">
        <f t="shared" si="705"/>
        <v>3.0781164255319154E-2</v>
      </c>
      <c r="EN235" s="456">
        <f t="shared" si="706"/>
        <v>0.85139222834328543</v>
      </c>
      <c r="EO235">
        <f t="shared" si="707"/>
        <v>2.1600000000000001E-2</v>
      </c>
      <c r="EP235" s="144">
        <f t="shared" si="708"/>
        <v>52.381164255319156</v>
      </c>
      <c r="EQ235" s="144"/>
      <c r="ER235" s="144">
        <f t="shared" si="709"/>
        <v>3343.5335476125742</v>
      </c>
      <c r="ES235" s="456">
        <f t="shared" si="710"/>
        <v>0.53199999999999992</v>
      </c>
      <c r="EV235" s="144">
        <f t="shared" si="711"/>
        <v>531.99999999999989</v>
      </c>
      <c r="EW235" s="456">
        <f t="shared" si="712"/>
        <v>2.7226936026936027E-2</v>
      </c>
      <c r="EX235" s="456">
        <f t="shared" si="713"/>
        <v>0.14418414447505354</v>
      </c>
      <c r="EY235" s="456">
        <f t="shared" si="714"/>
        <v>5.2994176630176586</v>
      </c>
      <c r="EZ235" s="456"/>
      <c r="FA235" s="456">
        <f t="shared" si="715"/>
        <v>0.98314893617021282</v>
      </c>
      <c r="FB235" s="144">
        <f t="shared" si="716"/>
        <v>6453.9776796898614</v>
      </c>
      <c r="FC235" s="150">
        <f t="shared" si="717"/>
        <v>10.329511227302437</v>
      </c>
      <c r="FD235" s="5">
        <f t="shared" si="718"/>
        <v>22.8</v>
      </c>
      <c r="FE235" s="150">
        <f t="shared" si="719"/>
        <v>0.68820816110351302</v>
      </c>
      <c r="FF235" s="5">
        <f t="shared" si="720"/>
        <v>68.820816110351302</v>
      </c>
      <c r="FI235" s="59">
        <f t="shared" si="674"/>
        <v>-50</v>
      </c>
      <c r="FJ235">
        <f t="shared" si="675"/>
        <v>-50</v>
      </c>
      <c r="FL235">
        <f t="shared" si="676"/>
        <v>0.25080000000000002</v>
      </c>
    </row>
    <row r="236" spans="5:168">
      <c r="E236" s="147">
        <v>20</v>
      </c>
      <c r="F236" s="188">
        <f t="shared" si="677"/>
        <v>0.8</v>
      </c>
      <c r="G236" s="188"/>
      <c r="H236" s="188">
        <f t="shared" si="602"/>
        <v>24</v>
      </c>
      <c r="I236" s="465">
        <f t="shared" si="603"/>
        <v>47.921732178900704</v>
      </c>
      <c r="J236" s="149">
        <f t="shared" si="604"/>
        <v>30.44214421136116</v>
      </c>
      <c r="K236" s="149">
        <f t="shared" si="605"/>
        <v>78.363876390261865</v>
      </c>
      <c r="L236" s="379"/>
      <c r="M236" s="188">
        <f t="shared" si="606"/>
        <v>0.38847383335246438</v>
      </c>
      <c r="N236" s="149">
        <f t="shared" si="607"/>
        <v>284.91760712866062</v>
      </c>
      <c r="O236" s="149">
        <f t="shared" si="598"/>
        <v>24</v>
      </c>
      <c r="P236" s="188">
        <f t="shared" si="608"/>
        <v>9.4972535709553547</v>
      </c>
      <c r="Q236" s="188">
        <f t="shared" si="609"/>
        <v>30</v>
      </c>
      <c r="R236" s="188"/>
      <c r="S236" s="149">
        <f t="shared" si="610"/>
        <v>859.70911816546084</v>
      </c>
      <c r="T236" s="149">
        <f t="shared" si="611"/>
        <v>30</v>
      </c>
      <c r="U236" s="188">
        <f t="shared" si="612"/>
        <v>2.5783802067042947</v>
      </c>
      <c r="V236" s="188">
        <f t="shared" si="613"/>
        <v>0.25287873414654549</v>
      </c>
      <c r="W236" s="188">
        <f t="shared" si="614"/>
        <v>0.39807928401401971</v>
      </c>
      <c r="X236" s="172">
        <f t="shared" si="615"/>
        <v>350</v>
      </c>
      <c r="Y236" s="379">
        <f t="shared" si="678"/>
        <v>350</v>
      </c>
      <c r="AA236" s="188">
        <f t="shared" si="616"/>
        <v>11.316859743736355</v>
      </c>
      <c r="AB236" s="150">
        <f t="shared" si="617"/>
        <v>1.7472238626249716</v>
      </c>
      <c r="AC236" s="150">
        <f t="shared" si="618"/>
        <v>3.460290293991314</v>
      </c>
      <c r="AD236" s="150"/>
      <c r="AE236" s="150">
        <f t="shared" si="619"/>
        <v>0.93570440659754173</v>
      </c>
      <c r="AF236" s="314">
        <f t="shared" si="620"/>
        <v>282.14038337167915</v>
      </c>
      <c r="AG236" s="456">
        <f t="shared" si="621"/>
        <v>0.99241376457315034</v>
      </c>
      <c r="AI236" s="150">
        <f t="shared" si="622"/>
        <v>5.4414502100037696</v>
      </c>
      <c r="AJ236" s="150">
        <f t="shared" si="623"/>
        <v>6.0606060606060606</v>
      </c>
      <c r="AK236" s="150">
        <f t="shared" si="624"/>
        <v>1.1612230762123881</v>
      </c>
      <c r="AM236" s="314">
        <f t="shared" si="625"/>
        <v>800</v>
      </c>
      <c r="AN236" s="144">
        <f t="shared" si="626"/>
        <v>282.14038337167915</v>
      </c>
      <c r="AP236">
        <f t="shared" si="627"/>
        <v>800</v>
      </c>
      <c r="AQ236">
        <f t="shared" si="628"/>
        <v>282.14038337167915</v>
      </c>
      <c r="AS236" s="5">
        <f t="shared" si="599"/>
        <v>3.5443348734755373</v>
      </c>
      <c r="AT236" s="5">
        <f t="shared" si="629"/>
        <v>0.59440356576655595</v>
      </c>
      <c r="AU236" s="5">
        <f t="shared" si="721"/>
        <v>2.9499313077089813</v>
      </c>
      <c r="AV236" s="5"/>
      <c r="AW236" s="150">
        <f t="shared" si="722"/>
        <v>0.1677052499228692</v>
      </c>
      <c r="AX236" s="150">
        <f t="shared" si="630"/>
        <v>24.353715369088921</v>
      </c>
      <c r="AY236" s="150">
        <f t="shared" si="631"/>
        <v>2.5221053032640328</v>
      </c>
      <c r="AZ236" s="150">
        <f t="shared" si="632"/>
        <v>9.6561056897866528</v>
      </c>
      <c r="BA236" s="144">
        <f t="shared" si="593"/>
        <v>1.5850761753774827</v>
      </c>
      <c r="BB236" s="5">
        <f t="shared" si="594"/>
        <v>0.8690439004695526</v>
      </c>
      <c r="BD236" s="150">
        <f t="shared" si="679"/>
        <v>1.4329424795338142</v>
      </c>
      <c r="BE236" s="150">
        <f t="shared" si="680"/>
        <v>3.1922287602288866</v>
      </c>
      <c r="BG236" s="456">
        <f t="shared" si="681"/>
        <v>2.4639889795830181E-2</v>
      </c>
      <c r="BH236" s="456">
        <f t="shared" si="633"/>
        <v>2.4454573201340506</v>
      </c>
      <c r="BI236" s="456">
        <f t="shared" si="682"/>
        <v>3.2446144087743108E-2</v>
      </c>
      <c r="BJ236" s="456">
        <f t="shared" si="683"/>
        <v>0.89661794795049543</v>
      </c>
      <c r="BK236">
        <f t="shared" si="684"/>
        <v>2.1564779480505315E-2</v>
      </c>
      <c r="BL236" s="144">
        <f t="shared" si="685"/>
        <v>54.010923568248423</v>
      </c>
      <c r="BM236" s="456">
        <f t="shared" si="634"/>
        <v>3.3932334020711168</v>
      </c>
      <c r="BN236" s="144">
        <f t="shared" si="686"/>
        <v>3393.2334020711169</v>
      </c>
      <c r="BO236" s="456">
        <f t="shared" si="635"/>
        <v>0.55999999999999994</v>
      </c>
      <c r="BR236" s="144">
        <f t="shared" si="687"/>
        <v>559.99999999999989</v>
      </c>
      <c r="BS236" s="456">
        <f t="shared" si="688"/>
        <v>2.8746538095135214E-2</v>
      </c>
      <c r="BT236" s="456">
        <f t="shared" si="689"/>
        <v>0.14266454240685436</v>
      </c>
      <c r="BU236" s="456">
        <f t="shared" si="690"/>
        <v>6.0453753954625622</v>
      </c>
      <c r="BV236" s="456"/>
      <c r="BW236" s="456">
        <f t="shared" si="691"/>
        <v>1.0363283135782522</v>
      </c>
      <c r="BX236" s="144">
        <f t="shared" si="692"/>
        <v>7253.1147895428048</v>
      </c>
      <c r="BY236" s="150">
        <f t="shared" si="693"/>
        <v>11.233840870991429</v>
      </c>
      <c r="BZ236" s="5">
        <f t="shared" si="694"/>
        <v>24</v>
      </c>
      <c r="CA236" s="150">
        <f t="shared" si="695"/>
        <v>0.68116331931780882</v>
      </c>
      <c r="CB236" s="5">
        <f t="shared" si="696"/>
        <v>68.116331931780877</v>
      </c>
      <c r="CE236" s="59">
        <f t="shared" si="636"/>
        <v>-50</v>
      </c>
      <c r="CF236">
        <f t="shared" si="637"/>
        <v>-50</v>
      </c>
      <c r="CG236" s="150">
        <f t="shared" si="638"/>
        <v>0.26575417212153041</v>
      </c>
      <c r="CI236" s="147">
        <v>20</v>
      </c>
      <c r="CJ236" s="188">
        <f t="shared" si="697"/>
        <v>0.8</v>
      </c>
      <c r="CK236" s="188"/>
      <c r="CL236" s="188">
        <f t="shared" si="639"/>
        <v>24</v>
      </c>
      <c r="CM236" s="465">
        <f t="shared" si="640"/>
        <v>48</v>
      </c>
      <c r="CN236" s="379">
        <f t="shared" si="641"/>
        <v>30.4</v>
      </c>
      <c r="CO236" s="379">
        <f t="shared" si="642"/>
        <v>78.400000000000006</v>
      </c>
      <c r="CP236" s="379"/>
      <c r="CQ236" s="188">
        <f t="shared" si="643"/>
        <v>0.38775510204081626</v>
      </c>
      <c r="CR236" s="149">
        <f t="shared" si="644"/>
        <v>284.85494809142222</v>
      </c>
      <c r="CS236" s="149">
        <f t="shared" si="645"/>
        <v>24</v>
      </c>
      <c r="CT236" s="188">
        <f t="shared" si="646"/>
        <v>9.4951649363807409</v>
      </c>
      <c r="CU236" s="188">
        <f t="shared" si="647"/>
        <v>30</v>
      </c>
      <c r="CV236" s="188"/>
      <c r="CW236" s="149">
        <f t="shared" si="648"/>
        <v>861.11319545878041</v>
      </c>
      <c r="CX236" s="149">
        <f t="shared" si="649"/>
        <v>30</v>
      </c>
      <c r="CY236" s="188">
        <f t="shared" si="650"/>
        <v>2.5789473684210531</v>
      </c>
      <c r="CZ236" s="188">
        <f t="shared" si="651"/>
        <v>0.25252192982456145</v>
      </c>
      <c r="DA236" s="188">
        <f t="shared" si="652"/>
        <v>0.39871883656509705</v>
      </c>
      <c r="DB236" s="172">
        <f t="shared" si="653"/>
        <v>350</v>
      </c>
      <c r="DC236" s="379">
        <f t="shared" si="654"/>
        <v>350</v>
      </c>
      <c r="DE236" s="188">
        <f t="shared" si="655"/>
        <v>11.314434588425037</v>
      </c>
      <c r="DF236" s="150">
        <f t="shared" si="656"/>
        <v>1.7492711370262393</v>
      </c>
      <c r="DG236" s="150">
        <f t="shared" si="657"/>
        <v>3.463602425028073</v>
      </c>
      <c r="DH236" s="150"/>
      <c r="DI236" s="150">
        <f t="shared" si="658"/>
        <v>0.93700159489633172</v>
      </c>
      <c r="DJ236" s="314">
        <f t="shared" si="659"/>
        <v>281.74978723404257</v>
      </c>
      <c r="DK236" s="456">
        <f t="shared" si="660"/>
        <v>0.99378957034459414</v>
      </c>
      <c r="DM236" s="150">
        <f t="shared" si="661"/>
        <v>5.4376823240927523</v>
      </c>
      <c r="DN236" s="150">
        <f t="shared" si="662"/>
        <v>6.0606060606060606</v>
      </c>
      <c r="DO236" s="150">
        <f t="shared" si="663"/>
        <v>1.1609998784194528</v>
      </c>
      <c r="DQ236" s="314">
        <f t="shared" si="664"/>
        <v>800</v>
      </c>
      <c r="DR236" s="144">
        <f t="shared" si="665"/>
        <v>281.74978723404257</v>
      </c>
      <c r="DT236">
        <f t="shared" si="666"/>
        <v>800</v>
      </c>
      <c r="DU236">
        <f t="shared" si="667"/>
        <v>281.74978723404257</v>
      </c>
      <c r="DW236" s="5">
        <f t="shared" si="668"/>
        <v>3.549248465516408</v>
      </c>
      <c r="DX236" s="5">
        <f t="shared" si="669"/>
        <v>0.59343434343434343</v>
      </c>
      <c r="DY236" s="5">
        <f t="shared" si="670"/>
        <v>2.9558141220820646</v>
      </c>
      <c r="DZ236" s="5"/>
      <c r="EA236" s="150">
        <f t="shared" si="671"/>
        <v>0.16719999999999999</v>
      </c>
      <c r="EB236" s="150">
        <f t="shared" si="698"/>
        <v>24.319999999999997</v>
      </c>
      <c r="EC236" s="150">
        <f t="shared" si="699"/>
        <v>2.5236363636363635</v>
      </c>
      <c r="ED236" s="150">
        <f t="shared" si="700"/>
        <v>9.6368876080691628</v>
      </c>
      <c r="EE236" s="144">
        <f t="shared" si="672"/>
        <v>1.5824915824915824</v>
      </c>
      <c r="EF236" s="5">
        <f t="shared" si="673"/>
        <v>0.86935709473001888</v>
      </c>
      <c r="EH236" s="150">
        <f t="shared" si="701"/>
        <v>1.4307823199697594</v>
      </c>
      <c r="EI236" s="150">
        <f t="shared" si="702"/>
        <v>3.193197544804725</v>
      </c>
      <c r="EK236" s="456">
        <f t="shared" si="703"/>
        <v>2.4565656565656561E-2</v>
      </c>
      <c r="EL236" s="456">
        <f t="shared" si="704"/>
        <v>2.5436029276595753</v>
      </c>
      <c r="EM236" s="456">
        <f t="shared" si="705"/>
        <v>3.24012255319149E-2</v>
      </c>
      <c r="EN236" s="456">
        <f t="shared" si="706"/>
        <v>0.89620234562451095</v>
      </c>
      <c r="EO236">
        <f t="shared" si="707"/>
        <v>2.1600000000000001E-2</v>
      </c>
      <c r="EP236" s="144">
        <f t="shared" si="708"/>
        <v>54.001225531914898</v>
      </c>
      <c r="EQ236" s="144"/>
      <c r="ER236" s="144">
        <f t="shared" si="709"/>
        <v>3518.3721553816576</v>
      </c>
      <c r="ES236" s="456">
        <f t="shared" si="710"/>
        <v>0.55999999999999994</v>
      </c>
      <c r="EV236" s="144">
        <f t="shared" si="711"/>
        <v>559.99999999999989</v>
      </c>
      <c r="EW236" s="456">
        <f t="shared" si="712"/>
        <v>2.8659932659932653E-2</v>
      </c>
      <c r="EX236" s="456">
        <f t="shared" si="713"/>
        <v>0.14275114784205692</v>
      </c>
      <c r="EY236" s="456">
        <f t="shared" si="714"/>
        <v>6.0244740176330263</v>
      </c>
      <c r="EZ236" s="456"/>
      <c r="FA236" s="456">
        <f t="shared" si="715"/>
        <v>1.0348936170212768</v>
      </c>
      <c r="FB236" s="144">
        <f t="shared" si="716"/>
        <v>7230.7787151562934</v>
      </c>
      <c r="FC236" s="150">
        <f t="shared" si="717"/>
        <v>11.30915087053795</v>
      </c>
      <c r="FD236" s="5">
        <f t="shared" si="718"/>
        <v>24</v>
      </c>
      <c r="FE236" s="150">
        <f t="shared" si="719"/>
        <v>0.67971048321146876</v>
      </c>
      <c r="FF236" s="5">
        <f t="shared" si="720"/>
        <v>67.971048321146881</v>
      </c>
      <c r="FI236" s="59">
        <f t="shared" si="674"/>
        <v>-50</v>
      </c>
      <c r="FJ236">
        <f t="shared" si="675"/>
        <v>-50</v>
      </c>
      <c r="FL236">
        <f t="shared" si="676"/>
        <v>0.26400000000000001</v>
      </c>
    </row>
    <row r="237" spans="5:168">
      <c r="E237" s="147">
        <v>21</v>
      </c>
      <c r="F237" s="188">
        <f t="shared" si="677"/>
        <v>0.84</v>
      </c>
      <c r="G237" s="188"/>
      <c r="H237" s="188">
        <f t="shared" si="602"/>
        <v>25.2</v>
      </c>
      <c r="I237" s="465">
        <f t="shared" si="603"/>
        <v>47.921732178900704</v>
      </c>
      <c r="J237" s="149">
        <f t="shared" si="604"/>
        <v>30.44214421136116</v>
      </c>
      <c r="K237" s="149">
        <f t="shared" si="605"/>
        <v>78.363876390261865</v>
      </c>
      <c r="L237" s="379"/>
      <c r="M237" s="188">
        <f t="shared" si="606"/>
        <v>0.38847383335246438</v>
      </c>
      <c r="N237" s="149">
        <f t="shared" si="607"/>
        <v>284.91760712866062</v>
      </c>
      <c r="O237" s="149">
        <f t="shared" si="598"/>
        <v>25.2</v>
      </c>
      <c r="P237" s="188">
        <f t="shared" si="608"/>
        <v>9.4972535709553547</v>
      </c>
      <c r="Q237" s="188">
        <f t="shared" si="609"/>
        <v>30</v>
      </c>
      <c r="R237" s="188"/>
      <c r="S237" s="149">
        <f t="shared" si="610"/>
        <v>816.49084181468766</v>
      </c>
      <c r="T237" s="149">
        <f t="shared" si="611"/>
        <v>30</v>
      </c>
      <c r="U237" s="188">
        <f t="shared" si="612"/>
        <v>2.7072992170395094</v>
      </c>
      <c r="V237" s="188">
        <f t="shared" si="613"/>
        <v>0.26552267085387277</v>
      </c>
      <c r="W237" s="188">
        <f t="shared" si="614"/>
        <v>0.41798324821472066</v>
      </c>
      <c r="X237" s="172">
        <f t="shared" si="615"/>
        <v>350</v>
      </c>
      <c r="Y237" s="379">
        <f t="shared" si="678"/>
        <v>350</v>
      </c>
      <c r="AA237" s="188">
        <f t="shared" si="616"/>
        <v>11.316859743736355</v>
      </c>
      <c r="AB237" s="150">
        <f t="shared" si="617"/>
        <v>1.7472238626249716</v>
      </c>
      <c r="AC237" s="150">
        <f t="shared" si="618"/>
        <v>3.460290293991314</v>
      </c>
      <c r="AD237" s="150"/>
      <c r="AE237" s="150">
        <f t="shared" si="619"/>
        <v>0.93570440659754173</v>
      </c>
      <c r="AF237" s="314">
        <f t="shared" si="620"/>
        <v>296.24740254026312</v>
      </c>
      <c r="AG237" s="456">
        <f t="shared" si="621"/>
        <v>0.99241376457315034</v>
      </c>
      <c r="AI237" s="150">
        <f t="shared" si="622"/>
        <v>5.5758272397329147</v>
      </c>
      <c r="AJ237" s="150">
        <f t="shared" si="623"/>
        <v>6.0606060606060606</v>
      </c>
      <c r="AK237" s="150">
        <f t="shared" si="624"/>
        <v>1.1692842300230075</v>
      </c>
      <c r="AM237" s="314">
        <f t="shared" si="625"/>
        <v>840</v>
      </c>
      <c r="AN237" s="144">
        <f t="shared" si="626"/>
        <v>296.24740254026312</v>
      </c>
      <c r="AP237">
        <f t="shared" si="627"/>
        <v>840</v>
      </c>
      <c r="AQ237">
        <f t="shared" si="628"/>
        <v>296.24740254026312</v>
      </c>
      <c r="AS237" s="5">
        <f t="shared" si="599"/>
        <v>3.3755570223576541</v>
      </c>
      <c r="AT237" s="5">
        <f t="shared" si="629"/>
        <v>0.59440356576655595</v>
      </c>
      <c r="AU237" s="5">
        <f t="shared" si="721"/>
        <v>2.781153456591098</v>
      </c>
      <c r="AV237" s="5"/>
      <c r="AW237" s="150">
        <f t="shared" si="722"/>
        <v>0.17609051241901269</v>
      </c>
      <c r="AX237" s="150">
        <f t="shared" si="630"/>
        <v>25.571401137543369</v>
      </c>
      <c r="AY237" s="150">
        <f t="shared" si="631"/>
        <v>2.496695416912083</v>
      </c>
      <c r="AZ237" s="150">
        <f t="shared" si="632"/>
        <v>10.24209880161118</v>
      </c>
      <c r="BA237" s="144">
        <f t="shared" si="593"/>
        <v>1.6643299841463566</v>
      </c>
      <c r="BB237" s="5">
        <f t="shared" si="594"/>
        <v>0.86028839501258036</v>
      </c>
      <c r="BD237" s="150">
        <f t="shared" si="679"/>
        <v>1.4683291038235065</v>
      </c>
      <c r="BE237" s="150">
        <f t="shared" si="680"/>
        <v>3.1761074053233513</v>
      </c>
      <c r="BG237" s="456">
        <f t="shared" si="681"/>
        <v>2.5871884285621698E-2</v>
      </c>
      <c r="BH237" s="456">
        <f t="shared" si="633"/>
        <v>2.5677301861407535</v>
      </c>
      <c r="BI237" s="456">
        <f t="shared" si="682"/>
        <v>3.4068451292130257E-2</v>
      </c>
      <c r="BJ237" s="456">
        <f t="shared" si="683"/>
        <v>0.9414488453480202</v>
      </c>
      <c r="BK237">
        <f t="shared" si="684"/>
        <v>2.1564779480505315E-2</v>
      </c>
      <c r="BL237" s="144">
        <f t="shared" si="685"/>
        <v>55.633230772635571</v>
      </c>
      <c r="BM237" s="456">
        <f t="shared" si="634"/>
        <v>3.5639444603133135</v>
      </c>
      <c r="BN237" s="144">
        <f t="shared" si="686"/>
        <v>3563.9444603133134</v>
      </c>
      <c r="BO237" s="456">
        <f t="shared" si="635"/>
        <v>0.58799999999999997</v>
      </c>
      <c r="BR237" s="144">
        <f t="shared" si="687"/>
        <v>588</v>
      </c>
      <c r="BS237" s="456">
        <f t="shared" si="688"/>
        <v>3.0183864999891983E-2</v>
      </c>
      <c r="BT237" s="456">
        <f t="shared" si="689"/>
        <v>0.14122721550209763</v>
      </c>
      <c r="BU237" s="456">
        <f t="shared" si="690"/>
        <v>6.8296197103050895</v>
      </c>
      <c r="BV237" s="456"/>
      <c r="BW237" s="456">
        <f t="shared" si="691"/>
        <v>1.0881447292571649</v>
      </c>
      <c r="BX237" s="144">
        <f t="shared" si="692"/>
        <v>8089.1755200642447</v>
      </c>
      <c r="BY237" s="150">
        <f t="shared" si="693"/>
        <v>12.267859666611274</v>
      </c>
      <c r="BZ237" s="5">
        <f t="shared" si="694"/>
        <v>25.2</v>
      </c>
      <c r="CA237" s="150">
        <f t="shared" si="695"/>
        <v>0.67257644883453194</v>
      </c>
      <c r="CB237" s="5">
        <f t="shared" si="696"/>
        <v>67.257644883453196</v>
      </c>
      <c r="CE237" s="59">
        <f t="shared" si="636"/>
        <v>-50</v>
      </c>
      <c r="CF237">
        <f t="shared" si="637"/>
        <v>-50</v>
      </c>
      <c r="CG237" s="150">
        <f t="shared" si="638"/>
        <v>0.27904188072760688</v>
      </c>
      <c r="CI237" s="147">
        <v>21</v>
      </c>
      <c r="CJ237" s="188">
        <f t="shared" si="697"/>
        <v>0.84</v>
      </c>
      <c r="CK237" s="188"/>
      <c r="CL237" s="188">
        <f t="shared" si="639"/>
        <v>25.2</v>
      </c>
      <c r="CM237" s="465">
        <f t="shared" si="640"/>
        <v>48</v>
      </c>
      <c r="CN237" s="379">
        <f t="shared" si="641"/>
        <v>30.4</v>
      </c>
      <c r="CO237" s="379">
        <f t="shared" si="642"/>
        <v>78.400000000000006</v>
      </c>
      <c r="CP237" s="379"/>
      <c r="CQ237" s="188">
        <f t="shared" si="643"/>
        <v>0.38775510204081626</v>
      </c>
      <c r="CR237" s="149">
        <f t="shared" si="644"/>
        <v>284.85494809142222</v>
      </c>
      <c r="CS237" s="149">
        <f t="shared" si="645"/>
        <v>25.2</v>
      </c>
      <c r="CT237" s="188">
        <f t="shared" si="646"/>
        <v>9.4951649363807409</v>
      </c>
      <c r="CU237" s="188">
        <f t="shared" si="647"/>
        <v>30</v>
      </c>
      <c r="CV237" s="188"/>
      <c r="CW237" s="149">
        <f t="shared" si="648"/>
        <v>817.82433124825798</v>
      </c>
      <c r="CX237" s="149">
        <f t="shared" si="649"/>
        <v>30</v>
      </c>
      <c r="CY237" s="188">
        <f t="shared" si="650"/>
        <v>2.707894736842106</v>
      </c>
      <c r="CZ237" s="188">
        <f t="shared" si="651"/>
        <v>0.26514802631578954</v>
      </c>
      <c r="DA237" s="188">
        <f t="shared" si="652"/>
        <v>0.41865477839335191</v>
      </c>
      <c r="DB237" s="172">
        <f t="shared" si="653"/>
        <v>350</v>
      </c>
      <c r="DC237" s="379">
        <f t="shared" si="654"/>
        <v>350</v>
      </c>
      <c r="DE237" s="188">
        <f t="shared" si="655"/>
        <v>11.314434588425037</v>
      </c>
      <c r="DF237" s="150">
        <f t="shared" si="656"/>
        <v>1.7492711370262393</v>
      </c>
      <c r="DG237" s="150">
        <f t="shared" si="657"/>
        <v>3.463602425028073</v>
      </c>
      <c r="DH237" s="150"/>
      <c r="DI237" s="150">
        <f t="shared" si="658"/>
        <v>0.93700159489633172</v>
      </c>
      <c r="DJ237" s="314">
        <f t="shared" si="659"/>
        <v>295.83727659574464</v>
      </c>
      <c r="DK237" s="456">
        <f t="shared" si="660"/>
        <v>0.99378957034459414</v>
      </c>
      <c r="DM237" s="150">
        <f t="shared" si="661"/>
        <v>5.5719663055907196</v>
      </c>
      <c r="DN237" s="150">
        <f t="shared" si="662"/>
        <v>6.0606060606060606</v>
      </c>
      <c r="DO237" s="150">
        <f t="shared" si="663"/>
        <v>1.1690498723404255</v>
      </c>
      <c r="DQ237" s="314">
        <f t="shared" si="664"/>
        <v>840</v>
      </c>
      <c r="DR237" s="144">
        <f t="shared" si="665"/>
        <v>295.83727659574464</v>
      </c>
      <c r="DT237">
        <f t="shared" si="666"/>
        <v>840</v>
      </c>
      <c r="DU237">
        <f t="shared" si="667"/>
        <v>295.83727659574464</v>
      </c>
      <c r="DW237" s="5">
        <f t="shared" si="668"/>
        <v>3.380236633825151</v>
      </c>
      <c r="DX237" s="5">
        <f t="shared" si="669"/>
        <v>0.59343434343434343</v>
      </c>
      <c r="DY237" s="5">
        <f t="shared" si="670"/>
        <v>2.7868022903908076</v>
      </c>
      <c r="DZ237" s="5"/>
      <c r="EA237" s="150">
        <f t="shared" si="671"/>
        <v>0.17555999999999997</v>
      </c>
      <c r="EB237" s="150">
        <f t="shared" si="698"/>
        <v>25.535999999999994</v>
      </c>
      <c r="EC237" s="150">
        <f t="shared" si="699"/>
        <v>2.4983030303030302</v>
      </c>
      <c r="ED237" s="150">
        <f t="shared" si="700"/>
        <v>10.221338120421132</v>
      </c>
      <c r="EE237" s="144">
        <f t="shared" si="672"/>
        <v>1.6616161616161615</v>
      </c>
      <c r="EF237" s="5">
        <f t="shared" si="673"/>
        <v>0.86063011909127873</v>
      </c>
      <c r="EH237" s="150">
        <f t="shared" si="701"/>
        <v>1.4661155989535577</v>
      </c>
      <c r="EI237" s="150">
        <f t="shared" si="702"/>
        <v>3.1771297829629215</v>
      </c>
      <c r="EK237" s="456">
        <f t="shared" si="703"/>
        <v>2.579393939393939E-2</v>
      </c>
      <c r="EL237" s="456">
        <f t="shared" si="704"/>
        <v>2.6707830740425531</v>
      </c>
      <c r="EM237" s="456">
        <f t="shared" si="705"/>
        <v>3.4021286808510638E-2</v>
      </c>
      <c r="EN237" s="456">
        <f t="shared" si="706"/>
        <v>0.94101246290573626</v>
      </c>
      <c r="EO237">
        <f t="shared" si="707"/>
        <v>2.1600000000000001E-2</v>
      </c>
      <c r="EP237" s="144">
        <f t="shared" si="708"/>
        <v>55.621286808510639</v>
      </c>
      <c r="EQ237" s="144"/>
      <c r="ER237" s="144">
        <f t="shared" si="709"/>
        <v>3693.2107631507392</v>
      </c>
      <c r="ES237" s="456">
        <f t="shared" si="710"/>
        <v>0.58799999999999997</v>
      </c>
      <c r="EV237" s="144">
        <f t="shared" si="711"/>
        <v>588</v>
      </c>
      <c r="EW237" s="456">
        <f t="shared" si="712"/>
        <v>3.0092929292929289E-2</v>
      </c>
      <c r="EX237" s="456">
        <f t="shared" si="713"/>
        <v>0.14131815120906027</v>
      </c>
      <c r="EY237" s="456">
        <f t="shared" si="714"/>
        <v>6.806006873606103</v>
      </c>
      <c r="EZ237" s="456"/>
      <c r="FA237" s="456">
        <f t="shared" si="715"/>
        <v>1.0866382978723403</v>
      </c>
      <c r="FB237" s="144">
        <f t="shared" si="716"/>
        <v>8064.0562519804334</v>
      </c>
      <c r="FC237" s="150">
        <f t="shared" si="717"/>
        <v>12.345267015131173</v>
      </c>
      <c r="FD237" s="5">
        <f t="shared" si="718"/>
        <v>25.2</v>
      </c>
      <c r="FE237" s="150">
        <f t="shared" si="719"/>
        <v>0.67118979310612203</v>
      </c>
      <c r="FF237" s="5">
        <f t="shared" si="720"/>
        <v>67.118979310612204</v>
      </c>
      <c r="FI237" s="59">
        <f t="shared" si="674"/>
        <v>-50</v>
      </c>
      <c r="FJ237">
        <f t="shared" si="675"/>
        <v>-50</v>
      </c>
      <c r="FL237">
        <f t="shared" si="676"/>
        <v>0.27719999999999995</v>
      </c>
    </row>
    <row r="238" spans="5:168">
      <c r="E238" s="147">
        <v>22</v>
      </c>
      <c r="F238" s="188">
        <f t="shared" si="677"/>
        <v>0.88</v>
      </c>
      <c r="G238" s="188"/>
      <c r="H238" s="188">
        <f t="shared" si="602"/>
        <v>26.4</v>
      </c>
      <c r="I238" s="465">
        <f t="shared" si="603"/>
        <v>47.921732178900704</v>
      </c>
      <c r="J238" s="149">
        <f t="shared" si="604"/>
        <v>30.44214421136116</v>
      </c>
      <c r="K238" s="149">
        <f t="shared" si="605"/>
        <v>78.363876390261865</v>
      </c>
      <c r="L238" s="379"/>
      <c r="M238" s="188">
        <f t="shared" si="606"/>
        <v>0.38847383335246438</v>
      </c>
      <c r="N238" s="149">
        <f t="shared" si="607"/>
        <v>284.91760712866062</v>
      </c>
      <c r="O238" s="149">
        <f t="shared" si="598"/>
        <v>26.4</v>
      </c>
      <c r="P238" s="188">
        <f t="shared" si="608"/>
        <v>9.4972535709553547</v>
      </c>
      <c r="Q238" s="188">
        <f t="shared" si="609"/>
        <v>30</v>
      </c>
      <c r="R238" s="188"/>
      <c r="S238" s="149">
        <f t="shared" si="610"/>
        <v>777.20161340705317</v>
      </c>
      <c r="T238" s="149">
        <f t="shared" si="611"/>
        <v>30</v>
      </c>
      <c r="U238" s="188">
        <f t="shared" si="612"/>
        <v>2.8362182273747241</v>
      </c>
      <c r="V238" s="188">
        <f t="shared" si="613"/>
        <v>0.27816660756120004</v>
      </c>
      <c r="W238" s="188">
        <f t="shared" si="614"/>
        <v>0.43788721241542167</v>
      </c>
      <c r="X238" s="172">
        <f t="shared" si="615"/>
        <v>350</v>
      </c>
      <c r="Y238" s="379">
        <f t="shared" si="678"/>
        <v>350</v>
      </c>
      <c r="AA238" s="188">
        <f t="shared" si="616"/>
        <v>11.316859743736355</v>
      </c>
      <c r="AB238" s="150">
        <f t="shared" si="617"/>
        <v>1.7472238626249716</v>
      </c>
      <c r="AC238" s="150">
        <f t="shared" si="618"/>
        <v>3.460290293991314</v>
      </c>
      <c r="AD238" s="150"/>
      <c r="AE238" s="150">
        <f t="shared" si="619"/>
        <v>0.93570440659754173</v>
      </c>
      <c r="AF238" s="314">
        <f t="shared" si="620"/>
        <v>310.3544217088471</v>
      </c>
      <c r="AG238" s="456">
        <f t="shared" si="621"/>
        <v>0.99241376457315034</v>
      </c>
      <c r="AI238" s="150">
        <f t="shared" si="622"/>
        <v>5.7070411271292825</v>
      </c>
      <c r="AJ238" s="150">
        <f t="shared" si="623"/>
        <v>6.0606060606060606</v>
      </c>
      <c r="AK238" s="150">
        <f t="shared" si="624"/>
        <v>1.177345383833627</v>
      </c>
      <c r="AM238" s="314">
        <f t="shared" si="625"/>
        <v>880</v>
      </c>
      <c r="AN238" s="144">
        <f t="shared" si="626"/>
        <v>310.3544217088471</v>
      </c>
      <c r="AP238">
        <f t="shared" si="627"/>
        <v>880</v>
      </c>
      <c r="AQ238">
        <f t="shared" si="628"/>
        <v>310.3544217088471</v>
      </c>
      <c r="AS238" s="5">
        <f t="shared" si="599"/>
        <v>3.2221226122504882</v>
      </c>
      <c r="AT238" s="5">
        <f t="shared" si="629"/>
        <v>0.59440356576655595</v>
      </c>
      <c r="AU238" s="5">
        <f t="shared" si="721"/>
        <v>2.6277190464839322</v>
      </c>
      <c r="AV238" s="5"/>
      <c r="AW238" s="150">
        <f t="shared" si="722"/>
        <v>0.18447577491515613</v>
      </c>
      <c r="AX238" s="150">
        <f t="shared" si="630"/>
        <v>26.789086905997817</v>
      </c>
      <c r="AY238" s="150">
        <f t="shared" si="631"/>
        <v>2.4712855305601331</v>
      </c>
      <c r="AZ238" s="150">
        <f t="shared" si="632"/>
        <v>10.840142336739978</v>
      </c>
      <c r="BA238" s="144">
        <f t="shared" si="593"/>
        <v>1.7435837929152309</v>
      </c>
      <c r="BB238" s="5">
        <f t="shared" si="594"/>
        <v>0.85153288955560824</v>
      </c>
      <c r="BD238" s="150">
        <f t="shared" si="679"/>
        <v>1.5028827514539407</v>
      </c>
      <c r="BE238" s="150">
        <f t="shared" si="680"/>
        <v>3.1599038027552684</v>
      </c>
      <c r="BG238" s="456">
        <f t="shared" si="681"/>
        <v>2.7103878775413211E-2</v>
      </c>
      <c r="BH238" s="456">
        <f t="shared" si="633"/>
        <v>2.6900030521474561</v>
      </c>
      <c r="BI238" s="456">
        <f t="shared" si="682"/>
        <v>3.569075849651742E-2</v>
      </c>
      <c r="BJ238" s="456">
        <f t="shared" si="683"/>
        <v>0.98627974274554508</v>
      </c>
      <c r="BK238">
        <f t="shared" si="684"/>
        <v>2.1564779480505315E-2</v>
      </c>
      <c r="BL238" s="144">
        <f t="shared" si="685"/>
        <v>57.255537977022733</v>
      </c>
      <c r="BM238" s="456">
        <f t="shared" si="634"/>
        <v>3.7347561080675464</v>
      </c>
      <c r="BN238" s="144">
        <f t="shared" si="686"/>
        <v>3734.7561080675464</v>
      </c>
      <c r="BO238" s="456">
        <f t="shared" si="635"/>
        <v>0.61599999999999999</v>
      </c>
      <c r="BR238" s="144">
        <f t="shared" si="687"/>
        <v>616</v>
      </c>
      <c r="BS238" s="456">
        <f t="shared" si="688"/>
        <v>3.1621191904648745E-2</v>
      </c>
      <c r="BT238" s="456">
        <f t="shared" si="689"/>
        <v>0.1397898885973409</v>
      </c>
      <c r="BU238" s="456">
        <f t="shared" si="690"/>
        <v>7.6719362783782445</v>
      </c>
      <c r="BV238" s="456"/>
      <c r="BW238" s="456">
        <f t="shared" si="691"/>
        <v>1.1399611449360776</v>
      </c>
      <c r="BX238" s="144">
        <f t="shared" si="692"/>
        <v>8983.3085038163117</v>
      </c>
      <c r="BY238" s="150">
        <f t="shared" si="693"/>
        <v>13.359950715461748</v>
      </c>
      <c r="BZ238" s="5">
        <f t="shared" si="694"/>
        <v>26.4</v>
      </c>
      <c r="CA238" s="150">
        <f t="shared" si="695"/>
        <v>0.66398472646329598</v>
      </c>
      <c r="CB238" s="5">
        <f t="shared" si="696"/>
        <v>66.398472646329594</v>
      </c>
      <c r="CE238" s="59">
        <f t="shared" si="636"/>
        <v>-50</v>
      </c>
      <c r="CF238">
        <f t="shared" si="637"/>
        <v>-50</v>
      </c>
      <c r="CG238" s="150">
        <f t="shared" si="638"/>
        <v>0.29232958933368347</v>
      </c>
      <c r="CI238" s="147">
        <v>22</v>
      </c>
      <c r="CJ238" s="188">
        <f t="shared" si="697"/>
        <v>0.88</v>
      </c>
      <c r="CK238" s="188"/>
      <c r="CL238" s="188">
        <f t="shared" si="639"/>
        <v>26.4</v>
      </c>
      <c r="CM238" s="465">
        <f t="shared" si="640"/>
        <v>48</v>
      </c>
      <c r="CN238" s="379">
        <f t="shared" si="641"/>
        <v>30.4</v>
      </c>
      <c r="CO238" s="379">
        <f t="shared" si="642"/>
        <v>78.400000000000006</v>
      </c>
      <c r="CP238" s="379"/>
      <c r="CQ238" s="188">
        <f t="shared" si="643"/>
        <v>0.38775510204081626</v>
      </c>
      <c r="CR238" s="149">
        <f t="shared" si="644"/>
        <v>284.85494809142222</v>
      </c>
      <c r="CS238" s="149">
        <f t="shared" si="645"/>
        <v>26.4</v>
      </c>
      <c r="CT238" s="188">
        <f t="shared" si="646"/>
        <v>9.4951649363807409</v>
      </c>
      <c r="CU238" s="188">
        <f t="shared" si="647"/>
        <v>30</v>
      </c>
      <c r="CV238" s="188"/>
      <c r="CW238" s="149">
        <f t="shared" si="648"/>
        <v>778.47093205933822</v>
      </c>
      <c r="CX238" s="149">
        <f t="shared" si="649"/>
        <v>30</v>
      </c>
      <c r="CY238" s="188">
        <f t="shared" si="650"/>
        <v>2.8368421052631585</v>
      </c>
      <c r="CZ238" s="188">
        <f t="shared" si="651"/>
        <v>0.27777412280701763</v>
      </c>
      <c r="DA238" s="188">
        <f t="shared" si="652"/>
        <v>0.43859072022160678</v>
      </c>
      <c r="DB238" s="172">
        <f t="shared" si="653"/>
        <v>350</v>
      </c>
      <c r="DC238" s="379">
        <f t="shared" si="654"/>
        <v>350</v>
      </c>
      <c r="DE238" s="188">
        <f t="shared" si="655"/>
        <v>11.314434588425037</v>
      </c>
      <c r="DF238" s="150">
        <f t="shared" si="656"/>
        <v>1.7492711370262393</v>
      </c>
      <c r="DG238" s="150">
        <f t="shared" si="657"/>
        <v>3.463602425028073</v>
      </c>
      <c r="DH238" s="150"/>
      <c r="DI238" s="150">
        <f t="shared" si="658"/>
        <v>0.93700159489633172</v>
      </c>
      <c r="DJ238" s="314">
        <f t="shared" si="659"/>
        <v>309.92476595744682</v>
      </c>
      <c r="DK238" s="456">
        <f t="shared" si="660"/>
        <v>0.99378957034459414</v>
      </c>
      <c r="DM238" s="150">
        <f t="shared" si="661"/>
        <v>5.7030893350469123</v>
      </c>
      <c r="DN238" s="150">
        <f t="shared" si="662"/>
        <v>6.0606060606060606</v>
      </c>
      <c r="DO238" s="150">
        <f t="shared" si="663"/>
        <v>1.1770998662613983</v>
      </c>
      <c r="DQ238" s="314">
        <f t="shared" si="664"/>
        <v>880</v>
      </c>
      <c r="DR238" s="144">
        <f t="shared" si="665"/>
        <v>309.92476595744682</v>
      </c>
      <c r="DT238">
        <f t="shared" si="666"/>
        <v>880</v>
      </c>
      <c r="DU238">
        <f t="shared" si="667"/>
        <v>309.92476595744682</v>
      </c>
      <c r="DW238" s="5">
        <f t="shared" si="668"/>
        <v>3.2265895141058252</v>
      </c>
      <c r="DX238" s="5">
        <f t="shared" si="669"/>
        <v>0.59343434343434343</v>
      </c>
      <c r="DY238" s="5">
        <f t="shared" si="670"/>
        <v>2.6331551706714817</v>
      </c>
      <c r="DZ238" s="5"/>
      <c r="EA238" s="150">
        <f t="shared" si="671"/>
        <v>0.18392000000000003</v>
      </c>
      <c r="EB238" s="150">
        <f t="shared" si="698"/>
        <v>26.751999999999999</v>
      </c>
      <c r="EC238" s="150">
        <f t="shared" si="699"/>
        <v>2.4729696969696966</v>
      </c>
      <c r="ED238" s="150">
        <f t="shared" si="700"/>
        <v>10.817762964415255</v>
      </c>
      <c r="EE238" s="144">
        <f t="shared" si="672"/>
        <v>1.7407407407407409</v>
      </c>
      <c r="EF238" s="5">
        <f t="shared" si="673"/>
        <v>0.85190314345253804</v>
      </c>
      <c r="EH238" s="150">
        <f t="shared" si="701"/>
        <v>1.5006171569897007</v>
      </c>
      <c r="EI238" s="150">
        <f t="shared" si="702"/>
        <v>3.1609803472076696</v>
      </c>
      <c r="EK238" s="456">
        <f t="shared" si="703"/>
        <v>2.7022222222222225E-2</v>
      </c>
      <c r="EL238" s="456">
        <f t="shared" si="704"/>
        <v>2.7979632204255322</v>
      </c>
      <c r="EM238" s="456">
        <f t="shared" si="705"/>
        <v>3.5641348085106384E-2</v>
      </c>
      <c r="EN238" s="456">
        <f t="shared" si="706"/>
        <v>0.98582258018696201</v>
      </c>
      <c r="EO238">
        <f t="shared" si="707"/>
        <v>2.1600000000000001E-2</v>
      </c>
      <c r="EP238" s="144">
        <f t="shared" si="708"/>
        <v>57.241348085106388</v>
      </c>
      <c r="EQ238" s="144"/>
      <c r="ER238" s="144">
        <f t="shared" si="709"/>
        <v>3868.0493709198226</v>
      </c>
      <c r="ES238" s="456">
        <f t="shared" si="710"/>
        <v>0.61599999999999999</v>
      </c>
      <c r="EV238" s="144">
        <f t="shared" si="711"/>
        <v>616</v>
      </c>
      <c r="EW238" s="456">
        <f t="shared" si="712"/>
        <v>3.1525925925925929E-2</v>
      </c>
      <c r="EX238" s="456">
        <f t="shared" si="713"/>
        <v>0.13988515457606368</v>
      </c>
      <c r="EY238" s="456">
        <f t="shared" si="714"/>
        <v>7.6454112028702879</v>
      </c>
      <c r="EZ238" s="456"/>
      <c r="FA238" s="456">
        <f t="shared" si="715"/>
        <v>1.1383829787234043</v>
      </c>
      <c r="FB238" s="144">
        <f t="shared" si="716"/>
        <v>8955.205262095682</v>
      </c>
      <c r="FC238" s="150">
        <f t="shared" si="717"/>
        <v>13.439254633015503</v>
      </c>
      <c r="FD238" s="5">
        <f t="shared" si="718"/>
        <v>26.4</v>
      </c>
      <c r="FE238" s="150">
        <f t="shared" si="719"/>
        <v>0.66266300017876967</v>
      </c>
      <c r="FF238" s="5">
        <f t="shared" si="720"/>
        <v>66.266300017876972</v>
      </c>
      <c r="FI238" s="59">
        <f t="shared" si="674"/>
        <v>-50</v>
      </c>
      <c r="FJ238">
        <f t="shared" si="675"/>
        <v>-50</v>
      </c>
      <c r="FL238">
        <f t="shared" si="676"/>
        <v>0.29039999999999999</v>
      </c>
    </row>
    <row r="239" spans="5:168">
      <c r="E239" s="147">
        <v>23</v>
      </c>
      <c r="F239" s="188">
        <f t="shared" si="677"/>
        <v>0.92</v>
      </c>
      <c r="G239" s="188"/>
      <c r="H239" s="188">
        <f t="shared" si="602"/>
        <v>27.6</v>
      </c>
      <c r="I239" s="465">
        <f t="shared" si="603"/>
        <v>47.921732178900704</v>
      </c>
      <c r="J239" s="149">
        <f t="shared" si="604"/>
        <v>30.44214421136116</v>
      </c>
      <c r="K239" s="149">
        <f t="shared" si="605"/>
        <v>78.363876390261865</v>
      </c>
      <c r="L239" s="379"/>
      <c r="M239" s="188">
        <f t="shared" si="606"/>
        <v>0.38847383335246438</v>
      </c>
      <c r="N239" s="149">
        <f t="shared" si="607"/>
        <v>284.91760712866062</v>
      </c>
      <c r="O239" s="149">
        <f t="shared" si="598"/>
        <v>27.6</v>
      </c>
      <c r="P239" s="188">
        <f t="shared" si="608"/>
        <v>9.4972535709553547</v>
      </c>
      <c r="Q239" s="188">
        <f t="shared" si="609"/>
        <v>30</v>
      </c>
      <c r="R239" s="188"/>
      <c r="S239" s="149">
        <f t="shared" si="610"/>
        <v>741.32894933540069</v>
      </c>
      <c r="T239" s="149">
        <f t="shared" si="611"/>
        <v>30</v>
      </c>
      <c r="U239" s="188">
        <f t="shared" si="612"/>
        <v>2.9651372377099392</v>
      </c>
      <c r="V239" s="188">
        <f t="shared" si="613"/>
        <v>0.29081054426852737</v>
      </c>
      <c r="W239" s="188">
        <f t="shared" si="614"/>
        <v>0.45779117661612267</v>
      </c>
      <c r="X239" s="172">
        <f t="shared" si="615"/>
        <v>350</v>
      </c>
      <c r="Y239" s="379">
        <f t="shared" si="678"/>
        <v>350</v>
      </c>
      <c r="AA239" s="188">
        <f t="shared" si="616"/>
        <v>11.316859743736355</v>
      </c>
      <c r="AB239" s="150">
        <f t="shared" si="617"/>
        <v>1.7472238626249716</v>
      </c>
      <c r="AC239" s="150">
        <f t="shared" si="618"/>
        <v>3.460290293991314</v>
      </c>
      <c r="AD239" s="150"/>
      <c r="AE239" s="150">
        <f t="shared" si="619"/>
        <v>0.93570440659754173</v>
      </c>
      <c r="AF239" s="314">
        <f t="shared" si="620"/>
        <v>324.46144087743107</v>
      </c>
      <c r="AG239" s="456">
        <f t="shared" si="621"/>
        <v>0.99241376457315034</v>
      </c>
      <c r="AI239" s="150">
        <f t="shared" si="622"/>
        <v>5.835305257323097</v>
      </c>
      <c r="AJ239" s="150">
        <f t="shared" si="623"/>
        <v>6.0606060606060606</v>
      </c>
      <c r="AK239" s="150">
        <f t="shared" si="624"/>
        <v>1.1854065376442464</v>
      </c>
      <c r="AM239" s="314">
        <f t="shared" si="625"/>
        <v>920</v>
      </c>
      <c r="AN239" s="144">
        <f t="shared" si="626"/>
        <v>324.46144087743107</v>
      </c>
      <c r="AP239">
        <f t="shared" si="627"/>
        <v>920</v>
      </c>
      <c r="AQ239">
        <f t="shared" si="628"/>
        <v>324.46144087743107</v>
      </c>
      <c r="AS239" s="5">
        <f t="shared" si="599"/>
        <v>3.0820303247613361</v>
      </c>
      <c r="AT239" s="5">
        <f t="shared" si="629"/>
        <v>0.59440356576655595</v>
      </c>
      <c r="AU239" s="5">
        <f t="shared" si="721"/>
        <v>2.48762675899478</v>
      </c>
      <c r="AV239" s="5"/>
      <c r="AW239" s="150">
        <f t="shared" si="722"/>
        <v>0.19286103741129962</v>
      </c>
      <c r="AX239" s="150">
        <f t="shared" si="630"/>
        <v>28.006772674452264</v>
      </c>
      <c r="AY239" s="150">
        <f t="shared" si="631"/>
        <v>2.4458756442081833</v>
      </c>
      <c r="AZ239" s="150">
        <f t="shared" si="632"/>
        <v>11.450611866049735</v>
      </c>
      <c r="BA239" s="144">
        <f t="shared" si="593"/>
        <v>1.8228376016841048</v>
      </c>
      <c r="BB239" s="5">
        <f t="shared" si="594"/>
        <v>0.84277738409863612</v>
      </c>
      <c r="BD239" s="150">
        <f t="shared" si="679"/>
        <v>1.5366596149116414</v>
      </c>
      <c r="BE239" s="150">
        <f t="shared" si="680"/>
        <v>3.143616680701478</v>
      </c>
      <c r="BG239" s="456">
        <f t="shared" si="681"/>
        <v>2.8335873265204727E-2</v>
      </c>
      <c r="BH239" s="456">
        <f t="shared" si="633"/>
        <v>2.812275918154159</v>
      </c>
      <c r="BI239" s="456">
        <f t="shared" si="682"/>
        <v>3.7313065700904577E-2</v>
      </c>
      <c r="BJ239" s="456">
        <f t="shared" si="683"/>
        <v>1.0311106401430699</v>
      </c>
      <c r="BK239">
        <f t="shared" si="684"/>
        <v>2.1564779480505315E-2</v>
      </c>
      <c r="BL239" s="144">
        <f t="shared" si="685"/>
        <v>58.877845181409889</v>
      </c>
      <c r="BM239" s="456">
        <f t="shared" si="634"/>
        <v>3.9056684342668233</v>
      </c>
      <c r="BN239" s="144">
        <f t="shared" si="686"/>
        <v>3905.6684342668232</v>
      </c>
      <c r="BO239" s="456">
        <f t="shared" si="635"/>
        <v>0.64400000000000002</v>
      </c>
      <c r="BR239" s="144">
        <f t="shared" si="687"/>
        <v>644</v>
      </c>
      <c r="BS239" s="456">
        <f t="shared" si="688"/>
        <v>3.305851880940551E-2</v>
      </c>
      <c r="BT239" s="456">
        <f t="shared" si="689"/>
        <v>0.13835256169258411</v>
      </c>
      <c r="BU239" s="456">
        <f t="shared" si="690"/>
        <v>8.5736919422284341</v>
      </c>
      <c r="BV239" s="456"/>
      <c r="BW239" s="456">
        <f t="shared" si="691"/>
        <v>1.1917775606149901</v>
      </c>
      <c r="BX239" s="144">
        <f t="shared" si="692"/>
        <v>9936.8805833454135</v>
      </c>
      <c r="BY239" s="150">
        <f t="shared" si="693"/>
        <v>14.511480860089257</v>
      </c>
      <c r="BZ239" s="5">
        <f t="shared" si="694"/>
        <v>27.6</v>
      </c>
      <c r="CA239" s="150">
        <f t="shared" si="695"/>
        <v>0.65540321632710929</v>
      </c>
      <c r="CB239" s="5">
        <f t="shared" si="696"/>
        <v>65.540321632710928</v>
      </c>
      <c r="CE239" s="59">
        <f t="shared" si="636"/>
        <v>-50</v>
      </c>
      <c r="CF239">
        <f t="shared" si="637"/>
        <v>-50</v>
      </c>
      <c r="CG239" s="150">
        <f t="shared" si="638"/>
        <v>0.30561729793975995</v>
      </c>
      <c r="CI239" s="147">
        <v>23</v>
      </c>
      <c r="CJ239" s="188">
        <f t="shared" si="697"/>
        <v>0.92</v>
      </c>
      <c r="CK239" s="188"/>
      <c r="CL239" s="188">
        <f t="shared" si="639"/>
        <v>27.6</v>
      </c>
      <c r="CM239" s="465">
        <f t="shared" si="640"/>
        <v>48</v>
      </c>
      <c r="CN239" s="379">
        <f t="shared" si="641"/>
        <v>30.4</v>
      </c>
      <c r="CO239" s="379">
        <f t="shared" si="642"/>
        <v>78.400000000000006</v>
      </c>
      <c r="CP239" s="379"/>
      <c r="CQ239" s="188">
        <f t="shared" si="643"/>
        <v>0.38775510204081626</v>
      </c>
      <c r="CR239" s="149">
        <f t="shared" si="644"/>
        <v>284.85494809142222</v>
      </c>
      <c r="CS239" s="149">
        <f t="shared" si="645"/>
        <v>27.6</v>
      </c>
      <c r="CT239" s="188">
        <f t="shared" si="646"/>
        <v>9.4951649363807409</v>
      </c>
      <c r="CU239" s="188">
        <f t="shared" si="647"/>
        <v>30</v>
      </c>
      <c r="CV239" s="188"/>
      <c r="CW239" s="149">
        <f t="shared" si="648"/>
        <v>742.5396772746484</v>
      </c>
      <c r="CX239" s="149">
        <f t="shared" si="649"/>
        <v>30</v>
      </c>
      <c r="CY239" s="188">
        <f t="shared" si="650"/>
        <v>2.9657894736842114</v>
      </c>
      <c r="CZ239" s="188">
        <f t="shared" si="651"/>
        <v>0.29040021929824572</v>
      </c>
      <c r="DA239" s="188">
        <f t="shared" si="652"/>
        <v>0.45852666204986164</v>
      </c>
      <c r="DB239" s="172">
        <f t="shared" si="653"/>
        <v>350</v>
      </c>
      <c r="DC239" s="379">
        <f t="shared" si="654"/>
        <v>350</v>
      </c>
      <c r="DE239" s="188">
        <f t="shared" si="655"/>
        <v>11.314434588425037</v>
      </c>
      <c r="DF239" s="150">
        <f t="shared" si="656"/>
        <v>1.7492711370262393</v>
      </c>
      <c r="DG239" s="150">
        <f t="shared" si="657"/>
        <v>3.463602425028073</v>
      </c>
      <c r="DH239" s="150"/>
      <c r="DI239" s="150">
        <f t="shared" si="658"/>
        <v>0.93700159489633172</v>
      </c>
      <c r="DJ239" s="314">
        <f t="shared" si="659"/>
        <v>324.01225531914895</v>
      </c>
      <c r="DK239" s="456">
        <f t="shared" si="660"/>
        <v>0.99378957034459414</v>
      </c>
      <c r="DM239" s="150">
        <f t="shared" si="661"/>
        <v>5.8312646498348339</v>
      </c>
      <c r="DN239" s="150">
        <f t="shared" si="662"/>
        <v>6.0606060606060606</v>
      </c>
      <c r="DO239" s="150">
        <f t="shared" si="663"/>
        <v>1.1851498601823709</v>
      </c>
      <c r="DQ239" s="314">
        <f t="shared" si="664"/>
        <v>920</v>
      </c>
      <c r="DR239" s="144">
        <f t="shared" si="665"/>
        <v>324.01225531914895</v>
      </c>
      <c r="DT239">
        <f t="shared" si="666"/>
        <v>920</v>
      </c>
      <c r="DU239">
        <f t="shared" si="667"/>
        <v>324.01225531914895</v>
      </c>
      <c r="DW239" s="5">
        <f t="shared" si="668"/>
        <v>3.0863030134925284</v>
      </c>
      <c r="DX239" s="5">
        <f t="shared" si="669"/>
        <v>0.59343434343434343</v>
      </c>
      <c r="DY239" s="5">
        <f t="shared" si="670"/>
        <v>2.492868670058185</v>
      </c>
      <c r="DZ239" s="5"/>
      <c r="EA239" s="150">
        <f t="shared" si="671"/>
        <v>0.19228000000000001</v>
      </c>
      <c r="EB239" s="150">
        <f t="shared" si="698"/>
        <v>27.967999999999996</v>
      </c>
      <c r="EC239" s="150">
        <f t="shared" si="699"/>
        <v>2.4476363636363634</v>
      </c>
      <c r="ED239" s="150">
        <f t="shared" si="700"/>
        <v>11.426533947407517</v>
      </c>
      <c r="EE239" s="144">
        <f t="shared" si="672"/>
        <v>1.8198653198653199</v>
      </c>
      <c r="EF239" s="5">
        <f t="shared" si="673"/>
        <v>0.84317616781379789</v>
      </c>
      <c r="EH239" s="150">
        <f t="shared" si="701"/>
        <v>1.5343431018545868</v>
      </c>
      <c r="EI239" s="150">
        <f t="shared" si="702"/>
        <v>3.1447479792626014</v>
      </c>
      <c r="EK239" s="456">
        <f t="shared" si="703"/>
        <v>2.8250505050505061E-2</v>
      </c>
      <c r="EL239" s="456">
        <f t="shared" si="704"/>
        <v>2.9251433668085109</v>
      </c>
      <c r="EM239" s="456">
        <f t="shared" si="705"/>
        <v>3.7261409361702129E-2</v>
      </c>
      <c r="EN239" s="456">
        <f t="shared" si="706"/>
        <v>1.0306326974681874</v>
      </c>
      <c r="EO239">
        <f t="shared" si="707"/>
        <v>2.1600000000000001E-2</v>
      </c>
      <c r="EP239" s="144">
        <f t="shared" si="708"/>
        <v>58.86140936170213</v>
      </c>
      <c r="EQ239" s="144"/>
      <c r="ER239" s="144">
        <f t="shared" si="709"/>
        <v>4042.8879786889052</v>
      </c>
      <c r="ES239" s="456">
        <f t="shared" si="710"/>
        <v>0.64400000000000002</v>
      </c>
      <c r="EV239" s="144">
        <f t="shared" si="711"/>
        <v>644</v>
      </c>
      <c r="EW239" s="456">
        <f t="shared" si="712"/>
        <v>3.295892255892257E-2</v>
      </c>
      <c r="EX239" s="456">
        <f t="shared" si="713"/>
        <v>0.13845215794306701</v>
      </c>
      <c r="EY239" s="456">
        <f t="shared" si="714"/>
        <v>8.5440491222286781</v>
      </c>
      <c r="EZ239" s="456"/>
      <c r="FA239" s="456">
        <f t="shared" si="715"/>
        <v>1.1901276595744683</v>
      </c>
      <c r="FB239" s="144">
        <f t="shared" si="716"/>
        <v>9905.5878623051358</v>
      </c>
      <c r="FC239" s="150">
        <f t="shared" si="717"/>
        <v>14.592475840994041</v>
      </c>
      <c r="FD239" s="5">
        <f t="shared" si="718"/>
        <v>27.6</v>
      </c>
      <c r="FE239" s="150">
        <f t="shared" si="719"/>
        <v>0.65414506851915888</v>
      </c>
      <c r="FF239" s="5">
        <f t="shared" si="720"/>
        <v>65.414506851915888</v>
      </c>
      <c r="FI239" s="59">
        <f t="shared" si="674"/>
        <v>-50</v>
      </c>
      <c r="FJ239">
        <f t="shared" si="675"/>
        <v>-50</v>
      </c>
      <c r="FL239">
        <f t="shared" si="676"/>
        <v>0.30360000000000004</v>
      </c>
    </row>
    <row r="240" spans="5:168">
      <c r="E240" s="147">
        <v>24</v>
      </c>
      <c r="F240" s="188">
        <f t="shared" si="677"/>
        <v>0.96</v>
      </c>
      <c r="G240" s="188"/>
      <c r="H240" s="188">
        <f t="shared" si="602"/>
        <v>28.799999999999997</v>
      </c>
      <c r="I240" s="465">
        <f t="shared" si="603"/>
        <v>47.921732178900704</v>
      </c>
      <c r="J240" s="149">
        <f t="shared" si="604"/>
        <v>30.44214421136116</v>
      </c>
      <c r="K240" s="149">
        <f t="shared" si="605"/>
        <v>78.363876390261865</v>
      </c>
      <c r="L240" s="379"/>
      <c r="M240" s="188">
        <f t="shared" si="606"/>
        <v>0.38847383335246438</v>
      </c>
      <c r="N240" s="149">
        <f t="shared" si="607"/>
        <v>284.91760712866062</v>
      </c>
      <c r="O240" s="149">
        <f t="shared" si="598"/>
        <v>28.799999999999997</v>
      </c>
      <c r="P240" s="188">
        <f t="shared" si="608"/>
        <v>9.4972535709553547</v>
      </c>
      <c r="Q240" s="188">
        <f t="shared" si="609"/>
        <v>30</v>
      </c>
      <c r="R240" s="188"/>
      <c r="S240" s="149">
        <f t="shared" si="610"/>
        <v>708.44577993669873</v>
      </c>
      <c r="T240" s="149">
        <f t="shared" si="611"/>
        <v>30</v>
      </c>
      <c r="U240" s="188">
        <f t="shared" si="612"/>
        <v>3.0940562480451534</v>
      </c>
      <c r="V240" s="188">
        <f t="shared" si="613"/>
        <v>0.30345448097585459</v>
      </c>
      <c r="W240" s="188">
        <f t="shared" si="614"/>
        <v>0.47769514081682357</v>
      </c>
      <c r="X240" s="172">
        <f t="shared" si="615"/>
        <v>350</v>
      </c>
      <c r="Y240" s="379">
        <f t="shared" si="678"/>
        <v>350</v>
      </c>
      <c r="AA240" s="188">
        <f t="shared" si="616"/>
        <v>11.316859743736355</v>
      </c>
      <c r="AB240" s="150">
        <f t="shared" si="617"/>
        <v>1.7472238626249716</v>
      </c>
      <c r="AC240" s="150">
        <f t="shared" si="618"/>
        <v>3.460290293991314</v>
      </c>
      <c r="AD240" s="150"/>
      <c r="AE240" s="150">
        <f t="shared" si="619"/>
        <v>0.93570440659754173</v>
      </c>
      <c r="AF240" s="314">
        <f t="shared" si="620"/>
        <v>338.56846004601499</v>
      </c>
      <c r="AG240" s="456">
        <f t="shared" si="621"/>
        <v>0.99241376457315034</v>
      </c>
      <c r="AI240" s="150">
        <f t="shared" si="622"/>
        <v>5.9608100511205757</v>
      </c>
      <c r="AJ240" s="150">
        <f t="shared" si="623"/>
        <v>6.0606060606060606</v>
      </c>
      <c r="AK240" s="150">
        <f t="shared" si="624"/>
        <v>1.1934676914548656</v>
      </c>
      <c r="AM240" s="314">
        <f t="shared" si="625"/>
        <v>960</v>
      </c>
      <c r="AN240" s="144">
        <f t="shared" si="626"/>
        <v>338.56846004601499</v>
      </c>
      <c r="AP240">
        <f t="shared" si="627"/>
        <v>960</v>
      </c>
      <c r="AQ240">
        <f t="shared" si="628"/>
        <v>338.56846004601499</v>
      </c>
      <c r="AS240" s="5">
        <f t="shared" si="599"/>
        <v>2.9536123945629478</v>
      </c>
      <c r="AT240" s="5">
        <f t="shared" si="629"/>
        <v>0.59440356576655595</v>
      </c>
      <c r="AU240" s="5">
        <f t="shared" si="721"/>
        <v>2.3592088287963917</v>
      </c>
      <c r="AV240" s="5"/>
      <c r="AW240" s="150">
        <f t="shared" si="722"/>
        <v>0.20124629990744303</v>
      </c>
      <c r="AX240" s="150">
        <f t="shared" si="630"/>
        <v>29.224458442906705</v>
      </c>
      <c r="AY240" s="150">
        <f t="shared" si="631"/>
        <v>2.4204657578562334</v>
      </c>
      <c r="AZ240" s="150">
        <f t="shared" si="632"/>
        <v>12.073898731288116</v>
      </c>
      <c r="BA240" s="144">
        <f t="shared" si="593"/>
        <v>1.9020914104529787</v>
      </c>
      <c r="BB240" s="5">
        <f t="shared" si="594"/>
        <v>0.83402187864166411</v>
      </c>
      <c r="BD240" s="150">
        <f t="shared" si="679"/>
        <v>1.5697098392961097</v>
      </c>
      <c r="BE240" s="150">
        <f t="shared" si="680"/>
        <v>3.127244734219238</v>
      </c>
      <c r="BG240" s="456">
        <f t="shared" si="681"/>
        <v>2.9567867754996226E-2</v>
      </c>
      <c r="BH240" s="456">
        <f t="shared" si="633"/>
        <v>2.9345487841608611</v>
      </c>
      <c r="BI240" s="456">
        <f t="shared" si="682"/>
        <v>3.8935372905291726E-2</v>
      </c>
      <c r="BJ240" s="456">
        <f t="shared" si="683"/>
        <v>1.0759415375405945</v>
      </c>
      <c r="BK240">
        <f t="shared" si="684"/>
        <v>2.1564779480505315E-2</v>
      </c>
      <c r="BL240" s="144">
        <f t="shared" si="685"/>
        <v>60.500152385797044</v>
      </c>
      <c r="BM240" s="456">
        <f t="shared" si="634"/>
        <v>4.0766815279490185</v>
      </c>
      <c r="BN240" s="144">
        <f t="shared" si="686"/>
        <v>4076.6815279490183</v>
      </c>
      <c r="BO240" s="456">
        <f t="shared" si="635"/>
        <v>0.67199999999999993</v>
      </c>
      <c r="BR240" s="144">
        <f t="shared" si="687"/>
        <v>671.99999999999989</v>
      </c>
      <c r="BS240" s="456">
        <f t="shared" si="688"/>
        <v>3.4495845714162261E-2</v>
      </c>
      <c r="BT240" s="456">
        <f t="shared" si="689"/>
        <v>0.13691523478782736</v>
      </c>
      <c r="BU240" s="456">
        <f t="shared" si="690"/>
        <v>9.5362228013228982</v>
      </c>
      <c r="BV240" s="456"/>
      <c r="BW240" s="456">
        <f t="shared" si="691"/>
        <v>1.2435939762939026</v>
      </c>
      <c r="BX240" s="144">
        <f t="shared" si="692"/>
        <v>10951.227858118791</v>
      </c>
      <c r="BY240" s="150">
        <f t="shared" si="693"/>
        <v>15.72378619996104</v>
      </c>
      <c r="BZ240" s="5">
        <f t="shared" si="694"/>
        <v>28.799999999999997</v>
      </c>
      <c r="CA240" s="150">
        <f t="shared" si="695"/>
        <v>0.64684525863672393</v>
      </c>
      <c r="CB240" s="5">
        <f t="shared" si="696"/>
        <v>64.684525863672391</v>
      </c>
      <c r="CE240" s="59">
        <f t="shared" si="636"/>
        <v>-50</v>
      </c>
      <c r="CF240">
        <f t="shared" si="637"/>
        <v>-50</v>
      </c>
      <c r="CG240" s="150">
        <f t="shared" si="638"/>
        <v>0.31890500654583648</v>
      </c>
      <c r="CI240" s="147">
        <v>24</v>
      </c>
      <c r="CJ240" s="188">
        <f t="shared" si="697"/>
        <v>0.96</v>
      </c>
      <c r="CK240" s="188"/>
      <c r="CL240" s="188">
        <f t="shared" si="639"/>
        <v>28.799999999999997</v>
      </c>
      <c r="CM240" s="465">
        <f t="shared" si="640"/>
        <v>48</v>
      </c>
      <c r="CN240" s="379">
        <f t="shared" si="641"/>
        <v>30.4</v>
      </c>
      <c r="CO240" s="379">
        <f t="shared" si="642"/>
        <v>78.400000000000006</v>
      </c>
      <c r="CP240" s="379"/>
      <c r="CQ240" s="188">
        <f t="shared" si="643"/>
        <v>0.38775510204081626</v>
      </c>
      <c r="CR240" s="149">
        <f t="shared" si="644"/>
        <v>284.85494809142222</v>
      </c>
      <c r="CS240" s="149">
        <f t="shared" si="645"/>
        <v>28.799999999999997</v>
      </c>
      <c r="CT240" s="188">
        <f t="shared" si="646"/>
        <v>9.4951649363807409</v>
      </c>
      <c r="CU240" s="188">
        <f t="shared" si="647"/>
        <v>30</v>
      </c>
      <c r="CV240" s="188"/>
      <c r="CW240" s="149">
        <f t="shared" si="648"/>
        <v>709.60279972264425</v>
      </c>
      <c r="CX240" s="149">
        <f t="shared" si="649"/>
        <v>30</v>
      </c>
      <c r="CY240" s="188">
        <f t="shared" si="650"/>
        <v>3.0947368421052635</v>
      </c>
      <c r="CZ240" s="188">
        <f t="shared" si="651"/>
        <v>0.3030263157894737</v>
      </c>
      <c r="DA240" s="188">
        <f t="shared" si="652"/>
        <v>0.47846260387811634</v>
      </c>
      <c r="DB240" s="172">
        <f t="shared" si="653"/>
        <v>350</v>
      </c>
      <c r="DC240" s="379">
        <f t="shared" si="654"/>
        <v>350</v>
      </c>
      <c r="DE240" s="188">
        <f t="shared" si="655"/>
        <v>11.314434588425037</v>
      </c>
      <c r="DF240" s="150">
        <f t="shared" si="656"/>
        <v>1.7492711370262393</v>
      </c>
      <c r="DG240" s="150">
        <f t="shared" si="657"/>
        <v>3.463602425028073</v>
      </c>
      <c r="DH240" s="150"/>
      <c r="DI240" s="150">
        <f t="shared" si="658"/>
        <v>0.93700159489633172</v>
      </c>
      <c r="DJ240" s="314">
        <f t="shared" si="659"/>
        <v>338.09974468085107</v>
      </c>
      <c r="DK240" s="456">
        <f t="shared" si="660"/>
        <v>0.99378957034459414</v>
      </c>
      <c r="DM240" s="150">
        <f t="shared" si="661"/>
        <v>5.9566825389054356</v>
      </c>
      <c r="DN240" s="150">
        <f t="shared" si="662"/>
        <v>6.0606060606060606</v>
      </c>
      <c r="DO240" s="150">
        <f t="shared" si="663"/>
        <v>1.1931998541033435</v>
      </c>
      <c r="DQ240" s="314">
        <f t="shared" si="664"/>
        <v>960</v>
      </c>
      <c r="DR240" s="144">
        <f t="shared" si="665"/>
        <v>338.09974468085107</v>
      </c>
      <c r="DT240">
        <f t="shared" si="666"/>
        <v>960</v>
      </c>
      <c r="DU240">
        <f t="shared" si="667"/>
        <v>338.09974468085107</v>
      </c>
      <c r="DW240" s="5">
        <f t="shared" si="668"/>
        <v>2.9577070545970066</v>
      </c>
      <c r="DX240" s="5">
        <f t="shared" si="669"/>
        <v>0.59343434343434343</v>
      </c>
      <c r="DY240" s="5">
        <f t="shared" si="670"/>
        <v>2.3642727111626631</v>
      </c>
      <c r="DZ240" s="5"/>
      <c r="EA240" s="150">
        <f t="shared" si="671"/>
        <v>0.20064000000000001</v>
      </c>
      <c r="EB240" s="150">
        <f t="shared" si="698"/>
        <v>29.183999999999994</v>
      </c>
      <c r="EC240" s="150">
        <f t="shared" si="699"/>
        <v>2.4223030303030302</v>
      </c>
      <c r="ED240" s="150">
        <f t="shared" si="700"/>
        <v>12.048038430744594</v>
      </c>
      <c r="EE240" s="144">
        <f t="shared" si="672"/>
        <v>1.898989898989899</v>
      </c>
      <c r="EF240" s="5">
        <f t="shared" si="673"/>
        <v>0.83444919217505742</v>
      </c>
      <c r="EH240" s="150">
        <f t="shared" si="701"/>
        <v>1.5673435030540233</v>
      </c>
      <c r="EI240" s="150">
        <f t="shared" si="702"/>
        <v>3.1284313882070856</v>
      </c>
      <c r="EK240" s="456">
        <f t="shared" si="703"/>
        <v>2.9478787878787882E-2</v>
      </c>
      <c r="EL240" s="456">
        <f t="shared" si="704"/>
        <v>3.0523235131914896</v>
      </c>
      <c r="EM240" s="456">
        <f t="shared" si="705"/>
        <v>3.8881470638297874E-2</v>
      </c>
      <c r="EN240" s="456">
        <f t="shared" si="706"/>
        <v>1.0754428147494131</v>
      </c>
      <c r="EO240">
        <f t="shared" si="707"/>
        <v>2.1600000000000001E-2</v>
      </c>
      <c r="EP240" s="144">
        <f t="shared" si="708"/>
        <v>60.481470638297878</v>
      </c>
      <c r="EQ240" s="144"/>
      <c r="ER240" s="144">
        <f t="shared" si="709"/>
        <v>4217.7265864579895</v>
      </c>
      <c r="ES240" s="456">
        <f t="shared" si="710"/>
        <v>0.67199999999999993</v>
      </c>
      <c r="EV240" s="144">
        <f t="shared" si="711"/>
        <v>671.99999999999989</v>
      </c>
      <c r="EW240" s="456">
        <f t="shared" si="712"/>
        <v>3.4391919191919196E-2</v>
      </c>
      <c r="EX240" s="456">
        <f t="shared" si="713"/>
        <v>0.13701916131007039</v>
      </c>
      <c r="EY240" s="456">
        <f t="shared" si="714"/>
        <v>9.5032521116968098</v>
      </c>
      <c r="EZ240" s="456"/>
      <c r="FA240" s="456">
        <f t="shared" si="715"/>
        <v>1.2418723404255319</v>
      </c>
      <c r="FB240" s="144">
        <f t="shared" si="716"/>
        <v>10916.535532624332</v>
      </c>
      <c r="FC240" s="150">
        <f t="shared" si="717"/>
        <v>15.806262119082321</v>
      </c>
      <c r="FD240" s="5">
        <f t="shared" si="718"/>
        <v>28.799999999999997</v>
      </c>
      <c r="FE240" s="150">
        <f t="shared" si="719"/>
        <v>0.6456492571180833</v>
      </c>
      <c r="FF240" s="5">
        <f t="shared" si="720"/>
        <v>64.564925711808328</v>
      </c>
      <c r="FI240" s="59">
        <f t="shared" si="674"/>
        <v>-50</v>
      </c>
      <c r="FJ240">
        <f t="shared" si="675"/>
        <v>-50</v>
      </c>
      <c r="FL240">
        <f t="shared" si="676"/>
        <v>0.31680000000000003</v>
      </c>
    </row>
    <row r="241" spans="5:168">
      <c r="E241" s="147">
        <v>25</v>
      </c>
      <c r="F241" s="188">
        <f t="shared" si="677"/>
        <v>1</v>
      </c>
      <c r="G241" s="188"/>
      <c r="H241" s="188">
        <f t="shared" si="602"/>
        <v>30</v>
      </c>
      <c r="I241" s="465">
        <f t="shared" si="603"/>
        <v>47.921488002581761</v>
      </c>
      <c r="J241" s="149">
        <f t="shared" si="604"/>
        <v>30.442275690917512</v>
      </c>
      <c r="K241" s="149">
        <f t="shared" si="605"/>
        <v>78.363763693499266</v>
      </c>
      <c r="L241" s="379"/>
      <c r="M241" s="188">
        <f t="shared" si="606"/>
        <v>0.38847607664589012</v>
      </c>
      <c r="N241" s="149">
        <f t="shared" si="607"/>
        <v>284.91780066965993</v>
      </c>
      <c r="O241" s="149">
        <f t="shared" si="598"/>
        <v>30</v>
      </c>
      <c r="P241" s="188">
        <f t="shared" si="608"/>
        <v>9.4972600223219974</v>
      </c>
      <c r="Q241" s="188">
        <f t="shared" si="609"/>
        <v>30</v>
      </c>
      <c r="R241" s="188"/>
      <c r="S241" s="149">
        <f t="shared" si="610"/>
        <v>678.1899112383735</v>
      </c>
      <c r="T241" s="149">
        <f t="shared" si="611"/>
        <v>30</v>
      </c>
      <c r="U241" s="188">
        <f t="shared" si="612"/>
        <v>3.2229730690547078</v>
      </c>
      <c r="V241" s="188">
        <f t="shared" si="613"/>
        <v>0.31609981358969974</v>
      </c>
      <c r="W241" s="188">
        <f t="shared" si="614"/>
        <v>0.49759661788611093</v>
      </c>
      <c r="X241" s="172">
        <f t="shared" si="615"/>
        <v>350</v>
      </c>
      <c r="Y241" s="379">
        <f t="shared" si="678"/>
        <v>350</v>
      </c>
      <c r="AA241" s="188">
        <f t="shared" si="616"/>
        <v>11.316867233044018</v>
      </c>
      <c r="AB241" s="150">
        <f t="shared" si="617"/>
        <v>1.7472174726798091</v>
      </c>
      <c r="AC241" s="150">
        <f t="shared" si="618"/>
        <v>3.4602799289751203</v>
      </c>
      <c r="AD241" s="150"/>
      <c r="AE241" s="150">
        <f t="shared" si="619"/>
        <v>0.9357003653096464</v>
      </c>
      <c r="AF241" s="314">
        <f t="shared" si="620"/>
        <v>352.67700241924655</v>
      </c>
      <c r="AG241" s="456">
        <f t="shared" si="621"/>
        <v>0.99240947835871574</v>
      </c>
      <c r="AI241" s="150">
        <f t="shared" si="622"/>
        <v>6.0837394206607449</v>
      </c>
      <c r="AJ241" s="150">
        <f t="shared" si="623"/>
        <v>6.0837394206607449</v>
      </c>
      <c r="AK241" s="150">
        <f t="shared" si="624"/>
        <v>1.2171358222627291</v>
      </c>
      <c r="AM241" s="314">
        <f t="shared" si="625"/>
        <v>1000</v>
      </c>
      <c r="AN241" s="144">
        <f t="shared" si="626"/>
        <v>350</v>
      </c>
      <c r="AP241">
        <f t="shared" si="627"/>
        <v>1000</v>
      </c>
      <c r="AQ241">
        <f t="shared" si="628"/>
        <v>350</v>
      </c>
      <c r="AS241" s="5">
        <f t="shared" si="599"/>
        <v>2.8571428571428572</v>
      </c>
      <c r="AT241" s="5">
        <f t="shared" si="629"/>
        <v>0.59667544704715814</v>
      </c>
      <c r="AU241" s="5">
        <f t="shared" si="721"/>
        <v>2.260467410095699</v>
      </c>
      <c r="AV241" s="5"/>
      <c r="AW241" s="150">
        <f t="shared" si="722"/>
        <v>0.20883640646650534</v>
      </c>
      <c r="AX241" s="150">
        <f t="shared" si="630"/>
        <v>30.442275690917512</v>
      </c>
      <c r="AY241" s="150">
        <f t="shared" si="631"/>
        <v>2.4066165710856677</v>
      </c>
      <c r="AZ241" s="150">
        <f t="shared" si="632"/>
        <v>12.649408325641362</v>
      </c>
      <c r="BA241" s="144">
        <f t="shared" si="593"/>
        <v>1.9889181568238605</v>
      </c>
      <c r="BB241" s="5">
        <f t="shared" si="594"/>
        <v>0.83241574953767883</v>
      </c>
      <c r="BD241" s="150">
        <f t="shared" si="679"/>
        <v>1.6051406096915619</v>
      </c>
      <c r="BE241" s="150">
        <f t="shared" si="680"/>
        <v>3.1242309031108517</v>
      </c>
      <c r="BG241" s="456">
        <f t="shared" si="681"/>
        <v>3.091771652257199E-2</v>
      </c>
      <c r="BH241" s="456">
        <f t="shared" si="633"/>
        <v>3.0452068883551338</v>
      </c>
      <c r="BI241" s="456">
        <f t="shared" si="682"/>
        <v>4.0250000000000001E-2</v>
      </c>
      <c r="BJ241" s="456">
        <f t="shared" si="683"/>
        <v>1.112266792230644</v>
      </c>
      <c r="BK241">
        <f t="shared" si="684"/>
        <v>2.1564669601161792E-2</v>
      </c>
      <c r="BL241" s="144">
        <f t="shared" si="685"/>
        <v>61.814669601161789</v>
      </c>
      <c r="BM241" s="456">
        <f t="shared" si="634"/>
        <v>4.227796784797202</v>
      </c>
      <c r="BN241" s="144">
        <f t="shared" si="686"/>
        <v>4227.7967847972022</v>
      </c>
      <c r="BO241" s="456">
        <f t="shared" si="635"/>
        <v>0.7</v>
      </c>
      <c r="BR241" s="144">
        <f t="shared" si="687"/>
        <v>700</v>
      </c>
      <c r="BS241" s="456">
        <f t="shared" si="688"/>
        <v>3.607066927633399E-2</v>
      </c>
      <c r="BT241" s="456">
        <f t="shared" si="689"/>
        <v>0.13665146230333988</v>
      </c>
      <c r="BU241" s="456">
        <f t="shared" si="690"/>
        <v>10.460841583611748</v>
      </c>
      <c r="BV241" s="456"/>
      <c r="BW241" s="456">
        <f t="shared" si="691"/>
        <v>1.2954159868475539</v>
      </c>
      <c r="BX241" s="144">
        <f t="shared" si="692"/>
        <v>11928.979702038974</v>
      </c>
      <c r="BY241" s="150">
        <f t="shared" si="693"/>
        <v>16.879185768748489</v>
      </c>
      <c r="BZ241" s="5">
        <f t="shared" si="694"/>
        <v>30</v>
      </c>
      <c r="CA241" s="150">
        <f t="shared" si="695"/>
        <v>0.63994285540682716</v>
      </c>
      <c r="CB241" s="5">
        <f t="shared" si="696"/>
        <v>63.994285540682718</v>
      </c>
      <c r="CE241" s="59">
        <f t="shared" si="636"/>
        <v>-50</v>
      </c>
      <c r="CF241">
        <f t="shared" si="637"/>
        <v>-50</v>
      </c>
      <c r="CG241" s="150">
        <f t="shared" si="638"/>
        <v>0.33115957885386116</v>
      </c>
      <c r="CI241" s="147">
        <v>25</v>
      </c>
      <c r="CJ241" s="188">
        <f t="shared" si="697"/>
        <v>1</v>
      </c>
      <c r="CK241" s="188"/>
      <c r="CL241" s="188">
        <f t="shared" si="639"/>
        <v>30</v>
      </c>
      <c r="CM241" s="465">
        <f t="shared" si="640"/>
        <v>48</v>
      </c>
      <c r="CN241" s="379">
        <f t="shared" si="641"/>
        <v>30.4</v>
      </c>
      <c r="CO241" s="379">
        <f t="shared" si="642"/>
        <v>78.400000000000006</v>
      </c>
      <c r="CP241" s="379"/>
      <c r="CQ241" s="188">
        <f t="shared" si="643"/>
        <v>0.38775510204081626</v>
      </c>
      <c r="CR241" s="149">
        <f t="shared" si="644"/>
        <v>284.85494809142222</v>
      </c>
      <c r="CS241" s="149">
        <f t="shared" si="645"/>
        <v>30</v>
      </c>
      <c r="CT241" s="188">
        <f t="shared" si="646"/>
        <v>9.4951649363807409</v>
      </c>
      <c r="CU241" s="188">
        <f t="shared" si="647"/>
        <v>30</v>
      </c>
      <c r="CV241" s="188"/>
      <c r="CW241" s="149">
        <f t="shared" si="648"/>
        <v>679.30097498857072</v>
      </c>
      <c r="CX241" s="149">
        <f t="shared" si="649"/>
        <v>30</v>
      </c>
      <c r="CY241" s="188">
        <f t="shared" si="650"/>
        <v>3.2236842105263164</v>
      </c>
      <c r="CZ241" s="188">
        <f t="shared" si="651"/>
        <v>0.31565241228070179</v>
      </c>
      <c r="DA241" s="188">
        <f t="shared" si="652"/>
        <v>0.49839854570637127</v>
      </c>
      <c r="DB241" s="172">
        <f t="shared" si="653"/>
        <v>350</v>
      </c>
      <c r="DC241" s="379">
        <f t="shared" si="654"/>
        <v>350</v>
      </c>
      <c r="DE241" s="188">
        <f t="shared" si="655"/>
        <v>11.314434588425037</v>
      </c>
      <c r="DF241" s="150">
        <f t="shared" si="656"/>
        <v>1.7492711370262393</v>
      </c>
      <c r="DG241" s="150">
        <f t="shared" si="657"/>
        <v>3.463602425028073</v>
      </c>
      <c r="DH241" s="150"/>
      <c r="DI241" s="150">
        <f t="shared" si="658"/>
        <v>0.93700159489633172</v>
      </c>
      <c r="DJ241" s="314">
        <f t="shared" si="659"/>
        <v>352.1872340425532</v>
      </c>
      <c r="DK241" s="456">
        <f t="shared" si="660"/>
        <v>0.99378957034459414</v>
      </c>
      <c r="DM241" s="150">
        <f t="shared" si="661"/>
        <v>6.0795136583602192</v>
      </c>
      <c r="DN241" s="150">
        <f t="shared" si="662"/>
        <v>6.0795136583602192</v>
      </c>
      <c r="DO241" s="150">
        <f t="shared" si="663"/>
        <v>1.2140056279660434</v>
      </c>
      <c r="DQ241" s="314">
        <f t="shared" si="664"/>
        <v>1000</v>
      </c>
      <c r="DR241" s="144">
        <f t="shared" si="665"/>
        <v>350</v>
      </c>
      <c r="DT241">
        <f t="shared" si="666"/>
        <v>1000</v>
      </c>
      <c r="DU241">
        <f t="shared" si="667"/>
        <v>350</v>
      </c>
      <c r="DW241" s="5">
        <f t="shared" si="668"/>
        <v>2.8571428571428572</v>
      </c>
      <c r="DX241" s="5">
        <f t="shared" si="669"/>
        <v>0.59528571238110484</v>
      </c>
      <c r="DY241" s="5">
        <f t="shared" si="670"/>
        <v>2.2618571447617524</v>
      </c>
      <c r="DZ241" s="5"/>
      <c r="EA241" s="150">
        <f t="shared" si="671"/>
        <v>0.20834999933338669</v>
      </c>
      <c r="EB241" s="150">
        <f t="shared" si="698"/>
        <v>30.400000000000006</v>
      </c>
      <c r="EC241" s="150">
        <f t="shared" si="699"/>
        <v>2.4064234958467758</v>
      </c>
      <c r="ED241" s="150">
        <f t="shared" si="700"/>
        <v>12.632855377479103</v>
      </c>
      <c r="EE241" s="144">
        <f t="shared" si="672"/>
        <v>1.984285707937016</v>
      </c>
      <c r="EF241" s="5">
        <f t="shared" si="673"/>
        <v>0.83156512675064409</v>
      </c>
      <c r="EH241" s="150">
        <f t="shared" si="701"/>
        <v>1.602156598732847</v>
      </c>
      <c r="EI241" s="150">
        <f t="shared" si="702"/>
        <v>3.1230203874667462</v>
      </c>
      <c r="EK241" s="456">
        <f t="shared" si="703"/>
        <v>3.0802869202358456E-2</v>
      </c>
      <c r="EL241" s="456">
        <f t="shared" si="704"/>
        <v>3.1696152409226848</v>
      </c>
      <c r="EM241" s="456">
        <f t="shared" si="705"/>
        <v>4.0250000000000001E-2</v>
      </c>
      <c r="EN241" s="456">
        <f t="shared" si="706"/>
        <v>1.1132956800000005</v>
      </c>
      <c r="EO241">
        <f t="shared" si="707"/>
        <v>2.1600000000000001E-2</v>
      </c>
      <c r="EP241" s="144">
        <f t="shared" si="708"/>
        <v>61.85</v>
      </c>
      <c r="EQ241" s="144"/>
      <c r="ER241" s="144">
        <f t="shared" si="709"/>
        <v>4375.5637901250439</v>
      </c>
      <c r="ES241" s="456">
        <f t="shared" si="710"/>
        <v>0.7</v>
      </c>
      <c r="EV241" s="144">
        <f t="shared" si="711"/>
        <v>700</v>
      </c>
      <c r="EW241" s="456">
        <f t="shared" si="712"/>
        <v>3.5936680736084865E-2</v>
      </c>
      <c r="EX241" s="456">
        <f t="shared" si="713"/>
        <v>0.13654558876746123</v>
      </c>
      <c r="EY241" s="456">
        <f t="shared" si="714"/>
        <v>10.44268580761053</v>
      </c>
      <c r="EZ241" s="456"/>
      <c r="FA241" s="456">
        <f t="shared" si="715"/>
        <v>1.2936170212765961</v>
      </c>
      <c r="FB241" s="144">
        <f t="shared" si="716"/>
        <v>11908.785098390672</v>
      </c>
      <c r="FC241" s="150">
        <f t="shared" si="717"/>
        <v>16.984348888515719</v>
      </c>
      <c r="FD241" s="5">
        <f t="shared" si="718"/>
        <v>30</v>
      </c>
      <c r="FE241" s="150">
        <f t="shared" si="719"/>
        <v>0.63851049785076053</v>
      </c>
      <c r="FF241" s="5">
        <f t="shared" si="720"/>
        <v>63.85104978507605</v>
      </c>
      <c r="FI241" s="59">
        <f t="shared" si="674"/>
        <v>-50</v>
      </c>
      <c r="FJ241">
        <f t="shared" si="675"/>
        <v>-50</v>
      </c>
      <c r="FL241">
        <f t="shared" si="676"/>
        <v>0.32897368315797892</v>
      </c>
    </row>
    <row r="242" spans="5:168">
      <c r="E242" s="147">
        <v>26</v>
      </c>
      <c r="F242" s="188">
        <f t="shared" si="677"/>
        <v>1.04</v>
      </c>
      <c r="G242" s="188"/>
      <c r="H242" s="188">
        <f t="shared" si="602"/>
        <v>31.200000000000003</v>
      </c>
      <c r="I242" s="465">
        <f t="shared" si="603"/>
        <v>47.919933158622648</v>
      </c>
      <c r="J242" s="149">
        <f t="shared" si="604"/>
        <v>30.443112914587804</v>
      </c>
      <c r="K242" s="149">
        <f t="shared" si="605"/>
        <v>78.363046073210455</v>
      </c>
      <c r="L242" s="379"/>
      <c r="M242" s="188">
        <f t="shared" si="606"/>
        <v>0.38849036143778853</v>
      </c>
      <c r="N242" s="149">
        <f t="shared" si="607"/>
        <v>284.91903279943199</v>
      </c>
      <c r="O242" s="149">
        <f t="shared" si="598"/>
        <v>31.200000000000003</v>
      </c>
      <c r="P242" s="188">
        <f t="shared" si="608"/>
        <v>9.4973010933144</v>
      </c>
      <c r="Q242" s="188">
        <f t="shared" si="609"/>
        <v>30</v>
      </c>
      <c r="R242" s="188"/>
      <c r="S242" s="149">
        <f t="shared" si="610"/>
        <v>650.2437511931239</v>
      </c>
      <c r="T242" s="149">
        <f t="shared" si="611"/>
        <v>30</v>
      </c>
      <c r="U242" s="188">
        <f t="shared" si="612"/>
        <v>3.3518774965903919</v>
      </c>
      <c r="V242" s="188">
        <f t="shared" si="613"/>
        <v>0.32875305109101804</v>
      </c>
      <c r="W242" s="188">
        <f t="shared" si="614"/>
        <v>0.51748401282662149</v>
      </c>
      <c r="X242" s="172">
        <f t="shared" si="615"/>
        <v>350</v>
      </c>
      <c r="Y242" s="379">
        <f t="shared" si="678"/>
        <v>350</v>
      </c>
      <c r="AA242" s="188">
        <f t="shared" si="616"/>
        <v>11.316914911603524</v>
      </c>
      <c r="AB242" s="150">
        <f t="shared" si="617"/>
        <v>1.747176782931718</v>
      </c>
      <c r="AC242" s="150">
        <f t="shared" si="618"/>
        <v>3.4602139228943005</v>
      </c>
      <c r="AD242" s="150"/>
      <c r="AE242" s="150">
        <f t="shared" si="619"/>
        <v>0.93567463237962911</v>
      </c>
      <c r="AF242" s="314">
        <f t="shared" si="620"/>
        <v>366.7941698143145</v>
      </c>
      <c r="AG242" s="456">
        <f t="shared" si="621"/>
        <v>0.99238218585718252</v>
      </c>
      <c r="AI242" s="150">
        <f t="shared" si="622"/>
        <v>6.204306517992582</v>
      </c>
      <c r="AJ242" s="150">
        <f t="shared" si="623"/>
        <v>6.204306517992582</v>
      </c>
      <c r="AK242" s="150">
        <f t="shared" si="624"/>
        <v>1.3064447832492752</v>
      </c>
      <c r="AM242" s="314">
        <f t="shared" si="625"/>
        <v>1040</v>
      </c>
      <c r="AN242" s="144">
        <f t="shared" si="626"/>
        <v>350</v>
      </c>
      <c r="AP242">
        <f t="shared" si="627"/>
        <v>1040</v>
      </c>
      <c r="AQ242">
        <f t="shared" si="628"/>
        <v>350</v>
      </c>
      <c r="AS242" s="5">
        <f t="shared" si="599"/>
        <v>2.8571428571428572</v>
      </c>
      <c r="AT242" s="5">
        <f t="shared" si="629"/>
        <v>0.60852006070292453</v>
      </c>
      <c r="AU242" s="5">
        <f t="shared" si="721"/>
        <v>2.2486227964399328</v>
      </c>
      <c r="AV242" s="5"/>
      <c r="AW242" s="150">
        <f t="shared" si="722"/>
        <v>0.21298202124602358</v>
      </c>
      <c r="AX242" s="150">
        <f t="shared" si="630"/>
        <v>31.660837431171306</v>
      </c>
      <c r="AY242" s="150">
        <f t="shared" si="631"/>
        <v>2.4414503876803217</v>
      </c>
      <c r="AZ242" s="150">
        <f t="shared" si="632"/>
        <v>12.968044565203307</v>
      </c>
      <c r="BA242" s="144">
        <f t="shared" si="593"/>
        <v>2.1095362104368052</v>
      </c>
      <c r="BB242" s="5">
        <f t="shared" si="594"/>
        <v>0.8612040791986586</v>
      </c>
      <c r="BD242" s="150">
        <f t="shared" si="679"/>
        <v>1.6531188969061044</v>
      </c>
      <c r="BE242" s="150">
        <f t="shared" si="680"/>
        <v>3.1777881777152839</v>
      </c>
      <c r="BG242" s="456">
        <f t="shared" si="681"/>
        <v>3.2793625047696666E-2</v>
      </c>
      <c r="BH242" s="456">
        <f t="shared" si="633"/>
        <v>3.1055281336703229</v>
      </c>
      <c r="BI242" s="456">
        <f t="shared" si="682"/>
        <v>4.0250000000000001E-2</v>
      </c>
      <c r="BJ242" s="456">
        <f t="shared" si="683"/>
        <v>1.1122464210405849</v>
      </c>
      <c r="BK242">
        <f t="shared" si="684"/>
        <v>2.156396992138019E-2</v>
      </c>
      <c r="BL242" s="144">
        <f t="shared" si="685"/>
        <v>61.813969921380192</v>
      </c>
      <c r="BM242" s="456">
        <f t="shared" si="634"/>
        <v>4.292871505806434</v>
      </c>
      <c r="BN242" s="144">
        <f t="shared" si="686"/>
        <v>4292.8715058064336</v>
      </c>
      <c r="BO242" s="456">
        <f t="shared" si="635"/>
        <v>0.72799999999999998</v>
      </c>
      <c r="BR242" s="144">
        <f t="shared" si="687"/>
        <v>728</v>
      </c>
      <c r="BS242" s="456">
        <f t="shared" si="688"/>
        <v>3.8259229222312778E-2</v>
      </c>
      <c r="BT242" s="456">
        <f t="shared" si="689"/>
        <v>0.14137672783397834</v>
      </c>
      <c r="BU242" s="456">
        <f t="shared" si="690"/>
        <v>10.986850857794487</v>
      </c>
      <c r="BV242" s="456"/>
      <c r="BW242" s="456">
        <f t="shared" si="691"/>
        <v>1.3472696779221831</v>
      </c>
      <c r="BX242" s="144">
        <f t="shared" si="692"/>
        <v>12513.756492772962</v>
      </c>
      <c r="BY242" s="150">
        <f t="shared" si="693"/>
        <v>17.554138642452948</v>
      </c>
      <c r="BZ242" s="5">
        <f t="shared" si="694"/>
        <v>31.200000000000003</v>
      </c>
      <c r="CA242" s="150">
        <f t="shared" si="695"/>
        <v>0.63994567166514194</v>
      </c>
      <c r="CB242" s="5">
        <f t="shared" si="696"/>
        <v>63.994567166514194</v>
      </c>
      <c r="CE242" s="59">
        <f t="shared" si="636"/>
        <v>-50</v>
      </c>
      <c r="CF242">
        <f t="shared" si="637"/>
        <v>-50</v>
      </c>
      <c r="CG242" s="150">
        <f t="shared" si="638"/>
        <v>0.33771783093780133</v>
      </c>
      <c r="CI242" s="147">
        <v>26</v>
      </c>
      <c r="CJ242" s="188">
        <f t="shared" si="697"/>
        <v>1.04</v>
      </c>
      <c r="CK242" s="188"/>
      <c r="CL242" s="188">
        <f t="shared" si="639"/>
        <v>31.200000000000003</v>
      </c>
      <c r="CM242" s="465">
        <f t="shared" si="640"/>
        <v>48</v>
      </c>
      <c r="CN242" s="379">
        <f t="shared" si="641"/>
        <v>30.4</v>
      </c>
      <c r="CO242" s="379">
        <f t="shared" si="642"/>
        <v>78.400000000000006</v>
      </c>
      <c r="CP242" s="379"/>
      <c r="CQ242" s="188">
        <f t="shared" si="643"/>
        <v>0.38775510204081626</v>
      </c>
      <c r="CR242" s="149">
        <f t="shared" si="644"/>
        <v>284.85494809142222</v>
      </c>
      <c r="CS242" s="149">
        <f t="shared" si="645"/>
        <v>31.200000000000003</v>
      </c>
      <c r="CT242" s="188">
        <f t="shared" si="646"/>
        <v>9.4951649363807409</v>
      </c>
      <c r="CU242" s="188">
        <f t="shared" si="647"/>
        <v>30</v>
      </c>
      <c r="CV242" s="188"/>
      <c r="CW242" s="149">
        <f t="shared" si="648"/>
        <v>651.33015934597222</v>
      </c>
      <c r="CX242" s="149">
        <f t="shared" si="649"/>
        <v>30</v>
      </c>
      <c r="CY242" s="188">
        <f t="shared" si="650"/>
        <v>3.3526315789473693</v>
      </c>
      <c r="CZ242" s="188">
        <f t="shared" si="651"/>
        <v>0.32827850877192993</v>
      </c>
      <c r="DA242" s="188">
        <f t="shared" si="652"/>
        <v>0.51833448753462619</v>
      </c>
      <c r="DB242" s="172">
        <f t="shared" si="653"/>
        <v>350</v>
      </c>
      <c r="DC242" s="379">
        <f t="shared" si="654"/>
        <v>350</v>
      </c>
      <c r="DE242" s="188">
        <f t="shared" si="655"/>
        <v>11.314434588425037</v>
      </c>
      <c r="DF242" s="150">
        <f t="shared" si="656"/>
        <v>1.7492711370262393</v>
      </c>
      <c r="DG242" s="150">
        <f t="shared" si="657"/>
        <v>3.463602425028073</v>
      </c>
      <c r="DH242" s="150"/>
      <c r="DI242" s="150">
        <f t="shared" si="658"/>
        <v>0.93700159489633172</v>
      </c>
      <c r="DJ242" s="314">
        <f t="shared" si="659"/>
        <v>366.27472340425533</v>
      </c>
      <c r="DK242" s="456">
        <f t="shared" si="660"/>
        <v>0.99378957034459414</v>
      </c>
      <c r="DM242" s="150">
        <f t="shared" si="661"/>
        <v>6.1999117554265224</v>
      </c>
      <c r="DN242" s="150">
        <f t="shared" si="662"/>
        <v>6.1999117554265224</v>
      </c>
      <c r="DO242" s="150">
        <f t="shared" si="663"/>
        <v>1.3031894035707123</v>
      </c>
      <c r="DQ242" s="314">
        <f t="shared" si="664"/>
        <v>1040</v>
      </c>
      <c r="DR242" s="144">
        <f t="shared" si="665"/>
        <v>350</v>
      </c>
      <c r="DT242">
        <f t="shared" si="666"/>
        <v>1040</v>
      </c>
      <c r="DU242">
        <f t="shared" si="667"/>
        <v>350</v>
      </c>
      <c r="DW242" s="5">
        <f t="shared" si="668"/>
        <v>2.8571428571428572</v>
      </c>
      <c r="DX242" s="5">
        <f t="shared" si="669"/>
        <v>0.60707469271884695</v>
      </c>
      <c r="DY242" s="5">
        <f t="shared" si="670"/>
        <v>2.2500681644240101</v>
      </c>
      <c r="DZ242" s="5"/>
      <c r="EA242" s="150">
        <f t="shared" si="671"/>
        <v>0.21247614245159643</v>
      </c>
      <c r="EB242" s="150">
        <f t="shared" si="698"/>
        <v>31.615999999999993</v>
      </c>
      <c r="EC242" s="150">
        <f t="shared" si="699"/>
        <v>2.4412892110465947</v>
      </c>
      <c r="ED242" s="150">
        <f t="shared" si="700"/>
        <v>12.950534437681815</v>
      </c>
      <c r="EE242" s="144">
        <f t="shared" si="672"/>
        <v>2.104525601425336</v>
      </c>
      <c r="EF242" s="5">
        <f t="shared" si="673"/>
        <v>0.86032018051506254</v>
      </c>
      <c r="EH242" s="150">
        <f t="shared" si="701"/>
        <v>1.6499848907539059</v>
      </c>
      <c r="EI242" s="150">
        <f t="shared" si="702"/>
        <v>3.1765576418468808</v>
      </c>
      <c r="EK242" s="456">
        <f t="shared" si="703"/>
        <v>3.2669401676594149E-2</v>
      </c>
      <c r="EL242" s="456">
        <f t="shared" si="704"/>
        <v>3.232385992809172</v>
      </c>
      <c r="EM242" s="456">
        <f t="shared" si="705"/>
        <v>4.0250000000000001E-2</v>
      </c>
      <c r="EN242" s="456">
        <f t="shared" si="706"/>
        <v>1.1132956800000005</v>
      </c>
      <c r="EO242">
        <f t="shared" si="707"/>
        <v>2.1600000000000001E-2</v>
      </c>
      <c r="EP242" s="144">
        <f t="shared" si="708"/>
        <v>61.85</v>
      </c>
      <c r="EQ242" s="144"/>
      <c r="ER242" s="144">
        <f t="shared" si="709"/>
        <v>4440.2010744857671</v>
      </c>
      <c r="ES242" s="456">
        <f t="shared" si="710"/>
        <v>0.72799999999999998</v>
      </c>
      <c r="EV242" s="144">
        <f t="shared" si="711"/>
        <v>728</v>
      </c>
      <c r="EW242" s="456">
        <f t="shared" si="712"/>
        <v>3.8114301956026504E-2</v>
      </c>
      <c r="EX242" s="456">
        <f t="shared" si="713"/>
        <v>0.14126725832766143</v>
      </c>
      <c r="EY242" s="456">
        <f t="shared" si="714"/>
        <v>10.967405109789508</v>
      </c>
      <c r="EZ242" s="456"/>
      <c r="FA242" s="456">
        <f t="shared" si="715"/>
        <v>1.3453617021276596</v>
      </c>
      <c r="FB242" s="144">
        <f t="shared" si="716"/>
        <v>12492.148372200856</v>
      </c>
      <c r="FC242" s="150">
        <f t="shared" si="717"/>
        <v>17.660349446686624</v>
      </c>
      <c r="FD242" s="5">
        <f t="shared" si="718"/>
        <v>31.200000000000003</v>
      </c>
      <c r="FE242" s="150">
        <f t="shared" si="719"/>
        <v>0.6385545816458702</v>
      </c>
      <c r="FF242" s="5">
        <f t="shared" si="720"/>
        <v>63.85545816458702</v>
      </c>
      <c r="FI242" s="59">
        <f t="shared" si="674"/>
        <v>-50</v>
      </c>
      <c r="FJ242">
        <f t="shared" si="675"/>
        <v>-50</v>
      </c>
      <c r="FL242">
        <f t="shared" si="676"/>
        <v>0.33548864597620492</v>
      </c>
    </row>
    <row r="243" spans="5:168">
      <c r="E243" s="147">
        <v>27</v>
      </c>
      <c r="F243" s="188">
        <f t="shared" si="677"/>
        <v>1.08</v>
      </c>
      <c r="G243" s="188"/>
      <c r="H243" s="188">
        <f t="shared" si="602"/>
        <v>32.400000000000006</v>
      </c>
      <c r="I243" s="465">
        <f t="shared" si="603"/>
        <v>47.918407938880733</v>
      </c>
      <c r="J243" s="149">
        <f t="shared" si="604"/>
        <v>30.443934186756525</v>
      </c>
      <c r="K243" s="149">
        <f t="shared" si="605"/>
        <v>78.362342125637255</v>
      </c>
      <c r="L243" s="379"/>
      <c r="M243" s="188">
        <f t="shared" si="606"/>
        <v>0.38850437431584256</v>
      </c>
      <c r="N243" s="149">
        <f t="shared" si="607"/>
        <v>284.92024097804608</v>
      </c>
      <c r="O243" s="149">
        <f t="shared" si="598"/>
        <v>32.400000000000006</v>
      </c>
      <c r="P243" s="188">
        <f t="shared" si="608"/>
        <v>9.4973413659348687</v>
      </c>
      <c r="Q243" s="188">
        <f t="shared" si="609"/>
        <v>30</v>
      </c>
      <c r="R243" s="188"/>
      <c r="S243" s="149">
        <f t="shared" si="610"/>
        <v>624.36827484869593</v>
      </c>
      <c r="T243" s="149">
        <f t="shared" si="611"/>
        <v>30</v>
      </c>
      <c r="U243" s="188">
        <f t="shared" si="612"/>
        <v>3.4807811018425929</v>
      </c>
      <c r="V243" s="188">
        <f t="shared" si="613"/>
        <v>0.34140681801295908</v>
      </c>
      <c r="W243" s="188">
        <f t="shared" si="614"/>
        <v>0.53737046855714332</v>
      </c>
      <c r="X243" s="172">
        <f t="shared" si="615"/>
        <v>350</v>
      </c>
      <c r="Y243" s="379">
        <f t="shared" si="678"/>
        <v>350</v>
      </c>
      <c r="AA243" s="188">
        <f t="shared" si="616"/>
        <v>11.316961662975416</v>
      </c>
      <c r="AB243" s="150">
        <f t="shared" si="617"/>
        <v>1.7471368677154289</v>
      </c>
      <c r="AC243" s="150">
        <f t="shared" si="618"/>
        <v>3.4601491665836308</v>
      </c>
      <c r="AD243" s="150"/>
      <c r="AE243" s="150">
        <f t="shared" si="619"/>
        <v>0.93564939111055279</v>
      </c>
      <c r="AF243" s="314">
        <f t="shared" si="620"/>
        <v>380.91191357157544</v>
      </c>
      <c r="AG243" s="456">
        <f t="shared" si="621"/>
        <v>0.99235541481422262</v>
      </c>
      <c r="AI243" s="150">
        <f t="shared" si="622"/>
        <v>6.3225796860586714</v>
      </c>
      <c r="AJ243" s="150">
        <f t="shared" si="623"/>
        <v>6.3225796860586714</v>
      </c>
      <c r="AK243" s="150">
        <f t="shared" si="624"/>
        <v>1.3940545373723043</v>
      </c>
      <c r="AM243" s="314">
        <f t="shared" si="625"/>
        <v>1080</v>
      </c>
      <c r="AN243" s="144">
        <f t="shared" si="626"/>
        <v>350</v>
      </c>
      <c r="AP243">
        <f t="shared" si="627"/>
        <v>1080</v>
      </c>
      <c r="AQ243">
        <f t="shared" si="628"/>
        <v>350</v>
      </c>
      <c r="AS243" s="5">
        <f t="shared" si="599"/>
        <v>2.8571428571428572</v>
      </c>
      <c r="AT243" s="5">
        <f t="shared" si="629"/>
        <v>0.62014006313353021</v>
      </c>
      <c r="AU243" s="5">
        <f t="shared" si="721"/>
        <v>2.2370027940093271</v>
      </c>
      <c r="AV243" s="5"/>
      <c r="AW243" s="150">
        <f t="shared" si="722"/>
        <v>0.21704902209673557</v>
      </c>
      <c r="AX243" s="150">
        <f t="shared" si="630"/>
        <v>32.879448921697048</v>
      </c>
      <c r="AY243" s="150">
        <f t="shared" si="631"/>
        <v>2.4751349740354756</v>
      </c>
      <c r="AZ243" s="150">
        <f t="shared" si="632"/>
        <v>13.283901389866504</v>
      </c>
      <c r="BA243" s="144">
        <f t="shared" si="593"/>
        <v>2.232504227280709</v>
      </c>
      <c r="BB243" s="5">
        <f t="shared" si="594"/>
        <v>0.889734098432584</v>
      </c>
      <c r="BD243" s="150">
        <f t="shared" si="679"/>
        <v>1.7006408274903959</v>
      </c>
      <c r="BE243" s="150">
        <f t="shared" si="680"/>
        <v>3.2299884527234304</v>
      </c>
      <c r="BG243" s="456">
        <f t="shared" si="681"/>
        <v>3.4706150689526621E-2</v>
      </c>
      <c r="BH243" s="456">
        <f t="shared" si="633"/>
        <v>3.1647006239374726</v>
      </c>
      <c r="BI243" s="456">
        <f t="shared" si="682"/>
        <v>4.0250000000000001E-2</v>
      </c>
      <c r="BJ243" s="456">
        <f t="shared" si="683"/>
        <v>1.1122264381611187</v>
      </c>
      <c r="BK243">
        <f t="shared" si="684"/>
        <v>2.1563283572496331E-2</v>
      </c>
      <c r="BL243" s="144">
        <f t="shared" si="685"/>
        <v>61.813283572496331</v>
      </c>
      <c r="BM243" s="456">
        <f t="shared" si="634"/>
        <v>4.3569319244877613</v>
      </c>
      <c r="BN243" s="144">
        <f t="shared" si="686"/>
        <v>4356.9319244877615</v>
      </c>
      <c r="BO243" s="456">
        <f t="shared" si="635"/>
        <v>0.75600000000000001</v>
      </c>
      <c r="BR243" s="144">
        <f t="shared" si="687"/>
        <v>756</v>
      </c>
      <c r="BS243" s="456">
        <f t="shared" si="688"/>
        <v>4.0490509137781058E-2</v>
      </c>
      <c r="BT243" s="456">
        <f t="shared" si="689"/>
        <v>0.14605955566617379</v>
      </c>
      <c r="BU243" s="456">
        <f t="shared" si="690"/>
        <v>11.517968708312084</v>
      </c>
      <c r="BV243" s="456"/>
      <c r="BW243" s="456">
        <f t="shared" si="691"/>
        <v>1.3991254860296622</v>
      </c>
      <c r="BX243" s="144">
        <f t="shared" si="692"/>
        <v>13103.644259145702</v>
      </c>
      <c r="BY243" s="150">
        <f t="shared" si="693"/>
        <v>18.233090755506314</v>
      </c>
      <c r="BZ243" s="5">
        <f t="shared" si="694"/>
        <v>32.400000000000006</v>
      </c>
      <c r="CA243" s="150">
        <f t="shared" si="695"/>
        <v>0.63989773321267229</v>
      </c>
      <c r="CB243" s="5">
        <f t="shared" si="696"/>
        <v>63.989773321267229</v>
      </c>
      <c r="CE243" s="59">
        <f t="shared" si="636"/>
        <v>-50</v>
      </c>
      <c r="CF243">
        <f t="shared" si="637"/>
        <v>-50</v>
      </c>
      <c r="CG243" s="150">
        <f t="shared" si="638"/>
        <v>0.3441511295927997</v>
      </c>
      <c r="CI243" s="147">
        <v>27</v>
      </c>
      <c r="CJ243" s="188">
        <f t="shared" si="697"/>
        <v>1.08</v>
      </c>
      <c r="CK243" s="188"/>
      <c r="CL243" s="188">
        <f t="shared" si="639"/>
        <v>32.400000000000006</v>
      </c>
      <c r="CM243" s="465">
        <f t="shared" si="640"/>
        <v>48</v>
      </c>
      <c r="CN243" s="379">
        <f t="shared" si="641"/>
        <v>30.4</v>
      </c>
      <c r="CO243" s="379">
        <f t="shared" si="642"/>
        <v>78.400000000000006</v>
      </c>
      <c r="CP243" s="379"/>
      <c r="CQ243" s="188">
        <f t="shared" si="643"/>
        <v>0.38775510204081626</v>
      </c>
      <c r="CR243" s="149">
        <f t="shared" si="644"/>
        <v>284.85494809142222</v>
      </c>
      <c r="CS243" s="149">
        <f t="shared" si="645"/>
        <v>32.400000000000006</v>
      </c>
      <c r="CT243" s="188">
        <f t="shared" si="646"/>
        <v>9.4951649363807409</v>
      </c>
      <c r="CU243" s="188">
        <f t="shared" si="647"/>
        <v>30</v>
      </c>
      <c r="CV243" s="188"/>
      <c r="CW243" s="149">
        <f t="shared" si="648"/>
        <v>625.43135259231246</v>
      </c>
      <c r="CX243" s="149">
        <f t="shared" si="649"/>
        <v>30</v>
      </c>
      <c r="CY243" s="188">
        <f t="shared" si="650"/>
        <v>3.4815789473684227</v>
      </c>
      <c r="CZ243" s="188">
        <f t="shared" si="651"/>
        <v>0.34090460526315802</v>
      </c>
      <c r="DA243" s="188">
        <f t="shared" si="652"/>
        <v>0.53827042936288116</v>
      </c>
      <c r="DB243" s="172">
        <f t="shared" si="653"/>
        <v>350</v>
      </c>
      <c r="DC243" s="379">
        <f t="shared" si="654"/>
        <v>350</v>
      </c>
      <c r="DE243" s="188">
        <f t="shared" si="655"/>
        <v>11.314434588425037</v>
      </c>
      <c r="DF243" s="150">
        <f t="shared" si="656"/>
        <v>1.7492711370262393</v>
      </c>
      <c r="DG243" s="150">
        <f t="shared" si="657"/>
        <v>3.463602425028073</v>
      </c>
      <c r="DH243" s="150"/>
      <c r="DI243" s="150">
        <f t="shared" si="658"/>
        <v>0.93700159489633172</v>
      </c>
      <c r="DJ243" s="314">
        <f t="shared" si="659"/>
        <v>380.36221276595745</v>
      </c>
      <c r="DK243" s="456">
        <f t="shared" si="660"/>
        <v>0.99378957034459414</v>
      </c>
      <c r="DM243" s="150">
        <f t="shared" si="661"/>
        <v>6.3180159249533023</v>
      </c>
      <c r="DN243" s="150">
        <f t="shared" si="662"/>
        <v>6.3180159249533023</v>
      </c>
      <c r="DO243" s="150">
        <f t="shared" si="663"/>
        <v>1.3906739735905493</v>
      </c>
      <c r="DQ243" s="314">
        <f t="shared" si="664"/>
        <v>1080</v>
      </c>
      <c r="DR243" s="144">
        <f t="shared" si="665"/>
        <v>350</v>
      </c>
      <c r="DT243">
        <f t="shared" si="666"/>
        <v>1080</v>
      </c>
      <c r="DU243">
        <f t="shared" si="667"/>
        <v>350</v>
      </c>
      <c r="DW243" s="5">
        <f t="shared" si="668"/>
        <v>2.8571428571428572</v>
      </c>
      <c r="DX243" s="5">
        <f t="shared" si="669"/>
        <v>0.61863905931834406</v>
      </c>
      <c r="DY243" s="5">
        <f t="shared" si="670"/>
        <v>2.2385037978245133</v>
      </c>
      <c r="DZ243" s="5"/>
      <c r="EA243" s="150">
        <f t="shared" si="671"/>
        <v>0.21652367076142043</v>
      </c>
      <c r="EB243" s="150">
        <f t="shared" si="698"/>
        <v>32.832000000000001</v>
      </c>
      <c r="EC243" s="150">
        <f t="shared" si="699"/>
        <v>2.475007962476651</v>
      </c>
      <c r="ED243" s="150">
        <f t="shared" si="700"/>
        <v>13.26541186847181</v>
      </c>
      <c r="EE243" s="144">
        <f t="shared" si="672"/>
        <v>2.2271006135460385</v>
      </c>
      <c r="EF243" s="5">
        <f t="shared" si="673"/>
        <v>0.8888176844303215</v>
      </c>
      <c r="EH243" s="150">
        <f t="shared" si="701"/>
        <v>1.6973553728605881</v>
      </c>
      <c r="EI243" s="150">
        <f t="shared" si="702"/>
        <v>3.2287396634304755</v>
      </c>
      <c r="EK243" s="456">
        <f t="shared" si="703"/>
        <v>3.4572183141344477E-2</v>
      </c>
      <c r="EL243" s="456">
        <f t="shared" si="704"/>
        <v>3.2939607826336545</v>
      </c>
      <c r="EM243" s="456">
        <f t="shared" si="705"/>
        <v>4.0250000000000001E-2</v>
      </c>
      <c r="EN243" s="456">
        <f t="shared" si="706"/>
        <v>1.1132956800000005</v>
      </c>
      <c r="EO243">
        <f t="shared" si="707"/>
        <v>2.1600000000000001E-2</v>
      </c>
      <c r="EP243" s="144">
        <f t="shared" si="708"/>
        <v>61.85</v>
      </c>
      <c r="EQ243" s="144"/>
      <c r="ER243" s="144">
        <f t="shared" si="709"/>
        <v>4503.6786457749995</v>
      </c>
      <c r="ES243" s="456">
        <f t="shared" si="710"/>
        <v>0.75600000000000001</v>
      </c>
      <c r="EV243" s="144">
        <f t="shared" si="711"/>
        <v>756</v>
      </c>
      <c r="EW243" s="456">
        <f t="shared" si="712"/>
        <v>4.0334213664901891E-2</v>
      </c>
      <c r="EX243" s="456">
        <f t="shared" si="713"/>
        <v>0.14594663739892796</v>
      </c>
      <c r="EY243" s="456">
        <f t="shared" si="714"/>
        <v>11.497195223964477</v>
      </c>
      <c r="EZ243" s="456"/>
      <c r="FA243" s="456">
        <f t="shared" si="715"/>
        <v>1.3971063829787238</v>
      </c>
      <c r="FB243" s="144">
        <f t="shared" si="716"/>
        <v>13080.582458007029</v>
      </c>
      <c r="FC243" s="150">
        <f t="shared" si="717"/>
        <v>18.34026110378203</v>
      </c>
      <c r="FD243" s="5">
        <f t="shared" si="718"/>
        <v>32.400000000000006</v>
      </c>
      <c r="FE243" s="150">
        <f t="shared" si="719"/>
        <v>0.63854618197037627</v>
      </c>
      <c r="FF243" s="5">
        <f t="shared" si="720"/>
        <v>63.854618197037624</v>
      </c>
      <c r="FI243" s="59">
        <f t="shared" si="674"/>
        <v>-50</v>
      </c>
      <c r="FJ243">
        <f t="shared" si="675"/>
        <v>-50</v>
      </c>
      <c r="FL243">
        <f t="shared" si="676"/>
        <v>0.34187948014961128</v>
      </c>
    </row>
    <row r="244" spans="5:168">
      <c r="E244" s="147">
        <v>28</v>
      </c>
      <c r="F244" s="188">
        <f t="shared" si="677"/>
        <v>1.1200000000000001</v>
      </c>
      <c r="G244" s="188"/>
      <c r="H244" s="188">
        <f t="shared" si="602"/>
        <v>33.6</v>
      </c>
      <c r="I244" s="465">
        <f t="shared" si="603"/>
        <v>47.916910711958558</v>
      </c>
      <c r="J244" s="149">
        <f t="shared" si="604"/>
        <v>30.444740385868467</v>
      </c>
      <c r="K244" s="149">
        <f t="shared" si="605"/>
        <v>78.361651097827021</v>
      </c>
      <c r="L244" s="379"/>
      <c r="M244" s="188">
        <f t="shared" si="606"/>
        <v>0.38851813025427939</v>
      </c>
      <c r="N244" s="149">
        <f t="shared" si="607"/>
        <v>284.92142652447399</v>
      </c>
      <c r="O244" s="149">
        <f t="shared" si="598"/>
        <v>33.6</v>
      </c>
      <c r="P244" s="188">
        <f t="shared" si="608"/>
        <v>9.4973808841491323</v>
      </c>
      <c r="Q244" s="188">
        <f t="shared" si="609"/>
        <v>30</v>
      </c>
      <c r="R244" s="188"/>
      <c r="S244" s="149">
        <f t="shared" si="610"/>
        <v>600.3416004121882</v>
      </c>
      <c r="T244" s="149">
        <f t="shared" si="611"/>
        <v>30</v>
      </c>
      <c r="U244" s="188">
        <f t="shared" si="612"/>
        <v>3.6096839006194621</v>
      </c>
      <c r="V244" s="188">
        <f t="shared" si="613"/>
        <v>0.35406110454189632</v>
      </c>
      <c r="W244" s="188">
        <f t="shared" si="614"/>
        <v>0.55725600277367948</v>
      </c>
      <c r="X244" s="172">
        <f t="shared" si="615"/>
        <v>350</v>
      </c>
      <c r="Y244" s="379">
        <f t="shared" si="678"/>
        <v>350</v>
      </c>
      <c r="AA244" s="188">
        <f t="shared" si="616"/>
        <v>11.317007538219171</v>
      </c>
      <c r="AB244" s="150">
        <f t="shared" si="617"/>
        <v>1.7470976843776689</v>
      </c>
      <c r="AC244" s="150">
        <f t="shared" si="618"/>
        <v>3.4600855912187836</v>
      </c>
      <c r="AD244" s="150"/>
      <c r="AE244" s="150">
        <f t="shared" si="619"/>
        <v>0.93562461442667755</v>
      </c>
      <c r="AF244" s="314">
        <f t="shared" si="620"/>
        <v>395.03022291314954</v>
      </c>
      <c r="AG244" s="456">
        <f t="shared" si="621"/>
        <v>0.99232913651314292</v>
      </c>
      <c r="AI244" s="150">
        <f t="shared" si="622"/>
        <v>6.4386852508474481</v>
      </c>
      <c r="AJ244" s="150">
        <f t="shared" si="623"/>
        <v>6.4386852508474481</v>
      </c>
      <c r="AK244" s="150">
        <f t="shared" si="624"/>
        <v>1.4800586594380649</v>
      </c>
      <c r="AM244" s="314">
        <f t="shared" si="625"/>
        <v>1120</v>
      </c>
      <c r="AN244" s="144">
        <f t="shared" si="626"/>
        <v>350</v>
      </c>
      <c r="AP244">
        <f t="shared" si="627"/>
        <v>1120</v>
      </c>
      <c r="AQ244">
        <f t="shared" si="628"/>
        <v>350</v>
      </c>
      <c r="AS244" s="5">
        <f t="shared" si="599"/>
        <v>2.8571428571428572</v>
      </c>
      <c r="AT244" s="5">
        <f t="shared" si="629"/>
        <v>0.63154782370873097</v>
      </c>
      <c r="AU244" s="5">
        <f t="shared" si="721"/>
        <v>2.2255950334341263</v>
      </c>
      <c r="AV244" s="5"/>
      <c r="AW244" s="150">
        <f t="shared" si="722"/>
        <v>0.22104173829805585</v>
      </c>
      <c r="AX244" s="150">
        <f t="shared" si="630"/>
        <v>34.098109232172682</v>
      </c>
      <c r="AY244" s="150">
        <f t="shared" si="631"/>
        <v>2.5077335353230374</v>
      </c>
      <c r="AZ244" s="150">
        <f t="shared" si="632"/>
        <v>13.597181978020757</v>
      </c>
      <c r="BA244" s="144">
        <f t="shared" si="593"/>
        <v>2.3577785418459292</v>
      </c>
      <c r="BB244" s="5">
        <f t="shared" si="594"/>
        <v>0.91801058531248092</v>
      </c>
      <c r="BD244" s="150">
        <f t="shared" si="679"/>
        <v>1.7477274678469876</v>
      </c>
      <c r="BE244" s="150">
        <f t="shared" si="680"/>
        <v>3.2809050506366857</v>
      </c>
      <c r="BG244" s="456">
        <f t="shared" si="681"/>
        <v>3.6654615622402117E-2</v>
      </c>
      <c r="BH244" s="456">
        <f t="shared" si="633"/>
        <v>3.2227876207066033</v>
      </c>
      <c r="BI244" s="456">
        <f t="shared" si="682"/>
        <v>4.0250000000000001E-2</v>
      </c>
      <c r="BJ244" s="456">
        <f t="shared" si="683"/>
        <v>1.1122068222080885</v>
      </c>
      <c r="BK244">
        <f t="shared" si="684"/>
        <v>2.156260982038135E-2</v>
      </c>
      <c r="BL244" s="144">
        <f t="shared" si="685"/>
        <v>61.812609820381354</v>
      </c>
      <c r="BM244" s="456">
        <f t="shared" si="634"/>
        <v>4.4200405419300743</v>
      </c>
      <c r="BN244" s="144">
        <f t="shared" si="686"/>
        <v>4420.0405419300741</v>
      </c>
      <c r="BO244" s="456">
        <f t="shared" si="635"/>
        <v>0.78400000000000003</v>
      </c>
      <c r="BR244" s="144">
        <f t="shared" si="687"/>
        <v>784</v>
      </c>
      <c r="BS244" s="456">
        <f t="shared" si="688"/>
        <v>4.2763718226135804E-2</v>
      </c>
      <c r="BT244" s="456">
        <f t="shared" si="689"/>
        <v>0.15070073131810641</v>
      </c>
      <c r="BU244" s="456">
        <f t="shared" si="690"/>
        <v>12.054053204387333</v>
      </c>
      <c r="BV244" s="456"/>
      <c r="BW244" s="456">
        <f t="shared" si="691"/>
        <v>1.4509833715818163</v>
      </c>
      <c r="BX244" s="144">
        <f t="shared" si="692"/>
        <v>13698.501025513393</v>
      </c>
      <c r="BY244" s="150">
        <f t="shared" si="693"/>
        <v>18.915962693870867</v>
      </c>
      <c r="BZ244" s="5">
        <f t="shared" si="694"/>
        <v>33.6</v>
      </c>
      <c r="CA244" s="150">
        <f t="shared" si="695"/>
        <v>0.63980546630865542</v>
      </c>
      <c r="CB244" s="5">
        <f t="shared" si="696"/>
        <v>63.98054663086554</v>
      </c>
      <c r="CE244" s="59">
        <f t="shared" si="636"/>
        <v>-50</v>
      </c>
      <c r="CF244">
        <f t="shared" si="637"/>
        <v>-50</v>
      </c>
      <c r="CG244" s="150">
        <f t="shared" si="638"/>
        <v>0.35046635596968034</v>
      </c>
      <c r="CI244" s="147">
        <v>28</v>
      </c>
      <c r="CJ244" s="188">
        <f t="shared" si="697"/>
        <v>1.1200000000000001</v>
      </c>
      <c r="CK244" s="188"/>
      <c r="CL244" s="188">
        <f t="shared" si="639"/>
        <v>33.6</v>
      </c>
      <c r="CM244" s="465">
        <f t="shared" si="640"/>
        <v>48</v>
      </c>
      <c r="CN244" s="379">
        <f t="shared" si="641"/>
        <v>30.4</v>
      </c>
      <c r="CO244" s="379">
        <f t="shared" si="642"/>
        <v>78.400000000000006</v>
      </c>
      <c r="CP244" s="379"/>
      <c r="CQ244" s="188">
        <f t="shared" si="643"/>
        <v>0.38775510204081626</v>
      </c>
      <c r="CR244" s="149">
        <f t="shared" si="644"/>
        <v>284.85494809142222</v>
      </c>
      <c r="CS244" s="149">
        <f t="shared" si="645"/>
        <v>33.6</v>
      </c>
      <c r="CT244" s="188">
        <f t="shared" si="646"/>
        <v>9.4951649363807409</v>
      </c>
      <c r="CU244" s="188">
        <f t="shared" si="647"/>
        <v>30</v>
      </c>
      <c r="CV244" s="188"/>
      <c r="CW244" s="149">
        <f t="shared" si="648"/>
        <v>601.38255456268053</v>
      </c>
      <c r="CX244" s="149">
        <f t="shared" si="649"/>
        <v>30</v>
      </c>
      <c r="CY244" s="188">
        <f t="shared" si="650"/>
        <v>3.6105263157894747</v>
      </c>
      <c r="CZ244" s="188">
        <f t="shared" si="651"/>
        <v>0.35353070175438611</v>
      </c>
      <c r="DA244" s="188">
        <f t="shared" si="652"/>
        <v>0.55820637119113592</v>
      </c>
      <c r="DB244" s="172">
        <f t="shared" si="653"/>
        <v>350</v>
      </c>
      <c r="DC244" s="379">
        <f t="shared" si="654"/>
        <v>350</v>
      </c>
      <c r="DE244" s="188">
        <f t="shared" si="655"/>
        <v>11.314434588425037</v>
      </c>
      <c r="DF244" s="150">
        <f t="shared" si="656"/>
        <v>1.7492711370262393</v>
      </c>
      <c r="DG244" s="150">
        <f t="shared" si="657"/>
        <v>3.463602425028073</v>
      </c>
      <c r="DH244" s="150"/>
      <c r="DI244" s="150">
        <f t="shared" si="658"/>
        <v>0.93700159489633172</v>
      </c>
      <c r="DJ244" s="314">
        <f t="shared" si="659"/>
        <v>394.44970212765963</v>
      </c>
      <c r="DK244" s="456">
        <f t="shared" si="660"/>
        <v>0.99378957034459414</v>
      </c>
      <c r="DM244" s="150">
        <f t="shared" si="661"/>
        <v>6.4339524928966538</v>
      </c>
      <c r="DN244" s="150">
        <f t="shared" si="662"/>
        <v>6.4339524928966538</v>
      </c>
      <c r="DO244" s="150">
        <f t="shared" si="663"/>
        <v>1.476552912807847</v>
      </c>
      <c r="DQ244" s="314">
        <f t="shared" si="664"/>
        <v>1120</v>
      </c>
      <c r="DR244" s="144">
        <f t="shared" si="665"/>
        <v>350</v>
      </c>
      <c r="DT244">
        <f t="shared" si="666"/>
        <v>1120</v>
      </c>
      <c r="DU244">
        <f t="shared" si="667"/>
        <v>350</v>
      </c>
      <c r="DW244" s="5">
        <f t="shared" si="668"/>
        <v>2.8571428571428572</v>
      </c>
      <c r="DX244" s="5">
        <f t="shared" si="669"/>
        <v>0.62999118159613066</v>
      </c>
      <c r="DY244" s="5">
        <f t="shared" si="670"/>
        <v>2.2271516755467267</v>
      </c>
      <c r="DZ244" s="5"/>
      <c r="EA244" s="150">
        <f t="shared" si="671"/>
        <v>0.22049691355864573</v>
      </c>
      <c r="EB244" s="150">
        <f t="shared" si="698"/>
        <v>34.048000000000002</v>
      </c>
      <c r="EC244" s="150">
        <f t="shared" si="699"/>
        <v>2.5076429131149935</v>
      </c>
      <c r="ED244" s="150">
        <f t="shared" si="700"/>
        <v>13.577690755700772</v>
      </c>
      <c r="EE244" s="144">
        <f t="shared" si="672"/>
        <v>2.3519670779588879</v>
      </c>
      <c r="EF244" s="5">
        <f t="shared" si="673"/>
        <v>0.9170624546368874</v>
      </c>
      <c r="EH244" s="150">
        <f t="shared" si="701"/>
        <v>1.7442891519268806</v>
      </c>
      <c r="EI244" s="150">
        <f t="shared" si="702"/>
        <v>3.2796397538074045</v>
      </c>
      <c r="EK244" s="456">
        <f t="shared" si="703"/>
        <v>3.6510535746357556E-2</v>
      </c>
      <c r="EL244" s="456">
        <f t="shared" si="704"/>
        <v>3.3544054716965999</v>
      </c>
      <c r="EM244" s="456">
        <f t="shared" si="705"/>
        <v>4.0250000000000001E-2</v>
      </c>
      <c r="EN244" s="456">
        <f t="shared" si="706"/>
        <v>1.1132956800000005</v>
      </c>
      <c r="EO244">
        <f t="shared" si="707"/>
        <v>2.1600000000000001E-2</v>
      </c>
      <c r="EP244" s="144">
        <f t="shared" si="708"/>
        <v>61.85</v>
      </c>
      <c r="EQ244" s="144"/>
      <c r="ER244" s="144">
        <f t="shared" si="709"/>
        <v>4566.0616874429579</v>
      </c>
      <c r="ES244" s="456">
        <f t="shared" si="710"/>
        <v>0.78400000000000003</v>
      </c>
      <c r="EV244" s="144">
        <f t="shared" si="711"/>
        <v>784</v>
      </c>
      <c r="EW244" s="456">
        <f t="shared" si="712"/>
        <v>4.2595625037417151E-2</v>
      </c>
      <c r="EX244" s="456">
        <f t="shared" si="713"/>
        <v>0.15058451680655449</v>
      </c>
      <c r="EY244" s="456">
        <f t="shared" si="714"/>
        <v>12.031914573826795</v>
      </c>
      <c r="EZ244" s="456"/>
      <c r="FA244" s="456">
        <f t="shared" si="715"/>
        <v>1.4488510638297873</v>
      </c>
      <c r="FB244" s="144">
        <f t="shared" si="716"/>
        <v>13673.945779500553</v>
      </c>
      <c r="FC244" s="150">
        <f t="shared" si="717"/>
        <v>19.024007466943512</v>
      </c>
      <c r="FD244" s="5">
        <f t="shared" si="718"/>
        <v>33.6</v>
      </c>
      <c r="FE244" s="150">
        <f t="shared" si="719"/>
        <v>0.6384918522426537</v>
      </c>
      <c r="FF244" s="5">
        <f t="shared" si="720"/>
        <v>63.849185224265369</v>
      </c>
      <c r="FI244" s="59">
        <f t="shared" si="674"/>
        <v>-50</v>
      </c>
      <c r="FJ244">
        <f t="shared" si="675"/>
        <v>-50</v>
      </c>
      <c r="FL244">
        <f t="shared" si="676"/>
        <v>0.348153021408388</v>
      </c>
    </row>
    <row r="245" spans="5:168">
      <c r="E245" s="147">
        <v>29</v>
      </c>
      <c r="F245" s="188">
        <f t="shared" si="677"/>
        <v>1.1599999999999999</v>
      </c>
      <c r="G245" s="188"/>
      <c r="H245" s="188">
        <f t="shared" si="602"/>
        <v>34.799999999999997</v>
      </c>
      <c r="I245" s="465">
        <f t="shared" si="603"/>
        <v>47.915439990913093</v>
      </c>
      <c r="J245" s="149">
        <f t="shared" si="604"/>
        <v>30.445532312585257</v>
      </c>
      <c r="K245" s="149">
        <f t="shared" si="605"/>
        <v>78.360972303498357</v>
      </c>
      <c r="L245" s="379"/>
      <c r="M245" s="188">
        <f t="shared" si="606"/>
        <v>0.3885316429014109</v>
      </c>
      <c r="N245" s="149">
        <f t="shared" si="607"/>
        <v>284.92259064089671</v>
      </c>
      <c r="O245" s="149">
        <f t="shared" si="598"/>
        <v>34.799999999999997</v>
      </c>
      <c r="P245" s="188">
        <f t="shared" si="608"/>
        <v>9.4974196880298898</v>
      </c>
      <c r="Q245" s="188">
        <f t="shared" si="609"/>
        <v>30</v>
      </c>
      <c r="R245" s="188"/>
      <c r="S245" s="149">
        <f t="shared" si="610"/>
        <v>577.97245245181193</v>
      </c>
      <c r="T245" s="149">
        <f t="shared" si="611"/>
        <v>30</v>
      </c>
      <c r="U245" s="188">
        <f t="shared" si="612"/>
        <v>3.7385859078740711</v>
      </c>
      <c r="V245" s="188">
        <f t="shared" si="613"/>
        <v>0.36671590139505028</v>
      </c>
      <c r="W245" s="188">
        <f t="shared" si="614"/>
        <v>0.57714063221501533</v>
      </c>
      <c r="X245" s="172">
        <f t="shared" si="615"/>
        <v>350</v>
      </c>
      <c r="Y245" s="379">
        <f t="shared" si="678"/>
        <v>350</v>
      </c>
      <c r="AA245" s="188">
        <f t="shared" si="616"/>
        <v>11.317052583873147</v>
      </c>
      <c r="AB245" s="150">
        <f t="shared" si="617"/>
        <v>1.7470591940419646</v>
      </c>
      <c r="AC245" s="150">
        <f t="shared" si="618"/>
        <v>3.4600231340695919</v>
      </c>
      <c r="AD245" s="150"/>
      <c r="AE245" s="150">
        <f t="shared" si="619"/>
        <v>0.93560027764972642</v>
      </c>
      <c r="AF245" s="314">
        <f t="shared" si="620"/>
        <v>409.14908764415105</v>
      </c>
      <c r="AG245" s="456">
        <f t="shared" si="621"/>
        <v>0.99230332478001293</v>
      </c>
      <c r="AI245" s="150">
        <f t="shared" si="622"/>
        <v>6.5527383526319261</v>
      </c>
      <c r="AJ245" s="150">
        <f t="shared" si="623"/>
        <v>6.5527383526319261</v>
      </c>
      <c r="AK245" s="150">
        <f t="shared" si="624"/>
        <v>1.564542438537678</v>
      </c>
      <c r="AM245" s="314">
        <f t="shared" si="625"/>
        <v>1160</v>
      </c>
      <c r="AN245" s="144">
        <f t="shared" si="626"/>
        <v>350</v>
      </c>
      <c r="AP245">
        <f t="shared" si="627"/>
        <v>1160</v>
      </c>
      <c r="AQ245">
        <f t="shared" si="628"/>
        <v>350</v>
      </c>
      <c r="AS245" s="5">
        <f t="shared" si="599"/>
        <v>2.8571428571428572</v>
      </c>
      <c r="AT245" s="5">
        <f t="shared" si="629"/>
        <v>0.64275461653301535</v>
      </c>
      <c r="AU245" s="5">
        <f t="shared" si="721"/>
        <v>2.2143882406098419</v>
      </c>
      <c r="AV245" s="5"/>
      <c r="AW245" s="150">
        <f t="shared" si="722"/>
        <v>0.22496411578655537</v>
      </c>
      <c r="AX245" s="150">
        <f t="shared" si="630"/>
        <v>35.3168174825989</v>
      </c>
      <c r="AY245" s="150">
        <f t="shared" si="631"/>
        <v>2.5393036815757175</v>
      </c>
      <c r="AZ245" s="150">
        <f t="shared" si="632"/>
        <v>13.908071625637035</v>
      </c>
      <c r="BA245" s="144">
        <f t="shared" ref="BA245:BA308" si="723">F245*AT245/Vout_ripple*1000</f>
        <v>2.4853178505943259</v>
      </c>
      <c r="BB245" s="5">
        <f t="shared" ref="BB245:BB308" si="724">H245/Efficiency/I245*AU245/Vinripple1</f>
        <v>0.94603805944801977</v>
      </c>
      <c r="BD245" s="150">
        <f t="shared" si="679"/>
        <v>1.7943981973140803</v>
      </c>
      <c r="BE245" s="150">
        <f t="shared" si="680"/>
        <v>3.3306048122666501</v>
      </c>
      <c r="BG245" s="456">
        <f t="shared" si="681"/>
        <v>3.8638378686288256E-2</v>
      </c>
      <c r="BH245" s="456">
        <f t="shared" si="633"/>
        <v>3.2798467839440022</v>
      </c>
      <c r="BI245" s="456">
        <f t="shared" si="682"/>
        <v>4.0250000000000001E-2</v>
      </c>
      <c r="BJ245" s="456">
        <f t="shared" si="683"/>
        <v>1.1121875536908279</v>
      </c>
      <c r="BK245">
        <f t="shared" si="684"/>
        <v>2.156194799591089E-2</v>
      </c>
      <c r="BL245" s="144">
        <f t="shared" si="685"/>
        <v>61.811947995910884</v>
      </c>
      <c r="BM245" s="456">
        <f t="shared" si="634"/>
        <v>4.4822543192119575</v>
      </c>
      <c r="BN245" s="144">
        <f t="shared" si="686"/>
        <v>4482.2543192119574</v>
      </c>
      <c r="BO245" s="456">
        <f t="shared" si="635"/>
        <v>0.81199999999999994</v>
      </c>
      <c r="BR245" s="144">
        <f t="shared" si="687"/>
        <v>812</v>
      </c>
      <c r="BS245" s="456">
        <f t="shared" si="688"/>
        <v>4.5078108467336293E-2</v>
      </c>
      <c r="BT245" s="456">
        <f t="shared" si="689"/>
        <v>0.15530099781691276</v>
      </c>
      <c r="BU245" s="456">
        <f t="shared" si="690"/>
        <v>12.594971325596173</v>
      </c>
      <c r="BV245" s="456"/>
      <c r="BW245" s="456">
        <f t="shared" si="691"/>
        <v>1.5028432971318681</v>
      </c>
      <c r="BX245" s="144">
        <f t="shared" si="692"/>
        <v>14298.19372901229</v>
      </c>
      <c r="BY245" s="150">
        <f t="shared" si="693"/>
        <v>19.60267839332932</v>
      </c>
      <c r="BZ245" s="5">
        <f t="shared" si="694"/>
        <v>34.799999999999997</v>
      </c>
      <c r="CA245" s="150">
        <f t="shared" si="695"/>
        <v>0.63967438787475328</v>
      </c>
      <c r="CB245" s="5">
        <f t="shared" si="696"/>
        <v>63.967438787475331</v>
      </c>
      <c r="CE245" s="59">
        <f t="shared" si="636"/>
        <v>-50</v>
      </c>
      <c r="CF245">
        <f t="shared" si="637"/>
        <v>-50</v>
      </c>
      <c r="CG245" s="150">
        <f t="shared" si="638"/>
        <v>0.35666978191785931</v>
      </c>
      <c r="CI245" s="147">
        <v>29</v>
      </c>
      <c r="CJ245" s="188">
        <f t="shared" si="697"/>
        <v>1.1599999999999999</v>
      </c>
      <c r="CK245" s="188"/>
      <c r="CL245" s="188">
        <f t="shared" si="639"/>
        <v>34.799999999999997</v>
      </c>
      <c r="CM245" s="465">
        <f t="shared" si="640"/>
        <v>48</v>
      </c>
      <c r="CN245" s="379">
        <f t="shared" si="641"/>
        <v>30.4</v>
      </c>
      <c r="CO245" s="379">
        <f t="shared" si="642"/>
        <v>78.400000000000006</v>
      </c>
      <c r="CP245" s="379"/>
      <c r="CQ245" s="188">
        <f t="shared" si="643"/>
        <v>0.38775510204081626</v>
      </c>
      <c r="CR245" s="149">
        <f t="shared" si="644"/>
        <v>284.85494809142222</v>
      </c>
      <c r="CS245" s="149">
        <f t="shared" si="645"/>
        <v>34.799999999999997</v>
      </c>
      <c r="CT245" s="188">
        <f t="shared" si="646"/>
        <v>9.4951649363807409</v>
      </c>
      <c r="CU245" s="188">
        <f t="shared" si="647"/>
        <v>30</v>
      </c>
      <c r="CV245" s="188"/>
      <c r="CW245" s="149">
        <f t="shared" si="648"/>
        <v>578.99238581307304</v>
      </c>
      <c r="CX245" s="149">
        <f t="shared" si="649"/>
        <v>30</v>
      </c>
      <c r="CY245" s="188">
        <f t="shared" si="650"/>
        <v>3.7394736842105267</v>
      </c>
      <c r="CZ245" s="188">
        <f t="shared" si="651"/>
        <v>0.36615679824561403</v>
      </c>
      <c r="DA245" s="188">
        <f t="shared" si="652"/>
        <v>0.57814231301939056</v>
      </c>
      <c r="DB245" s="172">
        <f t="shared" si="653"/>
        <v>350</v>
      </c>
      <c r="DC245" s="379">
        <f t="shared" si="654"/>
        <v>350</v>
      </c>
      <c r="DE245" s="188">
        <f t="shared" si="655"/>
        <v>11.314434588425037</v>
      </c>
      <c r="DF245" s="150">
        <f t="shared" si="656"/>
        <v>1.7492711370262393</v>
      </c>
      <c r="DG245" s="150">
        <f t="shared" si="657"/>
        <v>3.463602425028073</v>
      </c>
      <c r="DH245" s="150"/>
      <c r="DI245" s="150">
        <f t="shared" si="658"/>
        <v>0.93700159489633172</v>
      </c>
      <c r="DJ245" s="314">
        <f t="shared" si="659"/>
        <v>408.5371914893617</v>
      </c>
      <c r="DK245" s="456">
        <f t="shared" si="660"/>
        <v>0.99378957034459414</v>
      </c>
      <c r="DM245" s="150">
        <f t="shared" si="661"/>
        <v>6.5478365994989973</v>
      </c>
      <c r="DN245" s="150">
        <f t="shared" si="662"/>
        <v>6.5478365994989973</v>
      </c>
      <c r="DO245" s="150">
        <f t="shared" si="663"/>
        <v>1.5609115102910642</v>
      </c>
      <c r="DQ245" s="314">
        <f t="shared" si="664"/>
        <v>1160</v>
      </c>
      <c r="DR245" s="144">
        <f t="shared" si="665"/>
        <v>350</v>
      </c>
      <c r="DT245">
        <f t="shared" si="666"/>
        <v>1160</v>
      </c>
      <c r="DU245">
        <f t="shared" si="667"/>
        <v>350</v>
      </c>
      <c r="DW245" s="5">
        <f t="shared" si="668"/>
        <v>2.8571428571428572</v>
      </c>
      <c r="DX245" s="5">
        <f t="shared" si="669"/>
        <v>0.64114233370094342</v>
      </c>
      <c r="DY245" s="5">
        <f t="shared" si="670"/>
        <v>2.216000523441914</v>
      </c>
      <c r="DZ245" s="5"/>
      <c r="EA245" s="150">
        <f t="shared" si="671"/>
        <v>0.22439981679533019</v>
      </c>
      <c r="EB245" s="150">
        <f t="shared" si="698"/>
        <v>35.263999999999996</v>
      </c>
      <c r="EC245" s="150">
        <f t="shared" si="699"/>
        <v>2.5392516330828325</v>
      </c>
      <c r="ED245" s="150">
        <f t="shared" si="700"/>
        <v>13.887556294366536</v>
      </c>
      <c r="EE245" s="144">
        <f t="shared" si="672"/>
        <v>2.4790836903103144</v>
      </c>
      <c r="EF245" s="5">
        <f t="shared" si="673"/>
        <v>0.94505904676199259</v>
      </c>
      <c r="EH245" s="150">
        <f t="shared" si="701"/>
        <v>1.7908056452207815</v>
      </c>
      <c r="EI245" s="150">
        <f t="shared" si="702"/>
        <v>3.3293247341803283</v>
      </c>
      <c r="EK245" s="456">
        <f t="shared" si="703"/>
        <v>3.8483818307455432E-2</v>
      </c>
      <c r="EL245" s="456">
        <f t="shared" si="704"/>
        <v>3.4137800895147974</v>
      </c>
      <c r="EM245" s="456">
        <f t="shared" si="705"/>
        <v>4.0250000000000001E-2</v>
      </c>
      <c r="EN245" s="456">
        <f t="shared" si="706"/>
        <v>1.1132956800000005</v>
      </c>
      <c r="EO245">
        <f t="shared" si="707"/>
        <v>2.1600000000000001E-2</v>
      </c>
      <c r="EP245" s="144">
        <f t="shared" si="708"/>
        <v>61.85</v>
      </c>
      <c r="EQ245" s="144"/>
      <c r="ER245" s="144">
        <f t="shared" si="709"/>
        <v>4627.4095878222533</v>
      </c>
      <c r="ES245" s="456">
        <f t="shared" si="710"/>
        <v>0.81199999999999994</v>
      </c>
      <c r="EV245" s="144">
        <f t="shared" si="711"/>
        <v>812</v>
      </c>
      <c r="EW245" s="456">
        <f t="shared" si="712"/>
        <v>4.489778802536467E-2</v>
      </c>
      <c r="EX245" s="456">
        <f t="shared" si="713"/>
        <v>0.15518164459874878</v>
      </c>
      <c r="EY245" s="456">
        <f t="shared" si="714"/>
        <v>12.571430477368073</v>
      </c>
      <c r="EZ245" s="456"/>
      <c r="FA245" s="456">
        <f t="shared" si="715"/>
        <v>1.5005957446808511</v>
      </c>
      <c r="FB245" s="144">
        <f t="shared" si="716"/>
        <v>14272.105654673038</v>
      </c>
      <c r="FC245" s="150">
        <f t="shared" si="717"/>
        <v>19.711515242495292</v>
      </c>
      <c r="FD245" s="5">
        <f t="shared" si="718"/>
        <v>34.799999999999997</v>
      </c>
      <c r="FE245" s="150">
        <f t="shared" si="719"/>
        <v>0.63839722387447273</v>
      </c>
      <c r="FF245" s="5">
        <f t="shared" si="720"/>
        <v>63.839722387447274</v>
      </c>
      <c r="FI245" s="59">
        <f t="shared" si="674"/>
        <v>-50</v>
      </c>
      <c r="FJ245">
        <f t="shared" si="675"/>
        <v>-50</v>
      </c>
      <c r="FL245">
        <f t="shared" si="676"/>
        <v>0.354315500203153</v>
      </c>
    </row>
    <row r="246" spans="5:168">
      <c r="E246" s="147">
        <v>30</v>
      </c>
      <c r="F246" s="188">
        <f t="shared" si="677"/>
        <v>1.2</v>
      </c>
      <c r="G246" s="188"/>
      <c r="H246" s="188">
        <f t="shared" si="602"/>
        <v>36</v>
      </c>
      <c r="I246" s="465">
        <f t="shared" si="603"/>
        <v>47.913994415958484</v>
      </c>
      <c r="J246" s="149">
        <f t="shared" si="604"/>
        <v>30.446310699099275</v>
      </c>
      <c r="K246" s="149">
        <f t="shared" si="605"/>
        <v>78.360305115057756</v>
      </c>
      <c r="L246" s="379"/>
      <c r="M246" s="188">
        <f t="shared" si="606"/>
        <v>0.38854492473840263</v>
      </c>
      <c r="N246" s="149">
        <f t="shared" si="607"/>
        <v>284.92373442669049</v>
      </c>
      <c r="O246" s="149">
        <f t="shared" si="598"/>
        <v>36</v>
      </c>
      <c r="P246" s="188">
        <f t="shared" si="608"/>
        <v>9.4974578142230168</v>
      </c>
      <c r="Q246" s="188">
        <f t="shared" si="609"/>
        <v>30</v>
      </c>
      <c r="R246" s="188"/>
      <c r="S246" s="149">
        <f t="shared" si="610"/>
        <v>557.0950606116412</v>
      </c>
      <c r="T246" s="149">
        <f t="shared" si="611"/>
        <v>30</v>
      </c>
      <c r="U246" s="188">
        <f t="shared" si="612"/>
        <v>3.8674871377788191</v>
      </c>
      <c r="V246" s="188">
        <f t="shared" si="613"/>
        <v>0.37937119977428269</v>
      </c>
      <c r="W246" s="188">
        <f t="shared" si="614"/>
        <v>0.59702437274602882</v>
      </c>
      <c r="X246" s="172">
        <f t="shared" si="615"/>
        <v>350</v>
      </c>
      <c r="Y246" s="379">
        <f t="shared" si="678"/>
        <v>350</v>
      </c>
      <c r="AA246" s="188">
        <f t="shared" si="616"/>
        <v>11.317096842495934</v>
      </c>
      <c r="AB246" s="150">
        <f t="shared" si="617"/>
        <v>1.7470213611563936</v>
      </c>
      <c r="AC246" s="150">
        <f t="shared" si="618"/>
        <v>3.4599617377702945</v>
      </c>
      <c r="AD246" s="150"/>
      <c r="AE246" s="150">
        <f t="shared" si="619"/>
        <v>0.93557635821180729</v>
      </c>
      <c r="AF246" s="314">
        <f t="shared" si="620"/>
        <v>423.26849810194614</v>
      </c>
      <c r="AG246" s="456">
        <f t="shared" si="621"/>
        <v>0.99227795567918942</v>
      </c>
      <c r="AI246" s="150">
        <f t="shared" si="622"/>
        <v>6.6648442853700596</v>
      </c>
      <c r="AJ246" s="150">
        <f t="shared" si="623"/>
        <v>6.6648442853700596</v>
      </c>
      <c r="AK246" s="150">
        <f t="shared" si="624"/>
        <v>1.6475838701955547</v>
      </c>
      <c r="AM246" s="314">
        <f t="shared" si="625"/>
        <v>1200</v>
      </c>
      <c r="AN246" s="144">
        <f t="shared" si="626"/>
        <v>350</v>
      </c>
      <c r="AP246">
        <f t="shared" si="627"/>
        <v>1200</v>
      </c>
      <c r="AQ246">
        <f t="shared" si="628"/>
        <v>350</v>
      </c>
      <c r="AS246" s="5">
        <f t="shared" si="599"/>
        <v>2.8571428571428572</v>
      </c>
      <c r="AT246" s="5">
        <f t="shared" si="629"/>
        <v>0.65377075159498899</v>
      </c>
      <c r="AU246" s="5">
        <f t="shared" si="721"/>
        <v>2.2033721055478681</v>
      </c>
      <c r="AV246" s="5"/>
      <c r="AW246" s="150">
        <f t="shared" si="722"/>
        <v>0.22881976305824614</v>
      </c>
      <c r="AX246" s="150">
        <f t="shared" si="630"/>
        <v>36.535572838919123</v>
      </c>
      <c r="AY246" s="150">
        <f t="shared" si="631"/>
        <v>2.5698980975857886</v>
      </c>
      <c r="AZ246" s="150">
        <f t="shared" si="632"/>
        <v>14.216739906240383</v>
      </c>
      <c r="BA246" s="144">
        <f t="shared" si="723"/>
        <v>2.6150830063799559</v>
      </c>
      <c r="BB246" s="5">
        <f t="shared" si="724"/>
        <v>0.97382080448153552</v>
      </c>
      <c r="BD246" s="150">
        <f t="shared" si="679"/>
        <v>1.840670896609339</v>
      </c>
      <c r="BE246" s="150">
        <f t="shared" si="680"/>
        <v>3.3791488720956577</v>
      </c>
      <c r="BG246" s="456">
        <f t="shared" si="681"/>
        <v>4.065683219549554E-2</v>
      </c>
      <c r="BH246" s="456">
        <f t="shared" si="633"/>
        <v>3.3359308427772363</v>
      </c>
      <c r="BI246" s="456">
        <f t="shared" si="682"/>
        <v>4.0250000000000001E-2</v>
      </c>
      <c r="BJ246" s="456">
        <f t="shared" si="683"/>
        <v>1.1121686147854311</v>
      </c>
      <c r="BK246">
        <f t="shared" si="684"/>
        <v>2.1561297487181316E-2</v>
      </c>
      <c r="BL246" s="144">
        <f t="shared" si="685"/>
        <v>61.811297487181321</v>
      </c>
      <c r="BM246" s="456">
        <f t="shared" si="634"/>
        <v>4.543625343010631</v>
      </c>
      <c r="BN246" s="144">
        <f t="shared" si="686"/>
        <v>4543.6253430106308</v>
      </c>
      <c r="BO246" s="456">
        <f t="shared" si="635"/>
        <v>0.84</v>
      </c>
      <c r="BR246" s="144">
        <f t="shared" si="687"/>
        <v>840</v>
      </c>
      <c r="BS246" s="456">
        <f t="shared" si="688"/>
        <v>4.7432970894744797E-2</v>
      </c>
      <c r="BT246" s="456">
        <f t="shared" si="689"/>
        <v>0.15986105939699496</v>
      </c>
      <c r="BU246" s="456">
        <f t="shared" si="690"/>
        <v>13.140598112776054</v>
      </c>
      <c r="BV246" s="456"/>
      <c r="BW246" s="456">
        <f t="shared" si="691"/>
        <v>1.5547052271880482</v>
      </c>
      <c r="BX246" s="144">
        <f t="shared" si="692"/>
        <v>14902.597370255842</v>
      </c>
      <c r="BY246" s="150">
        <f t="shared" si="693"/>
        <v>20.293164957501187</v>
      </c>
      <c r="BZ246" s="5">
        <f t="shared" si="694"/>
        <v>36</v>
      </c>
      <c r="CA246" s="150">
        <f t="shared" si="695"/>
        <v>0.639509255291977</v>
      </c>
      <c r="CB246" s="5">
        <f t="shared" si="696"/>
        <v>63.950925529197697</v>
      </c>
      <c r="CE246" s="59">
        <f t="shared" si="636"/>
        <v>-50</v>
      </c>
      <c r="CF246">
        <f t="shared" si="637"/>
        <v>-50</v>
      </c>
      <c r="CG246" s="150">
        <f t="shared" si="638"/>
        <v>0.36276714294434104</v>
      </c>
      <c r="CI246" s="147">
        <v>30</v>
      </c>
      <c r="CJ246" s="188">
        <f t="shared" si="697"/>
        <v>1.2</v>
      </c>
      <c r="CK246" s="188"/>
      <c r="CL246" s="188">
        <f t="shared" si="639"/>
        <v>36</v>
      </c>
      <c r="CM246" s="465">
        <f t="shared" si="640"/>
        <v>48</v>
      </c>
      <c r="CN246" s="379">
        <f t="shared" si="641"/>
        <v>30.4</v>
      </c>
      <c r="CO246" s="379">
        <f t="shared" si="642"/>
        <v>78.400000000000006</v>
      </c>
      <c r="CP246" s="379"/>
      <c r="CQ246" s="188">
        <f t="shared" si="643"/>
        <v>0.38775510204081626</v>
      </c>
      <c r="CR246" s="149">
        <f t="shared" si="644"/>
        <v>284.85494809142222</v>
      </c>
      <c r="CS246" s="149">
        <f t="shared" si="645"/>
        <v>36</v>
      </c>
      <c r="CT246" s="188">
        <f t="shared" si="646"/>
        <v>9.4951649363807409</v>
      </c>
      <c r="CU246" s="188">
        <f t="shared" si="647"/>
        <v>30</v>
      </c>
      <c r="CV246" s="188"/>
      <c r="CW246" s="149">
        <f t="shared" si="648"/>
        <v>558.09498416702479</v>
      </c>
      <c r="CX246" s="149">
        <f t="shared" si="649"/>
        <v>30</v>
      </c>
      <c r="CY246" s="188">
        <f t="shared" si="650"/>
        <v>3.8684210526315796</v>
      </c>
      <c r="CZ246" s="188">
        <f t="shared" si="651"/>
        <v>0.37878289473684212</v>
      </c>
      <c r="DA246" s="188">
        <f t="shared" si="652"/>
        <v>0.59807825484764554</v>
      </c>
      <c r="DB246" s="172">
        <f t="shared" si="653"/>
        <v>350</v>
      </c>
      <c r="DC246" s="379">
        <f t="shared" si="654"/>
        <v>350</v>
      </c>
      <c r="DE246" s="188">
        <f t="shared" si="655"/>
        <v>11.314434588425037</v>
      </c>
      <c r="DF246" s="150">
        <f t="shared" si="656"/>
        <v>1.7492711370262393</v>
      </c>
      <c r="DG246" s="150">
        <f t="shared" si="657"/>
        <v>3.463602425028073</v>
      </c>
      <c r="DH246" s="150"/>
      <c r="DI246" s="150">
        <f t="shared" si="658"/>
        <v>0.93700159489633172</v>
      </c>
      <c r="DJ246" s="314">
        <f t="shared" si="659"/>
        <v>422.62468085106383</v>
      </c>
      <c r="DK246" s="456">
        <f t="shared" si="660"/>
        <v>0.99378957034459414</v>
      </c>
      <c r="DM246" s="150">
        <f t="shared" si="661"/>
        <v>6.6597735386892953</v>
      </c>
      <c r="DN246" s="150">
        <f t="shared" si="662"/>
        <v>6.6597735386892953</v>
      </c>
      <c r="DO246" s="150">
        <f t="shared" si="663"/>
        <v>1.6438277615431369</v>
      </c>
      <c r="DQ246" s="314">
        <f t="shared" si="664"/>
        <v>1200</v>
      </c>
      <c r="DR246" s="144">
        <f t="shared" si="665"/>
        <v>350</v>
      </c>
      <c r="DT246">
        <f t="shared" si="666"/>
        <v>1200</v>
      </c>
      <c r="DU246">
        <f t="shared" si="667"/>
        <v>350</v>
      </c>
      <c r="DW246" s="5">
        <f t="shared" si="668"/>
        <v>2.8571428571428572</v>
      </c>
      <c r="DX246" s="5">
        <f t="shared" si="669"/>
        <v>0.65210282566332678</v>
      </c>
      <c r="DY246" s="5">
        <f t="shared" si="670"/>
        <v>2.2050400314795304</v>
      </c>
      <c r="DZ246" s="5"/>
      <c r="EA246" s="150">
        <f t="shared" si="671"/>
        <v>0.22823598898216438</v>
      </c>
      <c r="EB246" s="150">
        <f t="shared" si="698"/>
        <v>36.479999999999997</v>
      </c>
      <c r="EC246" s="150">
        <f t="shared" si="699"/>
        <v>2.5698867693446479</v>
      </c>
      <c r="ED246" s="150">
        <f t="shared" si="700"/>
        <v>14.195177949144755</v>
      </c>
      <c r="EE246" s="144">
        <f t="shared" si="672"/>
        <v>2.6084113026533071</v>
      </c>
      <c r="EF246" s="5">
        <f t="shared" si="673"/>
        <v>0.97281177859391033</v>
      </c>
      <c r="EH246" s="150">
        <f t="shared" si="701"/>
        <v>1.8369227690903545</v>
      </c>
      <c r="EI246" s="150">
        <f t="shared" si="702"/>
        <v>3.3778557206122355</v>
      </c>
      <c r="EK246" s="456">
        <f t="shared" si="703"/>
        <v>4.0491423115230914E-2</v>
      </c>
      <c r="EL246" s="456">
        <f t="shared" si="704"/>
        <v>3.4721395321310515</v>
      </c>
      <c r="EM246" s="456">
        <f t="shared" si="705"/>
        <v>4.0250000000000001E-2</v>
      </c>
      <c r="EN246" s="456">
        <f t="shared" si="706"/>
        <v>1.1132956800000005</v>
      </c>
      <c r="EO246">
        <f t="shared" si="707"/>
        <v>2.1600000000000001E-2</v>
      </c>
      <c r="EP246" s="144">
        <f t="shared" si="708"/>
        <v>61.85</v>
      </c>
      <c r="EQ246" s="144"/>
      <c r="ER246" s="144">
        <f t="shared" si="709"/>
        <v>4687.7766352462831</v>
      </c>
      <c r="ES246" s="456">
        <f t="shared" si="710"/>
        <v>0.84</v>
      </c>
      <c r="EV246" s="144">
        <f t="shared" si="711"/>
        <v>840</v>
      </c>
      <c r="EW246" s="456">
        <f t="shared" si="712"/>
        <v>4.723999363443606E-2</v>
      </c>
      <c r="EX246" s="456">
        <f t="shared" si="713"/>
        <v>0.15973872976981926</v>
      </c>
      <c r="EY246" s="456">
        <f t="shared" si="714"/>
        <v>13.115618299051695</v>
      </c>
      <c r="EZ246" s="456"/>
      <c r="FA246" s="456">
        <f t="shared" si="715"/>
        <v>1.5523404255319149</v>
      </c>
      <c r="FB246" s="144">
        <f t="shared" si="716"/>
        <v>14874.937447987864</v>
      </c>
      <c r="FC246" s="150">
        <f t="shared" si="717"/>
        <v>20.402714083234152</v>
      </c>
      <c r="FD246" s="5">
        <f t="shared" si="718"/>
        <v>36</v>
      </c>
      <c r="FE246" s="150">
        <f t="shared" si="719"/>
        <v>0.63826715762071973</v>
      </c>
      <c r="FF246" s="5">
        <f t="shared" si="720"/>
        <v>63.82671576207197</v>
      </c>
      <c r="FI246" s="59">
        <f t="shared" si="674"/>
        <v>-50</v>
      </c>
      <c r="FJ246">
        <f t="shared" si="675"/>
        <v>-50</v>
      </c>
      <c r="FL246">
        <f t="shared" si="676"/>
        <v>0.36037261418236483</v>
      </c>
    </row>
    <row r="247" spans="5:168">
      <c r="E247" s="147">
        <v>31</v>
      </c>
      <c r="F247" s="188">
        <f t="shared" si="677"/>
        <v>1.24</v>
      </c>
      <c r="G247" s="188"/>
      <c r="H247" s="188">
        <f t="shared" si="602"/>
        <v>37.200000000000003</v>
      </c>
      <c r="I247" s="465">
        <f t="shared" si="603"/>
        <v>47.912572739744022</v>
      </c>
      <c r="J247" s="149">
        <f t="shared" si="604"/>
        <v>30.447076217060911</v>
      </c>
      <c r="K247" s="149">
        <f t="shared" si="605"/>
        <v>78.359648956804932</v>
      </c>
      <c r="L247" s="379"/>
      <c r="M247" s="188">
        <f t="shared" si="606"/>
        <v>0.38855798721440316</v>
      </c>
      <c r="N247" s="149">
        <f t="shared" si="607"/>
        <v>284.92485889032861</v>
      </c>
      <c r="O247" s="149">
        <f t="shared" si="598"/>
        <v>37.200000000000003</v>
      </c>
      <c r="P247" s="188">
        <f t="shared" si="608"/>
        <v>9.4974952963442867</v>
      </c>
      <c r="Q247" s="188">
        <f t="shared" si="609"/>
        <v>30</v>
      </c>
      <c r="R247" s="188"/>
      <c r="S247" s="149">
        <f t="shared" si="610"/>
        <v>537.56504570413722</v>
      </c>
      <c r="T247" s="149">
        <f t="shared" si="611"/>
        <v>30</v>
      </c>
      <c r="U247" s="188">
        <f t="shared" si="612"/>
        <v>3.9963876037911019</v>
      </c>
      <c r="V247" s="188">
        <f t="shared" si="613"/>
        <v>0.39202699132533642</v>
      </c>
      <c r="W247" s="188">
        <f t="shared" si="614"/>
        <v>0.61690723943119308</v>
      </c>
      <c r="X247" s="172">
        <f t="shared" si="615"/>
        <v>350</v>
      </c>
      <c r="Y247" s="379">
        <f t="shared" si="678"/>
        <v>350</v>
      </c>
      <c r="AA247" s="188">
        <f t="shared" si="616"/>
        <v>11.317140353127137</v>
      </c>
      <c r="AB247" s="150">
        <f t="shared" si="617"/>
        <v>1.7469841531086785</v>
      </c>
      <c r="AC247" s="150">
        <f t="shared" si="618"/>
        <v>3.4599013496984758</v>
      </c>
      <c r="AD247" s="150"/>
      <c r="AE247" s="150">
        <f t="shared" si="619"/>
        <v>0.93555283541107626</v>
      </c>
      <c r="AF247" s="314">
        <f t="shared" si="620"/>
        <v>437.388445111387</v>
      </c>
      <c r="AG247" s="456">
        <f t="shared" si="621"/>
        <v>0.99225300725417165</v>
      </c>
      <c r="AI247" s="150">
        <f t="shared" si="622"/>
        <v>6.775099636693116</v>
      </c>
      <c r="AJ247" s="150">
        <f t="shared" si="623"/>
        <v>6.775099636693116</v>
      </c>
      <c r="AK247" s="150">
        <f t="shared" si="624"/>
        <v>1.7292545008052262</v>
      </c>
      <c r="AM247" s="314">
        <f t="shared" si="625"/>
        <v>1240</v>
      </c>
      <c r="AN247" s="144">
        <f t="shared" si="626"/>
        <v>350</v>
      </c>
      <c r="AP247">
        <f t="shared" si="627"/>
        <v>1240</v>
      </c>
      <c r="AQ247">
        <f t="shared" si="628"/>
        <v>350</v>
      </c>
      <c r="AS247" s="5">
        <f t="shared" si="599"/>
        <v>2.8571428571428572</v>
      </c>
      <c r="AT247" s="5">
        <f t="shared" si="629"/>
        <v>0.66460568639102824</v>
      </c>
      <c r="AU247" s="5">
        <f t="shared" si="721"/>
        <v>2.1925371707518289</v>
      </c>
      <c r="AV247" s="5"/>
      <c r="AW247" s="150">
        <f t="shared" si="722"/>
        <v>0.23261199023685988</v>
      </c>
      <c r="AX247" s="150">
        <f t="shared" si="630"/>
        <v>37.754374509155532</v>
      </c>
      <c r="AY247" s="150">
        <f t="shared" si="631"/>
        <v>2.5995651130744521</v>
      </c>
      <c r="AZ247" s="150">
        <f t="shared" si="632"/>
        <v>14.523342508049053</v>
      </c>
      <c r="BA247" s="144">
        <f t="shared" si="723"/>
        <v>2.7470368370829168</v>
      </c>
      <c r="BB247" s="5">
        <f t="shared" si="724"/>
        <v>1.0013628879344614</v>
      </c>
      <c r="BD247" s="150">
        <f t="shared" si="679"/>
        <v>1.8865621096602816</v>
      </c>
      <c r="BE247" s="150">
        <f t="shared" si="680"/>
        <v>3.4265933182633761</v>
      </c>
      <c r="BG247" s="456">
        <f t="shared" si="681"/>
        <v>4.2709399123270229E-2</v>
      </c>
      <c r="BH247" s="456">
        <f t="shared" si="633"/>
        <v>3.3910881663786214</v>
      </c>
      <c r="BI247" s="456">
        <f t="shared" si="682"/>
        <v>4.0250000000000001E-2</v>
      </c>
      <c r="BJ247" s="456">
        <f t="shared" si="683"/>
        <v>1.112149989141779</v>
      </c>
      <c r="BK247">
        <f t="shared" si="684"/>
        <v>2.1560657732884809E-2</v>
      </c>
      <c r="BL247" s="144">
        <f t="shared" si="685"/>
        <v>61.810657732884813</v>
      </c>
      <c r="BM247" s="456">
        <f t="shared" si="634"/>
        <v>4.6042013919615794</v>
      </c>
      <c r="BN247" s="144">
        <f t="shared" si="686"/>
        <v>4604.2013919615792</v>
      </c>
      <c r="BO247" s="456">
        <f t="shared" si="635"/>
        <v>0.86799999999999999</v>
      </c>
      <c r="BR247" s="144">
        <f t="shared" si="687"/>
        <v>868</v>
      </c>
      <c r="BS247" s="456">
        <f t="shared" si="688"/>
        <v>4.9827632310481935E-2</v>
      </c>
      <c r="BT247" s="456">
        <f t="shared" si="689"/>
        <v>0.16438158476274101</v>
      </c>
      <c r="BU247" s="456">
        <f t="shared" si="690"/>
        <v>13.690815925608923</v>
      </c>
      <c r="BV247" s="456"/>
      <c r="BW247" s="456">
        <f t="shared" si="691"/>
        <v>1.6065691280491718</v>
      </c>
      <c r="BX247" s="144">
        <f t="shared" si="692"/>
        <v>15511.594270731319</v>
      </c>
      <c r="BY247" s="150">
        <f t="shared" si="693"/>
        <v>20.987352483107877</v>
      </c>
      <c r="BZ247" s="5">
        <f t="shared" si="694"/>
        <v>37.200000000000003</v>
      </c>
      <c r="CA247" s="150">
        <f t="shared" si="695"/>
        <v>0.6393141879208093</v>
      </c>
      <c r="CB247" s="5">
        <f t="shared" si="696"/>
        <v>63.931418792080933</v>
      </c>
      <c r="CE247" s="59">
        <f t="shared" si="636"/>
        <v>-50</v>
      </c>
      <c r="CF247">
        <f t="shared" si="637"/>
        <v>-50</v>
      </c>
      <c r="CG247" s="150">
        <f t="shared" si="638"/>
        <v>0.36876370031046529</v>
      </c>
      <c r="CI247" s="147">
        <v>31</v>
      </c>
      <c r="CJ247" s="188">
        <f t="shared" si="697"/>
        <v>1.24</v>
      </c>
      <c r="CK247" s="188"/>
      <c r="CL247" s="188">
        <f t="shared" si="639"/>
        <v>37.200000000000003</v>
      </c>
      <c r="CM247" s="465">
        <f t="shared" si="640"/>
        <v>48</v>
      </c>
      <c r="CN247" s="379">
        <f t="shared" si="641"/>
        <v>30.4</v>
      </c>
      <c r="CO247" s="379">
        <f t="shared" si="642"/>
        <v>78.400000000000006</v>
      </c>
      <c r="CP247" s="379"/>
      <c r="CQ247" s="188">
        <f t="shared" si="643"/>
        <v>0.38775510204081626</v>
      </c>
      <c r="CR247" s="149">
        <f t="shared" si="644"/>
        <v>284.85494809142222</v>
      </c>
      <c r="CS247" s="149">
        <f t="shared" si="645"/>
        <v>37.200000000000003</v>
      </c>
      <c r="CT247" s="188">
        <f t="shared" si="646"/>
        <v>9.4951649363807409</v>
      </c>
      <c r="CU247" s="188">
        <f t="shared" si="647"/>
        <v>30</v>
      </c>
      <c r="CV247" s="188"/>
      <c r="CW247" s="149">
        <f t="shared" si="648"/>
        <v>538.54588902740852</v>
      </c>
      <c r="CX247" s="149">
        <f t="shared" si="649"/>
        <v>30</v>
      </c>
      <c r="CY247" s="188">
        <f t="shared" si="650"/>
        <v>3.9973684210526326</v>
      </c>
      <c r="CZ247" s="188">
        <f t="shared" si="651"/>
        <v>0.39140899122807027</v>
      </c>
      <c r="DA247" s="188">
        <f t="shared" si="652"/>
        <v>0.61801419667590041</v>
      </c>
      <c r="DB247" s="172">
        <f t="shared" si="653"/>
        <v>350</v>
      </c>
      <c r="DC247" s="379">
        <f t="shared" si="654"/>
        <v>350</v>
      </c>
      <c r="DE247" s="188">
        <f t="shared" si="655"/>
        <v>11.314434588425037</v>
      </c>
      <c r="DF247" s="150">
        <f t="shared" si="656"/>
        <v>1.7492711370262393</v>
      </c>
      <c r="DG247" s="150">
        <f t="shared" si="657"/>
        <v>3.463602425028073</v>
      </c>
      <c r="DH247" s="150"/>
      <c r="DI247" s="150">
        <f t="shared" si="658"/>
        <v>0.93700159489633172</v>
      </c>
      <c r="DJ247" s="314">
        <f t="shared" si="659"/>
        <v>436.71217021276595</v>
      </c>
      <c r="DK247" s="456">
        <f t="shared" si="660"/>
        <v>0.99378957034459414</v>
      </c>
      <c r="DM247" s="150">
        <f t="shared" si="661"/>
        <v>6.7698598980712799</v>
      </c>
      <c r="DN247" s="150">
        <f t="shared" si="662"/>
        <v>6.7698598980712799</v>
      </c>
      <c r="DO247" s="150">
        <f t="shared" si="663"/>
        <v>1.7253732129371993</v>
      </c>
      <c r="DQ247" s="314">
        <f t="shared" si="664"/>
        <v>1240</v>
      </c>
      <c r="DR247" s="144">
        <f t="shared" si="665"/>
        <v>350</v>
      </c>
      <c r="DT247">
        <f t="shared" si="666"/>
        <v>1240</v>
      </c>
      <c r="DU247">
        <f t="shared" si="667"/>
        <v>350</v>
      </c>
      <c r="DW247" s="5">
        <f t="shared" si="668"/>
        <v>2.8571428571428572</v>
      </c>
      <c r="DX247" s="5">
        <f t="shared" si="669"/>
        <v>0.66288211501947936</v>
      </c>
      <c r="DY247" s="5">
        <f t="shared" si="670"/>
        <v>2.1942607421233777</v>
      </c>
      <c r="DZ247" s="5"/>
      <c r="EA247" s="150">
        <f t="shared" si="671"/>
        <v>0.23200874025681778</v>
      </c>
      <c r="EB247" s="150">
        <f t="shared" si="698"/>
        <v>37.695999999999998</v>
      </c>
      <c r="EC247" s="150">
        <f t="shared" si="699"/>
        <v>2.5995966157023065</v>
      </c>
      <c r="ED247" s="150">
        <f t="shared" si="700"/>
        <v>14.500711292015609</v>
      </c>
      <c r="EE247" s="144">
        <f t="shared" si="672"/>
        <v>2.7399127420805147</v>
      </c>
      <c r="EF247" s="5">
        <f t="shared" si="673"/>
        <v>1.0003247500856574</v>
      </c>
      <c r="EH247" s="150">
        <f t="shared" si="701"/>
        <v>1.8826571010059119</v>
      </c>
      <c r="EI247" s="150">
        <f t="shared" si="702"/>
        <v>3.425288783913444</v>
      </c>
      <c r="EK247" s="456">
        <f t="shared" si="703"/>
        <v>4.2532773119615813E-2</v>
      </c>
      <c r="EL247" s="456">
        <f t="shared" si="704"/>
        <v>3.5295341564584426</v>
      </c>
      <c r="EM247" s="456">
        <f t="shared" si="705"/>
        <v>4.0250000000000001E-2</v>
      </c>
      <c r="EN247" s="456">
        <f t="shared" si="706"/>
        <v>1.1132956800000005</v>
      </c>
      <c r="EO247">
        <f t="shared" si="707"/>
        <v>2.1600000000000001E-2</v>
      </c>
      <c r="EP247" s="144">
        <f t="shared" si="708"/>
        <v>61.85</v>
      </c>
      <c r="EQ247" s="144"/>
      <c r="ER247" s="144">
        <f t="shared" si="709"/>
        <v>4747.2126095780595</v>
      </c>
      <c r="ES247" s="456">
        <f t="shared" si="710"/>
        <v>0.86799999999999999</v>
      </c>
      <c r="EV247" s="144">
        <f t="shared" si="711"/>
        <v>868</v>
      </c>
      <c r="EW247" s="456">
        <f t="shared" si="712"/>
        <v>4.9621568639551777E-2</v>
      </c>
      <c r="EX247" s="456">
        <f t="shared" si="713"/>
        <v>0.16425644554484536</v>
      </c>
      <c r="EY247" s="456">
        <f t="shared" si="714"/>
        <v>13.66436070852007</v>
      </c>
      <c r="EZ247" s="456"/>
      <c r="FA247" s="456">
        <f t="shared" si="715"/>
        <v>1.6040851063829791</v>
      </c>
      <c r="FB247" s="144">
        <f t="shared" si="716"/>
        <v>15482.323829087445</v>
      </c>
      <c r="FC247" s="150">
        <f t="shared" si="717"/>
        <v>21.097536438665504</v>
      </c>
      <c r="FD247" s="5">
        <f t="shared" si="718"/>
        <v>37.200000000000003</v>
      </c>
      <c r="FE247" s="150">
        <f t="shared" si="719"/>
        <v>0.63810586643121536</v>
      </c>
      <c r="FF247" s="5">
        <f t="shared" si="720"/>
        <v>63.810586643121539</v>
      </c>
      <c r="FI247" s="59">
        <f t="shared" si="674"/>
        <v>-50</v>
      </c>
      <c r="FJ247">
        <f t="shared" si="675"/>
        <v>-50</v>
      </c>
      <c r="FL247">
        <f t="shared" si="676"/>
        <v>0.36632958987918601</v>
      </c>
    </row>
    <row r="248" spans="5:168">
      <c r="E248" s="147">
        <v>32</v>
      </c>
      <c r="F248" s="188">
        <f t="shared" si="677"/>
        <v>1.28</v>
      </c>
      <c r="G248" s="188"/>
      <c r="H248" s="188">
        <f t="shared" ref="H248:H279" si="725">F248*Vout</f>
        <v>38.4</v>
      </c>
      <c r="I248" s="465">
        <f t="shared" ref="I248:I279" si="726">VIN_max-F248*(Rdcr_pri+RON/1000)/CG248/Nps</f>
        <v>47.911173814753695</v>
      </c>
      <c r="J248" s="149">
        <f t="shared" ref="J248:J279" si="727">(T248+Vfwd1+F248/CG248*Rdcr_sec)*Nps</f>
        <v>30.447829484363393</v>
      </c>
      <c r="K248" s="149">
        <f t="shared" ref="K248:K279" si="728">(Vout+Vfwd1+F248/CG248*Rdcr_sec)*Nps+I248</f>
        <v>78.359003299117092</v>
      </c>
      <c r="L248" s="379"/>
      <c r="M248" s="188">
        <f t="shared" ref="M248:M279" si="729">(Vout+Vfwd1+F248/FL248*Rdcr_sec)*Nps/((Vout+Vfwd1+F248/FL248*Rdcr_sec)*Nps+I248)</f>
        <v>0.38857084086220095</v>
      </c>
      <c r="N248" s="149">
        <f t="shared" ref="N248:N279" si="730">M248*I248*(Isw_max+VIN_max/Lmag*ILIM_delay)*0.5*Efficiency</f>
        <v>284.92596495956883</v>
      </c>
      <c r="O248" s="149">
        <f t="shared" si="598"/>
        <v>38.4</v>
      </c>
      <c r="P248" s="188">
        <f t="shared" ref="P248:P279" si="731">N248/Vout</f>
        <v>9.4975321653189617</v>
      </c>
      <c r="Q248" s="188">
        <f t="shared" ref="Q248:Q279" si="732">MIN(Vout,N248/F248)</f>
        <v>30</v>
      </c>
      <c r="R248" s="188"/>
      <c r="S248" s="149">
        <f t="shared" ref="S248:S279" si="733">(SQRT(Isw_max^2*Nps^2*I248^2+4*Isw_max*F248/Efficiency*(Nps^2*Vfwd1*I248-Nps*I248^2)+4*(F248/Efficiency)^2*Nps^2*Vfwd1^2+8*(F248/Efficiency)^2*Nps*Vfwd1*I248+4*(F248/Efficiency)^2*I248^2)-2*F248/Efficiency*I248-2*F248/Efficiency*Nps*Vfwd1+Isw_max*Nps*I248)/(4*F248/Efficiency*Nps)</f>
        <v>519.25607718607773</v>
      </c>
      <c r="T248" s="149">
        <f t="shared" ref="T248:T279" si="734">MIN(Vout, S248)</f>
        <v>30</v>
      </c>
      <c r="U248" s="188">
        <f t="shared" ref="U248:U279" si="735">MIN(2*Vout*F248/(Efficiency*I248*M248), Isw_max)</f>
        <v>4.1252873187114858</v>
      </c>
      <c r="V248" s="188">
        <f t="shared" ref="V248:V279" si="736">L*U248/I248*1000000</f>
        <v>0.40468326810171806</v>
      </c>
      <c r="W248" s="188">
        <f t="shared" ref="W248:W279" si="737">L*U248/J248*1000000</f>
        <v>0.63678924659970282</v>
      </c>
      <c r="X248" s="172">
        <f t="shared" ref="X248:X279" si="738">IF(1/((350000*L)*(1/I248+1/J248))&gt;Isw_min, 350, 0.001/((Isw_min*L)*(1/I248+1/J248)))</f>
        <v>350</v>
      </c>
      <c r="Y248" s="379">
        <f t="shared" si="678"/>
        <v>350</v>
      </c>
      <c r="AA248" s="188">
        <f t="shared" ref="AA248:AA279" si="739">1/((X248*1000*L)*(1/I248+1/J248))</f>
        <v>11.317183151681737</v>
      </c>
      <c r="AB248" s="150">
        <f t="shared" ref="AB248:AB279" si="740">L*AA248/J248*1000000</f>
        <v>1.7469475398967436</v>
      </c>
      <c r="AC248" s="150">
        <f t="shared" ref="AC248:AC279" si="741">0.5*AB248*AA248*Nps*X248/1000</f>
        <v>3.4598419214434748</v>
      </c>
      <c r="AD248" s="150"/>
      <c r="AE248" s="150">
        <f t="shared" ref="AE248:AE279" si="742">L*Isw_min/J248*1000000</f>
        <v>0.93552969020261334</v>
      </c>
      <c r="AF248" s="314">
        <f t="shared" ref="AF248:AF279" si="743">MAX(12000,F248/(0.5*AE248/1000000*Isw_min*Nps))/1000</f>
        <v>451.50891994514706</v>
      </c>
      <c r="AG248" s="456">
        <f t="shared" ref="AG248:AG279" si="744">0.5*AE248/1000000*Isw_min*Nps*X248*1000</f>
        <v>0.99222845930580206</v>
      </c>
      <c r="AI248" s="150">
        <f t="shared" ref="AI248:AI279" si="745">SQRT(F248/(0.5*L/J248*Fsw_DCM*Nps))</f>
        <v>6.8835932636107229</v>
      </c>
      <c r="AJ248" s="150">
        <f t="shared" ref="AJ248:AJ279" si="746">MAX(IF(F248&gt;AC248,U248,AI248),Isw_min)</f>
        <v>6.8835932636107229</v>
      </c>
      <c r="AK248" s="150">
        <f t="shared" ref="AK248:AK279" si="747">IF(F248&gt;AG248, (AJ248-Isw_min)/1.08*0.8+1.2, AF248*0.2/350+1)</f>
        <v>1.8096201503738238</v>
      </c>
      <c r="AM248" s="314">
        <f t="shared" ref="AM248:AM279" si="748">F248*1000</f>
        <v>1280</v>
      </c>
      <c r="AN248" s="144">
        <f t="shared" ref="AN248:AN279" si="749">IF(F248&gt;AG248, Y248, AF248)</f>
        <v>350</v>
      </c>
      <c r="AP248">
        <f t="shared" ref="AP248:AP279" si="750">IF(H248&gt;N248, "",AM248)</f>
        <v>1280</v>
      </c>
      <c r="AQ248">
        <f t="shared" ref="AQ248:AQ279" si="751">IF(H248&gt;N248, "",AN248)</f>
        <v>350</v>
      </c>
      <c r="AS248" s="5">
        <f t="shared" si="599"/>
        <v>2.8571428571428572</v>
      </c>
      <c r="AT248" s="5">
        <f t="shared" ref="AT248:AT279" si="752">L*AJ248/I248*1000000</f>
        <v>0.67526812146288295</v>
      </c>
      <c r="AU248" s="5">
        <f t="shared" si="721"/>
        <v>2.1818747356799744</v>
      </c>
      <c r="AV248" s="5"/>
      <c r="AW248" s="150">
        <f t="shared" si="722"/>
        <v>0.23634384251200902</v>
      </c>
      <c r="AX248" s="150">
        <f t="shared" si="630"/>
        <v>38.973221739985135</v>
      </c>
      <c r="AY248" s="150">
        <f t="shared" si="631"/>
        <v>2.6283491906995922</v>
      </c>
      <c r="AZ248" s="150">
        <f t="shared" si="632"/>
        <v>14.828022805299918</v>
      </c>
      <c r="BA248" s="144">
        <f t="shared" si="723"/>
        <v>2.8811439849083005</v>
      </c>
      <c r="BB248" s="5">
        <f t="shared" si="724"/>
        <v>1.028668178792425</v>
      </c>
      <c r="BD248" s="150">
        <f t="shared" si="679"/>
        <v>1.9320871833153312</v>
      </c>
      <c r="BE248" s="150">
        <f t="shared" si="680"/>
        <v>3.4729897574967885</v>
      </c>
      <c r="BG248" s="456">
        <f t="shared" si="681"/>
        <v>4.4795530607176448E-2</v>
      </c>
      <c r="BH248" s="456">
        <f t="shared" ref="BH248:BH279" si="753">0.5*K248*AJ248*AN248*1000*Tfall</f>
        <v>3.4453632525788751</v>
      </c>
      <c r="BI248" s="456">
        <f t="shared" si="682"/>
        <v>4.0250000000000001E-2</v>
      </c>
      <c r="BJ248" s="456">
        <f t="shared" si="683"/>
        <v>1.1121316617183727</v>
      </c>
      <c r="BK248">
        <f t="shared" si="684"/>
        <v>2.1560028216639163E-2</v>
      </c>
      <c r="BL248" s="144">
        <f t="shared" si="685"/>
        <v>61.810028216639168</v>
      </c>
      <c r="BM248" s="456">
        <f t="shared" ref="BM248:BM279" si="754">(BH248+BI248*0+BJ248+BK248*0+BG248*(1+RdsonTC*(Ta-25)))/(1-BG248*RdsonTC*ThetaJA)</f>
        <v>4.6640264212700293</v>
      </c>
      <c r="BN248" s="144">
        <f t="shared" si="686"/>
        <v>4664.0264212700295</v>
      </c>
      <c r="BO248" s="456">
        <f t="shared" si="635"/>
        <v>0.89599999999999991</v>
      </c>
      <c r="BR248" s="144">
        <f t="shared" si="687"/>
        <v>895.99999999999989</v>
      </c>
      <c r="BS248" s="456">
        <f t="shared" si="688"/>
        <v>5.2261452375039187E-2</v>
      </c>
      <c r="BT248" s="456">
        <f t="shared" si="689"/>
        <v>0.16886320997948642</v>
      </c>
      <c r="BU248" s="456">
        <f t="shared" si="690"/>
        <v>14.245513790449062</v>
      </c>
      <c r="BV248" s="456"/>
      <c r="BW248" s="456">
        <f t="shared" si="691"/>
        <v>1.6584349676589425</v>
      </c>
      <c r="BX248" s="144">
        <f t="shared" si="692"/>
        <v>16125.073420462531</v>
      </c>
      <c r="BY248" s="150">
        <f t="shared" si="693"/>
        <v>21.685173893583592</v>
      </c>
      <c r="BZ248" s="5">
        <f t="shared" si="694"/>
        <v>38.4</v>
      </c>
      <c r="CA248" s="150">
        <f t="shared" si="695"/>
        <v>0.63909276634548751</v>
      </c>
      <c r="CB248" s="5">
        <f t="shared" si="696"/>
        <v>63.909276634548753</v>
      </c>
      <c r="CE248" s="59">
        <f t="shared" ref="CE248:CE279" si="755">IF(ABS(F248-Ioutmax_Vinmax)&lt;Iout/200, AN248, -50)</f>
        <v>-50</v>
      </c>
      <c r="CF248">
        <f t="shared" ref="CF248:CF279" si="756">IF(ABS(F248-Ioutmax_Vinmin)&lt;Iout/200, N248*CA248, -50)</f>
        <v>-50</v>
      </c>
      <c r="CG248" s="150">
        <f t="shared" ref="CG248:CG279" si="757">MIN(SQRT(2*DU248*1000*Ls1_*CL248)/CU248,1-EA248-0.00000005*DU248*1000)</f>
        <v>0.37466429417991426</v>
      </c>
      <c r="CI248" s="147">
        <v>32</v>
      </c>
      <c r="CJ248" s="188">
        <f t="shared" si="697"/>
        <v>1.28</v>
      </c>
      <c r="CK248" s="188"/>
      <c r="CL248" s="188">
        <f t="shared" si="639"/>
        <v>38.4</v>
      </c>
      <c r="CM248" s="465">
        <f t="shared" si="640"/>
        <v>48</v>
      </c>
      <c r="CN248" s="379">
        <f t="shared" si="641"/>
        <v>30.4</v>
      </c>
      <c r="CO248" s="379">
        <f t="shared" si="642"/>
        <v>78.400000000000006</v>
      </c>
      <c r="CP248" s="379"/>
      <c r="CQ248" s="188">
        <f t="shared" si="643"/>
        <v>0.38775510204081626</v>
      </c>
      <c r="CR248" s="149">
        <f t="shared" si="644"/>
        <v>284.85494809142222</v>
      </c>
      <c r="CS248" s="149">
        <f t="shared" si="645"/>
        <v>38.4</v>
      </c>
      <c r="CT248" s="188">
        <f t="shared" si="646"/>
        <v>9.4951649363807409</v>
      </c>
      <c r="CU248" s="188">
        <f t="shared" si="647"/>
        <v>30</v>
      </c>
      <c r="CV248" s="188"/>
      <c r="CW248" s="149">
        <f t="shared" si="648"/>
        <v>520.21869737977363</v>
      </c>
      <c r="CX248" s="149">
        <f t="shared" si="649"/>
        <v>30</v>
      </c>
      <c r="CY248" s="188">
        <f t="shared" si="650"/>
        <v>4.1263157894736846</v>
      </c>
      <c r="CZ248" s="188">
        <f t="shared" si="651"/>
        <v>0.4040350877192983</v>
      </c>
      <c r="DA248" s="188">
        <f t="shared" si="652"/>
        <v>0.63795013850415516</v>
      </c>
      <c r="DB248" s="172">
        <f t="shared" si="653"/>
        <v>350</v>
      </c>
      <c r="DC248" s="379">
        <f t="shared" si="654"/>
        <v>350</v>
      </c>
      <c r="DE248" s="188">
        <f t="shared" si="655"/>
        <v>11.314434588425037</v>
      </c>
      <c r="DF248" s="150">
        <f t="shared" si="656"/>
        <v>1.7492711370262393</v>
      </c>
      <c r="DG248" s="150">
        <f t="shared" si="657"/>
        <v>3.463602425028073</v>
      </c>
      <c r="DH248" s="150"/>
      <c r="DI248" s="150">
        <f t="shared" si="658"/>
        <v>0.93700159489633172</v>
      </c>
      <c r="DJ248" s="314">
        <f t="shared" si="659"/>
        <v>450.79965957446808</v>
      </c>
      <c r="DK248" s="456">
        <f t="shared" si="660"/>
        <v>0.99378957034459414</v>
      </c>
      <c r="DM248" s="150">
        <f t="shared" si="661"/>
        <v>6.8781845346283941</v>
      </c>
      <c r="DN248" s="150">
        <f t="shared" si="662"/>
        <v>6.8781845346283941</v>
      </c>
      <c r="DO248" s="150">
        <f t="shared" si="663"/>
        <v>1.8056136844609878</v>
      </c>
      <c r="DQ248" s="314">
        <f t="shared" si="664"/>
        <v>1280</v>
      </c>
      <c r="DR248" s="144">
        <f t="shared" si="665"/>
        <v>350</v>
      </c>
      <c r="DT248">
        <f t="shared" si="666"/>
        <v>1280</v>
      </c>
      <c r="DU248">
        <f t="shared" si="667"/>
        <v>350</v>
      </c>
      <c r="DW248" s="5">
        <f t="shared" si="668"/>
        <v>2.8571428571428572</v>
      </c>
      <c r="DX248" s="5">
        <f t="shared" si="669"/>
        <v>0.67348890234903025</v>
      </c>
      <c r="DY248" s="5">
        <f t="shared" si="670"/>
        <v>2.1836539547938267</v>
      </c>
      <c r="DZ248" s="5"/>
      <c r="EA248" s="150">
        <f t="shared" si="671"/>
        <v>0.23572111582216057</v>
      </c>
      <c r="EB248" s="150">
        <f t="shared" si="698"/>
        <v>38.911999999999999</v>
      </c>
      <c r="EC248" s="150">
        <f t="shared" si="699"/>
        <v>2.6284256006475304</v>
      </c>
      <c r="ED248" s="150">
        <f t="shared" si="700"/>
        <v>14.804299574016387</v>
      </c>
      <c r="EE248" s="144">
        <f t="shared" si="672"/>
        <v>2.8735526500225288</v>
      </c>
      <c r="EF248" s="5">
        <f t="shared" si="673"/>
        <v>1.0276018610794477</v>
      </c>
      <c r="EH248" s="150">
        <f t="shared" si="701"/>
        <v>1.9280240194571261</v>
      </c>
      <c r="EI248" s="150">
        <f t="shared" si="702"/>
        <v>3.4716755144833833</v>
      </c>
      <c r="EK248" s="456">
        <f t="shared" si="703"/>
        <v>4.4607319435243348E-2</v>
      </c>
      <c r="EL248" s="456">
        <f t="shared" si="704"/>
        <v>3.5860102889738599</v>
      </c>
      <c r="EM248" s="456">
        <f t="shared" si="705"/>
        <v>4.0250000000000001E-2</v>
      </c>
      <c r="EN248" s="456">
        <f t="shared" si="706"/>
        <v>1.1132956800000005</v>
      </c>
      <c r="EO248">
        <f t="shared" si="707"/>
        <v>2.1600000000000001E-2</v>
      </c>
      <c r="EP248" s="144">
        <f t="shared" si="708"/>
        <v>61.85</v>
      </c>
      <c r="EQ248" s="144"/>
      <c r="ER248" s="144">
        <f t="shared" si="709"/>
        <v>4805.7632884091036</v>
      </c>
      <c r="ES248" s="456">
        <f t="shared" si="710"/>
        <v>0.89599999999999991</v>
      </c>
      <c r="EV248" s="144">
        <f t="shared" si="711"/>
        <v>895.99999999999989</v>
      </c>
      <c r="EW248" s="456">
        <f t="shared" si="712"/>
        <v>5.2041872674450575E-2</v>
      </c>
      <c r="EX248" s="456">
        <f t="shared" si="713"/>
        <v>0.1687354322900885</v>
      </c>
      <c r="EY248" s="456">
        <f t="shared" si="714"/>
        <v>14.217547029427397</v>
      </c>
      <c r="EZ248" s="456"/>
      <c r="FA248" s="456">
        <f t="shared" si="715"/>
        <v>1.6558297872340426</v>
      </c>
      <c r="FB248" s="144">
        <f t="shared" si="716"/>
        <v>16094.154121625979</v>
      </c>
      <c r="FC248" s="150">
        <f t="shared" si="717"/>
        <v>21.795917410035084</v>
      </c>
      <c r="FD248" s="5">
        <f t="shared" si="718"/>
        <v>38.4</v>
      </c>
      <c r="FE248" s="150">
        <f t="shared" si="719"/>
        <v>0.63791701584065319</v>
      </c>
      <c r="FF248" s="5">
        <f t="shared" si="720"/>
        <v>63.791701584065322</v>
      </c>
      <c r="FI248" s="59">
        <f t="shared" si="674"/>
        <v>-50</v>
      </c>
      <c r="FJ248">
        <f t="shared" si="675"/>
        <v>-50</v>
      </c>
      <c r="FL248">
        <f t="shared" ref="FL248:FL279" si="758">MIN(SQRT(2*L*DR248*1000*CJ248*(CX248+Vfwd1))/(Nps*(CX248+Vfwd1)), 1-EA248)</f>
        <v>0.37219123550867461</v>
      </c>
    </row>
    <row r="249" spans="5:168">
      <c r="E249" s="147">
        <v>33</v>
      </c>
      <c r="F249" s="188">
        <f t="shared" ref="F249:F280" si="759">IF(PLOT_TYPE=1, E249/100*Iout_max, min_I*EXP(N249*rr/100))</f>
        <v>1.32</v>
      </c>
      <c r="G249" s="188"/>
      <c r="H249" s="188">
        <f t="shared" si="725"/>
        <v>39.6</v>
      </c>
      <c r="I249" s="465">
        <f t="shared" si="726"/>
        <v>47.909796582465219</v>
      </c>
      <c r="J249" s="149">
        <f t="shared" si="727"/>
        <v>30.448571070980265</v>
      </c>
      <c r="K249" s="149">
        <f t="shared" si="728"/>
        <v>78.358367653445484</v>
      </c>
      <c r="L249" s="379"/>
      <c r="M249" s="188">
        <f t="shared" si="729"/>
        <v>0.3885834953977314</v>
      </c>
      <c r="N249" s="149">
        <f t="shared" si="730"/>
        <v>284.92705349021867</v>
      </c>
      <c r="O249" s="149">
        <f t="shared" si="598"/>
        <v>39.6</v>
      </c>
      <c r="P249" s="188">
        <f t="shared" si="731"/>
        <v>9.4975684496739561</v>
      </c>
      <c r="Q249" s="188">
        <f t="shared" si="732"/>
        <v>30</v>
      </c>
      <c r="R249" s="188"/>
      <c r="S249" s="149">
        <f t="shared" si="733"/>
        <v>502.05713838686415</v>
      </c>
      <c r="T249" s="149">
        <f t="shared" si="734"/>
        <v>30</v>
      </c>
      <c r="U249" s="188">
        <f t="shared" si="735"/>
        <v>4.2541862947354652</v>
      </c>
      <c r="V249" s="188">
        <f t="shared" si="736"/>
        <v>0.41734002253256591</v>
      </c>
      <c r="W249" s="188">
        <f t="shared" si="737"/>
        <v>0.65667040790341347</v>
      </c>
      <c r="X249" s="172">
        <f t="shared" si="738"/>
        <v>350</v>
      </c>
      <c r="Y249" s="379">
        <f t="shared" si="678"/>
        <v>350</v>
      </c>
      <c r="AA249" s="188">
        <f t="shared" si="739"/>
        <v>11.317225271289399</v>
      </c>
      <c r="AB249" s="150">
        <f t="shared" si="740"/>
        <v>1.7469114938452754</v>
      </c>
      <c r="AC249" s="150">
        <f t="shared" si="741"/>
        <v>3.4597834083490415</v>
      </c>
      <c r="AD249" s="150"/>
      <c r="AE249" s="150">
        <f t="shared" si="742"/>
        <v>0.93550690501849676</v>
      </c>
      <c r="AF249" s="314">
        <f t="shared" si="743"/>
        <v>465.62991428843316</v>
      </c>
      <c r="AG249" s="456">
        <f t="shared" si="744"/>
        <v>0.99220429320143599</v>
      </c>
      <c r="AI249" s="150">
        <f t="shared" si="745"/>
        <v>6.9904071319739689</v>
      </c>
      <c r="AJ249" s="150">
        <f t="shared" si="746"/>
        <v>6.9904071319739689</v>
      </c>
      <c r="AK249" s="150">
        <f t="shared" si="747"/>
        <v>1.8887415343465987</v>
      </c>
      <c r="AM249" s="314">
        <f t="shared" si="748"/>
        <v>1320</v>
      </c>
      <c r="AN249" s="144">
        <f t="shared" si="749"/>
        <v>350</v>
      </c>
      <c r="AP249">
        <f t="shared" si="750"/>
        <v>1320</v>
      </c>
      <c r="AQ249">
        <f t="shared" si="751"/>
        <v>350</v>
      </c>
      <c r="AS249" s="5">
        <f t="shared" si="599"/>
        <v>2.8571428571428572</v>
      </c>
      <c r="AT249" s="5">
        <f t="shared" si="752"/>
        <v>0.68576608259494076</v>
      </c>
      <c r="AU249" s="5">
        <f t="shared" si="721"/>
        <v>2.1713767745479164</v>
      </c>
      <c r="AV249" s="5"/>
      <c r="AW249" s="150">
        <f t="shared" si="722"/>
        <v>0.24001812890822927</v>
      </c>
      <c r="AX249" s="150">
        <f t="shared" si="630"/>
        <v>40.192113813693958</v>
      </c>
      <c r="AY249" s="150">
        <f t="shared" si="631"/>
        <v>2.6562913459254176</v>
      </c>
      <c r="AZ249" s="150">
        <f t="shared" si="632"/>
        <v>15.130913209255494</v>
      </c>
      <c r="BA249" s="144">
        <f t="shared" si="723"/>
        <v>3.0173707634177394</v>
      </c>
      <c r="BB249" s="5">
        <f t="shared" si="724"/>
        <v>1.0557403631499129</v>
      </c>
      <c r="BD249" s="150">
        <f t="shared" si="679"/>
        <v>1.977260388554239</v>
      </c>
      <c r="BE249" s="150">
        <f t="shared" si="680"/>
        <v>3.5183858012027596</v>
      </c>
      <c r="BG249" s="456">
        <f t="shared" si="681"/>
        <v>4.6914703729747924E-2</v>
      </c>
      <c r="BH249" s="456">
        <f t="shared" si="753"/>
        <v>3.4987971482535145</v>
      </c>
      <c r="BI249" s="456">
        <f t="shared" si="682"/>
        <v>4.0250000000000001E-2</v>
      </c>
      <c r="BJ249" s="456">
        <f t="shared" si="683"/>
        <v>1.1121136186402325</v>
      </c>
      <c r="BK249">
        <f t="shared" si="684"/>
        <v>2.1559408462109349E-2</v>
      </c>
      <c r="BL249" s="144">
        <f t="shared" si="685"/>
        <v>61.809408462109346</v>
      </c>
      <c r="BM249" s="456">
        <f t="shared" si="754"/>
        <v>4.7231409795421495</v>
      </c>
      <c r="BN249" s="144">
        <f t="shared" si="686"/>
        <v>4723.1409795421496</v>
      </c>
      <c r="BO249" s="456">
        <f t="shared" si="635"/>
        <v>0.92399999999999993</v>
      </c>
      <c r="BR249" s="144">
        <f t="shared" si="687"/>
        <v>923.99999999999989</v>
      </c>
      <c r="BS249" s="456">
        <f t="shared" si="688"/>
        <v>5.4733821018039246E-2</v>
      </c>
      <c r="BT249" s="456">
        <f t="shared" si="689"/>
        <v>0.17330654104547258</v>
      </c>
      <c r="BU249" s="456">
        <f t="shared" si="690"/>
        <v>14.804586824933819</v>
      </c>
      <c r="BV249" s="456"/>
      <c r="BW249" s="456">
        <f t="shared" si="691"/>
        <v>1.7103027154763388</v>
      </c>
      <c r="BX249" s="144">
        <f t="shared" si="692"/>
        <v>16742.929902473668</v>
      </c>
      <c r="BY249" s="150">
        <f t="shared" si="693"/>
        <v>22.386564781559272</v>
      </c>
      <c r="BZ249" s="5">
        <f t="shared" si="694"/>
        <v>39.6</v>
      </c>
      <c r="CA249" s="150">
        <f t="shared" si="695"/>
        <v>0.63884811393485741</v>
      </c>
      <c r="CB249" s="5">
        <f t="shared" si="696"/>
        <v>63.884811393485741</v>
      </c>
      <c r="CE249" s="59">
        <f t="shared" si="755"/>
        <v>-50</v>
      </c>
      <c r="CF249">
        <f t="shared" si="756"/>
        <v>-50</v>
      </c>
      <c r="CG249" s="150">
        <f t="shared" si="757"/>
        <v>0.38047338934543112</v>
      </c>
      <c r="CI249" s="147">
        <v>33</v>
      </c>
      <c r="CJ249" s="188">
        <f t="shared" si="697"/>
        <v>1.32</v>
      </c>
      <c r="CK249" s="188"/>
      <c r="CL249" s="188">
        <f t="shared" si="639"/>
        <v>39.6</v>
      </c>
      <c r="CM249" s="465">
        <f t="shared" si="640"/>
        <v>48</v>
      </c>
      <c r="CN249" s="379">
        <f t="shared" si="641"/>
        <v>30.4</v>
      </c>
      <c r="CO249" s="379">
        <f t="shared" si="642"/>
        <v>78.400000000000006</v>
      </c>
      <c r="CP249" s="379"/>
      <c r="CQ249" s="188">
        <f t="shared" si="643"/>
        <v>0.38775510204081626</v>
      </c>
      <c r="CR249" s="149">
        <f t="shared" si="644"/>
        <v>284.85494809142222</v>
      </c>
      <c r="CS249" s="149">
        <f t="shared" si="645"/>
        <v>39.6</v>
      </c>
      <c r="CT249" s="188">
        <f t="shared" si="646"/>
        <v>9.4951649363807409</v>
      </c>
      <c r="CU249" s="188">
        <f t="shared" si="647"/>
        <v>30</v>
      </c>
      <c r="CV249" s="188"/>
      <c r="CW249" s="149">
        <f t="shared" si="648"/>
        <v>503.00232779507996</v>
      </c>
      <c r="CX249" s="149">
        <f t="shared" si="649"/>
        <v>30</v>
      </c>
      <c r="CY249" s="188">
        <f t="shared" si="650"/>
        <v>4.2552631578947375</v>
      </c>
      <c r="CZ249" s="188">
        <f t="shared" si="651"/>
        <v>0.41666118421052639</v>
      </c>
      <c r="DA249" s="188">
        <f t="shared" si="652"/>
        <v>0.65788608033241003</v>
      </c>
      <c r="DB249" s="172">
        <f t="shared" si="653"/>
        <v>350</v>
      </c>
      <c r="DC249" s="379">
        <f t="shared" si="654"/>
        <v>350</v>
      </c>
      <c r="DE249" s="188">
        <f t="shared" si="655"/>
        <v>11.314434588425037</v>
      </c>
      <c r="DF249" s="150">
        <f t="shared" si="656"/>
        <v>1.7492711370262393</v>
      </c>
      <c r="DG249" s="150">
        <f t="shared" si="657"/>
        <v>3.463602425028073</v>
      </c>
      <c r="DH249" s="150"/>
      <c r="DI249" s="150">
        <f t="shared" si="658"/>
        <v>0.93700159489633172</v>
      </c>
      <c r="DJ249" s="314">
        <f t="shared" si="659"/>
        <v>464.88714893617026</v>
      </c>
      <c r="DK249" s="456">
        <f t="shared" si="660"/>
        <v>0.99378957034459414</v>
      </c>
      <c r="DM249" s="150">
        <f t="shared" si="661"/>
        <v>6.9848294141867742</v>
      </c>
      <c r="DN249" s="150">
        <f t="shared" si="662"/>
        <v>6.9848294141867742</v>
      </c>
      <c r="DO249" s="150">
        <f t="shared" si="663"/>
        <v>1.8846098915412692</v>
      </c>
      <c r="DQ249" s="314">
        <f t="shared" si="664"/>
        <v>1320</v>
      </c>
      <c r="DR249" s="144">
        <f t="shared" si="665"/>
        <v>350</v>
      </c>
      <c r="DT249">
        <f t="shared" si="666"/>
        <v>1320</v>
      </c>
      <c r="DU249">
        <f t="shared" si="667"/>
        <v>350</v>
      </c>
      <c r="DW249" s="5">
        <f t="shared" si="668"/>
        <v>2.8571428571428572</v>
      </c>
      <c r="DX249" s="5">
        <f t="shared" si="669"/>
        <v>0.68393121347245489</v>
      </c>
      <c r="DY249" s="5">
        <f t="shared" si="670"/>
        <v>2.1732116436704025</v>
      </c>
      <c r="DZ249" s="5"/>
      <c r="EA249" s="150">
        <f t="shared" si="671"/>
        <v>0.23937592471535921</v>
      </c>
      <c r="EB249" s="150">
        <f t="shared" si="698"/>
        <v>40.128000000000007</v>
      </c>
      <c r="EC249" s="150">
        <f t="shared" si="699"/>
        <v>2.6564147070933872</v>
      </c>
      <c r="ED249" s="150">
        <f t="shared" si="700"/>
        <v>15.106075076623679</v>
      </c>
      <c r="EE249" s="144">
        <f t="shared" si="672"/>
        <v>3.0092973392788021</v>
      </c>
      <c r="EF249" s="5">
        <f t="shared" si="673"/>
        <v>1.0546468270753424</v>
      </c>
      <c r="EH249" s="150">
        <f t="shared" si="701"/>
        <v>1.9730378253275904</v>
      </c>
      <c r="EI249" s="150">
        <f t="shared" si="702"/>
        <v>3.5170635083247346</v>
      </c>
      <c r="EK249" s="456">
        <f t="shared" si="703"/>
        <v>4.6714539122081129E-2</v>
      </c>
      <c r="EL249" s="456">
        <f t="shared" si="704"/>
        <v>3.6416106633804177</v>
      </c>
      <c r="EM249" s="456">
        <f t="shared" si="705"/>
        <v>4.0250000000000001E-2</v>
      </c>
      <c r="EN249" s="456">
        <f t="shared" si="706"/>
        <v>1.1132956800000005</v>
      </c>
      <c r="EO249">
        <f t="shared" si="707"/>
        <v>2.1600000000000001E-2</v>
      </c>
      <c r="EP249" s="144">
        <f t="shared" si="708"/>
        <v>61.85</v>
      </c>
      <c r="EQ249" s="144"/>
      <c r="ER249" s="144">
        <f t="shared" si="709"/>
        <v>4863.4708825025</v>
      </c>
      <c r="ES249" s="456">
        <f t="shared" si="710"/>
        <v>0.92399999999999993</v>
      </c>
      <c r="EV249" s="144">
        <f t="shared" si="711"/>
        <v>923.99999999999989</v>
      </c>
      <c r="EW249" s="456">
        <f t="shared" si="712"/>
        <v>5.4500295642427983E-2</v>
      </c>
      <c r="EX249" s="456">
        <f t="shared" si="713"/>
        <v>0.17317630010225288</v>
      </c>
      <c r="EY249" s="456">
        <f t="shared" si="714"/>
        <v>14.775072664951804</v>
      </c>
      <c r="EZ249" s="456"/>
      <c r="FA249" s="456">
        <f t="shared" si="715"/>
        <v>1.7075744680851066</v>
      </c>
      <c r="FB249" s="144">
        <f t="shared" si="716"/>
        <v>16710.323728781594</v>
      </c>
      <c r="FC249" s="150">
        <f t="shared" si="717"/>
        <v>22.497794611284093</v>
      </c>
      <c r="FD249" s="5">
        <f t="shared" si="718"/>
        <v>39.6</v>
      </c>
      <c r="FE249" s="150">
        <f t="shared" si="719"/>
        <v>0.63770380651818015</v>
      </c>
      <c r="FF249" s="5">
        <f t="shared" si="720"/>
        <v>63.770380651818016</v>
      </c>
      <c r="FI249" s="59">
        <f t="shared" si="674"/>
        <v>-50</v>
      </c>
      <c r="FJ249">
        <f t="shared" si="675"/>
        <v>-50</v>
      </c>
      <c r="FL249">
        <f t="shared" si="758"/>
        <v>0.37796198639267248</v>
      </c>
    </row>
    <row r="250" spans="5:168">
      <c r="E250" s="147">
        <v>34</v>
      </c>
      <c r="F250" s="188">
        <f t="shared" si="759"/>
        <v>1.36</v>
      </c>
      <c r="G250" s="188"/>
      <c r="H250" s="188">
        <f t="shared" si="725"/>
        <v>40.800000000000004</v>
      </c>
      <c r="I250" s="465">
        <f t="shared" si="726"/>
        <v>47.908440063977203</v>
      </c>
      <c r="J250" s="149">
        <f t="shared" si="727"/>
        <v>30.449301504012272</v>
      </c>
      <c r="K250" s="149">
        <f t="shared" si="728"/>
        <v>78.357741567989478</v>
      </c>
      <c r="L250" s="379"/>
      <c r="M250" s="188">
        <f t="shared" si="729"/>
        <v>0.3885959598061075</v>
      </c>
      <c r="N250" s="149">
        <f t="shared" si="730"/>
        <v>284.92812527371257</v>
      </c>
      <c r="O250" s="149">
        <f t="shared" si="598"/>
        <v>40.800000000000004</v>
      </c>
      <c r="P250" s="188">
        <f t="shared" si="731"/>
        <v>9.4976041757904195</v>
      </c>
      <c r="Q250" s="188">
        <f t="shared" si="732"/>
        <v>30</v>
      </c>
      <c r="R250" s="188"/>
      <c r="S250" s="149">
        <f t="shared" si="733"/>
        <v>485.87027436040285</v>
      </c>
      <c r="T250" s="149">
        <f t="shared" si="734"/>
        <v>30</v>
      </c>
      <c r="U250" s="188">
        <f t="shared" si="735"/>
        <v>4.3830845434996855</v>
      </c>
      <c r="V250" s="188">
        <f t="shared" si="736"/>
        <v>0.42999724739395606</v>
      </c>
      <c r="W250" s="188">
        <f t="shared" si="737"/>
        <v>0.67655073636858354</v>
      </c>
      <c r="X250" s="172">
        <f t="shared" si="738"/>
        <v>350</v>
      </c>
      <c r="Y250" s="379">
        <f t="shared" si="678"/>
        <v>350</v>
      </c>
      <c r="AA250" s="188">
        <f t="shared" si="739"/>
        <v>11.31726674258781</v>
      </c>
      <c r="AB250" s="150">
        <f t="shared" si="740"/>
        <v>1.7468759893606678</v>
      </c>
      <c r="AC250" s="150">
        <f t="shared" si="741"/>
        <v>3.4597257691179162</v>
      </c>
      <c r="AD250" s="150"/>
      <c r="AE250" s="150">
        <f t="shared" si="742"/>
        <v>0.93548446361224624</v>
      </c>
      <c r="AF250" s="314">
        <f t="shared" si="743"/>
        <v>479.75142020747171</v>
      </c>
      <c r="AG250" s="456">
        <f t="shared" si="744"/>
        <v>0.99218049170995815</v>
      </c>
      <c r="AI250" s="150">
        <f t="shared" si="745"/>
        <v>7.0956170422509199</v>
      </c>
      <c r="AJ250" s="150">
        <f t="shared" si="746"/>
        <v>7.0956170422509199</v>
      </c>
      <c r="AK250" s="150">
        <f t="shared" si="747"/>
        <v>1.9666748012184143</v>
      </c>
      <c r="AM250" s="314">
        <f t="shared" si="748"/>
        <v>1360</v>
      </c>
      <c r="AN250" s="144">
        <f t="shared" si="749"/>
        <v>350</v>
      </c>
      <c r="AP250">
        <f t="shared" si="750"/>
        <v>1360</v>
      </c>
      <c r="AQ250">
        <f t="shared" si="751"/>
        <v>350</v>
      </c>
      <c r="AS250" s="5">
        <f t="shared" si="599"/>
        <v>2.8571428571428572</v>
      </c>
      <c r="AT250" s="5">
        <f t="shared" si="752"/>
        <v>0.6961069918796009</v>
      </c>
      <c r="AU250" s="5">
        <f t="shared" si="721"/>
        <v>2.1610358652632562</v>
      </c>
      <c r="AV250" s="5"/>
      <c r="AW250" s="150">
        <f t="shared" si="722"/>
        <v>0.24363744715786032</v>
      </c>
      <c r="AX250" s="150">
        <f t="shared" si="630"/>
        <v>41.41105004545669</v>
      </c>
      <c r="AY250" s="150">
        <f t="shared" si="631"/>
        <v>2.6834295100335495</v>
      </c>
      <c r="AZ250" s="150">
        <f t="shared" si="632"/>
        <v>15.43213633546832</v>
      </c>
      <c r="BA250" s="144">
        <f t="shared" si="723"/>
        <v>3.1556850298541907</v>
      </c>
      <c r="BB250" s="5">
        <f t="shared" si="724"/>
        <v>1.0825829581814292</v>
      </c>
      <c r="BD250" s="150">
        <f t="shared" si="679"/>
        <v>2.0220950261330053</v>
      </c>
      <c r="BE250" s="150">
        <f t="shared" si="680"/>
        <v>3.5628254857695074</v>
      </c>
      <c r="BG250" s="456">
        <f t="shared" si="681"/>
        <v>4.9066419536542075E-2</v>
      </c>
      <c r="BH250" s="456">
        <f t="shared" si="753"/>
        <v>3.5514278127767884</v>
      </c>
      <c r="BI250" s="456">
        <f t="shared" si="682"/>
        <v>4.0250000000000001E-2</v>
      </c>
      <c r="BJ250" s="456">
        <f t="shared" si="683"/>
        <v>1.1120958470760391</v>
      </c>
      <c r="BK250">
        <f t="shared" si="684"/>
        <v>2.1558798028789742E-2</v>
      </c>
      <c r="BL250" s="144">
        <f t="shared" si="685"/>
        <v>61.808798028789745</v>
      </c>
      <c r="BM250" s="456">
        <f t="shared" si="754"/>
        <v>4.7815825690687284</v>
      </c>
      <c r="BN250" s="144">
        <f t="shared" si="686"/>
        <v>4781.5825690687279</v>
      </c>
      <c r="BO250" s="456">
        <f t="shared" si="635"/>
        <v>0.95199999999999996</v>
      </c>
      <c r="BR250" s="144">
        <f t="shared" si="687"/>
        <v>952</v>
      </c>
      <c r="BS250" s="456">
        <f t="shared" si="688"/>
        <v>5.7244156125965756E-2</v>
      </c>
      <c r="BT250" s="456">
        <f t="shared" si="689"/>
        <v>0.17771215618868219</v>
      </c>
      <c r="BU250" s="456">
        <f t="shared" si="690"/>
        <v>15.367935728272574</v>
      </c>
      <c r="BV250" s="456"/>
      <c r="BW250" s="456">
        <f t="shared" si="691"/>
        <v>1.7621723423598594</v>
      </c>
      <c r="BX250" s="144">
        <f t="shared" si="692"/>
        <v>17365.064382947083</v>
      </c>
      <c r="BY250" s="150">
        <f t="shared" si="693"/>
        <v>23.091463260365241</v>
      </c>
      <c r="BZ250" s="5">
        <f t="shared" si="694"/>
        <v>40.800000000000004</v>
      </c>
      <c r="CA250" s="150">
        <f t="shared" si="695"/>
        <v>0.63858296426449335</v>
      </c>
      <c r="CB250" s="5">
        <f t="shared" si="696"/>
        <v>63.858296426449336</v>
      </c>
      <c r="CE250" s="59">
        <f t="shared" si="755"/>
        <v>-50</v>
      </c>
      <c r="CF250">
        <f t="shared" si="756"/>
        <v>-50</v>
      </c>
      <c r="CG250" s="150">
        <f t="shared" si="757"/>
        <v>0.3861951147628187</v>
      </c>
      <c r="CI250" s="147">
        <v>34</v>
      </c>
      <c r="CJ250" s="188">
        <f t="shared" si="697"/>
        <v>1.36</v>
      </c>
      <c r="CK250" s="188"/>
      <c r="CL250" s="188">
        <f t="shared" si="639"/>
        <v>40.800000000000004</v>
      </c>
      <c r="CM250" s="465">
        <f t="shared" si="640"/>
        <v>48</v>
      </c>
      <c r="CN250" s="379">
        <f t="shared" si="641"/>
        <v>30.4</v>
      </c>
      <c r="CO250" s="379">
        <f t="shared" si="642"/>
        <v>78.400000000000006</v>
      </c>
      <c r="CP250" s="379"/>
      <c r="CQ250" s="188">
        <f t="shared" si="643"/>
        <v>0.38775510204081626</v>
      </c>
      <c r="CR250" s="149">
        <f t="shared" si="644"/>
        <v>284.85494809142222</v>
      </c>
      <c r="CS250" s="149">
        <f t="shared" si="645"/>
        <v>40.800000000000004</v>
      </c>
      <c r="CT250" s="188">
        <f t="shared" si="646"/>
        <v>9.4951649363807409</v>
      </c>
      <c r="CU250" s="188">
        <f t="shared" si="647"/>
        <v>30</v>
      </c>
      <c r="CV250" s="188"/>
      <c r="CW250" s="149">
        <f t="shared" si="648"/>
        <v>486.79876725548019</v>
      </c>
      <c r="CX250" s="149">
        <f t="shared" si="649"/>
        <v>30</v>
      </c>
      <c r="CY250" s="188">
        <f t="shared" si="650"/>
        <v>4.3842105263157913</v>
      </c>
      <c r="CZ250" s="188">
        <f t="shared" si="651"/>
        <v>0.42928728070175454</v>
      </c>
      <c r="DA250" s="188">
        <f t="shared" si="652"/>
        <v>0.67782202216066501</v>
      </c>
      <c r="DB250" s="172">
        <f t="shared" si="653"/>
        <v>350</v>
      </c>
      <c r="DC250" s="379">
        <f t="shared" si="654"/>
        <v>350</v>
      </c>
      <c r="DE250" s="188">
        <f t="shared" si="655"/>
        <v>11.314434588425037</v>
      </c>
      <c r="DF250" s="150">
        <f t="shared" si="656"/>
        <v>1.7492711370262393</v>
      </c>
      <c r="DG250" s="150">
        <f t="shared" si="657"/>
        <v>3.463602425028073</v>
      </c>
      <c r="DH250" s="150"/>
      <c r="DI250" s="150">
        <f t="shared" si="658"/>
        <v>0.93700159489633172</v>
      </c>
      <c r="DJ250" s="314">
        <f t="shared" si="659"/>
        <v>478.97463829787239</v>
      </c>
      <c r="DK250" s="456">
        <f t="shared" si="660"/>
        <v>0.99378957034459414</v>
      </c>
      <c r="DM250" s="150">
        <f t="shared" si="661"/>
        <v>7.089870337190681</v>
      </c>
      <c r="DN250" s="150">
        <f t="shared" si="662"/>
        <v>7.089870337190681</v>
      </c>
      <c r="DO250" s="150">
        <f t="shared" si="663"/>
        <v>1.9624179826552743</v>
      </c>
      <c r="DQ250" s="314">
        <f t="shared" si="664"/>
        <v>1360</v>
      </c>
      <c r="DR250" s="144">
        <f t="shared" si="665"/>
        <v>350</v>
      </c>
      <c r="DT250">
        <f t="shared" si="666"/>
        <v>1360</v>
      </c>
      <c r="DU250">
        <f t="shared" si="667"/>
        <v>350</v>
      </c>
      <c r="DW250" s="5">
        <f t="shared" si="668"/>
        <v>2.8571428571428572</v>
      </c>
      <c r="DX250" s="5">
        <f t="shared" si="669"/>
        <v>0.69421647051658752</v>
      </c>
      <c r="DY250" s="5">
        <f t="shared" si="670"/>
        <v>2.1629263866262698</v>
      </c>
      <c r="DZ250" s="5"/>
      <c r="EA250" s="150">
        <f t="shared" si="671"/>
        <v>0.24297576468080562</v>
      </c>
      <c r="EB250" s="150">
        <f t="shared" si="698"/>
        <v>41.344000000000015</v>
      </c>
      <c r="EC250" s="150">
        <f t="shared" si="699"/>
        <v>2.683601835262007</v>
      </c>
      <c r="ED250" s="150">
        <f t="shared" si="700"/>
        <v>15.406160279348406</v>
      </c>
      <c r="EE250" s="144">
        <f t="shared" si="672"/>
        <v>3.1471146663418637</v>
      </c>
      <c r="EF250" s="5">
        <f t="shared" si="673"/>
        <v>1.0814631933131349</v>
      </c>
      <c r="EH250" s="150">
        <f t="shared" si="701"/>
        <v>2.0177118476851565</v>
      </c>
      <c r="EI250" s="150">
        <f t="shared" si="702"/>
        <v>3.5614967872749395</v>
      </c>
      <c r="EK250" s="456">
        <f t="shared" si="703"/>
        <v>4.8853933203468577E-2</v>
      </c>
      <c r="EL250" s="456">
        <f t="shared" si="704"/>
        <v>3.6963747989977342</v>
      </c>
      <c r="EM250" s="456">
        <f t="shared" si="705"/>
        <v>4.0250000000000001E-2</v>
      </c>
      <c r="EN250" s="456">
        <f t="shared" si="706"/>
        <v>1.1132956800000005</v>
      </c>
      <c r="EO250">
        <f t="shared" si="707"/>
        <v>2.1600000000000001E-2</v>
      </c>
      <c r="EP250" s="144">
        <f t="shared" si="708"/>
        <v>61.85</v>
      </c>
      <c r="EQ250" s="144"/>
      <c r="ER250" s="144">
        <f t="shared" si="709"/>
        <v>4920.374412201204</v>
      </c>
      <c r="ES250" s="456">
        <f t="shared" si="710"/>
        <v>0.95199999999999996</v>
      </c>
      <c r="EV250" s="144">
        <f t="shared" si="711"/>
        <v>952</v>
      </c>
      <c r="EW250" s="456">
        <f t="shared" si="712"/>
        <v>5.6996255404046674E-2</v>
      </c>
      <c r="EX250" s="456">
        <f t="shared" si="713"/>
        <v>0.17757963112077602</v>
      </c>
      <c r="EY250" s="456">
        <f t="shared" si="714"/>
        <v>15.336838588896073</v>
      </c>
      <c r="EZ250" s="456"/>
      <c r="FA250" s="456">
        <f t="shared" si="715"/>
        <v>1.759319148936171</v>
      </c>
      <c r="FB250" s="144">
        <f t="shared" si="716"/>
        <v>17330.733624357064</v>
      </c>
      <c r="FC250" s="150">
        <f t="shared" si="717"/>
        <v>23.20310803655827</v>
      </c>
      <c r="FD250" s="5">
        <f t="shared" si="718"/>
        <v>40.800000000000004</v>
      </c>
      <c r="FE250" s="150">
        <f t="shared" si="719"/>
        <v>0.63746904254548442</v>
      </c>
      <c r="FF250" s="5">
        <f t="shared" si="720"/>
        <v>63.74690425454844</v>
      </c>
      <c r="FI250" s="59">
        <f t="shared" si="674"/>
        <v>-50</v>
      </c>
      <c r="FJ250">
        <f t="shared" si="675"/>
        <v>-50</v>
      </c>
      <c r="FL250">
        <f t="shared" si="758"/>
        <v>0.38364594423285098</v>
      </c>
    </row>
    <row r="251" spans="5:168">
      <c r="E251" s="147">
        <v>35</v>
      </c>
      <c r="F251" s="188">
        <f t="shared" si="759"/>
        <v>1.4</v>
      </c>
      <c r="G251" s="188"/>
      <c r="H251" s="188">
        <f t="shared" si="725"/>
        <v>42</v>
      </c>
      <c r="I251" s="465">
        <f t="shared" si="726"/>
        <v>47.907103351868635</v>
      </c>
      <c r="J251" s="149">
        <f t="shared" si="727"/>
        <v>30.450021272070732</v>
      </c>
      <c r="K251" s="149">
        <f t="shared" si="728"/>
        <v>78.35712462393937</v>
      </c>
      <c r="L251" s="379"/>
      <c r="M251" s="188">
        <f t="shared" si="729"/>
        <v>0.38860824241634023</v>
      </c>
      <c r="N251" s="149">
        <f t="shared" si="730"/>
        <v>284.92918104369392</v>
      </c>
      <c r="O251" s="149">
        <f t="shared" si="598"/>
        <v>42</v>
      </c>
      <c r="P251" s="188">
        <f t="shared" si="731"/>
        <v>9.4976393681231297</v>
      </c>
      <c r="Q251" s="188">
        <f t="shared" si="732"/>
        <v>30</v>
      </c>
      <c r="R251" s="188"/>
      <c r="S251" s="149">
        <f t="shared" si="733"/>
        <v>470.60872583323305</v>
      </c>
      <c r="T251" s="149">
        <f t="shared" si="734"/>
        <v>30</v>
      </c>
      <c r="U251" s="188">
        <f t="shared" si="735"/>
        <v>4.5119820761233633</v>
      </c>
      <c r="V251" s="188">
        <f t="shared" si="736"/>
        <v>0.44265493578318477</v>
      </c>
      <c r="W251" s="188">
        <f t="shared" si="737"/>
        <v>0.69643024444224588</v>
      </c>
      <c r="X251" s="172">
        <f t="shared" si="738"/>
        <v>350</v>
      </c>
      <c r="Y251" s="379">
        <f t="shared" si="678"/>
        <v>350</v>
      </c>
      <c r="AA251" s="188">
        <f t="shared" si="739"/>
        <v>11.317307593977473</v>
      </c>
      <c r="AB251" s="150">
        <f t="shared" si="740"/>
        <v>1.7468410027181858</v>
      </c>
      <c r="AC251" s="150">
        <f t="shared" si="741"/>
        <v>3.4596689654684059</v>
      </c>
      <c r="AD251" s="150"/>
      <c r="AE251" s="150">
        <f t="shared" si="742"/>
        <v>0.93546235092371721</v>
      </c>
      <c r="AF251" s="314">
        <f t="shared" si="743"/>
        <v>493.87343012126627</v>
      </c>
      <c r="AG251" s="456">
        <f t="shared" si="744"/>
        <v>0.99215703885848805</v>
      </c>
      <c r="AI251" s="150">
        <f t="shared" si="745"/>
        <v>7.1992932598847865</v>
      </c>
      <c r="AJ251" s="150">
        <f t="shared" si="746"/>
        <v>7.1992932598847865</v>
      </c>
      <c r="AK251" s="150">
        <f t="shared" si="747"/>
        <v>2.0434719994657229</v>
      </c>
      <c r="AM251" s="314">
        <f t="shared" si="748"/>
        <v>1400</v>
      </c>
      <c r="AN251" s="144">
        <f t="shared" si="749"/>
        <v>350</v>
      </c>
      <c r="AP251">
        <f t="shared" si="750"/>
        <v>1400</v>
      </c>
      <c r="AQ251">
        <f t="shared" si="751"/>
        <v>350</v>
      </c>
      <c r="AS251" s="5">
        <f t="shared" si="599"/>
        <v>2.8571428571428572</v>
      </c>
      <c r="AT251" s="5">
        <f t="shared" si="752"/>
        <v>0.70629772943971336</v>
      </c>
      <c r="AU251" s="5">
        <f t="shared" si="721"/>
        <v>2.150845127703144</v>
      </c>
      <c r="AV251" s="5"/>
      <c r="AW251" s="150">
        <f t="shared" si="722"/>
        <v>0.24720420530389967</v>
      </c>
      <c r="AX251" s="150">
        <f t="shared" si="630"/>
        <v>42.630029780899022</v>
      </c>
      <c r="AY251" s="150">
        <f t="shared" si="631"/>
        <v>2.7097988454126236</v>
      </c>
      <c r="AZ251" s="150">
        <f t="shared" si="632"/>
        <v>15.731806016917727</v>
      </c>
      <c r="BA251" s="144">
        <f t="shared" si="723"/>
        <v>3.2960560707186621</v>
      </c>
      <c r="BB251" s="5">
        <f t="shared" si="724"/>
        <v>1.1091993246625278</v>
      </c>
      <c r="BD251" s="150">
        <f t="shared" si="679"/>
        <v>2.0666035190602932</v>
      </c>
      <c r="BE251" s="150">
        <f t="shared" si="680"/>
        <v>3.6063496376458635</v>
      </c>
      <c r="BG251" s="456">
        <f t="shared" si="681"/>
        <v>5.1250201259908652E-2</v>
      </c>
      <c r="BH251" s="456">
        <f t="shared" si="753"/>
        <v>3.6032904336924916</v>
      </c>
      <c r="BI251" s="456">
        <f t="shared" si="682"/>
        <v>4.0250000000000001E-2</v>
      </c>
      <c r="BJ251" s="456">
        <f t="shared" si="683"/>
        <v>1.1120783351314298</v>
      </c>
      <c r="BK251">
        <f t="shared" si="684"/>
        <v>2.1558196508340885E-2</v>
      </c>
      <c r="BL251" s="144">
        <f t="shared" si="685"/>
        <v>61.808196508340885</v>
      </c>
      <c r="BM251" s="456">
        <f t="shared" si="754"/>
        <v>4.839385958658907</v>
      </c>
      <c r="BN251" s="144">
        <f t="shared" si="686"/>
        <v>4839.3859586589069</v>
      </c>
      <c r="BO251" s="456">
        <f t="shared" si="635"/>
        <v>0.97999999999999987</v>
      </c>
      <c r="BR251" s="144">
        <f t="shared" si="687"/>
        <v>979.99999999999989</v>
      </c>
      <c r="BS251" s="456">
        <f t="shared" si="688"/>
        <v>5.9791901469893424E-2</v>
      </c>
      <c r="BT251" s="456">
        <f t="shared" si="689"/>
        <v>0.18208060792527833</v>
      </c>
      <c r="BU251" s="456">
        <f t="shared" si="690"/>
        <v>15.935466327996439</v>
      </c>
      <c r="BV251" s="456"/>
      <c r="BW251" s="456">
        <f t="shared" si="691"/>
        <v>1.8140438204637883</v>
      </c>
      <c r="BX251" s="144">
        <f t="shared" si="692"/>
        <v>17991.382657855396</v>
      </c>
      <c r="BY251" s="150">
        <f t="shared" si="693"/>
        <v>23.799809824447568</v>
      </c>
      <c r="BZ251" s="5">
        <f t="shared" si="694"/>
        <v>42</v>
      </c>
      <c r="CA251" s="150">
        <f t="shared" si="695"/>
        <v>0.63829971715807488</v>
      </c>
      <c r="CB251" s="5">
        <f t="shared" si="696"/>
        <v>63.829971715807488</v>
      </c>
      <c r="CE251" s="59">
        <f t="shared" si="755"/>
        <v>-50</v>
      </c>
      <c r="CF251">
        <f t="shared" si="756"/>
        <v>-50</v>
      </c>
      <c r="CG251" s="150">
        <f t="shared" si="757"/>
        <v>0.39183329788742222</v>
      </c>
      <c r="CI251" s="147">
        <v>35</v>
      </c>
      <c r="CJ251" s="188">
        <f t="shared" si="697"/>
        <v>1.4</v>
      </c>
      <c r="CK251" s="188"/>
      <c r="CL251" s="188">
        <f t="shared" si="639"/>
        <v>42</v>
      </c>
      <c r="CM251" s="465">
        <f t="shared" si="640"/>
        <v>48</v>
      </c>
      <c r="CN251" s="379">
        <f t="shared" si="641"/>
        <v>30.4</v>
      </c>
      <c r="CO251" s="379">
        <f t="shared" si="642"/>
        <v>78.400000000000006</v>
      </c>
      <c r="CP251" s="379"/>
      <c r="CQ251" s="188">
        <f t="shared" si="643"/>
        <v>0.38775510204081626</v>
      </c>
      <c r="CR251" s="149">
        <f t="shared" si="644"/>
        <v>284.85494809142222</v>
      </c>
      <c r="CS251" s="149">
        <f t="shared" si="645"/>
        <v>42</v>
      </c>
      <c r="CT251" s="188">
        <f t="shared" si="646"/>
        <v>9.4951649363807409</v>
      </c>
      <c r="CU251" s="188">
        <f t="shared" si="647"/>
        <v>30</v>
      </c>
      <c r="CV251" s="188"/>
      <c r="CW251" s="149">
        <f t="shared" si="648"/>
        <v>471.52120423854183</v>
      </c>
      <c r="CX251" s="149">
        <f t="shared" si="649"/>
        <v>30</v>
      </c>
      <c r="CY251" s="188">
        <f t="shared" si="650"/>
        <v>4.5131578947368434</v>
      </c>
      <c r="CZ251" s="188">
        <f t="shared" si="651"/>
        <v>0.44191337719298257</v>
      </c>
      <c r="DA251" s="188">
        <f t="shared" si="652"/>
        <v>0.69775796398891987</v>
      </c>
      <c r="DB251" s="172">
        <f t="shared" si="653"/>
        <v>350</v>
      </c>
      <c r="DC251" s="379">
        <f t="shared" si="654"/>
        <v>350</v>
      </c>
      <c r="DE251" s="188">
        <f t="shared" si="655"/>
        <v>11.314434588425037</v>
      </c>
      <c r="DF251" s="150">
        <f t="shared" si="656"/>
        <v>1.7492711370262393</v>
      </c>
      <c r="DG251" s="150">
        <f t="shared" si="657"/>
        <v>3.463602425028073</v>
      </c>
      <c r="DH251" s="150"/>
      <c r="DI251" s="150">
        <f t="shared" si="658"/>
        <v>0.93700159489633172</v>
      </c>
      <c r="DJ251" s="314">
        <f t="shared" si="659"/>
        <v>493.06212765957446</v>
      </c>
      <c r="DK251" s="456">
        <f t="shared" si="660"/>
        <v>0.99378957034459414</v>
      </c>
      <c r="DM251" s="150">
        <f t="shared" si="661"/>
        <v>7.1933775690605746</v>
      </c>
      <c r="DN251" s="150">
        <f t="shared" si="662"/>
        <v>7.1933775690605746</v>
      </c>
      <c r="DO251" s="150">
        <f t="shared" si="663"/>
        <v>2.0390900062626027</v>
      </c>
      <c r="DQ251" s="314">
        <f t="shared" si="664"/>
        <v>1400</v>
      </c>
      <c r="DR251" s="144">
        <f t="shared" si="665"/>
        <v>350</v>
      </c>
      <c r="DT251">
        <f t="shared" si="666"/>
        <v>1400</v>
      </c>
      <c r="DU251">
        <f t="shared" si="667"/>
        <v>350</v>
      </c>
      <c r="DW251" s="5">
        <f t="shared" si="668"/>
        <v>2.8571428571428572</v>
      </c>
      <c r="DX251" s="5">
        <f t="shared" si="669"/>
        <v>0.70435155363718127</v>
      </c>
      <c r="DY251" s="5">
        <f t="shared" si="670"/>
        <v>2.1527913035056758</v>
      </c>
      <c r="DZ251" s="5"/>
      <c r="EA251" s="150">
        <f t="shared" si="671"/>
        <v>0.24652304377301343</v>
      </c>
      <c r="EB251" s="150">
        <f t="shared" si="698"/>
        <v>42.559999999999995</v>
      </c>
      <c r="EC251" s="150">
        <f t="shared" si="699"/>
        <v>2.7100221178636206</v>
      </c>
      <c r="ED251" s="150">
        <f t="shared" si="700"/>
        <v>15.704668873164447</v>
      </c>
      <c r="EE251" s="144">
        <f t="shared" si="672"/>
        <v>3.2869739169735124</v>
      </c>
      <c r="EF251" s="5">
        <f t="shared" si="673"/>
        <v>1.1080543473926272</v>
      </c>
      <c r="EH251" s="150">
        <f t="shared" si="701"/>
        <v>2.0620585363876409</v>
      </c>
      <c r="EI251" s="150">
        <f t="shared" si="702"/>
        <v>3.6050161640227727</v>
      </c>
      <c r="EK251" s="456">
        <f t="shared" si="703"/>
        <v>5.1025024889869673E-2</v>
      </c>
      <c r="EL251" s="456">
        <f t="shared" si="704"/>
        <v>3.7503393294054215</v>
      </c>
      <c r="EM251" s="456">
        <f t="shared" si="705"/>
        <v>4.0250000000000001E-2</v>
      </c>
      <c r="EN251" s="456">
        <f t="shared" si="706"/>
        <v>1.1132956800000005</v>
      </c>
      <c r="EO251">
        <f t="shared" si="707"/>
        <v>2.1600000000000001E-2</v>
      </c>
      <c r="EP251" s="144">
        <f t="shared" si="708"/>
        <v>61.85</v>
      </c>
      <c r="EQ251" s="144"/>
      <c r="ER251" s="144">
        <f t="shared" si="709"/>
        <v>4976.5100342952919</v>
      </c>
      <c r="ES251" s="456">
        <f t="shared" si="710"/>
        <v>0.97999999999999987</v>
      </c>
      <c r="EV251" s="144">
        <f t="shared" si="711"/>
        <v>979.99999999999989</v>
      </c>
      <c r="EW251" s="456">
        <f t="shared" si="712"/>
        <v>5.9529195704847951E-2</v>
      </c>
      <c r="EX251" s="456">
        <f t="shared" si="713"/>
        <v>0.18194598160011652</v>
      </c>
      <c r="EY251" s="456">
        <f t="shared" si="714"/>
        <v>15.902750893170213</v>
      </c>
      <c r="EZ251" s="456"/>
      <c r="FA251" s="456">
        <f t="shared" si="715"/>
        <v>1.8110638297872339</v>
      </c>
      <c r="FB251" s="144">
        <f t="shared" si="716"/>
        <v>17955.289900262411</v>
      </c>
      <c r="FC251" s="150">
        <f t="shared" si="717"/>
        <v>23.911799934557703</v>
      </c>
      <c r="FD251" s="5">
        <f t="shared" si="718"/>
        <v>42</v>
      </c>
      <c r="FE251" s="150">
        <f t="shared" si="719"/>
        <v>0.63721518820151812</v>
      </c>
      <c r="FF251" s="5">
        <f t="shared" si="720"/>
        <v>63.721518820151815</v>
      </c>
      <c r="FI251" s="59">
        <f t="shared" si="674"/>
        <v>-50</v>
      </c>
      <c r="FJ251">
        <f t="shared" si="675"/>
        <v>-50</v>
      </c>
      <c r="FL251">
        <f t="shared" si="758"/>
        <v>0.38924691122054755</v>
      </c>
    </row>
    <row r="252" spans="5:168">
      <c r="E252" s="147">
        <v>36</v>
      </c>
      <c r="F252" s="188">
        <f t="shared" si="759"/>
        <v>1.44</v>
      </c>
      <c r="G252" s="188"/>
      <c r="H252" s="188">
        <f t="shared" si="725"/>
        <v>43.199999999999996</v>
      </c>
      <c r="I252" s="465">
        <f t="shared" si="726"/>
        <v>47.90578560309811</v>
      </c>
      <c r="J252" s="149">
        <f t="shared" si="727"/>
        <v>30.450730829101015</v>
      </c>
      <c r="K252" s="149">
        <f t="shared" si="728"/>
        <v>78.356516432199129</v>
      </c>
      <c r="L252" s="379"/>
      <c r="M252" s="188">
        <f t="shared" si="729"/>
        <v>0.38862035096651459</v>
      </c>
      <c r="N252" s="149">
        <f t="shared" si="730"/>
        <v>284.93022148175561</v>
      </c>
      <c r="O252" s="149">
        <f t="shared" si="598"/>
        <v>43.199999999999996</v>
      </c>
      <c r="P252" s="188">
        <f t="shared" si="731"/>
        <v>9.4976740493918541</v>
      </c>
      <c r="Q252" s="188">
        <f t="shared" si="732"/>
        <v>30</v>
      </c>
      <c r="R252" s="188"/>
      <c r="S252" s="149">
        <f t="shared" si="733"/>
        <v>456.19537417255765</v>
      </c>
      <c r="T252" s="149">
        <f t="shared" si="734"/>
        <v>30</v>
      </c>
      <c r="U252" s="188">
        <f t="shared" si="735"/>
        <v>4.6408789032455449</v>
      </c>
      <c r="V252" s="188">
        <f t="shared" si="736"/>
        <v>0.45531308109564639</v>
      </c>
      <c r="W252" s="188">
        <f t="shared" si="737"/>
        <v>0.71630894403390621</v>
      </c>
      <c r="X252" s="172">
        <f t="shared" si="738"/>
        <v>350</v>
      </c>
      <c r="Y252" s="379">
        <f t="shared" si="678"/>
        <v>350</v>
      </c>
      <c r="AA252" s="188">
        <f t="shared" si="739"/>
        <v>11.317347851843937</v>
      </c>
      <c r="AB252" s="150">
        <f t="shared" si="740"/>
        <v>1.7468065118763145</v>
      </c>
      <c r="AC252" s="150">
        <f t="shared" si="741"/>
        <v>3.4596129618348215</v>
      </c>
      <c r="AD252" s="150"/>
      <c r="AE252" s="150">
        <f t="shared" si="742"/>
        <v>0.9354405529612515</v>
      </c>
      <c r="AF252" s="314">
        <f t="shared" si="743"/>
        <v>507.99593677620271</v>
      </c>
      <c r="AG252" s="456">
        <f t="shared" si="744"/>
        <v>0.99213391980738785</v>
      </c>
      <c r="AI252" s="150">
        <f t="shared" si="745"/>
        <v>7.3015010651331407</v>
      </c>
      <c r="AJ252" s="150">
        <f t="shared" si="746"/>
        <v>7.3015010651331407</v>
      </c>
      <c r="AK252" s="150">
        <f t="shared" si="747"/>
        <v>2.1191814848348742</v>
      </c>
      <c r="AM252" s="314">
        <f t="shared" si="748"/>
        <v>1440</v>
      </c>
      <c r="AN252" s="144">
        <f t="shared" si="749"/>
        <v>350</v>
      </c>
      <c r="AP252">
        <f t="shared" si="750"/>
        <v>1440</v>
      </c>
      <c r="AQ252">
        <f t="shared" si="751"/>
        <v>350</v>
      </c>
      <c r="AS252" s="5">
        <f t="shared" si="599"/>
        <v>2.8571428571428572</v>
      </c>
      <c r="AT252" s="5">
        <f t="shared" si="752"/>
        <v>0.71634468726688505</v>
      </c>
      <c r="AU252" s="5">
        <f t="shared" si="721"/>
        <v>2.1407981698759722</v>
      </c>
      <c r="AV252" s="5"/>
      <c r="AW252" s="150">
        <f t="shared" si="722"/>
        <v>0.25072064054340976</v>
      </c>
      <c r="AX252" s="150">
        <f t="shared" si="630"/>
        <v>43.849052393905467</v>
      </c>
      <c r="AY252" s="150">
        <f t="shared" si="631"/>
        <v>2.7354320205772855</v>
      </c>
      <c r="AZ252" s="150">
        <f t="shared" si="632"/>
        <v>16.030028187156908</v>
      </c>
      <c r="BA252" s="144">
        <f t="shared" si="723"/>
        <v>3.4384544988810481</v>
      </c>
      <c r="BB252" s="5">
        <f t="shared" si="724"/>
        <v>1.1355926782286931</v>
      </c>
      <c r="BD252" s="150">
        <f t="shared" si="679"/>
        <v>2.1107974938753751</v>
      </c>
      <c r="BE252" s="150">
        <f t="shared" si="680"/>
        <v>3.6489961918171732</v>
      </c>
      <c r="BG252" s="456">
        <f t="shared" si="681"/>
        <v>5.3465592721806766E-2</v>
      </c>
      <c r="BH252" s="456">
        <f t="shared" si="753"/>
        <v>3.6544177020625037</v>
      </c>
      <c r="BI252" s="456">
        <f t="shared" si="682"/>
        <v>4.0250000000000001E-2</v>
      </c>
      <c r="BJ252" s="456">
        <f t="shared" si="683"/>
        <v>1.1120610717559218</v>
      </c>
      <c r="BK252">
        <f t="shared" si="684"/>
        <v>2.1557603521394148E-2</v>
      </c>
      <c r="BL252" s="144">
        <f t="shared" si="685"/>
        <v>61.807603521394149</v>
      </c>
      <c r="BM252" s="456">
        <f t="shared" si="754"/>
        <v>4.8965834564412773</v>
      </c>
      <c r="BN252" s="144">
        <f t="shared" si="686"/>
        <v>4896.5834564412771</v>
      </c>
      <c r="BO252" s="456">
        <f t="shared" si="635"/>
        <v>1.008</v>
      </c>
      <c r="BR252" s="144">
        <f t="shared" si="687"/>
        <v>1008</v>
      </c>
      <c r="BS252" s="456">
        <f t="shared" si="688"/>
        <v>6.23765248421079E-2</v>
      </c>
      <c r="BT252" s="456">
        <f t="shared" si="689"/>
        <v>0.18641242491054724</v>
      </c>
      <c r="BU252" s="456">
        <f t="shared" si="690"/>
        <v>16.507089175472306</v>
      </c>
      <c r="BV252" s="456"/>
      <c r="BW252" s="456">
        <f t="shared" si="691"/>
        <v>1.8659171231449136</v>
      </c>
      <c r="BX252" s="144">
        <f t="shared" si="692"/>
        <v>18621.795248369875</v>
      </c>
      <c r="BY252" s="150">
        <f t="shared" si="693"/>
        <v>24.511547218431502</v>
      </c>
      <c r="BZ252" s="5">
        <f t="shared" si="694"/>
        <v>43.199999999999996</v>
      </c>
      <c r="CA252" s="150">
        <f t="shared" si="695"/>
        <v>0.63800048551010946</v>
      </c>
      <c r="CB252" s="5">
        <f t="shared" si="696"/>
        <v>63.800048551010946</v>
      </c>
      <c r="CE252" s="59">
        <f t="shared" si="755"/>
        <v>-50</v>
      </c>
      <c r="CF252">
        <f t="shared" si="756"/>
        <v>-50</v>
      </c>
      <c r="CG252" s="150">
        <f t="shared" si="757"/>
        <v>0.39739149462463336</v>
      </c>
      <c r="CI252" s="147">
        <v>36</v>
      </c>
      <c r="CJ252" s="188">
        <f t="shared" si="697"/>
        <v>1.44</v>
      </c>
      <c r="CK252" s="188"/>
      <c r="CL252" s="188">
        <f t="shared" si="639"/>
        <v>43.199999999999996</v>
      </c>
      <c r="CM252" s="465">
        <f t="shared" si="640"/>
        <v>48</v>
      </c>
      <c r="CN252" s="379">
        <f t="shared" si="641"/>
        <v>30.4</v>
      </c>
      <c r="CO252" s="379">
        <f t="shared" si="642"/>
        <v>78.400000000000006</v>
      </c>
      <c r="CP252" s="379"/>
      <c r="CQ252" s="188">
        <f t="shared" si="643"/>
        <v>0.38775510204081626</v>
      </c>
      <c r="CR252" s="149">
        <f t="shared" si="644"/>
        <v>284.85494809142222</v>
      </c>
      <c r="CS252" s="149">
        <f t="shared" si="645"/>
        <v>43.199999999999996</v>
      </c>
      <c r="CT252" s="188">
        <f t="shared" si="646"/>
        <v>9.4951649363807409</v>
      </c>
      <c r="CU252" s="188">
        <f t="shared" si="647"/>
        <v>30</v>
      </c>
      <c r="CV252" s="188"/>
      <c r="CW252" s="149">
        <f t="shared" si="648"/>
        <v>457.09247295409926</v>
      </c>
      <c r="CX252" s="149">
        <f t="shared" si="649"/>
        <v>30</v>
      </c>
      <c r="CY252" s="188">
        <f t="shared" si="650"/>
        <v>4.6421052631578954</v>
      </c>
      <c r="CZ252" s="188">
        <f t="shared" si="651"/>
        <v>0.4545394736842106</v>
      </c>
      <c r="DA252" s="188">
        <f t="shared" si="652"/>
        <v>0.71769390581717463</v>
      </c>
      <c r="DB252" s="172">
        <f t="shared" si="653"/>
        <v>350</v>
      </c>
      <c r="DC252" s="379">
        <f t="shared" si="654"/>
        <v>350</v>
      </c>
      <c r="DE252" s="188">
        <f t="shared" si="655"/>
        <v>11.314434588425037</v>
      </c>
      <c r="DF252" s="150">
        <f t="shared" si="656"/>
        <v>1.7492711370262393</v>
      </c>
      <c r="DG252" s="150">
        <f t="shared" si="657"/>
        <v>3.463602425028073</v>
      </c>
      <c r="DH252" s="150"/>
      <c r="DI252" s="150">
        <f t="shared" si="658"/>
        <v>0.93700159489633172</v>
      </c>
      <c r="DJ252" s="314">
        <f t="shared" si="659"/>
        <v>507.14961702127664</v>
      </c>
      <c r="DK252" s="456">
        <f t="shared" si="660"/>
        <v>0.99378957034459414</v>
      </c>
      <c r="DM252" s="150">
        <f t="shared" si="661"/>
        <v>7.2954163900322619</v>
      </c>
      <c r="DN252" s="150">
        <f t="shared" si="662"/>
        <v>7.2954163900322619</v>
      </c>
      <c r="DO252" s="150">
        <f t="shared" si="663"/>
        <v>2.1146743180934826</v>
      </c>
      <c r="DQ252" s="314">
        <f t="shared" si="664"/>
        <v>1440</v>
      </c>
      <c r="DR252" s="144">
        <f t="shared" si="665"/>
        <v>350</v>
      </c>
      <c r="DT252">
        <f t="shared" si="666"/>
        <v>1440</v>
      </c>
      <c r="DU252">
        <f t="shared" si="667"/>
        <v>350</v>
      </c>
      <c r="DW252" s="5">
        <f t="shared" si="668"/>
        <v>2.8571428571428572</v>
      </c>
      <c r="DX252" s="5">
        <f t="shared" si="669"/>
        <v>0.71434285485732552</v>
      </c>
      <c r="DY252" s="5">
        <f t="shared" si="670"/>
        <v>2.1428000022855316</v>
      </c>
      <c r="DZ252" s="5"/>
      <c r="EA252" s="150">
        <f t="shared" si="671"/>
        <v>0.2500199992000639</v>
      </c>
      <c r="EB252" s="150">
        <f t="shared" si="698"/>
        <v>43.775999999999996</v>
      </c>
      <c r="EC252" s="150">
        <f t="shared" si="699"/>
        <v>2.7357081950161315</v>
      </c>
      <c r="ED252" s="150">
        <f t="shared" si="700"/>
        <v>16.00170664391414</v>
      </c>
      <c r="EE252" s="144">
        <f t="shared" si="672"/>
        <v>3.428845703315162</v>
      </c>
      <c r="EF252" s="5">
        <f t="shared" si="673"/>
        <v>1.1344235306217518</v>
      </c>
      <c r="EH252" s="150">
        <f t="shared" si="701"/>
        <v>2.1060895434761586</v>
      </c>
      <c r="EI252" s="150">
        <f t="shared" si="702"/>
        <v>3.6476595605279338</v>
      </c>
      <c r="EK252" s="456">
        <f t="shared" si="703"/>
        <v>5.3227357981675369E-2</v>
      </c>
      <c r="EL252" s="456">
        <f t="shared" si="704"/>
        <v>3.80353828910722</v>
      </c>
      <c r="EM252" s="456">
        <f t="shared" si="705"/>
        <v>4.0250000000000001E-2</v>
      </c>
      <c r="EN252" s="456">
        <f t="shared" si="706"/>
        <v>1.1132956800000005</v>
      </c>
      <c r="EO252">
        <f t="shared" si="707"/>
        <v>2.1600000000000001E-2</v>
      </c>
      <c r="EP252" s="144">
        <f t="shared" si="708"/>
        <v>61.85</v>
      </c>
      <c r="EQ252" s="144"/>
      <c r="ER252" s="144">
        <f t="shared" si="709"/>
        <v>5031.9113270888965</v>
      </c>
      <c r="ES252" s="456">
        <f t="shared" si="710"/>
        <v>1.008</v>
      </c>
      <c r="EV252" s="144">
        <f t="shared" si="711"/>
        <v>1008</v>
      </c>
      <c r="EW252" s="456">
        <f t="shared" si="712"/>
        <v>6.2098584311954599E-2</v>
      </c>
      <c r="EX252" s="456">
        <f t="shared" si="713"/>
        <v>0.18627588377315177</v>
      </c>
      <c r="EY252" s="456">
        <f t="shared" si="714"/>
        <v>16.472720383969939</v>
      </c>
      <c r="EZ252" s="456"/>
      <c r="FA252" s="456">
        <f t="shared" si="715"/>
        <v>1.8628085106382979</v>
      </c>
      <c r="FB252" s="144">
        <f t="shared" si="716"/>
        <v>18583.903362693345</v>
      </c>
      <c r="FC252" s="150">
        <f t="shared" si="717"/>
        <v>24.62381468978224</v>
      </c>
      <c r="FD252" s="5">
        <f t="shared" si="718"/>
        <v>43.199999999999996</v>
      </c>
      <c r="FE252" s="150">
        <f t="shared" si="719"/>
        <v>0.63694441543271296</v>
      </c>
      <c r="FF252" s="5">
        <f t="shared" si="720"/>
        <v>63.694441543271296</v>
      </c>
      <c r="FI252" s="59">
        <f t="shared" si="674"/>
        <v>-50</v>
      </c>
      <c r="FJ252">
        <f t="shared" si="675"/>
        <v>-50</v>
      </c>
      <c r="FL252">
        <f t="shared" si="758"/>
        <v>0.39476841978957472</v>
      </c>
    </row>
    <row r="253" spans="5:168">
      <c r="E253" s="147">
        <v>37</v>
      </c>
      <c r="F253" s="188">
        <f t="shared" si="759"/>
        <v>1.48</v>
      </c>
      <c r="G253" s="188"/>
      <c r="H253" s="188">
        <f t="shared" si="725"/>
        <v>44.4</v>
      </c>
      <c r="I253" s="465">
        <f t="shared" si="726"/>
        <v>47.904486032785094</v>
      </c>
      <c r="J253" s="149">
        <f t="shared" si="727"/>
        <v>30.451430597731104</v>
      </c>
      <c r="K253" s="149">
        <f t="shared" si="728"/>
        <v>78.355916630516191</v>
      </c>
      <c r="L253" s="379"/>
      <c r="M253" s="188">
        <f t="shared" si="729"/>
        <v>0.38863229266087035</v>
      </c>
      <c r="N253" s="149">
        <f t="shared" si="730"/>
        <v>284.9312472224683</v>
      </c>
      <c r="O253" s="149">
        <f t="shared" si="598"/>
        <v>44.4</v>
      </c>
      <c r="P253" s="188">
        <f t="shared" si="731"/>
        <v>9.4977082407489437</v>
      </c>
      <c r="Q253" s="188">
        <f t="shared" si="732"/>
        <v>30</v>
      </c>
      <c r="R253" s="188"/>
      <c r="S253" s="149">
        <f t="shared" si="733"/>
        <v>442.56143853092436</v>
      </c>
      <c r="T253" s="149">
        <f t="shared" si="734"/>
        <v>30</v>
      </c>
      <c r="U253" s="188">
        <f t="shared" si="735"/>
        <v>4.7697750350586894</v>
      </c>
      <c r="V253" s="188">
        <f t="shared" si="736"/>
        <v>0.46797167700397296</v>
      </c>
      <c r="W253" s="188">
        <f t="shared" si="737"/>
        <v>0.73618684655315247</v>
      </c>
      <c r="X253" s="172">
        <f t="shared" si="738"/>
        <v>350</v>
      </c>
      <c r="Y253" s="379">
        <f t="shared" si="678"/>
        <v>350</v>
      </c>
      <c r="AA253" s="188">
        <f t="shared" si="739"/>
        <v>11.317387540752431</v>
      </c>
      <c r="AB253" s="150">
        <f t="shared" si="740"/>
        <v>1.7467724963141689</v>
      </c>
      <c r="AC253" s="150">
        <f t="shared" si="741"/>
        <v>3.4595577251051246</v>
      </c>
      <c r="AD253" s="150"/>
      <c r="AE253" s="150">
        <f t="shared" si="742"/>
        <v>0.93541905669846759</v>
      </c>
      <c r="AF253" s="314">
        <f t="shared" si="743"/>
        <v>522.11893322314029</v>
      </c>
      <c r="AG253" s="456">
        <f t="shared" si="744"/>
        <v>0.99211112074079877</v>
      </c>
      <c r="AI253" s="150">
        <f t="shared" si="745"/>
        <v>7.4023012346130468</v>
      </c>
      <c r="AJ253" s="150">
        <f t="shared" si="746"/>
        <v>7.4023012346130468</v>
      </c>
      <c r="AK253" s="150">
        <f t="shared" si="747"/>
        <v>2.1938482770422119</v>
      </c>
      <c r="AM253" s="314">
        <f t="shared" si="748"/>
        <v>1480</v>
      </c>
      <c r="AN253" s="144">
        <f t="shared" si="749"/>
        <v>350</v>
      </c>
      <c r="AP253">
        <f t="shared" si="750"/>
        <v>1480</v>
      </c>
      <c r="AQ253">
        <f t="shared" si="751"/>
        <v>350</v>
      </c>
      <c r="AS253" s="5">
        <f t="shared" si="599"/>
        <v>2.8571428571428572</v>
      </c>
      <c r="AT253" s="5">
        <f t="shared" si="752"/>
        <v>0.7262538163726675</v>
      </c>
      <c r="AU253" s="5">
        <f t="shared" si="721"/>
        <v>2.1308890407701897</v>
      </c>
      <c r="AV253" s="5"/>
      <c r="AW253" s="150">
        <f t="shared" si="722"/>
        <v>0.2541888357304336</v>
      </c>
      <c r="AX253" s="150">
        <f t="shared" si="630"/>
        <v>45.068117284642028</v>
      </c>
      <c r="AY253" s="150">
        <f t="shared" si="631"/>
        <v>2.7603594510304026</v>
      </c>
      <c r="AZ253" s="150">
        <f t="shared" si="632"/>
        <v>16.326901653267928</v>
      </c>
      <c r="BA253" s="144">
        <f t="shared" si="723"/>
        <v>3.5828521607718264</v>
      </c>
      <c r="BB253" s="5">
        <f t="shared" si="724"/>
        <v>1.1617660995311005</v>
      </c>
      <c r="BD253" s="150">
        <f t="shared" si="679"/>
        <v>2.1546878523564659</v>
      </c>
      <c r="BE253" s="150">
        <f t="shared" si="680"/>
        <v>3.6908004707504976</v>
      </c>
      <c r="BG253" s="456">
        <f t="shared" si="681"/>
        <v>5.571215689311023E-2</v>
      </c>
      <c r="BH253" s="456">
        <f t="shared" si="753"/>
        <v>3.7048400536149986</v>
      </c>
      <c r="BI253" s="456">
        <f t="shared" si="682"/>
        <v>4.0250000000000001E-2</v>
      </c>
      <c r="BJ253" s="456">
        <f t="shared" si="683"/>
        <v>1.1120440466613972</v>
      </c>
      <c r="BK253">
        <f t="shared" si="684"/>
        <v>2.1557018714753292E-2</v>
      </c>
      <c r="BL253" s="144">
        <f t="shared" si="685"/>
        <v>61.807018714753291</v>
      </c>
      <c r="BM253" s="456">
        <f t="shared" si="754"/>
        <v>4.9532051487175472</v>
      </c>
      <c r="BN253" s="144">
        <f t="shared" si="686"/>
        <v>4953.2051487175477</v>
      </c>
      <c r="BO253" s="456">
        <f t="shared" si="635"/>
        <v>1.036</v>
      </c>
      <c r="BR253" s="144">
        <f t="shared" si="687"/>
        <v>1036</v>
      </c>
      <c r="BS253" s="456">
        <f t="shared" si="688"/>
        <v>6.4997516375295272E-2</v>
      </c>
      <c r="BT253" s="456">
        <f t="shared" si="689"/>
        <v>0.19070811360848933</v>
      </c>
      <c r="BU253" s="456">
        <f t="shared" si="690"/>
        <v>17.082719183719796</v>
      </c>
      <c r="BV253" s="456"/>
      <c r="BW253" s="456">
        <f t="shared" si="691"/>
        <v>1.9177922248783843</v>
      </c>
      <c r="BX253" s="144">
        <f t="shared" si="692"/>
        <v>19256.217038581963</v>
      </c>
      <c r="BY253" s="150">
        <f t="shared" si="693"/>
        <v>25.226620314466224</v>
      </c>
      <c r="BZ253" s="5">
        <f t="shared" si="694"/>
        <v>44.4</v>
      </c>
      <c r="CA253" s="150">
        <f t="shared" si="695"/>
        <v>0.63768713459692472</v>
      </c>
      <c r="CB253" s="5">
        <f t="shared" si="696"/>
        <v>63.768713459692471</v>
      </c>
      <c r="CE253" s="59">
        <f t="shared" si="755"/>
        <v>-50</v>
      </c>
      <c r="CF253">
        <f t="shared" si="756"/>
        <v>-50</v>
      </c>
      <c r="CG253" s="150">
        <f t="shared" si="757"/>
        <v>0.40287301556032101</v>
      </c>
      <c r="CI253" s="147">
        <v>37</v>
      </c>
      <c r="CJ253" s="188">
        <f t="shared" si="697"/>
        <v>1.48</v>
      </c>
      <c r="CK253" s="188"/>
      <c r="CL253" s="188">
        <f t="shared" si="639"/>
        <v>44.4</v>
      </c>
      <c r="CM253" s="465">
        <f t="shared" si="640"/>
        <v>48</v>
      </c>
      <c r="CN253" s="379">
        <f t="shared" si="641"/>
        <v>30.4</v>
      </c>
      <c r="CO253" s="379">
        <f t="shared" si="642"/>
        <v>78.400000000000006</v>
      </c>
      <c r="CP253" s="379"/>
      <c r="CQ253" s="188">
        <f t="shared" si="643"/>
        <v>0.38775510204081626</v>
      </c>
      <c r="CR253" s="149">
        <f t="shared" si="644"/>
        <v>284.85494809142222</v>
      </c>
      <c r="CS253" s="149">
        <f t="shared" si="645"/>
        <v>44.4</v>
      </c>
      <c r="CT253" s="188">
        <f t="shared" si="646"/>
        <v>9.4951649363807409</v>
      </c>
      <c r="CU253" s="188">
        <f t="shared" si="647"/>
        <v>30</v>
      </c>
      <c r="CV253" s="188"/>
      <c r="CW253" s="149">
        <f t="shared" si="648"/>
        <v>443.44374986702559</v>
      </c>
      <c r="CX253" s="149">
        <f t="shared" si="649"/>
        <v>30</v>
      </c>
      <c r="CY253" s="188">
        <f t="shared" si="650"/>
        <v>4.7710526315789483</v>
      </c>
      <c r="CZ253" s="188">
        <f t="shared" si="651"/>
        <v>0.46716557017543869</v>
      </c>
      <c r="DA253" s="188">
        <f t="shared" si="652"/>
        <v>0.73762984764542949</v>
      </c>
      <c r="DB253" s="172">
        <f t="shared" si="653"/>
        <v>350</v>
      </c>
      <c r="DC253" s="379">
        <f t="shared" si="654"/>
        <v>350</v>
      </c>
      <c r="DE253" s="188">
        <f t="shared" si="655"/>
        <v>11.314434588425037</v>
      </c>
      <c r="DF253" s="150">
        <f t="shared" si="656"/>
        <v>1.7492711370262393</v>
      </c>
      <c r="DG253" s="150">
        <f t="shared" si="657"/>
        <v>3.463602425028073</v>
      </c>
      <c r="DH253" s="150"/>
      <c r="DI253" s="150">
        <f t="shared" si="658"/>
        <v>0.93700159489633172</v>
      </c>
      <c r="DJ253" s="314">
        <f t="shared" si="659"/>
        <v>521.23710638297871</v>
      </c>
      <c r="DK253" s="456">
        <f t="shared" si="660"/>
        <v>0.99378957034459414</v>
      </c>
      <c r="DM253" s="150">
        <f t="shared" si="661"/>
        <v>7.3960475767019584</v>
      </c>
      <c r="DN253" s="150">
        <f t="shared" si="662"/>
        <v>7.3960475767019584</v>
      </c>
      <c r="DO253" s="150">
        <f t="shared" si="663"/>
        <v>2.1892159378488132</v>
      </c>
      <c r="DQ253" s="314">
        <f t="shared" si="664"/>
        <v>1480</v>
      </c>
      <c r="DR253" s="144">
        <f t="shared" si="665"/>
        <v>350</v>
      </c>
      <c r="DT253">
        <f t="shared" si="666"/>
        <v>1480</v>
      </c>
      <c r="DU253">
        <f t="shared" si="667"/>
        <v>350</v>
      </c>
      <c r="DW253" s="5">
        <f t="shared" si="668"/>
        <v>2.8571428571428572</v>
      </c>
      <c r="DX253" s="5">
        <f t="shared" si="669"/>
        <v>0.72419632521873345</v>
      </c>
      <c r="DY253" s="5">
        <f t="shared" si="670"/>
        <v>2.1329465319241239</v>
      </c>
      <c r="DZ253" s="5"/>
      <c r="EA253" s="150">
        <f t="shared" si="671"/>
        <v>0.25346871382655672</v>
      </c>
      <c r="EB253" s="150">
        <f t="shared" si="698"/>
        <v>44.991999999999997</v>
      </c>
      <c r="EC253" s="150">
        <f t="shared" si="699"/>
        <v>2.7606904550176457</v>
      </c>
      <c r="ED253" s="150">
        <f t="shared" si="700"/>
        <v>16.297372245492266</v>
      </c>
      <c r="EE253" s="144">
        <f t="shared" si="672"/>
        <v>3.5727018710790848</v>
      </c>
      <c r="EF253" s="5">
        <f t="shared" si="673"/>
        <v>1.1605738482528321</v>
      </c>
      <c r="EH253" s="150">
        <f t="shared" si="701"/>
        <v>2.1498157949867815</v>
      </c>
      <c r="EI253" s="150">
        <f t="shared" si="702"/>
        <v>3.6894622869154872</v>
      </c>
      <c r="EK253" s="456">
        <f t="shared" si="703"/>
        <v>5.5460495428495772E-2</v>
      </c>
      <c r="EL253" s="456">
        <f t="shared" si="704"/>
        <v>3.8560033645893337</v>
      </c>
      <c r="EM253" s="456">
        <f t="shared" si="705"/>
        <v>4.0250000000000001E-2</v>
      </c>
      <c r="EN253" s="456">
        <f t="shared" si="706"/>
        <v>1.1132956800000005</v>
      </c>
      <c r="EO253">
        <f t="shared" si="707"/>
        <v>2.1600000000000001E-2</v>
      </c>
      <c r="EP253" s="144">
        <f t="shared" si="708"/>
        <v>61.85</v>
      </c>
      <c r="EQ253" s="144"/>
      <c r="ER253" s="144">
        <f t="shared" si="709"/>
        <v>5086.6095400178301</v>
      </c>
      <c r="ES253" s="456">
        <f t="shared" si="710"/>
        <v>1.036</v>
      </c>
      <c r="EV253" s="144">
        <f t="shared" si="711"/>
        <v>1036</v>
      </c>
      <c r="EW253" s="456">
        <f t="shared" si="712"/>
        <v>6.4703911333245059E-2</v>
      </c>
      <c r="EX253" s="456">
        <f t="shared" si="713"/>
        <v>0.19056984753200318</v>
      </c>
      <c r="EY253" s="456">
        <f t="shared" si="714"/>
        <v>17.046662220197032</v>
      </c>
      <c r="EZ253" s="456"/>
      <c r="FA253" s="456">
        <f t="shared" si="715"/>
        <v>1.9145531914893619</v>
      </c>
      <c r="FB253" s="144">
        <f t="shared" si="716"/>
        <v>19216.489170551638</v>
      </c>
      <c r="FC253" s="150">
        <f t="shared" si="717"/>
        <v>25.33909871056947</v>
      </c>
      <c r="FD253" s="5">
        <f t="shared" si="718"/>
        <v>44.4</v>
      </c>
      <c r="FE253" s="150">
        <f t="shared" si="719"/>
        <v>0.63665864372965941</v>
      </c>
      <c r="FF253" s="5">
        <f t="shared" si="720"/>
        <v>63.665864372965942</v>
      </c>
      <c r="FI253" s="59">
        <f t="shared" si="674"/>
        <v>-50</v>
      </c>
      <c r="FJ253">
        <f t="shared" si="675"/>
        <v>-50</v>
      </c>
      <c r="FL253">
        <f t="shared" si="758"/>
        <v>0.40021375867351061</v>
      </c>
    </row>
    <row r="254" spans="5:168">
      <c r="E254" s="147">
        <v>38</v>
      </c>
      <c r="F254" s="188">
        <f t="shared" si="759"/>
        <v>1.52</v>
      </c>
      <c r="G254" s="188"/>
      <c r="H254" s="188">
        <f t="shared" si="725"/>
        <v>45.6</v>
      </c>
      <c r="I254" s="465">
        <f t="shared" si="726"/>
        <v>47.903203908742789</v>
      </c>
      <c r="J254" s="149">
        <f t="shared" si="727"/>
        <v>30.452120972215422</v>
      </c>
      <c r="K254" s="149">
        <f t="shared" si="728"/>
        <v>78.355324880958207</v>
      </c>
      <c r="L254" s="379"/>
      <c r="M254" s="188">
        <f t="shared" si="729"/>
        <v>0.38864407421998326</v>
      </c>
      <c r="N254" s="149">
        <f t="shared" si="730"/>
        <v>284.93225885779987</v>
      </c>
      <c r="O254" s="149">
        <f t="shared" si="598"/>
        <v>45.6</v>
      </c>
      <c r="P254" s="188">
        <f t="shared" si="731"/>
        <v>9.4977419619266623</v>
      </c>
      <c r="Q254" s="188">
        <f t="shared" si="732"/>
        <v>30</v>
      </c>
      <c r="R254" s="188"/>
      <c r="S254" s="149">
        <f t="shared" si="733"/>
        <v>429.64537871262587</v>
      </c>
      <c r="T254" s="149">
        <f t="shared" si="734"/>
        <v>30</v>
      </c>
      <c r="U254" s="188">
        <f t="shared" si="735"/>
        <v>4.898670481339078</v>
      </c>
      <c r="V254" s="188">
        <f t="shared" si="736"/>
        <v>0.48063071743916513</v>
      </c>
      <c r="W254" s="188">
        <f t="shared" si="737"/>
        <v>0.75606396294368416</v>
      </c>
      <c r="X254" s="172">
        <f t="shared" si="738"/>
        <v>350</v>
      </c>
      <c r="Y254" s="379">
        <f t="shared" si="678"/>
        <v>350</v>
      </c>
      <c r="AA254" s="188">
        <f t="shared" si="739"/>
        <v>11.317426683618983</v>
      </c>
      <c r="AB254" s="150">
        <f t="shared" si="740"/>
        <v>1.7467389368885544</v>
      </c>
      <c r="AC254" s="150">
        <f t="shared" si="741"/>
        <v>3.459503224390287</v>
      </c>
      <c r="AD254" s="150"/>
      <c r="AE254" s="150">
        <f t="shared" si="742"/>
        <v>0.93539784998352382</v>
      </c>
      <c r="AF254" s="314">
        <f t="shared" si="743"/>
        <v>536.24241279668888</v>
      </c>
      <c r="AG254" s="456">
        <f t="shared" si="744"/>
        <v>0.99208862877040394</v>
      </c>
      <c r="AI254" s="150">
        <f t="shared" si="745"/>
        <v>7.5017504646422228</v>
      </c>
      <c r="AJ254" s="150">
        <f t="shared" si="746"/>
        <v>7.5017504646422228</v>
      </c>
      <c r="AK254" s="150">
        <f t="shared" si="747"/>
        <v>2.26751437336012</v>
      </c>
      <c r="AM254" s="314">
        <f t="shared" si="748"/>
        <v>1520</v>
      </c>
      <c r="AN254" s="144">
        <f t="shared" si="749"/>
        <v>350</v>
      </c>
      <c r="AP254">
        <f t="shared" si="750"/>
        <v>1520</v>
      </c>
      <c r="AQ254">
        <f t="shared" si="751"/>
        <v>350</v>
      </c>
      <c r="AS254" s="5">
        <f t="shared" si="599"/>
        <v>2.8571428571428572</v>
      </c>
      <c r="AT254" s="5">
        <f t="shared" si="752"/>
        <v>0.73603066824061614</v>
      </c>
      <c r="AU254" s="5">
        <f t="shared" si="721"/>
        <v>2.1211121889022411</v>
      </c>
      <c r="AV254" s="5"/>
      <c r="AW254" s="150">
        <f t="shared" si="722"/>
        <v>0.25761073388421563</v>
      </c>
      <c r="AX254" s="150">
        <f t="shared" si="630"/>
        <v>46.287223877767438</v>
      </c>
      <c r="AY254" s="150">
        <f t="shared" si="631"/>
        <v>2.7846095110147422</v>
      </c>
      <c r="AZ254" s="150">
        <f t="shared" si="632"/>
        <v>16.622518774957378</v>
      </c>
      <c r="BA254" s="144">
        <f t="shared" si="723"/>
        <v>3.729222052419122</v>
      </c>
      <c r="BB254" s="5">
        <f t="shared" si="724"/>
        <v>1.1877225434244465</v>
      </c>
      <c r="BD254" s="150">
        <f t="shared" si="679"/>
        <v>2.1982848350138657</v>
      </c>
      <c r="BE254" s="150">
        <f t="shared" si="680"/>
        <v>3.731795429647057</v>
      </c>
      <c r="BG254" s="456">
        <f t="shared" si="681"/>
        <v>5.7989474590223265E-2</v>
      </c>
      <c r="BH254" s="456">
        <f t="shared" si="753"/>
        <v>3.7545858807452808</v>
      </c>
      <c r="BI254" s="456">
        <f t="shared" si="682"/>
        <v>4.0250000000000001E-2</v>
      </c>
      <c r="BJ254" s="456">
        <f t="shared" si="683"/>
        <v>1.1120272502504422</v>
      </c>
      <c r="BK254">
        <f t="shared" si="684"/>
        <v>2.1556441758934255E-2</v>
      </c>
      <c r="BL254" s="144">
        <f t="shared" si="685"/>
        <v>61.806441758934255</v>
      </c>
      <c r="BM254" s="456">
        <f t="shared" si="754"/>
        <v>5.0092791098905263</v>
      </c>
      <c r="BN254" s="144">
        <f t="shared" si="686"/>
        <v>5009.2791098905263</v>
      </c>
      <c r="BO254" s="456">
        <f t="shared" si="635"/>
        <v>1.0639999999999998</v>
      </c>
      <c r="BR254" s="144">
        <f t="shared" si="687"/>
        <v>1063.9999999999998</v>
      </c>
      <c r="BS254" s="456">
        <f t="shared" si="688"/>
        <v>6.7654387021927137E-2</v>
      </c>
      <c r="BT254" s="456">
        <f t="shared" si="689"/>
        <v>0.1949681598022853</v>
      </c>
      <c r="BU254" s="456">
        <f t="shared" si="690"/>
        <v>17.662275302078037</v>
      </c>
      <c r="BV254" s="456"/>
      <c r="BW254" s="456">
        <f t="shared" si="691"/>
        <v>1.9696691011815934</v>
      </c>
      <c r="BX254" s="144">
        <f t="shared" si="692"/>
        <v>19894.566950083841</v>
      </c>
      <c r="BY254" s="150">
        <f t="shared" si="693"/>
        <v>25.944975997428724</v>
      </c>
      <c r="BZ254" s="5">
        <f t="shared" si="694"/>
        <v>45.6</v>
      </c>
      <c r="CA254" s="150">
        <f t="shared" si="695"/>
        <v>0.6373613152325166</v>
      </c>
      <c r="CB254" s="5">
        <f t="shared" si="696"/>
        <v>63.736131523251657</v>
      </c>
      <c r="CE254" s="59">
        <f t="shared" si="755"/>
        <v>-50</v>
      </c>
      <c r="CF254">
        <f t="shared" si="756"/>
        <v>-50</v>
      </c>
      <c r="CG254" s="150">
        <f t="shared" si="757"/>
        <v>0.40828094902081008</v>
      </c>
      <c r="CI254" s="147">
        <v>38</v>
      </c>
      <c r="CJ254" s="188">
        <f t="shared" si="697"/>
        <v>1.52</v>
      </c>
      <c r="CK254" s="188"/>
      <c r="CL254" s="188">
        <f t="shared" si="639"/>
        <v>45.6</v>
      </c>
      <c r="CM254" s="465">
        <f t="shared" si="640"/>
        <v>48</v>
      </c>
      <c r="CN254" s="379">
        <f t="shared" si="641"/>
        <v>30.4</v>
      </c>
      <c r="CO254" s="379">
        <f t="shared" si="642"/>
        <v>78.400000000000006</v>
      </c>
      <c r="CP254" s="379"/>
      <c r="CQ254" s="188">
        <f t="shared" si="643"/>
        <v>0.38775510204081626</v>
      </c>
      <c r="CR254" s="149">
        <f t="shared" si="644"/>
        <v>284.85494809142222</v>
      </c>
      <c r="CS254" s="149">
        <f t="shared" si="645"/>
        <v>45.6</v>
      </c>
      <c r="CT254" s="188">
        <f t="shared" si="646"/>
        <v>9.4951649363807409</v>
      </c>
      <c r="CU254" s="188">
        <f t="shared" si="647"/>
        <v>30</v>
      </c>
      <c r="CV254" s="188"/>
      <c r="CW254" s="149">
        <f t="shared" si="648"/>
        <v>430.5134560321975</v>
      </c>
      <c r="CX254" s="149">
        <f t="shared" si="649"/>
        <v>30</v>
      </c>
      <c r="CY254" s="188">
        <f t="shared" si="650"/>
        <v>4.9000000000000012</v>
      </c>
      <c r="CZ254" s="188">
        <f t="shared" si="651"/>
        <v>0.47979166666666678</v>
      </c>
      <c r="DA254" s="188">
        <f t="shared" si="652"/>
        <v>0.75756578947368436</v>
      </c>
      <c r="DB254" s="172">
        <f t="shared" si="653"/>
        <v>350</v>
      </c>
      <c r="DC254" s="379">
        <f t="shared" si="654"/>
        <v>350</v>
      </c>
      <c r="DE254" s="188">
        <f t="shared" si="655"/>
        <v>11.314434588425037</v>
      </c>
      <c r="DF254" s="150">
        <f t="shared" si="656"/>
        <v>1.7492711370262393</v>
      </c>
      <c r="DG254" s="150">
        <f t="shared" si="657"/>
        <v>3.463602425028073</v>
      </c>
      <c r="DH254" s="150"/>
      <c r="DI254" s="150">
        <f t="shared" si="658"/>
        <v>0.93700159489633172</v>
      </c>
      <c r="DJ254" s="314">
        <f t="shared" si="659"/>
        <v>535.32459574468089</v>
      </c>
      <c r="DK254" s="456">
        <f t="shared" si="660"/>
        <v>0.99378957034459414</v>
      </c>
      <c r="DM254" s="150">
        <f t="shared" si="661"/>
        <v>7.4953278253673759</v>
      </c>
      <c r="DN254" s="150">
        <f t="shared" si="662"/>
        <v>7.4953278253673759</v>
      </c>
      <c r="DO254" s="150">
        <f t="shared" si="663"/>
        <v>2.2627568627861594</v>
      </c>
      <c r="DQ254" s="314">
        <f t="shared" si="664"/>
        <v>1520</v>
      </c>
      <c r="DR254" s="144">
        <f t="shared" si="665"/>
        <v>350</v>
      </c>
      <c r="DT254">
        <f t="shared" si="666"/>
        <v>1520</v>
      </c>
      <c r="DU254">
        <f t="shared" si="667"/>
        <v>350</v>
      </c>
      <c r="DW254" s="5">
        <f t="shared" si="668"/>
        <v>2.8571428571428572</v>
      </c>
      <c r="DX254" s="5">
        <f t="shared" si="669"/>
        <v>0.7339175162338889</v>
      </c>
      <c r="DY254" s="5">
        <f t="shared" si="670"/>
        <v>2.1232253409089683</v>
      </c>
      <c r="DZ254" s="5"/>
      <c r="EA254" s="150">
        <f t="shared" si="671"/>
        <v>0.25687113068186113</v>
      </c>
      <c r="EB254" s="150">
        <f t="shared" si="698"/>
        <v>46.207999999999991</v>
      </c>
      <c r="EC254" s="150">
        <f t="shared" si="699"/>
        <v>2.7849972460170211</v>
      </c>
      <c r="ED254" s="150">
        <f t="shared" si="700"/>
        <v>16.591757879144982</v>
      </c>
      <c r="EE254" s="144">
        <f t="shared" si="672"/>
        <v>3.7185154155850366</v>
      </c>
      <c r="EF254" s="5">
        <f t="shared" si="673"/>
        <v>1.186508278743247</v>
      </c>
      <c r="EH254" s="150">
        <f t="shared" si="701"/>
        <v>2.1932475545364727</v>
      </c>
      <c r="EI254" s="150">
        <f t="shared" si="702"/>
        <v>3.7304572866824155</v>
      </c>
      <c r="EK254" s="456">
        <f t="shared" si="703"/>
        <v>5.7724018025762609E-2</v>
      </c>
      <c r="EL254" s="456">
        <f t="shared" si="704"/>
        <v>3.9077641150335358</v>
      </c>
      <c r="EM254" s="456">
        <f t="shared" si="705"/>
        <v>4.0250000000000001E-2</v>
      </c>
      <c r="EN254" s="456">
        <f t="shared" si="706"/>
        <v>1.1132956800000005</v>
      </c>
      <c r="EO254">
        <f t="shared" si="707"/>
        <v>2.1600000000000001E-2</v>
      </c>
      <c r="EP254" s="144">
        <f t="shared" si="708"/>
        <v>61.85</v>
      </c>
      <c r="EQ254" s="144"/>
      <c r="ER254" s="144">
        <f t="shared" si="709"/>
        <v>5140.6338130592994</v>
      </c>
      <c r="ES254" s="456">
        <f t="shared" si="710"/>
        <v>1.0639999999999998</v>
      </c>
      <c r="EV254" s="144">
        <f t="shared" si="711"/>
        <v>1063.9999999999998</v>
      </c>
      <c r="EW254" s="456">
        <f t="shared" si="712"/>
        <v>6.7344687696723041E-2</v>
      </c>
      <c r="EX254" s="456">
        <f t="shared" si="713"/>
        <v>0.19482836194866704</v>
      </c>
      <c r="EY254" s="456">
        <f t="shared" si="714"/>
        <v>17.624495588676183</v>
      </c>
      <c r="EZ254" s="456"/>
      <c r="FA254" s="456">
        <f t="shared" si="715"/>
        <v>1.9662978723404252</v>
      </c>
      <c r="FB254" s="144">
        <f t="shared" si="716"/>
        <v>19852.966510662001</v>
      </c>
      <c r="FC254" s="150">
        <f t="shared" si="717"/>
        <v>26.057600323721299</v>
      </c>
      <c r="FD254" s="5">
        <f t="shared" si="718"/>
        <v>45.6</v>
      </c>
      <c r="FE254" s="150">
        <f t="shared" si="719"/>
        <v>0.63635957377859231</v>
      </c>
      <c r="FF254" s="5">
        <f t="shared" si="720"/>
        <v>63.635957377859228</v>
      </c>
      <c r="FI254" s="59">
        <f t="shared" si="674"/>
        <v>-50</v>
      </c>
      <c r="FJ254">
        <f t="shared" si="675"/>
        <v>-50</v>
      </c>
      <c r="FL254">
        <f t="shared" si="758"/>
        <v>0.40558599581346494</v>
      </c>
    </row>
    <row r="255" spans="5:168">
      <c r="E255" s="147">
        <v>39</v>
      </c>
      <c r="F255" s="188">
        <f t="shared" si="759"/>
        <v>1.56</v>
      </c>
      <c r="G255" s="188"/>
      <c r="H255" s="188">
        <f t="shared" si="725"/>
        <v>46.800000000000004</v>
      </c>
      <c r="I255" s="465">
        <f t="shared" si="726"/>
        <v>47.901938546654563</v>
      </c>
      <c r="J255" s="149">
        <f t="shared" si="727"/>
        <v>30.452802321032156</v>
      </c>
      <c r="K255" s="149">
        <f t="shared" si="728"/>
        <v>78.354740867686715</v>
      </c>
      <c r="L255" s="379"/>
      <c r="M255" s="188">
        <f t="shared" si="729"/>
        <v>0.38865570192503957</v>
      </c>
      <c r="N255" s="149">
        <f t="shared" si="730"/>
        <v>284.93325694101583</v>
      </c>
      <c r="O255" s="149">
        <f t="shared" si="598"/>
        <v>46.800000000000004</v>
      </c>
      <c r="P255" s="188">
        <f t="shared" si="731"/>
        <v>9.4977752313671946</v>
      </c>
      <c r="Q255" s="188">
        <f t="shared" si="732"/>
        <v>30</v>
      </c>
      <c r="R255" s="188"/>
      <c r="S255" s="149">
        <f t="shared" si="733"/>
        <v>417.39196683633526</v>
      </c>
      <c r="T255" s="149">
        <f t="shared" si="734"/>
        <v>30</v>
      </c>
      <c r="U255" s="188">
        <f t="shared" si="735"/>
        <v>5.0275652514743854</v>
      </c>
      <c r="V255" s="188">
        <f t="shared" si="736"/>
        <v>0.49329019657347212</v>
      </c>
      <c r="W255" s="188">
        <f t="shared" si="737"/>
        <v>0.77594030371418121</v>
      </c>
      <c r="X255" s="172">
        <f t="shared" si="738"/>
        <v>350</v>
      </c>
      <c r="Y255" s="379">
        <f t="shared" si="678"/>
        <v>350</v>
      </c>
      <c r="AA255" s="188">
        <f t="shared" si="739"/>
        <v>11.317465301861375</v>
      </c>
      <c r="AB255" s="150">
        <f t="shared" si="740"/>
        <v>1.746705815707853</v>
      </c>
      <c r="AC255" s="150">
        <f t="shared" si="741"/>
        <v>3.4594494308207917</v>
      </c>
      <c r="AD255" s="150"/>
      <c r="AE255" s="150">
        <f t="shared" si="742"/>
        <v>0.93537692145906359</v>
      </c>
      <c r="AF255" s="314">
        <f t="shared" si="743"/>
        <v>550.3663690964072</v>
      </c>
      <c r="AG255" s="456">
        <f t="shared" si="744"/>
        <v>0.9920664318505219</v>
      </c>
      <c r="AI255" s="150">
        <f t="shared" si="745"/>
        <v>7.5999017447504142</v>
      </c>
      <c r="AJ255" s="150">
        <f t="shared" si="746"/>
        <v>7.5999017447504142</v>
      </c>
      <c r="AK255" s="150">
        <f t="shared" si="747"/>
        <v>2.3402190252921136</v>
      </c>
      <c r="AM255" s="314">
        <f t="shared" si="748"/>
        <v>1560</v>
      </c>
      <c r="AN255" s="144">
        <f t="shared" si="749"/>
        <v>350</v>
      </c>
      <c r="AP255">
        <f t="shared" si="750"/>
        <v>1560</v>
      </c>
      <c r="AQ255">
        <f t="shared" si="751"/>
        <v>350</v>
      </c>
      <c r="AS255" s="5">
        <f t="shared" si="599"/>
        <v>2.8571428571428572</v>
      </c>
      <c r="AT255" s="5">
        <f t="shared" si="752"/>
        <v>0.74568043139919171</v>
      </c>
      <c r="AU255" s="5">
        <f t="shared" si="721"/>
        <v>2.1114624257436656</v>
      </c>
      <c r="AV255" s="5"/>
      <c r="AW255" s="150">
        <f t="shared" si="722"/>
        <v>0.26098815098971712</v>
      </c>
      <c r="AX255" s="150">
        <f t="shared" si="630"/>
        <v>47.506371620810171</v>
      </c>
      <c r="AY255" s="150">
        <f t="shared" si="631"/>
        <v>2.8082087203422392</v>
      </c>
      <c r="AZ255" s="150">
        <f t="shared" si="632"/>
        <v>16.916966063341803</v>
      </c>
      <c r="BA255" s="144">
        <f t="shared" si="723"/>
        <v>3.8775382432757968</v>
      </c>
      <c r="BB255" s="5">
        <f t="shared" si="724"/>
        <v>1.2134648473023364</v>
      </c>
      <c r="BD255" s="150">
        <f t="shared" si="679"/>
        <v>2.2415980775000501</v>
      </c>
      <c r="BE255" s="150">
        <f t="shared" si="680"/>
        <v>3.7720118728473722</v>
      </c>
      <c r="BG255" s="456">
        <f t="shared" si="681"/>
        <v>6.0297143292623048E-2</v>
      </c>
      <c r="BH255" s="456">
        <f t="shared" si="753"/>
        <v>3.803681719562841</v>
      </c>
      <c r="BI255" s="456">
        <f t="shared" si="682"/>
        <v>4.0250000000000001E-2</v>
      </c>
      <c r="BJ255" s="456">
        <f t="shared" si="683"/>
        <v>1.1120106735531179</v>
      </c>
      <c r="BK255">
        <f t="shared" si="684"/>
        <v>2.1555872345994553E-2</v>
      </c>
      <c r="BL255" s="144">
        <f t="shared" si="685"/>
        <v>61.805872345994551</v>
      </c>
      <c r="BM255" s="456">
        <f t="shared" si="754"/>
        <v>5.0648315876334173</v>
      </c>
      <c r="BN255" s="144">
        <f t="shared" si="686"/>
        <v>5064.8315876334173</v>
      </c>
      <c r="BO255" s="456">
        <f t="shared" si="635"/>
        <v>1.0919999999999999</v>
      </c>
      <c r="BR255" s="144">
        <f t="shared" si="687"/>
        <v>1091.9999999999998</v>
      </c>
      <c r="BS255" s="456">
        <f t="shared" si="688"/>
        <v>7.0346667174726887E-2</v>
      </c>
      <c r="BT255" s="456">
        <f t="shared" si="689"/>
        <v>0.19919302996462154</v>
      </c>
      <c r="BU255" s="456">
        <f t="shared" si="690"/>
        <v>18.245680223097853</v>
      </c>
      <c r="BV255" s="456"/>
      <c r="BW255" s="456">
        <f t="shared" si="691"/>
        <v>2.021547728545114</v>
      </c>
      <c r="BX255" s="144">
        <f t="shared" si="692"/>
        <v>20536.767648782316</v>
      </c>
      <c r="BY255" s="150">
        <f t="shared" si="693"/>
        <v>26.666563057536891</v>
      </c>
      <c r="BZ255" s="5">
        <f t="shared" si="694"/>
        <v>46.800000000000004</v>
      </c>
      <c r="CA255" s="150">
        <f t="shared" si="695"/>
        <v>0.63702449185417309</v>
      </c>
      <c r="CB255" s="5">
        <f t="shared" si="696"/>
        <v>63.702449185417308</v>
      </c>
      <c r="CE255" s="59">
        <f t="shared" si="755"/>
        <v>-50</v>
      </c>
      <c r="CF255">
        <f t="shared" si="756"/>
        <v>-50</v>
      </c>
      <c r="CG255" s="150">
        <f t="shared" si="757"/>
        <v>0.41361818141856388</v>
      </c>
      <c r="CI255" s="147">
        <v>39</v>
      </c>
      <c r="CJ255" s="188">
        <f t="shared" si="697"/>
        <v>1.56</v>
      </c>
      <c r="CK255" s="188"/>
      <c r="CL255" s="188">
        <f t="shared" si="639"/>
        <v>46.800000000000004</v>
      </c>
      <c r="CM255" s="465">
        <f t="shared" si="640"/>
        <v>48</v>
      </c>
      <c r="CN255" s="379">
        <f t="shared" si="641"/>
        <v>30.4</v>
      </c>
      <c r="CO255" s="379">
        <f t="shared" si="642"/>
        <v>78.400000000000006</v>
      </c>
      <c r="CP255" s="379"/>
      <c r="CQ255" s="188">
        <f t="shared" si="643"/>
        <v>0.38775510204081626</v>
      </c>
      <c r="CR255" s="149">
        <f t="shared" si="644"/>
        <v>284.85494809142222</v>
      </c>
      <c r="CS255" s="149">
        <f t="shared" si="645"/>
        <v>46.800000000000004</v>
      </c>
      <c r="CT255" s="188">
        <f t="shared" si="646"/>
        <v>9.4951649363807409</v>
      </c>
      <c r="CU255" s="188">
        <f t="shared" si="647"/>
        <v>30</v>
      </c>
      <c r="CV255" s="188"/>
      <c r="CW255" s="149">
        <f t="shared" si="648"/>
        <v>418.24632830100796</v>
      </c>
      <c r="CX255" s="149">
        <f t="shared" si="649"/>
        <v>30</v>
      </c>
      <c r="CY255" s="188">
        <f t="shared" si="650"/>
        <v>5.0289473684210542</v>
      </c>
      <c r="CZ255" s="188">
        <f t="shared" si="651"/>
        <v>0.49241776315789487</v>
      </c>
      <c r="DA255" s="188">
        <f t="shared" si="652"/>
        <v>0.77750173130193934</v>
      </c>
      <c r="DB255" s="172">
        <f t="shared" si="653"/>
        <v>350</v>
      </c>
      <c r="DC255" s="379">
        <f t="shared" si="654"/>
        <v>350</v>
      </c>
      <c r="DE255" s="188">
        <f t="shared" si="655"/>
        <v>11.314434588425037</v>
      </c>
      <c r="DF255" s="150">
        <f t="shared" si="656"/>
        <v>1.7492711370262393</v>
      </c>
      <c r="DG255" s="150">
        <f t="shared" si="657"/>
        <v>3.463602425028073</v>
      </c>
      <c r="DH255" s="150"/>
      <c r="DI255" s="150">
        <f t="shared" si="658"/>
        <v>0.93700159489633172</v>
      </c>
      <c r="DJ255" s="314">
        <f t="shared" si="659"/>
        <v>549.41208510638296</v>
      </c>
      <c r="DK255" s="456">
        <f t="shared" si="660"/>
        <v>0.99378957034459414</v>
      </c>
      <c r="DM255" s="150">
        <f t="shared" si="661"/>
        <v>7.593310125539058</v>
      </c>
      <c r="DN255" s="150">
        <f t="shared" si="662"/>
        <v>7.593310125539058</v>
      </c>
      <c r="DO255" s="150">
        <f t="shared" si="663"/>
        <v>2.335336344394813</v>
      </c>
      <c r="DQ255" s="314">
        <f t="shared" si="664"/>
        <v>1560</v>
      </c>
      <c r="DR255" s="144">
        <f t="shared" si="665"/>
        <v>350</v>
      </c>
      <c r="DT255">
        <f t="shared" si="666"/>
        <v>1560</v>
      </c>
      <c r="DU255">
        <f t="shared" si="667"/>
        <v>350</v>
      </c>
      <c r="DW255" s="5">
        <f t="shared" si="668"/>
        <v>2.8571428571428572</v>
      </c>
      <c r="DX255" s="5">
        <f t="shared" si="669"/>
        <v>0.74351161645903285</v>
      </c>
      <c r="DY255" s="5">
        <f t="shared" si="670"/>
        <v>2.1136312406838242</v>
      </c>
      <c r="DZ255" s="5"/>
      <c r="EA255" s="150">
        <f t="shared" si="671"/>
        <v>0.26022906576066152</v>
      </c>
      <c r="EB255" s="150">
        <f t="shared" si="698"/>
        <v>47.423999999999999</v>
      </c>
      <c r="EC255" s="150">
        <f t="shared" si="699"/>
        <v>2.8086550627695286</v>
      </c>
      <c r="ED255" s="150">
        <f t="shared" si="700"/>
        <v>16.884949892435937</v>
      </c>
      <c r="EE255" s="144">
        <f t="shared" si="672"/>
        <v>3.8662604055869716</v>
      </c>
      <c r="EF255" s="5">
        <f t="shared" si="673"/>
        <v>1.2122296821568992</v>
      </c>
      <c r="EH255" s="150">
        <f t="shared" si="701"/>
        <v>2.2363944798168012</v>
      </c>
      <c r="EI255" s="150">
        <f t="shared" si="702"/>
        <v>3.7706753530611641</v>
      </c>
      <c r="EK255" s="456">
        <f t="shared" si="703"/>
        <v>6.0017523232260728E-2</v>
      </c>
      <c r="EL255" s="456">
        <f t="shared" si="704"/>
        <v>3.9588481670510447</v>
      </c>
      <c r="EM255" s="456">
        <f t="shared" si="705"/>
        <v>4.0250000000000001E-2</v>
      </c>
      <c r="EN255" s="456">
        <f t="shared" si="706"/>
        <v>1.1132956800000005</v>
      </c>
      <c r="EO255">
        <f t="shared" si="707"/>
        <v>2.1600000000000001E-2</v>
      </c>
      <c r="EP255" s="144">
        <f t="shared" si="708"/>
        <v>61.85</v>
      </c>
      <c r="EQ255" s="144"/>
      <c r="ER255" s="144">
        <f t="shared" si="709"/>
        <v>5194.011370283306</v>
      </c>
      <c r="ES255" s="456">
        <f t="shared" si="710"/>
        <v>1.0919999999999999</v>
      </c>
      <c r="EV255" s="144">
        <f t="shared" si="711"/>
        <v>1091.9999999999998</v>
      </c>
      <c r="EW255" s="456">
        <f t="shared" si="712"/>
        <v>7.0020443770970858E-2</v>
      </c>
      <c r="EX255" s="456">
        <f t="shared" si="713"/>
        <v>0.19905189665456108</v>
      </c>
      <c r="EY255" s="456">
        <f t="shared" si="714"/>
        <v>18.206143411549455</v>
      </c>
      <c r="EZ255" s="456"/>
      <c r="FA255" s="456">
        <f t="shared" si="715"/>
        <v>2.0180425531914894</v>
      </c>
      <c r="FB255" s="144">
        <f t="shared" si="716"/>
        <v>20493.258305166473</v>
      </c>
      <c r="FC255" s="150">
        <f t="shared" si="717"/>
        <v>26.779269675449779</v>
      </c>
      <c r="FD255" s="5">
        <f t="shared" si="718"/>
        <v>46.800000000000004</v>
      </c>
      <c r="FE255" s="150">
        <f t="shared" si="719"/>
        <v>0.63604871598250101</v>
      </c>
      <c r="FF255" s="5">
        <f t="shared" si="720"/>
        <v>63.604871598250099</v>
      </c>
      <c r="FI255" s="59">
        <f t="shared" si="674"/>
        <v>-50</v>
      </c>
      <c r="FJ255">
        <f t="shared" si="675"/>
        <v>-50</v>
      </c>
      <c r="FL255">
        <f t="shared" si="758"/>
        <v>0.41088799856946551</v>
      </c>
    </row>
    <row r="256" spans="5:168">
      <c r="E256" s="147">
        <v>40</v>
      </c>
      <c r="F256" s="188">
        <f t="shared" si="759"/>
        <v>1.6</v>
      </c>
      <c r="G256" s="188"/>
      <c r="H256" s="188">
        <f t="shared" si="725"/>
        <v>48</v>
      </c>
      <c r="I256" s="465">
        <f t="shared" si="726"/>
        <v>47.900689305803638</v>
      </c>
      <c r="J256" s="149">
        <f t="shared" si="727"/>
        <v>30.453474989182652</v>
      </c>
      <c r="K256" s="149">
        <f t="shared" si="728"/>
        <v>78.35416429498629</v>
      </c>
      <c r="L256" s="379"/>
      <c r="M256" s="188">
        <f t="shared" si="729"/>
        <v>0.38866718165703262</v>
      </c>
      <c r="N256" s="149">
        <f t="shared" si="730"/>
        <v>284.93424199013157</v>
      </c>
      <c r="O256" s="149">
        <f t="shared" si="598"/>
        <v>48</v>
      </c>
      <c r="P256" s="188">
        <f t="shared" si="731"/>
        <v>9.4978080663377185</v>
      </c>
      <c r="Q256" s="188">
        <f t="shared" si="732"/>
        <v>30</v>
      </c>
      <c r="R256" s="188"/>
      <c r="S256" s="149">
        <f t="shared" si="733"/>
        <v>405.7514982537582</v>
      </c>
      <c r="T256" s="149">
        <f t="shared" si="734"/>
        <v>30</v>
      </c>
      <c r="U256" s="188">
        <f t="shared" si="735"/>
        <v>5.1564593544887609</v>
      </c>
      <c r="V256" s="188">
        <f t="shared" si="736"/>
        <v>0.50595010880481894</v>
      </c>
      <c r="W256" s="188">
        <f t="shared" si="737"/>
        <v>0.79581587896638373</v>
      </c>
      <c r="X256" s="172">
        <f t="shared" si="738"/>
        <v>350</v>
      </c>
      <c r="Y256" s="379">
        <f t="shared" si="678"/>
        <v>350</v>
      </c>
      <c r="AA256" s="188">
        <f t="shared" si="739"/>
        <v>11.317503415532812</v>
      </c>
      <c r="AB256" s="150">
        <f t="shared" si="740"/>
        <v>1.7466731160203748</v>
      </c>
      <c r="AC256" s="150">
        <f t="shared" si="741"/>
        <v>3.4593963173664877</v>
      </c>
      <c r="AD256" s="150"/>
      <c r="AE256" s="150">
        <f t="shared" si="742"/>
        <v>0.93535626049134146</v>
      </c>
      <c r="AF256" s="314">
        <f t="shared" si="743"/>
        <v>564.49079596970068</v>
      </c>
      <c r="AG256" s="456">
        <f t="shared" si="744"/>
        <v>0.99204451870293786</v>
      </c>
      <c r="AI256" s="150">
        <f t="shared" si="745"/>
        <v>7.6968046883475019</v>
      </c>
      <c r="AJ256" s="150">
        <f t="shared" si="746"/>
        <v>7.6968046883475019</v>
      </c>
      <c r="AK256" s="150">
        <f t="shared" si="747"/>
        <v>2.4119989835121789</v>
      </c>
      <c r="AM256" s="314">
        <f t="shared" si="748"/>
        <v>1600</v>
      </c>
      <c r="AN256" s="144">
        <f t="shared" si="749"/>
        <v>350</v>
      </c>
      <c r="AP256">
        <f t="shared" si="750"/>
        <v>1600</v>
      </c>
      <c r="AQ256">
        <f t="shared" si="751"/>
        <v>350</v>
      </c>
      <c r="AS256" s="5">
        <f t="shared" si="599"/>
        <v>2.8571428571428572</v>
      </c>
      <c r="AT256" s="5">
        <f t="shared" si="752"/>
        <v>0.75520796379960031</v>
      </c>
      <c r="AU256" s="5">
        <f t="shared" si="721"/>
        <v>2.1019348933432571</v>
      </c>
      <c r="AV256" s="5"/>
      <c r="AW256" s="150">
        <f t="shared" si="722"/>
        <v>0.26432278732986009</v>
      </c>
      <c r="AX256" s="150">
        <f t="shared" si="630"/>
        <v>48.725559982692246</v>
      </c>
      <c r="AY256" s="150">
        <f t="shared" si="631"/>
        <v>2.8311819097949775</v>
      </c>
      <c r="AZ256" s="150">
        <f t="shared" si="632"/>
        <v>17.210324710721519</v>
      </c>
      <c r="BA256" s="144">
        <f t="shared" si="723"/>
        <v>4.027775806931202</v>
      </c>
      <c r="BB256" s="5">
        <f t="shared" si="724"/>
        <v>1.2389957386793029</v>
      </c>
      <c r="BD256" s="150">
        <f t="shared" si="679"/>
        <v>2.2846366608878861</v>
      </c>
      <c r="BE256" s="150">
        <f t="shared" si="680"/>
        <v>3.8114786454318588</v>
      </c>
      <c r="BG256" s="456">
        <f t="shared" si="681"/>
        <v>6.2634776067275397E-2</v>
      </c>
      <c r="BH256" s="456">
        <f t="shared" si="753"/>
        <v>3.8521524154833711</v>
      </c>
      <c r="BI256" s="456">
        <f t="shared" si="682"/>
        <v>4.0250000000000001E-2</v>
      </c>
      <c r="BJ256" s="456">
        <f t="shared" si="683"/>
        <v>1.1119943081709884</v>
      </c>
      <c r="BK256">
        <f t="shared" si="684"/>
        <v>2.1555310187611636E-2</v>
      </c>
      <c r="BL256" s="144">
        <f t="shared" si="685"/>
        <v>61.805310187611639</v>
      </c>
      <c r="BM256" s="456">
        <f t="shared" si="754"/>
        <v>5.1198871667763459</v>
      </c>
      <c r="BN256" s="144">
        <f t="shared" si="686"/>
        <v>5119.887166776346</v>
      </c>
      <c r="BO256" s="456">
        <f t="shared" si="635"/>
        <v>1.1199999999999999</v>
      </c>
      <c r="BR256" s="144">
        <f t="shared" si="687"/>
        <v>1119.9999999999998</v>
      </c>
      <c r="BS256" s="456">
        <f t="shared" si="688"/>
        <v>7.3073905411821294E-2</v>
      </c>
      <c r="BT256" s="456">
        <f t="shared" si="689"/>
        <v>0.20338317250416307</v>
      </c>
      <c r="BU256" s="456">
        <f t="shared" si="690"/>
        <v>18.832860117719157</v>
      </c>
      <c r="BV256" s="456"/>
      <c r="BW256" s="456">
        <f t="shared" si="691"/>
        <v>2.0734280843698829</v>
      </c>
      <c r="BX256" s="144">
        <f t="shared" si="692"/>
        <v>21182.745280005027</v>
      </c>
      <c r="BY256" s="150">
        <f t="shared" si="693"/>
        <v>27.391332089914272</v>
      </c>
      <c r="BZ256" s="5">
        <f t="shared" si="694"/>
        <v>48</v>
      </c>
      <c r="CA256" s="150">
        <f t="shared" si="695"/>
        <v>0.63667796641069507</v>
      </c>
      <c r="CB256" s="5">
        <f t="shared" si="696"/>
        <v>63.667796641069508</v>
      </c>
      <c r="CE256" s="59">
        <f t="shared" si="755"/>
        <v>-50</v>
      </c>
      <c r="CF256">
        <f t="shared" si="756"/>
        <v>-50</v>
      </c>
      <c r="CG256" s="150">
        <f t="shared" si="757"/>
        <v>0.41888741526413359</v>
      </c>
      <c r="CI256" s="147">
        <v>40</v>
      </c>
      <c r="CJ256" s="188">
        <f t="shared" si="697"/>
        <v>1.6</v>
      </c>
      <c r="CK256" s="188"/>
      <c r="CL256" s="188">
        <f t="shared" si="639"/>
        <v>48</v>
      </c>
      <c r="CM256" s="465">
        <f t="shared" si="640"/>
        <v>48</v>
      </c>
      <c r="CN256" s="379">
        <f t="shared" si="641"/>
        <v>30.4</v>
      </c>
      <c r="CO256" s="379">
        <f t="shared" si="642"/>
        <v>78.400000000000006</v>
      </c>
      <c r="CP256" s="379"/>
      <c r="CQ256" s="188">
        <f t="shared" si="643"/>
        <v>0.38775510204081626</v>
      </c>
      <c r="CR256" s="149">
        <f t="shared" si="644"/>
        <v>284.85494809142222</v>
      </c>
      <c r="CS256" s="149">
        <f t="shared" si="645"/>
        <v>48</v>
      </c>
      <c r="CT256" s="188">
        <f t="shared" si="646"/>
        <v>9.4951649363807409</v>
      </c>
      <c r="CU256" s="188">
        <f t="shared" si="647"/>
        <v>30</v>
      </c>
      <c r="CV256" s="188"/>
      <c r="CW256" s="149">
        <f t="shared" si="648"/>
        <v>406.59262984690213</v>
      </c>
      <c r="CX256" s="149">
        <f t="shared" si="649"/>
        <v>30</v>
      </c>
      <c r="CY256" s="188">
        <f t="shared" si="650"/>
        <v>5.1578947368421062</v>
      </c>
      <c r="CZ256" s="188">
        <f t="shared" si="651"/>
        <v>0.50504385964912291</v>
      </c>
      <c r="DA256" s="188">
        <f t="shared" si="652"/>
        <v>0.79743767313019409</v>
      </c>
      <c r="DB256" s="172">
        <f t="shared" si="653"/>
        <v>350</v>
      </c>
      <c r="DC256" s="379">
        <f t="shared" si="654"/>
        <v>350</v>
      </c>
      <c r="DE256" s="188">
        <f t="shared" si="655"/>
        <v>11.314434588425037</v>
      </c>
      <c r="DF256" s="150">
        <f t="shared" si="656"/>
        <v>1.7492711370262393</v>
      </c>
      <c r="DG256" s="150">
        <f t="shared" si="657"/>
        <v>3.463602425028073</v>
      </c>
      <c r="DH256" s="150"/>
      <c r="DI256" s="150">
        <f t="shared" si="658"/>
        <v>0.93700159489633172</v>
      </c>
      <c r="DJ256" s="314">
        <f t="shared" si="659"/>
        <v>563.49957446808514</v>
      </c>
      <c r="DK256" s="456">
        <f t="shared" si="660"/>
        <v>0.99378957034459414</v>
      </c>
      <c r="DM256" s="150">
        <f t="shared" si="661"/>
        <v>7.6900440906084224</v>
      </c>
      <c r="DN256" s="150">
        <f t="shared" si="662"/>
        <v>7.6900440906084224</v>
      </c>
      <c r="DO256" s="150">
        <f t="shared" si="663"/>
        <v>2.4069911333350831</v>
      </c>
      <c r="DQ256" s="314">
        <f t="shared" si="664"/>
        <v>1600</v>
      </c>
      <c r="DR256" s="144">
        <f t="shared" si="665"/>
        <v>350</v>
      </c>
      <c r="DT256">
        <f t="shared" si="666"/>
        <v>1600</v>
      </c>
      <c r="DU256">
        <f t="shared" si="667"/>
        <v>350</v>
      </c>
      <c r="DW256" s="5">
        <f t="shared" si="668"/>
        <v>2.8571428571428572</v>
      </c>
      <c r="DX256" s="5">
        <f t="shared" si="669"/>
        <v>0.7529834838720747</v>
      </c>
      <c r="DY256" s="5">
        <f t="shared" si="670"/>
        <v>2.1041593732707824</v>
      </c>
      <c r="DZ256" s="5"/>
      <c r="EA256" s="150">
        <f t="shared" si="671"/>
        <v>0.26354421935522615</v>
      </c>
      <c r="EB256" s="150">
        <f t="shared" si="698"/>
        <v>48.639999999999993</v>
      </c>
      <c r="EC256" s="150">
        <f t="shared" si="699"/>
        <v>2.8316887119708776</v>
      </c>
      <c r="ED256" s="150">
        <f t="shared" si="700"/>
        <v>17.177029309180728</v>
      </c>
      <c r="EE256" s="144">
        <f t="shared" si="672"/>
        <v>4.0159119139843993</v>
      </c>
      <c r="EF256" s="5">
        <f t="shared" si="673"/>
        <v>1.2377408078063425</v>
      </c>
      <c r="EH256" s="150">
        <f t="shared" si="701"/>
        <v>2.279265672947691</v>
      </c>
      <c r="EI256" s="150">
        <f t="shared" si="702"/>
        <v>3.8101453205824249</v>
      </c>
      <c r="EK256" s="456">
        <f t="shared" si="703"/>
        <v>6.2340624094532296E-2</v>
      </c>
      <c r="EL256" s="456">
        <f t="shared" si="704"/>
        <v>4.0092813870796071</v>
      </c>
      <c r="EM256" s="456">
        <f t="shared" si="705"/>
        <v>4.0250000000000001E-2</v>
      </c>
      <c r="EN256" s="456">
        <f t="shared" si="706"/>
        <v>1.1132956800000005</v>
      </c>
      <c r="EO256">
        <f t="shared" si="707"/>
        <v>2.1600000000000001E-2</v>
      </c>
      <c r="EP256" s="144">
        <f t="shared" si="708"/>
        <v>61.85</v>
      </c>
      <c r="EQ256" s="144"/>
      <c r="ER256" s="144">
        <f t="shared" si="709"/>
        <v>5246.7676911741401</v>
      </c>
      <c r="ES256" s="456">
        <f t="shared" si="710"/>
        <v>1.1199999999999999</v>
      </c>
      <c r="EV256" s="144">
        <f t="shared" si="711"/>
        <v>1119.9999999999998</v>
      </c>
      <c r="EW256" s="456">
        <f t="shared" si="712"/>
        <v>7.2730728110287676E-2</v>
      </c>
      <c r="EX256" s="456">
        <f t="shared" si="713"/>
        <v>0.20324090309538609</v>
      </c>
      <c r="EY256" s="456">
        <f t="shared" si="714"/>
        <v>18.791532081914099</v>
      </c>
      <c r="EZ256" s="456"/>
      <c r="FA256" s="456">
        <f t="shared" si="715"/>
        <v>2.0697872340425536</v>
      </c>
      <c r="FB256" s="144">
        <f t="shared" si="716"/>
        <v>21137.290947162328</v>
      </c>
      <c r="FC256" s="150">
        <f t="shared" si="717"/>
        <v>27.504058638336467</v>
      </c>
      <c r="FD256" s="5">
        <f t="shared" si="718"/>
        <v>48</v>
      </c>
      <c r="FE256" s="150">
        <f t="shared" si="719"/>
        <v>0.63572741473302019</v>
      </c>
      <c r="FF256" s="5">
        <f t="shared" si="720"/>
        <v>63.572741473302017</v>
      </c>
      <c r="FI256" s="59">
        <f t="shared" si="674"/>
        <v>-50</v>
      </c>
      <c r="FJ256">
        <f t="shared" si="675"/>
        <v>-50</v>
      </c>
      <c r="FL256">
        <f t="shared" si="758"/>
        <v>0.41612245161351497</v>
      </c>
    </row>
    <row r="257" spans="5:168">
      <c r="E257" s="147">
        <v>41</v>
      </c>
      <c r="F257" s="188">
        <f t="shared" si="759"/>
        <v>1.64</v>
      </c>
      <c r="G257" s="188"/>
      <c r="H257" s="188">
        <f t="shared" si="725"/>
        <v>49.199999999999996</v>
      </c>
      <c r="I257" s="465">
        <f t="shared" si="726"/>
        <v>47.8994555852804</v>
      </c>
      <c r="J257" s="149">
        <f t="shared" si="727"/>
        <v>30.454139300233628</v>
      </c>
      <c r="K257" s="149">
        <f t="shared" si="728"/>
        <v>78.353594885514028</v>
      </c>
      <c r="L257" s="379"/>
      <c r="M257" s="188">
        <f t="shared" si="729"/>
        <v>0.38867851893157462</v>
      </c>
      <c r="N257" s="149">
        <f t="shared" si="730"/>
        <v>284.93521449097858</v>
      </c>
      <c r="O257" s="149">
        <f t="shared" si="598"/>
        <v>49.199999999999996</v>
      </c>
      <c r="P257" s="188">
        <f t="shared" si="731"/>
        <v>9.4978404830326202</v>
      </c>
      <c r="Q257" s="188">
        <f t="shared" si="732"/>
        <v>30</v>
      </c>
      <c r="R257" s="188"/>
      <c r="S257" s="149">
        <f t="shared" si="733"/>
        <v>394.67911794816473</v>
      </c>
      <c r="T257" s="149">
        <f t="shared" si="734"/>
        <v>30</v>
      </c>
      <c r="U257" s="188">
        <f t="shared" si="735"/>
        <v>5.285352799065711</v>
      </c>
      <c r="V257" s="188">
        <f t="shared" si="736"/>
        <v>0.51861044874260698</v>
      </c>
      <c r="W257" s="188">
        <f t="shared" si="737"/>
        <v>0.81569069842069941</v>
      </c>
      <c r="X257" s="172">
        <f t="shared" si="738"/>
        <v>350</v>
      </c>
      <c r="Y257" s="379">
        <f t="shared" si="678"/>
        <v>350</v>
      </c>
      <c r="AA257" s="188">
        <f t="shared" si="739"/>
        <v>11.317541043440603</v>
      </c>
      <c r="AB257" s="150">
        <f t="shared" si="740"/>
        <v>1.7466408221151983</v>
      </c>
      <c r="AC257" s="150">
        <f t="shared" si="741"/>
        <v>3.4593438586765788</v>
      </c>
      <c r="AD257" s="150"/>
      <c r="AE257" s="150">
        <f t="shared" si="742"/>
        <v>0.93533585710727873</v>
      </c>
      <c r="AF257" s="314">
        <f t="shared" si="743"/>
        <v>578.61568749622609</v>
      </c>
      <c r="AG257" s="456">
        <f t="shared" si="744"/>
        <v>0.99202287875014417</v>
      </c>
      <c r="AI257" s="150">
        <f t="shared" si="745"/>
        <v>7.7925058264058533</v>
      </c>
      <c r="AJ257" s="150">
        <f t="shared" si="746"/>
        <v>7.7925058264058533</v>
      </c>
      <c r="AK257" s="150">
        <f t="shared" si="747"/>
        <v>2.4828887154072539</v>
      </c>
      <c r="AM257" s="314">
        <f t="shared" si="748"/>
        <v>1640</v>
      </c>
      <c r="AN257" s="144">
        <f t="shared" si="749"/>
        <v>350</v>
      </c>
      <c r="AP257">
        <f t="shared" si="750"/>
        <v>1640</v>
      </c>
      <c r="AQ257">
        <f t="shared" si="751"/>
        <v>350</v>
      </c>
      <c r="AS257" s="5">
        <f t="shared" si="599"/>
        <v>2.8571428571428572</v>
      </c>
      <c r="AT257" s="5">
        <f t="shared" si="752"/>
        <v>0.76461782157211777</v>
      </c>
      <c r="AU257" s="5">
        <f t="shared" si="721"/>
        <v>2.0925250355707394</v>
      </c>
      <c r="AV257" s="5"/>
      <c r="AW257" s="150">
        <f t="shared" si="722"/>
        <v>0.26761623755024122</v>
      </c>
      <c r="AX257" s="150">
        <f t="shared" si="630"/>
        <v>49.944788452383143</v>
      </c>
      <c r="AY257" s="150">
        <f t="shared" si="631"/>
        <v>2.8535523680273926</v>
      </c>
      <c r="AZ257" s="150">
        <f t="shared" si="632"/>
        <v>17.50267106081149</v>
      </c>
      <c r="BA257" s="144">
        <f t="shared" si="723"/>
        <v>4.1799107579275772</v>
      </c>
      <c r="BB257" s="5">
        <f t="shared" si="724"/>
        <v>1.2643178421048054</v>
      </c>
      <c r="BD257" s="150">
        <f t="shared" si="679"/>
        <v>2.3274091566198538</v>
      </c>
      <c r="BE257" s="150">
        <f t="shared" si="680"/>
        <v>3.8502228034065493</v>
      </c>
      <c r="BG257" s="456">
        <f t="shared" si="681"/>
        <v>6.5002000587815273E-2</v>
      </c>
      <c r="BH257" s="456">
        <f t="shared" si="753"/>
        <v>3.9000212702990411</v>
      </c>
      <c r="BI257" s="456">
        <f t="shared" si="682"/>
        <v>4.0250000000000001E-2</v>
      </c>
      <c r="BJ257" s="456">
        <f t="shared" si="683"/>
        <v>1.1119781462274037</v>
      </c>
      <c r="BK257">
        <f t="shared" si="684"/>
        <v>2.155475501337618E-2</v>
      </c>
      <c r="BL257" s="144">
        <f t="shared" si="685"/>
        <v>61.80475501337618</v>
      </c>
      <c r="BM257" s="456">
        <f t="shared" si="754"/>
        <v>5.1744689148238292</v>
      </c>
      <c r="BN257" s="144">
        <f t="shared" si="686"/>
        <v>5174.4689148238294</v>
      </c>
      <c r="BO257" s="456">
        <f t="shared" si="635"/>
        <v>1.1479999999999999</v>
      </c>
      <c r="BR257" s="144">
        <f t="shared" si="687"/>
        <v>1148</v>
      </c>
      <c r="BS257" s="456">
        <f t="shared" si="688"/>
        <v>7.5835667352451161E-2</v>
      </c>
      <c r="BT257" s="456">
        <f t="shared" si="689"/>
        <v>0.20753901890220502</v>
      </c>
      <c r="BU257" s="456">
        <f t="shared" si="690"/>
        <v>19.423744395362796</v>
      </c>
      <c r="BV257" s="456"/>
      <c r="BW257" s="456">
        <f t="shared" si="691"/>
        <v>2.1253101469099209</v>
      </c>
      <c r="BX257" s="144">
        <f t="shared" si="692"/>
        <v>21832.429228527373</v>
      </c>
      <c r="BY257" s="150">
        <f t="shared" si="693"/>
        <v>28.119235400655011</v>
      </c>
      <c r="BZ257" s="5">
        <f t="shared" si="694"/>
        <v>49.199999999999996</v>
      </c>
      <c r="CA257" s="150">
        <f t="shared" si="695"/>
        <v>0.63632289875933257</v>
      </c>
      <c r="CB257" s="5">
        <f t="shared" si="696"/>
        <v>63.632289875933253</v>
      </c>
      <c r="CE257" s="59">
        <f t="shared" si="755"/>
        <v>-50</v>
      </c>
      <c r="CF257">
        <f t="shared" si="756"/>
        <v>-50</v>
      </c>
      <c r="CG257" s="150">
        <f t="shared" si="757"/>
        <v>0.42409118516344257</v>
      </c>
      <c r="CI257" s="147">
        <v>41</v>
      </c>
      <c r="CJ257" s="188">
        <f t="shared" si="697"/>
        <v>1.64</v>
      </c>
      <c r="CK257" s="188"/>
      <c r="CL257" s="188">
        <f t="shared" si="639"/>
        <v>49.199999999999996</v>
      </c>
      <c r="CM257" s="465">
        <f t="shared" si="640"/>
        <v>48</v>
      </c>
      <c r="CN257" s="379">
        <f t="shared" si="641"/>
        <v>30.4</v>
      </c>
      <c r="CO257" s="379">
        <f t="shared" si="642"/>
        <v>78.400000000000006</v>
      </c>
      <c r="CP257" s="379"/>
      <c r="CQ257" s="188">
        <f t="shared" si="643"/>
        <v>0.38775510204081626</v>
      </c>
      <c r="CR257" s="149">
        <f t="shared" si="644"/>
        <v>284.85494809142222</v>
      </c>
      <c r="CS257" s="149">
        <f t="shared" si="645"/>
        <v>49.199999999999996</v>
      </c>
      <c r="CT257" s="188">
        <f t="shared" si="646"/>
        <v>9.4951649363807409</v>
      </c>
      <c r="CU257" s="188">
        <f t="shared" si="647"/>
        <v>30</v>
      </c>
      <c r="CV257" s="188"/>
      <c r="CW257" s="149">
        <f t="shared" si="648"/>
        <v>395.50747622376423</v>
      </c>
      <c r="CX257" s="149">
        <f t="shared" si="649"/>
        <v>30</v>
      </c>
      <c r="CY257" s="188">
        <f t="shared" si="650"/>
        <v>5.2868421052631582</v>
      </c>
      <c r="CZ257" s="188">
        <f t="shared" si="651"/>
        <v>0.51766995614035094</v>
      </c>
      <c r="DA257" s="188">
        <f t="shared" si="652"/>
        <v>0.81737361495844885</v>
      </c>
      <c r="DB257" s="172">
        <f t="shared" si="653"/>
        <v>350</v>
      </c>
      <c r="DC257" s="379">
        <f t="shared" si="654"/>
        <v>350</v>
      </c>
      <c r="DE257" s="188">
        <f t="shared" si="655"/>
        <v>11.314434588425037</v>
      </c>
      <c r="DF257" s="150">
        <f t="shared" si="656"/>
        <v>1.7492711370262393</v>
      </c>
      <c r="DG257" s="150">
        <f t="shared" si="657"/>
        <v>3.463602425028073</v>
      </c>
      <c r="DH257" s="150"/>
      <c r="DI257" s="150">
        <f t="shared" si="658"/>
        <v>0.93700159489633172</v>
      </c>
      <c r="DJ257" s="314">
        <f t="shared" si="659"/>
        <v>577.58706382978721</v>
      </c>
      <c r="DK257" s="456">
        <f t="shared" si="660"/>
        <v>0.99378957034459414</v>
      </c>
      <c r="DM257" s="150">
        <f t="shared" si="661"/>
        <v>7.7855762515300722</v>
      </c>
      <c r="DN257" s="150">
        <f t="shared" si="662"/>
        <v>7.7855762515300722</v>
      </c>
      <c r="DO257" s="150">
        <f t="shared" si="663"/>
        <v>2.4777556969807493</v>
      </c>
      <c r="DQ257" s="314">
        <f t="shared" si="664"/>
        <v>1640</v>
      </c>
      <c r="DR257" s="144">
        <f t="shared" si="665"/>
        <v>350</v>
      </c>
      <c r="DT257">
        <f t="shared" si="666"/>
        <v>1640</v>
      </c>
      <c r="DU257">
        <f t="shared" si="667"/>
        <v>350</v>
      </c>
      <c r="DW257" s="5">
        <f t="shared" si="668"/>
        <v>2.8571428571428572</v>
      </c>
      <c r="DX257" s="5">
        <f t="shared" si="669"/>
        <v>0.76233767462898616</v>
      </c>
      <c r="DY257" s="5">
        <f t="shared" si="670"/>
        <v>2.0948051825138712</v>
      </c>
      <c r="DZ257" s="5"/>
      <c r="EA257" s="150">
        <f t="shared" si="671"/>
        <v>0.26681818612014513</v>
      </c>
      <c r="EB257" s="150">
        <f t="shared" si="698"/>
        <v>49.855999999999987</v>
      </c>
      <c r="EC257" s="150">
        <f t="shared" si="699"/>
        <v>2.8541214590983701</v>
      </c>
      <c r="ED257" s="150">
        <f t="shared" si="700"/>
        <v>17.468072299820669</v>
      </c>
      <c r="EE257" s="144">
        <f t="shared" si="672"/>
        <v>4.167445954638457</v>
      </c>
      <c r="EF257" s="5">
        <f t="shared" si="673"/>
        <v>1.2630443012215984</v>
      </c>
      <c r="EH257" s="150">
        <f t="shared" si="701"/>
        <v>2.32186972549508</v>
      </c>
      <c r="EI257" s="150">
        <f t="shared" si="702"/>
        <v>3.8488942352264095</v>
      </c>
      <c r="EK257" s="456">
        <f t="shared" si="703"/>
        <v>6.4692948266047184E-2</v>
      </c>
      <c r="EL257" s="456">
        <f t="shared" si="704"/>
        <v>4.0590880344977194</v>
      </c>
      <c r="EM257" s="456">
        <f t="shared" si="705"/>
        <v>4.0250000000000001E-2</v>
      </c>
      <c r="EN257" s="456">
        <f t="shared" si="706"/>
        <v>1.1132956800000005</v>
      </c>
      <c r="EO257">
        <f t="shared" si="707"/>
        <v>2.1600000000000001E-2</v>
      </c>
      <c r="EP257" s="144">
        <f t="shared" si="708"/>
        <v>61.85</v>
      </c>
      <c r="EQ257" s="144"/>
      <c r="ER257" s="144">
        <f t="shared" si="709"/>
        <v>5298.9266627637671</v>
      </c>
      <c r="ES257" s="456">
        <f t="shared" si="710"/>
        <v>1.1479999999999999</v>
      </c>
      <c r="EV257" s="144">
        <f t="shared" si="711"/>
        <v>1148</v>
      </c>
      <c r="EW257" s="456">
        <f t="shared" si="712"/>
        <v>7.5475106310388382E-2</v>
      </c>
      <c r="EX257" s="456">
        <f t="shared" si="713"/>
        <v>0.20739581567542725</v>
      </c>
      <c r="EY257" s="456">
        <f t="shared" si="714"/>
        <v>19.380591224336431</v>
      </c>
      <c r="EZ257" s="456"/>
      <c r="FA257" s="456">
        <f t="shared" si="715"/>
        <v>2.1215319148936169</v>
      </c>
      <c r="FB257" s="144">
        <f t="shared" si="716"/>
        <v>21784.994061215861</v>
      </c>
      <c r="FC257" s="150">
        <f t="shared" si="717"/>
        <v>28.231920723979631</v>
      </c>
      <c r="FD257" s="5">
        <f t="shared" si="718"/>
        <v>49.199999999999996</v>
      </c>
      <c r="FE257" s="150">
        <f t="shared" si="719"/>
        <v>0.63539686914628501</v>
      </c>
      <c r="FF257" s="5">
        <f t="shared" si="720"/>
        <v>63.539686914628504</v>
      </c>
      <c r="FI257" s="59">
        <f t="shared" si="674"/>
        <v>-50</v>
      </c>
      <c r="FJ257">
        <f t="shared" si="675"/>
        <v>-50</v>
      </c>
      <c r="FL257">
        <f t="shared" si="758"/>
        <v>0.42129187282128189</v>
      </c>
    </row>
    <row r="258" spans="5:168">
      <c r="E258" s="147">
        <v>42</v>
      </c>
      <c r="F258" s="188">
        <f t="shared" si="759"/>
        <v>1.68</v>
      </c>
      <c r="G258" s="188"/>
      <c r="H258" s="188">
        <f t="shared" si="725"/>
        <v>50.4</v>
      </c>
      <c r="I258" s="465">
        <f t="shared" si="726"/>
        <v>47.898236820603664</v>
      </c>
      <c r="J258" s="149">
        <f t="shared" si="727"/>
        <v>30.454795558136489</v>
      </c>
      <c r="K258" s="149">
        <f t="shared" si="728"/>
        <v>78.353032378740153</v>
      </c>
      <c r="L258" s="379"/>
      <c r="M258" s="188">
        <f t="shared" si="729"/>
        <v>0.38868971892990961</v>
      </c>
      <c r="N258" s="149">
        <f t="shared" si="730"/>
        <v>284.93617489993653</v>
      </c>
      <c r="O258" s="149">
        <f t="shared" si="598"/>
        <v>50.4</v>
      </c>
      <c r="P258" s="188">
        <f t="shared" si="731"/>
        <v>9.4978724966645505</v>
      </c>
      <c r="Q258" s="188">
        <f t="shared" si="732"/>
        <v>30</v>
      </c>
      <c r="R258" s="188"/>
      <c r="S258" s="149">
        <f t="shared" si="733"/>
        <v>384.13424316556558</v>
      </c>
      <c r="T258" s="149">
        <f t="shared" si="734"/>
        <v>30</v>
      </c>
      <c r="U258" s="188">
        <f t="shared" si="735"/>
        <v>5.4142455935689995</v>
      </c>
      <c r="V258" s="188">
        <f t="shared" si="736"/>
        <v>0.53127121119473364</v>
      </c>
      <c r="W258" s="188">
        <f t="shared" si="737"/>
        <v>0.83556477143960772</v>
      </c>
      <c r="X258" s="172">
        <f t="shared" si="738"/>
        <v>350</v>
      </c>
      <c r="Y258" s="379">
        <f t="shared" si="678"/>
        <v>350</v>
      </c>
      <c r="AA258" s="188">
        <f t="shared" si="739"/>
        <v>11.31757820325193</v>
      </c>
      <c r="AB258" s="150">
        <f t="shared" si="740"/>
        <v>1.7466089192338317</v>
      </c>
      <c r="AC258" s="150">
        <f t="shared" si="741"/>
        <v>3.4592920309370889</v>
      </c>
      <c r="AD258" s="150"/>
      <c r="AE258" s="150">
        <f t="shared" si="742"/>
        <v>0.93531570193838642</v>
      </c>
      <c r="AF258" s="314">
        <f t="shared" si="743"/>
        <v>592.74103797363682</v>
      </c>
      <c r="AG258" s="456">
        <f t="shared" si="744"/>
        <v>0.99200150205586446</v>
      </c>
      <c r="AI258" s="150">
        <f t="shared" si="745"/>
        <v>7.8870488690908793</v>
      </c>
      <c r="AJ258" s="150">
        <f t="shared" si="746"/>
        <v>7.8870488690908793</v>
      </c>
      <c r="AK258" s="150">
        <f t="shared" si="747"/>
        <v>2.5529205988776438</v>
      </c>
      <c r="AM258" s="314">
        <f t="shared" si="748"/>
        <v>1680</v>
      </c>
      <c r="AN258" s="144">
        <f t="shared" si="749"/>
        <v>350</v>
      </c>
      <c r="AP258">
        <f t="shared" si="750"/>
        <v>1680</v>
      </c>
      <c r="AQ258">
        <f t="shared" si="751"/>
        <v>350</v>
      </c>
      <c r="AS258" s="5">
        <f t="shared" si="599"/>
        <v>2.8571428571428572</v>
      </c>
      <c r="AT258" s="5">
        <f t="shared" si="752"/>
        <v>0.77391428464401546</v>
      </c>
      <c r="AU258" s="5">
        <f t="shared" si="721"/>
        <v>2.0832285724988417</v>
      </c>
      <c r="AV258" s="5"/>
      <c r="AW258" s="150">
        <f t="shared" si="722"/>
        <v>0.27086999962540542</v>
      </c>
      <c r="AX258" s="150">
        <f t="shared" si="630"/>
        <v>51.164056537669296</v>
      </c>
      <c r="AY258" s="150">
        <f t="shared" si="631"/>
        <v>2.8753419724373397</v>
      </c>
      <c r="AZ258" s="150">
        <f t="shared" si="632"/>
        <v>17.794077027401052</v>
      </c>
      <c r="BA258" s="144">
        <f t="shared" si="723"/>
        <v>4.3339199940064859</v>
      </c>
      <c r="BB258" s="5">
        <f t="shared" si="724"/>
        <v>1.2894336854830384</v>
      </c>
      <c r="BD258" s="150">
        <f t="shared" si="679"/>
        <v>2.3699236668090391</v>
      </c>
      <c r="BE258" s="150">
        <f t="shared" si="680"/>
        <v>3.8882697653293432</v>
      </c>
      <c r="BG258" s="456">
        <f t="shared" si="681"/>
        <v>6.739845823801921E-2</v>
      </c>
      <c r="BH258" s="456">
        <f t="shared" si="753"/>
        <v>3.9473101731978781</v>
      </c>
      <c r="BI258" s="456">
        <f t="shared" si="682"/>
        <v>4.0250000000000001E-2</v>
      </c>
      <c r="BJ258" s="456">
        <f t="shared" si="683"/>
        <v>1.1119621803232145</v>
      </c>
      <c r="BK258">
        <f t="shared" si="684"/>
        <v>2.1554206569271647E-2</v>
      </c>
      <c r="BL258" s="144">
        <f t="shared" si="685"/>
        <v>61.804206569271642</v>
      </c>
      <c r="BM258" s="456">
        <f t="shared" si="754"/>
        <v>5.228598511557049</v>
      </c>
      <c r="BN258" s="144">
        <f t="shared" si="686"/>
        <v>5228.5985115570493</v>
      </c>
      <c r="BO258" s="456">
        <f t="shared" si="635"/>
        <v>1.1759999999999999</v>
      </c>
      <c r="BR258" s="144">
        <f t="shared" si="687"/>
        <v>1176</v>
      </c>
      <c r="BS258" s="456">
        <f t="shared" si="688"/>
        <v>7.8631534611022416E-2</v>
      </c>
      <c r="BT258" s="456">
        <f t="shared" si="689"/>
        <v>0.2116609847516403</v>
      </c>
      <c r="BU258" s="456">
        <f t="shared" si="690"/>
        <v>20.018265486039379</v>
      </c>
      <c r="BV258" s="456"/>
      <c r="BW258" s="456">
        <f t="shared" si="691"/>
        <v>2.1771938952199701</v>
      </c>
      <c r="BX258" s="144">
        <f t="shared" si="692"/>
        <v>22485.751900622014</v>
      </c>
      <c r="BY258" s="150">
        <f t="shared" si="693"/>
        <v>28.850226918950398</v>
      </c>
      <c r="BZ258" s="5">
        <f t="shared" si="694"/>
        <v>50.4</v>
      </c>
      <c r="CA258" s="150">
        <f t="shared" si="695"/>
        <v>0.63596032414575077</v>
      </c>
      <c r="CB258" s="5">
        <f t="shared" si="696"/>
        <v>63.596032414575077</v>
      </c>
      <c r="CE258" s="59">
        <f t="shared" si="755"/>
        <v>-50</v>
      </c>
      <c r="CF258">
        <f t="shared" si="756"/>
        <v>-50</v>
      </c>
      <c r="CG258" s="150">
        <f t="shared" si="757"/>
        <v>0.42923187206916497</v>
      </c>
      <c r="CI258" s="147">
        <v>42</v>
      </c>
      <c r="CJ258" s="188">
        <f t="shared" si="697"/>
        <v>1.68</v>
      </c>
      <c r="CK258" s="188"/>
      <c r="CL258" s="188">
        <f t="shared" si="639"/>
        <v>50.4</v>
      </c>
      <c r="CM258" s="465">
        <f t="shared" si="640"/>
        <v>48</v>
      </c>
      <c r="CN258" s="379">
        <f t="shared" si="641"/>
        <v>30.4</v>
      </c>
      <c r="CO258" s="379">
        <f t="shared" si="642"/>
        <v>78.400000000000006</v>
      </c>
      <c r="CP258" s="379"/>
      <c r="CQ258" s="188">
        <f t="shared" si="643"/>
        <v>0.38775510204081626</v>
      </c>
      <c r="CR258" s="149">
        <f t="shared" si="644"/>
        <v>284.85494809142222</v>
      </c>
      <c r="CS258" s="149">
        <f t="shared" si="645"/>
        <v>50.4</v>
      </c>
      <c r="CT258" s="188">
        <f t="shared" si="646"/>
        <v>9.4951649363807409</v>
      </c>
      <c r="CU258" s="188">
        <f t="shared" si="647"/>
        <v>30</v>
      </c>
      <c r="CV258" s="188"/>
      <c r="CW258" s="149">
        <f t="shared" si="648"/>
        <v>384.95025770167871</v>
      </c>
      <c r="CX258" s="149">
        <f t="shared" si="649"/>
        <v>30</v>
      </c>
      <c r="CY258" s="188">
        <f t="shared" si="650"/>
        <v>5.415789473684212</v>
      </c>
      <c r="CZ258" s="188">
        <f t="shared" si="651"/>
        <v>0.53029605263157908</v>
      </c>
      <c r="DA258" s="188">
        <f t="shared" si="652"/>
        <v>0.83730955678670382</v>
      </c>
      <c r="DB258" s="172">
        <f t="shared" si="653"/>
        <v>350</v>
      </c>
      <c r="DC258" s="379">
        <f t="shared" si="654"/>
        <v>350</v>
      </c>
      <c r="DE258" s="188">
        <f t="shared" si="655"/>
        <v>11.314434588425037</v>
      </c>
      <c r="DF258" s="150">
        <f t="shared" si="656"/>
        <v>1.7492711370262393</v>
      </c>
      <c r="DG258" s="150">
        <f t="shared" si="657"/>
        <v>3.463602425028073</v>
      </c>
      <c r="DH258" s="150"/>
      <c r="DI258" s="150">
        <f t="shared" si="658"/>
        <v>0.93700159489633172</v>
      </c>
      <c r="DJ258" s="314">
        <f t="shared" si="659"/>
        <v>591.67455319148928</v>
      </c>
      <c r="DK258" s="456">
        <f t="shared" si="660"/>
        <v>0.99378957034459414</v>
      </c>
      <c r="DM258" s="150">
        <f t="shared" si="661"/>
        <v>7.8799503184523054</v>
      </c>
      <c r="DN258" s="150">
        <f t="shared" si="662"/>
        <v>7.8799503184523054</v>
      </c>
      <c r="DO258" s="150">
        <f t="shared" si="663"/>
        <v>2.5476624132194408</v>
      </c>
      <c r="DQ258" s="314">
        <f t="shared" si="664"/>
        <v>1680</v>
      </c>
      <c r="DR258" s="144">
        <f t="shared" si="665"/>
        <v>350</v>
      </c>
      <c r="DT258">
        <f t="shared" si="666"/>
        <v>1680</v>
      </c>
      <c r="DU258">
        <f t="shared" si="667"/>
        <v>350</v>
      </c>
      <c r="DW258" s="5">
        <f t="shared" si="668"/>
        <v>2.8571428571428572</v>
      </c>
      <c r="DX258" s="5">
        <f t="shared" si="669"/>
        <v>0.77157846868178814</v>
      </c>
      <c r="DY258" s="5">
        <f t="shared" si="670"/>
        <v>2.0855643884610693</v>
      </c>
      <c r="DZ258" s="5"/>
      <c r="EA258" s="150">
        <f t="shared" si="671"/>
        <v>0.27005246403862582</v>
      </c>
      <c r="EB258" s="150">
        <f t="shared" si="698"/>
        <v>51.071999999999996</v>
      </c>
      <c r="EC258" s="150">
        <f t="shared" si="699"/>
        <v>2.8759751592261531</v>
      </c>
      <c r="ED258" s="150">
        <f t="shared" si="700"/>
        <v>17.758150600209664</v>
      </c>
      <c r="EE258" s="144">
        <f t="shared" si="672"/>
        <v>4.3208394246180131</v>
      </c>
      <c r="EF258" s="5">
        <f t="shared" si="673"/>
        <v>1.288142710520072</v>
      </c>
      <c r="EH258" s="150">
        <f t="shared" si="701"/>
        <v>2.3642147588340685</v>
      </c>
      <c r="EI258" s="150">
        <f t="shared" si="702"/>
        <v>3.8869475060176328</v>
      </c>
      <c r="EK258" s="456">
        <f t="shared" si="703"/>
        <v>6.7074137110665996E-2</v>
      </c>
      <c r="EL258" s="456">
        <f t="shared" si="704"/>
        <v>4.1082908980282946</v>
      </c>
      <c r="EM258" s="456">
        <f t="shared" si="705"/>
        <v>4.0250000000000001E-2</v>
      </c>
      <c r="EN258" s="456">
        <f t="shared" si="706"/>
        <v>1.1132956800000005</v>
      </c>
      <c r="EO258">
        <f t="shared" si="707"/>
        <v>2.1600000000000001E-2</v>
      </c>
      <c r="EP258" s="144">
        <f t="shared" si="708"/>
        <v>61.85</v>
      </c>
      <c r="EQ258" s="144"/>
      <c r="ER258" s="144">
        <f t="shared" si="709"/>
        <v>5350.5107151389611</v>
      </c>
      <c r="ES258" s="456">
        <f t="shared" si="710"/>
        <v>1.1759999999999999</v>
      </c>
      <c r="EV258" s="144">
        <f t="shared" si="711"/>
        <v>1176</v>
      </c>
      <c r="EW258" s="456">
        <f t="shared" si="712"/>
        <v>7.8253159962443655E-2</v>
      </c>
      <c r="EX258" s="456">
        <f t="shared" si="713"/>
        <v>0.21151705280351377</v>
      </c>
      <c r="EY258" s="456">
        <f t="shared" si="714"/>
        <v>19.973253477349374</v>
      </c>
      <c r="EZ258" s="456"/>
      <c r="FA258" s="456">
        <f t="shared" si="715"/>
        <v>2.1732765957446811</v>
      </c>
      <c r="FB258" s="144">
        <f t="shared" si="716"/>
        <v>22436.300285860016</v>
      </c>
      <c r="FC258" s="150">
        <f t="shared" si="717"/>
        <v>28.962811000998975</v>
      </c>
      <c r="FD258" s="5">
        <f t="shared" si="718"/>
        <v>50.4</v>
      </c>
      <c r="FE258" s="150">
        <f t="shared" si="719"/>
        <v>0.63505815084303896</v>
      </c>
      <c r="FF258" s="5">
        <f t="shared" si="720"/>
        <v>63.505815084303897</v>
      </c>
      <c r="FI258" s="59">
        <f t="shared" si="674"/>
        <v>-50</v>
      </c>
      <c r="FJ258">
        <f t="shared" si="675"/>
        <v>-50</v>
      </c>
      <c r="FL258">
        <f t="shared" si="758"/>
        <v>0.42639862742940932</v>
      </c>
    </row>
    <row r="259" spans="5:168">
      <c r="E259" s="147">
        <v>43</v>
      </c>
      <c r="F259" s="188">
        <f t="shared" si="759"/>
        <v>1.72</v>
      </c>
      <c r="G259" s="188"/>
      <c r="H259" s="188">
        <f t="shared" si="725"/>
        <v>51.6</v>
      </c>
      <c r="I259" s="465">
        <f t="shared" si="726"/>
        <v>47.897032480701945</v>
      </c>
      <c r="J259" s="149">
        <f t="shared" si="727"/>
        <v>30.455444048852797</v>
      </c>
      <c r="K259" s="149">
        <f t="shared" si="728"/>
        <v>78.352476529554735</v>
      </c>
      <c r="L259" s="379"/>
      <c r="M259" s="188">
        <f t="shared" si="729"/>
        <v>0.38870078652662154</v>
      </c>
      <c r="N259" s="149">
        <f t="shared" si="730"/>
        <v>284.93712364637344</v>
      </c>
      <c r="O259" s="149">
        <f t="shared" si="598"/>
        <v>51.6</v>
      </c>
      <c r="P259" s="188">
        <f t="shared" si="731"/>
        <v>9.4979041215457816</v>
      </c>
      <c r="Q259" s="188">
        <f t="shared" si="732"/>
        <v>30</v>
      </c>
      <c r="R259" s="188"/>
      <c r="S259" s="149">
        <f t="shared" si="733"/>
        <v>374.08006661226437</v>
      </c>
      <c r="T259" s="149">
        <f t="shared" si="734"/>
        <v>30</v>
      </c>
      <c r="U259" s="188">
        <f t="shared" si="735"/>
        <v>5.5431377460618023</v>
      </c>
      <c r="V259" s="188">
        <f t="shared" si="736"/>
        <v>0.54393239115570069</v>
      </c>
      <c r="W259" s="188">
        <f t="shared" si="737"/>
        <v>0.85543810704910195</v>
      </c>
      <c r="X259" s="172">
        <f t="shared" si="738"/>
        <v>350</v>
      </c>
      <c r="Y259" s="379">
        <f t="shared" si="678"/>
        <v>350</v>
      </c>
      <c r="AA259" s="188">
        <f t="shared" si="739"/>
        <v>11.31761491158831</v>
      </c>
      <c r="AB259" s="150">
        <f t="shared" si="740"/>
        <v>1.7465773934912872</v>
      </c>
      <c r="AC259" s="150">
        <f t="shared" si="741"/>
        <v>3.4592408117435061</v>
      </c>
      <c r="AD259" s="150"/>
      <c r="AE259" s="150">
        <f t="shared" si="742"/>
        <v>0.93529578617066522</v>
      </c>
      <c r="AF259" s="314">
        <f t="shared" si="743"/>
        <v>606.86684190452331</v>
      </c>
      <c r="AG259" s="456">
        <f t="shared" si="744"/>
        <v>0.99198037927191762</v>
      </c>
      <c r="AI259" s="150">
        <f t="shared" si="745"/>
        <v>7.9804749395142496</v>
      </c>
      <c r="AJ259" s="150">
        <f t="shared" si="746"/>
        <v>7.9804749395142496</v>
      </c>
      <c r="AK259" s="150">
        <f t="shared" si="747"/>
        <v>2.6221250954875472</v>
      </c>
      <c r="AM259" s="314">
        <f t="shared" si="748"/>
        <v>1720</v>
      </c>
      <c r="AN259" s="144">
        <f t="shared" si="749"/>
        <v>350</v>
      </c>
      <c r="AP259">
        <f t="shared" si="750"/>
        <v>1720</v>
      </c>
      <c r="AQ259">
        <f t="shared" si="751"/>
        <v>350</v>
      </c>
      <c r="AS259" s="5">
        <f t="shared" si="599"/>
        <v>2.8571428571428572</v>
      </c>
      <c r="AT259" s="5">
        <f t="shared" si="752"/>
        <v>0.78310137962783621</v>
      </c>
      <c r="AU259" s="5">
        <f t="shared" si="721"/>
        <v>2.0740414775150211</v>
      </c>
      <c r="AV259" s="5"/>
      <c r="AW259" s="150">
        <f t="shared" si="722"/>
        <v>0.27408548286974266</v>
      </c>
      <c r="AX259" s="150">
        <f t="shared" si="630"/>
        <v>52.383363764026811</v>
      </c>
      <c r="AY259" s="150">
        <f t="shared" si="631"/>
        <v>2.896571306093803</v>
      </c>
      <c r="AZ259" s="150">
        <f t="shared" si="632"/>
        <v>18.08461046818449</v>
      </c>
      <c r="BA259" s="144">
        <f t="shared" si="723"/>
        <v>4.4897812431995945</v>
      </c>
      <c r="BB259" s="5">
        <f t="shared" si="724"/>
        <v>1.3143457058626313</v>
      </c>
      <c r="BD259" s="150">
        <f t="shared" si="679"/>
        <v>2.4121878604715992</v>
      </c>
      <c r="BE259" s="150">
        <f t="shared" si="680"/>
        <v>3.9256434477927864</v>
      </c>
      <c r="BG259" s="456">
        <f t="shared" si="681"/>
        <v>6.9823803290478617E-2</v>
      </c>
      <c r="BH259" s="456">
        <f t="shared" si="753"/>
        <v>3.9940397178227243</v>
      </c>
      <c r="BI259" s="456">
        <f t="shared" si="682"/>
        <v>4.0250000000000001E-2</v>
      </c>
      <c r="BJ259" s="456">
        <f t="shared" si="683"/>
        <v>1.1119464034972004</v>
      </c>
      <c r="BK259">
        <f t="shared" si="684"/>
        <v>2.1553664616315873E-2</v>
      </c>
      <c r="BL259" s="144">
        <f t="shared" si="685"/>
        <v>61.803664616315878</v>
      </c>
      <c r="BM259" s="456">
        <f t="shared" si="754"/>
        <v>5.2822963647967365</v>
      </c>
      <c r="BN259" s="144">
        <f t="shared" si="686"/>
        <v>5282.2963647967363</v>
      </c>
      <c r="BO259" s="456">
        <f t="shared" si="635"/>
        <v>1.204</v>
      </c>
      <c r="BR259" s="144">
        <f t="shared" si="687"/>
        <v>1204</v>
      </c>
      <c r="BS259" s="456">
        <f t="shared" si="688"/>
        <v>8.1461103838891727E-2</v>
      </c>
      <c r="BT259" s="456">
        <f t="shared" si="689"/>
        <v>0.21574947070877812</v>
      </c>
      <c r="BU259" s="456">
        <f t="shared" si="690"/>
        <v>20.616358641976767</v>
      </c>
      <c r="BV259" s="456"/>
      <c r="BW259" s="456">
        <f t="shared" si="691"/>
        <v>2.2290793091075241</v>
      </c>
      <c r="BX259" s="144">
        <f t="shared" si="692"/>
        <v>23142.648525631961</v>
      </c>
      <c r="BY259" s="150">
        <f t="shared" si="693"/>
        <v>29.584262114858682</v>
      </c>
      <c r="BZ259" s="5">
        <f t="shared" si="694"/>
        <v>51.6</v>
      </c>
      <c r="CA259" s="150">
        <f t="shared" si="695"/>
        <v>0.63559116823648454</v>
      </c>
      <c r="CB259" s="5">
        <f t="shared" si="696"/>
        <v>63.559116823648452</v>
      </c>
      <c r="CE259" s="59">
        <f t="shared" si="755"/>
        <v>-50</v>
      </c>
      <c r="CF259">
        <f t="shared" si="756"/>
        <v>-50</v>
      </c>
      <c r="CG259" s="150">
        <f t="shared" si="757"/>
        <v>0.43431171601358703</v>
      </c>
      <c r="CI259" s="147">
        <v>43</v>
      </c>
      <c r="CJ259" s="188">
        <f t="shared" si="697"/>
        <v>1.72</v>
      </c>
      <c r="CK259" s="188"/>
      <c r="CL259" s="188">
        <f t="shared" si="639"/>
        <v>51.6</v>
      </c>
      <c r="CM259" s="465">
        <f t="shared" si="640"/>
        <v>48</v>
      </c>
      <c r="CN259" s="379">
        <f t="shared" si="641"/>
        <v>30.4</v>
      </c>
      <c r="CO259" s="379">
        <f t="shared" si="642"/>
        <v>78.400000000000006</v>
      </c>
      <c r="CP259" s="379"/>
      <c r="CQ259" s="188">
        <f t="shared" si="643"/>
        <v>0.38775510204081626</v>
      </c>
      <c r="CR259" s="149">
        <f t="shared" si="644"/>
        <v>284.85494809142222</v>
      </c>
      <c r="CS259" s="149">
        <f t="shared" si="645"/>
        <v>51.6</v>
      </c>
      <c r="CT259" s="188">
        <f t="shared" si="646"/>
        <v>9.4951649363807409</v>
      </c>
      <c r="CU259" s="188">
        <f t="shared" si="647"/>
        <v>30</v>
      </c>
      <c r="CV259" s="188"/>
      <c r="CW259" s="149">
        <f t="shared" si="648"/>
        <v>374.88414220700639</v>
      </c>
      <c r="CX259" s="149">
        <f t="shared" si="649"/>
        <v>30</v>
      </c>
      <c r="CY259" s="188">
        <f t="shared" si="650"/>
        <v>5.544736842105265</v>
      </c>
      <c r="CZ259" s="188">
        <f t="shared" si="651"/>
        <v>0.54292214912280723</v>
      </c>
      <c r="DA259" s="188">
        <f t="shared" si="652"/>
        <v>0.85724549861495869</v>
      </c>
      <c r="DB259" s="172">
        <f t="shared" si="653"/>
        <v>350</v>
      </c>
      <c r="DC259" s="379">
        <f t="shared" si="654"/>
        <v>350</v>
      </c>
      <c r="DE259" s="188">
        <f t="shared" si="655"/>
        <v>11.314434588425037</v>
      </c>
      <c r="DF259" s="150">
        <f t="shared" si="656"/>
        <v>1.7492711370262393</v>
      </c>
      <c r="DG259" s="150">
        <f t="shared" si="657"/>
        <v>3.463602425028073</v>
      </c>
      <c r="DH259" s="150"/>
      <c r="DI259" s="150">
        <f t="shared" si="658"/>
        <v>0.93700159489633172</v>
      </c>
      <c r="DJ259" s="314">
        <f t="shared" si="659"/>
        <v>605.76204255319158</v>
      </c>
      <c r="DK259" s="456">
        <f t="shared" si="660"/>
        <v>0.99378957034459414</v>
      </c>
      <c r="DM259" s="150">
        <f t="shared" si="661"/>
        <v>7.9732074144702976</v>
      </c>
      <c r="DN259" s="150">
        <f t="shared" si="662"/>
        <v>7.9732074144702976</v>
      </c>
      <c r="DO259" s="150">
        <f t="shared" si="663"/>
        <v>2.6167417436031384</v>
      </c>
      <c r="DQ259" s="314">
        <f t="shared" si="664"/>
        <v>1720</v>
      </c>
      <c r="DR259" s="144">
        <f t="shared" si="665"/>
        <v>350</v>
      </c>
      <c r="DT259">
        <f t="shared" si="666"/>
        <v>1720</v>
      </c>
      <c r="DU259">
        <f t="shared" si="667"/>
        <v>350</v>
      </c>
      <c r="DW259" s="5">
        <f t="shared" si="668"/>
        <v>2.8571428571428572</v>
      </c>
      <c r="DX259" s="5">
        <f t="shared" si="669"/>
        <v>0.78070989266688329</v>
      </c>
      <c r="DY259" s="5">
        <f t="shared" si="670"/>
        <v>2.0764329644759738</v>
      </c>
      <c r="DZ259" s="5"/>
      <c r="EA259" s="150">
        <f t="shared" si="671"/>
        <v>0.27324846243340917</v>
      </c>
      <c r="EB259" s="150">
        <f t="shared" si="698"/>
        <v>52.288000000000004</v>
      </c>
      <c r="EC259" s="150">
        <f t="shared" si="699"/>
        <v>2.8972703739018155</v>
      </c>
      <c r="ED259" s="150">
        <f t="shared" si="700"/>
        <v>18.047331885557732</v>
      </c>
      <c r="EE259" s="144">
        <f t="shared" si="672"/>
        <v>4.4760700512901304</v>
      </c>
      <c r="EF259" s="5">
        <f t="shared" si="673"/>
        <v>1.3130384922421598</v>
      </c>
      <c r="EH259" s="150">
        <f t="shared" si="701"/>
        <v>2.4063084604379625</v>
      </c>
      <c r="EI259" s="150">
        <f t="shared" si="702"/>
        <v>3.9243290404789017</v>
      </c>
      <c r="EK259" s="456">
        <f t="shared" si="703"/>
        <v>6.9483844881303811E-2</v>
      </c>
      <c r="EL259" s="456">
        <f t="shared" si="704"/>
        <v>4.1569114176082342</v>
      </c>
      <c r="EM259" s="456">
        <f t="shared" si="705"/>
        <v>4.0250000000000001E-2</v>
      </c>
      <c r="EN259" s="456">
        <f t="shared" si="706"/>
        <v>1.1132956800000005</v>
      </c>
      <c r="EO259">
        <f t="shared" si="707"/>
        <v>2.1600000000000001E-2</v>
      </c>
      <c r="EP259" s="144">
        <f t="shared" si="708"/>
        <v>61.85</v>
      </c>
      <c r="EQ259" s="144"/>
      <c r="ER259" s="144">
        <f t="shared" si="709"/>
        <v>5401.5409424895388</v>
      </c>
      <c r="ES259" s="456">
        <f t="shared" si="710"/>
        <v>1.204</v>
      </c>
      <c r="EV259" s="144">
        <f t="shared" si="711"/>
        <v>1204</v>
      </c>
      <c r="EW259" s="456">
        <f t="shared" si="712"/>
        <v>8.1064485694854457E-2</v>
      </c>
      <c r="EX259" s="456">
        <f t="shared" si="713"/>
        <v>0.21560501785124481</v>
      </c>
      <c r="EY259" s="456">
        <f t="shared" si="714"/>
        <v>20.569454295438064</v>
      </c>
      <c r="EZ259" s="456"/>
      <c r="FA259" s="456">
        <f t="shared" si="715"/>
        <v>2.2250212765957449</v>
      </c>
      <c r="FB259" s="144">
        <f t="shared" si="716"/>
        <v>23091.145075579905</v>
      </c>
      <c r="FC259" s="150">
        <f t="shared" si="717"/>
        <v>29.696686018069446</v>
      </c>
      <c r="FD259" s="5">
        <f t="shared" si="718"/>
        <v>51.6</v>
      </c>
      <c r="FE259" s="150">
        <f t="shared" si="719"/>
        <v>0.63471221924754839</v>
      </c>
      <c r="FF259" s="5">
        <f t="shared" si="720"/>
        <v>63.471221924754836</v>
      </c>
      <c r="FI259" s="59">
        <f t="shared" si="674"/>
        <v>-50</v>
      </c>
      <c r="FJ259">
        <f t="shared" si="675"/>
        <v>-50</v>
      </c>
      <c r="FL259">
        <f t="shared" si="758"/>
        <v>0.43144494068433026</v>
      </c>
    </row>
    <row r="260" spans="5:168">
      <c r="E260" s="147">
        <v>44</v>
      </c>
      <c r="F260" s="188">
        <f t="shared" si="759"/>
        <v>1.76</v>
      </c>
      <c r="G260" s="188"/>
      <c r="H260" s="188">
        <f t="shared" si="725"/>
        <v>52.8</v>
      </c>
      <c r="I260" s="465">
        <f t="shared" si="726"/>
        <v>47.895842065208939</v>
      </c>
      <c r="J260" s="149">
        <f t="shared" si="727"/>
        <v>30.456085041810571</v>
      </c>
      <c r="K260" s="149">
        <f t="shared" si="728"/>
        <v>78.351927107019506</v>
      </c>
      <c r="L260" s="379"/>
      <c r="M260" s="188">
        <f t="shared" si="729"/>
        <v>0.38871172631445844</v>
      </c>
      <c r="N260" s="149">
        <f t="shared" si="730"/>
        <v>284.93806113483248</v>
      </c>
      <c r="O260" s="149">
        <f t="shared" si="598"/>
        <v>52.8</v>
      </c>
      <c r="P260" s="188">
        <f t="shared" si="731"/>
        <v>9.4979353711610823</v>
      </c>
      <c r="Q260" s="188">
        <f t="shared" si="732"/>
        <v>30</v>
      </c>
      <c r="R260" s="188"/>
      <c r="S260" s="149">
        <f t="shared" si="733"/>
        <v>364.48312740100278</v>
      </c>
      <c r="T260" s="149">
        <f t="shared" si="734"/>
        <v>30</v>
      </c>
      <c r="U260" s="188">
        <f t="shared" si="735"/>
        <v>5.6720292643242987</v>
      </c>
      <c r="V260" s="188">
        <f t="shared" si="736"/>
        <v>0.5565939837956978</v>
      </c>
      <c r="W260" s="188">
        <f t="shared" si="737"/>
        <v>0.87531071395837523</v>
      </c>
      <c r="X260" s="172">
        <f t="shared" si="738"/>
        <v>350</v>
      </c>
      <c r="Y260" s="379">
        <f t="shared" si="678"/>
        <v>350</v>
      </c>
      <c r="AA260" s="188">
        <f t="shared" si="739"/>
        <v>11.317651184110257</v>
      </c>
      <c r="AB260" s="150">
        <f t="shared" si="740"/>
        <v>1.7465462318053719</v>
      </c>
      <c r="AC260" s="150">
        <f t="shared" si="741"/>
        <v>3.4591901799866909</v>
      </c>
      <c r="AD260" s="150"/>
      <c r="AE260" s="150">
        <f t="shared" si="742"/>
        <v>0.93527610149971852</v>
      </c>
      <c r="AF260" s="314">
        <f t="shared" si="743"/>
        <v>620.99309398442369</v>
      </c>
      <c r="AG260" s="456">
        <f t="shared" si="744"/>
        <v>0.99195950159061053</v>
      </c>
      <c r="AI260" s="150">
        <f t="shared" si="745"/>
        <v>8.0728227831565338</v>
      </c>
      <c r="AJ260" s="150">
        <f t="shared" si="746"/>
        <v>8.0728227831565338</v>
      </c>
      <c r="AK260" s="150">
        <f t="shared" si="747"/>
        <v>2.6905309055929432</v>
      </c>
      <c r="AM260" s="314">
        <f t="shared" si="748"/>
        <v>1760</v>
      </c>
      <c r="AN260" s="144">
        <f t="shared" si="749"/>
        <v>350</v>
      </c>
      <c r="AP260">
        <f t="shared" si="750"/>
        <v>1760</v>
      </c>
      <c r="AQ260">
        <f t="shared" si="751"/>
        <v>350</v>
      </c>
      <c r="AS260" s="5">
        <f t="shared" si="599"/>
        <v>2.8571428571428572</v>
      </c>
      <c r="AT260" s="5">
        <f t="shared" si="752"/>
        <v>0.7921829003273041</v>
      </c>
      <c r="AU260" s="5">
        <f t="shared" si="721"/>
        <v>2.064959956815553</v>
      </c>
      <c r="AV260" s="5"/>
      <c r="AW260" s="150">
        <f t="shared" si="722"/>
        <v>0.27726401511455645</v>
      </c>
      <c r="AX260" s="150">
        <f t="shared" si="630"/>
        <v>53.602709673586617</v>
      </c>
      <c r="AY260" s="150">
        <f t="shared" si="631"/>
        <v>2.9172597624951426</v>
      </c>
      <c r="AZ260" s="150">
        <f t="shared" si="632"/>
        <v>18.374335519487655</v>
      </c>
      <c r="BA260" s="144">
        <f t="shared" si="723"/>
        <v>4.6474730152535173</v>
      </c>
      <c r="BB260" s="5">
        <f t="shared" si="724"/>
        <v>1.3390562547520837</v>
      </c>
      <c r="BD260" s="150">
        <f t="shared" si="679"/>
        <v>2.4542090061863107</v>
      </c>
      <c r="BE260" s="150">
        <f t="shared" si="680"/>
        <v>3.9623663868162255</v>
      </c>
      <c r="BG260" s="456">
        <f t="shared" si="681"/>
        <v>7.2277702152551984E-2</v>
      </c>
      <c r="BH260" s="456">
        <f t="shared" si="753"/>
        <v>4.0402293071459372</v>
      </c>
      <c r="BI260" s="456">
        <f t="shared" si="682"/>
        <v>4.0250000000000001E-2</v>
      </c>
      <c r="BJ260" s="456">
        <f t="shared" si="683"/>
        <v>1.1119308091906224</v>
      </c>
      <c r="BK260">
        <f t="shared" si="684"/>
        <v>2.1553128929344023E-2</v>
      </c>
      <c r="BL260" s="144">
        <f t="shared" si="685"/>
        <v>61.803128929344027</v>
      </c>
      <c r="BM260" s="456">
        <f t="shared" si="754"/>
        <v>5.3355817140900257</v>
      </c>
      <c r="BN260" s="144">
        <f t="shared" si="686"/>
        <v>5335.5817140900253</v>
      </c>
      <c r="BO260" s="456">
        <f t="shared" si="635"/>
        <v>1.232</v>
      </c>
      <c r="BR260" s="144">
        <f t="shared" si="687"/>
        <v>1232</v>
      </c>
      <c r="BS260" s="456">
        <f t="shared" si="688"/>
        <v>8.4323985844643984E-2</v>
      </c>
      <c r="BT260" s="456">
        <f t="shared" si="689"/>
        <v>0.21980486336719499</v>
      </c>
      <c r="BU260" s="456">
        <f t="shared" si="690"/>
        <v>21.217961756602723</v>
      </c>
      <c r="BV260" s="456"/>
      <c r="BW260" s="456">
        <f t="shared" si="691"/>
        <v>2.2809663690887922</v>
      </c>
      <c r="BX260" s="144">
        <f t="shared" si="692"/>
        <v>23803.056974903353</v>
      </c>
      <c r="BY260" s="150">
        <f t="shared" si="693"/>
        <v>30.321297922321808</v>
      </c>
      <c r="BZ260" s="5">
        <f t="shared" si="694"/>
        <v>52.8</v>
      </c>
      <c r="CA260" s="150">
        <f t="shared" si="695"/>
        <v>0.6352162600894713</v>
      </c>
      <c r="CB260" s="5">
        <f t="shared" si="696"/>
        <v>63.521626008947131</v>
      </c>
      <c r="CE260" s="59">
        <f t="shared" si="755"/>
        <v>-50</v>
      </c>
      <c r="CF260">
        <f t="shared" si="756"/>
        <v>-50</v>
      </c>
      <c r="CG260" s="150">
        <f t="shared" si="757"/>
        <v>0.43933282751614783</v>
      </c>
      <c r="CI260" s="147">
        <v>44</v>
      </c>
      <c r="CJ260" s="188">
        <f t="shared" si="697"/>
        <v>1.76</v>
      </c>
      <c r="CK260" s="188"/>
      <c r="CL260" s="188">
        <f t="shared" si="639"/>
        <v>52.8</v>
      </c>
      <c r="CM260" s="465">
        <f t="shared" si="640"/>
        <v>48</v>
      </c>
      <c r="CN260" s="379">
        <f t="shared" si="641"/>
        <v>30.4</v>
      </c>
      <c r="CO260" s="379">
        <f t="shared" si="642"/>
        <v>78.400000000000006</v>
      </c>
      <c r="CP260" s="379"/>
      <c r="CQ260" s="188">
        <f t="shared" si="643"/>
        <v>0.38775510204081626</v>
      </c>
      <c r="CR260" s="149">
        <f t="shared" si="644"/>
        <v>284.85494809142222</v>
      </c>
      <c r="CS260" s="149">
        <f t="shared" si="645"/>
        <v>52.8</v>
      </c>
      <c r="CT260" s="188">
        <f t="shared" si="646"/>
        <v>9.4951649363807409</v>
      </c>
      <c r="CU260" s="188">
        <f t="shared" si="647"/>
        <v>30</v>
      </c>
      <c r="CV260" s="188"/>
      <c r="CW260" s="149">
        <f t="shared" si="648"/>
        <v>365.27564604335976</v>
      </c>
      <c r="CX260" s="149">
        <f t="shared" si="649"/>
        <v>30</v>
      </c>
      <c r="CY260" s="188">
        <f t="shared" si="650"/>
        <v>5.673684210526317</v>
      </c>
      <c r="CZ260" s="188">
        <f t="shared" si="651"/>
        <v>0.55554824561403526</v>
      </c>
      <c r="DA260" s="188">
        <f t="shared" si="652"/>
        <v>0.87718144044321356</v>
      </c>
      <c r="DB260" s="172">
        <f t="shared" si="653"/>
        <v>350</v>
      </c>
      <c r="DC260" s="379">
        <f t="shared" si="654"/>
        <v>350</v>
      </c>
      <c r="DE260" s="188">
        <f t="shared" si="655"/>
        <v>11.314434588425037</v>
      </c>
      <c r="DF260" s="150">
        <f t="shared" si="656"/>
        <v>1.7492711370262393</v>
      </c>
      <c r="DG260" s="150">
        <f t="shared" si="657"/>
        <v>3.463602425028073</v>
      </c>
      <c r="DH260" s="150"/>
      <c r="DI260" s="150">
        <f t="shared" si="658"/>
        <v>0.93700159489633172</v>
      </c>
      <c r="DJ260" s="314">
        <f t="shared" si="659"/>
        <v>619.84953191489365</v>
      </c>
      <c r="DK260" s="456">
        <f t="shared" si="660"/>
        <v>0.99378957034459414</v>
      </c>
      <c r="DM260" s="150">
        <f t="shared" si="661"/>
        <v>8.0653862850486995</v>
      </c>
      <c r="DN260" s="150">
        <f t="shared" si="662"/>
        <v>8.0653862850486995</v>
      </c>
      <c r="DO260" s="150">
        <f t="shared" si="663"/>
        <v>2.6850223884760291</v>
      </c>
      <c r="DQ260" s="314">
        <f t="shared" si="664"/>
        <v>1760</v>
      </c>
      <c r="DR260" s="144">
        <f t="shared" si="665"/>
        <v>350</v>
      </c>
      <c r="DT260">
        <f t="shared" si="666"/>
        <v>1760</v>
      </c>
      <c r="DU260">
        <f t="shared" si="667"/>
        <v>350</v>
      </c>
      <c r="DW260" s="5">
        <f t="shared" si="668"/>
        <v>2.8571428571428572</v>
      </c>
      <c r="DX260" s="5">
        <f t="shared" si="669"/>
        <v>0.78973574041101846</v>
      </c>
      <c r="DY260" s="5">
        <f t="shared" si="670"/>
        <v>2.0674071167318386</v>
      </c>
      <c r="DZ260" s="5"/>
      <c r="EA260" s="150">
        <f t="shared" si="671"/>
        <v>0.27640750914385648</v>
      </c>
      <c r="EB260" s="150">
        <f t="shared" si="698"/>
        <v>53.503999999999984</v>
      </c>
      <c r="EC260" s="150">
        <f t="shared" si="699"/>
        <v>2.9180264758576833</v>
      </c>
      <c r="ED260" s="150">
        <f t="shared" si="700"/>
        <v>18.335680105258049</v>
      </c>
      <c r="EE260" s="144">
        <f t="shared" si="672"/>
        <v>4.6331163437446419</v>
      </c>
      <c r="EF260" s="5">
        <f t="shared" si="673"/>
        <v>1.3377340167088363</v>
      </c>
      <c r="EH260" s="150">
        <f t="shared" si="701"/>
        <v>2.4481581165894601</v>
      </c>
      <c r="EI260" s="150">
        <f t="shared" si="702"/>
        <v>3.9610613659970433</v>
      </c>
      <c r="EK260" s="456">
        <f t="shared" si="703"/>
        <v>7.1921737965874227E-2</v>
      </c>
      <c r="EL260" s="456">
        <f t="shared" si="704"/>
        <v>4.2049697935729906</v>
      </c>
      <c r="EM260" s="456">
        <f t="shared" si="705"/>
        <v>4.0250000000000001E-2</v>
      </c>
      <c r="EN260" s="456">
        <f t="shared" si="706"/>
        <v>1.1132956800000005</v>
      </c>
      <c r="EO260">
        <f t="shared" si="707"/>
        <v>2.1600000000000001E-2</v>
      </c>
      <c r="EP260" s="144">
        <f t="shared" si="708"/>
        <v>61.85</v>
      </c>
      <c r="EQ260" s="144"/>
      <c r="ER260" s="144">
        <f t="shared" si="709"/>
        <v>5452.0372115388654</v>
      </c>
      <c r="ES260" s="456">
        <f t="shared" si="710"/>
        <v>1.232</v>
      </c>
      <c r="EV260" s="144">
        <f t="shared" si="711"/>
        <v>1232</v>
      </c>
      <c r="EW260" s="456">
        <f t="shared" si="712"/>
        <v>8.3908694293519936E-2</v>
      </c>
      <c r="EX260" s="456">
        <f t="shared" si="713"/>
        <v>0.21966010003272107</v>
      </c>
      <c r="EY260" s="456">
        <f t="shared" si="714"/>
        <v>21.16913176835353</v>
      </c>
      <c r="EZ260" s="456"/>
      <c r="FA260" s="456">
        <f t="shared" si="715"/>
        <v>2.2767659574468087</v>
      </c>
      <c r="FB260" s="144">
        <f t="shared" si="716"/>
        <v>23749.466520126582</v>
      </c>
      <c r="FC260" s="150">
        <f t="shared" si="717"/>
        <v>30.433503731665446</v>
      </c>
      <c r="FD260" s="5">
        <f t="shared" si="718"/>
        <v>52.8</v>
      </c>
      <c r="FE260" s="150">
        <f t="shared" si="719"/>
        <v>0.6343599347952561</v>
      </c>
      <c r="FF260" s="5">
        <f t="shared" si="720"/>
        <v>63.435993479525607</v>
      </c>
      <c r="FI260" s="59">
        <f t="shared" si="674"/>
        <v>-50</v>
      </c>
      <c r="FJ260">
        <f t="shared" si="675"/>
        <v>-50</v>
      </c>
      <c r="FL260">
        <f t="shared" si="758"/>
        <v>0.43643290917451028</v>
      </c>
    </row>
    <row r="261" spans="5:168">
      <c r="E261" s="147">
        <v>45</v>
      </c>
      <c r="F261" s="188">
        <f t="shared" si="759"/>
        <v>1.8</v>
      </c>
      <c r="G261" s="188"/>
      <c r="H261" s="188">
        <f t="shared" si="725"/>
        <v>54</v>
      </c>
      <c r="I261" s="465">
        <f t="shared" si="726"/>
        <v>47.894665102034118</v>
      </c>
      <c r="J261" s="149">
        <f t="shared" si="727"/>
        <v>30.456718791212399</v>
      </c>
      <c r="K261" s="149">
        <f t="shared" si="728"/>
        <v>78.351383893246521</v>
      </c>
      <c r="L261" s="379"/>
      <c r="M261" s="188">
        <f t="shared" si="729"/>
        <v>0.38872254262663147</v>
      </c>
      <c r="N261" s="149">
        <f t="shared" si="730"/>
        <v>284.93898774699619</v>
      </c>
      <c r="O261" s="149">
        <f t="shared" si="598"/>
        <v>54</v>
      </c>
      <c r="P261" s="188">
        <f t="shared" si="731"/>
        <v>9.4979662582332072</v>
      </c>
      <c r="Q261" s="188">
        <f t="shared" si="732"/>
        <v>30</v>
      </c>
      <c r="R261" s="188"/>
      <c r="S261" s="149">
        <f t="shared" si="733"/>
        <v>355.31293920668872</v>
      </c>
      <c r="T261" s="149">
        <f t="shared" si="734"/>
        <v>30</v>
      </c>
      <c r="U261" s="188">
        <f t="shared" si="735"/>
        <v>5.800920155869842</v>
      </c>
      <c r="V261" s="188">
        <f t="shared" si="736"/>
        <v>0.56925598445055881</v>
      </c>
      <c r="W261" s="188">
        <f t="shared" si="737"/>
        <v>0.89518260057793109</v>
      </c>
      <c r="X261" s="172">
        <f t="shared" si="738"/>
        <v>350</v>
      </c>
      <c r="Y261" s="379">
        <f t="shared" si="678"/>
        <v>350</v>
      </c>
      <c r="AA261" s="188">
        <f t="shared" si="739"/>
        <v>11.317687035593307</v>
      </c>
      <c r="AB261" s="150">
        <f t="shared" si="740"/>
        <v>1.7465154218331695</v>
      </c>
      <c r="AC261" s="150">
        <f t="shared" si="741"/>
        <v>3.4591401157503818</v>
      </c>
      <c r="AD261" s="150"/>
      <c r="AE261" s="150">
        <f t="shared" si="742"/>
        <v>0.93525664009043374</v>
      </c>
      <c r="AF261" s="314">
        <f t="shared" si="743"/>
        <v>635.11978909079312</v>
      </c>
      <c r="AG261" s="456">
        <f t="shared" si="744"/>
        <v>0.99193886070197512</v>
      </c>
      <c r="AI261" s="150">
        <f t="shared" si="745"/>
        <v>8.164128955984717</v>
      </c>
      <c r="AJ261" s="150">
        <f t="shared" si="746"/>
        <v>8.164128955984717</v>
      </c>
      <c r="AK261" s="150">
        <f t="shared" si="747"/>
        <v>2.7581651076878937</v>
      </c>
      <c r="AM261" s="314">
        <f t="shared" si="748"/>
        <v>1800</v>
      </c>
      <c r="AN261" s="144">
        <f t="shared" si="749"/>
        <v>350</v>
      </c>
      <c r="AP261">
        <f t="shared" si="750"/>
        <v>1800</v>
      </c>
      <c r="AQ261">
        <f t="shared" si="751"/>
        <v>350</v>
      </c>
      <c r="AS261" s="5">
        <f t="shared" si="599"/>
        <v>2.8571428571428572</v>
      </c>
      <c r="AT261" s="5">
        <f t="shared" si="752"/>
        <v>0.80116242615711508</v>
      </c>
      <c r="AU261" s="5">
        <f t="shared" si="721"/>
        <v>2.0559804309857421</v>
      </c>
      <c r="AV261" s="5"/>
      <c r="AW261" s="150">
        <f t="shared" si="722"/>
        <v>0.28040684915499026</v>
      </c>
      <c r="AX261" s="150">
        <f t="shared" si="630"/>
        <v>54.822093824182318</v>
      </c>
      <c r="AY261" s="150">
        <f t="shared" si="631"/>
        <v>2.937425639671011</v>
      </c>
      <c r="AZ261" s="150">
        <f t="shared" si="632"/>
        <v>18.663312896772542</v>
      </c>
      <c r="BA261" s="144">
        <f t="shared" si="723"/>
        <v>4.8069745569426914</v>
      </c>
      <c r="BB261" s="5">
        <f t="shared" si="724"/>
        <v>1.3635676030097488</v>
      </c>
      <c r="BD261" s="150">
        <f t="shared" si="679"/>
        <v>2.4959940016065771</v>
      </c>
      <c r="BE261" s="150">
        <f t="shared" si="680"/>
        <v>3.9984598468985557</v>
      </c>
      <c r="BG261" s="456">
        <f t="shared" si="681"/>
        <v>7.4759832672672166E-2</v>
      </c>
      <c r="BH261" s="456">
        <f t="shared" si="753"/>
        <v>4.0858972476748985</v>
      </c>
      <c r="BI261" s="456">
        <f t="shared" si="682"/>
        <v>4.0250000000000001E-2</v>
      </c>
      <c r="BJ261" s="456">
        <f t="shared" si="683"/>
        <v>1.1119153912153756</v>
      </c>
      <c r="BK261">
        <f t="shared" si="684"/>
        <v>2.1552599295915353E-2</v>
      </c>
      <c r="BL261" s="144">
        <f t="shared" si="685"/>
        <v>61.802599295915357</v>
      </c>
      <c r="BM261" s="456">
        <f t="shared" si="754"/>
        <v>5.3884727238251635</v>
      </c>
      <c r="BN261" s="144">
        <f t="shared" si="686"/>
        <v>5388.4727238251635</v>
      </c>
      <c r="BO261" s="456">
        <f t="shared" si="635"/>
        <v>1.26</v>
      </c>
      <c r="BR261" s="144">
        <f t="shared" si="687"/>
        <v>1260</v>
      </c>
      <c r="BS261" s="456">
        <f t="shared" si="688"/>
        <v>8.7219804784784194E-2</v>
      </c>
      <c r="BT261" s="456">
        <f t="shared" si="689"/>
        <v>0.2238275360616403</v>
      </c>
      <c r="BU261" s="456">
        <f t="shared" si="690"/>
        <v>21.823015199003059</v>
      </c>
      <c r="BV261" s="456"/>
      <c r="BW261" s="456">
        <f t="shared" si="691"/>
        <v>2.3328550563481838</v>
      </c>
      <c r="BX261" s="144">
        <f t="shared" si="692"/>
        <v>24466.917596197669</v>
      </c>
      <c r="BY261" s="150">
        <f t="shared" si="693"/>
        <v>31.061292667056527</v>
      </c>
      <c r="BZ261" s="5">
        <f t="shared" si="694"/>
        <v>54</v>
      </c>
      <c r="CA261" s="150">
        <f t="shared" si="695"/>
        <v>0.63483634338082084</v>
      </c>
      <c r="CB261" s="5">
        <f t="shared" si="696"/>
        <v>63.483634338082084</v>
      </c>
      <c r="CE261" s="59">
        <f t="shared" si="755"/>
        <v>-50</v>
      </c>
      <c r="CF261">
        <f t="shared" si="756"/>
        <v>-50</v>
      </c>
      <c r="CG261" s="150">
        <f t="shared" si="757"/>
        <v>0.44429719783046123</v>
      </c>
      <c r="CI261" s="147">
        <v>45</v>
      </c>
      <c r="CJ261" s="188">
        <f t="shared" si="697"/>
        <v>1.8</v>
      </c>
      <c r="CK261" s="188"/>
      <c r="CL261" s="188">
        <f t="shared" si="639"/>
        <v>54</v>
      </c>
      <c r="CM261" s="465">
        <f t="shared" si="640"/>
        <v>48</v>
      </c>
      <c r="CN261" s="379">
        <f t="shared" si="641"/>
        <v>30.4</v>
      </c>
      <c r="CO261" s="379">
        <f t="shared" si="642"/>
        <v>78.400000000000006</v>
      </c>
      <c r="CP261" s="379"/>
      <c r="CQ261" s="188">
        <f t="shared" si="643"/>
        <v>0.38775510204081626</v>
      </c>
      <c r="CR261" s="149">
        <f t="shared" si="644"/>
        <v>284.85494809142222</v>
      </c>
      <c r="CS261" s="149">
        <f t="shared" si="645"/>
        <v>54</v>
      </c>
      <c r="CT261" s="188">
        <f t="shared" si="646"/>
        <v>9.4951649363807409</v>
      </c>
      <c r="CU261" s="188">
        <f t="shared" si="647"/>
        <v>30</v>
      </c>
      <c r="CV261" s="188"/>
      <c r="CW261" s="149">
        <f t="shared" si="648"/>
        <v>356.09426184978474</v>
      </c>
      <c r="CX261" s="149">
        <f t="shared" si="649"/>
        <v>30</v>
      </c>
      <c r="CY261" s="188">
        <f t="shared" si="650"/>
        <v>5.8026315789473699</v>
      </c>
      <c r="CZ261" s="188">
        <f t="shared" si="651"/>
        <v>0.56817434210526319</v>
      </c>
      <c r="DA261" s="188">
        <f t="shared" si="652"/>
        <v>0.89711738227146831</v>
      </c>
      <c r="DB261" s="172">
        <f t="shared" si="653"/>
        <v>350</v>
      </c>
      <c r="DC261" s="379">
        <f t="shared" si="654"/>
        <v>350</v>
      </c>
      <c r="DE261" s="188">
        <f t="shared" si="655"/>
        <v>11.314434588425037</v>
      </c>
      <c r="DF261" s="150">
        <f t="shared" si="656"/>
        <v>1.7492711370262393</v>
      </c>
      <c r="DG261" s="150">
        <f t="shared" si="657"/>
        <v>3.463602425028073</v>
      </c>
      <c r="DH261" s="150"/>
      <c r="DI261" s="150">
        <f t="shared" si="658"/>
        <v>0.93700159489633172</v>
      </c>
      <c r="DJ261" s="314">
        <f t="shared" si="659"/>
        <v>633.93702127659571</v>
      </c>
      <c r="DK261" s="456">
        <f t="shared" si="660"/>
        <v>0.99378957034459414</v>
      </c>
      <c r="DM261" s="150">
        <f t="shared" si="661"/>
        <v>8.1565234861391289</v>
      </c>
      <c r="DN261" s="150">
        <f t="shared" si="662"/>
        <v>8.1565234861391289</v>
      </c>
      <c r="DO261" s="150">
        <f t="shared" si="663"/>
        <v>2.7525314263207914</v>
      </c>
      <c r="DQ261" s="314">
        <f t="shared" si="664"/>
        <v>1800</v>
      </c>
      <c r="DR261" s="144">
        <f t="shared" si="665"/>
        <v>350</v>
      </c>
      <c r="DT261">
        <f t="shared" si="666"/>
        <v>1800</v>
      </c>
      <c r="DU261">
        <f t="shared" si="667"/>
        <v>350</v>
      </c>
      <c r="DW261" s="5">
        <f t="shared" si="668"/>
        <v>2.8571428571428572</v>
      </c>
      <c r="DX261" s="5">
        <f t="shared" si="669"/>
        <v>0.79865959135112297</v>
      </c>
      <c r="DY261" s="5">
        <f t="shared" si="670"/>
        <v>2.0584832657917342</v>
      </c>
      <c r="DZ261" s="5"/>
      <c r="EA261" s="150">
        <f t="shared" si="671"/>
        <v>0.27953085697289304</v>
      </c>
      <c r="EB261" s="150">
        <f t="shared" si="698"/>
        <v>54.72</v>
      </c>
      <c r="EC261" s="150">
        <f t="shared" si="699"/>
        <v>2.9382617430695648</v>
      </c>
      <c r="ED261" s="150">
        <f t="shared" si="700"/>
        <v>18.62325578348058</v>
      </c>
      <c r="EE261" s="144">
        <f t="shared" si="672"/>
        <v>4.7919575481067378</v>
      </c>
      <c r="EF261" s="5">
        <f t="shared" si="673"/>
        <v>1.3622315729504124</v>
      </c>
      <c r="EH261" s="150">
        <f t="shared" si="701"/>
        <v>2.4897706419398831</v>
      </c>
      <c r="EI261" s="150">
        <f t="shared" si="702"/>
        <v>3.9971657388513839</v>
      </c>
      <c r="EK261" s="456">
        <f t="shared" si="703"/>
        <v>7.4387494193588852E-2</v>
      </c>
      <c r="EL261" s="456">
        <f t="shared" si="704"/>
        <v>4.2524850847334967</v>
      </c>
      <c r="EM261" s="456">
        <f t="shared" si="705"/>
        <v>4.0250000000000001E-2</v>
      </c>
      <c r="EN261" s="456">
        <f t="shared" si="706"/>
        <v>1.1132956800000005</v>
      </c>
      <c r="EO261">
        <f t="shared" si="707"/>
        <v>2.1600000000000001E-2</v>
      </c>
      <c r="EP261" s="144">
        <f t="shared" si="708"/>
        <v>61.85</v>
      </c>
      <c r="EQ261" s="144"/>
      <c r="ER261" s="144">
        <f t="shared" si="709"/>
        <v>5502.0182589270862</v>
      </c>
      <c r="ES261" s="456">
        <f t="shared" si="710"/>
        <v>1.26</v>
      </c>
      <c r="EV261" s="144">
        <f t="shared" si="711"/>
        <v>1260</v>
      </c>
      <c r="EW261" s="456">
        <f t="shared" si="712"/>
        <v>8.6785409892520329E-2</v>
      </c>
      <c r="EX261" s="456">
        <f t="shared" si="713"/>
        <v>0.22368267521386265</v>
      </c>
      <c r="EY261" s="456">
        <f t="shared" si="714"/>
        <v>21.772226455876801</v>
      </c>
      <c r="EZ261" s="456"/>
      <c r="FA261" s="456">
        <f t="shared" si="715"/>
        <v>2.3285106382978729</v>
      </c>
      <c r="FB261" s="144">
        <f t="shared" si="716"/>
        <v>24411.205179281056</v>
      </c>
      <c r="FC261" s="150">
        <f t="shared" si="717"/>
        <v>31.17322343820814</v>
      </c>
      <c r="FD261" s="5">
        <f t="shared" si="718"/>
        <v>54</v>
      </c>
      <c r="FE261" s="150">
        <f t="shared" si="719"/>
        <v>0.63400207037104994</v>
      </c>
      <c r="FF261" s="5">
        <f t="shared" si="720"/>
        <v>63.400207037104991</v>
      </c>
      <c r="FI261" s="59">
        <f t="shared" si="674"/>
        <v>-50</v>
      </c>
      <c r="FJ261">
        <f t="shared" si="675"/>
        <v>-50</v>
      </c>
      <c r="FL261">
        <f t="shared" si="758"/>
        <v>0.44136451100983121</v>
      </c>
    </row>
    <row r="262" spans="5:168">
      <c r="E262" s="147">
        <v>46</v>
      </c>
      <c r="F262" s="188">
        <f t="shared" si="759"/>
        <v>1.84</v>
      </c>
      <c r="G262" s="188"/>
      <c r="H262" s="188">
        <f t="shared" si="725"/>
        <v>55.2</v>
      </c>
      <c r="I262" s="465">
        <f t="shared" si="726"/>
        <v>47.893501145175044</v>
      </c>
      <c r="J262" s="149">
        <f t="shared" si="727"/>
        <v>30.457345537213438</v>
      </c>
      <c r="K262" s="149">
        <f t="shared" si="728"/>
        <v>78.350846682388479</v>
      </c>
      <c r="L262" s="379"/>
      <c r="M262" s="188">
        <f t="shared" si="729"/>
        <v>0.38873323955689504</v>
      </c>
      <c r="N262" s="149">
        <f t="shared" si="730"/>
        <v>284.93990384345489</v>
      </c>
      <c r="O262" s="149">
        <f t="shared" ref="O262:O316" si="760">T262*F262</f>
        <v>55.2</v>
      </c>
      <c r="P262" s="188">
        <f t="shared" si="731"/>
        <v>9.4979967947818302</v>
      </c>
      <c r="Q262" s="188">
        <f t="shared" si="732"/>
        <v>30</v>
      </c>
      <c r="R262" s="188"/>
      <c r="S262" s="149">
        <f t="shared" si="733"/>
        <v>346.54166692561819</v>
      </c>
      <c r="T262" s="149">
        <f t="shared" si="734"/>
        <v>30</v>
      </c>
      <c r="U262" s="188">
        <f t="shared" si="735"/>
        <v>5.9298104279598816</v>
      </c>
      <c r="V262" s="188">
        <f t="shared" si="736"/>
        <v>0.58191838861250544</v>
      </c>
      <c r="W262" s="188">
        <f t="shared" si="737"/>
        <v>0.91505377503627638</v>
      </c>
      <c r="X262" s="172">
        <f t="shared" si="738"/>
        <v>350</v>
      </c>
      <c r="Y262" s="379">
        <f t="shared" si="678"/>
        <v>350</v>
      </c>
      <c r="AA262" s="188">
        <f t="shared" si="739"/>
        <v>11.31772247999649</v>
      </c>
      <c r="AB262" s="150">
        <f t="shared" si="740"/>
        <v>1.7464849519138428</v>
      </c>
      <c r="AC262" s="150">
        <f t="shared" si="741"/>
        <v>3.4590906002189055</v>
      </c>
      <c r="AD262" s="150"/>
      <c r="AE262" s="150">
        <f t="shared" si="742"/>
        <v>0.93523739454067278</v>
      </c>
      <c r="AF262" s="314">
        <f t="shared" si="743"/>
        <v>649.24692227283845</v>
      </c>
      <c r="AG262" s="456">
        <f t="shared" si="744"/>
        <v>0.99191844875525892</v>
      </c>
      <c r="AI262" s="150">
        <f t="shared" si="745"/>
        <v>8.2544279938552929</v>
      </c>
      <c r="AJ262" s="150">
        <f t="shared" si="746"/>
        <v>8.2544279938552929</v>
      </c>
      <c r="AK262" s="150">
        <f t="shared" si="747"/>
        <v>2.8250532838883204</v>
      </c>
      <c r="AM262" s="314">
        <f t="shared" si="748"/>
        <v>1840</v>
      </c>
      <c r="AN262" s="144">
        <f t="shared" si="749"/>
        <v>350</v>
      </c>
      <c r="AP262">
        <f t="shared" si="750"/>
        <v>1840</v>
      </c>
      <c r="AQ262">
        <f t="shared" si="751"/>
        <v>350</v>
      </c>
      <c r="AS262" s="5">
        <f t="shared" si="599"/>
        <v>2.8571428571428572</v>
      </c>
      <c r="AT262" s="5">
        <f t="shared" si="752"/>
        <v>0.81004333873027567</v>
      </c>
      <c r="AU262" s="5">
        <f t="shared" si="721"/>
        <v>2.0470995184125815</v>
      </c>
      <c r="AV262" s="5"/>
      <c r="AW262" s="150">
        <f t="shared" si="722"/>
        <v>0.2835151685555965</v>
      </c>
      <c r="AX262" s="150">
        <f t="shared" si="630"/>
        <v>56.041515788472722</v>
      </c>
      <c r="AY262" s="150">
        <f t="shared" si="631"/>
        <v>2.9570862249236876</v>
      </c>
      <c r="AZ262" s="150">
        <f t="shared" si="632"/>
        <v>18.951600165097982</v>
      </c>
      <c r="BA262" s="144">
        <f t="shared" si="723"/>
        <v>4.968265810879025</v>
      </c>
      <c r="BB262" s="5">
        <f t="shared" si="724"/>
        <v>1.3878819453511657</v>
      </c>
      <c r="BD262" s="150">
        <f t="shared" si="679"/>
        <v>2.5375494001913212</v>
      </c>
      <c r="BE262" s="150">
        <f t="shared" si="680"/>
        <v>4.0339439192312323</v>
      </c>
      <c r="BG262" s="456">
        <f t="shared" si="681"/>
        <v>7.7269883500936012E-2</v>
      </c>
      <c r="BH262" s="456">
        <f t="shared" si="753"/>
        <v>4.1310608342857114</v>
      </c>
      <c r="BI262" s="456">
        <f t="shared" si="682"/>
        <v>4.0250000000000001E-2</v>
      </c>
      <c r="BJ262" s="456">
        <f t="shared" si="683"/>
        <v>1.1119001437253142</v>
      </c>
      <c r="BK262">
        <f t="shared" si="684"/>
        <v>2.155207551532877E-2</v>
      </c>
      <c r="BL262" s="144">
        <f t="shared" si="685"/>
        <v>61.802075515328774</v>
      </c>
      <c r="BM262" s="456">
        <f t="shared" si="754"/>
        <v>5.4409865670616959</v>
      </c>
      <c r="BN262" s="144">
        <f t="shared" si="686"/>
        <v>5440.9865670616955</v>
      </c>
      <c r="BO262" s="456">
        <f t="shared" si="635"/>
        <v>1.288</v>
      </c>
      <c r="BR262" s="144">
        <f t="shared" si="687"/>
        <v>1288</v>
      </c>
      <c r="BS262" s="456">
        <f t="shared" si="688"/>
        <v>9.0148197417758674E-2</v>
      </c>
      <c r="BT262" s="456">
        <f t="shared" si="689"/>
        <v>0.22781784960903692</v>
      </c>
      <c r="BU262" s="456">
        <f t="shared" si="690"/>
        <v>22.431461662216432</v>
      </c>
      <c r="BV262" s="456"/>
      <c r="BW262" s="456">
        <f t="shared" si="691"/>
        <v>2.3847453527009672</v>
      </c>
      <c r="BX262" s="144">
        <f t="shared" si="692"/>
        <v>25134.173061944195</v>
      </c>
      <c r="BY262" s="150">
        <f t="shared" si="693"/>
        <v>31.804205998971486</v>
      </c>
      <c r="BZ262" s="5">
        <f t="shared" si="694"/>
        <v>55.2</v>
      </c>
      <c r="CA262" s="150">
        <f t="shared" si="695"/>
        <v>0.63445208615147353</v>
      </c>
      <c r="CB262" s="5">
        <f t="shared" si="696"/>
        <v>63.445208615147351</v>
      </c>
      <c r="CE262" s="59">
        <f t="shared" si="755"/>
        <v>-50</v>
      </c>
      <c r="CF262">
        <f t="shared" si="756"/>
        <v>-50</v>
      </c>
      <c r="CG262" s="150">
        <f t="shared" si="757"/>
        <v>0.44920670817193575</v>
      </c>
      <c r="CI262" s="147">
        <v>46</v>
      </c>
      <c r="CJ262" s="188">
        <f t="shared" si="697"/>
        <v>1.84</v>
      </c>
      <c r="CK262" s="188"/>
      <c r="CL262" s="188">
        <f t="shared" si="639"/>
        <v>55.2</v>
      </c>
      <c r="CM262" s="465">
        <f t="shared" si="640"/>
        <v>48</v>
      </c>
      <c r="CN262" s="379">
        <f t="shared" si="641"/>
        <v>30.4</v>
      </c>
      <c r="CO262" s="379">
        <f t="shared" si="642"/>
        <v>78.400000000000006</v>
      </c>
      <c r="CP262" s="379"/>
      <c r="CQ262" s="188">
        <f t="shared" si="643"/>
        <v>0.38775510204081626</v>
      </c>
      <c r="CR262" s="149">
        <f t="shared" si="644"/>
        <v>284.85494809142222</v>
      </c>
      <c r="CS262" s="149">
        <f t="shared" si="645"/>
        <v>55.2</v>
      </c>
      <c r="CT262" s="188">
        <f t="shared" si="646"/>
        <v>9.4951649363807409</v>
      </c>
      <c r="CU262" s="188">
        <f t="shared" si="647"/>
        <v>30</v>
      </c>
      <c r="CV262" s="188"/>
      <c r="CW262" s="149">
        <f t="shared" si="648"/>
        <v>347.31213508613575</v>
      </c>
      <c r="CX262" s="149">
        <f t="shared" si="649"/>
        <v>30</v>
      </c>
      <c r="CY262" s="188">
        <f t="shared" si="650"/>
        <v>5.9315789473684228</v>
      </c>
      <c r="CZ262" s="188">
        <f t="shared" si="651"/>
        <v>0.58080043859649144</v>
      </c>
      <c r="DA262" s="188">
        <f t="shared" si="652"/>
        <v>0.91705332409972329</v>
      </c>
      <c r="DB262" s="172">
        <f t="shared" si="653"/>
        <v>350</v>
      </c>
      <c r="DC262" s="379">
        <f t="shared" si="654"/>
        <v>350</v>
      </c>
      <c r="DE262" s="188">
        <f t="shared" si="655"/>
        <v>11.314434588425037</v>
      </c>
      <c r="DF262" s="150">
        <f t="shared" si="656"/>
        <v>1.7492711370262393</v>
      </c>
      <c r="DG262" s="150">
        <f t="shared" si="657"/>
        <v>3.463602425028073</v>
      </c>
      <c r="DH262" s="150"/>
      <c r="DI262" s="150">
        <f t="shared" si="658"/>
        <v>0.93700159489633172</v>
      </c>
      <c r="DJ262" s="314">
        <f t="shared" si="659"/>
        <v>648.0245106382979</v>
      </c>
      <c r="DK262" s="456">
        <f t="shared" si="660"/>
        <v>0.99378957034459414</v>
      </c>
      <c r="DM262" s="150">
        <f t="shared" si="661"/>
        <v>8.2466535535832204</v>
      </c>
      <c r="DN262" s="150">
        <f t="shared" si="662"/>
        <v>8.2466535535832204</v>
      </c>
      <c r="DO262" s="150">
        <f t="shared" si="663"/>
        <v>2.8192944392423405</v>
      </c>
      <c r="DQ262" s="314">
        <f t="shared" si="664"/>
        <v>1840</v>
      </c>
      <c r="DR262" s="144">
        <f t="shared" si="665"/>
        <v>350</v>
      </c>
      <c r="DT262">
        <f t="shared" si="666"/>
        <v>1840</v>
      </c>
      <c r="DU262">
        <f t="shared" si="667"/>
        <v>350</v>
      </c>
      <c r="DW262" s="5">
        <f t="shared" si="668"/>
        <v>2.8571428571428572</v>
      </c>
      <c r="DX262" s="5">
        <f t="shared" si="669"/>
        <v>0.80748482712169023</v>
      </c>
      <c r="DY262" s="5">
        <f t="shared" si="670"/>
        <v>2.0496580300211669</v>
      </c>
      <c r="DZ262" s="5"/>
      <c r="EA262" s="150">
        <f t="shared" si="671"/>
        <v>0.28261968949259159</v>
      </c>
      <c r="EB262" s="150">
        <f t="shared" si="698"/>
        <v>55.936000000000007</v>
      </c>
      <c r="EC262" s="150">
        <f t="shared" si="699"/>
        <v>2.9579934434582764</v>
      </c>
      <c r="ED262" s="150">
        <f t="shared" si="700"/>
        <v>18.910116289711446</v>
      </c>
      <c r="EE262" s="144">
        <f t="shared" si="672"/>
        <v>4.952573606346367</v>
      </c>
      <c r="EF262" s="5">
        <f t="shared" si="673"/>
        <v>1.3865333732496128</v>
      </c>
      <c r="EH262" s="150">
        <f t="shared" si="701"/>
        <v>2.5311526062833263</v>
      </c>
      <c r="EI262" s="150">
        <f t="shared" si="702"/>
        <v>4.0326622424043945</v>
      </c>
      <c r="EK262" s="456">
        <f t="shared" si="703"/>
        <v>7.68808021955385E-2</v>
      </c>
      <c r="EL262" s="456">
        <f t="shared" si="704"/>
        <v>4.2994752966961487</v>
      </c>
      <c r="EM262" s="456">
        <f t="shared" si="705"/>
        <v>4.0250000000000001E-2</v>
      </c>
      <c r="EN262" s="456">
        <f t="shared" si="706"/>
        <v>1.1132956800000005</v>
      </c>
      <c r="EO262">
        <f t="shared" si="707"/>
        <v>2.1600000000000001E-2</v>
      </c>
      <c r="EP262" s="144">
        <f t="shared" si="708"/>
        <v>61.85</v>
      </c>
      <c r="EQ262" s="144"/>
      <c r="ER262" s="144">
        <f t="shared" si="709"/>
        <v>5551.5017788916884</v>
      </c>
      <c r="ES262" s="456">
        <f t="shared" si="710"/>
        <v>1.288</v>
      </c>
      <c r="EV262" s="144">
        <f t="shared" si="711"/>
        <v>1288</v>
      </c>
      <c r="EW262" s="456">
        <f t="shared" si="712"/>
        <v>8.9694269228128259E-2</v>
      </c>
      <c r="EX262" s="456">
        <f t="shared" si="713"/>
        <v>0.22767310665839655</v>
      </c>
      <c r="EY262" s="456">
        <f t="shared" si="714"/>
        <v>22.378681236397682</v>
      </c>
      <c r="EZ262" s="456"/>
      <c r="FA262" s="456">
        <f t="shared" si="715"/>
        <v>2.3802553191489366</v>
      </c>
      <c r="FB262" s="144">
        <f t="shared" si="716"/>
        <v>25076.303931433144</v>
      </c>
      <c r="FC262" s="150">
        <f t="shared" si="717"/>
        <v>31.915805710324832</v>
      </c>
      <c r="FD262" s="5">
        <f t="shared" si="718"/>
        <v>55.2</v>
      </c>
      <c r="FE262" s="150">
        <f t="shared" si="719"/>
        <v>0.63363932124498257</v>
      </c>
      <c r="FF262" s="5">
        <f t="shared" si="720"/>
        <v>63.363932124498255</v>
      </c>
      <c r="FI262" s="59">
        <f t="shared" si="674"/>
        <v>-50</v>
      </c>
      <c r="FJ262">
        <f t="shared" si="675"/>
        <v>-50</v>
      </c>
      <c r="FL262">
        <f t="shared" si="758"/>
        <v>0.44624161498830256</v>
      </c>
    </row>
    <row r="263" spans="5:168">
      <c r="E263" s="147">
        <v>47</v>
      </c>
      <c r="F263" s="188">
        <f t="shared" si="759"/>
        <v>1.88</v>
      </c>
      <c r="G263" s="188"/>
      <c r="H263" s="188">
        <f t="shared" si="725"/>
        <v>56.4</v>
      </c>
      <c r="I263" s="465">
        <f t="shared" si="726"/>
        <v>47.892349772742591</v>
      </c>
      <c r="J263" s="149">
        <f t="shared" si="727"/>
        <v>30.457965506984756</v>
      </c>
      <c r="K263" s="149">
        <f t="shared" si="728"/>
        <v>78.35031527972734</v>
      </c>
      <c r="L263" s="379"/>
      <c r="M263" s="188">
        <f t="shared" si="729"/>
        <v>0.38874382097767302</v>
      </c>
      <c r="N263" s="149">
        <f t="shared" si="730"/>
        <v>284.94080976530375</v>
      </c>
      <c r="O263" s="149">
        <f t="shared" si="760"/>
        <v>56.4</v>
      </c>
      <c r="P263" s="188">
        <f t="shared" si="731"/>
        <v>9.4980269921767917</v>
      </c>
      <c r="Q263" s="188">
        <f t="shared" si="732"/>
        <v>30</v>
      </c>
      <c r="R263" s="188"/>
      <c r="S263" s="149">
        <f t="shared" si="733"/>
        <v>338.14384461402824</v>
      </c>
      <c r="T263" s="149">
        <f t="shared" si="734"/>
        <v>30</v>
      </c>
      <c r="U263" s="188">
        <f t="shared" si="735"/>
        <v>6.0587000876177166</v>
      </c>
      <c r="V263" s="188">
        <f t="shared" si="736"/>
        <v>0.59458119192159609</v>
      </c>
      <c r="W263" s="188">
        <f t="shared" si="737"/>
        <v>0.93492424519533479</v>
      </c>
      <c r="X263" s="172">
        <f t="shared" si="738"/>
        <v>350</v>
      </c>
      <c r="Y263" s="379">
        <f t="shared" si="678"/>
        <v>350</v>
      </c>
      <c r="AA263" s="188">
        <f t="shared" si="739"/>
        <v>11.31775753052414</v>
      </c>
      <c r="AB263" s="150">
        <f t="shared" si="740"/>
        <v>1.7464548110170031</v>
      </c>
      <c r="AC263" s="150">
        <f t="shared" si="741"/>
        <v>3.4590416155938657</v>
      </c>
      <c r="AD263" s="150"/>
      <c r="AE263" s="150">
        <f t="shared" si="742"/>
        <v>0.93521835784849816</v>
      </c>
      <c r="AF263" s="314">
        <f t="shared" si="743"/>
        <v>663.37448874212805</v>
      </c>
      <c r="AG263" s="456">
        <f t="shared" si="744"/>
        <v>0.99189825832416478</v>
      </c>
      <c r="AI263" s="150">
        <f t="shared" si="745"/>
        <v>8.3437525654292983</v>
      </c>
      <c r="AJ263" s="150">
        <f t="shared" si="746"/>
        <v>8.3437525654292983</v>
      </c>
      <c r="AK263" s="150">
        <f t="shared" si="747"/>
        <v>2.8912196332023985</v>
      </c>
      <c r="AM263" s="314">
        <f t="shared" si="748"/>
        <v>1880</v>
      </c>
      <c r="AN263" s="144">
        <f t="shared" si="749"/>
        <v>350</v>
      </c>
      <c r="AP263">
        <f t="shared" si="750"/>
        <v>1880</v>
      </c>
      <c r="AQ263">
        <f t="shared" si="751"/>
        <v>350</v>
      </c>
      <c r="AS263" s="5">
        <f t="shared" ref="AS263:AS316" si="761">1/AN263*1000</f>
        <v>2.8571428571428572</v>
      </c>
      <c r="AT263" s="5">
        <f t="shared" si="752"/>
        <v>0.81882883683098917</v>
      </c>
      <c r="AU263" s="5">
        <f t="shared" si="721"/>
        <v>2.0383140203118679</v>
      </c>
      <c r="AV263" s="5"/>
      <c r="AW263" s="150">
        <f t="shared" si="722"/>
        <v>0.28659009289084619</v>
      </c>
      <c r="AX263" s="150">
        <f t="shared" si="630"/>
        <v>57.260975153131326</v>
      </c>
      <c r="AY263" s="150">
        <f t="shared" si="631"/>
        <v>2.9762578713223395</v>
      </c>
      <c r="AZ263" s="150">
        <f t="shared" si="632"/>
        <v>19.239251983125541</v>
      </c>
      <c r="BA263" s="144">
        <f t="shared" si="723"/>
        <v>5.1313273774741983</v>
      </c>
      <c r="BB263" s="5">
        <f t="shared" si="724"/>
        <v>1.4120014045114113</v>
      </c>
      <c r="BD263" s="150">
        <f t="shared" si="679"/>
        <v>2.57888143547147</v>
      </c>
      <c r="BE263" s="150">
        <f t="shared" si="680"/>
        <v>4.0688376103603927</v>
      </c>
      <c r="BG263" s="456">
        <f t="shared" si="681"/>
        <v>7.980755349863268E-2</v>
      </c>
      <c r="BH263" s="456">
        <f t="shared" si="753"/>
        <v>4.1757364268000163</v>
      </c>
      <c r="BI263" s="456">
        <f t="shared" si="682"/>
        <v>4.0250000000000001E-2</v>
      </c>
      <c r="BJ263" s="456">
        <f t="shared" si="683"/>
        <v>1.1118850611903686</v>
      </c>
      <c r="BK263">
        <f t="shared" si="684"/>
        <v>2.1551557397734164E-2</v>
      </c>
      <c r="BL263" s="144">
        <f t="shared" si="685"/>
        <v>61.801557397734165</v>
      </c>
      <c r="BM263" s="456">
        <f t="shared" si="754"/>
        <v>5.4931395011824256</v>
      </c>
      <c r="BN263" s="144">
        <f t="shared" si="686"/>
        <v>5493.1395011824252</v>
      </c>
      <c r="BO263" s="456">
        <f t="shared" si="635"/>
        <v>1.3159999999999998</v>
      </c>
      <c r="BR263" s="144">
        <f t="shared" si="687"/>
        <v>1315.9999999999998</v>
      </c>
      <c r="BS263" s="456">
        <f t="shared" si="688"/>
        <v>9.3108812415071462E-2</v>
      </c>
      <c r="BT263" s="456">
        <f t="shared" si="689"/>
        <v>0.2317761529927658</v>
      </c>
      <c r="BU263" s="456">
        <f t="shared" si="690"/>
        <v>23.043246023932415</v>
      </c>
      <c r="BV263" s="456"/>
      <c r="BW263" s="456">
        <f t="shared" si="691"/>
        <v>2.4366372405587802</v>
      </c>
      <c r="BX263" s="144">
        <f t="shared" si="692"/>
        <v>25804.768229899033</v>
      </c>
      <c r="BY263" s="150">
        <f t="shared" si="693"/>
        <v>32.549998828785782</v>
      </c>
      <c r="BZ263" s="5">
        <f t="shared" si="694"/>
        <v>56.4</v>
      </c>
      <c r="CA263" s="150">
        <f t="shared" si="695"/>
        <v>0.63406408929314084</v>
      </c>
      <c r="CB263" s="5">
        <f t="shared" si="696"/>
        <v>63.406408929314082</v>
      </c>
      <c r="CE263" s="59">
        <f t="shared" si="755"/>
        <v>-50</v>
      </c>
      <c r="CF263">
        <f t="shared" si="756"/>
        <v>-50</v>
      </c>
      <c r="CG263" s="150">
        <f t="shared" si="757"/>
        <v>0.45406313804726905</v>
      </c>
      <c r="CI263" s="147">
        <v>47</v>
      </c>
      <c r="CJ263" s="188">
        <f t="shared" si="697"/>
        <v>1.88</v>
      </c>
      <c r="CK263" s="188"/>
      <c r="CL263" s="188">
        <f t="shared" si="639"/>
        <v>56.4</v>
      </c>
      <c r="CM263" s="465">
        <f t="shared" si="640"/>
        <v>48</v>
      </c>
      <c r="CN263" s="379">
        <f t="shared" si="641"/>
        <v>30.4</v>
      </c>
      <c r="CO263" s="379">
        <f t="shared" si="642"/>
        <v>78.400000000000006</v>
      </c>
      <c r="CP263" s="379"/>
      <c r="CQ263" s="188">
        <f t="shared" si="643"/>
        <v>0.38775510204081626</v>
      </c>
      <c r="CR263" s="149">
        <f t="shared" si="644"/>
        <v>284.85494809142222</v>
      </c>
      <c r="CS263" s="149">
        <f t="shared" si="645"/>
        <v>56.4</v>
      </c>
      <c r="CT263" s="188">
        <f t="shared" si="646"/>
        <v>9.4951649363807409</v>
      </c>
      <c r="CU263" s="188">
        <f t="shared" si="647"/>
        <v>30</v>
      </c>
      <c r="CV263" s="188"/>
      <c r="CW263" s="149">
        <f t="shared" si="648"/>
        <v>338.90378181819415</v>
      </c>
      <c r="CX263" s="149">
        <f t="shared" si="649"/>
        <v>30</v>
      </c>
      <c r="CY263" s="188">
        <f t="shared" si="650"/>
        <v>6.0605263157894749</v>
      </c>
      <c r="CZ263" s="188">
        <f t="shared" si="651"/>
        <v>0.59342653508771936</v>
      </c>
      <c r="DA263" s="188">
        <f t="shared" si="652"/>
        <v>0.93698926592797804</v>
      </c>
      <c r="DB263" s="172">
        <f t="shared" si="653"/>
        <v>350</v>
      </c>
      <c r="DC263" s="379">
        <f t="shared" si="654"/>
        <v>350</v>
      </c>
      <c r="DE263" s="188">
        <f t="shared" si="655"/>
        <v>11.314434588425037</v>
      </c>
      <c r="DF263" s="150">
        <f t="shared" si="656"/>
        <v>1.7492711370262393</v>
      </c>
      <c r="DG263" s="150">
        <f t="shared" si="657"/>
        <v>3.463602425028073</v>
      </c>
      <c r="DH263" s="150"/>
      <c r="DI263" s="150">
        <f t="shared" si="658"/>
        <v>0.93700159489633172</v>
      </c>
      <c r="DJ263" s="314">
        <f t="shared" si="659"/>
        <v>662.11199999999997</v>
      </c>
      <c r="DK263" s="456">
        <f t="shared" si="660"/>
        <v>0.99378957034459414</v>
      </c>
      <c r="DM263" s="150">
        <f t="shared" si="661"/>
        <v>8.3358091560276435</v>
      </c>
      <c r="DN263" s="150">
        <f t="shared" si="662"/>
        <v>8.3358091560276435</v>
      </c>
      <c r="DO263" s="150">
        <f t="shared" si="663"/>
        <v>2.8853356262382097</v>
      </c>
      <c r="DQ263" s="314">
        <f t="shared" si="664"/>
        <v>1880</v>
      </c>
      <c r="DR263" s="144">
        <f t="shared" si="665"/>
        <v>350</v>
      </c>
      <c r="DT263">
        <f t="shared" si="666"/>
        <v>1880</v>
      </c>
      <c r="DU263">
        <f t="shared" si="667"/>
        <v>350</v>
      </c>
      <c r="DW263" s="5">
        <f t="shared" si="668"/>
        <v>2.8571428571428572</v>
      </c>
      <c r="DX263" s="5">
        <f t="shared" si="669"/>
        <v>0.81621464652770681</v>
      </c>
      <c r="DY263" s="5">
        <f t="shared" si="670"/>
        <v>2.0409282106151503</v>
      </c>
      <c r="DZ263" s="5"/>
      <c r="EA263" s="150">
        <f t="shared" si="671"/>
        <v>0.28567512628469738</v>
      </c>
      <c r="EB263" s="150">
        <f t="shared" si="698"/>
        <v>57.152000000000008</v>
      </c>
      <c r="EC263" s="150">
        <f t="shared" si="699"/>
        <v>2.9772379113471548</v>
      </c>
      <c r="ED263" s="150">
        <f t="shared" si="700"/>
        <v>19.196316082828464</v>
      </c>
      <c r="EE263" s="144">
        <f t="shared" si="672"/>
        <v>5.1149451182402963</v>
      </c>
      <c r="EF263" s="5">
        <f t="shared" si="673"/>
        <v>1.4106415573369422</v>
      </c>
      <c r="EH263" s="150">
        <f t="shared" si="701"/>
        <v>2.5723102588628919</v>
      </c>
      <c r="EI263" s="150">
        <f t="shared" si="702"/>
        <v>4.0675698757431924</v>
      </c>
      <c r="EK263" s="456">
        <f t="shared" si="703"/>
        <v>7.9401360814215338E-2</v>
      </c>
      <c r="EL263" s="456">
        <f t="shared" si="704"/>
        <v>4.3459574615865728</v>
      </c>
      <c r="EM263" s="456">
        <f t="shared" si="705"/>
        <v>4.0250000000000001E-2</v>
      </c>
      <c r="EN263" s="456">
        <f t="shared" si="706"/>
        <v>1.1132956800000005</v>
      </c>
      <c r="EO263">
        <f t="shared" si="707"/>
        <v>2.1600000000000001E-2</v>
      </c>
      <c r="EP263" s="144">
        <f t="shared" si="708"/>
        <v>61.85</v>
      </c>
      <c r="EQ263" s="144"/>
      <c r="ER263" s="144">
        <f t="shared" si="709"/>
        <v>5600.5045024007895</v>
      </c>
      <c r="ES263" s="456">
        <f t="shared" si="710"/>
        <v>1.3159999999999998</v>
      </c>
      <c r="EV263" s="144">
        <f t="shared" si="711"/>
        <v>1315.9999999999998</v>
      </c>
      <c r="EW263" s="456">
        <f t="shared" si="712"/>
        <v>9.263492094991789E-2</v>
      </c>
      <c r="EX263" s="456">
        <f t="shared" si="713"/>
        <v>0.23163174571674883</v>
      </c>
      <c r="EY263" s="456">
        <f t="shared" si="714"/>
        <v>22.98844116787664</v>
      </c>
      <c r="EZ263" s="456"/>
      <c r="FA263" s="456">
        <f t="shared" si="715"/>
        <v>2.4320000000000004</v>
      </c>
      <c r="FB263" s="144">
        <f t="shared" si="716"/>
        <v>25744.707834543304</v>
      </c>
      <c r="FC263" s="150">
        <f t="shared" si="717"/>
        <v>32.661212336944097</v>
      </c>
      <c r="FD263" s="5">
        <f t="shared" si="718"/>
        <v>56.4</v>
      </c>
      <c r="FE263" s="150">
        <f t="shared" si="719"/>
        <v>0.6332723137275813</v>
      </c>
      <c r="FF263" s="5">
        <f t="shared" si="720"/>
        <v>63.327231372758128</v>
      </c>
      <c r="FI263" s="59">
        <f t="shared" si="674"/>
        <v>-50</v>
      </c>
      <c r="FJ263">
        <f t="shared" si="675"/>
        <v>-50</v>
      </c>
      <c r="FL263">
        <f t="shared" si="758"/>
        <v>0.45106598887057475</v>
      </c>
    </row>
    <row r="264" spans="5:168">
      <c r="E264" s="147">
        <v>48</v>
      </c>
      <c r="F264" s="188">
        <f t="shared" si="759"/>
        <v>1.92</v>
      </c>
      <c r="G264" s="188"/>
      <c r="H264" s="188">
        <f t="shared" si="725"/>
        <v>57.599999999999994</v>
      </c>
      <c r="I264" s="465">
        <f t="shared" si="726"/>
        <v>47.891210585174314</v>
      </c>
      <c r="J264" s="149">
        <f t="shared" si="727"/>
        <v>30.458578915675368</v>
      </c>
      <c r="K264" s="149">
        <f t="shared" si="728"/>
        <v>78.349789500849681</v>
      </c>
      <c r="L264" s="379"/>
      <c r="M264" s="188">
        <f t="shared" si="729"/>
        <v>0.38875429055645788</v>
      </c>
      <c r="N264" s="149">
        <f t="shared" si="730"/>
        <v>284.94170583558696</v>
      </c>
      <c r="O264" s="149">
        <f t="shared" si="760"/>
        <v>57.599999999999994</v>
      </c>
      <c r="P264" s="188">
        <f t="shared" si="731"/>
        <v>9.4980568611862317</v>
      </c>
      <c r="Q264" s="188">
        <f t="shared" si="732"/>
        <v>30</v>
      </c>
      <c r="R264" s="188"/>
      <c r="S264" s="149">
        <f t="shared" si="733"/>
        <v>330.09612868587487</v>
      </c>
      <c r="T264" s="149">
        <f t="shared" si="734"/>
        <v>30</v>
      </c>
      <c r="U264" s="188">
        <f t="shared" si="735"/>
        <v>6.1875891416412516</v>
      </c>
      <c r="V264" s="188">
        <f t="shared" si="736"/>
        <v>0.6072443901578195</v>
      </c>
      <c r="W264" s="188">
        <f t="shared" si="737"/>
        <v>0.95479401866470981</v>
      </c>
      <c r="X264" s="172">
        <f t="shared" si="738"/>
        <v>350</v>
      </c>
      <c r="Y264" s="379">
        <f t="shared" si="678"/>
        <v>350</v>
      </c>
      <c r="AA264" s="188">
        <f t="shared" si="739"/>
        <v>11.317792199681808</v>
      </c>
      <c r="AB264" s="150">
        <f t="shared" si="740"/>
        <v>1.746424988695997</v>
      </c>
      <c r="AC264" s="150">
        <f t="shared" si="741"/>
        <v>3.4589931450187654</v>
      </c>
      <c r="AD264" s="150"/>
      <c r="AE264" s="150">
        <f t="shared" si="742"/>
        <v>0.93519952338252021</v>
      </c>
      <c r="AF264" s="314">
        <f t="shared" si="743"/>
        <v>677.50248386390763</v>
      </c>
      <c r="AG264" s="456">
        <f t="shared" si="744"/>
        <v>0.9918782823754001</v>
      </c>
      <c r="AI264" s="150">
        <f t="shared" si="745"/>
        <v>8.4321336105193154</v>
      </c>
      <c r="AJ264" s="150">
        <f t="shared" si="746"/>
        <v>8.4321336105193154</v>
      </c>
      <c r="AK264" s="150">
        <f t="shared" si="747"/>
        <v>2.9566870740098183</v>
      </c>
      <c r="AM264" s="314">
        <f t="shared" si="748"/>
        <v>1920</v>
      </c>
      <c r="AN264" s="144">
        <f t="shared" si="749"/>
        <v>350</v>
      </c>
      <c r="AP264">
        <f t="shared" si="750"/>
        <v>1920</v>
      </c>
      <c r="AQ264">
        <f t="shared" si="751"/>
        <v>350</v>
      </c>
      <c r="AS264" s="5">
        <f t="shared" si="761"/>
        <v>2.8571428571428572</v>
      </c>
      <c r="AT264" s="5">
        <f t="shared" si="752"/>
        <v>0.82752194996109296</v>
      </c>
      <c r="AU264" s="5">
        <f t="shared" si="721"/>
        <v>2.0296209071817644</v>
      </c>
      <c r="AV264" s="5"/>
      <c r="AW264" s="150">
        <f t="shared" si="722"/>
        <v>0.28963268248638252</v>
      </c>
      <c r="AX264" s="150">
        <f t="shared" si="630"/>
        <v>58.480471518096728</v>
      </c>
      <c r="AY264" s="150">
        <f t="shared" si="631"/>
        <v>2.9949560669105102</v>
      </c>
      <c r="AZ264" s="150">
        <f t="shared" si="632"/>
        <v>19.52632032376458</v>
      </c>
      <c r="BA264" s="144">
        <f t="shared" si="723"/>
        <v>5.2961404797509948</v>
      </c>
      <c r="BB264" s="5">
        <f t="shared" si="724"/>
        <v>1.4359280350956909</v>
      </c>
      <c r="BD264" s="150">
        <f t="shared" si="679"/>
        <v>2.619996043126771</v>
      </c>
      <c r="BE264" s="150">
        <f t="shared" si="680"/>
        <v>4.1031589224096479</v>
      </c>
      <c r="BG264" s="456">
        <f t="shared" si="681"/>
        <v>8.2372551191999252E-2</v>
      </c>
      <c r="BH264" s="456">
        <f t="shared" si="753"/>
        <v>4.2199395192664184</v>
      </c>
      <c r="BI264" s="456">
        <f t="shared" si="682"/>
        <v>4.0250000000000001E-2</v>
      </c>
      <c r="BJ264" s="456">
        <f t="shared" si="683"/>
        <v>1.1118701383731229</v>
      </c>
      <c r="BK264">
        <f t="shared" si="684"/>
        <v>2.155104476332844E-2</v>
      </c>
      <c r="BL264" s="144">
        <f t="shared" si="685"/>
        <v>61.801044763328441</v>
      </c>
      <c r="BM264" s="456">
        <f t="shared" si="754"/>
        <v>5.5449469363210602</v>
      </c>
      <c r="BN264" s="144">
        <f t="shared" si="686"/>
        <v>5544.9469363210601</v>
      </c>
      <c r="BO264" s="456">
        <f t="shared" si="635"/>
        <v>1.3439999999999999</v>
      </c>
      <c r="BR264" s="144">
        <f t="shared" si="687"/>
        <v>1343.9999999999998</v>
      </c>
      <c r="BS264" s="456">
        <f t="shared" si="688"/>
        <v>9.610130972399912E-2</v>
      </c>
      <c r="BT264" s="456">
        <f t="shared" si="689"/>
        <v>0.23570278399569863</v>
      </c>
      <c r="BU264" s="456">
        <f t="shared" si="690"/>
        <v>23.658315218336153</v>
      </c>
      <c r="BV264" s="456"/>
      <c r="BW264" s="456">
        <f t="shared" si="691"/>
        <v>2.4885307028977333</v>
      </c>
      <c r="BX264" s="144">
        <f t="shared" si="692"/>
        <v>26478.650014953582</v>
      </c>
      <c r="BY264" s="150">
        <f t="shared" si="693"/>
        <v>33.29863326854845</v>
      </c>
      <c r="BZ264" s="5">
        <f t="shared" si="694"/>
        <v>57.599999999999994</v>
      </c>
      <c r="CA264" s="150">
        <f t="shared" si="695"/>
        <v>0.63367289395681148</v>
      </c>
      <c r="CB264" s="5">
        <f t="shared" si="696"/>
        <v>63.367289395681148</v>
      </c>
      <c r="CE264" s="59">
        <f t="shared" si="755"/>
        <v>-50</v>
      </c>
      <c r="CF264">
        <f t="shared" si="756"/>
        <v>-50</v>
      </c>
      <c r="CG264" s="150">
        <f t="shared" si="757"/>
        <v>0.45886817279039954</v>
      </c>
      <c r="CI264" s="147">
        <v>48</v>
      </c>
      <c r="CJ264" s="188">
        <f t="shared" si="697"/>
        <v>1.92</v>
      </c>
      <c r="CK264" s="188"/>
      <c r="CL264" s="188">
        <f t="shared" si="639"/>
        <v>57.599999999999994</v>
      </c>
      <c r="CM264" s="465">
        <f t="shared" si="640"/>
        <v>48</v>
      </c>
      <c r="CN264" s="379">
        <f t="shared" si="641"/>
        <v>30.4</v>
      </c>
      <c r="CO264" s="379">
        <f t="shared" si="642"/>
        <v>78.400000000000006</v>
      </c>
      <c r="CP264" s="379"/>
      <c r="CQ264" s="188">
        <f t="shared" si="643"/>
        <v>0.38775510204081626</v>
      </c>
      <c r="CR264" s="149">
        <f t="shared" si="644"/>
        <v>284.85494809142222</v>
      </c>
      <c r="CS264" s="149">
        <f t="shared" si="645"/>
        <v>57.599999999999994</v>
      </c>
      <c r="CT264" s="188">
        <f t="shared" si="646"/>
        <v>9.4951649363807409</v>
      </c>
      <c r="CU264" s="188">
        <f t="shared" si="647"/>
        <v>30</v>
      </c>
      <c r="CV264" s="188"/>
      <c r="CW264" s="149">
        <f t="shared" si="648"/>
        <v>330.84584177964604</v>
      </c>
      <c r="CX264" s="149">
        <f t="shared" si="649"/>
        <v>30</v>
      </c>
      <c r="CY264" s="188">
        <f t="shared" si="650"/>
        <v>6.1894736842105269</v>
      </c>
      <c r="CZ264" s="188">
        <f t="shared" si="651"/>
        <v>0.6060526315789474</v>
      </c>
      <c r="DA264" s="188">
        <f t="shared" si="652"/>
        <v>0.95692520775623269</v>
      </c>
      <c r="DB264" s="172">
        <f t="shared" si="653"/>
        <v>350</v>
      </c>
      <c r="DC264" s="379">
        <f t="shared" si="654"/>
        <v>350</v>
      </c>
      <c r="DE264" s="188">
        <f t="shared" si="655"/>
        <v>11.314434588425037</v>
      </c>
      <c r="DF264" s="150">
        <f t="shared" si="656"/>
        <v>1.7492711370262393</v>
      </c>
      <c r="DG264" s="150">
        <f t="shared" si="657"/>
        <v>3.463602425028073</v>
      </c>
      <c r="DH264" s="150"/>
      <c r="DI264" s="150">
        <f t="shared" si="658"/>
        <v>0.93700159489633172</v>
      </c>
      <c r="DJ264" s="314">
        <f t="shared" si="659"/>
        <v>676.19948936170215</v>
      </c>
      <c r="DK264" s="456">
        <f t="shared" si="660"/>
        <v>0.99378957034459414</v>
      </c>
      <c r="DM264" s="150">
        <f t="shared" si="661"/>
        <v>8.424021233271068</v>
      </c>
      <c r="DN264" s="150">
        <f t="shared" si="662"/>
        <v>8.424021233271068</v>
      </c>
      <c r="DO264" s="150">
        <f t="shared" si="663"/>
        <v>2.9506779056777832</v>
      </c>
      <c r="DQ264" s="314">
        <f t="shared" si="664"/>
        <v>1920</v>
      </c>
      <c r="DR264" s="144">
        <f t="shared" si="665"/>
        <v>350</v>
      </c>
      <c r="DT264">
        <f t="shared" si="666"/>
        <v>1920</v>
      </c>
      <c r="DU264">
        <f t="shared" si="667"/>
        <v>350</v>
      </c>
      <c r="DW264" s="5">
        <f t="shared" si="668"/>
        <v>2.8571428571428572</v>
      </c>
      <c r="DX264" s="5">
        <f t="shared" si="669"/>
        <v>0.82485207909112535</v>
      </c>
      <c r="DY264" s="5">
        <f t="shared" si="670"/>
        <v>2.0322907780517321</v>
      </c>
      <c r="DZ264" s="5"/>
      <c r="EA264" s="150">
        <f t="shared" si="671"/>
        <v>0.28869822768189385</v>
      </c>
      <c r="EB264" s="150">
        <f t="shared" si="698"/>
        <v>58.367999999999981</v>
      </c>
      <c r="EC264" s="150">
        <f t="shared" si="699"/>
        <v>2.9960106166355343</v>
      </c>
      <c r="ED264" s="150">
        <f t="shared" si="700"/>
        <v>19.481906931807266</v>
      </c>
      <c r="EE264" s="144">
        <f t="shared" si="672"/>
        <v>5.2790533061832017</v>
      </c>
      <c r="EF264" s="5">
        <f t="shared" si="673"/>
        <v>1.4345581962718106</v>
      </c>
      <c r="EH264" s="150">
        <f t="shared" si="701"/>
        <v>2.6132495504840474</v>
      </c>
      <c r="EI264" s="150">
        <f t="shared" si="702"/>
        <v>4.1019066338832637</v>
      </c>
      <c r="EK264" s="456">
        <f t="shared" si="703"/>
        <v>8.1948878557260907E-2</v>
      </c>
      <c r="EL264" s="456">
        <f t="shared" si="704"/>
        <v>4.3919477101782052</v>
      </c>
      <c r="EM264" s="456">
        <f t="shared" si="705"/>
        <v>4.0250000000000001E-2</v>
      </c>
      <c r="EN264" s="456">
        <f t="shared" si="706"/>
        <v>1.1132956800000005</v>
      </c>
      <c r="EO264">
        <f t="shared" si="707"/>
        <v>2.1600000000000001E-2</v>
      </c>
      <c r="EP264" s="144">
        <f t="shared" si="708"/>
        <v>61.85</v>
      </c>
      <c r="EQ264" s="144"/>
      <c r="ER264" s="144">
        <f t="shared" si="709"/>
        <v>5649.0422687354676</v>
      </c>
      <c r="ES264" s="456">
        <f t="shared" si="710"/>
        <v>1.3439999999999999</v>
      </c>
      <c r="EV264" s="144">
        <f t="shared" si="711"/>
        <v>1343.9999999999998</v>
      </c>
      <c r="EW264" s="456">
        <f t="shared" si="712"/>
        <v>9.5607024983471067E-2</v>
      </c>
      <c r="EX264" s="456">
        <f t="shared" si="713"/>
        <v>0.23555893246333737</v>
      </c>
      <c r="EY264" s="456">
        <f t="shared" si="714"/>
        <v>23.601453359934471</v>
      </c>
      <c r="EZ264" s="456"/>
      <c r="FA264" s="456">
        <f t="shared" si="715"/>
        <v>2.4837446808510633</v>
      </c>
      <c r="FB264" s="144">
        <f t="shared" si="716"/>
        <v>26416.363998232344</v>
      </c>
      <c r="FC264" s="150">
        <f t="shared" si="717"/>
        <v>33.409406266967807</v>
      </c>
      <c r="FD264" s="5">
        <f t="shared" si="718"/>
        <v>57.599999999999994</v>
      </c>
      <c r="FE264" s="150">
        <f t="shared" si="719"/>
        <v>0.63290161273039891</v>
      </c>
      <c r="FF264" s="5">
        <f t="shared" si="720"/>
        <v>63.290161273039892</v>
      </c>
      <c r="FI264" s="59">
        <f t="shared" si="674"/>
        <v>-50</v>
      </c>
      <c r="FJ264">
        <f t="shared" si="675"/>
        <v>-50</v>
      </c>
      <c r="FL264">
        <f t="shared" si="758"/>
        <v>0.45583930686614826</v>
      </c>
    </row>
    <row r="265" spans="5:168">
      <c r="E265" s="147">
        <v>49</v>
      </c>
      <c r="F265" s="188">
        <f t="shared" si="759"/>
        <v>1.96</v>
      </c>
      <c r="G265" s="188"/>
      <c r="H265" s="188">
        <f t="shared" si="725"/>
        <v>58.8</v>
      </c>
      <c r="I265" s="465">
        <f t="shared" si="726"/>
        <v>47.890083203614466</v>
      </c>
      <c r="J265" s="149">
        <f t="shared" si="727"/>
        <v>30.459185967284519</v>
      </c>
      <c r="K265" s="149">
        <f t="shared" si="728"/>
        <v>78.349269170898992</v>
      </c>
      <c r="L265" s="379"/>
      <c r="M265" s="188">
        <f t="shared" si="729"/>
        <v>0.38876465177067976</v>
      </c>
      <c r="N265" s="149">
        <f t="shared" si="730"/>
        <v>284.94259236060725</v>
      </c>
      <c r="O265" s="149">
        <f t="shared" si="760"/>
        <v>58.8</v>
      </c>
      <c r="P265" s="188">
        <f t="shared" si="731"/>
        <v>9.4980864120202408</v>
      </c>
      <c r="Q265" s="188">
        <f t="shared" si="732"/>
        <v>30</v>
      </c>
      <c r="R265" s="188"/>
      <c r="S265" s="149">
        <f t="shared" si="733"/>
        <v>322.37708133263379</v>
      </c>
      <c r="T265" s="149">
        <f t="shared" si="734"/>
        <v>30</v>
      </c>
      <c r="U265" s="188">
        <f t="shared" si="735"/>
        <v>6.3164775966147957</v>
      </c>
      <c r="V265" s="188">
        <f t="shared" si="736"/>
        <v>0.61990797923376539</v>
      </c>
      <c r="W265" s="188">
        <f t="shared" si="737"/>
        <v>0.97466310281489832</v>
      </c>
      <c r="X265" s="172">
        <f t="shared" si="738"/>
        <v>350</v>
      </c>
      <c r="Y265" s="379">
        <f t="shared" si="678"/>
        <v>350</v>
      </c>
      <c r="AA265" s="188">
        <f t="shared" si="739"/>
        <v>11.317826499326967</v>
      </c>
      <c r="AB265" s="150">
        <f t="shared" si="740"/>
        <v>1.7463954750455548</v>
      </c>
      <c r="AC265" s="150">
        <f t="shared" si="741"/>
        <v>3.458945172510675</v>
      </c>
      <c r="AD265" s="150"/>
      <c r="AE265" s="150">
        <f t="shared" si="742"/>
        <v>0.93518088485501139</v>
      </c>
      <c r="AF265" s="314">
        <f t="shared" si="743"/>
        <v>691.63090314905082</v>
      </c>
      <c r="AG265" s="456">
        <f t="shared" si="744"/>
        <v>0.99185851424016369</v>
      </c>
      <c r="AI265" s="150">
        <f t="shared" si="745"/>
        <v>8.5196004655296171</v>
      </c>
      <c r="AJ265" s="150">
        <f t="shared" si="746"/>
        <v>8.5196004655296171</v>
      </c>
      <c r="AK265" s="150">
        <f t="shared" si="747"/>
        <v>3.0214773369804124</v>
      </c>
      <c r="AM265" s="314">
        <f t="shared" si="748"/>
        <v>1960</v>
      </c>
      <c r="AN265" s="144">
        <f t="shared" si="749"/>
        <v>350</v>
      </c>
      <c r="AP265">
        <f t="shared" si="750"/>
        <v>1960</v>
      </c>
      <c r="AQ265">
        <f t="shared" si="751"/>
        <v>350</v>
      </c>
      <c r="AS265" s="5">
        <f t="shared" si="761"/>
        <v>2.8571428571428572</v>
      </c>
      <c r="AT265" s="5">
        <f t="shared" si="752"/>
        <v>0.83612555062270277</v>
      </c>
      <c r="AU265" s="5">
        <f t="shared" si="721"/>
        <v>2.0210173065201547</v>
      </c>
      <c r="AV265" s="5"/>
      <c r="AW265" s="150">
        <f t="shared" si="722"/>
        <v>0.29264394271794597</v>
      </c>
      <c r="AX265" s="150">
        <f t="shared" si="630"/>
        <v>59.700004495877657</v>
      </c>
      <c r="AY265" s="150">
        <f t="shared" si="631"/>
        <v>3.0131954974576911</v>
      </c>
      <c r="AZ265" s="150">
        <f t="shared" si="632"/>
        <v>19.812854674131849</v>
      </c>
      <c r="BA265" s="144">
        <f t="shared" si="723"/>
        <v>5.462686930734991</v>
      </c>
      <c r="BB265" s="5">
        <f t="shared" si="724"/>
        <v>1.4596638271475604</v>
      </c>
      <c r="BD265" s="150">
        <f t="shared" si="679"/>
        <v>2.6608988811119132</v>
      </c>
      <c r="BE265" s="150">
        <f t="shared" si="680"/>
        <v>4.1369249258253236</v>
      </c>
      <c r="BG265" s="456">
        <f t="shared" si="681"/>
        <v>8.4964594266031576E-2</v>
      </c>
      <c r="BH265" s="456">
        <f t="shared" si="753"/>
        <v>4.2636848027784175</v>
      </c>
      <c r="BI265" s="456">
        <f t="shared" si="682"/>
        <v>4.0250000000000001E-2</v>
      </c>
      <c r="BJ265" s="456">
        <f t="shared" si="683"/>
        <v>1.1118553703075826</v>
      </c>
      <c r="BK265">
        <f t="shared" si="684"/>
        <v>2.1550537441626508E-2</v>
      </c>
      <c r="BL265" s="144">
        <f t="shared" si="685"/>
        <v>61.80053744162651</v>
      </c>
      <c r="BM265" s="456">
        <f t="shared" si="754"/>
        <v>5.5964234973907541</v>
      </c>
      <c r="BN265" s="144">
        <f t="shared" si="686"/>
        <v>5596.4234973907542</v>
      </c>
      <c r="BO265" s="456">
        <f t="shared" si="635"/>
        <v>1.3719999999999999</v>
      </c>
      <c r="BR265" s="144">
        <f t="shared" si="687"/>
        <v>1372</v>
      </c>
      <c r="BS265" s="456">
        <f t="shared" si="688"/>
        <v>9.912535997703685E-2</v>
      </c>
      <c r="BT265" s="456">
        <f t="shared" si="689"/>
        <v>0.23959806978680806</v>
      </c>
      <c r="BU265" s="456">
        <f t="shared" si="690"/>
        <v>24.276618117992374</v>
      </c>
      <c r="BV265" s="456"/>
      <c r="BW265" s="456">
        <f t="shared" si="691"/>
        <v>2.5404257232288368</v>
      </c>
      <c r="BX265" s="144">
        <f t="shared" si="692"/>
        <v>27155.767270985056</v>
      </c>
      <c r="BY265" s="150">
        <f t="shared" si="693"/>
        <v>34.050072575778714</v>
      </c>
      <c r="BZ265" s="5">
        <f t="shared" si="694"/>
        <v>58.8</v>
      </c>
      <c r="CA265" s="150">
        <f t="shared" si="695"/>
        <v>0.63327898803752614</v>
      </c>
      <c r="CB265" s="5">
        <f t="shared" si="696"/>
        <v>63.32789880375261</v>
      </c>
      <c r="CE265" s="59">
        <f t="shared" si="755"/>
        <v>-50</v>
      </c>
      <c r="CF265">
        <f t="shared" si="756"/>
        <v>-50</v>
      </c>
      <c r="CG265" s="150">
        <f t="shared" si="757"/>
        <v>0.46362341039540561</v>
      </c>
      <c r="CI265" s="147">
        <v>49</v>
      </c>
      <c r="CJ265" s="188">
        <f t="shared" si="697"/>
        <v>1.96</v>
      </c>
      <c r="CK265" s="188"/>
      <c r="CL265" s="188">
        <f t="shared" si="639"/>
        <v>58.8</v>
      </c>
      <c r="CM265" s="465">
        <f t="shared" si="640"/>
        <v>48</v>
      </c>
      <c r="CN265" s="379">
        <f t="shared" si="641"/>
        <v>30.4</v>
      </c>
      <c r="CO265" s="379">
        <f t="shared" si="642"/>
        <v>78.400000000000006</v>
      </c>
      <c r="CP265" s="379"/>
      <c r="CQ265" s="188">
        <f t="shared" si="643"/>
        <v>0.38775510204081626</v>
      </c>
      <c r="CR265" s="149">
        <f t="shared" si="644"/>
        <v>284.85494809142222</v>
      </c>
      <c r="CS265" s="149">
        <f t="shared" si="645"/>
        <v>58.8</v>
      </c>
      <c r="CT265" s="188">
        <f t="shared" si="646"/>
        <v>9.4951649363807409</v>
      </c>
      <c r="CU265" s="188">
        <f t="shared" si="647"/>
        <v>30</v>
      </c>
      <c r="CV265" s="188"/>
      <c r="CW265" s="149">
        <f t="shared" si="648"/>
        <v>323.11686167137276</v>
      </c>
      <c r="CX265" s="149">
        <f t="shared" si="649"/>
        <v>30</v>
      </c>
      <c r="CY265" s="188">
        <f t="shared" si="650"/>
        <v>6.3184210526315798</v>
      </c>
      <c r="CZ265" s="188">
        <f t="shared" si="651"/>
        <v>0.61867872807017554</v>
      </c>
      <c r="DA265" s="188">
        <f t="shared" si="652"/>
        <v>0.97686114958448755</v>
      </c>
      <c r="DB265" s="172">
        <f t="shared" si="653"/>
        <v>350</v>
      </c>
      <c r="DC265" s="379">
        <f t="shared" si="654"/>
        <v>350</v>
      </c>
      <c r="DE265" s="188">
        <f t="shared" si="655"/>
        <v>11.314434588425037</v>
      </c>
      <c r="DF265" s="150">
        <f t="shared" si="656"/>
        <v>1.7492711370262393</v>
      </c>
      <c r="DG265" s="150">
        <f t="shared" si="657"/>
        <v>3.463602425028073</v>
      </c>
      <c r="DH265" s="150"/>
      <c r="DI265" s="150">
        <f t="shared" si="658"/>
        <v>0.93700159489633172</v>
      </c>
      <c r="DJ265" s="314">
        <f t="shared" si="659"/>
        <v>690.28697872340422</v>
      </c>
      <c r="DK265" s="456">
        <f t="shared" si="660"/>
        <v>0.99378957034459414</v>
      </c>
      <c r="DM265" s="150">
        <f t="shared" si="661"/>
        <v>8.5113191217043056</v>
      </c>
      <c r="DN265" s="150">
        <f t="shared" si="662"/>
        <v>8.5113191217043056</v>
      </c>
      <c r="DO265" s="150">
        <f t="shared" si="663"/>
        <v>3.0153430082209223</v>
      </c>
      <c r="DQ265" s="314">
        <f t="shared" si="664"/>
        <v>1960</v>
      </c>
      <c r="DR265" s="144">
        <f t="shared" si="665"/>
        <v>350</v>
      </c>
      <c r="DT265">
        <f t="shared" si="666"/>
        <v>1960</v>
      </c>
      <c r="DU265">
        <f t="shared" si="667"/>
        <v>350</v>
      </c>
      <c r="DW265" s="5">
        <f t="shared" si="668"/>
        <v>2.8571428571428572</v>
      </c>
      <c r="DX265" s="5">
        <f t="shared" si="669"/>
        <v>0.83339999733354653</v>
      </c>
      <c r="DY265" s="5">
        <f t="shared" si="670"/>
        <v>2.0237428598093108</v>
      </c>
      <c r="DZ265" s="5"/>
      <c r="EA265" s="150">
        <f t="shared" si="671"/>
        <v>0.29168999906674126</v>
      </c>
      <c r="EB265" s="150">
        <f t="shared" si="698"/>
        <v>59.583999999999989</v>
      </c>
      <c r="EC265" s="150">
        <f t="shared" si="699"/>
        <v>3.0143262275188203</v>
      </c>
      <c r="ED265" s="150">
        <f t="shared" si="700"/>
        <v>19.766938115734511</v>
      </c>
      <c r="EE265" s="144">
        <f t="shared" si="672"/>
        <v>5.4448799825791703</v>
      </c>
      <c r="EF265" s="5">
        <f t="shared" si="673"/>
        <v>1.4582852960390618</v>
      </c>
      <c r="EH265" s="150">
        <f t="shared" si="701"/>
        <v>2.6539761536744497</v>
      </c>
      <c r="EI265" s="150">
        <f t="shared" si="702"/>
        <v>4.135689580496078</v>
      </c>
      <c r="EK265" s="456">
        <f t="shared" si="703"/>
        <v>8.4523073091271522E-2</v>
      </c>
      <c r="EL265" s="456">
        <f t="shared" si="704"/>
        <v>4.437461337291758</v>
      </c>
      <c r="EM265" s="456">
        <f t="shared" si="705"/>
        <v>4.0250000000000001E-2</v>
      </c>
      <c r="EN265" s="456">
        <f t="shared" si="706"/>
        <v>1.1132956800000005</v>
      </c>
      <c r="EO265">
        <f t="shared" si="707"/>
        <v>2.1600000000000001E-2</v>
      </c>
      <c r="EP265" s="144">
        <f t="shared" si="708"/>
        <v>61.85</v>
      </c>
      <c r="EQ265" s="144"/>
      <c r="ER265" s="144">
        <f t="shared" si="709"/>
        <v>5697.1300903830306</v>
      </c>
      <c r="ES265" s="456">
        <f t="shared" si="710"/>
        <v>1.3719999999999999</v>
      </c>
      <c r="EV265" s="144">
        <f t="shared" si="711"/>
        <v>1372</v>
      </c>
      <c r="EW265" s="456">
        <f t="shared" si="712"/>
        <v>9.8610251939816776E-2</v>
      </c>
      <c r="EX265" s="456">
        <f t="shared" si="713"/>
        <v>0.23945499628713354</v>
      </c>
      <c r="EY265" s="456">
        <f t="shared" si="714"/>
        <v>24.217666855965042</v>
      </c>
      <c r="EZ265" s="456"/>
      <c r="FA265" s="456">
        <f t="shared" si="715"/>
        <v>2.5354893617021275</v>
      </c>
      <c r="FB265" s="144">
        <f t="shared" si="716"/>
        <v>27091.221465894119</v>
      </c>
      <c r="FC265" s="150">
        <f t="shared" si="717"/>
        <v>34.160351556277149</v>
      </c>
      <c r="FD265" s="5">
        <f t="shared" si="718"/>
        <v>58.8</v>
      </c>
      <c r="FE265" s="150">
        <f t="shared" si="719"/>
        <v>0.63252772838754967</v>
      </c>
      <c r="FF265" s="5">
        <f t="shared" si="720"/>
        <v>63.252772838754964</v>
      </c>
      <c r="FI265" s="59">
        <f t="shared" si="674"/>
        <v>-50</v>
      </c>
      <c r="FJ265">
        <f t="shared" si="675"/>
        <v>-50</v>
      </c>
      <c r="FL265">
        <f t="shared" si="758"/>
        <v>0.46056315642117052</v>
      </c>
    </row>
    <row r="266" spans="5:168">
      <c r="E266" s="147">
        <v>50</v>
      </c>
      <c r="F266" s="188">
        <f t="shared" si="759"/>
        <v>2</v>
      </c>
      <c r="G266" s="188"/>
      <c r="H266" s="188">
        <f t="shared" si="725"/>
        <v>60</v>
      </c>
      <c r="I266" s="465">
        <f t="shared" si="726"/>
        <v>47.888967268442123</v>
      </c>
      <c r="J266" s="149">
        <f t="shared" si="727"/>
        <v>30.45978685545424</v>
      </c>
      <c r="K266" s="149">
        <f t="shared" si="728"/>
        <v>78.348754123896356</v>
      </c>
      <c r="L266" s="379"/>
      <c r="M266" s="188">
        <f t="shared" si="729"/>
        <v>0.38877490792121677</v>
      </c>
      <c r="N266" s="149">
        <f t="shared" si="730"/>
        <v>284.94346963111639</v>
      </c>
      <c r="O266" s="149">
        <f t="shared" si="760"/>
        <v>60</v>
      </c>
      <c r="P266" s="188">
        <f t="shared" si="731"/>
        <v>9.4981156543705456</v>
      </c>
      <c r="Q266" s="188">
        <f t="shared" si="732"/>
        <v>30</v>
      </c>
      <c r="R266" s="188"/>
      <c r="S266" s="149">
        <f t="shared" si="733"/>
        <v>314.966979933895</v>
      </c>
      <c r="T266" s="149">
        <f t="shared" si="734"/>
        <v>30</v>
      </c>
      <c r="U266" s="188">
        <f t="shared" si="735"/>
        <v>6.4453654589200182</v>
      </c>
      <c r="V266" s="188">
        <f t="shared" si="736"/>
        <v>0.63257195518782294</v>
      </c>
      <c r="W266" s="188">
        <f t="shared" si="737"/>
        <v>0.99453150478955743</v>
      </c>
      <c r="X266" s="172">
        <f t="shared" si="738"/>
        <v>350</v>
      </c>
      <c r="Y266" s="379">
        <f t="shared" si="678"/>
        <v>350</v>
      </c>
      <c r="AA266" s="188">
        <f t="shared" si="739"/>
        <v>11.317860440715078</v>
      </c>
      <c r="AB266" s="150">
        <f t="shared" si="740"/>
        <v>1.7463662606633037</v>
      </c>
      <c r="AC266" s="150">
        <f t="shared" si="741"/>
        <v>3.4588976828981264</v>
      </c>
      <c r="AD266" s="150"/>
      <c r="AE266" s="150">
        <f t="shared" si="742"/>
        <v>0.93516243629747797</v>
      </c>
      <c r="AF266" s="314">
        <f t="shared" si="743"/>
        <v>705.75974224658864</v>
      </c>
      <c r="AG266" s="456">
        <f t="shared" si="744"/>
        <v>0.9918389475882341</v>
      </c>
      <c r="AI266" s="150">
        <f t="shared" si="745"/>
        <v>8.6061809774314018</v>
      </c>
      <c r="AJ266" s="150">
        <f t="shared" si="746"/>
        <v>8.6061809774314018</v>
      </c>
      <c r="AK266" s="150">
        <f t="shared" si="747"/>
        <v>3.0856110495002529</v>
      </c>
      <c r="AM266" s="314">
        <f t="shared" si="748"/>
        <v>2000</v>
      </c>
      <c r="AN266" s="144">
        <f t="shared" si="749"/>
        <v>350</v>
      </c>
      <c r="AP266">
        <f t="shared" si="750"/>
        <v>2000</v>
      </c>
      <c r="AQ266">
        <f t="shared" si="751"/>
        <v>350</v>
      </c>
      <c r="AS266" s="5">
        <f t="shared" si="761"/>
        <v>2.8571428571428572</v>
      </c>
      <c r="AT266" s="5">
        <f t="shared" si="752"/>
        <v>0.844642365478253</v>
      </c>
      <c r="AU266" s="5">
        <f t="shared" si="721"/>
        <v>2.0125004916646043</v>
      </c>
      <c r="AV266" s="5"/>
      <c r="AW266" s="150">
        <f t="shared" si="722"/>
        <v>0.29562482791738853</v>
      </c>
      <c r="AX266" s="150">
        <f t="shared" si="630"/>
        <v>60.919573710908494</v>
      </c>
      <c r="AY266" s="150">
        <f t="shared" si="631"/>
        <v>3.0309901034761704</v>
      </c>
      <c r="AZ266" s="150">
        <f t="shared" si="632"/>
        <v>20.098902217147224</v>
      </c>
      <c r="BA266" s="144">
        <f t="shared" si="723"/>
        <v>5.6309491031883532</v>
      </c>
      <c r="BB266" s="5">
        <f t="shared" si="724"/>
        <v>1.4832107094608669</v>
      </c>
      <c r="BD266" s="150">
        <f t="shared" si="679"/>
        <v>2.7015953480405615</v>
      </c>
      <c r="BE266" s="150">
        <f t="shared" si="680"/>
        <v>4.1701518254790555</v>
      </c>
      <c r="BG266" s="456">
        <f t="shared" si="681"/>
        <v>8.7583409094652828E-2</v>
      </c>
      <c r="BH266" s="456">
        <f t="shared" si="753"/>
        <v>4.3069862225509405</v>
      </c>
      <c r="BI266" s="456">
        <f t="shared" si="682"/>
        <v>4.0250000000000001E-2</v>
      </c>
      <c r="BJ266" s="456">
        <f t="shared" si="683"/>
        <v>1.1118407522798806</v>
      </c>
      <c r="BK266">
        <f t="shared" si="684"/>
        <v>2.1550035270798955E-2</v>
      </c>
      <c r="BL266" s="144">
        <f t="shared" si="685"/>
        <v>61.800035270798958</v>
      </c>
      <c r="BM266" s="456">
        <f t="shared" si="754"/>
        <v>5.6475830804296754</v>
      </c>
      <c r="BN266" s="144">
        <f t="shared" si="686"/>
        <v>5647.5830804296756</v>
      </c>
      <c r="BO266" s="456">
        <f t="shared" si="635"/>
        <v>1.4</v>
      </c>
      <c r="BR266" s="144">
        <f t="shared" si="687"/>
        <v>1400</v>
      </c>
      <c r="BS266" s="456">
        <f t="shared" si="688"/>
        <v>0.10218064394376164</v>
      </c>
      <c r="BT266" s="456">
        <f t="shared" si="689"/>
        <v>0.24346232746564822</v>
      </c>
      <c r="BU266" s="456">
        <f t="shared" si="690"/>
        <v>24.898105424793737</v>
      </c>
      <c r="BV266" s="456"/>
      <c r="BW266" s="456">
        <f t="shared" si="691"/>
        <v>2.5923222855705745</v>
      </c>
      <c r="BX266" s="144">
        <f t="shared" si="692"/>
        <v>27836.070681773723</v>
      </c>
      <c r="BY266" s="150">
        <f t="shared" si="693"/>
        <v>34.804281100969995</v>
      </c>
      <c r="BZ266" s="5">
        <f t="shared" si="694"/>
        <v>60</v>
      </c>
      <c r="CA266" s="150">
        <f t="shared" si="695"/>
        <v>0.63288281186477036</v>
      </c>
      <c r="CB266" s="5">
        <f t="shared" si="696"/>
        <v>63.288281186477036</v>
      </c>
      <c r="CE266" s="59">
        <f t="shared" si="755"/>
        <v>-50</v>
      </c>
      <c r="CF266">
        <f t="shared" si="756"/>
        <v>-50</v>
      </c>
      <c r="CG266" s="150">
        <f t="shared" si="757"/>
        <v>0.46833036772489284</v>
      </c>
      <c r="CI266" s="147">
        <v>50</v>
      </c>
      <c r="CJ266" s="188">
        <f t="shared" si="697"/>
        <v>2</v>
      </c>
      <c r="CK266" s="188"/>
      <c r="CL266" s="188">
        <f t="shared" si="639"/>
        <v>60</v>
      </c>
      <c r="CM266" s="465">
        <f t="shared" si="640"/>
        <v>48</v>
      </c>
      <c r="CN266" s="379">
        <f t="shared" si="641"/>
        <v>30.4</v>
      </c>
      <c r="CO266" s="379">
        <f t="shared" si="642"/>
        <v>78.400000000000006</v>
      </c>
      <c r="CP266" s="379"/>
      <c r="CQ266" s="188">
        <f t="shared" si="643"/>
        <v>0.38775510204081626</v>
      </c>
      <c r="CR266" s="149">
        <f t="shared" si="644"/>
        <v>284.85494809142222</v>
      </c>
      <c r="CS266" s="149">
        <f t="shared" si="645"/>
        <v>60</v>
      </c>
      <c r="CT266" s="188">
        <f t="shared" si="646"/>
        <v>9.4951649363807409</v>
      </c>
      <c r="CU266" s="188">
        <f t="shared" si="647"/>
        <v>30</v>
      </c>
      <c r="CV266" s="188"/>
      <c r="CW266" s="149">
        <f t="shared" si="648"/>
        <v>315.69710446482679</v>
      </c>
      <c r="CX266" s="149">
        <f t="shared" si="649"/>
        <v>30</v>
      </c>
      <c r="CY266" s="188">
        <f t="shared" si="650"/>
        <v>6.4473684210526327</v>
      </c>
      <c r="CZ266" s="188">
        <f t="shared" si="651"/>
        <v>0.63130482456140358</v>
      </c>
      <c r="DA266" s="188">
        <f t="shared" si="652"/>
        <v>0.99679709141274253</v>
      </c>
      <c r="DB266" s="172">
        <f t="shared" si="653"/>
        <v>350</v>
      </c>
      <c r="DC266" s="379">
        <f t="shared" si="654"/>
        <v>350</v>
      </c>
      <c r="DE266" s="188">
        <f t="shared" si="655"/>
        <v>11.314434588425037</v>
      </c>
      <c r="DF266" s="150">
        <f t="shared" si="656"/>
        <v>1.7492711370262393</v>
      </c>
      <c r="DG266" s="150">
        <f t="shared" si="657"/>
        <v>3.463602425028073</v>
      </c>
      <c r="DH266" s="150"/>
      <c r="DI266" s="150">
        <f t="shared" si="658"/>
        <v>0.93700159489633172</v>
      </c>
      <c r="DJ266" s="314">
        <f t="shared" si="659"/>
        <v>704.3744680851064</v>
      </c>
      <c r="DK266" s="456">
        <f t="shared" si="660"/>
        <v>0.99378957034459414</v>
      </c>
      <c r="DM266" s="150">
        <f t="shared" si="661"/>
        <v>8.597730668285493</v>
      </c>
      <c r="DN266" s="150">
        <f t="shared" si="662"/>
        <v>8.597730668285493</v>
      </c>
      <c r="DO266" s="150">
        <f t="shared" si="663"/>
        <v>3.0793515612440236</v>
      </c>
      <c r="DQ266" s="314">
        <f t="shared" si="664"/>
        <v>2000</v>
      </c>
      <c r="DR266" s="144">
        <f t="shared" si="665"/>
        <v>350</v>
      </c>
      <c r="DT266">
        <f t="shared" si="666"/>
        <v>2000</v>
      </c>
      <c r="DU266">
        <f t="shared" si="667"/>
        <v>350</v>
      </c>
      <c r="DW266" s="5">
        <f t="shared" si="668"/>
        <v>2.8571428571428572</v>
      </c>
      <c r="DX266" s="5">
        <f t="shared" si="669"/>
        <v>0.84186112793628787</v>
      </c>
      <c r="DY266" s="5">
        <f t="shared" si="670"/>
        <v>2.0152817292065692</v>
      </c>
      <c r="DZ266" s="5"/>
      <c r="EA266" s="150">
        <f t="shared" si="671"/>
        <v>0.29465139477770075</v>
      </c>
      <c r="EB266" s="150">
        <f t="shared" si="698"/>
        <v>60.800000000000011</v>
      </c>
      <c r="EC266" s="150">
        <f t="shared" si="699"/>
        <v>3.0321986674760795</v>
      </c>
      <c r="ED266" s="150">
        <f t="shared" si="700"/>
        <v>20.051456605450028</v>
      </c>
      <c r="EE266" s="144">
        <f t="shared" si="672"/>
        <v>5.6124075195752523</v>
      </c>
      <c r="EF266" s="5">
        <f t="shared" si="673"/>
        <v>1.481824800887183</v>
      </c>
      <c r="EH266" s="150">
        <f t="shared" si="701"/>
        <v>2.6944954810990693</v>
      </c>
      <c r="EI266" s="150">
        <f t="shared" si="702"/>
        <v>4.1689349139952991</v>
      </c>
      <c r="EK266" s="456">
        <f t="shared" si="703"/>
        <v>8.7123670771959663E-2</v>
      </c>
      <c r="EL266" s="456">
        <f t="shared" si="704"/>
        <v>4.4825128612173248</v>
      </c>
      <c r="EM266" s="456">
        <f t="shared" si="705"/>
        <v>4.0250000000000001E-2</v>
      </c>
      <c r="EN266" s="456">
        <f t="shared" si="706"/>
        <v>1.1132956800000005</v>
      </c>
      <c r="EO266">
        <f t="shared" si="707"/>
        <v>2.1600000000000001E-2</v>
      </c>
      <c r="EP266" s="144">
        <f t="shared" si="708"/>
        <v>61.85</v>
      </c>
      <c r="EQ266" s="144"/>
      <c r="ER266" s="144">
        <f t="shared" si="709"/>
        <v>5744.7822119892853</v>
      </c>
      <c r="ES266" s="456">
        <f t="shared" si="710"/>
        <v>1.4</v>
      </c>
      <c r="EV266" s="144">
        <f t="shared" si="711"/>
        <v>1400</v>
      </c>
      <c r="EW266" s="456">
        <f t="shared" si="712"/>
        <v>0.10164428256728628</v>
      </c>
      <c r="EX266" s="456">
        <f t="shared" si="713"/>
        <v>0.2433202564398059</v>
      </c>
      <c r="EY266" s="456">
        <f t="shared" si="714"/>
        <v>24.837032524296749</v>
      </c>
      <c r="EZ266" s="456"/>
      <c r="FA266" s="456">
        <f t="shared" si="715"/>
        <v>2.5872340425531921</v>
      </c>
      <c r="FB266" s="144">
        <f t="shared" si="716"/>
        <v>27769.23110585703</v>
      </c>
      <c r="FC266" s="150">
        <f t="shared" si="717"/>
        <v>34.914013317846319</v>
      </c>
      <c r="FD266" s="5">
        <f t="shared" si="718"/>
        <v>60</v>
      </c>
      <c r="FE266" s="150">
        <f t="shared" si="719"/>
        <v>0.63215112186936073</v>
      </c>
      <c r="FF266" s="5">
        <f t="shared" si="720"/>
        <v>63.215112186936075</v>
      </c>
      <c r="FI266" s="59">
        <f t="shared" si="674"/>
        <v>-50</v>
      </c>
      <c r="FJ266">
        <f t="shared" si="675"/>
        <v>-50</v>
      </c>
      <c r="FL266">
        <f t="shared" si="758"/>
        <v>0.46523904438584324</v>
      </c>
    </row>
    <row r="267" spans="5:168">
      <c r="E267" s="147">
        <v>51</v>
      </c>
      <c r="F267" s="188">
        <f t="shared" si="759"/>
        <v>2.04</v>
      </c>
      <c r="G267" s="188"/>
      <c r="H267" s="188">
        <f t="shared" si="725"/>
        <v>61.2</v>
      </c>
      <c r="I267" s="465">
        <f t="shared" si="726"/>
        <v>47.88786243793114</v>
      </c>
      <c r="J267" s="149">
        <f t="shared" si="727"/>
        <v>30.460381764190924</v>
      </c>
      <c r="K267" s="149">
        <f t="shared" si="728"/>
        <v>78.348244202122061</v>
      </c>
      <c r="L267" s="379"/>
      <c r="M267" s="188">
        <f t="shared" si="729"/>
        <v>0.3887850621446951</v>
      </c>
      <c r="N267" s="149">
        <f t="shared" si="730"/>
        <v>284.94433792339828</v>
      </c>
      <c r="O267" s="149">
        <f t="shared" si="760"/>
        <v>61.2</v>
      </c>
      <c r="P267" s="188">
        <f t="shared" si="731"/>
        <v>9.4981445974466094</v>
      </c>
      <c r="Q267" s="188">
        <f t="shared" si="732"/>
        <v>30</v>
      </c>
      <c r="R267" s="188"/>
      <c r="S267" s="149">
        <f t="shared" si="733"/>
        <v>307.84764889126183</v>
      </c>
      <c r="T267" s="149">
        <f t="shared" si="734"/>
        <v>30</v>
      </c>
      <c r="U267" s="188">
        <f t="shared" si="735"/>
        <v>6.5742527347461319</v>
      </c>
      <c r="V267" s="188">
        <f t="shared" si="736"/>
        <v>0.64523631417785454</v>
      </c>
      <c r="W267" s="188">
        <f t="shared" si="737"/>
        <v>1.014399231516905</v>
      </c>
      <c r="X267" s="172">
        <f t="shared" si="738"/>
        <v>350</v>
      </c>
      <c r="Y267" s="379">
        <f t="shared" si="678"/>
        <v>350</v>
      </c>
      <c r="AA267" s="188">
        <f t="shared" si="739"/>
        <v>11.317894034541535</v>
      </c>
      <c r="AB267" s="150">
        <f t="shared" si="740"/>
        <v>1.7463373366147346</v>
      </c>
      <c r="AC267" s="150">
        <f t="shared" si="741"/>
        <v>3.4588506617645849</v>
      </c>
      <c r="AD267" s="150"/>
      <c r="AE267" s="150">
        <f t="shared" si="742"/>
        <v>0.93514417203841915</v>
      </c>
      <c r="AF267" s="314">
        <f t="shared" si="743"/>
        <v>719.88899693676581</v>
      </c>
      <c r="AG267" s="456">
        <f t="shared" si="744"/>
        <v>0.99181957640438401</v>
      </c>
      <c r="AI267" s="150">
        <f t="shared" si="745"/>
        <v>8.691901607528342</v>
      </c>
      <c r="AJ267" s="150">
        <f t="shared" si="746"/>
        <v>8.691901607528342</v>
      </c>
      <c r="AK267" s="150">
        <f t="shared" si="747"/>
        <v>3.1491078125350231</v>
      </c>
      <c r="AM267" s="314">
        <f t="shared" si="748"/>
        <v>2040</v>
      </c>
      <c r="AN267" s="144">
        <f t="shared" si="749"/>
        <v>350</v>
      </c>
      <c r="AP267">
        <f t="shared" si="750"/>
        <v>2040</v>
      </c>
      <c r="AQ267">
        <f t="shared" si="751"/>
        <v>350</v>
      </c>
      <c r="AS267" s="5">
        <f t="shared" si="761"/>
        <v>2.8571428571428572</v>
      </c>
      <c r="AT267" s="5">
        <f t="shared" si="752"/>
        <v>0.85307498551084004</v>
      </c>
      <c r="AU267" s="5">
        <f t="shared" si="721"/>
        <v>2.0040678716320173</v>
      </c>
      <c r="AV267" s="5"/>
      <c r="AW267" s="150">
        <f t="shared" si="722"/>
        <v>0.29857624492879403</v>
      </c>
      <c r="AX267" s="150">
        <f t="shared" si="630"/>
        <v>62.13917879894948</v>
      </c>
      <c r="AY267" s="150">
        <f t="shared" si="631"/>
        <v>3.0483531321309902</v>
      </c>
      <c r="AZ267" s="150">
        <f t="shared" si="632"/>
        <v>20.384507996785231</v>
      </c>
      <c r="BA267" s="144">
        <f t="shared" si="723"/>
        <v>5.8009099014737124</v>
      </c>
      <c r="BB267" s="5">
        <f t="shared" si="724"/>
        <v>1.5065705526585935</v>
      </c>
      <c r="BD267" s="150">
        <f t="shared" si="679"/>
        <v>2.7420906000098384</v>
      </c>
      <c r="BE267" s="150">
        <f t="shared" si="680"/>
        <v>4.202855020854547</v>
      </c>
      <c r="BG267" s="456">
        <f t="shared" si="681"/>
        <v>9.0228730303947791E-2</v>
      </c>
      <c r="BH267" s="456">
        <f t="shared" si="753"/>
        <v>4.3498570298840731</v>
      </c>
      <c r="BI267" s="456">
        <f t="shared" si="682"/>
        <v>4.0250000000000001E-2</v>
      </c>
      <c r="BJ267" s="456">
        <f t="shared" si="683"/>
        <v>1.1118262798107135</v>
      </c>
      <c r="BK267">
        <f t="shared" si="684"/>
        <v>2.1549538097069013E-2</v>
      </c>
      <c r="BL267" s="144">
        <f t="shared" si="685"/>
        <v>61.799538097069011</v>
      </c>
      <c r="BM267" s="456">
        <f t="shared" si="754"/>
        <v>5.6984389038869319</v>
      </c>
      <c r="BN267" s="144">
        <f t="shared" si="686"/>
        <v>5698.4389038869322</v>
      </c>
      <c r="BO267" s="456">
        <f t="shared" si="635"/>
        <v>1.4279999999999999</v>
      </c>
      <c r="BR267" s="144">
        <f t="shared" si="687"/>
        <v>1428</v>
      </c>
      <c r="BS267" s="456">
        <f t="shared" si="688"/>
        <v>0.10526685202127242</v>
      </c>
      <c r="BT267" s="456">
        <f t="shared" si="689"/>
        <v>0.24729586456851185</v>
      </c>
      <c r="BU267" s="456">
        <f t="shared" si="690"/>
        <v>25.522729569109167</v>
      </c>
      <c r="BV267" s="456"/>
      <c r="BW267" s="456">
        <f t="shared" si="691"/>
        <v>2.6442203744233823</v>
      </c>
      <c r="BX267" s="144">
        <f t="shared" si="692"/>
        <v>28519.512660122335</v>
      </c>
      <c r="BY267" s="150">
        <f t="shared" si="693"/>
        <v>35.561224238218138</v>
      </c>
      <c r="BZ267" s="5">
        <f t="shared" si="694"/>
        <v>61.2</v>
      </c>
      <c r="CA267" s="150">
        <f t="shared" si="695"/>
        <v>0.6324847632077355</v>
      </c>
      <c r="CB267" s="5">
        <f t="shared" si="696"/>
        <v>63.248476320773548</v>
      </c>
      <c r="CE267" s="59">
        <f t="shared" si="755"/>
        <v>-50</v>
      </c>
      <c r="CF267">
        <f t="shared" si="756"/>
        <v>-50</v>
      </c>
      <c r="CG267" s="150">
        <f t="shared" si="757"/>
        <v>0.47299048616224831</v>
      </c>
      <c r="CI267" s="147">
        <v>51</v>
      </c>
      <c r="CJ267" s="188">
        <f t="shared" si="697"/>
        <v>2.04</v>
      </c>
      <c r="CK267" s="188"/>
      <c r="CL267" s="188">
        <f t="shared" si="639"/>
        <v>61.2</v>
      </c>
      <c r="CM267" s="465">
        <f t="shared" si="640"/>
        <v>48</v>
      </c>
      <c r="CN267" s="379">
        <f t="shared" si="641"/>
        <v>30.4</v>
      </c>
      <c r="CO267" s="379">
        <f t="shared" si="642"/>
        <v>78.400000000000006</v>
      </c>
      <c r="CP267" s="379"/>
      <c r="CQ267" s="188">
        <f t="shared" si="643"/>
        <v>0.38775510204081626</v>
      </c>
      <c r="CR267" s="149">
        <f t="shared" si="644"/>
        <v>284.85494809142222</v>
      </c>
      <c r="CS267" s="149">
        <f t="shared" si="645"/>
        <v>61.2</v>
      </c>
      <c r="CT267" s="188">
        <f t="shared" si="646"/>
        <v>9.4951649363807409</v>
      </c>
      <c r="CU267" s="188">
        <f t="shared" si="647"/>
        <v>30</v>
      </c>
      <c r="CV267" s="188"/>
      <c r="CW267" s="149">
        <f t="shared" si="648"/>
        <v>308.56838114030649</v>
      </c>
      <c r="CX267" s="149">
        <f t="shared" si="649"/>
        <v>30</v>
      </c>
      <c r="CY267" s="188">
        <f t="shared" si="650"/>
        <v>6.5763157894736857</v>
      </c>
      <c r="CZ267" s="188">
        <f t="shared" si="651"/>
        <v>0.64393092105263172</v>
      </c>
      <c r="DA267" s="188">
        <f t="shared" si="652"/>
        <v>1.0167330332409974</v>
      </c>
      <c r="DB267" s="172">
        <f t="shared" si="653"/>
        <v>350</v>
      </c>
      <c r="DC267" s="379">
        <f t="shared" si="654"/>
        <v>350</v>
      </c>
      <c r="DE267" s="188">
        <f t="shared" si="655"/>
        <v>11.314434588425037</v>
      </c>
      <c r="DF267" s="150">
        <f t="shared" si="656"/>
        <v>1.7492711370262393</v>
      </c>
      <c r="DG267" s="150">
        <f t="shared" si="657"/>
        <v>3.463602425028073</v>
      </c>
      <c r="DH267" s="150"/>
      <c r="DI267" s="150">
        <f t="shared" si="658"/>
        <v>0.93700159489633172</v>
      </c>
      <c r="DJ267" s="314">
        <f t="shared" si="659"/>
        <v>718.46195744680858</v>
      </c>
      <c r="DK267" s="456">
        <f t="shared" si="660"/>
        <v>0.99378957034459414</v>
      </c>
      <c r="DM267" s="150">
        <f t="shared" si="661"/>
        <v>8.6832823343056411</v>
      </c>
      <c r="DN267" s="150">
        <f t="shared" si="662"/>
        <v>8.6832823343056411</v>
      </c>
      <c r="DO267" s="150">
        <f t="shared" si="663"/>
        <v>3.1427231657033929</v>
      </c>
      <c r="DQ267" s="314">
        <f t="shared" si="664"/>
        <v>2040</v>
      </c>
      <c r="DR267" s="144">
        <f t="shared" si="665"/>
        <v>350</v>
      </c>
      <c r="DT267">
        <f t="shared" si="666"/>
        <v>2040</v>
      </c>
      <c r="DU267">
        <f t="shared" si="667"/>
        <v>350</v>
      </c>
      <c r="DW267" s="5">
        <f t="shared" si="668"/>
        <v>2.8571428571428572</v>
      </c>
      <c r="DX267" s="5">
        <f t="shared" si="669"/>
        <v>0.85023806190076057</v>
      </c>
      <c r="DY267" s="5">
        <f t="shared" si="670"/>
        <v>2.0069047952420966</v>
      </c>
      <c r="DZ267" s="5"/>
      <c r="EA267" s="150">
        <f t="shared" si="671"/>
        <v>0.29758332166526619</v>
      </c>
      <c r="EB267" s="150">
        <f t="shared" si="698"/>
        <v>62.015999999999991</v>
      </c>
      <c r="EC267" s="150">
        <f t="shared" si="699"/>
        <v>3.0496411671528212</v>
      </c>
      <c r="ED267" s="150">
        <f t="shared" si="700"/>
        <v>20.335507228838605</v>
      </c>
      <c r="EE267" s="144">
        <f t="shared" si="672"/>
        <v>5.7816188209251722</v>
      </c>
      <c r="EF267" s="5">
        <f t="shared" si="673"/>
        <v>1.5051785964315725</v>
      </c>
      <c r="EH267" s="150">
        <f t="shared" si="701"/>
        <v>2.7348127024134441</v>
      </c>
      <c r="EI267" s="150">
        <f t="shared" si="702"/>
        <v>4.2016580277083735</v>
      </c>
      <c r="EK267" s="456">
        <f t="shared" si="703"/>
        <v>8.9750406207383102E-2</v>
      </c>
      <c r="EL267" s="456">
        <f t="shared" si="704"/>
        <v>4.5271160778135897</v>
      </c>
      <c r="EM267" s="456">
        <f t="shared" si="705"/>
        <v>4.0250000000000001E-2</v>
      </c>
      <c r="EN267" s="456">
        <f t="shared" si="706"/>
        <v>1.1132956800000005</v>
      </c>
      <c r="EO267">
        <f t="shared" si="707"/>
        <v>2.1600000000000001E-2</v>
      </c>
      <c r="EP267" s="144">
        <f t="shared" si="708"/>
        <v>61.85</v>
      </c>
      <c r="EQ267" s="144"/>
      <c r="ER267" s="144">
        <f t="shared" si="709"/>
        <v>5792.0121640209736</v>
      </c>
      <c r="ES267" s="456">
        <f t="shared" si="710"/>
        <v>1.4279999999999999</v>
      </c>
      <c r="EV267" s="144">
        <f t="shared" si="711"/>
        <v>1428</v>
      </c>
      <c r="EW267" s="456">
        <f t="shared" si="712"/>
        <v>0.10470880724194696</v>
      </c>
      <c r="EX267" s="456">
        <f t="shared" si="713"/>
        <v>0.2471550225452871</v>
      </c>
      <c r="EY267" s="456">
        <f t="shared" si="714"/>
        <v>25.459502957540195</v>
      </c>
      <c r="EZ267" s="456"/>
      <c r="FA267" s="456">
        <f t="shared" si="715"/>
        <v>2.638978723404255</v>
      </c>
      <c r="FB267" s="144">
        <f t="shared" si="716"/>
        <v>28450.345510731684</v>
      </c>
      <c r="FC267" s="150">
        <f t="shared" si="717"/>
        <v>35.670357674752658</v>
      </c>
      <c r="FD267" s="5">
        <f t="shared" si="718"/>
        <v>61.2</v>
      </c>
      <c r="FE267" s="150">
        <f t="shared" si="719"/>
        <v>0.63177221049892518</v>
      </c>
      <c r="FF267" s="5">
        <f t="shared" si="720"/>
        <v>63.177221049892516</v>
      </c>
      <c r="FI267" s="59">
        <f t="shared" si="674"/>
        <v>-50</v>
      </c>
      <c r="FJ267">
        <f t="shared" si="675"/>
        <v>-50</v>
      </c>
      <c r="FL267">
        <f t="shared" si="758"/>
        <v>0.4698684026293678</v>
      </c>
    </row>
    <row r="268" spans="5:168">
      <c r="E268" s="147">
        <v>52</v>
      </c>
      <c r="F268" s="188">
        <f t="shared" si="759"/>
        <v>2.08</v>
      </c>
      <c r="G268" s="188"/>
      <c r="H268" s="188">
        <f t="shared" si="725"/>
        <v>62.400000000000006</v>
      </c>
      <c r="I268" s="465">
        <f t="shared" si="726"/>
        <v>47.886768387027772</v>
      </c>
      <c r="J268" s="149">
        <f t="shared" si="727"/>
        <v>30.460970868523503</v>
      </c>
      <c r="K268" s="149">
        <f t="shared" si="728"/>
        <v>78.347739255551275</v>
      </c>
      <c r="L268" s="379"/>
      <c r="M268" s="188">
        <f t="shared" si="729"/>
        <v>0.38879511742470863</v>
      </c>
      <c r="N268" s="149">
        <f t="shared" si="730"/>
        <v>284.94519750025734</v>
      </c>
      <c r="O268" s="149">
        <f t="shared" si="760"/>
        <v>62.400000000000006</v>
      </c>
      <c r="P268" s="188">
        <f t="shared" si="731"/>
        <v>9.4981732500085787</v>
      </c>
      <c r="Q268" s="188">
        <f t="shared" si="732"/>
        <v>30</v>
      </c>
      <c r="R268" s="188"/>
      <c r="S268" s="149">
        <f t="shared" si="733"/>
        <v>301.00231086692776</v>
      </c>
      <c r="T268" s="149">
        <f t="shared" si="734"/>
        <v>30</v>
      </c>
      <c r="U268" s="188">
        <f t="shared" si="735"/>
        <v>6.7031394300993856</v>
      </c>
      <c r="V268" s="188">
        <f t="shared" si="736"/>
        <v>0.65790105247531283</v>
      </c>
      <c r="W268" s="188">
        <f t="shared" si="737"/>
        <v>1.0342662897203383</v>
      </c>
      <c r="X268" s="172">
        <f t="shared" si="738"/>
        <v>350</v>
      </c>
      <c r="Y268" s="379">
        <f t="shared" si="678"/>
        <v>350</v>
      </c>
      <c r="AA268" s="188">
        <f t="shared" si="739"/>
        <v>11.31792729097991</v>
      </c>
      <c r="AB268" s="150">
        <f t="shared" si="740"/>
        <v>1.7463086944012429</v>
      </c>
      <c r="AC268" s="150">
        <f t="shared" si="741"/>
        <v>3.4588040953968813</v>
      </c>
      <c r="AD268" s="150"/>
      <c r="AE268" s="150">
        <f t="shared" si="742"/>
        <v>0.93512608668304054</v>
      </c>
      <c r="AF268" s="314">
        <f t="shared" si="743"/>
        <v>734.01866312457423</v>
      </c>
      <c r="AG268" s="456">
        <f t="shared" si="744"/>
        <v>0.99180039496686101</v>
      </c>
      <c r="AI268" s="150">
        <f t="shared" si="745"/>
        <v>8.7767875261085457</v>
      </c>
      <c r="AJ268" s="150">
        <f t="shared" si="746"/>
        <v>8.7767875261085457</v>
      </c>
      <c r="AK268" s="150">
        <f t="shared" si="747"/>
        <v>3.2119862707425817</v>
      </c>
      <c r="AM268" s="314">
        <f t="shared" si="748"/>
        <v>2080</v>
      </c>
      <c r="AN268" s="144">
        <f t="shared" si="749"/>
        <v>350</v>
      </c>
      <c r="AP268">
        <f t="shared" si="750"/>
        <v>2080</v>
      </c>
      <c r="AQ268">
        <f t="shared" si="751"/>
        <v>350</v>
      </c>
      <c r="AS268" s="5">
        <f t="shared" si="761"/>
        <v>2.8571428571428572</v>
      </c>
      <c r="AT268" s="5">
        <f t="shared" si="752"/>
        <v>0.86142587529219816</v>
      </c>
      <c r="AU268" s="5">
        <f t="shared" si="721"/>
        <v>1.995716981850659</v>
      </c>
      <c r="AV268" s="5"/>
      <c r="AW268" s="150">
        <f t="shared" si="722"/>
        <v>0.30149905635226937</v>
      </c>
      <c r="AX268" s="150">
        <f t="shared" si="630"/>
        <v>63.35881940652888</v>
      </c>
      <c r="AY268" s="150">
        <f t="shared" si="631"/>
        <v>3.0652971845912251</v>
      </c>
      <c r="AZ268" s="150">
        <f t="shared" si="632"/>
        <v>20.669715068745656</v>
      </c>
      <c r="BA268" s="144">
        <f t="shared" si="723"/>
        <v>5.9725527353592405</v>
      </c>
      <c r="BB268" s="5">
        <f t="shared" si="724"/>
        <v>1.5297451720592892</v>
      </c>
      <c r="BD268" s="150">
        <f t="shared" si="679"/>
        <v>2.7823895660255022</v>
      </c>
      <c r="BE268" s="150">
        <f t="shared" si="680"/>
        <v>4.2350491609532241</v>
      </c>
      <c r="BG268" s="456">
        <f t="shared" si="681"/>
        <v>9.2900300365530999E-2</v>
      </c>
      <c r="BH268" s="456">
        <f t="shared" si="753"/>
        <v>4.3923098295628726</v>
      </c>
      <c r="BI268" s="456">
        <f t="shared" si="682"/>
        <v>4.0250000000000001E-2</v>
      </c>
      <c r="BJ268" s="456">
        <f t="shared" si="683"/>
        <v>1.1118119486393159</v>
      </c>
      <c r="BK268">
        <f t="shared" si="684"/>
        <v>2.1549045774162497E-2</v>
      </c>
      <c r="BL268" s="144">
        <f t="shared" si="685"/>
        <v>61.799045774162494</v>
      </c>
      <c r="BM268" s="456">
        <f t="shared" si="754"/>
        <v>5.7490035553930205</v>
      </c>
      <c r="BN268" s="144">
        <f t="shared" si="686"/>
        <v>5749.0035553930202</v>
      </c>
      <c r="BO268" s="456">
        <f t="shared" si="635"/>
        <v>1.456</v>
      </c>
      <c r="BR268" s="144">
        <f t="shared" si="687"/>
        <v>1456</v>
      </c>
      <c r="BS268" s="456">
        <f t="shared" si="688"/>
        <v>0.10838368375978616</v>
      </c>
      <c r="BT268" s="456">
        <f t="shared" si="689"/>
        <v>0.25109897953966853</v>
      </c>
      <c r="BU268" s="456">
        <f t="shared" si="690"/>
        <v>26.150444616367018</v>
      </c>
      <c r="BV268" s="456"/>
      <c r="BW268" s="456">
        <f t="shared" si="691"/>
        <v>2.6961199747459101</v>
      </c>
      <c r="BX268" s="144">
        <f t="shared" si="692"/>
        <v>29206.047254412384</v>
      </c>
      <c r="BY268" s="150">
        <f t="shared" si="693"/>
        <v>36.32086837875427</v>
      </c>
      <c r="BZ268" s="5">
        <f t="shared" si="694"/>
        <v>62.400000000000006</v>
      </c>
      <c r="CA268" s="150">
        <f t="shared" si="695"/>
        <v>0.63208520168800619</v>
      </c>
      <c r="CB268" s="5">
        <f t="shared" si="696"/>
        <v>63.208520168800618</v>
      </c>
      <c r="CE268" s="59">
        <f t="shared" si="755"/>
        <v>-50</v>
      </c>
      <c r="CF268">
        <f t="shared" si="756"/>
        <v>-50</v>
      </c>
      <c r="CG268" s="150">
        <f t="shared" si="757"/>
        <v>0.47760513676746263</v>
      </c>
      <c r="CI268" s="147">
        <v>52</v>
      </c>
      <c r="CJ268" s="188">
        <f t="shared" si="697"/>
        <v>2.08</v>
      </c>
      <c r="CK268" s="188"/>
      <c r="CL268" s="188">
        <f t="shared" si="639"/>
        <v>62.400000000000006</v>
      </c>
      <c r="CM268" s="465">
        <f t="shared" si="640"/>
        <v>48</v>
      </c>
      <c r="CN268" s="379">
        <f t="shared" si="641"/>
        <v>30.4</v>
      </c>
      <c r="CO268" s="379">
        <f t="shared" si="642"/>
        <v>78.400000000000006</v>
      </c>
      <c r="CP268" s="379"/>
      <c r="CQ268" s="188">
        <f t="shared" si="643"/>
        <v>0.38775510204081626</v>
      </c>
      <c r="CR268" s="149">
        <f t="shared" si="644"/>
        <v>284.85494809142222</v>
      </c>
      <c r="CS268" s="149">
        <f t="shared" si="645"/>
        <v>62.400000000000006</v>
      </c>
      <c r="CT268" s="188">
        <f t="shared" si="646"/>
        <v>9.4951649363807409</v>
      </c>
      <c r="CU268" s="188">
        <f t="shared" si="647"/>
        <v>30</v>
      </c>
      <c r="CV268" s="188"/>
      <c r="CW268" s="149">
        <f t="shared" si="648"/>
        <v>301.71390184004719</v>
      </c>
      <c r="CX268" s="149">
        <f t="shared" si="649"/>
        <v>30</v>
      </c>
      <c r="CY268" s="188">
        <f t="shared" si="650"/>
        <v>6.7052631578947386</v>
      </c>
      <c r="CZ268" s="188">
        <f t="shared" si="651"/>
        <v>0.65655701754385987</v>
      </c>
      <c r="DA268" s="188">
        <f t="shared" si="652"/>
        <v>1.0366689750692524</v>
      </c>
      <c r="DB268" s="172">
        <f t="shared" si="653"/>
        <v>350</v>
      </c>
      <c r="DC268" s="379">
        <f t="shared" si="654"/>
        <v>350</v>
      </c>
      <c r="DE268" s="188">
        <f t="shared" si="655"/>
        <v>11.314434588425037</v>
      </c>
      <c r="DF268" s="150">
        <f t="shared" si="656"/>
        <v>1.7492711370262393</v>
      </c>
      <c r="DG268" s="150">
        <f t="shared" si="657"/>
        <v>3.463602425028073</v>
      </c>
      <c r="DH268" s="150"/>
      <c r="DI268" s="150">
        <f t="shared" si="658"/>
        <v>0.93700159489633172</v>
      </c>
      <c r="DJ268" s="314">
        <f t="shared" si="659"/>
        <v>732.54944680851065</v>
      </c>
      <c r="DK268" s="456">
        <f t="shared" si="660"/>
        <v>0.99378957034459414</v>
      </c>
      <c r="DM268" s="150">
        <f t="shared" si="661"/>
        <v>8.7679992900405725</v>
      </c>
      <c r="DN268" s="150">
        <f t="shared" si="662"/>
        <v>8.7679992900405725</v>
      </c>
      <c r="DO268" s="150">
        <f t="shared" si="663"/>
        <v>3.2054764662477861</v>
      </c>
      <c r="DQ268" s="314">
        <f t="shared" si="664"/>
        <v>2080</v>
      </c>
      <c r="DR268" s="144">
        <f t="shared" si="665"/>
        <v>350</v>
      </c>
      <c r="DT268">
        <f t="shared" si="666"/>
        <v>2080</v>
      </c>
      <c r="DU268">
        <f t="shared" si="667"/>
        <v>350</v>
      </c>
      <c r="DW268" s="5">
        <f t="shared" si="668"/>
        <v>2.8571428571428572</v>
      </c>
      <c r="DX268" s="5">
        <f t="shared" si="669"/>
        <v>0.85853326381647277</v>
      </c>
      <c r="DY268" s="5">
        <f t="shared" si="670"/>
        <v>1.9986095933263845</v>
      </c>
      <c r="DZ268" s="5"/>
      <c r="EA268" s="150">
        <f t="shared" si="671"/>
        <v>0.30048664233576544</v>
      </c>
      <c r="EB268" s="150">
        <f t="shared" si="698"/>
        <v>63.232000000000014</v>
      </c>
      <c r="EC268" s="150">
        <f t="shared" si="699"/>
        <v>3.0666663116869528</v>
      </c>
      <c r="ED268" s="150">
        <f t="shared" si="700"/>
        <v>20.619132821534961</v>
      </c>
      <c r="EE268" s="144">
        <f t="shared" si="672"/>
        <v>5.9524972957942115</v>
      </c>
      <c r="EF268" s="5">
        <f t="shared" si="673"/>
        <v>1.5283485125437057</v>
      </c>
      <c r="EH268" s="150">
        <f t="shared" si="701"/>
        <v>2.7749327597155036</v>
      </c>
      <c r="EI268" s="150">
        <f t="shared" si="702"/>
        <v>4.2338735647680474</v>
      </c>
      <c r="EK268" s="456">
        <f t="shared" si="703"/>
        <v>9.240302185130761E-2</v>
      </c>
      <c r="EL268" s="456">
        <f t="shared" si="704"/>
        <v>4.5712841098555543</v>
      </c>
      <c r="EM268" s="456">
        <f t="shared" si="705"/>
        <v>4.0250000000000001E-2</v>
      </c>
      <c r="EN268" s="456">
        <f t="shared" si="706"/>
        <v>1.1132956800000005</v>
      </c>
      <c r="EO268">
        <f t="shared" si="707"/>
        <v>2.1600000000000001E-2</v>
      </c>
      <c r="EP268" s="144">
        <f t="shared" si="708"/>
        <v>61.85</v>
      </c>
      <c r="EQ268" s="144"/>
      <c r="ER268" s="144">
        <f t="shared" si="709"/>
        <v>5838.8328117068622</v>
      </c>
      <c r="ES268" s="456">
        <f t="shared" si="710"/>
        <v>1.456</v>
      </c>
      <c r="EV268" s="144">
        <f t="shared" si="711"/>
        <v>1456</v>
      </c>
      <c r="EW268" s="456">
        <f t="shared" si="712"/>
        <v>0.10780352549319221</v>
      </c>
      <c r="EX268" s="456">
        <f t="shared" si="713"/>
        <v>0.25095959507418375</v>
      </c>
      <c r="EY268" s="456">
        <f t="shared" si="714"/>
        <v>26.085032379357777</v>
      </c>
      <c r="EZ268" s="456"/>
      <c r="FA268" s="456">
        <f t="shared" si="715"/>
        <v>2.6907234042553196</v>
      </c>
      <c r="FB268" s="144">
        <f t="shared" si="716"/>
        <v>29134.51890418047</v>
      </c>
      <c r="FC268" s="150">
        <f t="shared" si="717"/>
        <v>36.429351715887336</v>
      </c>
      <c r="FD268" s="5">
        <f t="shared" si="718"/>
        <v>62.400000000000006</v>
      </c>
      <c r="FE268" s="150">
        <f t="shared" si="719"/>
        <v>0.63139137226546105</v>
      </c>
      <c r="FF268" s="5">
        <f t="shared" si="720"/>
        <v>63.139137226546104</v>
      </c>
      <c r="FI268" s="59">
        <f t="shared" si="674"/>
        <v>-50</v>
      </c>
      <c r="FJ268">
        <f t="shared" si="675"/>
        <v>-50</v>
      </c>
      <c r="FL268">
        <f t="shared" si="758"/>
        <v>0.47445259316173488</v>
      </c>
    </row>
    <row r="269" spans="5:168">
      <c r="E269" s="147">
        <v>53</v>
      </c>
      <c r="F269" s="188">
        <f t="shared" si="759"/>
        <v>2.12</v>
      </c>
      <c r="G269" s="188"/>
      <c r="H269" s="188">
        <f t="shared" si="725"/>
        <v>63.6</v>
      </c>
      <c r="I269" s="465">
        <f t="shared" si="726"/>
        <v>47.885684806233662</v>
      </c>
      <c r="J269" s="149">
        <f t="shared" si="727"/>
        <v>30.46155433510495</v>
      </c>
      <c r="K269" s="149">
        <f t="shared" si="728"/>
        <v>78.347239141338605</v>
      </c>
      <c r="L269" s="379"/>
      <c r="M269" s="188">
        <f t="shared" si="729"/>
        <v>0.38880507660207181</v>
      </c>
      <c r="N269" s="149">
        <f t="shared" si="730"/>
        <v>284.94604861192153</v>
      </c>
      <c r="O269" s="149">
        <f t="shared" si="760"/>
        <v>63.6</v>
      </c>
      <c r="P269" s="188">
        <f t="shared" si="731"/>
        <v>9.4982016203973849</v>
      </c>
      <c r="Q269" s="188">
        <f t="shared" si="732"/>
        <v>30</v>
      </c>
      <c r="R269" s="188"/>
      <c r="S269" s="149">
        <f t="shared" si="733"/>
        <v>294.4154548639554</v>
      </c>
      <c r="T269" s="149">
        <f t="shared" si="734"/>
        <v>30</v>
      </c>
      <c r="U269" s="188">
        <f t="shared" si="735"/>
        <v>6.8320255508118937</v>
      </c>
      <c r="V269" s="188">
        <f t="shared" si="736"/>
        <v>0.67056616645974787</v>
      </c>
      <c r="W269" s="188">
        <f t="shared" si="737"/>
        <v>1.0541326859283284</v>
      </c>
      <c r="X269" s="172">
        <f t="shared" si="738"/>
        <v>350</v>
      </c>
      <c r="Y269" s="379">
        <f t="shared" si="678"/>
        <v>350</v>
      </c>
      <c r="AA269" s="188">
        <f t="shared" si="739"/>
        <v>11.317960219716934</v>
      </c>
      <c r="AB269" s="150">
        <f t="shared" si="740"/>
        <v>1.746280325930923</v>
      </c>
      <c r="AC269" s="150">
        <f t="shared" si="741"/>
        <v>3.4587579707380889</v>
      </c>
      <c r="AD269" s="150"/>
      <c r="AE269" s="150">
        <f t="shared" si="742"/>
        <v>0.93510817509471467</v>
      </c>
      <c r="AF269" s="314">
        <f t="shared" si="743"/>
        <v>748.14873683372446</v>
      </c>
      <c r="AG269" s="456">
        <f t="shared" si="744"/>
        <v>0.99178139782772778</v>
      </c>
      <c r="AI269" s="150">
        <f t="shared" si="745"/>
        <v>8.8608626989425048</v>
      </c>
      <c r="AJ269" s="150">
        <f t="shared" si="746"/>
        <v>8.8608626989425048</v>
      </c>
      <c r="AK269" s="150">
        <f t="shared" si="747"/>
        <v>3.2742641765455138</v>
      </c>
      <c r="AM269" s="314">
        <f t="shared" si="748"/>
        <v>2120</v>
      </c>
      <c r="AN269" s="144">
        <f t="shared" si="749"/>
        <v>350</v>
      </c>
      <c r="AP269">
        <f t="shared" si="750"/>
        <v>2120</v>
      </c>
      <c r="AQ269">
        <f t="shared" si="751"/>
        <v>350</v>
      </c>
      <c r="AS269" s="5">
        <f t="shared" si="761"/>
        <v>2.8571428571428572</v>
      </c>
      <c r="AT269" s="5">
        <f t="shared" si="752"/>
        <v>0.86969738145226172</v>
      </c>
      <c r="AU269" s="5">
        <f t="shared" si="721"/>
        <v>1.9874454756905955</v>
      </c>
      <c r="AV269" s="5"/>
      <c r="AW269" s="150">
        <f t="shared" si="722"/>
        <v>0.30439408350829161</v>
      </c>
      <c r="AX269" s="150">
        <f t="shared" si="630"/>
        <v>64.578495190422515</v>
      </c>
      <c r="AY269" s="150">
        <f t="shared" si="631"/>
        <v>3.0818342593025467</v>
      </c>
      <c r="AZ269" s="150">
        <f t="shared" si="632"/>
        <v>20.954564638085809</v>
      </c>
      <c r="BA269" s="144">
        <f t="shared" si="723"/>
        <v>6.1458614955959838</v>
      </c>
      <c r="BB269" s="5">
        <f t="shared" si="724"/>
        <v>1.5527363303495607</v>
      </c>
      <c r="BD269" s="150">
        <f t="shared" si="679"/>
        <v>2.822496962168815</v>
      </c>
      <c r="BE269" s="150">
        <f t="shared" si="680"/>
        <v>4.266748194474494</v>
      </c>
      <c r="BG269" s="456">
        <f t="shared" si="681"/>
        <v>9.5597869217426273E-2</v>
      </c>
      <c r="BH269" s="456">
        <f t="shared" si="753"/>
        <v>4.4343566231738318</v>
      </c>
      <c r="BI269" s="456">
        <f t="shared" si="682"/>
        <v>4.0250000000000001E-2</v>
      </c>
      <c r="BJ269" s="456">
        <f t="shared" si="683"/>
        <v>1.111797754708822</v>
      </c>
      <c r="BK269">
        <f t="shared" si="684"/>
        <v>2.1548558162805147E-2</v>
      </c>
      <c r="BL269" s="144">
        <f t="shared" si="685"/>
        <v>61.798558162805151</v>
      </c>
      <c r="BM269" s="456">
        <f t="shared" si="754"/>
        <v>5.7992890344911707</v>
      </c>
      <c r="BN269" s="144">
        <f t="shared" si="686"/>
        <v>5799.2890344911712</v>
      </c>
      <c r="BO269" s="456">
        <f t="shared" si="635"/>
        <v>1.484</v>
      </c>
      <c r="BR269" s="144">
        <f t="shared" si="687"/>
        <v>1484</v>
      </c>
      <c r="BS269" s="456">
        <f t="shared" si="688"/>
        <v>0.11153084742033065</v>
      </c>
      <c r="BT269" s="456">
        <f t="shared" si="689"/>
        <v>0.25487196217071895</v>
      </c>
      <c r="BU269" s="456">
        <f t="shared" si="690"/>
        <v>26.781206180391635</v>
      </c>
      <c r="BV269" s="456"/>
      <c r="BW269" s="456">
        <f t="shared" si="691"/>
        <v>2.748021071932873</v>
      </c>
      <c r="BX269" s="144">
        <f t="shared" si="692"/>
        <v>29895.630061915559</v>
      </c>
      <c r="BY269" s="150">
        <f t="shared" si="693"/>
        <v>37.083180867178449</v>
      </c>
      <c r="BZ269" s="5">
        <f t="shared" si="694"/>
        <v>63.6</v>
      </c>
      <c r="CA269" s="150">
        <f t="shared" si="695"/>
        <v>0.6316844526783606</v>
      </c>
      <c r="CB269" s="5">
        <f t="shared" si="696"/>
        <v>63.168445267836063</v>
      </c>
      <c r="CE269" s="59">
        <f t="shared" si="755"/>
        <v>-50</v>
      </c>
      <c r="CF269">
        <f t="shared" si="756"/>
        <v>-50</v>
      </c>
      <c r="CG269" s="150">
        <f t="shared" si="757"/>
        <v>0.48217562498879318</v>
      </c>
      <c r="CI269" s="147">
        <v>53</v>
      </c>
      <c r="CJ269" s="188">
        <f t="shared" si="697"/>
        <v>2.12</v>
      </c>
      <c r="CK269" s="188"/>
      <c r="CL269" s="188">
        <f t="shared" si="639"/>
        <v>63.6</v>
      </c>
      <c r="CM269" s="465">
        <f t="shared" si="640"/>
        <v>48</v>
      </c>
      <c r="CN269" s="379">
        <f t="shared" si="641"/>
        <v>30.4</v>
      </c>
      <c r="CO269" s="379">
        <f t="shared" si="642"/>
        <v>78.400000000000006</v>
      </c>
      <c r="CP269" s="379"/>
      <c r="CQ269" s="188">
        <f t="shared" si="643"/>
        <v>0.38775510204081626</v>
      </c>
      <c r="CR269" s="149">
        <f t="shared" si="644"/>
        <v>284.85494809142222</v>
      </c>
      <c r="CS269" s="149">
        <f t="shared" si="645"/>
        <v>63.6</v>
      </c>
      <c r="CT269" s="188">
        <f t="shared" si="646"/>
        <v>9.4951649363807409</v>
      </c>
      <c r="CU269" s="188">
        <f t="shared" si="647"/>
        <v>30</v>
      </c>
      <c r="CV269" s="188"/>
      <c r="CW269" s="149">
        <f t="shared" si="648"/>
        <v>295.11814387190736</v>
      </c>
      <c r="CX269" s="149">
        <f t="shared" si="649"/>
        <v>30</v>
      </c>
      <c r="CY269" s="188">
        <f t="shared" si="650"/>
        <v>6.8342105263157915</v>
      </c>
      <c r="CZ269" s="188">
        <f t="shared" si="651"/>
        <v>0.66918311403508779</v>
      </c>
      <c r="DA269" s="188">
        <f t="shared" si="652"/>
        <v>1.0566049168975071</v>
      </c>
      <c r="DB269" s="172">
        <f t="shared" si="653"/>
        <v>350</v>
      </c>
      <c r="DC269" s="379">
        <f t="shared" si="654"/>
        <v>350</v>
      </c>
      <c r="DE269" s="188">
        <f t="shared" si="655"/>
        <v>11.314434588425037</v>
      </c>
      <c r="DF269" s="150">
        <f t="shared" si="656"/>
        <v>1.7492711370262393</v>
      </c>
      <c r="DG269" s="150">
        <f t="shared" si="657"/>
        <v>3.463602425028073</v>
      </c>
      <c r="DH269" s="150"/>
      <c r="DI269" s="150">
        <f t="shared" si="658"/>
        <v>0.93700159489633172</v>
      </c>
      <c r="DJ269" s="314">
        <f t="shared" si="659"/>
        <v>746.63693617021283</v>
      </c>
      <c r="DK269" s="456">
        <f t="shared" si="660"/>
        <v>0.99378957034459414</v>
      </c>
      <c r="DM269" s="150">
        <f t="shared" si="661"/>
        <v>8.8519055012488419</v>
      </c>
      <c r="DN269" s="150">
        <f t="shared" si="662"/>
        <v>8.8519055012488419</v>
      </c>
      <c r="DO269" s="150">
        <f t="shared" si="663"/>
        <v>3.267629215290949</v>
      </c>
      <c r="DQ269" s="314">
        <f t="shared" si="664"/>
        <v>2120</v>
      </c>
      <c r="DR269" s="144">
        <f t="shared" si="665"/>
        <v>350</v>
      </c>
      <c r="DT269">
        <f t="shared" si="666"/>
        <v>2120</v>
      </c>
      <c r="DU269">
        <f t="shared" si="667"/>
        <v>350</v>
      </c>
      <c r="DW269" s="5">
        <f t="shared" si="668"/>
        <v>2.8571428571428572</v>
      </c>
      <c r="DX269" s="5">
        <f t="shared" si="669"/>
        <v>0.86674908033061571</v>
      </c>
      <c r="DY269" s="5">
        <f t="shared" si="670"/>
        <v>1.9903937768122415</v>
      </c>
      <c r="DZ269" s="5"/>
      <c r="EA269" s="150">
        <f t="shared" si="671"/>
        <v>0.30336217811571548</v>
      </c>
      <c r="EB269" s="150">
        <f t="shared" si="698"/>
        <v>64.447999999999993</v>
      </c>
      <c r="EC269" s="150">
        <f t="shared" si="699"/>
        <v>3.0832860839577547</v>
      </c>
      <c r="ED269" s="150">
        <f t="shared" si="700"/>
        <v>20.902374364584919</v>
      </c>
      <c r="EE269" s="144">
        <f t="shared" si="672"/>
        <v>6.1250268343363512</v>
      </c>
      <c r="EF269" s="5">
        <f t="shared" si="673"/>
        <v>1.551336326044835</v>
      </c>
      <c r="EH269" s="150">
        <f t="shared" si="701"/>
        <v>2.8148603817371485</v>
      </c>
      <c r="EI269" s="150">
        <f t="shared" si="702"/>
        <v>4.2655954682794794</v>
      </c>
      <c r="EK269" s="456">
        <f t="shared" si="703"/>
        <v>9.5081267624080867E-2</v>
      </c>
      <c r="EL269" s="456">
        <f t="shared" si="704"/>
        <v>4.6150294521310968</v>
      </c>
      <c r="EM269" s="456">
        <f t="shared" si="705"/>
        <v>4.0250000000000001E-2</v>
      </c>
      <c r="EN269" s="456">
        <f t="shared" si="706"/>
        <v>1.1132956800000005</v>
      </c>
      <c r="EO269">
        <f t="shared" si="707"/>
        <v>2.1600000000000001E-2</v>
      </c>
      <c r="EP269" s="144">
        <f t="shared" si="708"/>
        <v>61.85</v>
      </c>
      <c r="EQ269" s="144"/>
      <c r="ER269" s="144">
        <f t="shared" si="709"/>
        <v>5885.2563997551788</v>
      </c>
      <c r="ES269" s="456">
        <f t="shared" si="710"/>
        <v>1.484</v>
      </c>
      <c r="EV269" s="144">
        <f t="shared" si="711"/>
        <v>1484</v>
      </c>
      <c r="EW269" s="456">
        <f t="shared" si="712"/>
        <v>0.11092814556142767</v>
      </c>
      <c r="EX269" s="456">
        <f t="shared" si="713"/>
        <v>0.25473426578609004</v>
      </c>
      <c r="EY269" s="456">
        <f t="shared" si="714"/>
        <v>26.713576557974946</v>
      </c>
      <c r="EZ269" s="456"/>
      <c r="FA269" s="456">
        <f t="shared" si="715"/>
        <v>2.7424680851063834</v>
      </c>
      <c r="FB269" s="144">
        <f t="shared" si="716"/>
        <v>29821.707054428847</v>
      </c>
      <c r="FC269" s="150">
        <f t="shared" si="717"/>
        <v>37.190963454184022</v>
      </c>
      <c r="FD269" s="5">
        <f t="shared" si="718"/>
        <v>63.6</v>
      </c>
      <c r="FE269" s="150">
        <f t="shared" si="719"/>
        <v>0.63100894981433819</v>
      </c>
      <c r="FF269" s="5">
        <f t="shared" si="720"/>
        <v>63.100894981433818</v>
      </c>
      <c r="FI269" s="59">
        <f t="shared" si="674"/>
        <v>-50</v>
      </c>
      <c r="FJ269">
        <f t="shared" si="675"/>
        <v>-50</v>
      </c>
      <c r="FL269">
        <f t="shared" si="758"/>
        <v>0.47899291281428769</v>
      </c>
    </row>
    <row r="270" spans="5:168">
      <c r="E270" s="147">
        <v>54</v>
      </c>
      <c r="F270" s="188">
        <f t="shared" si="759"/>
        <v>2.16</v>
      </c>
      <c r="G270" s="188"/>
      <c r="H270" s="188">
        <f t="shared" si="725"/>
        <v>64.800000000000011</v>
      </c>
      <c r="I270" s="465">
        <f t="shared" si="726"/>
        <v>47.884611400583161</v>
      </c>
      <c r="J270" s="149">
        <f t="shared" si="727"/>
        <v>30.462132322762912</v>
      </c>
      <c r="K270" s="149">
        <f t="shared" si="728"/>
        <v>78.346743723346066</v>
      </c>
      <c r="L270" s="379"/>
      <c r="M270" s="188">
        <f t="shared" si="729"/>
        <v>0.38881494238420689</v>
      </c>
      <c r="N270" s="149">
        <f t="shared" si="730"/>
        <v>284.94689149686934</v>
      </c>
      <c r="O270" s="149">
        <f t="shared" si="760"/>
        <v>64.800000000000011</v>
      </c>
      <c r="P270" s="188">
        <f t="shared" si="731"/>
        <v>9.498229716562312</v>
      </c>
      <c r="Q270" s="188">
        <f t="shared" si="732"/>
        <v>30</v>
      </c>
      <c r="R270" s="188"/>
      <c r="S270" s="149">
        <f t="shared" si="733"/>
        <v>288.07271896499634</v>
      </c>
      <c r="T270" s="149">
        <f t="shared" si="734"/>
        <v>30</v>
      </c>
      <c r="U270" s="188">
        <f t="shared" si="735"/>
        <v>6.9609111025499049</v>
      </c>
      <c r="V270" s="188">
        <f t="shared" si="736"/>
        <v>0.68323165261368535</v>
      </c>
      <c r="W270" s="188">
        <f t="shared" si="737"/>
        <v>1.0739984264836646</v>
      </c>
      <c r="X270" s="172">
        <f t="shared" si="738"/>
        <v>350</v>
      </c>
      <c r="Y270" s="379">
        <f t="shared" si="678"/>
        <v>350</v>
      </c>
      <c r="AA270" s="188">
        <f t="shared" si="739"/>
        <v>11.31799282998448</v>
      </c>
      <c r="AB270" s="150">
        <f t="shared" si="740"/>
        <v>1.7462522234918292</v>
      </c>
      <c r="AC270" s="150">
        <f t="shared" si="741"/>
        <v>3.4587122753443711</v>
      </c>
      <c r="AD270" s="150"/>
      <c r="AE270" s="150">
        <f t="shared" si="742"/>
        <v>0.9350904323780086</v>
      </c>
      <c r="AF270" s="314">
        <f t="shared" si="743"/>
        <v>762.2792142010195</v>
      </c>
      <c r="AG270" s="456">
        <f t="shared" si="744"/>
        <v>0.99176257979485771</v>
      </c>
      <c r="AI270" s="150">
        <f t="shared" si="745"/>
        <v>8.9441499664695101</v>
      </c>
      <c r="AJ270" s="150">
        <f t="shared" si="746"/>
        <v>8.9441499664695101</v>
      </c>
      <c r="AK270" s="150">
        <f t="shared" si="747"/>
        <v>3.3359584487877401</v>
      </c>
      <c r="AM270" s="314">
        <f t="shared" si="748"/>
        <v>2160</v>
      </c>
      <c r="AN270" s="144">
        <f t="shared" si="749"/>
        <v>350</v>
      </c>
      <c r="AP270">
        <f t="shared" si="750"/>
        <v>2160</v>
      </c>
      <c r="AQ270">
        <f t="shared" si="751"/>
        <v>350</v>
      </c>
      <c r="AS270" s="5">
        <f t="shared" si="761"/>
        <v>2.8571428571428572</v>
      </c>
      <c r="AT270" s="5">
        <f t="shared" si="752"/>
        <v>0.87789174043280926</v>
      </c>
      <c r="AU270" s="5">
        <f t="shared" si="721"/>
        <v>1.9792511167100479</v>
      </c>
      <c r="AV270" s="5"/>
      <c r="AW270" s="150">
        <f t="shared" si="722"/>
        <v>0.30726210915148322</v>
      </c>
      <c r="AX270" s="150">
        <f t="shared" si="630"/>
        <v>65.798205817167897</v>
      </c>
      <c r="AY270" s="150">
        <f t="shared" si="631"/>
        <v>3.0979757916024604</v>
      </c>
      <c r="AZ270" s="150">
        <f t="shared" si="632"/>
        <v>21.239096185168407</v>
      </c>
      <c r="BA270" s="144">
        <f t="shared" si="723"/>
        <v>6.3208205311162269</v>
      </c>
      <c r="BB270" s="5">
        <f t="shared" si="724"/>
        <v>1.5755457400791844</v>
      </c>
      <c r="BD270" s="150">
        <f t="shared" si="679"/>
        <v>2.8624173046295174</v>
      </c>
      <c r="BE270" s="150">
        <f t="shared" si="680"/>
        <v>4.2979654157585232</v>
      </c>
      <c r="BG270" s="456">
        <f t="shared" si="681"/>
        <v>9.8321193910110127E-2</v>
      </c>
      <c r="BH270" s="456">
        <f t="shared" si="753"/>
        <v>4.4760088487598537</v>
      </c>
      <c r="BI270" s="456">
        <f t="shared" si="682"/>
        <v>4.0250000000000001E-2</v>
      </c>
      <c r="BJ270" s="456">
        <f t="shared" si="683"/>
        <v>1.111783694152858</v>
      </c>
      <c r="BK270">
        <f t="shared" si="684"/>
        <v>2.1548075130262422E-2</v>
      </c>
      <c r="BL270" s="144">
        <f t="shared" si="685"/>
        <v>61.798075130262418</v>
      </c>
      <c r="BM270" s="456">
        <f t="shared" si="754"/>
        <v>5.8493067917476811</v>
      </c>
      <c r="BN270" s="144">
        <f t="shared" si="686"/>
        <v>5849.306791747681</v>
      </c>
      <c r="BO270" s="456">
        <f t="shared" si="635"/>
        <v>1.512</v>
      </c>
      <c r="BR270" s="144">
        <f t="shared" si="687"/>
        <v>1512</v>
      </c>
      <c r="BS270" s="456">
        <f t="shared" si="688"/>
        <v>0.11470805956179515</v>
      </c>
      <c r="BT270" s="456">
        <f t="shared" si="689"/>
        <v>0.25861509401078875</v>
      </c>
      <c r="BU270" s="456">
        <f t="shared" si="690"/>
        <v>27.414971342886822</v>
      </c>
      <c r="BV270" s="456"/>
      <c r="BW270" s="456">
        <f t="shared" si="691"/>
        <v>2.7999236517943791</v>
      </c>
      <c r="BX270" s="144">
        <f t="shared" si="692"/>
        <v>30588.218148253789</v>
      </c>
      <c r="BY270" s="150">
        <f t="shared" si="693"/>
        <v>37.848129960206869</v>
      </c>
      <c r="BZ270" s="5">
        <f t="shared" si="694"/>
        <v>64.800000000000011</v>
      </c>
      <c r="CA270" s="150">
        <f t="shared" si="695"/>
        <v>0.631282810754767</v>
      </c>
      <c r="CB270" s="5">
        <f t="shared" si="696"/>
        <v>63.1282810754767</v>
      </c>
      <c r="CE270" s="59">
        <f t="shared" si="755"/>
        <v>-50</v>
      </c>
      <c r="CF270">
        <f t="shared" si="756"/>
        <v>-50</v>
      </c>
      <c r="CG270" s="150">
        <f t="shared" si="757"/>
        <v>0.48670319497615799</v>
      </c>
      <c r="CI270" s="147">
        <v>54</v>
      </c>
      <c r="CJ270" s="188">
        <f t="shared" si="697"/>
        <v>2.16</v>
      </c>
      <c r="CK270" s="188"/>
      <c r="CL270" s="188">
        <f t="shared" si="639"/>
        <v>64.800000000000011</v>
      </c>
      <c r="CM270" s="465">
        <f t="shared" si="640"/>
        <v>48</v>
      </c>
      <c r="CN270" s="379">
        <f t="shared" si="641"/>
        <v>30.4</v>
      </c>
      <c r="CO270" s="379">
        <f t="shared" si="642"/>
        <v>78.400000000000006</v>
      </c>
      <c r="CP270" s="379"/>
      <c r="CQ270" s="188">
        <f t="shared" si="643"/>
        <v>0.38775510204081626</v>
      </c>
      <c r="CR270" s="149">
        <f t="shared" si="644"/>
        <v>284.85494809142222</v>
      </c>
      <c r="CS270" s="149">
        <f t="shared" si="645"/>
        <v>64.800000000000011</v>
      </c>
      <c r="CT270" s="188">
        <f t="shared" si="646"/>
        <v>9.4951649363807409</v>
      </c>
      <c r="CU270" s="188">
        <f t="shared" si="647"/>
        <v>30</v>
      </c>
      <c r="CV270" s="188"/>
      <c r="CW270" s="149">
        <f t="shared" si="648"/>
        <v>288.76673437931316</v>
      </c>
      <c r="CX270" s="149">
        <f t="shared" si="649"/>
        <v>30</v>
      </c>
      <c r="CY270" s="188">
        <f t="shared" si="650"/>
        <v>6.9631578947368453</v>
      </c>
      <c r="CZ270" s="188">
        <f t="shared" si="651"/>
        <v>0.68180921052631605</v>
      </c>
      <c r="DA270" s="188">
        <f t="shared" si="652"/>
        <v>1.0765408587257623</v>
      </c>
      <c r="DB270" s="172">
        <f t="shared" si="653"/>
        <v>350</v>
      </c>
      <c r="DC270" s="379">
        <f t="shared" si="654"/>
        <v>350</v>
      </c>
      <c r="DE270" s="188">
        <f t="shared" si="655"/>
        <v>11.314434588425037</v>
      </c>
      <c r="DF270" s="150">
        <f t="shared" si="656"/>
        <v>1.7492711370262393</v>
      </c>
      <c r="DG270" s="150">
        <f t="shared" si="657"/>
        <v>3.463602425028073</v>
      </c>
      <c r="DH270" s="150"/>
      <c r="DI270" s="150">
        <f t="shared" si="658"/>
        <v>0.93700159489633172</v>
      </c>
      <c r="DJ270" s="314">
        <f t="shared" si="659"/>
        <v>760.7244255319149</v>
      </c>
      <c r="DK270" s="456">
        <f t="shared" si="660"/>
        <v>0.99378957034459414</v>
      </c>
      <c r="DM270" s="150">
        <f t="shared" si="661"/>
        <v>8.9350238083581548</v>
      </c>
      <c r="DN270" s="150">
        <f t="shared" si="662"/>
        <v>8.9350238083581548</v>
      </c>
      <c r="DO270" s="150">
        <f t="shared" si="663"/>
        <v>3.3291983316682181</v>
      </c>
      <c r="DQ270" s="314">
        <f t="shared" si="664"/>
        <v>2160</v>
      </c>
      <c r="DR270" s="144">
        <f t="shared" si="665"/>
        <v>350</v>
      </c>
      <c r="DT270">
        <f t="shared" si="666"/>
        <v>2160</v>
      </c>
      <c r="DU270">
        <f t="shared" si="667"/>
        <v>350</v>
      </c>
      <c r="DW270" s="5">
        <f t="shared" si="668"/>
        <v>2.8571428571428572</v>
      </c>
      <c r="DX270" s="5">
        <f t="shared" si="669"/>
        <v>0.87488774790173607</v>
      </c>
      <c r="DY270" s="5">
        <f t="shared" si="670"/>
        <v>1.9822551092411211</v>
      </c>
      <c r="DZ270" s="5"/>
      <c r="EA270" s="150">
        <f t="shared" si="671"/>
        <v>0.3062107117656076</v>
      </c>
      <c r="EB270" s="150">
        <f t="shared" si="698"/>
        <v>65.664000000000001</v>
      </c>
      <c r="EC270" s="150">
        <f t="shared" si="699"/>
        <v>3.0995119041790771</v>
      </c>
      <c r="ED270" s="150">
        <f t="shared" si="700"/>
        <v>21.185271110417457</v>
      </c>
      <c r="EE270" s="144">
        <f t="shared" si="672"/>
        <v>6.2991917848924999</v>
      </c>
      <c r="EF270" s="5">
        <f t="shared" si="673"/>
        <v>1.5741437632208906</v>
      </c>
      <c r="EH270" s="150">
        <f t="shared" si="701"/>
        <v>2.8546000969002012</v>
      </c>
      <c r="EI270" s="150">
        <f t="shared" si="702"/>
        <v>4.2968370272507483</v>
      </c>
      <c r="EK270" s="456">
        <f t="shared" si="703"/>
        <v>9.7784900558671659E-2</v>
      </c>
      <c r="EL270" s="456">
        <f t="shared" si="704"/>
        <v>4.6583640127256079</v>
      </c>
      <c r="EM270" s="456">
        <f t="shared" si="705"/>
        <v>4.0250000000000001E-2</v>
      </c>
      <c r="EN270" s="456">
        <f t="shared" si="706"/>
        <v>1.1132956800000005</v>
      </c>
      <c r="EO270">
        <f t="shared" si="707"/>
        <v>2.1600000000000001E-2</v>
      </c>
      <c r="EP270" s="144">
        <f t="shared" si="708"/>
        <v>61.85</v>
      </c>
      <c r="EQ270" s="144"/>
      <c r="ER270" s="144">
        <f t="shared" si="709"/>
        <v>5931.2945932842804</v>
      </c>
      <c r="ES270" s="456">
        <f t="shared" si="710"/>
        <v>1.512</v>
      </c>
      <c r="EV270" s="144">
        <f t="shared" si="711"/>
        <v>1512</v>
      </c>
      <c r="EW270" s="456">
        <f t="shared" si="712"/>
        <v>0.11408238398511693</v>
      </c>
      <c r="EX270" s="456">
        <f t="shared" si="713"/>
        <v>0.25847931814254266</v>
      </c>
      <c r="EY270" s="456">
        <f t="shared" si="714"/>
        <v>27.34509272582773</v>
      </c>
      <c r="EZ270" s="456"/>
      <c r="FA270" s="456">
        <f t="shared" si="715"/>
        <v>2.7942127659574476</v>
      </c>
      <c r="FB270" s="144">
        <f t="shared" si="716"/>
        <v>30511.867193912836</v>
      </c>
      <c r="FC270" s="150">
        <f t="shared" si="717"/>
        <v>37.95516178719712</v>
      </c>
      <c r="FD270" s="5">
        <f t="shared" si="718"/>
        <v>64.800000000000011</v>
      </c>
      <c r="FE270" s="150">
        <f t="shared" si="719"/>
        <v>0.63062525398187663</v>
      </c>
      <c r="FF270" s="5">
        <f t="shared" si="720"/>
        <v>63.06252539818766</v>
      </c>
      <c r="FI270" s="59">
        <f t="shared" si="674"/>
        <v>-50</v>
      </c>
      <c r="FJ270">
        <f t="shared" si="675"/>
        <v>-50</v>
      </c>
      <c r="FL270">
        <f t="shared" si="758"/>
        <v>0.48349059752464357</v>
      </c>
    </row>
    <row r="271" spans="5:168">
      <c r="E271" s="147">
        <v>55</v>
      </c>
      <c r="F271" s="188">
        <f t="shared" si="759"/>
        <v>2.2000000000000002</v>
      </c>
      <c r="G271" s="188"/>
      <c r="H271" s="188">
        <f t="shared" si="725"/>
        <v>66</v>
      </c>
      <c r="I271" s="465">
        <f t="shared" si="726"/>
        <v>47.8835478887056</v>
      </c>
      <c r="J271" s="149">
        <f t="shared" si="727"/>
        <v>30.462704983004677</v>
      </c>
      <c r="K271" s="149">
        <f t="shared" si="728"/>
        <v>78.346252871710277</v>
      </c>
      <c r="L271" s="379"/>
      <c r="M271" s="188">
        <f t="shared" si="729"/>
        <v>0.38882471735375074</v>
      </c>
      <c r="N271" s="149">
        <f t="shared" si="730"/>
        <v>284.94772638258769</v>
      </c>
      <c r="O271" s="149">
        <f t="shared" si="760"/>
        <v>66</v>
      </c>
      <c r="P271" s="188">
        <f t="shared" si="731"/>
        <v>9.4982575460862559</v>
      </c>
      <c r="Q271" s="188">
        <f t="shared" si="732"/>
        <v>30</v>
      </c>
      <c r="R271" s="188"/>
      <c r="S271" s="149">
        <f t="shared" si="733"/>
        <v>281.96078586376382</v>
      </c>
      <c r="T271" s="149">
        <f t="shared" si="734"/>
        <v>30</v>
      </c>
      <c r="U271" s="188">
        <f t="shared" si="735"/>
        <v>7.0897960908215003</v>
      </c>
      <c r="V271" s="188">
        <f t="shared" si="736"/>
        <v>0.69589750751783364</v>
      </c>
      <c r="W271" s="188">
        <f t="shared" si="737"/>
        <v>1.0938635175520892</v>
      </c>
      <c r="X271" s="172">
        <f t="shared" si="738"/>
        <v>350</v>
      </c>
      <c r="Y271" s="379">
        <f t="shared" si="678"/>
        <v>350</v>
      </c>
      <c r="AA271" s="188">
        <f t="shared" si="739"/>
        <v>11.318025130588936</v>
      </c>
      <c r="AB271" s="150">
        <f t="shared" si="740"/>
        <v>1.7462243797274615</v>
      </c>
      <c r="AC271" s="150">
        <f t="shared" si="741"/>
        <v>3.4586669973454351</v>
      </c>
      <c r="AD271" s="150"/>
      <c r="AE271" s="150">
        <f t="shared" si="742"/>
        <v>0.93507285386312033</v>
      </c>
      <c r="AF271" s="314">
        <f t="shared" si="743"/>
        <v>776.41009147109173</v>
      </c>
      <c r="AG271" s="456">
        <f t="shared" si="744"/>
        <v>0.99174393591543064</v>
      </c>
      <c r="AI271" s="150">
        <f t="shared" si="745"/>
        <v>9.0266711164140183</v>
      </c>
      <c r="AJ271" s="150">
        <f t="shared" si="746"/>
        <v>9.0266711164140183</v>
      </c>
      <c r="AK271" s="150">
        <f t="shared" si="747"/>
        <v>3.3970852265244131</v>
      </c>
      <c r="AM271" s="314">
        <f t="shared" si="748"/>
        <v>2200</v>
      </c>
      <c r="AN271" s="144">
        <f t="shared" si="749"/>
        <v>350</v>
      </c>
      <c r="AP271">
        <f t="shared" si="750"/>
        <v>2200</v>
      </c>
      <c r="AQ271">
        <f t="shared" si="751"/>
        <v>350</v>
      </c>
      <c r="AS271" s="5">
        <f t="shared" si="761"/>
        <v>2.8571428571428572</v>
      </c>
      <c r="AT271" s="5">
        <f t="shared" si="752"/>
        <v>0.88601108559779151</v>
      </c>
      <c r="AU271" s="5">
        <f t="shared" si="721"/>
        <v>1.9711317715450658</v>
      </c>
      <c r="AV271" s="5"/>
      <c r="AW271" s="150">
        <f t="shared" si="722"/>
        <v>0.310103879959227</v>
      </c>
      <c r="AX271" s="150">
        <f t="shared" si="630"/>
        <v>67.0179509626103</v>
      </c>
      <c r="AY271" s="150">
        <f t="shared" si="631"/>
        <v>3.1137326900490718</v>
      </c>
      <c r="AZ271" s="150">
        <f t="shared" si="632"/>
        <v>21.523347581116255</v>
      </c>
      <c r="BA271" s="144">
        <f t="shared" si="723"/>
        <v>6.4974146277171378</v>
      </c>
      <c r="BB271" s="5">
        <f t="shared" si="724"/>
        <v>1.5981750659936824</v>
      </c>
      <c r="BD271" s="150">
        <f t="shared" si="679"/>
        <v>2.9021549217149509</v>
      </c>
      <c r="BE271" s="150">
        <f t="shared" si="680"/>
        <v>4.3287135069209715</v>
      </c>
      <c r="BG271" s="456">
        <f t="shared" si="681"/>
        <v>0.10107003827561176</v>
      </c>
      <c r="BH271" s="456">
        <f t="shared" si="753"/>
        <v>4.5172774171850962</v>
      </c>
      <c r="BI271" s="456">
        <f t="shared" si="682"/>
        <v>4.0250000000000001E-2</v>
      </c>
      <c r="BJ271" s="456">
        <f t="shared" si="683"/>
        <v>1.1117697632832524</v>
      </c>
      <c r="BK271">
        <f t="shared" si="684"/>
        <v>2.154759654991752E-2</v>
      </c>
      <c r="BL271" s="144">
        <f t="shared" si="685"/>
        <v>61.797596549917522</v>
      </c>
      <c r="BM271" s="456">
        <f t="shared" si="754"/>
        <v>5.8990677646092289</v>
      </c>
      <c r="BN271" s="144">
        <f t="shared" si="686"/>
        <v>5899.067764609229</v>
      </c>
      <c r="BO271" s="456">
        <f t="shared" si="635"/>
        <v>1.54</v>
      </c>
      <c r="BR271" s="144">
        <f t="shared" si="687"/>
        <v>1540</v>
      </c>
      <c r="BS271" s="456">
        <f t="shared" si="688"/>
        <v>0.11791504465488038</v>
      </c>
      <c r="BT271" s="456">
        <f t="shared" si="689"/>
        <v>0.26232864875000078</v>
      </c>
      <c r="BU271" s="456">
        <f t="shared" si="690"/>
        <v>28.051698578523844</v>
      </c>
      <c r="BV271" s="456"/>
      <c r="BW271" s="456">
        <f t="shared" si="691"/>
        <v>2.8518277005366093</v>
      </c>
      <c r="BX271" s="144">
        <f t="shared" si="692"/>
        <v>31283.769972465336</v>
      </c>
      <c r="BY271" s="150">
        <f t="shared" si="693"/>
        <v>38.615684787759214</v>
      </c>
      <c r="BZ271" s="5">
        <f t="shared" si="694"/>
        <v>66</v>
      </c>
      <c r="CA271" s="150">
        <f t="shared" si="695"/>
        <v>0.63088054275894268</v>
      </c>
      <c r="CB271" s="5">
        <f t="shared" si="696"/>
        <v>63.088054275894265</v>
      </c>
      <c r="CE271" s="59">
        <f t="shared" si="755"/>
        <v>-50</v>
      </c>
      <c r="CF271">
        <f t="shared" si="756"/>
        <v>-50</v>
      </c>
      <c r="CG271" s="150">
        <f t="shared" si="757"/>
        <v>0.49118903353664839</v>
      </c>
      <c r="CI271" s="147">
        <v>55</v>
      </c>
      <c r="CJ271" s="188">
        <f t="shared" si="697"/>
        <v>2.2000000000000002</v>
      </c>
      <c r="CK271" s="188"/>
      <c r="CL271" s="188">
        <f t="shared" si="639"/>
        <v>66</v>
      </c>
      <c r="CM271" s="465">
        <f t="shared" si="640"/>
        <v>48</v>
      </c>
      <c r="CN271" s="379">
        <f t="shared" si="641"/>
        <v>30.4</v>
      </c>
      <c r="CO271" s="379">
        <f t="shared" si="642"/>
        <v>78.400000000000006</v>
      </c>
      <c r="CP271" s="379"/>
      <c r="CQ271" s="188">
        <f t="shared" si="643"/>
        <v>0.38775510204081626</v>
      </c>
      <c r="CR271" s="149">
        <f t="shared" si="644"/>
        <v>284.85494809142222</v>
      </c>
      <c r="CS271" s="149">
        <f t="shared" si="645"/>
        <v>66</v>
      </c>
      <c r="CT271" s="188">
        <f t="shared" si="646"/>
        <v>9.4951649363807409</v>
      </c>
      <c r="CU271" s="188">
        <f t="shared" si="647"/>
        <v>30</v>
      </c>
      <c r="CV271" s="188"/>
      <c r="CW271" s="149">
        <f t="shared" si="648"/>
        <v>282.64634581084761</v>
      </c>
      <c r="CX271" s="149">
        <f t="shared" si="649"/>
        <v>30</v>
      </c>
      <c r="CY271" s="188">
        <f t="shared" si="650"/>
        <v>7.0921052631578965</v>
      </c>
      <c r="CZ271" s="188">
        <f t="shared" si="651"/>
        <v>0.69443530701754397</v>
      </c>
      <c r="DA271" s="188">
        <f t="shared" si="652"/>
        <v>1.0964768005540169</v>
      </c>
      <c r="DB271" s="172">
        <f t="shared" si="653"/>
        <v>350</v>
      </c>
      <c r="DC271" s="379">
        <f t="shared" si="654"/>
        <v>350</v>
      </c>
      <c r="DE271" s="188">
        <f t="shared" si="655"/>
        <v>11.314434588425037</v>
      </c>
      <c r="DF271" s="150">
        <f t="shared" si="656"/>
        <v>1.7492711370262393</v>
      </c>
      <c r="DG271" s="150">
        <f t="shared" si="657"/>
        <v>3.463602425028073</v>
      </c>
      <c r="DH271" s="150"/>
      <c r="DI271" s="150">
        <f t="shared" si="658"/>
        <v>0.93700159489633172</v>
      </c>
      <c r="DJ271" s="314">
        <f t="shared" si="659"/>
        <v>774.8119148936172</v>
      </c>
      <c r="DK271" s="456">
        <f t="shared" si="660"/>
        <v>0.99378957034459414</v>
      </c>
      <c r="DM271" s="150">
        <f t="shared" si="661"/>
        <v>9.0173759990816951</v>
      </c>
      <c r="DN271" s="150">
        <f t="shared" si="662"/>
        <v>9.0173759990816951</v>
      </c>
      <c r="DO271" s="150">
        <f t="shared" si="663"/>
        <v>3.3901999544263957</v>
      </c>
      <c r="DQ271" s="314">
        <f t="shared" si="664"/>
        <v>2200</v>
      </c>
      <c r="DR271" s="144">
        <f t="shared" si="665"/>
        <v>350</v>
      </c>
      <c r="DT271">
        <f t="shared" si="666"/>
        <v>2200</v>
      </c>
      <c r="DU271">
        <f t="shared" si="667"/>
        <v>350</v>
      </c>
      <c r="DW271" s="5">
        <f t="shared" si="668"/>
        <v>2.8571428571428572</v>
      </c>
      <c r="DX271" s="5">
        <f t="shared" si="669"/>
        <v>0.88295139991008265</v>
      </c>
      <c r="DY271" s="5">
        <f t="shared" si="670"/>
        <v>1.9741914572327746</v>
      </c>
      <c r="DZ271" s="5"/>
      <c r="EA271" s="150">
        <f t="shared" si="671"/>
        <v>0.3090329899685289</v>
      </c>
      <c r="EB271" s="150">
        <f t="shared" si="698"/>
        <v>66.88000000000001</v>
      </c>
      <c r="EC271" s="150">
        <f t="shared" si="699"/>
        <v>3.115354666207514</v>
      </c>
      <c r="ED271" s="150">
        <f t="shared" si="700"/>
        <v>21.467860698318685</v>
      </c>
      <c r="EE271" s="144">
        <f t="shared" si="672"/>
        <v>6.4749769326739406</v>
      </c>
      <c r="EF271" s="5">
        <f t="shared" si="673"/>
        <v>1.5967725021735675</v>
      </c>
      <c r="EH271" s="150">
        <f t="shared" si="701"/>
        <v>2.8941562453468768</v>
      </c>
      <c r="EI271" s="150">
        <f t="shared" si="702"/>
        <v>4.3276109187161458</v>
      </c>
      <c r="EK271" s="456">
        <f t="shared" si="703"/>
        <v>0.10051368446976397</v>
      </c>
      <c r="EL271" s="456">
        <f t="shared" si="704"/>
        <v>4.7012991508812334</v>
      </c>
      <c r="EM271" s="456">
        <f t="shared" si="705"/>
        <v>4.0250000000000001E-2</v>
      </c>
      <c r="EN271" s="456">
        <f t="shared" si="706"/>
        <v>1.1132956800000005</v>
      </c>
      <c r="EO271">
        <f t="shared" si="707"/>
        <v>2.1600000000000001E-2</v>
      </c>
      <c r="EP271" s="144">
        <f t="shared" si="708"/>
        <v>61.85</v>
      </c>
      <c r="EQ271" s="144"/>
      <c r="ER271" s="144">
        <f t="shared" si="709"/>
        <v>5976.9585153509979</v>
      </c>
      <c r="ES271" s="456">
        <f t="shared" si="710"/>
        <v>1.54</v>
      </c>
      <c r="EV271" s="144">
        <f t="shared" si="711"/>
        <v>1540</v>
      </c>
      <c r="EW271" s="456">
        <f t="shared" si="712"/>
        <v>0.11726596521472463</v>
      </c>
      <c r="EX271" s="456">
        <f t="shared" si="713"/>
        <v>0.26219502769307684</v>
      </c>
      <c r="EY271" s="456">
        <f t="shared" si="714"/>
        <v>27.979539504804713</v>
      </c>
      <c r="EZ271" s="456"/>
      <c r="FA271" s="456">
        <f t="shared" si="715"/>
        <v>2.8459574468085114</v>
      </c>
      <c r="FB271" s="144">
        <f t="shared" si="716"/>
        <v>31204.957944521026</v>
      </c>
      <c r="FC271" s="150">
        <f t="shared" si="717"/>
        <v>38.721916459872027</v>
      </c>
      <c r="FD271" s="5">
        <f t="shared" si="718"/>
        <v>66</v>
      </c>
      <c r="FE271" s="150">
        <f t="shared" si="719"/>
        <v>0.63024056693319086</v>
      </c>
      <c r="FF271" s="5">
        <f t="shared" si="720"/>
        <v>63.024056693319089</v>
      </c>
      <c r="FI271" s="59">
        <f t="shared" si="674"/>
        <v>-50</v>
      </c>
      <c r="FJ271">
        <f t="shared" si="675"/>
        <v>-50</v>
      </c>
      <c r="FL271">
        <f t="shared" si="758"/>
        <v>0.48794682626609831</v>
      </c>
    </row>
    <row r="272" spans="5:168">
      <c r="E272" s="147">
        <v>56</v>
      </c>
      <c r="F272" s="188">
        <f t="shared" si="759"/>
        <v>2.2400000000000002</v>
      </c>
      <c r="G272" s="188"/>
      <c r="H272" s="188">
        <f t="shared" si="725"/>
        <v>67.2</v>
      </c>
      <c r="I272" s="465">
        <f t="shared" si="726"/>
        <v>47.882494001963863</v>
      </c>
      <c r="J272" s="149">
        <f t="shared" si="727"/>
        <v>30.463272460480994</v>
      </c>
      <c r="K272" s="149">
        <f t="shared" si="728"/>
        <v>78.345766462444857</v>
      </c>
      <c r="L272" s="379"/>
      <c r="M272" s="188">
        <f t="shared" si="729"/>
        <v>0.38883440397646168</v>
      </c>
      <c r="N272" s="149">
        <f t="shared" si="730"/>
        <v>284.94855348626851</v>
      </c>
      <c r="O272" s="149">
        <f t="shared" si="760"/>
        <v>67.2</v>
      </c>
      <c r="P272" s="188">
        <f t="shared" si="731"/>
        <v>9.498285116208951</v>
      </c>
      <c r="Q272" s="188">
        <f t="shared" si="732"/>
        <v>30</v>
      </c>
      <c r="R272" s="188"/>
      <c r="S272" s="149">
        <f t="shared" si="733"/>
        <v>276.06728959010343</v>
      </c>
      <c r="T272" s="149">
        <f t="shared" si="734"/>
        <v>30</v>
      </c>
      <c r="U272" s="188">
        <f t="shared" si="735"/>
        <v>7.2186805209838436</v>
      </c>
      <c r="V272" s="188">
        <f t="shared" si="736"/>
        <v>0.70856372784660182</v>
      </c>
      <c r="W272" s="188">
        <f t="shared" si="737"/>
        <v>1.1137279651303873</v>
      </c>
      <c r="X272" s="172">
        <f t="shared" si="738"/>
        <v>350</v>
      </c>
      <c r="Y272" s="379">
        <f t="shared" si="678"/>
        <v>350</v>
      </c>
      <c r="AA272" s="188">
        <f t="shared" si="739"/>
        <v>11.318057129938147</v>
      </c>
      <c r="AB272" s="150">
        <f t="shared" si="740"/>
        <v>1.746196787614241</v>
      </c>
      <c r="AC272" s="150">
        <f t="shared" si="741"/>
        <v>3.458622125408179</v>
      </c>
      <c r="AD272" s="150"/>
      <c r="AE272" s="150">
        <f t="shared" si="742"/>
        <v>0.93505543509158262</v>
      </c>
      <c r="AF272" s="314">
        <f t="shared" si="743"/>
        <v>790.54136499147808</v>
      </c>
      <c r="AG272" s="456">
        <f t="shared" si="744"/>
        <v>0.99172546146076945</v>
      </c>
      <c r="AI272" s="150">
        <f t="shared" si="745"/>
        <v>9.108446950486158</v>
      </c>
      <c r="AJ272" s="150">
        <f t="shared" si="746"/>
        <v>9.108446950486158</v>
      </c>
      <c r="AK272" s="150">
        <f t="shared" si="747"/>
        <v>3.4576599184297017</v>
      </c>
      <c r="AM272" s="314">
        <f t="shared" si="748"/>
        <v>2240</v>
      </c>
      <c r="AN272" s="144">
        <f t="shared" si="749"/>
        <v>350</v>
      </c>
      <c r="AP272">
        <f t="shared" si="750"/>
        <v>2240</v>
      </c>
      <c r="AQ272">
        <f t="shared" si="751"/>
        <v>350</v>
      </c>
      <c r="AS272" s="5">
        <f t="shared" si="761"/>
        <v>2.8571428571428572</v>
      </c>
      <c r="AT272" s="5">
        <f t="shared" si="752"/>
        <v>0.8940574537643996</v>
      </c>
      <c r="AU272" s="5">
        <f t="shared" si="721"/>
        <v>1.9630854033784577</v>
      </c>
      <c r="AV272" s="5"/>
      <c r="AW272" s="150">
        <f t="shared" si="722"/>
        <v>0.31292010881753984</v>
      </c>
      <c r="AX272" s="150">
        <f t="shared" si="630"/>
        <v>68.237730311477421</v>
      </c>
      <c r="AY272" s="150">
        <f t="shared" si="631"/>
        <v>3.1291153697906204</v>
      </c>
      <c r="AZ272" s="150">
        <f t="shared" si="632"/>
        <v>21.807355193823817</v>
      </c>
      <c r="BA272" s="144">
        <f t="shared" si="723"/>
        <v>6.6756289881075181</v>
      </c>
      <c r="BB272" s="5">
        <f t="shared" si="724"/>
        <v>1.6206259272177448</v>
      </c>
      <c r="BD272" s="150">
        <f t="shared" si="679"/>
        <v>2.9417139649328647</v>
      </c>
      <c r="BE272" s="150">
        <f t="shared" si="680"/>
        <v>4.3590045765586387</v>
      </c>
      <c r="BG272" s="456">
        <f t="shared" si="681"/>
        <v>0.10384417261777243</v>
      </c>
      <c r="BH272" s="456">
        <f t="shared" si="753"/>
        <v>4.5581727455372532</v>
      </c>
      <c r="BI272" s="456">
        <f t="shared" si="682"/>
        <v>4.0250000000000001E-2</v>
      </c>
      <c r="BJ272" s="456">
        <f t="shared" si="683"/>
        <v>1.1117559585787422</v>
      </c>
      <c r="BK272">
        <f t="shared" si="684"/>
        <v>2.1547122300883736E-2</v>
      </c>
      <c r="BL272" s="144">
        <f t="shared" si="685"/>
        <v>61.797122300883736</v>
      </c>
      <c r="BM272" s="456">
        <f t="shared" si="754"/>
        <v>5.948582410331694</v>
      </c>
      <c r="BN272" s="144">
        <f t="shared" si="686"/>
        <v>5948.5824103316936</v>
      </c>
      <c r="BO272" s="456">
        <f t="shared" si="635"/>
        <v>1.5680000000000001</v>
      </c>
      <c r="BR272" s="144">
        <f t="shared" si="687"/>
        <v>1568</v>
      </c>
      <c r="BS272" s="456">
        <f t="shared" si="688"/>
        <v>0.12115153472073449</v>
      </c>
      <c r="BT272" s="456">
        <f t="shared" si="689"/>
        <v>0.2660128925784282</v>
      </c>
      <c r="BU272" s="456">
        <f t="shared" si="690"/>
        <v>28.691347685149299</v>
      </c>
      <c r="BV272" s="456"/>
      <c r="BW272" s="456">
        <f t="shared" si="691"/>
        <v>2.9037332047437205</v>
      </c>
      <c r="BX272" s="144">
        <f t="shared" si="692"/>
        <v>31982.245317192181</v>
      </c>
      <c r="BY272" s="150">
        <f t="shared" si="693"/>
        <v>39.385815316226839</v>
      </c>
      <c r="BZ272" s="5">
        <f t="shared" si="694"/>
        <v>67.2</v>
      </c>
      <c r="CA272" s="150">
        <f t="shared" si="695"/>
        <v>0.63047789052066605</v>
      </c>
      <c r="CB272" s="5">
        <f t="shared" si="696"/>
        <v>63.047789052066605</v>
      </c>
      <c r="CE272" s="59">
        <f t="shared" si="755"/>
        <v>-50</v>
      </c>
      <c r="CF272">
        <f t="shared" si="756"/>
        <v>-50</v>
      </c>
      <c r="CG272" s="150">
        <f t="shared" si="757"/>
        <v>0.49563427376779884</v>
      </c>
      <c r="CI272" s="147">
        <v>56</v>
      </c>
      <c r="CJ272" s="188">
        <f t="shared" si="697"/>
        <v>2.2400000000000002</v>
      </c>
      <c r="CK272" s="188"/>
      <c r="CL272" s="188">
        <f t="shared" si="639"/>
        <v>67.2</v>
      </c>
      <c r="CM272" s="465">
        <f t="shared" si="640"/>
        <v>48</v>
      </c>
      <c r="CN272" s="379">
        <f t="shared" si="641"/>
        <v>30.4</v>
      </c>
      <c r="CO272" s="379">
        <f t="shared" si="642"/>
        <v>78.400000000000006</v>
      </c>
      <c r="CP272" s="379"/>
      <c r="CQ272" s="188">
        <f t="shared" si="643"/>
        <v>0.38775510204081626</v>
      </c>
      <c r="CR272" s="149">
        <f t="shared" si="644"/>
        <v>284.85494809142222</v>
      </c>
      <c r="CS272" s="149">
        <f t="shared" si="645"/>
        <v>67.2</v>
      </c>
      <c r="CT272" s="188">
        <f t="shared" si="646"/>
        <v>9.4951649363807409</v>
      </c>
      <c r="CU272" s="188">
        <f t="shared" si="647"/>
        <v>30</v>
      </c>
      <c r="CV272" s="188"/>
      <c r="CW272" s="149">
        <f t="shared" si="648"/>
        <v>276.74460258952757</v>
      </c>
      <c r="CX272" s="149">
        <f t="shared" si="649"/>
        <v>30</v>
      </c>
      <c r="CY272" s="188">
        <f t="shared" si="650"/>
        <v>7.2210526315789494</v>
      </c>
      <c r="CZ272" s="188">
        <f t="shared" si="651"/>
        <v>0.70706140350877222</v>
      </c>
      <c r="DA272" s="188">
        <f t="shared" si="652"/>
        <v>1.1164127423822718</v>
      </c>
      <c r="DB272" s="172">
        <f t="shared" si="653"/>
        <v>350</v>
      </c>
      <c r="DC272" s="379">
        <f t="shared" si="654"/>
        <v>350</v>
      </c>
      <c r="DE272" s="188">
        <f t="shared" si="655"/>
        <v>11.314434588425037</v>
      </c>
      <c r="DF272" s="150">
        <f t="shared" si="656"/>
        <v>1.7492711370262393</v>
      </c>
      <c r="DG272" s="150">
        <f t="shared" si="657"/>
        <v>3.463602425028073</v>
      </c>
      <c r="DH272" s="150"/>
      <c r="DI272" s="150">
        <f t="shared" si="658"/>
        <v>0.93700159489633172</v>
      </c>
      <c r="DJ272" s="314">
        <f t="shared" si="659"/>
        <v>788.89940425531927</v>
      </c>
      <c r="DK272" s="456">
        <f t="shared" si="660"/>
        <v>0.99378957034459414</v>
      </c>
      <c r="DM272" s="150">
        <f t="shared" si="661"/>
        <v>9.098982875118633</v>
      </c>
      <c r="DN272" s="150">
        <f t="shared" si="662"/>
        <v>9.098982875118633</v>
      </c>
      <c r="DO272" s="150">
        <f t="shared" si="663"/>
        <v>3.4506494922315349</v>
      </c>
      <c r="DQ272" s="314">
        <f t="shared" si="664"/>
        <v>2240</v>
      </c>
      <c r="DR272" s="144">
        <f t="shared" si="665"/>
        <v>350</v>
      </c>
      <c r="DT272">
        <f t="shared" si="666"/>
        <v>2240</v>
      </c>
      <c r="DU272">
        <f t="shared" si="667"/>
        <v>350</v>
      </c>
      <c r="DW272" s="5">
        <f t="shared" si="668"/>
        <v>2.8571428571428572</v>
      </c>
      <c r="DX272" s="5">
        <f t="shared" si="669"/>
        <v>0.89094207318869945</v>
      </c>
      <c r="DY272" s="5">
        <f t="shared" si="670"/>
        <v>1.9662007839541578</v>
      </c>
      <c r="DZ272" s="5"/>
      <c r="EA272" s="150">
        <f t="shared" si="671"/>
        <v>0.31182972561604477</v>
      </c>
      <c r="EB272" s="150">
        <f t="shared" si="698"/>
        <v>68.096000000000018</v>
      </c>
      <c r="EC272" s="150">
        <f t="shared" si="699"/>
        <v>3.1308247708926502</v>
      </c>
      <c r="ED272" s="150">
        <f t="shared" si="700"/>
        <v>21.750179260458808</v>
      </c>
      <c r="EE272" s="144">
        <f t="shared" si="672"/>
        <v>6.6523674798089569</v>
      </c>
      <c r="EF272" s="5">
        <f t="shared" si="673"/>
        <v>1.6192241750210712</v>
      </c>
      <c r="EH272" s="150">
        <f t="shared" si="701"/>
        <v>2.9335329900425116</v>
      </c>
      <c r="EI272" s="150">
        <f t="shared" si="702"/>
        <v>4.3579292464311106</v>
      </c>
      <c r="EK272" s="456">
        <f t="shared" si="703"/>
        <v>0.10326738964401311</v>
      </c>
      <c r="EL272" s="456">
        <f t="shared" si="704"/>
        <v>4.7438457117718515</v>
      </c>
      <c r="EM272" s="456">
        <f t="shared" si="705"/>
        <v>4.0250000000000001E-2</v>
      </c>
      <c r="EN272" s="456">
        <f t="shared" si="706"/>
        <v>1.1132956800000005</v>
      </c>
      <c r="EO272">
        <f t="shared" si="707"/>
        <v>2.1600000000000001E-2</v>
      </c>
      <c r="EP272" s="144">
        <f t="shared" si="708"/>
        <v>61.85</v>
      </c>
      <c r="EQ272" s="144"/>
      <c r="ER272" s="144">
        <f t="shared" si="709"/>
        <v>6022.2587814158651</v>
      </c>
      <c r="ES272" s="456">
        <f t="shared" si="710"/>
        <v>1.5680000000000001</v>
      </c>
      <c r="EV272" s="144">
        <f t="shared" si="711"/>
        <v>1568</v>
      </c>
      <c r="EW272" s="456">
        <f t="shared" si="712"/>
        <v>0.12047862125134862</v>
      </c>
      <c r="EX272" s="456">
        <f t="shared" si="713"/>
        <v>0.26588166243659478</v>
      </c>
      <c r="EY272" s="456">
        <f t="shared" si="714"/>
        <v>28.616876836599509</v>
      </c>
      <c r="EZ272" s="456"/>
      <c r="FA272" s="456">
        <f t="shared" si="715"/>
        <v>2.8977021276595756</v>
      </c>
      <c r="FB272" s="144">
        <f t="shared" si="716"/>
        <v>31900.939247947026</v>
      </c>
      <c r="FC272" s="150">
        <f t="shared" si="717"/>
        <v>39.491198029362899</v>
      </c>
      <c r="FD272" s="5">
        <f t="shared" si="718"/>
        <v>67.2</v>
      </c>
      <c r="FE272" s="150">
        <f t="shared" si="719"/>
        <v>0.62985514495305994</v>
      </c>
      <c r="FF272" s="5">
        <f t="shared" si="720"/>
        <v>62.985514495305992</v>
      </c>
      <c r="FI272" s="59">
        <f t="shared" si="674"/>
        <v>-50</v>
      </c>
      <c r="FJ272">
        <f t="shared" si="675"/>
        <v>-50</v>
      </c>
      <c r="FL272">
        <f t="shared" si="758"/>
        <v>0.49236272465691283</v>
      </c>
    </row>
    <row r="273" spans="5:168">
      <c r="E273" s="147">
        <v>57</v>
      </c>
      <c r="F273" s="188">
        <f t="shared" si="759"/>
        <v>2.2799999999999998</v>
      </c>
      <c r="G273" s="188"/>
      <c r="H273" s="188">
        <f t="shared" si="725"/>
        <v>68.399999999999991</v>
      </c>
      <c r="I273" s="465">
        <f t="shared" si="726"/>
        <v>47.881449483661974</v>
      </c>
      <c r="J273" s="149">
        <f t="shared" si="727"/>
        <v>30.463834893412781</v>
      </c>
      <c r="K273" s="149">
        <f t="shared" si="728"/>
        <v>78.345284377074762</v>
      </c>
      <c r="L273" s="379"/>
      <c r="M273" s="188">
        <f t="shared" si="729"/>
        <v>0.3888440046084935</v>
      </c>
      <c r="N273" s="149">
        <f t="shared" si="730"/>
        <v>284.94937301544968</v>
      </c>
      <c r="O273" s="149">
        <f t="shared" si="760"/>
        <v>68.399999999999991</v>
      </c>
      <c r="P273" s="188">
        <f t="shared" si="731"/>
        <v>9.4983124338483229</v>
      </c>
      <c r="Q273" s="188">
        <f t="shared" si="732"/>
        <v>30</v>
      </c>
      <c r="R273" s="188"/>
      <c r="S273" s="149">
        <f t="shared" si="733"/>
        <v>270.38073205395978</v>
      </c>
      <c r="T273" s="149">
        <f t="shared" si="734"/>
        <v>30</v>
      </c>
      <c r="U273" s="188">
        <f t="shared" si="735"/>
        <v>7.3475643982499168</v>
      </c>
      <c r="V273" s="188">
        <f t="shared" si="736"/>
        <v>0.72123031036389329</v>
      </c>
      <c r="W273" s="188">
        <f t="shared" si="737"/>
        <v>1.1335917750539617</v>
      </c>
      <c r="X273" s="172">
        <f t="shared" si="738"/>
        <v>350</v>
      </c>
      <c r="Y273" s="379">
        <f t="shared" si="678"/>
        <v>350</v>
      </c>
      <c r="AA273" s="188">
        <f t="shared" si="739"/>
        <v>11.318088836066227</v>
      </c>
      <c r="AB273" s="150">
        <f t="shared" si="740"/>
        <v>1.7461694404407919</v>
      </c>
      <c r="AC273" s="150">
        <f t="shared" si="741"/>
        <v>3.4585776487032645</v>
      </c>
      <c r="AD273" s="150"/>
      <c r="AE273" s="150">
        <f t="shared" si="742"/>
        <v>0.93503817180311022</v>
      </c>
      <c r="AF273" s="314">
        <f t="shared" si="743"/>
        <v>804.67303120800489</v>
      </c>
      <c r="AG273" s="456">
        <f t="shared" si="744"/>
        <v>0.99170715191238967</v>
      </c>
      <c r="AI273" s="150">
        <f t="shared" si="745"/>
        <v>9.1894973457449929</v>
      </c>
      <c r="AJ273" s="150">
        <f t="shared" si="746"/>
        <v>9.1894973457449929</v>
      </c>
      <c r="AK273" s="150">
        <f t="shared" si="747"/>
        <v>3.5176972482510607</v>
      </c>
      <c r="AM273" s="314">
        <f t="shared" si="748"/>
        <v>2280</v>
      </c>
      <c r="AN273" s="144">
        <f t="shared" si="749"/>
        <v>350</v>
      </c>
      <c r="AP273">
        <f t="shared" si="750"/>
        <v>2280</v>
      </c>
      <c r="AQ273">
        <f t="shared" si="751"/>
        <v>350</v>
      </c>
      <c r="AS273" s="5">
        <f t="shared" si="761"/>
        <v>2.8571428571428572</v>
      </c>
      <c r="AT273" s="5">
        <f t="shared" si="752"/>
        <v>0.90203279121152957</v>
      </c>
      <c r="AU273" s="5">
        <f t="shared" si="721"/>
        <v>1.9551100659313276</v>
      </c>
      <c r="AV273" s="5"/>
      <c r="AW273" s="150">
        <f t="shared" si="722"/>
        <v>0.31571147692403534</v>
      </c>
      <c r="AX273" s="150">
        <f t="shared" si="630"/>
        <v>69.457543556981122</v>
      </c>
      <c r="AY273" s="150">
        <f t="shared" si="631"/>
        <v>3.1441337832651692</v>
      </c>
      <c r="AZ273" s="150">
        <f t="shared" si="632"/>
        <v>22.091153985454703</v>
      </c>
      <c r="BA273" s="144">
        <f t="shared" si="723"/>
        <v>6.8554492132076241</v>
      </c>
      <c r="BB273" s="5">
        <f t="shared" si="724"/>
        <v>1.6428998993015242</v>
      </c>
      <c r="BD273" s="150">
        <f t="shared" si="679"/>
        <v>2.981098419234617</v>
      </c>
      <c r="BE273" s="150">
        <f t="shared" si="680"/>
        <v>4.3888501953611527</v>
      </c>
      <c r="BG273" s="456">
        <f t="shared" si="681"/>
        <v>0.10664337342195758</v>
      </c>
      <c r="BH273" s="456">
        <f t="shared" si="753"/>
        <v>4.5987047878570628</v>
      </c>
      <c r="BI273" s="456">
        <f t="shared" si="682"/>
        <v>4.0250000000000001E-2</v>
      </c>
      <c r="BJ273" s="456">
        <f t="shared" si="683"/>
        <v>1.111742276674589</v>
      </c>
      <c r="BK273">
        <f t="shared" si="684"/>
        <v>2.1546652267647889E-2</v>
      </c>
      <c r="BL273" s="144">
        <f t="shared" si="685"/>
        <v>61.796652267647893</v>
      </c>
      <c r="BM273" s="456">
        <f t="shared" si="754"/>
        <v>5.9978607362675467</v>
      </c>
      <c r="BN273" s="144">
        <f t="shared" si="686"/>
        <v>5997.8607362675466</v>
      </c>
      <c r="BO273" s="456">
        <f t="shared" si="635"/>
        <v>1.5959999999999999</v>
      </c>
      <c r="BR273" s="144">
        <f t="shared" si="687"/>
        <v>1595.9999999999998</v>
      </c>
      <c r="BS273" s="456">
        <f t="shared" si="688"/>
        <v>0.12441726899228385</v>
      </c>
      <c r="BT273" s="456">
        <f t="shared" si="689"/>
        <v>0.26966808452250285</v>
      </c>
      <c r="BU273" s="456">
        <f t="shared" si="690"/>
        <v>29.33387971867657</v>
      </c>
      <c r="BV273" s="456"/>
      <c r="BW273" s="456">
        <f t="shared" si="691"/>
        <v>2.9556401513608996</v>
      </c>
      <c r="BX273" s="144">
        <f t="shared" si="692"/>
        <v>32683.605223552255</v>
      </c>
      <c r="BY273" s="150">
        <f t="shared" si="693"/>
        <v>40.158492313773507</v>
      </c>
      <c r="BZ273" s="5">
        <f t="shared" si="694"/>
        <v>68.399999999999991</v>
      </c>
      <c r="CA273" s="150">
        <f t="shared" si="695"/>
        <v>0.63007507328214485</v>
      </c>
      <c r="CB273" s="5">
        <f t="shared" si="696"/>
        <v>63.007507328214487</v>
      </c>
      <c r="CE273" s="59">
        <f t="shared" si="755"/>
        <v>-50</v>
      </c>
      <c r="CF273">
        <f t="shared" si="756"/>
        <v>-50</v>
      </c>
      <c r="CG273" s="150">
        <f t="shared" si="757"/>
        <v>0.50003999840012792</v>
      </c>
      <c r="CI273" s="147">
        <v>57</v>
      </c>
      <c r="CJ273" s="188">
        <f t="shared" si="697"/>
        <v>2.2799999999999998</v>
      </c>
      <c r="CK273" s="188"/>
      <c r="CL273" s="188">
        <f t="shared" si="639"/>
        <v>68.399999999999991</v>
      </c>
      <c r="CM273" s="465">
        <f t="shared" si="640"/>
        <v>48</v>
      </c>
      <c r="CN273" s="379">
        <f t="shared" si="641"/>
        <v>30.4</v>
      </c>
      <c r="CO273" s="379">
        <f t="shared" si="642"/>
        <v>78.400000000000006</v>
      </c>
      <c r="CP273" s="379"/>
      <c r="CQ273" s="188">
        <f t="shared" si="643"/>
        <v>0.38775510204081626</v>
      </c>
      <c r="CR273" s="149">
        <f t="shared" si="644"/>
        <v>284.85494809142222</v>
      </c>
      <c r="CS273" s="149">
        <f t="shared" si="645"/>
        <v>68.399999999999991</v>
      </c>
      <c r="CT273" s="188">
        <f t="shared" si="646"/>
        <v>9.4951649363807409</v>
      </c>
      <c r="CU273" s="188">
        <f t="shared" si="647"/>
        <v>30</v>
      </c>
      <c r="CV273" s="188"/>
      <c r="CW273" s="149">
        <f t="shared" si="648"/>
        <v>271.04999760636969</v>
      </c>
      <c r="CX273" s="149">
        <f t="shared" si="649"/>
        <v>30</v>
      </c>
      <c r="CY273" s="188">
        <f t="shared" si="650"/>
        <v>7.3500000000000005</v>
      </c>
      <c r="CZ273" s="188">
        <f t="shared" si="651"/>
        <v>0.71968750000000004</v>
      </c>
      <c r="DA273" s="188">
        <f t="shared" si="652"/>
        <v>1.1363486842105264</v>
      </c>
      <c r="DB273" s="172">
        <f t="shared" si="653"/>
        <v>350</v>
      </c>
      <c r="DC273" s="379">
        <f t="shared" si="654"/>
        <v>350</v>
      </c>
      <c r="DE273" s="188">
        <f t="shared" si="655"/>
        <v>11.314434588425037</v>
      </c>
      <c r="DF273" s="150">
        <f t="shared" si="656"/>
        <v>1.7492711370262393</v>
      </c>
      <c r="DG273" s="150">
        <f t="shared" si="657"/>
        <v>3.463602425028073</v>
      </c>
      <c r="DH273" s="150"/>
      <c r="DI273" s="150">
        <f t="shared" si="658"/>
        <v>0.93700159489633172</v>
      </c>
      <c r="DJ273" s="314">
        <f t="shared" si="659"/>
        <v>802.98689361702122</v>
      </c>
      <c r="DK273" s="456">
        <f t="shared" si="660"/>
        <v>0.99378957034459414</v>
      </c>
      <c r="DM273" s="150">
        <f t="shared" si="661"/>
        <v>9.1798643135173652</v>
      </c>
      <c r="DN273" s="150">
        <f t="shared" si="662"/>
        <v>9.1798643135173652</v>
      </c>
      <c r="DO273" s="150">
        <f t="shared" si="663"/>
        <v>3.510561668823188</v>
      </c>
      <c r="DQ273" s="314">
        <f t="shared" si="664"/>
        <v>2280</v>
      </c>
      <c r="DR273" s="144">
        <f t="shared" si="665"/>
        <v>350</v>
      </c>
      <c r="DT273">
        <f t="shared" si="666"/>
        <v>2280</v>
      </c>
      <c r="DU273">
        <f t="shared" si="667"/>
        <v>350</v>
      </c>
      <c r="DW273" s="5">
        <f t="shared" si="668"/>
        <v>2.8571428571428572</v>
      </c>
      <c r="DX273" s="5">
        <f t="shared" si="669"/>
        <v>0.89886171403190873</v>
      </c>
      <c r="DY273" s="5">
        <f t="shared" si="670"/>
        <v>1.9582811431109484</v>
      </c>
      <c r="DZ273" s="5"/>
      <c r="EA273" s="150">
        <f t="shared" si="671"/>
        <v>0.31460159991116804</v>
      </c>
      <c r="EB273" s="150">
        <f t="shared" si="698"/>
        <v>69.311999999999983</v>
      </c>
      <c r="EC273" s="150">
        <f t="shared" si="699"/>
        <v>3.1459321567586831</v>
      </c>
      <c r="ED273" s="150">
        <f t="shared" si="700"/>
        <v>22.032261519400826</v>
      </c>
      <c r="EE273" s="144">
        <f t="shared" si="672"/>
        <v>6.8313490266425054</v>
      </c>
      <c r="EF273" s="5">
        <f t="shared" si="673"/>
        <v>1.6415003699606476</v>
      </c>
      <c r="EH273" s="150">
        <f t="shared" si="701"/>
        <v>2.9727343270373239</v>
      </c>
      <c r="EI273" s="150">
        <f t="shared" si="702"/>
        <v>4.3878035764739023</v>
      </c>
      <c r="EK273" s="456">
        <f t="shared" si="703"/>
        <v>0.10604579254975262</v>
      </c>
      <c r="EL273" s="456">
        <f t="shared" si="704"/>
        <v>4.7860140584954145</v>
      </c>
      <c r="EM273" s="456">
        <f t="shared" si="705"/>
        <v>4.0250000000000001E-2</v>
      </c>
      <c r="EN273" s="456">
        <f t="shared" si="706"/>
        <v>1.1132956800000005</v>
      </c>
      <c r="EO273">
        <f t="shared" si="707"/>
        <v>2.1600000000000001E-2</v>
      </c>
      <c r="EP273" s="144">
        <f t="shared" si="708"/>
        <v>61.85</v>
      </c>
      <c r="EQ273" s="144"/>
      <c r="ER273" s="144">
        <f t="shared" si="709"/>
        <v>6067.2055310451678</v>
      </c>
      <c r="ES273" s="456">
        <f t="shared" si="710"/>
        <v>1.5959999999999999</v>
      </c>
      <c r="EV273" s="144">
        <f t="shared" si="711"/>
        <v>1595.9999999999998</v>
      </c>
      <c r="EW273" s="456">
        <f t="shared" si="712"/>
        <v>0.12372009130804472</v>
      </c>
      <c r="EX273" s="456">
        <f t="shared" si="713"/>
        <v>0.26953948316004039</v>
      </c>
      <c r="EY273" s="456">
        <f t="shared" si="714"/>
        <v>29.257065917738959</v>
      </c>
      <c r="EZ273" s="456"/>
      <c r="FA273" s="456">
        <f t="shared" si="715"/>
        <v>2.949446808510638</v>
      </c>
      <c r="FB273" s="144">
        <f t="shared" si="716"/>
        <v>32599.772300717683</v>
      </c>
      <c r="FC273" s="150">
        <f t="shared" si="717"/>
        <v>40.262977831762846</v>
      </c>
      <c r="FD273" s="5">
        <f t="shared" si="718"/>
        <v>68.399999999999991</v>
      </c>
      <c r="FE273" s="150">
        <f t="shared" si="719"/>
        <v>0.62946922093281943</v>
      </c>
      <c r="FF273" s="5">
        <f t="shared" si="720"/>
        <v>62.946922093281941</v>
      </c>
      <c r="FI273" s="59">
        <f t="shared" si="674"/>
        <v>-50</v>
      </c>
      <c r="FJ273">
        <f t="shared" si="675"/>
        <v>-50</v>
      </c>
      <c r="FL273">
        <f t="shared" si="758"/>
        <v>0.49673936828079168</v>
      </c>
    </row>
    <row r="274" spans="5:168">
      <c r="E274" s="147">
        <v>58</v>
      </c>
      <c r="F274" s="188">
        <f t="shared" si="759"/>
        <v>2.3199999999999998</v>
      </c>
      <c r="G274" s="188"/>
      <c r="H274" s="188">
        <f t="shared" si="725"/>
        <v>69.599999999999994</v>
      </c>
      <c r="I274" s="465">
        <f t="shared" si="726"/>
        <v>47.8804140883149</v>
      </c>
      <c r="J274" s="149">
        <f t="shared" si="727"/>
        <v>30.464392413984282</v>
      </c>
      <c r="K274" s="149">
        <f t="shared" si="728"/>
        <v>78.344806502299178</v>
      </c>
      <c r="L274" s="379"/>
      <c r="M274" s="188">
        <f t="shared" si="729"/>
        <v>0.38885352150309677</v>
      </c>
      <c r="N274" s="149">
        <f t="shared" si="730"/>
        <v>284.95018516860466</v>
      </c>
      <c r="O274" s="149">
        <f t="shared" si="760"/>
        <v>69.599999999999994</v>
      </c>
      <c r="P274" s="188">
        <f t="shared" si="731"/>
        <v>9.4983395056201552</v>
      </c>
      <c r="Q274" s="188">
        <f t="shared" si="732"/>
        <v>30</v>
      </c>
      <c r="R274" s="188"/>
      <c r="S274" s="149">
        <f t="shared" si="733"/>
        <v>264.89040822315314</v>
      </c>
      <c r="T274" s="149">
        <f t="shared" si="734"/>
        <v>30</v>
      </c>
      <c r="U274" s="188">
        <f t="shared" si="735"/>
        <v>7.47644772769491</v>
      </c>
      <c r="V274" s="188">
        <f t="shared" si="736"/>
        <v>0.7338972519191671</v>
      </c>
      <c r="W274" s="188">
        <f t="shared" si="737"/>
        <v>1.1534549530039482</v>
      </c>
      <c r="X274" s="172">
        <f t="shared" si="738"/>
        <v>350</v>
      </c>
      <c r="Y274" s="379">
        <f t="shared" si="678"/>
        <v>350</v>
      </c>
      <c r="AA274" s="188">
        <f t="shared" si="739"/>
        <v>11.318120256656414</v>
      </c>
      <c r="AB274" s="150">
        <f t="shared" si="740"/>
        <v>1.7461423317888527</v>
      </c>
      <c r="AC274" s="150">
        <f t="shared" si="741"/>
        <v>3.4585335568743183</v>
      </c>
      <c r="AD274" s="150"/>
      <c r="AE274" s="150">
        <f t="shared" si="742"/>
        <v>0.9350210599234825</v>
      </c>
      <c r="AF274" s="314">
        <f t="shared" si="743"/>
        <v>818.8050866604575</v>
      </c>
      <c r="AG274" s="456">
        <f t="shared" si="744"/>
        <v>0.99168900294914808</v>
      </c>
      <c r="AI274" s="150">
        <f t="shared" si="745"/>
        <v>9.2698413111374212</v>
      </c>
      <c r="AJ274" s="150">
        <f t="shared" si="746"/>
        <v>9.2698413111374212</v>
      </c>
      <c r="AK274" s="150">
        <f t="shared" si="747"/>
        <v>3.5772112966898968</v>
      </c>
      <c r="AM274" s="314">
        <f t="shared" si="748"/>
        <v>2320</v>
      </c>
      <c r="AN274" s="144">
        <f t="shared" si="749"/>
        <v>350</v>
      </c>
      <c r="AP274">
        <f t="shared" si="750"/>
        <v>2320</v>
      </c>
      <c r="AQ274">
        <f t="shared" si="751"/>
        <v>350</v>
      </c>
      <c r="AS274" s="5">
        <f t="shared" si="761"/>
        <v>2.8571428571428572</v>
      </c>
      <c r="AT274" s="5">
        <f t="shared" si="752"/>
        <v>0.90993895921586454</v>
      </c>
      <c r="AU274" s="5">
        <f t="shared" si="721"/>
        <v>1.9472038979269928</v>
      </c>
      <c r="AV274" s="5"/>
      <c r="AW274" s="150">
        <f t="shared" si="722"/>
        <v>0.31847863572555257</v>
      </c>
      <c r="AX274" s="150">
        <f t="shared" si="630"/>
        <v>70.677390400443514</v>
      </c>
      <c r="AY274" s="150">
        <f t="shared" si="631"/>
        <v>3.1587974484870038</v>
      </c>
      <c r="AZ274" s="150">
        <f t="shared" si="632"/>
        <v>22.374777602247484</v>
      </c>
      <c r="BA274" s="144">
        <f t="shared" si="723"/>
        <v>7.0368612846026846</v>
      </c>
      <c r="BB274" s="5">
        <f t="shared" si="724"/>
        <v>1.6649985161406937</v>
      </c>
      <c r="BD274" s="150">
        <f t="shared" si="679"/>
        <v>3.0203121124959544</v>
      </c>
      <c r="BE274" s="150">
        <f t="shared" si="680"/>
        <v>4.4182614289258098</v>
      </c>
      <c r="BG274" s="456">
        <f t="shared" si="681"/>
        <v>0.1094674230826773</v>
      </c>
      <c r="BH274" s="456">
        <f t="shared" si="753"/>
        <v>4.638883063451865</v>
      </c>
      <c r="BI274" s="456">
        <f t="shared" si="682"/>
        <v>4.0250000000000001E-2</v>
      </c>
      <c r="BJ274" s="456">
        <f t="shared" si="683"/>
        <v>1.1117287143530041</v>
      </c>
      <c r="BK274">
        <f t="shared" si="684"/>
        <v>2.1546186339741705E-2</v>
      </c>
      <c r="BL274" s="144">
        <f t="shared" si="685"/>
        <v>61.796186339741709</v>
      </c>
      <c r="BM274" s="456">
        <f t="shared" si="754"/>
        <v>6.0469123277661465</v>
      </c>
      <c r="BN274" s="144">
        <f t="shared" si="686"/>
        <v>6046.9123277661465</v>
      </c>
      <c r="BO274" s="456">
        <f t="shared" si="635"/>
        <v>1.6239999999999999</v>
      </c>
      <c r="BR274" s="144">
        <f t="shared" si="687"/>
        <v>1624</v>
      </c>
      <c r="BS274" s="456">
        <f t="shared" si="688"/>
        <v>0.12771199359645685</v>
      </c>
      <c r="BT274" s="456">
        <f t="shared" si="689"/>
        <v>0.27329447676066954</v>
      </c>
      <c r="BU274" s="456">
        <f t="shared" si="690"/>
        <v>29.979256932270843</v>
      </c>
      <c r="BV274" s="456"/>
      <c r="BW274" s="456">
        <f t="shared" si="691"/>
        <v>3.0075485276784484</v>
      </c>
      <c r="BX274" s="144">
        <f t="shared" si="692"/>
        <v>33387.811930306423</v>
      </c>
      <c r="BY274" s="150">
        <f t="shared" si="693"/>
        <v>40.93368731753371</v>
      </c>
      <c r="BZ274" s="5">
        <f t="shared" si="694"/>
        <v>69.599999999999994</v>
      </c>
      <c r="CA274" s="150">
        <f t="shared" si="695"/>
        <v>0.6296722898608984</v>
      </c>
      <c r="CB274" s="5">
        <f t="shared" si="696"/>
        <v>62.967228986089843</v>
      </c>
      <c r="CE274" s="59">
        <f t="shared" si="755"/>
        <v>-50</v>
      </c>
      <c r="CF274">
        <f t="shared" si="756"/>
        <v>-50</v>
      </c>
      <c r="CG274" s="150">
        <f t="shared" si="757"/>
        <v>0.50440724287689076</v>
      </c>
      <c r="CI274" s="147">
        <v>58</v>
      </c>
      <c r="CJ274" s="188">
        <f t="shared" si="697"/>
        <v>2.3199999999999998</v>
      </c>
      <c r="CK274" s="188"/>
      <c r="CL274" s="188">
        <f t="shared" si="639"/>
        <v>69.599999999999994</v>
      </c>
      <c r="CM274" s="465">
        <f t="shared" si="640"/>
        <v>48</v>
      </c>
      <c r="CN274" s="379">
        <f t="shared" si="641"/>
        <v>30.4</v>
      </c>
      <c r="CO274" s="379">
        <f t="shared" si="642"/>
        <v>78.400000000000006</v>
      </c>
      <c r="CP274" s="379"/>
      <c r="CQ274" s="188">
        <f t="shared" si="643"/>
        <v>0.38775510204081626</v>
      </c>
      <c r="CR274" s="149">
        <f t="shared" si="644"/>
        <v>284.85494809142222</v>
      </c>
      <c r="CS274" s="149">
        <f t="shared" si="645"/>
        <v>69.599999999999994</v>
      </c>
      <c r="CT274" s="188">
        <f t="shared" si="646"/>
        <v>9.4951649363807409</v>
      </c>
      <c r="CU274" s="188">
        <f t="shared" si="647"/>
        <v>30</v>
      </c>
      <c r="CV274" s="188"/>
      <c r="CW274" s="149">
        <f t="shared" si="648"/>
        <v>265.55181735255411</v>
      </c>
      <c r="CX274" s="149">
        <f t="shared" si="649"/>
        <v>30</v>
      </c>
      <c r="CY274" s="188">
        <f t="shared" si="650"/>
        <v>7.4789473684210535</v>
      </c>
      <c r="CZ274" s="188">
        <f t="shared" si="651"/>
        <v>0.73231359649122807</v>
      </c>
      <c r="DA274" s="188">
        <f t="shared" si="652"/>
        <v>1.1562846260387811</v>
      </c>
      <c r="DB274" s="172">
        <f t="shared" si="653"/>
        <v>350</v>
      </c>
      <c r="DC274" s="379">
        <f t="shared" si="654"/>
        <v>350</v>
      </c>
      <c r="DE274" s="188">
        <f t="shared" si="655"/>
        <v>11.314434588425037</v>
      </c>
      <c r="DF274" s="150">
        <f t="shared" si="656"/>
        <v>1.7492711370262393</v>
      </c>
      <c r="DG274" s="150">
        <f t="shared" si="657"/>
        <v>3.463602425028073</v>
      </c>
      <c r="DH274" s="150"/>
      <c r="DI274" s="150">
        <f t="shared" si="658"/>
        <v>0.93700159489633172</v>
      </c>
      <c r="DJ274" s="314">
        <f t="shared" si="659"/>
        <v>817.07438297872341</v>
      </c>
      <c r="DK274" s="456">
        <f t="shared" si="660"/>
        <v>0.99378957034459414</v>
      </c>
      <c r="DM274" s="150">
        <f t="shared" si="661"/>
        <v>9.2600393232144107</v>
      </c>
      <c r="DN274" s="150">
        <f t="shared" si="662"/>
        <v>9.2600393232144107</v>
      </c>
      <c r="DO274" s="150">
        <f t="shared" si="663"/>
        <v>3.5699505648950742</v>
      </c>
      <c r="DQ274" s="314">
        <f t="shared" si="664"/>
        <v>2320</v>
      </c>
      <c r="DR274" s="144">
        <f t="shared" si="665"/>
        <v>350</v>
      </c>
      <c r="DT274">
        <f t="shared" si="666"/>
        <v>2320</v>
      </c>
      <c r="DU274">
        <f t="shared" si="667"/>
        <v>350</v>
      </c>
      <c r="DW274" s="5">
        <f t="shared" si="668"/>
        <v>2.8571428571428572</v>
      </c>
      <c r="DX274" s="5">
        <f t="shared" si="669"/>
        <v>0.90671218373141116</v>
      </c>
      <c r="DY274" s="5">
        <f t="shared" si="670"/>
        <v>1.950430673411446</v>
      </c>
      <c r="DZ274" s="5"/>
      <c r="EA274" s="150">
        <f t="shared" si="671"/>
        <v>0.31734926430599392</v>
      </c>
      <c r="EB274" s="150">
        <f t="shared" si="698"/>
        <v>70.528000000000006</v>
      </c>
      <c r="EC274" s="150">
        <f t="shared" si="699"/>
        <v>3.1606863282738722</v>
      </c>
      <c r="ED274" s="150">
        <f t="shared" si="700"/>
        <v>22.314140877914028</v>
      </c>
      <c r="EE274" s="144">
        <f t="shared" si="672"/>
        <v>7.0119075541895795</v>
      </c>
      <c r="EF274" s="5">
        <f t="shared" si="673"/>
        <v>1.6636026332038802</v>
      </c>
      <c r="EH274" s="150">
        <f t="shared" si="701"/>
        <v>3.0117640949645414</v>
      </c>
      <c r="EI274" s="150">
        <f t="shared" si="702"/>
        <v>4.4172449700510708</v>
      </c>
      <c r="EK274" s="456">
        <f t="shared" si="703"/>
        <v>0.108848675564611</v>
      </c>
      <c r="EL274" s="456">
        <f t="shared" si="704"/>
        <v>4.8278141015510654</v>
      </c>
      <c r="EM274" s="456">
        <f t="shared" si="705"/>
        <v>4.0250000000000001E-2</v>
      </c>
      <c r="EN274" s="456">
        <f t="shared" si="706"/>
        <v>1.1132956800000005</v>
      </c>
      <c r="EO274">
        <f t="shared" si="707"/>
        <v>2.1600000000000001E-2</v>
      </c>
      <c r="EP274" s="144">
        <f t="shared" si="708"/>
        <v>61.85</v>
      </c>
      <c r="EQ274" s="144"/>
      <c r="ER274" s="144">
        <f t="shared" si="709"/>
        <v>6111.8084571156778</v>
      </c>
      <c r="ES274" s="456">
        <f t="shared" si="710"/>
        <v>1.6239999999999999</v>
      </c>
      <c r="EV274" s="144">
        <f t="shared" si="711"/>
        <v>1624</v>
      </c>
      <c r="EW274" s="456">
        <f t="shared" si="712"/>
        <v>0.12699012149204617</v>
      </c>
      <c r="EX274" s="456">
        <f t="shared" si="713"/>
        <v>0.27316874375618083</v>
      </c>
      <c r="EY274" s="456">
        <f t="shared" si="714"/>
        <v>29.900069138896352</v>
      </c>
      <c r="EZ274" s="456"/>
      <c r="FA274" s="456">
        <f t="shared" si="715"/>
        <v>3.0011914893617027</v>
      </c>
      <c r="FB274" s="144">
        <f t="shared" si="716"/>
        <v>33301.419493506277</v>
      </c>
      <c r="FC274" s="150">
        <f t="shared" si="717"/>
        <v>41.037227950621954</v>
      </c>
      <c r="FD274" s="5">
        <f t="shared" si="718"/>
        <v>69.599999999999994</v>
      </c>
      <c r="FE274" s="150">
        <f t="shared" si="719"/>
        <v>0.62908300659035754</v>
      </c>
      <c r="FF274" s="5">
        <f t="shared" si="720"/>
        <v>62.908300659035753</v>
      </c>
      <c r="FI274" s="59">
        <f t="shared" si="674"/>
        <v>-50</v>
      </c>
      <c r="FJ274">
        <f t="shared" si="675"/>
        <v>-50</v>
      </c>
      <c r="FL274">
        <f t="shared" si="758"/>
        <v>0.50107778574630613</v>
      </c>
    </row>
    <row r="275" spans="5:168">
      <c r="E275" s="147">
        <v>59</v>
      </c>
      <c r="F275" s="188">
        <f t="shared" si="759"/>
        <v>2.36</v>
      </c>
      <c r="G275" s="188"/>
      <c r="H275" s="188">
        <f t="shared" si="725"/>
        <v>70.8</v>
      </c>
      <c r="I275" s="465">
        <f t="shared" si="726"/>
        <v>47.879387580974843</v>
      </c>
      <c r="J275" s="149">
        <f t="shared" si="727"/>
        <v>30.464945148705851</v>
      </c>
      <c r="K275" s="149">
        <f t="shared" si="728"/>
        <v>78.344332729680701</v>
      </c>
      <c r="L275" s="379"/>
      <c r="M275" s="188">
        <f t="shared" si="729"/>
        <v>0.3888629568168035</v>
      </c>
      <c r="N275" s="149">
        <f t="shared" si="730"/>
        <v>284.95099013568796</v>
      </c>
      <c r="O275" s="149">
        <f t="shared" si="760"/>
        <v>70.8</v>
      </c>
      <c r="P275" s="188">
        <f t="shared" si="731"/>
        <v>9.4983663378562646</v>
      </c>
      <c r="Q275" s="188">
        <f t="shared" si="732"/>
        <v>30</v>
      </c>
      <c r="R275" s="188"/>
      <c r="S275" s="149">
        <f t="shared" si="733"/>
        <v>259.5863389105786</v>
      </c>
      <c r="T275" s="149">
        <f t="shared" si="734"/>
        <v>30</v>
      </c>
      <c r="U275" s="188">
        <f t="shared" si="735"/>
        <v>7.6053305142621568</v>
      </c>
      <c r="V275" s="188">
        <f t="shared" si="736"/>
        <v>0.74656454944372852</v>
      </c>
      <c r="W275" s="188">
        <f t="shared" si="737"/>
        <v>1.1733175045138915</v>
      </c>
      <c r="X275" s="172">
        <f t="shared" si="738"/>
        <v>350</v>
      </c>
      <c r="Y275" s="379">
        <f t="shared" si="678"/>
        <v>350</v>
      </c>
      <c r="AA275" s="188">
        <f t="shared" si="739"/>
        <v>11.31815139906214</v>
      </c>
      <c r="AB275" s="150">
        <f t="shared" si="740"/>
        <v>1.7461154555156582</v>
      </c>
      <c r="AC275" s="150">
        <f t="shared" si="741"/>
        <v>3.4584898400095003</v>
      </c>
      <c r="AD275" s="150"/>
      <c r="AE275" s="150">
        <f t="shared" si="742"/>
        <v>0.9350040955533615</v>
      </c>
      <c r="AF275" s="314">
        <f t="shared" si="743"/>
        <v>832.9375279785105</v>
      </c>
      <c r="AG275" s="456">
        <f t="shared" si="744"/>
        <v>0.99167101043538342</v>
      </c>
      <c r="AI275" s="150">
        <f t="shared" si="745"/>
        <v>9.3494970396683339</v>
      </c>
      <c r="AJ275" s="150">
        <f t="shared" si="746"/>
        <v>9.3494970396683339</v>
      </c>
      <c r="AK275" s="150">
        <f t="shared" si="747"/>
        <v>3.6362155400461287</v>
      </c>
      <c r="AM275" s="314">
        <f t="shared" si="748"/>
        <v>2360</v>
      </c>
      <c r="AN275" s="144">
        <f t="shared" si="749"/>
        <v>350</v>
      </c>
      <c r="AP275">
        <f t="shared" si="750"/>
        <v>2360</v>
      </c>
      <c r="AQ275">
        <f t="shared" si="751"/>
        <v>350</v>
      </c>
      <c r="AS275" s="5">
        <f t="shared" si="761"/>
        <v>2.8571428571428572</v>
      </c>
      <c r="AT275" s="5">
        <f t="shared" si="752"/>
        <v>0.91777773916018157</v>
      </c>
      <c r="AU275" s="5">
        <f t="shared" si="721"/>
        <v>1.9393651179826756</v>
      </c>
      <c r="AV275" s="5"/>
      <c r="AW275" s="150">
        <f t="shared" si="722"/>
        <v>0.32122220870606355</v>
      </c>
      <c r="AX275" s="150">
        <f t="shared" si="630"/>
        <v>71.897270550945819</v>
      </c>
      <c r="AY275" s="150">
        <f t="shared" si="631"/>
        <v>3.1731154751476347</v>
      </c>
      <c r="AZ275" s="150">
        <f t="shared" si="632"/>
        <v>22.658258457360638</v>
      </c>
      <c r="BA275" s="144">
        <f t="shared" si="723"/>
        <v>7.2198515480600944</v>
      </c>
      <c r="BB275" s="5">
        <f t="shared" si="724"/>
        <v>1.6869232717800993</v>
      </c>
      <c r="BD275" s="150">
        <f t="shared" si="679"/>
        <v>3.0593587243042601</v>
      </c>
      <c r="BE275" s="150">
        <f t="shared" si="680"/>
        <v>4.4472488680395497</v>
      </c>
      <c r="BG275" s="456">
        <f t="shared" si="681"/>
        <v>0.11231610964771907</v>
      </c>
      <c r="BH275" s="456">
        <f t="shared" si="753"/>
        <v>4.678716683021384</v>
      </c>
      <c r="BI275" s="456">
        <f t="shared" si="682"/>
        <v>4.0250000000000001E-2</v>
      </c>
      <c r="BJ275" s="456">
        <f t="shared" si="683"/>
        <v>1.1117152685343217</v>
      </c>
      <c r="BK275">
        <f t="shared" si="684"/>
        <v>2.1545724411438677E-2</v>
      </c>
      <c r="BL275" s="144">
        <f t="shared" si="685"/>
        <v>61.795724411438677</v>
      </c>
      <c r="BM275" s="456">
        <f t="shared" si="754"/>
        <v>6.0957463739129292</v>
      </c>
      <c r="BN275" s="144">
        <f t="shared" si="686"/>
        <v>6095.7463739129289</v>
      </c>
      <c r="BO275" s="456">
        <f t="shared" si="635"/>
        <v>1.6519999999999999</v>
      </c>
      <c r="BR275" s="144">
        <f t="shared" si="687"/>
        <v>1652</v>
      </c>
      <c r="BS275" s="456">
        <f t="shared" si="688"/>
        <v>0.13103546125567225</v>
      </c>
      <c r="BT275" s="456">
        <f t="shared" si="689"/>
        <v>0.27689231491990679</v>
      </c>
      <c r="BU275" s="456">
        <f t="shared" si="690"/>
        <v>30.627442719474015</v>
      </c>
      <c r="BV275" s="456"/>
      <c r="BW275" s="456">
        <f t="shared" si="691"/>
        <v>3.0594583213168431</v>
      </c>
      <c r="BX275" s="144">
        <f t="shared" si="692"/>
        <v>34094.828816966437</v>
      </c>
      <c r="BY275" s="150">
        <f t="shared" si="693"/>
        <v>41.711372602581307</v>
      </c>
      <c r="BZ275" s="5">
        <f t="shared" si="694"/>
        <v>70.8</v>
      </c>
      <c r="CA275" s="150">
        <f t="shared" si="695"/>
        <v>0.62926972058267883</v>
      </c>
      <c r="CB275" s="5">
        <f t="shared" si="696"/>
        <v>62.926972058267886</v>
      </c>
      <c r="CE275" s="59">
        <f t="shared" si="755"/>
        <v>-50</v>
      </c>
      <c r="CF275">
        <f t="shared" si="756"/>
        <v>-50</v>
      </c>
      <c r="CG275" s="150">
        <f t="shared" si="757"/>
        <v>0.50873699819585882</v>
      </c>
      <c r="CI275" s="147">
        <v>59</v>
      </c>
      <c r="CJ275" s="188">
        <f t="shared" si="697"/>
        <v>2.36</v>
      </c>
      <c r="CK275" s="188"/>
      <c r="CL275" s="188">
        <f t="shared" si="639"/>
        <v>70.8</v>
      </c>
      <c r="CM275" s="465">
        <f t="shared" si="640"/>
        <v>48</v>
      </c>
      <c r="CN275" s="379">
        <f t="shared" si="641"/>
        <v>30.4</v>
      </c>
      <c r="CO275" s="379">
        <f t="shared" si="642"/>
        <v>78.400000000000006</v>
      </c>
      <c r="CP275" s="379"/>
      <c r="CQ275" s="188">
        <f t="shared" si="643"/>
        <v>0.38775510204081626</v>
      </c>
      <c r="CR275" s="149">
        <f t="shared" si="644"/>
        <v>284.85494809142222</v>
      </c>
      <c r="CS275" s="149">
        <f t="shared" si="645"/>
        <v>70.8</v>
      </c>
      <c r="CT275" s="188">
        <f t="shared" si="646"/>
        <v>9.4951649363807409</v>
      </c>
      <c r="CU275" s="188">
        <f t="shared" si="647"/>
        <v>30</v>
      </c>
      <c r="CV275" s="188"/>
      <c r="CW275" s="149">
        <f t="shared" si="648"/>
        <v>260.24007466526854</v>
      </c>
      <c r="CX275" s="149">
        <f t="shared" si="649"/>
        <v>30</v>
      </c>
      <c r="CY275" s="188">
        <f t="shared" si="650"/>
        <v>7.6078947368421064</v>
      </c>
      <c r="CZ275" s="188">
        <f t="shared" si="651"/>
        <v>0.74493969298245633</v>
      </c>
      <c r="DA275" s="188">
        <f t="shared" si="652"/>
        <v>1.1762205678670363</v>
      </c>
      <c r="DB275" s="172">
        <f t="shared" si="653"/>
        <v>350</v>
      </c>
      <c r="DC275" s="379">
        <f t="shared" si="654"/>
        <v>350</v>
      </c>
      <c r="DE275" s="188">
        <f t="shared" si="655"/>
        <v>11.314434588425037</v>
      </c>
      <c r="DF275" s="150">
        <f t="shared" si="656"/>
        <v>1.7492711370262393</v>
      </c>
      <c r="DG275" s="150">
        <f t="shared" si="657"/>
        <v>3.463602425028073</v>
      </c>
      <c r="DH275" s="150"/>
      <c r="DI275" s="150">
        <f t="shared" si="658"/>
        <v>0.93700159489633172</v>
      </c>
      <c r="DJ275" s="314">
        <f t="shared" si="659"/>
        <v>831.16187234042548</v>
      </c>
      <c r="DK275" s="456">
        <f t="shared" si="660"/>
        <v>0.99378957034459414</v>
      </c>
      <c r="DM275" s="150">
        <f t="shared" si="661"/>
        <v>9.3395260972045424</v>
      </c>
      <c r="DN275" s="150">
        <f t="shared" si="662"/>
        <v>9.3395260972045424</v>
      </c>
      <c r="DO275" s="150">
        <f t="shared" si="663"/>
        <v>3.6288296567396161</v>
      </c>
      <c r="DQ275" s="314">
        <f t="shared" si="664"/>
        <v>2360</v>
      </c>
      <c r="DR275" s="144">
        <f t="shared" si="665"/>
        <v>350</v>
      </c>
      <c r="DT275">
        <f t="shared" si="666"/>
        <v>2360</v>
      </c>
      <c r="DU275">
        <f t="shared" si="667"/>
        <v>350</v>
      </c>
      <c r="DW275" s="5">
        <f t="shared" si="668"/>
        <v>2.8571428571428572</v>
      </c>
      <c r="DX275" s="5">
        <f t="shared" si="669"/>
        <v>0.91449526368461143</v>
      </c>
      <c r="DY275" s="5">
        <f t="shared" si="670"/>
        <v>1.9426475934582457</v>
      </c>
      <c r="DZ275" s="5"/>
      <c r="EA275" s="150">
        <f t="shared" si="671"/>
        <v>0.32007334228961398</v>
      </c>
      <c r="EB275" s="150">
        <f t="shared" si="698"/>
        <v>71.743999999999971</v>
      </c>
      <c r="EC275" s="150">
        <f t="shared" si="699"/>
        <v>3.1750963819356048</v>
      </c>
      <c r="ED275" s="150">
        <f t="shared" si="700"/>
        <v>22.595849501823103</v>
      </c>
      <c r="EE275" s="144">
        <f t="shared" si="672"/>
        <v>7.1940294076522759</v>
      </c>
      <c r="EF275" s="5">
        <f t="shared" si="673"/>
        <v>1.6855324707946542</v>
      </c>
      <c r="EH275" s="150">
        <f t="shared" si="701"/>
        <v>3.0506259838438678</v>
      </c>
      <c r="EI275" s="150">
        <f t="shared" si="702"/>
        <v>4.4462640137706098</v>
      </c>
      <c r="EK275" s="456">
        <f t="shared" si="703"/>
        <v>0.11167582671964039</v>
      </c>
      <c r="EL275" s="456">
        <f t="shared" si="704"/>
        <v>4.8692553260385605</v>
      </c>
      <c r="EM275" s="456">
        <f t="shared" si="705"/>
        <v>4.0250000000000001E-2</v>
      </c>
      <c r="EN275" s="456">
        <f t="shared" si="706"/>
        <v>1.1132956800000005</v>
      </c>
      <c r="EO275">
        <f t="shared" si="707"/>
        <v>2.1600000000000001E-2</v>
      </c>
      <c r="EP275" s="144">
        <f t="shared" si="708"/>
        <v>61.85</v>
      </c>
      <c r="EQ275" s="144"/>
      <c r="ER275" s="144">
        <f t="shared" si="709"/>
        <v>6156.0768327582018</v>
      </c>
      <c r="ES275" s="456">
        <f t="shared" si="710"/>
        <v>1.6519999999999999</v>
      </c>
      <c r="EV275" s="144">
        <f t="shared" si="711"/>
        <v>1652</v>
      </c>
      <c r="EW275" s="456">
        <f t="shared" si="712"/>
        <v>0.13028846450624712</v>
      </c>
      <c r="EX275" s="456">
        <f t="shared" si="713"/>
        <v>0.27676969152212144</v>
      </c>
      <c r="EY275" s="456">
        <f t="shared" si="714"/>
        <v>30.545850028137654</v>
      </c>
      <c r="EZ275" s="456"/>
      <c r="FA275" s="456">
        <f t="shared" si="715"/>
        <v>3.0529361702127651</v>
      </c>
      <c r="FB275" s="144">
        <f t="shared" si="716"/>
        <v>34005.844354378787</v>
      </c>
      <c r="FC275" s="150">
        <f t="shared" si="717"/>
        <v>41.813921187136991</v>
      </c>
      <c r="FD275" s="5">
        <f t="shared" si="718"/>
        <v>70.8</v>
      </c>
      <c r="FE275" s="150">
        <f t="shared" si="719"/>
        <v>0.62869669445527609</v>
      </c>
      <c r="FF275" s="5">
        <f t="shared" si="720"/>
        <v>62.869669445527606</v>
      </c>
      <c r="FI275" s="59">
        <f t="shared" si="674"/>
        <v>-50</v>
      </c>
      <c r="FJ275">
        <f t="shared" si="675"/>
        <v>-50</v>
      </c>
      <c r="FL275">
        <f t="shared" si="758"/>
        <v>0.5053789615099169</v>
      </c>
    </row>
    <row r="276" spans="5:168">
      <c r="E276" s="147">
        <v>60</v>
      </c>
      <c r="F276" s="188">
        <f t="shared" si="759"/>
        <v>2.4</v>
      </c>
      <c r="G276" s="188"/>
      <c r="H276" s="188">
        <f t="shared" si="725"/>
        <v>72</v>
      </c>
      <c r="I276" s="465">
        <f t="shared" si="726"/>
        <v>47.878369736608668</v>
      </c>
      <c r="J276" s="149">
        <f t="shared" si="727"/>
        <v>30.465493218749177</v>
      </c>
      <c r="K276" s="149">
        <f t="shared" si="728"/>
        <v>78.343862955357849</v>
      </c>
      <c r="L276" s="379"/>
      <c r="M276" s="188">
        <f t="shared" si="729"/>
        <v>0.38887231261514116</v>
      </c>
      <c r="N276" s="149">
        <f t="shared" si="730"/>
        <v>284.95178809863808</v>
      </c>
      <c r="O276" s="149">
        <f t="shared" si="760"/>
        <v>72</v>
      </c>
      <c r="P276" s="188">
        <f t="shared" si="731"/>
        <v>9.4983929366212685</v>
      </c>
      <c r="Q276" s="188">
        <f t="shared" si="732"/>
        <v>30</v>
      </c>
      <c r="R276" s="188"/>
      <c r="S276" s="149">
        <f t="shared" si="733"/>
        <v>254.45921028302556</v>
      </c>
      <c r="T276" s="149">
        <f t="shared" si="734"/>
        <v>30</v>
      </c>
      <c r="U276" s="188">
        <f t="shared" si="735"/>
        <v>7.734212762768764</v>
      </c>
      <c r="V276" s="188">
        <f t="shared" si="736"/>
        <v>0.75923219994724911</v>
      </c>
      <c r="W276" s="188">
        <f t="shared" si="737"/>
        <v>1.1931794349760292</v>
      </c>
      <c r="X276" s="172">
        <f t="shared" si="738"/>
        <v>350</v>
      </c>
      <c r="Y276" s="379">
        <f t="shared" si="678"/>
        <v>350</v>
      </c>
      <c r="AA276" s="188">
        <f t="shared" si="739"/>
        <v>11.318182270326538</v>
      </c>
      <c r="AB276" s="150">
        <f t="shared" si="740"/>
        <v>1.7460888057376664</v>
      </c>
      <c r="AC276" s="150">
        <f t="shared" si="741"/>
        <v>3.4584464886152464</v>
      </c>
      <c r="AD276" s="150"/>
      <c r="AE276" s="150">
        <f t="shared" si="742"/>
        <v>0.93498727495795941</v>
      </c>
      <c r="AF276" s="314">
        <f t="shared" si="743"/>
        <v>847.07035187790268</v>
      </c>
      <c r="AG276" s="456">
        <f t="shared" si="744"/>
        <v>0.99165317040995682</v>
      </c>
      <c r="AI276" s="150">
        <f t="shared" si="745"/>
        <v>9.4284819566076816</v>
      </c>
      <c r="AJ276" s="150">
        <f t="shared" si="746"/>
        <v>9.4284819566076816</v>
      </c>
      <c r="AK276" s="150">
        <f t="shared" si="747"/>
        <v>3.6947228859271268</v>
      </c>
      <c r="AM276" s="314">
        <f t="shared" si="748"/>
        <v>2400</v>
      </c>
      <c r="AN276" s="144">
        <f t="shared" si="749"/>
        <v>350</v>
      </c>
      <c r="AP276">
        <f t="shared" si="750"/>
        <v>2400</v>
      </c>
      <c r="AQ276">
        <f t="shared" si="751"/>
        <v>350</v>
      </c>
      <c r="AS276" s="5">
        <f t="shared" si="761"/>
        <v>2.8571428571428572</v>
      </c>
      <c r="AT276" s="5">
        <f t="shared" si="752"/>
        <v>0.92555083725361098</v>
      </c>
      <c r="AU276" s="5">
        <f t="shared" si="721"/>
        <v>1.9315920198892462</v>
      </c>
      <c r="AV276" s="5"/>
      <c r="AW276" s="150">
        <f t="shared" si="722"/>
        <v>0.32394279303876383</v>
      </c>
      <c r="AX276" s="150">
        <f t="shared" si="630"/>
        <v>73.117183724998029</v>
      </c>
      <c r="AY276" s="150">
        <f t="shared" si="631"/>
        <v>3.1870965887343004</v>
      </c>
      <c r="AZ276" s="150">
        <f t="shared" si="632"/>
        <v>22.941627807406753</v>
      </c>
      <c r="BA276" s="144">
        <f t="shared" si="723"/>
        <v>7.404406698028887</v>
      </c>
      <c r="BB276" s="5">
        <f t="shared" si="724"/>
        <v>1.7086756221099335</v>
      </c>
      <c r="BD276" s="150">
        <f t="shared" si="679"/>
        <v>3.0982417941138882</v>
      </c>
      <c r="BE276" s="150">
        <f t="shared" si="680"/>
        <v>4.4758226566630368</v>
      </c>
      <c r="BG276" s="456">
        <f t="shared" si="681"/>
        <v>0.11518922657752853</v>
      </c>
      <c r="BH276" s="456">
        <f t="shared" si="753"/>
        <v>4.7182143727988644</v>
      </c>
      <c r="BI276" s="456">
        <f t="shared" si="682"/>
        <v>4.0250000000000001E-2</v>
      </c>
      <c r="BJ276" s="456">
        <f t="shared" si="683"/>
        <v>1.1117019362688345</v>
      </c>
      <c r="BK276">
        <f t="shared" si="684"/>
        <v>2.1545266381473901E-2</v>
      </c>
      <c r="BL276" s="144">
        <f t="shared" si="685"/>
        <v>61.795266381473901</v>
      </c>
      <c r="BM276" s="456">
        <f t="shared" si="754"/>
        <v>6.1443716913085424</v>
      </c>
      <c r="BN276" s="144">
        <f t="shared" si="686"/>
        <v>6144.3716913085427</v>
      </c>
      <c r="BO276" s="456">
        <f t="shared" si="635"/>
        <v>1.68</v>
      </c>
      <c r="BR276" s="144">
        <f t="shared" si="687"/>
        <v>1680</v>
      </c>
      <c r="BS276" s="456">
        <f t="shared" si="688"/>
        <v>0.13438743100711661</v>
      </c>
      <c r="BT276" s="456">
        <f t="shared" si="689"/>
        <v>0.28046183835457428</v>
      </c>
      <c r="BU276" s="456">
        <f t="shared" si="690"/>
        <v>31.278401560952673</v>
      </c>
      <c r="BV276" s="456"/>
      <c r="BW276" s="456">
        <f t="shared" si="691"/>
        <v>3.1113695202126816</v>
      </c>
      <c r="BX276" s="144">
        <f t="shared" si="692"/>
        <v>34804.620350527046</v>
      </c>
      <c r="BY276" s="150">
        <f t="shared" si="693"/>
        <v>42.491521152553752</v>
      </c>
      <c r="BZ276" s="5">
        <f t="shared" si="694"/>
        <v>72</v>
      </c>
      <c r="CA276" s="150">
        <f t="shared" si="695"/>
        <v>0.62886752901172394</v>
      </c>
      <c r="CB276" s="5">
        <f t="shared" si="696"/>
        <v>62.886752901172393</v>
      </c>
      <c r="CE276" s="59">
        <f t="shared" si="755"/>
        <v>-50</v>
      </c>
      <c r="CF276">
        <f t="shared" si="756"/>
        <v>-50</v>
      </c>
      <c r="CG276" s="150">
        <f t="shared" si="757"/>
        <v>0.51303021353522638</v>
      </c>
      <c r="CI276" s="147">
        <v>60</v>
      </c>
      <c r="CJ276" s="188">
        <f t="shared" si="697"/>
        <v>2.4</v>
      </c>
      <c r="CK276" s="188"/>
      <c r="CL276" s="188">
        <f t="shared" si="639"/>
        <v>72</v>
      </c>
      <c r="CM276" s="465">
        <f t="shared" si="640"/>
        <v>48</v>
      </c>
      <c r="CN276" s="379">
        <f t="shared" si="641"/>
        <v>30.4</v>
      </c>
      <c r="CO276" s="379">
        <f t="shared" si="642"/>
        <v>78.400000000000006</v>
      </c>
      <c r="CP276" s="379"/>
      <c r="CQ276" s="188">
        <f t="shared" si="643"/>
        <v>0.38775510204081626</v>
      </c>
      <c r="CR276" s="149">
        <f t="shared" si="644"/>
        <v>284.85494809142222</v>
      </c>
      <c r="CS276" s="149">
        <f t="shared" si="645"/>
        <v>72</v>
      </c>
      <c r="CT276" s="188">
        <f t="shared" si="646"/>
        <v>9.4951649363807409</v>
      </c>
      <c r="CU276" s="188">
        <f t="shared" si="647"/>
        <v>30</v>
      </c>
      <c r="CV276" s="188"/>
      <c r="CW276" s="149">
        <f t="shared" si="648"/>
        <v>255.10544819896907</v>
      </c>
      <c r="CX276" s="149">
        <f t="shared" si="649"/>
        <v>30</v>
      </c>
      <c r="CY276" s="188">
        <f t="shared" si="650"/>
        <v>7.7368421052631593</v>
      </c>
      <c r="CZ276" s="188">
        <f t="shared" si="651"/>
        <v>0.75756578947368425</v>
      </c>
      <c r="DA276" s="188">
        <f t="shared" si="652"/>
        <v>1.1961565096952911</v>
      </c>
      <c r="DB276" s="172">
        <f t="shared" si="653"/>
        <v>350</v>
      </c>
      <c r="DC276" s="379">
        <f t="shared" si="654"/>
        <v>350</v>
      </c>
      <c r="DE276" s="188">
        <f t="shared" si="655"/>
        <v>11.314434588425037</v>
      </c>
      <c r="DF276" s="150">
        <f t="shared" si="656"/>
        <v>1.7492711370262393</v>
      </c>
      <c r="DG276" s="150">
        <f t="shared" si="657"/>
        <v>3.463602425028073</v>
      </c>
      <c r="DH276" s="150"/>
      <c r="DI276" s="150">
        <f t="shared" si="658"/>
        <v>0.93700159489633172</v>
      </c>
      <c r="DJ276" s="314">
        <f t="shared" si="659"/>
        <v>845.24936170212766</v>
      </c>
      <c r="DK276" s="456">
        <f t="shared" si="660"/>
        <v>0.99378957034459414</v>
      </c>
      <c r="DM276" s="150">
        <f t="shared" si="661"/>
        <v>9.418342060747861</v>
      </c>
      <c r="DN276" s="150">
        <f t="shared" si="662"/>
        <v>9.418342060747861</v>
      </c>
      <c r="DO276" s="150">
        <f t="shared" si="663"/>
        <v>3.6872118519568895</v>
      </c>
      <c r="DQ276" s="314">
        <f t="shared" si="664"/>
        <v>2400</v>
      </c>
      <c r="DR276" s="144">
        <f t="shared" si="665"/>
        <v>350</v>
      </c>
      <c r="DT276">
        <f t="shared" si="666"/>
        <v>2400</v>
      </c>
      <c r="DU276">
        <f t="shared" si="667"/>
        <v>350</v>
      </c>
      <c r="DW276" s="5">
        <f t="shared" si="668"/>
        <v>2.8571428571428572</v>
      </c>
      <c r="DX276" s="5">
        <f t="shared" si="669"/>
        <v>0.92221266011489467</v>
      </c>
      <c r="DY276" s="5">
        <f t="shared" si="670"/>
        <v>1.9349301970279624</v>
      </c>
      <c r="DZ276" s="5"/>
      <c r="EA276" s="150">
        <f t="shared" si="671"/>
        <v>0.32277443104021314</v>
      </c>
      <c r="EB276" s="150">
        <f t="shared" si="698"/>
        <v>72.95999999999998</v>
      </c>
      <c r="EC276" s="150">
        <f t="shared" si="699"/>
        <v>3.1891710303739305</v>
      </c>
      <c r="ED276" s="150">
        <f t="shared" si="700"/>
        <v>22.877418396543447</v>
      </c>
      <c r="EE276" s="144">
        <f t="shared" si="672"/>
        <v>7.3777012809191573</v>
      </c>
      <c r="EF276" s="5">
        <f t="shared" si="673"/>
        <v>1.7072913503187901</v>
      </c>
      <c r="EH276" s="150">
        <f t="shared" si="701"/>
        <v>3.0893235432520116</v>
      </c>
      <c r="EI276" s="150">
        <f t="shared" si="702"/>
        <v>4.4748708476177939</v>
      </c>
      <c r="EK276" s="456">
        <f t="shared" si="703"/>
        <v>0.11452703945869397</v>
      </c>
      <c r="EL276" s="456">
        <f t="shared" si="704"/>
        <v>4.9103468167915061</v>
      </c>
      <c r="EM276" s="456">
        <f t="shared" si="705"/>
        <v>4.0250000000000001E-2</v>
      </c>
      <c r="EN276" s="456">
        <f t="shared" si="706"/>
        <v>1.1132956800000005</v>
      </c>
      <c r="EO276">
        <f t="shared" si="707"/>
        <v>2.1600000000000001E-2</v>
      </c>
      <c r="EP276" s="144">
        <f t="shared" si="708"/>
        <v>61.85</v>
      </c>
      <c r="EQ276" s="144"/>
      <c r="ER276" s="144">
        <f t="shared" si="709"/>
        <v>6200.0195362502009</v>
      </c>
      <c r="ES276" s="456">
        <f t="shared" si="710"/>
        <v>1.68</v>
      </c>
      <c r="EV276" s="144">
        <f t="shared" si="711"/>
        <v>1680</v>
      </c>
      <c r="EW276" s="456">
        <f t="shared" si="712"/>
        <v>0.1336148793684763</v>
      </c>
      <c r="EX276" s="456">
        <f t="shared" si="713"/>
        <v>0.28034256744003433</v>
      </c>
      <c r="EY276" s="456">
        <f t="shared" si="714"/>
        <v>31.194373197784316</v>
      </c>
      <c r="EZ276" s="456"/>
      <c r="FA276" s="456">
        <f t="shared" si="715"/>
        <v>3.1046808510638293</v>
      </c>
      <c r="FB276" s="144">
        <f t="shared" si="716"/>
        <v>34713.011495656661</v>
      </c>
      <c r="FC276" s="150">
        <f t="shared" si="717"/>
        <v>42.593031031906861</v>
      </c>
      <c r="FD276" s="5">
        <f t="shared" si="718"/>
        <v>72</v>
      </c>
      <c r="FE276" s="150">
        <f t="shared" si="719"/>
        <v>0.62831045964699705</v>
      </c>
      <c r="FF276" s="5">
        <f t="shared" si="720"/>
        <v>62.831045964699705</v>
      </c>
      <c r="FI276" s="59">
        <f t="shared" si="674"/>
        <v>-50</v>
      </c>
      <c r="FJ276">
        <f t="shared" si="675"/>
        <v>-50</v>
      </c>
      <c r="FL276">
        <f t="shared" si="758"/>
        <v>0.5096438384845472</v>
      </c>
    </row>
    <row r="277" spans="5:168">
      <c r="E277" s="147">
        <v>61</v>
      </c>
      <c r="F277" s="188">
        <f t="shared" si="759"/>
        <v>2.44</v>
      </c>
      <c r="G277" s="188"/>
      <c r="H277" s="188">
        <f t="shared" si="725"/>
        <v>73.2</v>
      </c>
      <c r="I277" s="465">
        <f t="shared" si="726"/>
        <v>47.877360339521879</v>
      </c>
      <c r="J277" s="149">
        <f t="shared" si="727"/>
        <v>30.466036740257447</v>
      </c>
      <c r="K277" s="149">
        <f t="shared" si="728"/>
        <v>78.343397079779322</v>
      </c>
      <c r="L277" s="379"/>
      <c r="M277" s="188">
        <f t="shared" si="729"/>
        <v>0.38888159087792001</v>
      </c>
      <c r="N277" s="149">
        <f t="shared" si="730"/>
        <v>284.95257923184329</v>
      </c>
      <c r="O277" s="149">
        <f t="shared" si="760"/>
        <v>73.2</v>
      </c>
      <c r="P277" s="188">
        <f t="shared" si="731"/>
        <v>9.4984193077281098</v>
      </c>
      <c r="Q277" s="188">
        <f t="shared" si="732"/>
        <v>30</v>
      </c>
      <c r="R277" s="188"/>
      <c r="S277" s="149">
        <f t="shared" si="733"/>
        <v>249.50031932025453</v>
      </c>
      <c r="T277" s="149">
        <f t="shared" si="734"/>
        <v>30</v>
      </c>
      <c r="U277" s="188">
        <f t="shared" si="735"/>
        <v>7.863094477910888</v>
      </c>
      <c r="V277" s="188">
        <f t="shared" si="736"/>
        <v>0.77190020051448471</v>
      </c>
      <c r="W277" s="188">
        <f t="shared" si="737"/>
        <v>1.2130407496472047</v>
      </c>
      <c r="X277" s="172">
        <f t="shared" si="738"/>
        <v>350</v>
      </c>
      <c r="Y277" s="379">
        <f t="shared" si="678"/>
        <v>350</v>
      </c>
      <c r="AA277" s="188">
        <f t="shared" si="739"/>
        <v>11.318212877200454</v>
      </c>
      <c r="AB277" s="150">
        <f t="shared" si="740"/>
        <v>1.7460623768154955</v>
      </c>
      <c r="AC277" s="150">
        <f t="shared" si="741"/>
        <v>3.4584034935919652</v>
      </c>
      <c r="AD277" s="150"/>
      <c r="AE277" s="150">
        <f t="shared" si="742"/>
        <v>0.93497059455747822</v>
      </c>
      <c r="AF277" s="314">
        <f t="shared" si="743"/>
        <v>861.20355515683502</v>
      </c>
      <c r="AG277" s="456">
        <f t="shared" si="744"/>
        <v>0.99163547907611327</v>
      </c>
      <c r="AI277" s="150">
        <f t="shared" si="745"/>
        <v>9.5068127640963027</v>
      </c>
      <c r="AJ277" s="150">
        <f t="shared" si="746"/>
        <v>9.5068127640963027</v>
      </c>
      <c r="AK277" s="150">
        <f t="shared" si="747"/>
        <v>3.7527457062890681</v>
      </c>
      <c r="AM277" s="314">
        <f t="shared" si="748"/>
        <v>2440</v>
      </c>
      <c r="AN277" s="144">
        <f t="shared" si="749"/>
        <v>350</v>
      </c>
      <c r="AP277">
        <f t="shared" si="750"/>
        <v>2440</v>
      </c>
      <c r="AQ277">
        <f t="shared" si="751"/>
        <v>350</v>
      </c>
      <c r="AS277" s="5">
        <f t="shared" si="761"/>
        <v>2.8571428571428572</v>
      </c>
      <c r="AT277" s="5">
        <f t="shared" si="752"/>
        <v>0.93325988889927247</v>
      </c>
      <c r="AU277" s="5">
        <f t="shared" si="721"/>
        <v>1.9238829682435847</v>
      </c>
      <c r="AV277" s="5"/>
      <c r="AW277" s="150">
        <f t="shared" si="722"/>
        <v>0.32664096111474533</v>
      </c>
      <c r="AX277" s="150">
        <f t="shared" si="630"/>
        <v>74.337129646228149</v>
      </c>
      <c r="AY277" s="150">
        <f t="shared" si="631"/>
        <v>3.2007491528469787</v>
      </c>
      <c r="AZ277" s="150">
        <f t="shared" si="632"/>
        <v>23.224915823255724</v>
      </c>
      <c r="BA277" s="144">
        <f t="shared" si="723"/>
        <v>7.590513763047416</v>
      </c>
      <c r="BB277" s="5">
        <f t="shared" si="724"/>
        <v>1.7302569864625224</v>
      </c>
      <c r="BD277" s="150">
        <f t="shared" si="679"/>
        <v>3.1369647288247822</v>
      </c>
      <c r="BE277" s="150">
        <f t="shared" si="680"/>
        <v>4.503992517826533</v>
      </c>
      <c r="BG277" s="456">
        <f t="shared" si="681"/>
        <v>0.11808657251868887</v>
      </c>
      <c r="BH277" s="456">
        <f t="shared" si="753"/>
        <v>4.7573844968887924</v>
      </c>
      <c r="BI277" s="456">
        <f t="shared" si="682"/>
        <v>4.0250000000000001E-2</v>
      </c>
      <c r="BJ277" s="456">
        <f t="shared" si="683"/>
        <v>1.1116887147292456</v>
      </c>
      <c r="BK277">
        <f t="shared" si="684"/>
        <v>2.1544812152784844E-2</v>
      </c>
      <c r="BL277" s="144">
        <f t="shared" si="685"/>
        <v>61.794812152784843</v>
      </c>
      <c r="BM277" s="456">
        <f t="shared" si="754"/>
        <v>6.1927967460673745</v>
      </c>
      <c r="BN277" s="144">
        <f t="shared" si="686"/>
        <v>6192.7967460673744</v>
      </c>
      <c r="BO277" s="456">
        <f t="shared" si="635"/>
        <v>1.708</v>
      </c>
      <c r="BR277" s="144">
        <f t="shared" si="687"/>
        <v>1708</v>
      </c>
      <c r="BS277" s="456">
        <f t="shared" si="688"/>
        <v>0.13776766793847034</v>
      </c>
      <c r="BT277" s="456">
        <f t="shared" si="689"/>
        <v>0.28400328040892353</v>
      </c>
      <c r="BU277" s="456">
        <f t="shared" si="690"/>
        <v>31.932098974580871</v>
      </c>
      <c r="BV277" s="456"/>
      <c r="BW277" s="456">
        <f t="shared" si="691"/>
        <v>3.163282112605454</v>
      </c>
      <c r="BX277" s="144">
        <f t="shared" si="692"/>
        <v>35517.152035533712</v>
      </c>
      <c r="BY277" s="150">
        <f t="shared" si="693"/>
        <v>43.27410663182323</v>
      </c>
      <c r="BZ277" s="5">
        <f t="shared" si="694"/>
        <v>73.2</v>
      </c>
      <c r="CA277" s="150">
        <f t="shared" si="695"/>
        <v>0.62846586350206168</v>
      </c>
      <c r="CB277" s="5">
        <f t="shared" si="696"/>
        <v>62.846586350206167</v>
      </c>
      <c r="CE277" s="59">
        <f t="shared" si="755"/>
        <v>-50</v>
      </c>
      <c r="CF277">
        <f t="shared" si="756"/>
        <v>-50</v>
      </c>
      <c r="CG277" s="150">
        <f t="shared" si="757"/>
        <v>0.51728779868335062</v>
      </c>
      <c r="CI277" s="147">
        <v>61</v>
      </c>
      <c r="CJ277" s="188">
        <f t="shared" si="697"/>
        <v>2.44</v>
      </c>
      <c r="CK277" s="188"/>
      <c r="CL277" s="188">
        <f t="shared" si="639"/>
        <v>73.2</v>
      </c>
      <c r="CM277" s="465">
        <f t="shared" si="640"/>
        <v>48</v>
      </c>
      <c r="CN277" s="379">
        <f t="shared" si="641"/>
        <v>30.4</v>
      </c>
      <c r="CO277" s="379">
        <f t="shared" si="642"/>
        <v>78.400000000000006</v>
      </c>
      <c r="CP277" s="379"/>
      <c r="CQ277" s="188">
        <f t="shared" si="643"/>
        <v>0.38775510204081626</v>
      </c>
      <c r="CR277" s="149">
        <f t="shared" si="644"/>
        <v>284.85494809142222</v>
      </c>
      <c r="CS277" s="149">
        <f t="shared" si="645"/>
        <v>73.2</v>
      </c>
      <c r="CT277" s="188">
        <f t="shared" si="646"/>
        <v>9.4951649363807409</v>
      </c>
      <c r="CU277" s="188">
        <f t="shared" si="647"/>
        <v>30</v>
      </c>
      <c r="CV277" s="188"/>
      <c r="CW277" s="149">
        <f t="shared" si="648"/>
        <v>250.13922785028984</v>
      </c>
      <c r="CX277" s="149">
        <f t="shared" si="649"/>
        <v>30</v>
      </c>
      <c r="CY277" s="188">
        <f t="shared" si="650"/>
        <v>7.8657894736842122</v>
      </c>
      <c r="CZ277" s="188">
        <f t="shared" si="651"/>
        <v>0.7701918859649125</v>
      </c>
      <c r="DA277" s="188">
        <f t="shared" si="652"/>
        <v>1.2160924515235461</v>
      </c>
      <c r="DB277" s="172">
        <f t="shared" si="653"/>
        <v>350</v>
      </c>
      <c r="DC277" s="379">
        <f t="shared" si="654"/>
        <v>350</v>
      </c>
      <c r="DE277" s="188">
        <f t="shared" si="655"/>
        <v>11.314434588425037</v>
      </c>
      <c r="DF277" s="150">
        <f t="shared" si="656"/>
        <v>1.7492711370262393</v>
      </c>
      <c r="DG277" s="150">
        <f t="shared" si="657"/>
        <v>3.463602425028073</v>
      </c>
      <c r="DH277" s="150"/>
      <c r="DI277" s="150">
        <f t="shared" si="658"/>
        <v>0.93700159489633172</v>
      </c>
      <c r="DJ277" s="314">
        <f t="shared" si="659"/>
        <v>859.33685106382973</v>
      </c>
      <c r="DK277" s="456">
        <f t="shared" si="660"/>
        <v>0.99378957034459414</v>
      </c>
      <c r="DM277" s="150">
        <f t="shared" si="661"/>
        <v>9.4965039159755946</v>
      </c>
      <c r="DN277" s="150">
        <f t="shared" si="662"/>
        <v>9.4965039159755946</v>
      </c>
      <c r="DO277" s="150">
        <f t="shared" si="663"/>
        <v>3.7451095224959507</v>
      </c>
      <c r="DQ277" s="314">
        <f t="shared" si="664"/>
        <v>2440</v>
      </c>
      <c r="DR277" s="144">
        <f t="shared" si="665"/>
        <v>350</v>
      </c>
      <c r="DT277">
        <f t="shared" si="666"/>
        <v>2440</v>
      </c>
      <c r="DU277">
        <f t="shared" si="667"/>
        <v>350</v>
      </c>
      <c r="DW277" s="5">
        <f t="shared" si="668"/>
        <v>2.8571428571428572</v>
      </c>
      <c r="DX277" s="5">
        <f t="shared" si="669"/>
        <v>0.92986600843927691</v>
      </c>
      <c r="DY277" s="5">
        <f t="shared" si="670"/>
        <v>1.9272768487035803</v>
      </c>
      <c r="DZ277" s="5"/>
      <c r="EA277" s="150">
        <f t="shared" si="671"/>
        <v>0.32545310295374691</v>
      </c>
      <c r="EB277" s="150">
        <f t="shared" si="698"/>
        <v>74.175999999999988</v>
      </c>
      <c r="EC277" s="150">
        <f t="shared" si="699"/>
        <v>3.2029186246544645</v>
      </c>
      <c r="ED277" s="150">
        <f t="shared" si="700"/>
        <v>23.158877477882285</v>
      </c>
      <c r="EE277" s="144">
        <f t="shared" si="672"/>
        <v>7.5629102019727856</v>
      </c>
      <c r="EF277" s="5">
        <f t="shared" si="673"/>
        <v>1.7288807025135058</v>
      </c>
      <c r="EH277" s="150">
        <f t="shared" si="701"/>
        <v>3.1278601899155292</v>
      </c>
      <c r="EI277" s="150">
        <f t="shared" si="702"/>
        <v>4.5030751908432745</v>
      </c>
      <c r="EK277" s="456">
        <f t="shared" si="703"/>
        <v>0.11740211241190093</v>
      </c>
      <c r="EL277" s="456">
        <f t="shared" si="704"/>
        <v>4.9510972816330368</v>
      </c>
      <c r="EM277" s="456">
        <f t="shared" si="705"/>
        <v>4.0250000000000001E-2</v>
      </c>
      <c r="EN277" s="456">
        <f t="shared" si="706"/>
        <v>1.1132956800000005</v>
      </c>
      <c r="EO277">
        <f t="shared" si="707"/>
        <v>2.1600000000000001E-2</v>
      </c>
      <c r="EP277" s="144">
        <f t="shared" si="708"/>
        <v>61.85</v>
      </c>
      <c r="EQ277" s="144"/>
      <c r="ER277" s="144">
        <f t="shared" si="709"/>
        <v>6243.6450740449391</v>
      </c>
      <c r="ES277" s="456">
        <f t="shared" si="710"/>
        <v>1.708</v>
      </c>
      <c r="EV277" s="144">
        <f t="shared" si="711"/>
        <v>1708</v>
      </c>
      <c r="EW277" s="456">
        <f t="shared" si="712"/>
        <v>0.13696913114721776</v>
      </c>
      <c r="EX277" s="456">
        <f t="shared" si="713"/>
        <v>0.28388760644143474</v>
      </c>
      <c r="EY277" s="456">
        <f t="shared" si="714"/>
        <v>31.845604294604055</v>
      </c>
      <c r="EZ277" s="456"/>
      <c r="FA277" s="456">
        <f t="shared" si="715"/>
        <v>3.1564255319148931</v>
      </c>
      <c r="FB277" s="144">
        <f t="shared" si="716"/>
        <v>35422.886564107597</v>
      </c>
      <c r="FC277" s="150">
        <f t="shared" si="717"/>
        <v>43.374531638152533</v>
      </c>
      <c r="FD277" s="5">
        <f t="shared" si="718"/>
        <v>73.2</v>
      </c>
      <c r="FE277" s="150">
        <f t="shared" si="719"/>
        <v>0.62792446146996217</v>
      </c>
      <c r="FF277" s="5">
        <f t="shared" si="720"/>
        <v>62.79244614699622</v>
      </c>
      <c r="FI277" s="59">
        <f t="shared" si="674"/>
        <v>-50</v>
      </c>
      <c r="FJ277">
        <f t="shared" si="675"/>
        <v>-50</v>
      </c>
      <c r="FL277">
        <f t="shared" si="758"/>
        <v>0.51387332045328471</v>
      </c>
    </row>
    <row r="278" spans="5:168">
      <c r="E278" s="147">
        <v>62</v>
      </c>
      <c r="F278" s="188">
        <f t="shared" si="759"/>
        <v>2.48</v>
      </c>
      <c r="G278" s="188"/>
      <c r="H278" s="188">
        <f t="shared" si="725"/>
        <v>74.400000000000006</v>
      </c>
      <c r="I278" s="465">
        <f t="shared" si="726"/>
        <v>47.876359182824878</v>
      </c>
      <c r="J278" s="149">
        <f t="shared" si="727"/>
        <v>30.466575824632759</v>
      </c>
      <c r="K278" s="149">
        <f t="shared" si="728"/>
        <v>78.34293500745764</v>
      </c>
      <c r="L278" s="379"/>
      <c r="M278" s="188">
        <f t="shared" si="729"/>
        <v>0.38889079350413208</v>
      </c>
      <c r="N278" s="149">
        <f t="shared" si="730"/>
        <v>284.95336370257303</v>
      </c>
      <c r="O278" s="149">
        <f t="shared" si="760"/>
        <v>74.400000000000006</v>
      </c>
      <c r="P278" s="188">
        <f t="shared" si="731"/>
        <v>9.4984454567524335</v>
      </c>
      <c r="Q278" s="188">
        <f t="shared" si="732"/>
        <v>30</v>
      </c>
      <c r="R278" s="188"/>
      <c r="S278" s="149">
        <f t="shared" si="733"/>
        <v>244.70152455250189</v>
      </c>
      <c r="T278" s="149">
        <f t="shared" si="734"/>
        <v>30</v>
      </c>
      <c r="U278" s="188">
        <f t="shared" si="735"/>
        <v>7.9919756642687165</v>
      </c>
      <c r="V278" s="188">
        <f t="shared" si="736"/>
        <v>0.78456854830218647</v>
      </c>
      <c r="W278" s="188">
        <f t="shared" si="737"/>
        <v>1.2329014536544405</v>
      </c>
      <c r="X278" s="172">
        <f t="shared" si="738"/>
        <v>350</v>
      </c>
      <c r="Y278" s="379">
        <f t="shared" si="678"/>
        <v>350</v>
      </c>
      <c r="AA278" s="188">
        <f t="shared" si="739"/>
        <v>11.318243226159163</v>
      </c>
      <c r="AB278" s="150">
        <f t="shared" si="740"/>
        <v>1.7460361633399699</v>
      </c>
      <c r="AC278" s="150">
        <f t="shared" si="741"/>
        <v>3.4583608462115212</v>
      </c>
      <c r="AD278" s="150"/>
      <c r="AE278" s="150">
        <f t="shared" si="742"/>
        <v>0.93495405091825201</v>
      </c>
      <c r="AF278" s="314">
        <f t="shared" si="743"/>
        <v>875.33713469257657</v>
      </c>
      <c r="AG278" s="456">
        <f t="shared" si="744"/>
        <v>0.99161793279208532</v>
      </c>
      <c r="AI278" s="150">
        <f t="shared" si="745"/>
        <v>9.5845054824739684</v>
      </c>
      <c r="AJ278" s="150">
        <f t="shared" si="746"/>
        <v>9.5845054824739684</v>
      </c>
      <c r="AK278" s="150">
        <f t="shared" si="747"/>
        <v>3.8102958680503018</v>
      </c>
      <c r="AM278" s="314">
        <f t="shared" si="748"/>
        <v>2480</v>
      </c>
      <c r="AN278" s="144">
        <f t="shared" si="749"/>
        <v>350</v>
      </c>
      <c r="AP278">
        <f t="shared" si="750"/>
        <v>2480</v>
      </c>
      <c r="AQ278">
        <f t="shared" si="751"/>
        <v>350</v>
      </c>
      <c r="AS278" s="5">
        <f t="shared" si="761"/>
        <v>2.8571428571428572</v>
      </c>
      <c r="AT278" s="5">
        <f t="shared" si="752"/>
        <v>0.94090646274096457</v>
      </c>
      <c r="AU278" s="5">
        <f t="shared" si="721"/>
        <v>1.9162363944018925</v>
      </c>
      <c r="AV278" s="5"/>
      <c r="AW278" s="150">
        <f t="shared" si="722"/>
        <v>0.32931726195933758</v>
      </c>
      <c r="AX278" s="150">
        <f t="shared" si="630"/>
        <v>75.557108045089251</v>
      </c>
      <c r="AY278" s="150">
        <f t="shared" si="631"/>
        <v>3.2140811898756905</v>
      </c>
      <c r="AZ278" s="150">
        <f t="shared" si="632"/>
        <v>23.50815165562496</v>
      </c>
      <c r="BA278" s="144">
        <f t="shared" si="723"/>
        <v>7.7781600919919729</v>
      </c>
      <c r="BB278" s="5">
        <f t="shared" si="724"/>
        <v>1.7516687491170888</v>
      </c>
      <c r="BD278" s="150">
        <f t="shared" si="679"/>
        <v>3.1755308098339259</v>
      </c>
      <c r="BE278" s="150">
        <f t="shared" si="680"/>
        <v>4.5317677776249754</v>
      </c>
      <c r="BG278" s="456">
        <f t="shared" si="681"/>
        <v>0.12100795109045411</v>
      </c>
      <c r="BH278" s="456">
        <f t="shared" si="753"/>
        <v>4.796235077963158</v>
      </c>
      <c r="BI278" s="456">
        <f t="shared" si="682"/>
        <v>4.0250000000000001E-2</v>
      </c>
      <c r="BJ278" s="456">
        <f t="shared" si="683"/>
        <v>1.1116756012036724</v>
      </c>
      <c r="BK278">
        <f t="shared" si="684"/>
        <v>2.1544361632271195E-2</v>
      </c>
      <c r="BL278" s="144">
        <f t="shared" si="685"/>
        <v>61.794361632271197</v>
      </c>
      <c r="BM278" s="456">
        <f t="shared" si="754"/>
        <v>6.2410296741957376</v>
      </c>
      <c r="BN278" s="144">
        <f t="shared" si="686"/>
        <v>6241.0296741957372</v>
      </c>
      <c r="BO278" s="456">
        <f t="shared" si="635"/>
        <v>1.736</v>
      </c>
      <c r="BR278" s="144">
        <f t="shared" si="687"/>
        <v>1736</v>
      </c>
      <c r="BS278" s="456">
        <f t="shared" si="688"/>
        <v>0.14117594293886312</v>
      </c>
      <c r="BT278" s="456">
        <f t="shared" si="689"/>
        <v>0.28751686866448012</v>
      </c>
      <c r="BU278" s="456">
        <f t="shared" si="690"/>
        <v>32.588501468598061</v>
      </c>
      <c r="BV278" s="456"/>
      <c r="BW278" s="456">
        <f t="shared" si="691"/>
        <v>3.2151960870250753</v>
      </c>
      <c r="BX278" s="144">
        <f t="shared" si="692"/>
        <v>36232.390367226479</v>
      </c>
      <c r="BY278" s="150">
        <f t="shared" si="693"/>
        <v>44.059103359116037</v>
      </c>
      <c r="BZ278" s="5">
        <f t="shared" si="694"/>
        <v>74.400000000000006</v>
      </c>
      <c r="CA278" s="150">
        <f t="shared" si="695"/>
        <v>0.62806485859049466</v>
      </c>
      <c r="CB278" s="5">
        <f t="shared" si="696"/>
        <v>62.806485859049467</v>
      </c>
      <c r="CE278" s="59">
        <f t="shared" si="755"/>
        <v>-50</v>
      </c>
      <c r="CF278">
        <f t="shared" si="756"/>
        <v>-50</v>
      </c>
      <c r="CG278" s="150">
        <f t="shared" si="757"/>
        <v>0.5215106262899476</v>
      </c>
      <c r="CI278" s="147">
        <v>62</v>
      </c>
      <c r="CJ278" s="188">
        <f t="shared" si="697"/>
        <v>2.48</v>
      </c>
      <c r="CK278" s="188"/>
      <c r="CL278" s="188">
        <f t="shared" si="639"/>
        <v>74.400000000000006</v>
      </c>
      <c r="CM278" s="465">
        <f t="shared" si="640"/>
        <v>48</v>
      </c>
      <c r="CN278" s="379">
        <f t="shared" si="641"/>
        <v>30.4</v>
      </c>
      <c r="CO278" s="379">
        <f t="shared" si="642"/>
        <v>78.400000000000006</v>
      </c>
      <c r="CP278" s="379"/>
      <c r="CQ278" s="188">
        <f t="shared" si="643"/>
        <v>0.38775510204081626</v>
      </c>
      <c r="CR278" s="149">
        <f t="shared" si="644"/>
        <v>284.85494809142222</v>
      </c>
      <c r="CS278" s="149">
        <f t="shared" si="645"/>
        <v>74.400000000000006</v>
      </c>
      <c r="CT278" s="188">
        <f t="shared" si="646"/>
        <v>9.4951649363807409</v>
      </c>
      <c r="CU278" s="188">
        <f t="shared" si="647"/>
        <v>30</v>
      </c>
      <c r="CV278" s="188"/>
      <c r="CW278" s="149">
        <f t="shared" si="648"/>
        <v>245.33326546441398</v>
      </c>
      <c r="CX278" s="149">
        <f t="shared" si="649"/>
        <v>30</v>
      </c>
      <c r="CY278" s="188">
        <f t="shared" si="650"/>
        <v>7.9947368421052651</v>
      </c>
      <c r="CZ278" s="188">
        <f t="shared" si="651"/>
        <v>0.78281798245614054</v>
      </c>
      <c r="DA278" s="188">
        <f t="shared" si="652"/>
        <v>1.2360283933518008</v>
      </c>
      <c r="DB278" s="172">
        <f t="shared" si="653"/>
        <v>350</v>
      </c>
      <c r="DC278" s="379">
        <f t="shared" si="654"/>
        <v>350</v>
      </c>
      <c r="DE278" s="188">
        <f t="shared" si="655"/>
        <v>11.314434588425037</v>
      </c>
      <c r="DF278" s="150">
        <f t="shared" si="656"/>
        <v>1.7492711370262393</v>
      </c>
      <c r="DG278" s="150">
        <f t="shared" si="657"/>
        <v>3.463602425028073</v>
      </c>
      <c r="DH278" s="150"/>
      <c r="DI278" s="150">
        <f t="shared" si="658"/>
        <v>0.93700159489633172</v>
      </c>
      <c r="DJ278" s="314">
        <f t="shared" si="659"/>
        <v>873.42434042553191</v>
      </c>
      <c r="DK278" s="456">
        <f t="shared" si="660"/>
        <v>0.99378957034459414</v>
      </c>
      <c r="DM278" s="150">
        <f t="shared" si="661"/>
        <v>9.5740276832181426</v>
      </c>
      <c r="DN278" s="150">
        <f t="shared" si="662"/>
        <v>9.5740276832181426</v>
      </c>
      <c r="DO278" s="150">
        <f t="shared" si="663"/>
        <v>3.8025345352682089</v>
      </c>
      <c r="DQ278" s="314">
        <f t="shared" si="664"/>
        <v>2480</v>
      </c>
      <c r="DR278" s="144">
        <f t="shared" si="665"/>
        <v>350</v>
      </c>
      <c r="DT278">
        <f t="shared" si="666"/>
        <v>2480</v>
      </c>
      <c r="DU278">
        <f t="shared" si="667"/>
        <v>350</v>
      </c>
      <c r="DW278" s="5">
        <f t="shared" si="668"/>
        <v>2.8571428571428572</v>
      </c>
      <c r="DX278" s="5">
        <f t="shared" si="669"/>
        <v>0.93745687731510974</v>
      </c>
      <c r="DY278" s="5">
        <f t="shared" si="670"/>
        <v>1.9196859798277475</v>
      </c>
      <c r="DZ278" s="5"/>
      <c r="EA278" s="150">
        <f t="shared" si="671"/>
        <v>0.32810990706028842</v>
      </c>
      <c r="EB278" s="150">
        <f t="shared" si="698"/>
        <v>75.391999999999982</v>
      </c>
      <c r="EC278" s="150">
        <f t="shared" si="699"/>
        <v>3.2163471749424049</v>
      </c>
      <c r="ED278" s="150">
        <f t="shared" si="700"/>
        <v>23.440255637624077</v>
      </c>
      <c r="EE278" s="144">
        <f t="shared" si="672"/>
        <v>7.7496435191382407</v>
      </c>
      <c r="EF278" s="5">
        <f t="shared" si="673"/>
        <v>1.7503019227841226</v>
      </c>
      <c r="EH278" s="150">
        <f t="shared" si="701"/>
        <v>3.166239214775644</v>
      </c>
      <c r="EI278" s="150">
        <f t="shared" si="702"/>
        <v>4.5308863659508569</v>
      </c>
      <c r="EK278" s="456">
        <f t="shared" si="703"/>
        <v>0.12030084918219704</v>
      </c>
      <c r="EL278" s="456">
        <f t="shared" si="704"/>
        <v>4.9915150729226117</v>
      </c>
      <c r="EM278" s="456">
        <f t="shared" si="705"/>
        <v>4.0250000000000001E-2</v>
      </c>
      <c r="EN278" s="456">
        <f t="shared" si="706"/>
        <v>1.1132956800000005</v>
      </c>
      <c r="EO278">
        <f t="shared" si="707"/>
        <v>2.1600000000000001E-2</v>
      </c>
      <c r="EP278" s="144">
        <f t="shared" si="708"/>
        <v>61.85</v>
      </c>
      <c r="EQ278" s="144"/>
      <c r="ER278" s="144">
        <f t="shared" si="709"/>
        <v>6286.9616021048096</v>
      </c>
      <c r="ES278" s="456">
        <f t="shared" si="710"/>
        <v>1.736</v>
      </c>
      <c r="EV278" s="144">
        <f t="shared" si="711"/>
        <v>1736</v>
      </c>
      <c r="EW278" s="456">
        <f t="shared" si="712"/>
        <v>0.14035099071256321</v>
      </c>
      <c r="EX278" s="456">
        <f t="shared" si="713"/>
        <v>0.28740503765623104</v>
      </c>
      <c r="EY278" s="456">
        <f t="shared" si="714"/>
        <v>32.499509953071396</v>
      </c>
      <c r="EZ278" s="456"/>
      <c r="FA278" s="456">
        <f t="shared" si="715"/>
        <v>3.2081702127659577</v>
      </c>
      <c r="FB278" s="144">
        <f t="shared" si="716"/>
        <v>36135.436194206151</v>
      </c>
      <c r="FC278" s="150">
        <f t="shared" si="717"/>
        <v>44.158397796310958</v>
      </c>
      <c r="FD278" s="5">
        <f t="shared" si="718"/>
        <v>74.400000000000006</v>
      </c>
      <c r="FE278" s="150">
        <f t="shared" si="719"/>
        <v>0.62753884484693179</v>
      </c>
      <c r="FF278" s="5">
        <f t="shared" si="720"/>
        <v>62.753884484693181</v>
      </c>
      <c r="FI278" s="59">
        <f t="shared" si="674"/>
        <v>-50</v>
      </c>
      <c r="FJ278">
        <f t="shared" si="675"/>
        <v>-50</v>
      </c>
      <c r="FL278">
        <f t="shared" si="758"/>
        <v>0.51806827430571856</v>
      </c>
    </row>
    <row r="279" spans="5:168">
      <c r="E279" s="147">
        <v>63</v>
      </c>
      <c r="F279" s="188">
        <f t="shared" si="759"/>
        <v>2.52</v>
      </c>
      <c r="G279" s="188"/>
      <c r="H279" s="188">
        <f t="shared" si="725"/>
        <v>75.599999999999994</v>
      </c>
      <c r="I279" s="465">
        <f t="shared" si="726"/>
        <v>47.875366067937833</v>
      </c>
      <c r="J279" s="149">
        <f t="shared" si="727"/>
        <v>30.467110578802703</v>
      </c>
      <c r="K279" s="149">
        <f t="shared" si="728"/>
        <v>78.342476646740536</v>
      </c>
      <c r="L279" s="379"/>
      <c r="M279" s="188">
        <f t="shared" si="729"/>
        <v>0.38889992231649617</v>
      </c>
      <c r="N279" s="149">
        <f t="shared" si="730"/>
        <v>284.95414167137864</v>
      </c>
      <c r="O279" s="149">
        <f t="shared" si="760"/>
        <v>75.599999999999994</v>
      </c>
      <c r="P279" s="188">
        <f t="shared" si="731"/>
        <v>9.4984713890459549</v>
      </c>
      <c r="Q279" s="188">
        <f t="shared" si="732"/>
        <v>30</v>
      </c>
      <c r="R279" s="188"/>
      <c r="S279" s="149">
        <f t="shared" si="733"/>
        <v>240.05520148989646</v>
      </c>
      <c r="T279" s="149">
        <f t="shared" si="734"/>
        <v>30</v>
      </c>
      <c r="U279" s="188">
        <f t="shared" si="735"/>
        <v>8.1208563263111557</v>
      </c>
      <c r="V279" s="188">
        <f t="shared" si="736"/>
        <v>0.79723724053618428</v>
      </c>
      <c r="W279" s="188">
        <f t="shared" si="737"/>
        <v>1.2527615520001947</v>
      </c>
      <c r="X279" s="172">
        <f t="shared" si="738"/>
        <v>350</v>
      </c>
      <c r="Y279" s="379">
        <f t="shared" si="678"/>
        <v>350</v>
      </c>
      <c r="AA279" s="188">
        <f t="shared" si="739"/>
        <v>11.318273323417849</v>
      </c>
      <c r="AB279" s="150">
        <f t="shared" si="740"/>
        <v>1.746010160119174</v>
      </c>
      <c r="AC279" s="150">
        <f t="shared" si="741"/>
        <v>3.4583185380963402</v>
      </c>
      <c r="AD279" s="150"/>
      <c r="AE279" s="150">
        <f t="shared" si="742"/>
        <v>0.93493764074452901</v>
      </c>
      <c r="AF279" s="314">
        <f t="shared" si="743"/>
        <v>889.47108743826266</v>
      </c>
      <c r="AG279" s="456">
        <f t="shared" si="744"/>
        <v>0.99160052806237919</v>
      </c>
      <c r="AI279" s="150">
        <f t="shared" si="745"/>
        <v>9.6615754886192935</v>
      </c>
      <c r="AJ279" s="150">
        <f t="shared" si="746"/>
        <v>9.6615754886192935</v>
      </c>
      <c r="AK279" s="150">
        <f t="shared" si="747"/>
        <v>3.8673847614912837</v>
      </c>
      <c r="AM279" s="314">
        <f t="shared" si="748"/>
        <v>2520</v>
      </c>
      <c r="AN279" s="144">
        <f t="shared" si="749"/>
        <v>350</v>
      </c>
      <c r="AP279">
        <f t="shared" si="750"/>
        <v>2520</v>
      </c>
      <c r="AQ279">
        <f t="shared" si="751"/>
        <v>350</v>
      </c>
      <c r="AS279" s="5">
        <f t="shared" si="761"/>
        <v>2.8571428571428572</v>
      </c>
      <c r="AT279" s="5">
        <f t="shared" si="752"/>
        <v>0.94849206441726597</v>
      </c>
      <c r="AU279" s="5">
        <f t="shared" si="721"/>
        <v>1.9086507927255911</v>
      </c>
      <c r="AV279" s="5"/>
      <c r="AW279" s="150">
        <f t="shared" si="722"/>
        <v>0.33197222254604308</v>
      </c>
      <c r="AX279" s="150">
        <f t="shared" si="630"/>
        <v>76.777118658582822</v>
      </c>
      <c r="AY279" s="150">
        <f t="shared" si="631"/>
        <v>3.2271004001829873</v>
      </c>
      <c r="AZ279" s="150">
        <f t="shared" si="632"/>
        <v>23.791363495920148</v>
      </c>
      <c r="BA279" s="144">
        <f t="shared" si="723"/>
        <v>7.9673333411050331</v>
      </c>
      <c r="BB279" s="5">
        <f t="shared" si="724"/>
        <v>1.7729122607192105</v>
      </c>
      <c r="BD279" s="150">
        <f t="shared" si="679"/>
        <v>3.2139431996041985</v>
      </c>
      <c r="BE279" s="150">
        <f t="shared" si="680"/>
        <v>4.5591573874800932</v>
      </c>
      <c r="BG279" s="456">
        <f t="shared" si="681"/>
        <v>0.12395317068338488</v>
      </c>
      <c r="BH279" s="456">
        <f t="shared" si="753"/>
        <v>4.8347738164613192</v>
      </c>
      <c r="BI279" s="456">
        <f t="shared" si="682"/>
        <v>4.0250000000000001E-2</v>
      </c>
      <c r="BJ279" s="456">
        <f t="shared" si="683"/>
        <v>1.1116625930891537</v>
      </c>
      <c r="BK279">
        <f t="shared" si="684"/>
        <v>2.1543914730572024E-2</v>
      </c>
      <c r="BL279" s="144">
        <f t="shared" si="685"/>
        <v>61.793914730572027</v>
      </c>
      <c r="BM279" s="456">
        <f t="shared" si="754"/>
        <v>6.2890783004932489</v>
      </c>
      <c r="BN279" s="144">
        <f t="shared" si="686"/>
        <v>6289.0783004932491</v>
      </c>
      <c r="BO279" s="456">
        <f t="shared" si="635"/>
        <v>1.7639999999999998</v>
      </c>
      <c r="BR279" s="144">
        <f t="shared" si="687"/>
        <v>1763.9999999999998</v>
      </c>
      <c r="BS279" s="456">
        <f t="shared" si="688"/>
        <v>0.14461203246394902</v>
      </c>
      <c r="BT279" s="456">
        <f t="shared" si="689"/>
        <v>0.29100282517340037</v>
      </c>
      <c r="BU279" s="456">
        <f t="shared" si="690"/>
        <v>33.247576497605451</v>
      </c>
      <c r="BV279" s="456"/>
      <c r="BW279" s="456">
        <f t="shared" si="691"/>
        <v>3.26711143228012</v>
      </c>
      <c r="BX279" s="144">
        <f t="shared" si="692"/>
        <v>36950.302787522916</v>
      </c>
      <c r="BY279" s="150">
        <f t="shared" si="693"/>
        <v>44.846486282487348</v>
      </c>
      <c r="BZ279" s="5">
        <f t="shared" si="694"/>
        <v>75.599999999999994</v>
      </c>
      <c r="CA279" s="150">
        <f t="shared" si="695"/>
        <v>0.62766463624926905</v>
      </c>
      <c r="CB279" s="5">
        <f t="shared" si="696"/>
        <v>62.766463624926907</v>
      </c>
      <c r="CE279" s="59">
        <f t="shared" si="755"/>
        <v>-50</v>
      </c>
      <c r="CF279">
        <f t="shared" si="756"/>
        <v>-50</v>
      </c>
      <c r="CG279" s="150">
        <f t="shared" si="757"/>
        <v>0.5256995339545204</v>
      </c>
      <c r="CI279" s="147">
        <v>63</v>
      </c>
      <c r="CJ279" s="188">
        <f t="shared" si="697"/>
        <v>2.52</v>
      </c>
      <c r="CK279" s="188"/>
      <c r="CL279" s="188">
        <f t="shared" si="639"/>
        <v>75.599999999999994</v>
      </c>
      <c r="CM279" s="465">
        <f t="shared" si="640"/>
        <v>48</v>
      </c>
      <c r="CN279" s="379">
        <f t="shared" si="641"/>
        <v>30.4</v>
      </c>
      <c r="CO279" s="379">
        <f t="shared" si="642"/>
        <v>78.400000000000006</v>
      </c>
      <c r="CP279" s="379"/>
      <c r="CQ279" s="188">
        <f t="shared" si="643"/>
        <v>0.38775510204081626</v>
      </c>
      <c r="CR279" s="149">
        <f t="shared" si="644"/>
        <v>284.85494809142222</v>
      </c>
      <c r="CS279" s="149">
        <f t="shared" si="645"/>
        <v>75.599999999999994</v>
      </c>
      <c r="CT279" s="188">
        <f t="shared" si="646"/>
        <v>9.4951649363807409</v>
      </c>
      <c r="CU279" s="188">
        <f t="shared" si="647"/>
        <v>30</v>
      </c>
      <c r="CV279" s="188"/>
      <c r="CW279" s="149">
        <f t="shared" si="648"/>
        <v>240.67993023607804</v>
      </c>
      <c r="CX279" s="149">
        <f t="shared" si="649"/>
        <v>30</v>
      </c>
      <c r="CY279" s="188">
        <f t="shared" si="650"/>
        <v>8.1236842105263172</v>
      </c>
      <c r="CZ279" s="188">
        <f t="shared" si="651"/>
        <v>0.79544407894736857</v>
      </c>
      <c r="DA279" s="188">
        <f t="shared" si="652"/>
        <v>1.2559643351800558</v>
      </c>
      <c r="DB279" s="172">
        <f t="shared" si="653"/>
        <v>350</v>
      </c>
      <c r="DC279" s="379">
        <f t="shared" si="654"/>
        <v>350</v>
      </c>
      <c r="DE279" s="188">
        <f t="shared" si="655"/>
        <v>11.314434588425037</v>
      </c>
      <c r="DF279" s="150">
        <f t="shared" si="656"/>
        <v>1.7492711370262393</v>
      </c>
      <c r="DG279" s="150">
        <f t="shared" si="657"/>
        <v>3.463602425028073</v>
      </c>
      <c r="DH279" s="150"/>
      <c r="DI279" s="150">
        <f t="shared" si="658"/>
        <v>0.93700159489633172</v>
      </c>
      <c r="DJ279" s="314">
        <f t="shared" si="659"/>
        <v>887.51182978723409</v>
      </c>
      <c r="DK279" s="456">
        <f t="shared" si="660"/>
        <v>0.99378957034459414</v>
      </c>
      <c r="DM279" s="150">
        <f t="shared" si="661"/>
        <v>9.6509287393449803</v>
      </c>
      <c r="DN279" s="150">
        <f t="shared" si="662"/>
        <v>9.6509287393449803</v>
      </c>
      <c r="DO279" s="150">
        <f t="shared" si="663"/>
        <v>3.8594982805473483</v>
      </c>
      <c r="DQ279" s="314">
        <f t="shared" si="664"/>
        <v>2520</v>
      </c>
      <c r="DR279" s="144">
        <f t="shared" si="665"/>
        <v>350</v>
      </c>
      <c r="DT279">
        <f t="shared" si="666"/>
        <v>2520</v>
      </c>
      <c r="DU279">
        <f t="shared" si="667"/>
        <v>350</v>
      </c>
      <c r="DW279" s="5">
        <f t="shared" si="668"/>
        <v>2.8571428571428572</v>
      </c>
      <c r="DX279" s="5">
        <f t="shared" si="669"/>
        <v>0.94498677239419604</v>
      </c>
      <c r="DY279" s="5">
        <f t="shared" si="670"/>
        <v>1.9121560847486612</v>
      </c>
      <c r="DZ279" s="5"/>
      <c r="EA279" s="150">
        <f t="shared" si="671"/>
        <v>0.33074537033796858</v>
      </c>
      <c r="EB279" s="150">
        <f t="shared" si="698"/>
        <v>76.607999999999976</v>
      </c>
      <c r="EC279" s="150">
        <f t="shared" si="699"/>
        <v>3.2294643696724901</v>
      </c>
      <c r="ED279" s="150">
        <f t="shared" si="700"/>
        <v>23.72158080436386</v>
      </c>
      <c r="EE279" s="144">
        <f t="shared" si="672"/>
        <v>7.9378888881112468</v>
      </c>
      <c r="EF279" s="5">
        <f t="shared" si="673"/>
        <v>1.7715563726347889</v>
      </c>
      <c r="EH279" s="150">
        <f t="shared" si="701"/>
        <v>3.2044637895696462</v>
      </c>
      <c r="EI279" s="150">
        <f t="shared" si="702"/>
        <v>4.5583133209527444</v>
      </c>
      <c r="EK279" s="456">
        <f t="shared" si="703"/>
        <v>0.12322305814395669</v>
      </c>
      <c r="EL279" s="456">
        <f t="shared" si="704"/>
        <v>5.0316082075448998</v>
      </c>
      <c r="EM279" s="456">
        <f t="shared" si="705"/>
        <v>4.0250000000000001E-2</v>
      </c>
      <c r="EN279" s="456">
        <f t="shared" si="706"/>
        <v>1.1132956800000005</v>
      </c>
      <c r="EO279">
        <f t="shared" si="707"/>
        <v>2.1600000000000001E-2</v>
      </c>
      <c r="EP279" s="144">
        <f t="shared" si="708"/>
        <v>61.85</v>
      </c>
      <c r="EQ279" s="144"/>
      <c r="ER279" s="144">
        <f t="shared" si="709"/>
        <v>6329.9769456888571</v>
      </c>
      <c r="ES279" s="456">
        <f t="shared" si="710"/>
        <v>1.7639999999999998</v>
      </c>
      <c r="EV279" s="144">
        <f t="shared" si="711"/>
        <v>1763.9999999999998</v>
      </c>
      <c r="EW279" s="456">
        <f t="shared" si="712"/>
        <v>0.14376023450128281</v>
      </c>
      <c r="EX279" s="456">
        <f t="shared" si="713"/>
        <v>0.29089508464765335</v>
      </c>
      <c r="EY279" s="456">
        <f t="shared" si="714"/>
        <v>33.156057751461198</v>
      </c>
      <c r="EZ279" s="456"/>
      <c r="FA279" s="456">
        <f t="shared" si="715"/>
        <v>3.259914893617021</v>
      </c>
      <c r="FB279" s="144">
        <f t="shared" si="716"/>
        <v>36850.627964227155</v>
      </c>
      <c r="FC279" s="150">
        <f t="shared" si="717"/>
        <v>44.944604909916009</v>
      </c>
      <c r="FD279" s="5">
        <f t="shared" si="718"/>
        <v>75.599999999999994</v>
      </c>
      <c r="FE279" s="150">
        <f t="shared" si="719"/>
        <v>0.62715374160873072</v>
      </c>
      <c r="FF279" s="5">
        <f t="shared" si="720"/>
        <v>62.715374160873068</v>
      </c>
      <c r="FI279" s="59">
        <f t="shared" si="674"/>
        <v>-50</v>
      </c>
      <c r="FJ279">
        <f t="shared" si="675"/>
        <v>-50</v>
      </c>
      <c r="FL279">
        <f t="shared" si="758"/>
        <v>0.52222953211258205</v>
      </c>
    </row>
    <row r="280" spans="5:168">
      <c r="E280" s="147">
        <v>64</v>
      </c>
      <c r="F280" s="188">
        <f t="shared" si="759"/>
        <v>2.56</v>
      </c>
      <c r="G280" s="188"/>
      <c r="H280" s="188">
        <f t="shared" ref="H280:H311" si="762">F280*Vout</f>
        <v>76.8</v>
      </c>
      <c r="I280" s="465">
        <f t="shared" ref="I280:I316" si="763">VIN_max-F280*(Rdcr_pri+RON/1000)/CG280/Nps</f>
        <v>47.874380804130816</v>
      </c>
      <c r="J280" s="149">
        <f t="shared" ref="J280:J316" si="764">(T280+Vfwd1+F280/CG280*Rdcr_sec)*Nps</f>
        <v>30.467641105468022</v>
      </c>
      <c r="K280" s="149">
        <f t="shared" ref="K280:K316" si="765">(Vout+Vfwd1+F280/CG280*Rdcr_sec)*Nps+I280</f>
        <v>78.342021909598841</v>
      </c>
      <c r="L280" s="379"/>
      <c r="M280" s="188">
        <f t="shared" ref="M280:M316" si="766">(Vout+Vfwd1+F280/FL280*Rdcr_sec)*Nps/((Vout+Vfwd1+F280/FL280*Rdcr_sec)*Nps+I280)</f>
        <v>0.38890897906567828</v>
      </c>
      <c r="N280" s="149">
        <f t="shared" ref="N280:N311" si="767">M280*I280*(Isw_max+VIN_max/Lmag*ILIM_delay)*0.5*Efficiency</f>
        <v>284.95491329246454</v>
      </c>
      <c r="O280" s="149">
        <f t="shared" si="760"/>
        <v>76.8</v>
      </c>
      <c r="P280" s="188">
        <f t="shared" ref="P280:P311" si="768">N280/Vout</f>
        <v>9.4984971097488184</v>
      </c>
      <c r="Q280" s="188">
        <f t="shared" ref="Q280:Q316" si="769">MIN(Vout,N280/F280)</f>
        <v>30</v>
      </c>
      <c r="R280" s="188"/>
      <c r="S280" s="149">
        <f t="shared" ref="S280:S316" si="770">(SQRT(Isw_max^2*Nps^2*I280^2+4*Isw_max*F280/Efficiency*(Nps^2*Vfwd1*I280-Nps*I280^2)+4*(F280/Efficiency)^2*Nps^2*Vfwd1^2+8*(F280/Efficiency)^2*Nps*Vfwd1*I280+4*(F280/Efficiency)^2*I280^2)-2*F280/Efficiency*I280-2*F280/Efficiency*Nps*Vfwd1+Isw_max*Nps*I280)/(4*F280/Efficiency*Nps)</f>
        <v>235.55420223059016</v>
      </c>
      <c r="T280" s="149">
        <f t="shared" ref="T280:T311" si="771">MIN(Vout, S280)</f>
        <v>30</v>
      </c>
      <c r="U280" s="188">
        <f t="shared" ref="U280:U315" si="772">MIN(2*Vout*F280/(Efficiency*I280*M280), Isw_max)</f>
        <v>8.2497364684002807</v>
      </c>
      <c r="V280" s="188">
        <f t="shared" ref="V280:V311" si="773">L*U280/I280*1000000</f>
        <v>0.80990627450863539</v>
      </c>
      <c r="W280" s="188">
        <f t="shared" ref="W280:W316" si="774">L*U280/J280*1000000</f>
        <v>1.2726210495673258</v>
      </c>
      <c r="X280" s="172">
        <f t="shared" ref="X280:X316" si="775">IF(1/((350000*L)*(1/I280+1/J280))&gt;Isw_min, 350, 0.001/((Isw_min*L)*(1/I280+1/J280)))</f>
        <v>350</v>
      </c>
      <c r="Y280" s="379">
        <f t="shared" si="678"/>
        <v>350</v>
      </c>
      <c r="AA280" s="188">
        <f t="shared" ref="AA280:AA316" si="776">1/((X280*1000*L)*(1/I280+1/J280))</f>
        <v>11.318303174946024</v>
      </c>
      <c r="AB280" s="150">
        <f t="shared" ref="AB280:AB311" si="777">L*AA280/J280*1000000</f>
        <v>1.7459843621664306</v>
      </c>
      <c r="AC280" s="150">
        <f t="shared" ref="AC280:AC311" si="778">0.5*AB280*AA280*Nps*X280/1000</f>
        <v>3.4582765612000239</v>
      </c>
      <c r="AD280" s="150"/>
      <c r="AE280" s="150">
        <f t="shared" ref="AE280:AE316" si="779">L*Isw_min/J280*1000000</f>
        <v>0.9349213608708391</v>
      </c>
      <c r="AF280" s="314">
        <f t="shared" ref="AF280:AF311" si="780">MAX(12000,F280/(0.5*AE280/1000000*Isw_min*Nps))/1000</f>
        <v>903.6054104198721</v>
      </c>
      <c r="AG280" s="456">
        <f t="shared" ref="AG280:AG316" si="781">0.5*AE280/1000000*Isw_min*Nps*X280*1000</f>
        <v>0.99158326152967802</v>
      </c>
      <c r="AI280" s="150">
        <f t="shared" ref="AI280:AI316" si="782">SQRT(F280/(0.5*L/J280*Fsw_DCM*Nps))</f>
        <v>9.7380375515614475</v>
      </c>
      <c r="AJ280" s="150">
        <f t="shared" ref="AJ280:AJ311" si="783">MAX(IF(F280&gt;AC280,U280,AI280),Isw_min)</f>
        <v>9.7380375515614475</v>
      </c>
      <c r="AK280" s="150">
        <f t="shared" ref="AK280:AK311" si="784">IF(F280&gt;AG280, (AJ280-Isw_min)/1.08*0.8+1.2, AF280*0.2/350+1)</f>
        <v>3.9240233266336197</v>
      </c>
      <c r="AM280" s="314">
        <f t="shared" ref="AM280:AM316" si="785">F280*1000</f>
        <v>2560</v>
      </c>
      <c r="AN280" s="144">
        <f t="shared" ref="AN280:AN316" si="786">IF(F280&gt;AG280, Y280, AF280)</f>
        <v>350</v>
      </c>
      <c r="AP280">
        <f t="shared" ref="AP280:AP316" si="787">IF(H280&gt;N280, "",AM280)</f>
        <v>2560</v>
      </c>
      <c r="AQ280">
        <f t="shared" ref="AQ280:AQ316" si="788">IF(H280&gt;N280, "",AN280)</f>
        <v>350</v>
      </c>
      <c r="AS280" s="5">
        <f t="shared" si="761"/>
        <v>2.8571428571428572</v>
      </c>
      <c r="AT280" s="5">
        <f t="shared" ref="AT280:AT316" si="789">L*AJ280/I280*1000000</f>
        <v>0.95601814004850105</v>
      </c>
      <c r="AU280" s="5">
        <f t="shared" si="721"/>
        <v>1.9011247170943562</v>
      </c>
      <c r="AV280" s="5"/>
      <c r="AW280" s="150">
        <f t="shared" si="722"/>
        <v>0.33460634901697534</v>
      </c>
      <c r="AX280" s="150">
        <f t="shared" ref="AX280:AX316" si="790">0.5*L*AJ280^2*AN280*1000</f>
        <v>77.99716122999817</v>
      </c>
      <c r="AY280" s="150">
        <f t="shared" ref="AY280:AY316" si="791">AJ280*Nps/2*(1-AW280)</f>
        <v>3.2398141799216331</v>
      </c>
      <c r="AZ280" s="150">
        <f t="shared" ref="AZ280:AZ316" si="792">AX280/AY280</f>
        <v>24.074578632742703</v>
      </c>
      <c r="BA280" s="144">
        <f t="shared" si="723"/>
        <v>8.1580214617472091</v>
      </c>
      <c r="BB280" s="5">
        <f t="shared" si="724"/>
        <v>1.7939888396210795</v>
      </c>
      <c r="BD280" s="150">
        <f t="shared" si="679"/>
        <v>3.2522049477907875</v>
      </c>
      <c r="BE280" s="150">
        <f t="shared" si="680"/>
        <v>4.5861699448201962</v>
      </c>
      <c r="BG280" s="456">
        <f t="shared" si="681"/>
        <v>0.12692204426921855</v>
      </c>
      <c r="BH280" s="456">
        <f t="shared" ref="BH280:BH316" si="793">0.5*K280*AJ280*AN280*1000*Tfall</f>
        <v>4.8730081084236474</v>
      </c>
      <c r="BI280" s="456">
        <f t="shared" si="682"/>
        <v>4.0250000000000001E-2</v>
      </c>
      <c r="BJ280" s="456">
        <f t="shared" si="683"/>
        <v>1.1116496878856263</v>
      </c>
      <c r="BK280">
        <f t="shared" si="684"/>
        <v>2.1543471361858867E-2</v>
      </c>
      <c r="BL280" s="144">
        <f t="shared" si="685"/>
        <v>61.793471361858863</v>
      </c>
      <c r="BM280" s="456">
        <f t="shared" ref="BM280:BM316" si="794">(BH280+BI280*0+BJ280+BK280*0+BG280*(1+RdsonTC*(Ta-25)))/(1-BG280*RdsonTC*ThetaJA)</f>
        <v>6.3369501561062274</v>
      </c>
      <c r="BN280" s="144">
        <f t="shared" si="686"/>
        <v>6336.950156106227</v>
      </c>
      <c r="BO280" s="456">
        <f t="shared" ref="BO280:BO316" si="795">Vfwd2*F280</f>
        <v>1.7919999999999998</v>
      </c>
      <c r="BR280" s="144">
        <f t="shared" si="687"/>
        <v>1791.9999999999998</v>
      </c>
      <c r="BS280" s="456">
        <f t="shared" si="688"/>
        <v>0.14807571831408831</v>
      </c>
      <c r="BT280" s="456">
        <f t="shared" si="689"/>
        <v>0.29446136667880918</v>
      </c>
      <c r="BU280" s="456">
        <f t="shared" si="690"/>
        <v>33.909292421187132</v>
      </c>
      <c r="BV280" s="456"/>
      <c r="BW280" s="456">
        <f t="shared" si="691"/>
        <v>3.3190281374467312</v>
      </c>
      <c r="BX280" s="144">
        <f t="shared" si="692"/>
        <v>37670.857643626761</v>
      </c>
      <c r="BY280" s="150">
        <f t="shared" si="693"/>
        <v>45.636230955567108</v>
      </c>
      <c r="BZ280" s="5">
        <f t="shared" si="694"/>
        <v>76.8</v>
      </c>
      <c r="CA280" s="150">
        <f t="shared" si="695"/>
        <v>0.62726530701415673</v>
      </c>
      <c r="CB280" s="5">
        <f t="shared" si="696"/>
        <v>62.726530701415669</v>
      </c>
      <c r="CE280" s="59">
        <f t="shared" ref="CE280:CE316" si="796">IF(ABS(F280-Ioutmax_Vinmax)&lt;Iout/200, AN280, -50)</f>
        <v>-50</v>
      </c>
      <c r="CF280">
        <f t="shared" ref="CF280:CF316" si="797">IF(ABS(F280-Ioutmax_Vinmin)&lt;Iout/200, N280*CA280, -50)</f>
        <v>-50</v>
      </c>
      <c r="CG280" s="150">
        <f t="shared" ref="CG280:CG316" si="798">MIN(SQRT(2*DU280*1000*Ls1_*CL280)/CU280,1-EA280-0.00000005*DU280*1000)</f>
        <v>0.52985532616617781</v>
      </c>
      <c r="CI280" s="147">
        <v>64</v>
      </c>
      <c r="CJ280" s="188">
        <f t="shared" si="697"/>
        <v>2.56</v>
      </c>
      <c r="CK280" s="188"/>
      <c r="CL280" s="188">
        <f t="shared" ref="CL280:CL316" si="799">CJ280*Vout</f>
        <v>76.8</v>
      </c>
      <c r="CM280" s="465">
        <f t="shared" ref="CM280:CM316" si="800">VIN_max</f>
        <v>48</v>
      </c>
      <c r="CN280" s="379">
        <f t="shared" ref="CN280:CN316" si="801">(CX280+Vfwd1)*Nps</f>
        <v>30.4</v>
      </c>
      <c r="CO280" s="379">
        <f t="shared" ref="CO280:CO316" si="802">(Vout+Vfwd1)*Nps+CM280</f>
        <v>78.400000000000006</v>
      </c>
      <c r="CP280" s="379"/>
      <c r="CQ280" s="188">
        <f t="shared" ref="CQ280:CQ316" si="803">(Vout+Vfwd1)*Nps/((Vout+Vfwd1)*Nps+CM280)</f>
        <v>0.38775510204081626</v>
      </c>
      <c r="CR280" s="149">
        <f t="shared" ref="CR280:CR316" si="804">CQ280*CM280*(Isw_max+VIN_max/Lmag*ILIM_delay)*0.5*Efficiency</f>
        <v>284.85494809142222</v>
      </c>
      <c r="CS280" s="149">
        <f t="shared" ref="CS280:CS316" si="805">CX280*CJ280</f>
        <v>76.8</v>
      </c>
      <c r="CT280" s="188">
        <f t="shared" ref="CT280:CT316" si="806">CR280/Vout</f>
        <v>9.4951649363807409</v>
      </c>
      <c r="CU280" s="188">
        <f t="shared" ref="CU280:CU316" si="807">MIN(Vout,CR280/CJ280)</f>
        <v>30</v>
      </c>
      <c r="CV280" s="188"/>
      <c r="CW280" s="149">
        <f t="shared" ref="CW280:CW316" si="808">(SQRT(Isw_max^2*Nps^2*CM280^2+4*Isw_max*CJ280/Efficiency*(Nps^2*Vfwd1*CM280-Nps*CM280^2)+4*(CJ280/Efficiency)^2*Nps^2*Vfwd1^2+8*(CJ280/Efficiency)^2*Nps*Vfwd1*CM280+4*(CJ280/Efficiency)^2*CM280^2)-2*CJ280/Efficiency*CM280-2*CJ280/Efficiency*Nps*Vfwd1+Isw_max*Nps*CM280)/(4*CJ280/Efficiency*Nps)</f>
        <v>236.17206829173378</v>
      </c>
      <c r="CX280" s="149">
        <f t="shared" ref="CX280:CX316" si="809">MIN(Vout, CW280)</f>
        <v>30</v>
      </c>
      <c r="CY280" s="188">
        <f t="shared" ref="CY280:CY316" si="810">MIN(2*Vout*CJ280/(Efficiency*CM280*CQ280), Isw_max)</f>
        <v>8.2526315789473692</v>
      </c>
      <c r="CZ280" s="188">
        <f t="shared" ref="CZ280:CZ316" si="811">L*CY280/CM280*1000000</f>
        <v>0.80807017543859661</v>
      </c>
      <c r="DA280" s="188">
        <f t="shared" ref="DA280:DA316" si="812">L*CY280/CN280*1000000</f>
        <v>1.2759002770083103</v>
      </c>
      <c r="DB280" s="172">
        <f t="shared" ref="DB280:DB316" si="813">IF(1/((350000*L)*(1/CM280+1/CN280))&gt;Isw_min, 350, 0.001/((Isw_min*L)*(1/CM280+1/CN280)))</f>
        <v>350</v>
      </c>
      <c r="DC280" s="379">
        <f t="shared" ref="DC280:DC316" si="814">MIN(1/(CZ280+DA280)*1000, 350)</f>
        <v>350</v>
      </c>
      <c r="DE280" s="188">
        <f t="shared" ref="DE280:DE316" si="815">1/((DB280*1000*L)*(1/CM280+1/CN280))</f>
        <v>11.314434588425037</v>
      </c>
      <c r="DF280" s="150">
        <f t="shared" ref="DF280:DF316" si="816">L*DE280/CN280*1000000</f>
        <v>1.7492711370262393</v>
      </c>
      <c r="DG280" s="150">
        <f t="shared" ref="DG280:DG316" si="817">0.5*DF280*DE280*Nps*DB280/1000</f>
        <v>3.463602425028073</v>
      </c>
      <c r="DH280" s="150"/>
      <c r="DI280" s="150">
        <f t="shared" ref="DI280:DI316" si="818">L*Isw_min/CN280*1000000</f>
        <v>0.93700159489633172</v>
      </c>
      <c r="DJ280" s="314">
        <f t="shared" ref="DJ280:DJ316" si="819">MAX(12000,CJ280/(0.5*DI280/1000000*Isw_min*Nps))/1000</f>
        <v>901.59931914893616</v>
      </c>
      <c r="DK280" s="456">
        <f t="shared" ref="DK280:DK316" si="820">0.5*DI280/1000000*Isw_min*Nps*DB280*1000</f>
        <v>0.99378957034459414</v>
      </c>
      <c r="DM280" s="150">
        <f t="shared" ref="DM280:DM316" si="821">SQRT(CJ280/(0.5*L/CN280*Fsw_DCM*Nps))</f>
        <v>9.7272218533763493</v>
      </c>
      <c r="DN280" s="150">
        <f t="shared" ref="DN280:DN316" si="822">MAX(IF(CJ280&gt;DG280,CY280,DM280),Isw_min)</f>
        <v>9.7272218533763493</v>
      </c>
      <c r="DO280" s="150">
        <f t="shared" ref="DO280:DO316" si="823">IF(CJ280&gt;DK280, (DN280-Isw_min)/1.08*0.8+1.2, DJ280*0.2/350+1)</f>
        <v>3.9160116983483624</v>
      </c>
      <c r="DQ280" s="314">
        <f t="shared" ref="DQ280:DQ316" si="824">CJ280*1000</f>
        <v>2560</v>
      </c>
      <c r="DR280" s="144">
        <f t="shared" ref="DR280:DR316" si="825">IF(CJ280&gt;DK280, DC280, DJ280)</f>
        <v>350</v>
      </c>
      <c r="DT280">
        <f t="shared" ref="DT280:DT316" si="826">IF(CL280&gt;CR280, "",DQ280)</f>
        <v>2560</v>
      </c>
      <c r="DU280">
        <f t="shared" ref="DU280:DU316" si="827">IF(CL280&gt;CR280, "",DR280)</f>
        <v>350</v>
      </c>
      <c r="DW280" s="5">
        <f t="shared" si="668"/>
        <v>2.8571428571428572</v>
      </c>
      <c r="DX280" s="5">
        <f t="shared" ref="DX280:DX316" si="828">L*DN280/CM280*1000000</f>
        <v>0.95245713980976754</v>
      </c>
      <c r="DY280" s="5">
        <f t="shared" ref="DY280:DY316" si="829">DW280-DX280</f>
        <v>1.9046857173330896</v>
      </c>
      <c r="DZ280" s="5"/>
      <c r="EA280" s="150">
        <f t="shared" ref="EA280:EA316" si="830">DX280/DW280</f>
        <v>0.33335999893341861</v>
      </c>
      <c r="EB280" s="150">
        <f t="shared" si="698"/>
        <v>77.823999999999984</v>
      </c>
      <c r="EC280" s="150">
        <f t="shared" si="699"/>
        <v>3.2422775933548418</v>
      </c>
      <c r="ED280" s="150">
        <f t="shared" si="700"/>
        <v>24.002880000004602</v>
      </c>
      <c r="EE280" s="144">
        <f t="shared" ref="EE280:EE316" si="831">CJ280*DX280/Vout_ripple*1000</f>
        <v>8.1276342597100157</v>
      </c>
      <c r="EF280" s="5">
        <f t="shared" ref="EF280:EF316" si="832">CL280/Efficiency/CM280*DY280/Vinripple1</f>
        <v>1.7926453810193781</v>
      </c>
      <c r="EH280" s="150">
        <f t="shared" si="701"/>
        <v>3.24253697296911</v>
      </c>
      <c r="EI280" s="150">
        <f t="shared" si="702"/>
        <v>4.5853646500428358</v>
      </c>
      <c r="EK280" s="456">
        <f t="shared" si="703"/>
        <v>0.12616855225286014</v>
      </c>
      <c r="EL280" s="456">
        <f t="shared" si="704"/>
        <v>5.0713843854762937</v>
      </c>
      <c r="EM280" s="456">
        <f t="shared" si="705"/>
        <v>4.0250000000000001E-2</v>
      </c>
      <c r="EN280" s="456">
        <f t="shared" si="706"/>
        <v>1.1132956800000005</v>
      </c>
      <c r="EO280">
        <f t="shared" si="707"/>
        <v>2.1600000000000001E-2</v>
      </c>
      <c r="EP280" s="144">
        <f t="shared" si="708"/>
        <v>61.85</v>
      </c>
      <c r="EQ280" s="144"/>
      <c r="ER280" s="144">
        <f t="shared" si="709"/>
        <v>6372.6986177291546</v>
      </c>
      <c r="ES280" s="456">
        <f t="shared" si="710"/>
        <v>1.7919999999999998</v>
      </c>
      <c r="EV280" s="144">
        <f t="shared" si="711"/>
        <v>1791.9999999999998</v>
      </c>
      <c r="EW280" s="456">
        <f t="shared" si="712"/>
        <v>0.14719664429500351</v>
      </c>
      <c r="EX280" s="456">
        <f t="shared" si="713"/>
        <v>0.29435796563407446</v>
      </c>
      <c r="EY280" s="456">
        <f t="shared" si="714"/>
        <v>33.815216170561712</v>
      </c>
      <c r="EZ280" s="456"/>
      <c r="FA280" s="456">
        <f t="shared" si="715"/>
        <v>3.3116595744680848</v>
      </c>
      <c r="FB280" s="144">
        <f t="shared" si="716"/>
        <v>37568.43035495888</v>
      </c>
      <c r="FC280" s="150">
        <f t="shared" si="717"/>
        <v>45.733128972688029</v>
      </c>
      <c r="FD280" s="5">
        <f t="shared" si="718"/>
        <v>76.8</v>
      </c>
      <c r="FE280" s="150">
        <f t="shared" si="719"/>
        <v>0.62676927165647023</v>
      </c>
      <c r="FF280" s="5">
        <f t="shared" si="720"/>
        <v>62.676927165647022</v>
      </c>
      <c r="FI280" s="59">
        <f t="shared" ref="FI280:FI316" si="833">IF(ABS(CJ280-Ioutmax_Vinmax)&lt;Iout/200, DR280, -50)</f>
        <v>-50</v>
      </c>
      <c r="FJ280">
        <f t="shared" ref="FJ280:FJ316" si="834">IF(ABS(CJ280-Ioutmax_Vinmin)&lt;Iout/200, CR280*FE280, -50)</f>
        <v>-50</v>
      </c>
      <c r="FL280">
        <f t="shared" ref="FL280:FL316" si="835">MIN(SQRT(2*L*DR280*1000*CJ280*(CX280+Vfwd1))/(Nps*(CX280+Vfwd1)), 1-EA280)</f>
        <v>0.52635789305276626</v>
      </c>
    </row>
    <row r="281" spans="5:168">
      <c r="E281" s="147">
        <v>65</v>
      </c>
      <c r="F281" s="188">
        <f t="shared" ref="F281:F312" si="836">IF(PLOT_TYPE=1, E281/100*Iout_max, min_I*EXP(N281*rr/100))</f>
        <v>2.6</v>
      </c>
      <c r="G281" s="188"/>
      <c r="H281" s="188">
        <f t="shared" si="762"/>
        <v>78</v>
      </c>
      <c r="I281" s="465">
        <f t="shared" si="763"/>
        <v>47.873403208096079</v>
      </c>
      <c r="J281" s="149">
        <f t="shared" si="764"/>
        <v>30.468167503332879</v>
      </c>
      <c r="K281" s="149">
        <f t="shared" si="765"/>
        <v>78.341570711428957</v>
      </c>
      <c r="L281" s="379"/>
      <c r="M281" s="188">
        <f t="shared" si="766"/>
        <v>0.38891796543421819</v>
      </c>
      <c r="N281" s="149">
        <f t="shared" si="767"/>
        <v>284.95567871403472</v>
      </c>
      <c r="O281" s="149">
        <f t="shared" si="760"/>
        <v>78</v>
      </c>
      <c r="P281" s="188">
        <f t="shared" si="768"/>
        <v>9.4985226238011577</v>
      </c>
      <c r="Q281" s="188">
        <f t="shared" si="769"/>
        <v>30</v>
      </c>
      <c r="R281" s="188"/>
      <c r="S281" s="149">
        <f t="shared" si="770"/>
        <v>231.19181879756786</v>
      </c>
      <c r="T281" s="149">
        <f t="shared" si="771"/>
        <v>30</v>
      </c>
      <c r="U281" s="188">
        <f t="shared" si="772"/>
        <v>8.3786160947955093</v>
      </c>
      <c r="V281" s="188">
        <f t="shared" si="773"/>
        <v>0.82257564757542145</v>
      </c>
      <c r="W281" s="188">
        <f t="shared" si="774"/>
        <v>1.2924799511237823</v>
      </c>
      <c r="X281" s="172">
        <f t="shared" si="775"/>
        <v>350</v>
      </c>
      <c r="Y281" s="379">
        <f t="shared" ref="Y281:Y316" si="837">MIN(1/(V281+W281+0.2)*1000, 350)</f>
        <v>350</v>
      </c>
      <c r="AA281" s="188">
        <f t="shared" si="776"/>
        <v>11.318332786480893</v>
      </c>
      <c r="AB281" s="150">
        <f t="shared" si="777"/>
        <v>1.7459587646891177</v>
      </c>
      <c r="AC281" s="150">
        <f t="shared" si="778"/>
        <v>3.4582349077892909</v>
      </c>
      <c r="AD281" s="150"/>
      <c r="AE281" s="150">
        <f t="shared" si="779"/>
        <v>0.93490520825489609</v>
      </c>
      <c r="AF281" s="314">
        <f t="shared" si="780"/>
        <v>917.74010073336933</v>
      </c>
      <c r="AG281" s="456">
        <f t="shared" si="781"/>
        <v>0.99156612996731397</v>
      </c>
      <c r="AI281" s="150">
        <f t="shared" si="782"/>
        <v>9.813905865597194</v>
      </c>
      <c r="AJ281" s="150">
        <f t="shared" si="783"/>
        <v>9.813905865597194</v>
      </c>
      <c r="AK281" s="150">
        <f t="shared" si="784"/>
        <v>3.9802220777712103</v>
      </c>
      <c r="AM281" s="314">
        <f t="shared" si="785"/>
        <v>2600</v>
      </c>
      <c r="AN281" s="144">
        <f t="shared" si="786"/>
        <v>350</v>
      </c>
      <c r="AP281">
        <f t="shared" si="787"/>
        <v>2600</v>
      </c>
      <c r="AQ281">
        <f t="shared" si="788"/>
        <v>350</v>
      </c>
      <c r="AS281" s="5">
        <f t="shared" si="761"/>
        <v>2.8571428571428572</v>
      </c>
      <c r="AT281" s="5">
        <f t="shared" si="789"/>
        <v>0.96348607947943732</v>
      </c>
      <c r="AU281" s="5">
        <f t="shared" si="721"/>
        <v>1.8936567776634199</v>
      </c>
      <c r="AV281" s="5"/>
      <c r="AW281" s="150">
        <f t="shared" si="722"/>
        <v>0.33722012781780303</v>
      </c>
      <c r="AX281" s="150">
        <f t="shared" si="790"/>
        <v>79.217235508665468</v>
      </c>
      <c r="AY281" s="150">
        <f t="shared" si="791"/>
        <v>3.2522296376043105</v>
      </c>
      <c r="AZ281" s="150">
        <f t="shared" si="792"/>
        <v>24.357823504437174</v>
      </c>
      <c r="BA281" s="144">
        <f t="shared" si="723"/>
        <v>8.3502126888217898</v>
      </c>
      <c r="BB281" s="5">
        <f t="shared" si="724"/>
        <v>1.81489977314816</v>
      </c>
      <c r="BD281" s="150">
        <f t="shared" ref="BD281:BD316" si="838">AJ281*SQRT(AW281/3)</f>
        <v>3.2903189969613913</v>
      </c>
      <c r="BE281" s="150">
        <f t="shared" ref="BE281:BE316" si="839">AJ281*Nps*SQRT((1-AW281)/3)</f>
        <v>4.6128137123129793</v>
      </c>
      <c r="BG281" s="456">
        <f t="shared" ref="BG281:BG316" si="840">Rdson*BD281^2</f>
        <v>0.1299143892211802</v>
      </c>
      <c r="BH281" s="456">
        <f t="shared" si="793"/>
        <v>4.9109450620758741</v>
      </c>
      <c r="BI281" s="456">
        <f t="shared" ref="BI281:BI316" si="841">Qg*Vdd*AN281*1000</f>
        <v>4.0250000000000001E-2</v>
      </c>
      <c r="BJ281" s="456">
        <f t="shared" ref="BJ281:BJ316" si="842">0.5*(Coss+Csw)*K281^2*AN281*1000</f>
        <v>1.1116368831903136</v>
      </c>
      <c r="BK281">
        <f t="shared" ref="BK281:BK316" si="843">I281*IQ</f>
        <v>2.1543031443643234E-2</v>
      </c>
      <c r="BL281" s="144">
        <f t="shared" ref="BL281:BL316" si="844">(BK281+BI281)*1000</f>
        <v>61.79303144364323</v>
      </c>
      <c r="BM281" s="456">
        <f t="shared" si="794"/>
        <v>6.38465249484873</v>
      </c>
      <c r="BN281" s="144">
        <f t="shared" ref="BN281:BN316" si="845">BM281*1000</f>
        <v>6384.6524948487304</v>
      </c>
      <c r="BO281" s="456">
        <f t="shared" si="795"/>
        <v>1.8199999999999998</v>
      </c>
      <c r="BR281" s="144">
        <f t="shared" ref="BR281:BR316" si="846">SUM(BO281:BQ281)*1000</f>
        <v>1819.9999999999998</v>
      </c>
      <c r="BS281" s="456">
        <f t="shared" ref="BS281:BS316" si="847">Rdcr_pri*BD281^2</f>
        <v>0.15156678742471025</v>
      </c>
      <c r="BT281" s="456">
        <f t="shared" ref="BT281:BT316" si="848">Rdcr_sec*BE281^2</f>
        <v>0.29789270482303709</v>
      </c>
      <c r="BU281" s="456">
        <f t="shared" ref="BU281:BU316" si="849">AJ281^2.5*AN281^2.5*k_core</f>
        <v>34.573618464959921</v>
      </c>
      <c r="BV281" s="456"/>
      <c r="BW281" s="456">
        <f t="shared" ref="BW281:BW316" si="850">0.5*Lleak*0.000000001*AJ281^2*AN281*1000</f>
        <v>3.3709461918581058</v>
      </c>
      <c r="BX281" s="144">
        <f t="shared" ref="BX281:BX316" si="851">SUM(BS281:BW281)*1000</f>
        <v>38394.024149065772</v>
      </c>
      <c r="BY281" s="150">
        <f t="shared" ref="BY281:BY316" si="852">SUM(BG281:BK281,BO281:BQ281,BS281:BW281)</f>
        <v>46.42831351499678</v>
      </c>
      <c r="BZ281" s="5">
        <f t="shared" ref="BZ281:BZ316" si="853">MIN(H281,O281)</f>
        <v>78</v>
      </c>
      <c r="CA281" s="150">
        <f t="shared" ref="CA281:CA316" si="854">BZ281/(BZ281+BY281)</f>
        <v>0.62686697100173283</v>
      </c>
      <c r="CB281" s="5">
        <f t="shared" ref="CB281:CB316" si="855">CA281*100</f>
        <v>62.686697100173284</v>
      </c>
      <c r="CE281" s="59">
        <f t="shared" si="796"/>
        <v>-50</v>
      </c>
      <c r="CF281">
        <f t="shared" si="797"/>
        <v>-50</v>
      </c>
      <c r="CG281" s="150">
        <f t="shared" si="798"/>
        <v>0.53397877610756528</v>
      </c>
      <c r="CI281" s="147">
        <v>65</v>
      </c>
      <c r="CJ281" s="188">
        <f t="shared" ref="CJ281:CJ316" si="856">IF(PLOT_TYPE=1, CI281/100*Iout_max, min_I*EXP(CR281*rr/100))</f>
        <v>2.6</v>
      </c>
      <c r="CK281" s="188"/>
      <c r="CL281" s="188">
        <f t="shared" si="799"/>
        <v>78</v>
      </c>
      <c r="CM281" s="465">
        <f t="shared" si="800"/>
        <v>48</v>
      </c>
      <c r="CN281" s="379">
        <f t="shared" si="801"/>
        <v>30.4</v>
      </c>
      <c r="CO281" s="379">
        <f t="shared" si="802"/>
        <v>78.400000000000006</v>
      </c>
      <c r="CP281" s="379"/>
      <c r="CQ281" s="188">
        <f t="shared" si="803"/>
        <v>0.38775510204081626</v>
      </c>
      <c r="CR281" s="149">
        <f t="shared" si="804"/>
        <v>284.85494809142222</v>
      </c>
      <c r="CS281" s="149">
        <f t="shared" si="805"/>
        <v>78</v>
      </c>
      <c r="CT281" s="188">
        <f t="shared" si="806"/>
        <v>9.4951649363807409</v>
      </c>
      <c r="CU281" s="188">
        <f t="shared" si="807"/>
        <v>30</v>
      </c>
      <c r="CV281" s="188"/>
      <c r="CW281" s="149">
        <f t="shared" si="808"/>
        <v>231.80296600258924</v>
      </c>
      <c r="CX281" s="149">
        <f t="shared" si="809"/>
        <v>30</v>
      </c>
      <c r="CY281" s="188">
        <f t="shared" si="810"/>
        <v>8.381578947368423</v>
      </c>
      <c r="CZ281" s="188">
        <f t="shared" si="811"/>
        <v>0.82069627192982475</v>
      </c>
      <c r="DA281" s="188">
        <f t="shared" si="812"/>
        <v>1.2958362188365655</v>
      </c>
      <c r="DB281" s="172">
        <f t="shared" si="813"/>
        <v>350</v>
      </c>
      <c r="DC281" s="379">
        <f t="shared" si="814"/>
        <v>350</v>
      </c>
      <c r="DE281" s="188">
        <f t="shared" si="815"/>
        <v>11.314434588425037</v>
      </c>
      <c r="DF281" s="150">
        <f t="shared" si="816"/>
        <v>1.7492711370262393</v>
      </c>
      <c r="DG281" s="150">
        <f t="shared" si="817"/>
        <v>3.463602425028073</v>
      </c>
      <c r="DH281" s="150"/>
      <c r="DI281" s="150">
        <f t="shared" si="818"/>
        <v>0.93700159489633172</v>
      </c>
      <c r="DJ281" s="314">
        <f t="shared" si="819"/>
        <v>915.68680851063834</v>
      </c>
      <c r="DK281" s="456">
        <f t="shared" si="820"/>
        <v>0.99378957034459414</v>
      </c>
      <c r="DM281" s="150">
        <f t="shared" si="821"/>
        <v>9.8029212196003073</v>
      </c>
      <c r="DN281" s="150">
        <f t="shared" si="822"/>
        <v>9.8029212196003073</v>
      </c>
      <c r="DO281" s="150">
        <f t="shared" si="823"/>
        <v>3.9720853029587015</v>
      </c>
      <c r="DQ281" s="314">
        <f t="shared" si="824"/>
        <v>2600</v>
      </c>
      <c r="DR281" s="144">
        <f t="shared" si="825"/>
        <v>350</v>
      </c>
      <c r="DT281">
        <f t="shared" si="826"/>
        <v>2600</v>
      </c>
      <c r="DU281">
        <f t="shared" si="827"/>
        <v>350</v>
      </c>
      <c r="DW281" s="5">
        <f t="shared" ref="DW281:DW316" si="857">1/DR281*1000</f>
        <v>2.8571428571428572</v>
      </c>
      <c r="DX281" s="5">
        <f t="shared" si="828"/>
        <v>0.95986936941919665</v>
      </c>
      <c r="DY281" s="5">
        <f t="shared" si="829"/>
        <v>1.8972734877236606</v>
      </c>
      <c r="DZ281" s="5"/>
      <c r="EA281" s="150">
        <f t="shared" si="830"/>
        <v>0.33595427929671884</v>
      </c>
      <c r="EB281" s="150">
        <f t="shared" ref="EB281:EB316" si="858">0.5*L*DN281^2*DR281*1000</f>
        <v>79.039999999999992</v>
      </c>
      <c r="EC281" s="150">
        <f t="shared" ref="EC281:EC316" si="859">DN281*Nps/2*(1-EA281)</f>
        <v>3.2547939431334871</v>
      </c>
      <c r="ED281" s="150">
        <f t="shared" ref="ED281:ED316" si="860">EB281/EC281</f>
        <v>24.284179392292291</v>
      </c>
      <c r="EE281" s="144">
        <f t="shared" si="831"/>
        <v>8.3188678682997033</v>
      </c>
      <c r="EF281" s="5">
        <f t="shared" si="832"/>
        <v>1.8135702456182048</v>
      </c>
      <c r="EH281" s="150">
        <f t="shared" ref="EH281:EH316" si="861">DN281*SQRT(EA281/3)</f>
        <v>3.280461716311204</v>
      </c>
      <c r="EI281" s="150">
        <f t="shared" ref="EI281:EI316" si="862">DN281*Nps*SQRT((1-EA281)/3)</f>
        <v>4.6120486128234317</v>
      </c>
      <c r="EK281" s="456">
        <f t="shared" ref="EK281:EK316" si="863">Rdson*EH281^2</f>
        <v>0.1291371488662014</v>
      </c>
      <c r="EL281" s="456">
        <f t="shared" ref="EL281:EL316" si="864">0.5*CO281*DN281*DR281*1000*Trise</f>
        <v>5.110851007050818</v>
      </c>
      <c r="EM281" s="456">
        <f t="shared" ref="EM281:EM316" si="865">Qg*Vdd*DR281*1000</f>
        <v>4.0250000000000001E-2</v>
      </c>
      <c r="EN281" s="456">
        <f t="shared" ref="EN281:EN316" si="866">0.5*(Coss+Csw)*CO281^2*DR281*1000</f>
        <v>1.1132956800000005</v>
      </c>
      <c r="EO281">
        <f t="shared" ref="EO281:EO316" si="867">CM281*IQ</f>
        <v>2.1600000000000001E-2</v>
      </c>
      <c r="EP281" s="144">
        <f t="shared" ref="EP281:EP316" si="868">(EO281+EM281)*1000</f>
        <v>61.85</v>
      </c>
      <c r="EQ281" s="144"/>
      <c r="ER281" s="144">
        <f t="shared" ref="ER281:ER316" si="869">SUM(EK281:EO281)*1000</f>
        <v>6415.1338359170204</v>
      </c>
      <c r="ES281" s="456">
        <f t="shared" ref="ES281:ES316" si="870">Vfwd2*CJ281</f>
        <v>1.8199999999999998</v>
      </c>
      <c r="EV281" s="144">
        <f t="shared" ref="EV281:EV316" si="871">SUM(ES281:EU281)*1000</f>
        <v>1819.9999999999998</v>
      </c>
      <c r="EW281" s="456">
        <f t="shared" ref="EW281:EW316" si="872">Rdcr_pri*EH281^2</f>
        <v>0.15066000701056831</v>
      </c>
      <c r="EX281" s="456">
        <f t="shared" ref="EX281:EX316" si="873">Rdcr_sec*EI281^2</f>
        <v>0.29779389369865161</v>
      </c>
      <c r="EY281" s="456">
        <f t="shared" ref="EY281:EY316" si="874">DN281^2.5*DR281^2.5*k_core</f>
        <v>34.47695455481194</v>
      </c>
      <c r="EZ281" s="456"/>
      <c r="FA281" s="456">
        <f t="shared" ref="FA281:FA316" si="875">0.5*Lleak*0.000000001*DN281^2*DR281*1000</f>
        <v>3.363404255319149</v>
      </c>
      <c r="FB281" s="144">
        <f t="shared" ref="FB281:FB316" si="876">SUM(EW281:FA281)*1000</f>
        <v>38288.812710840306</v>
      </c>
      <c r="FC281" s="150">
        <f t="shared" ref="FC281:FC316" si="877">SUM(EK281:EO281,ES281:EU281,EW281:FA281)</f>
        <v>46.523946546757323</v>
      </c>
      <c r="FD281" s="5">
        <f t="shared" ref="FD281:FD316" si="878">MIN(CL281,CS281)</f>
        <v>78</v>
      </c>
      <c r="FE281" s="150">
        <f t="shared" ref="FE281:FE316" si="879">FD281/(FD281+FC281)</f>
        <v>0.62638554401029922</v>
      </c>
      <c r="FF281" s="5">
        <f t="shared" ref="FF281:FF316" si="880">FE281*100</f>
        <v>62.638554401029921</v>
      </c>
      <c r="FI281" s="59">
        <f t="shared" si="833"/>
        <v>-50</v>
      </c>
      <c r="FJ281">
        <f t="shared" si="834"/>
        <v>-50</v>
      </c>
      <c r="FL281">
        <f t="shared" si="835"/>
        <v>0.53045412520534563</v>
      </c>
    </row>
    <row r="282" spans="5:168">
      <c r="E282" s="147">
        <v>66</v>
      </c>
      <c r="F282" s="188">
        <f t="shared" si="836"/>
        <v>2.64</v>
      </c>
      <c r="G282" s="188"/>
      <c r="H282" s="188">
        <f t="shared" si="762"/>
        <v>79.2</v>
      </c>
      <c r="I282" s="465">
        <f t="shared" si="763"/>
        <v>47.872433103549909</v>
      </c>
      <c r="J282" s="149">
        <f t="shared" si="764"/>
        <v>30.468689867319281</v>
      </c>
      <c r="K282" s="149">
        <f t="shared" si="765"/>
        <v>78.341122970869193</v>
      </c>
      <c r="L282" s="379"/>
      <c r="M282" s="188">
        <f t="shared" si="766"/>
        <v>0.38892688304018341</v>
      </c>
      <c r="N282" s="149">
        <f t="shared" si="767"/>
        <v>284.95643807861381</v>
      </c>
      <c r="O282" s="149">
        <f t="shared" si="760"/>
        <v>79.2</v>
      </c>
      <c r="P282" s="188">
        <f t="shared" si="768"/>
        <v>9.498547935953793</v>
      </c>
      <c r="Q282" s="188">
        <f t="shared" si="769"/>
        <v>30</v>
      </c>
      <c r="R282" s="188"/>
      <c r="S282" s="149">
        <f t="shared" si="770"/>
        <v>226.96174980865572</v>
      </c>
      <c r="T282" s="149">
        <f t="shared" si="771"/>
        <v>30</v>
      </c>
      <c r="U282" s="188">
        <f t="shared" si="772"/>
        <v>8.5074952096575807</v>
      </c>
      <c r="V282" s="188">
        <f t="shared" si="773"/>
        <v>0.83524535715368897</v>
      </c>
      <c r="W282" s="188">
        <f t="shared" si="774"/>
        <v>1.3123382613270413</v>
      </c>
      <c r="X282" s="172">
        <f t="shared" si="775"/>
        <v>350</v>
      </c>
      <c r="Y282" s="379">
        <f t="shared" si="837"/>
        <v>350</v>
      </c>
      <c r="AA282" s="188">
        <f t="shared" si="776"/>
        <v>11.318362163539817</v>
      </c>
      <c r="AB282" s="150">
        <f t="shared" si="777"/>
        <v>1.7459333630782563</v>
      </c>
      <c r="AC282" s="150">
        <f t="shared" si="778"/>
        <v>3.4581935704271833</v>
      </c>
      <c r="AD282" s="150"/>
      <c r="AE282" s="150">
        <f t="shared" si="779"/>
        <v>0.9348891799709883</v>
      </c>
      <c r="AF282" s="314">
        <f t="shared" si="780"/>
        <v>931.87515554200263</v>
      </c>
      <c r="AG282" s="456">
        <f t="shared" si="781"/>
        <v>0.99154913027226044</v>
      </c>
      <c r="AI282" s="150">
        <f t="shared" si="782"/>
        <v>9.8891940811236569</v>
      </c>
      <c r="AJ282" s="150">
        <f t="shared" si="783"/>
        <v>9.8891940811236569</v>
      </c>
      <c r="AK282" s="150">
        <f t="shared" si="784"/>
        <v>4.0359911263093311</v>
      </c>
      <c r="AM282" s="314">
        <f t="shared" si="785"/>
        <v>2640</v>
      </c>
      <c r="AN282" s="144">
        <f t="shared" si="786"/>
        <v>350</v>
      </c>
      <c r="AP282">
        <f t="shared" si="787"/>
        <v>2640</v>
      </c>
      <c r="AQ282">
        <f t="shared" si="788"/>
        <v>350</v>
      </c>
      <c r="AS282" s="5">
        <f t="shared" si="761"/>
        <v>2.8571428571428572</v>
      </c>
      <c r="AT282" s="5">
        <f t="shared" si="789"/>
        <v>0.97089721929831452</v>
      </c>
      <c r="AU282" s="5">
        <f t="shared" si="721"/>
        <v>1.8862456378445427</v>
      </c>
      <c r="AV282" s="5"/>
      <c r="AW282" s="150">
        <f t="shared" si="722"/>
        <v>0.33981402675441008</v>
      </c>
      <c r="AX282" s="150">
        <f t="shared" si="790"/>
        <v>80.437341249722877</v>
      </c>
      <c r="AY282" s="150">
        <f t="shared" si="791"/>
        <v>3.2643536095305743</v>
      </c>
      <c r="AZ282" s="150">
        <f t="shared" si="792"/>
        <v>24.641123748015172</v>
      </c>
      <c r="BA282" s="144">
        <f t="shared" si="723"/>
        <v>8.5438955298251678</v>
      </c>
      <c r="BB282" s="5">
        <f t="shared" si="724"/>
        <v>1.8356463187973666</v>
      </c>
      <c r="BD282" s="150">
        <f t="shared" si="838"/>
        <v>3.3282881879429835</v>
      </c>
      <c r="BE282" s="150">
        <f t="shared" si="839"/>
        <v>4.639096635773277</v>
      </c>
      <c r="BG282" s="456">
        <f t="shared" si="840"/>
        <v>0.13293002714400945</v>
      </c>
      <c r="BH282" s="456">
        <f t="shared" si="793"/>
        <v>4.9485915132695402</v>
      </c>
      <c r="BI282" s="456">
        <f t="shared" si="841"/>
        <v>4.0250000000000001E-2</v>
      </c>
      <c r="BJ282" s="456">
        <f t="shared" si="842"/>
        <v>1.1116241766925117</v>
      </c>
      <c r="BK282">
        <f t="shared" si="843"/>
        <v>2.1542594896597458E-2</v>
      </c>
      <c r="BL282" s="144">
        <f t="shared" si="844"/>
        <v>61.792594896597457</v>
      </c>
      <c r="BM282" s="456">
        <f t="shared" si="794"/>
        <v>6.4321923083955026</v>
      </c>
      <c r="BN282" s="144">
        <f t="shared" si="845"/>
        <v>6432.1923083955026</v>
      </c>
      <c r="BO282" s="456">
        <f t="shared" si="795"/>
        <v>1.8479999999999999</v>
      </c>
      <c r="BR282" s="144">
        <f t="shared" si="846"/>
        <v>1847.9999999999998</v>
      </c>
      <c r="BS282" s="456">
        <f t="shared" si="847"/>
        <v>0.15508503166801105</v>
      </c>
      <c r="BT282" s="456">
        <f t="shared" si="848"/>
        <v>0.30129704634460114</v>
      </c>
      <c r="BU282" s="456">
        <f t="shared" si="849"/>
        <v>35.240524683874938</v>
      </c>
      <c r="BV282" s="456"/>
      <c r="BW282" s="456">
        <f t="shared" si="850"/>
        <v>3.4228655850945908</v>
      </c>
      <c r="BX282" s="144">
        <f t="shared" si="851"/>
        <v>39119.772346982136</v>
      </c>
      <c r="BY282" s="150">
        <f t="shared" si="852"/>
        <v>47.222710658984802</v>
      </c>
      <c r="BZ282" s="5">
        <f t="shared" si="853"/>
        <v>79.2</v>
      </c>
      <c r="CA282" s="150">
        <f t="shared" si="854"/>
        <v>0.62646971882793823</v>
      </c>
      <c r="CB282" s="5">
        <f t="shared" si="855"/>
        <v>62.646971882793821</v>
      </c>
      <c r="CE282" s="59">
        <f t="shared" si="796"/>
        <v>-50</v>
      </c>
      <c r="CF282">
        <f t="shared" si="797"/>
        <v>-50</v>
      </c>
      <c r="CG282" s="150">
        <f t="shared" si="798"/>
        <v>0.53807062733436772</v>
      </c>
      <c r="CI282" s="147">
        <v>66</v>
      </c>
      <c r="CJ282" s="188">
        <f t="shared" si="856"/>
        <v>2.64</v>
      </c>
      <c r="CK282" s="188"/>
      <c r="CL282" s="188">
        <f t="shared" si="799"/>
        <v>79.2</v>
      </c>
      <c r="CM282" s="465">
        <f t="shared" si="800"/>
        <v>48</v>
      </c>
      <c r="CN282" s="379">
        <f t="shared" si="801"/>
        <v>30.4</v>
      </c>
      <c r="CO282" s="379">
        <f t="shared" si="802"/>
        <v>78.400000000000006</v>
      </c>
      <c r="CP282" s="379"/>
      <c r="CQ282" s="188">
        <f t="shared" si="803"/>
        <v>0.38775510204081626</v>
      </c>
      <c r="CR282" s="149">
        <f t="shared" si="804"/>
        <v>284.85494809142222</v>
      </c>
      <c r="CS282" s="149">
        <f t="shared" si="805"/>
        <v>79.2</v>
      </c>
      <c r="CT282" s="188">
        <f t="shared" si="806"/>
        <v>9.4951649363807409</v>
      </c>
      <c r="CU282" s="188">
        <f t="shared" si="807"/>
        <v>30</v>
      </c>
      <c r="CV282" s="188"/>
      <c r="CW282" s="149">
        <f t="shared" si="808"/>
        <v>227.56631663282931</v>
      </c>
      <c r="CX282" s="149">
        <f t="shared" si="809"/>
        <v>30</v>
      </c>
      <c r="CY282" s="188">
        <f t="shared" si="810"/>
        <v>8.510526315789475</v>
      </c>
      <c r="CZ282" s="188">
        <f t="shared" si="811"/>
        <v>0.83332236842105278</v>
      </c>
      <c r="DA282" s="188">
        <f t="shared" si="812"/>
        <v>1.3157721606648201</v>
      </c>
      <c r="DB282" s="172">
        <f t="shared" si="813"/>
        <v>350</v>
      </c>
      <c r="DC282" s="379">
        <f t="shared" si="814"/>
        <v>350</v>
      </c>
      <c r="DE282" s="188">
        <f t="shared" si="815"/>
        <v>11.314434588425037</v>
      </c>
      <c r="DF282" s="150">
        <f t="shared" si="816"/>
        <v>1.7492711370262393</v>
      </c>
      <c r="DG282" s="150">
        <f t="shared" si="817"/>
        <v>3.463602425028073</v>
      </c>
      <c r="DH282" s="150"/>
      <c r="DI282" s="150">
        <f t="shared" si="818"/>
        <v>0.93700159489633172</v>
      </c>
      <c r="DJ282" s="314">
        <f t="shared" si="819"/>
        <v>929.77429787234053</v>
      </c>
      <c r="DK282" s="456">
        <f t="shared" si="820"/>
        <v>0.99378957034459414</v>
      </c>
      <c r="DM282" s="150">
        <f t="shared" si="821"/>
        <v>9.8780404884054569</v>
      </c>
      <c r="DN282" s="150">
        <f t="shared" si="822"/>
        <v>9.8780404884054569</v>
      </c>
      <c r="DO282" s="150">
        <f t="shared" si="823"/>
        <v>4.0277292057773311</v>
      </c>
      <c r="DQ282" s="314">
        <f t="shared" si="824"/>
        <v>2640</v>
      </c>
      <c r="DR282" s="144">
        <f t="shared" si="825"/>
        <v>350</v>
      </c>
      <c r="DT282">
        <f t="shared" si="826"/>
        <v>2640</v>
      </c>
      <c r="DU282">
        <f t="shared" si="827"/>
        <v>350</v>
      </c>
      <c r="DW282" s="5">
        <f t="shared" si="857"/>
        <v>2.8571428571428572</v>
      </c>
      <c r="DX282" s="5">
        <f t="shared" si="828"/>
        <v>0.96722479782303428</v>
      </c>
      <c r="DY282" s="5">
        <f t="shared" si="829"/>
        <v>1.889918059319823</v>
      </c>
      <c r="DZ282" s="5"/>
      <c r="EA282" s="150">
        <f t="shared" si="830"/>
        <v>0.33852867923806201</v>
      </c>
      <c r="EB282" s="150">
        <f t="shared" si="858"/>
        <v>80.256000000000014</v>
      </c>
      <c r="EC282" s="150">
        <f t="shared" si="859"/>
        <v>3.2670202442027287</v>
      </c>
      <c r="ED282" s="150">
        <f t="shared" si="860"/>
        <v>24.565504343725113</v>
      </c>
      <c r="EE282" s="144">
        <f t="shared" si="831"/>
        <v>8.5115782208427024</v>
      </c>
      <c r="EF282" s="5">
        <f t="shared" si="832"/>
        <v>1.8343322340457107</v>
      </c>
      <c r="EH282" s="150">
        <f t="shared" si="861"/>
        <v>3.3182408689559115</v>
      </c>
      <c r="EI282" s="150">
        <f t="shared" si="862"/>
        <v>4.6383731522072003</v>
      </c>
      <c r="EK282" s="456">
        <f t="shared" si="863"/>
        <v>0.13212866957291139</v>
      </c>
      <c r="EL282" s="456">
        <f t="shared" si="864"/>
        <v>5.1500151890350692</v>
      </c>
      <c r="EM282" s="456">
        <f t="shared" si="865"/>
        <v>4.0250000000000001E-2</v>
      </c>
      <c r="EN282" s="456">
        <f t="shared" si="866"/>
        <v>1.1132956800000005</v>
      </c>
      <c r="EO282">
        <f t="shared" si="867"/>
        <v>2.1600000000000001E-2</v>
      </c>
      <c r="EP282" s="144">
        <f t="shared" si="868"/>
        <v>61.85</v>
      </c>
      <c r="EQ282" s="144"/>
      <c r="ER282" s="144">
        <f t="shared" si="869"/>
        <v>6457.2895386079817</v>
      </c>
      <c r="ES282" s="456">
        <f t="shared" si="870"/>
        <v>1.8479999999999999</v>
      </c>
      <c r="EV282" s="144">
        <f t="shared" si="871"/>
        <v>1847.9999999999998</v>
      </c>
      <c r="EW282" s="456">
        <f t="shared" si="872"/>
        <v>0.15415011450172994</v>
      </c>
      <c r="EX282" s="456">
        <f t="shared" si="873"/>
        <v>0.30120307698763182</v>
      </c>
      <c r="EY282" s="456">
        <f t="shared" si="874"/>
        <v>35.141243075685821</v>
      </c>
      <c r="EZ282" s="456"/>
      <c r="FA282" s="456">
        <f t="shared" si="875"/>
        <v>3.4151489361702132</v>
      </c>
      <c r="FB282" s="144">
        <f t="shared" si="876"/>
        <v>39011.745203345388</v>
      </c>
      <c r="FC282" s="150">
        <f t="shared" si="877"/>
        <v>47.317034741953378</v>
      </c>
      <c r="FD282" s="5">
        <f t="shared" si="878"/>
        <v>79.2</v>
      </c>
      <c r="FE282" s="150">
        <f t="shared" si="879"/>
        <v>0.62600265775701958</v>
      </c>
      <c r="FF282" s="5">
        <f t="shared" si="880"/>
        <v>62.600265775701956</v>
      </c>
      <c r="FI282" s="59">
        <f t="shared" si="833"/>
        <v>-50</v>
      </c>
      <c r="FJ282">
        <f t="shared" si="834"/>
        <v>-50</v>
      </c>
      <c r="FL282">
        <f t="shared" si="835"/>
        <v>0.53451896721799264</v>
      </c>
    </row>
    <row r="283" spans="5:168">
      <c r="E283" s="147">
        <v>67</v>
      </c>
      <c r="F283" s="188">
        <f t="shared" si="836"/>
        <v>2.68</v>
      </c>
      <c r="G283" s="188"/>
      <c r="H283" s="188">
        <f t="shared" si="762"/>
        <v>80.400000000000006</v>
      </c>
      <c r="I283" s="465">
        <f t="shared" si="763"/>
        <v>47.871470320861469</v>
      </c>
      <c r="J283" s="149">
        <f t="shared" si="764"/>
        <v>30.469208288766897</v>
      </c>
      <c r="K283" s="149">
        <f t="shared" si="765"/>
        <v>78.34067860962837</v>
      </c>
      <c r="L283" s="379"/>
      <c r="M283" s="188">
        <f t="shared" si="766"/>
        <v>0.38893573344057647</v>
      </c>
      <c r="N283" s="149">
        <f t="shared" si="767"/>
        <v>284.95719152334806</v>
      </c>
      <c r="O283" s="149">
        <f t="shared" si="760"/>
        <v>80.400000000000006</v>
      </c>
      <c r="P283" s="188">
        <f t="shared" si="768"/>
        <v>9.4985730507782691</v>
      </c>
      <c r="Q283" s="188">
        <f t="shared" si="769"/>
        <v>30</v>
      </c>
      <c r="R283" s="188"/>
      <c r="S283" s="149">
        <f t="shared" si="770"/>
        <v>222.85807013146712</v>
      </c>
      <c r="T283" s="149">
        <f t="shared" si="771"/>
        <v>30</v>
      </c>
      <c r="U283" s="188">
        <f t="shared" si="772"/>
        <v>8.6363738170522915</v>
      </c>
      <c r="V283" s="188">
        <f t="shared" si="773"/>
        <v>0.84791540071951799</v>
      </c>
      <c r="W283" s="188">
        <f t="shared" si="774"/>
        <v>1.3321959847283087</v>
      </c>
      <c r="X283" s="172">
        <f t="shared" si="775"/>
        <v>350</v>
      </c>
      <c r="Y283" s="379">
        <f t="shared" si="837"/>
        <v>350</v>
      </c>
      <c r="AA283" s="188">
        <f t="shared" si="776"/>
        <v>11.318391311431945</v>
      </c>
      <c r="AB283" s="150">
        <f t="shared" si="777"/>
        <v>1.7459081528988103</v>
      </c>
      <c r="AC283" s="150">
        <f t="shared" si="778"/>
        <v>3.4581525419574159</v>
      </c>
      <c r="AD283" s="150"/>
      <c r="AE283" s="150">
        <f t="shared" si="779"/>
        <v>0.9348732732038203</v>
      </c>
      <c r="AF283" s="314">
        <f t="shared" si="780"/>
        <v>946.01057207374436</v>
      </c>
      <c r="AG283" s="456">
        <f t="shared" si="781"/>
        <v>0.99153225945859746</v>
      </c>
      <c r="AI283" s="150">
        <f t="shared" si="782"/>
        <v>9.9639153333764003</v>
      </c>
      <c r="AJ283" s="150">
        <f t="shared" si="783"/>
        <v>9.9639153333764003</v>
      </c>
      <c r="AK283" s="150">
        <f t="shared" si="784"/>
        <v>4.0913402020521037</v>
      </c>
      <c r="AM283" s="314">
        <f t="shared" si="785"/>
        <v>2680</v>
      </c>
      <c r="AN283" s="144">
        <f t="shared" si="786"/>
        <v>350</v>
      </c>
      <c r="AP283">
        <f t="shared" si="787"/>
        <v>2680</v>
      </c>
      <c r="AQ283">
        <f t="shared" si="788"/>
        <v>350</v>
      </c>
      <c r="AS283" s="5">
        <f t="shared" si="761"/>
        <v>2.8571428571428572</v>
      </c>
      <c r="AT283" s="5">
        <f t="shared" si="789"/>
        <v>0.97825284565076942</v>
      </c>
      <c r="AU283" s="5">
        <f t="shared" si="721"/>
        <v>1.8788900114920879</v>
      </c>
      <c r="AV283" s="5"/>
      <c r="AW283" s="150">
        <f t="shared" si="722"/>
        <v>0.34238849597776927</v>
      </c>
      <c r="AX283" s="150">
        <f t="shared" si="790"/>
        <v>81.657478213895274</v>
      </c>
      <c r="AY283" s="150">
        <f t="shared" si="791"/>
        <v>3.2761926741659106</v>
      </c>
      <c r="AZ283" s="150">
        <f t="shared" si="792"/>
        <v>24.924504244758602</v>
      </c>
      <c r="BA283" s="144">
        <f t="shared" si="723"/>
        <v>8.7390587544802063</v>
      </c>
      <c r="BB283" s="5">
        <f t="shared" si="724"/>
        <v>1.8562297053714438</v>
      </c>
      <c r="BD283" s="150">
        <f t="shared" si="838"/>
        <v>3.3661152648247721</v>
      </c>
      <c r="BE283" s="150">
        <f t="shared" si="839"/>
        <v>4.6650263608556495</v>
      </c>
      <c r="BG283" s="456">
        <f t="shared" si="840"/>
        <v>0.13596878371303617</v>
      </c>
      <c r="BH283" s="456">
        <f t="shared" si="793"/>
        <v>4.9859540398734481</v>
      </c>
      <c r="BI283" s="456">
        <f t="shared" si="841"/>
        <v>4.0250000000000001E-2</v>
      </c>
      <c r="BJ283" s="456">
        <f t="shared" si="842"/>
        <v>1.1116115661687194</v>
      </c>
      <c r="BK283">
        <f t="shared" si="843"/>
        <v>2.1542161644387662E-2</v>
      </c>
      <c r="BL283" s="144">
        <f t="shared" si="844"/>
        <v>61.792161644387669</v>
      </c>
      <c r="BM283" s="456">
        <f t="shared" si="794"/>
        <v>6.4795763404406745</v>
      </c>
      <c r="BN283" s="144">
        <f t="shared" si="845"/>
        <v>6479.5763404406744</v>
      </c>
      <c r="BO283" s="456">
        <f t="shared" si="795"/>
        <v>1.8759999999999999</v>
      </c>
      <c r="BR283" s="144">
        <f t="shared" si="846"/>
        <v>1876</v>
      </c>
      <c r="BS283" s="456">
        <f t="shared" si="847"/>
        <v>0.15863024766520886</v>
      </c>
      <c r="BT283" s="456">
        <f t="shared" si="848"/>
        <v>0.30467459326469348</v>
      </c>
      <c r="BU283" s="456">
        <f t="shared" si="849"/>
        <v>35.909981927607532</v>
      </c>
      <c r="BV283" s="456"/>
      <c r="BW283" s="456">
        <f t="shared" si="850"/>
        <v>3.4747863069742673</v>
      </c>
      <c r="BX283" s="144">
        <f t="shared" si="851"/>
        <v>39848.073075511697</v>
      </c>
      <c r="BY283" s="150">
        <f t="shared" si="852"/>
        <v>48.019399626911294</v>
      </c>
      <c r="BZ283" s="5">
        <f t="shared" si="853"/>
        <v>80.400000000000006</v>
      </c>
      <c r="CA283" s="150">
        <f t="shared" si="854"/>
        <v>0.62607363243856462</v>
      </c>
      <c r="CB283" s="5">
        <f t="shared" si="855"/>
        <v>62.607363243856462</v>
      </c>
      <c r="CE283" s="59">
        <f t="shared" si="796"/>
        <v>-50</v>
      </c>
      <c r="CF283">
        <f t="shared" si="797"/>
        <v>-50</v>
      </c>
      <c r="CG283" s="150">
        <f t="shared" si="798"/>
        <v>0.54213159534071309</v>
      </c>
      <c r="CI283" s="147">
        <v>67</v>
      </c>
      <c r="CJ283" s="188">
        <f t="shared" si="856"/>
        <v>2.68</v>
      </c>
      <c r="CK283" s="188"/>
      <c r="CL283" s="188">
        <f t="shared" si="799"/>
        <v>80.400000000000006</v>
      </c>
      <c r="CM283" s="465">
        <f t="shared" si="800"/>
        <v>48</v>
      </c>
      <c r="CN283" s="379">
        <f t="shared" si="801"/>
        <v>30.4</v>
      </c>
      <c r="CO283" s="379">
        <f t="shared" si="802"/>
        <v>78.400000000000006</v>
      </c>
      <c r="CP283" s="379"/>
      <c r="CQ283" s="188">
        <f t="shared" si="803"/>
        <v>0.38775510204081626</v>
      </c>
      <c r="CR283" s="149">
        <f t="shared" si="804"/>
        <v>284.85494809142222</v>
      </c>
      <c r="CS283" s="149">
        <f t="shared" si="805"/>
        <v>80.400000000000006</v>
      </c>
      <c r="CT283" s="188">
        <f t="shared" si="806"/>
        <v>9.4951649363807409</v>
      </c>
      <c r="CU283" s="188">
        <f t="shared" si="807"/>
        <v>30</v>
      </c>
      <c r="CV283" s="188"/>
      <c r="CW283" s="149">
        <f t="shared" si="808"/>
        <v>223.45618997456475</v>
      </c>
      <c r="CX283" s="149">
        <f t="shared" si="809"/>
        <v>30</v>
      </c>
      <c r="CY283" s="188">
        <f t="shared" si="810"/>
        <v>8.6394736842105289</v>
      </c>
      <c r="CZ283" s="188">
        <f t="shared" si="811"/>
        <v>0.84594846491228093</v>
      </c>
      <c r="DA283" s="188">
        <f t="shared" si="812"/>
        <v>1.3357081024930753</v>
      </c>
      <c r="DB283" s="172">
        <f t="shared" si="813"/>
        <v>350</v>
      </c>
      <c r="DC283" s="379">
        <f t="shared" si="814"/>
        <v>350</v>
      </c>
      <c r="DE283" s="188">
        <f t="shared" si="815"/>
        <v>11.314434588425037</v>
      </c>
      <c r="DF283" s="150">
        <f t="shared" si="816"/>
        <v>1.7492711370262393</v>
      </c>
      <c r="DG283" s="150">
        <f t="shared" si="817"/>
        <v>3.463602425028073</v>
      </c>
      <c r="DH283" s="150"/>
      <c r="DI283" s="150">
        <f t="shared" si="818"/>
        <v>0.93700159489633172</v>
      </c>
      <c r="DJ283" s="314">
        <f t="shared" si="819"/>
        <v>943.86178723404271</v>
      </c>
      <c r="DK283" s="456">
        <f t="shared" si="820"/>
        <v>0.99378957034459414</v>
      </c>
      <c r="DM283" s="150">
        <f t="shared" si="821"/>
        <v>9.9525927950190471</v>
      </c>
      <c r="DN283" s="150">
        <f t="shared" si="822"/>
        <v>9.9525927950190471</v>
      </c>
      <c r="DO283" s="150">
        <f t="shared" si="823"/>
        <v>4.082953136602212</v>
      </c>
      <c r="DQ283" s="314">
        <f t="shared" si="824"/>
        <v>2680</v>
      </c>
      <c r="DR283" s="144">
        <f t="shared" si="825"/>
        <v>350</v>
      </c>
      <c r="DT283">
        <f t="shared" si="826"/>
        <v>2680</v>
      </c>
      <c r="DU283">
        <f t="shared" si="827"/>
        <v>350</v>
      </c>
      <c r="DW283" s="5">
        <f t="shared" si="857"/>
        <v>2.8571428571428572</v>
      </c>
      <c r="DX283" s="5">
        <f t="shared" si="828"/>
        <v>0.97452471117894834</v>
      </c>
      <c r="DY283" s="5">
        <f t="shared" si="829"/>
        <v>1.8826181459639089</v>
      </c>
      <c r="DZ283" s="5"/>
      <c r="EA283" s="150">
        <f t="shared" si="830"/>
        <v>0.34108364891263193</v>
      </c>
      <c r="EB283" s="150">
        <f t="shared" si="858"/>
        <v>81.472000000000008</v>
      </c>
      <c r="EC283" s="150">
        <f t="shared" si="859"/>
        <v>3.2789630641761907</v>
      </c>
      <c r="ED283" s="150">
        <f t="shared" si="860"/>
        <v>24.846879457139934</v>
      </c>
      <c r="EE283" s="144">
        <f t="shared" si="831"/>
        <v>8.7057540865319396</v>
      </c>
      <c r="EF283" s="5">
        <f t="shared" si="832"/>
        <v>1.8549325849938512</v>
      </c>
      <c r="EH283" s="150">
        <f t="shared" si="861"/>
        <v>3.3558771832988765</v>
      </c>
      <c r="EI283" s="150">
        <f t="shared" si="862"/>
        <v>4.6643459111043306</v>
      </c>
      <c r="EK283" s="456">
        <f t="shared" si="863"/>
        <v>0.135142940032632</v>
      </c>
      <c r="EL283" s="456">
        <f t="shared" si="864"/>
        <v>5.1888837796111318</v>
      </c>
      <c r="EM283" s="456">
        <f t="shared" si="865"/>
        <v>4.0250000000000001E-2</v>
      </c>
      <c r="EN283" s="456">
        <f t="shared" si="866"/>
        <v>1.1132956800000005</v>
      </c>
      <c r="EO283">
        <f t="shared" si="867"/>
        <v>2.1600000000000001E-2</v>
      </c>
      <c r="EP283" s="144">
        <f t="shared" si="868"/>
        <v>61.85</v>
      </c>
      <c r="EQ283" s="144"/>
      <c r="ER283" s="144">
        <f t="shared" si="869"/>
        <v>6499.1723996437649</v>
      </c>
      <c r="ES283" s="456">
        <f t="shared" si="870"/>
        <v>1.8759999999999999</v>
      </c>
      <c r="EV283" s="144">
        <f t="shared" si="871"/>
        <v>1876</v>
      </c>
      <c r="EW283" s="456">
        <f t="shared" si="872"/>
        <v>0.15766676337140401</v>
      </c>
      <c r="EX283" s="456">
        <f t="shared" si="873"/>
        <v>0.30458571889809966</v>
      </c>
      <c r="EY283" s="456">
        <f t="shared" si="874"/>
        <v>35.808052697161507</v>
      </c>
      <c r="EZ283" s="456"/>
      <c r="FA283" s="456">
        <f t="shared" si="875"/>
        <v>3.466893617021277</v>
      </c>
      <c r="FB283" s="144">
        <f t="shared" si="876"/>
        <v>39737.198796452292</v>
      </c>
      <c r="FC283" s="150">
        <f t="shared" si="877"/>
        <v>48.112371196096056</v>
      </c>
      <c r="FD283" s="5">
        <f t="shared" si="878"/>
        <v>80.400000000000006</v>
      </c>
      <c r="FE283" s="150">
        <f t="shared" si="879"/>
        <v>0.62562070290741301</v>
      </c>
      <c r="FF283" s="5">
        <f t="shared" si="880"/>
        <v>62.562070290741303</v>
      </c>
      <c r="FI283" s="59">
        <f t="shared" si="833"/>
        <v>-50</v>
      </c>
      <c r="FJ283">
        <f t="shared" si="834"/>
        <v>-50</v>
      </c>
      <c r="FL283">
        <f t="shared" si="835"/>
        <v>0.53855312986205051</v>
      </c>
    </row>
    <row r="284" spans="5:168">
      <c r="E284" s="147">
        <v>68</v>
      </c>
      <c r="F284" s="188">
        <f t="shared" si="836"/>
        <v>2.72</v>
      </c>
      <c r="G284" s="188"/>
      <c r="H284" s="188">
        <f t="shared" si="762"/>
        <v>81.600000000000009</v>
      </c>
      <c r="I284" s="465">
        <f t="shared" si="763"/>
        <v>47.87051469670655</v>
      </c>
      <c r="J284" s="149">
        <f t="shared" si="764"/>
        <v>30.469722855619548</v>
      </c>
      <c r="K284" s="149">
        <f t="shared" si="765"/>
        <v>78.340237552326101</v>
      </c>
      <c r="L284" s="379"/>
      <c r="M284" s="188">
        <f t="shared" si="766"/>
        <v>0.38894451813451275</v>
      </c>
      <c r="N284" s="149">
        <f t="shared" si="767"/>
        <v>284.95793918028477</v>
      </c>
      <c r="O284" s="149">
        <f t="shared" si="760"/>
        <v>81.600000000000009</v>
      </c>
      <c r="P284" s="188">
        <f t="shared" si="768"/>
        <v>9.4985979726761585</v>
      </c>
      <c r="Q284" s="188">
        <f t="shared" si="769"/>
        <v>30</v>
      </c>
      <c r="R284" s="188"/>
      <c r="S284" s="149">
        <f t="shared" si="770"/>
        <v>218.87520321600289</v>
      </c>
      <c r="T284" s="149">
        <f t="shared" si="771"/>
        <v>30</v>
      </c>
      <c r="U284" s="188">
        <f t="shared" si="772"/>
        <v>8.765251920954066</v>
      </c>
      <c r="V284" s="188">
        <f t="shared" si="773"/>
        <v>0.86058577580571538</v>
      </c>
      <c r="W284" s="188">
        <f t="shared" si="774"/>
        <v>1.3520531257765012</v>
      </c>
      <c r="X284" s="172">
        <f t="shared" si="775"/>
        <v>350</v>
      </c>
      <c r="Y284" s="379">
        <f t="shared" si="837"/>
        <v>350</v>
      </c>
      <c r="AA284" s="188">
        <f t="shared" si="776"/>
        <v>11.318420235269038</v>
      </c>
      <c r="AB284" s="150">
        <f t="shared" si="777"/>
        <v>1.7458831298806317</v>
      </c>
      <c r="AC284" s="150">
        <f t="shared" si="778"/>
        <v>3.4581118154897617</v>
      </c>
      <c r="AD284" s="150"/>
      <c r="AE284" s="150">
        <f t="shared" si="779"/>
        <v>0.93485748524276469</v>
      </c>
      <c r="AF284" s="314">
        <f t="shared" si="780"/>
        <v>960.14634761886759</v>
      </c>
      <c r="AG284" s="456">
        <f t="shared" si="781"/>
        <v>0.99151551465141707</v>
      </c>
      <c r="AI284" s="150">
        <f t="shared" si="782"/>
        <v>10.038082269244246</v>
      </c>
      <c r="AJ284" s="150">
        <f t="shared" si="783"/>
        <v>10.038082269244246</v>
      </c>
      <c r="AK284" s="150">
        <f t="shared" si="784"/>
        <v>4.1462786730653223</v>
      </c>
      <c r="AM284" s="314">
        <f t="shared" si="785"/>
        <v>2720</v>
      </c>
      <c r="AN284" s="144">
        <f t="shared" si="786"/>
        <v>350</v>
      </c>
      <c r="AP284">
        <f t="shared" si="787"/>
        <v>2720</v>
      </c>
      <c r="AQ284">
        <f t="shared" si="788"/>
        <v>350</v>
      </c>
      <c r="AS284" s="5">
        <f t="shared" si="761"/>
        <v>2.8571428571428572</v>
      </c>
      <c r="AT284" s="5">
        <f t="shared" si="789"/>
        <v>0.98555419686544177</v>
      </c>
      <c r="AU284" s="5">
        <f t="shared" si="721"/>
        <v>1.8715886602774154</v>
      </c>
      <c r="AV284" s="5"/>
      <c r="AW284" s="150">
        <f t="shared" si="722"/>
        <v>0.34494396890290463</v>
      </c>
      <c r="AX284" s="150">
        <f t="shared" si="790"/>
        <v>82.877646167285178</v>
      </c>
      <c r="AY284" s="150">
        <f t="shared" si="791"/>
        <v>3.2877531655586303</v>
      </c>
      <c r="AZ284" s="150">
        <f t="shared" si="792"/>
        <v>25.207989162776226</v>
      </c>
      <c r="BA284" s="144">
        <f t="shared" si="723"/>
        <v>8.9356913849133406</v>
      </c>
      <c r="BB284" s="5">
        <f t="shared" si="724"/>
        <v>1.8766511340538519</v>
      </c>
      <c r="BD284" s="150">
        <f t="shared" si="838"/>
        <v>3.4038028796442887</v>
      </c>
      <c r="BE284" s="150">
        <f t="shared" si="839"/>
        <v>4.6906102486311756</v>
      </c>
      <c r="BG284" s="456">
        <f t="shared" si="840"/>
        <v>0.13903048852169705</v>
      </c>
      <c r="BH284" s="456">
        <f t="shared" si="793"/>
        <v>5.0230389752019962</v>
      </c>
      <c r="BI284" s="456">
        <f t="shared" si="841"/>
        <v>4.0250000000000001E-2</v>
      </c>
      <c r="BJ284" s="456">
        <f t="shared" si="842"/>
        <v>1.1115990494781034</v>
      </c>
      <c r="BK284">
        <f t="shared" si="843"/>
        <v>2.1541731613517946E-2</v>
      </c>
      <c r="BL284" s="144">
        <f t="shared" si="844"/>
        <v>61.791731613517946</v>
      </c>
      <c r="BM284" s="456">
        <f t="shared" si="794"/>
        <v>6.5268110999070936</v>
      </c>
      <c r="BN284" s="144">
        <f t="shared" si="845"/>
        <v>6526.8110999070932</v>
      </c>
      <c r="BO284" s="456">
        <f t="shared" si="795"/>
        <v>1.9039999999999999</v>
      </c>
      <c r="BR284" s="144">
        <f t="shared" si="846"/>
        <v>1904</v>
      </c>
      <c r="BS284" s="456">
        <f t="shared" si="847"/>
        <v>0.16220223660864655</v>
      </c>
      <c r="BT284" s="456">
        <f t="shared" si="848"/>
        <v>0.30802554306389346</v>
      </c>
      <c r="BU284" s="456">
        <f t="shared" si="849"/>
        <v>36.581961807888291</v>
      </c>
      <c r="BV284" s="456"/>
      <c r="BW284" s="456">
        <f t="shared" si="850"/>
        <v>3.5267083475440497</v>
      </c>
      <c r="BX284" s="144">
        <f t="shared" si="851"/>
        <v>40578.897935104884</v>
      </c>
      <c r="BY284" s="150">
        <f t="shared" si="852"/>
        <v>48.818358179920196</v>
      </c>
      <c r="BZ284" s="5">
        <f t="shared" si="853"/>
        <v>81.600000000000009</v>
      </c>
      <c r="CA284" s="150">
        <f t="shared" si="854"/>
        <v>0.62567878586101933</v>
      </c>
      <c r="CB284" s="5">
        <f t="shared" si="855"/>
        <v>62.567878586101934</v>
      </c>
      <c r="CE284" s="59">
        <f t="shared" si="796"/>
        <v>-50</v>
      </c>
      <c r="CF284">
        <f t="shared" si="797"/>
        <v>-50</v>
      </c>
      <c r="CG284" s="150">
        <f t="shared" si="798"/>
        <v>0.54616236901981208</v>
      </c>
      <c r="CI284" s="147">
        <v>68</v>
      </c>
      <c r="CJ284" s="188">
        <f t="shared" si="856"/>
        <v>2.72</v>
      </c>
      <c r="CK284" s="188"/>
      <c r="CL284" s="188">
        <f t="shared" si="799"/>
        <v>81.600000000000009</v>
      </c>
      <c r="CM284" s="465">
        <f t="shared" si="800"/>
        <v>48</v>
      </c>
      <c r="CN284" s="379">
        <f t="shared" si="801"/>
        <v>30.4</v>
      </c>
      <c r="CO284" s="379">
        <f t="shared" si="802"/>
        <v>78.400000000000006</v>
      </c>
      <c r="CP284" s="379"/>
      <c r="CQ284" s="188">
        <f t="shared" si="803"/>
        <v>0.38775510204081626</v>
      </c>
      <c r="CR284" s="149">
        <f t="shared" si="804"/>
        <v>284.85494809142222</v>
      </c>
      <c r="CS284" s="149">
        <f t="shared" si="805"/>
        <v>81.600000000000009</v>
      </c>
      <c r="CT284" s="188">
        <f t="shared" si="806"/>
        <v>9.4951649363807409</v>
      </c>
      <c r="CU284" s="188">
        <f t="shared" si="807"/>
        <v>30</v>
      </c>
      <c r="CV284" s="188"/>
      <c r="CW284" s="149">
        <f t="shared" si="808"/>
        <v>219.46700466205198</v>
      </c>
      <c r="CX284" s="149">
        <f t="shared" si="809"/>
        <v>30</v>
      </c>
      <c r="CY284" s="188">
        <f t="shared" si="810"/>
        <v>8.7684210526315827</v>
      </c>
      <c r="CZ284" s="188">
        <f t="shared" si="811"/>
        <v>0.85857456140350907</v>
      </c>
      <c r="DA284" s="188">
        <f t="shared" si="812"/>
        <v>1.35564404432133</v>
      </c>
      <c r="DB284" s="172">
        <f t="shared" si="813"/>
        <v>350</v>
      </c>
      <c r="DC284" s="379">
        <f t="shared" si="814"/>
        <v>350</v>
      </c>
      <c r="DE284" s="188">
        <f t="shared" si="815"/>
        <v>11.314434588425037</v>
      </c>
      <c r="DF284" s="150">
        <f t="shared" si="816"/>
        <v>1.7492711370262393</v>
      </c>
      <c r="DG284" s="150">
        <f t="shared" si="817"/>
        <v>3.463602425028073</v>
      </c>
      <c r="DH284" s="150"/>
      <c r="DI284" s="150">
        <f t="shared" si="818"/>
        <v>0.93700159489633172</v>
      </c>
      <c r="DJ284" s="314">
        <f t="shared" si="819"/>
        <v>957.94927659574478</v>
      </c>
      <c r="DK284" s="456">
        <f t="shared" si="820"/>
        <v>0.99378957034459414</v>
      </c>
      <c r="DM284" s="150">
        <f t="shared" si="821"/>
        <v>10.026590786321769</v>
      </c>
      <c r="DN284" s="150">
        <f t="shared" si="822"/>
        <v>10.026590786321769</v>
      </c>
      <c r="DO284" s="150">
        <f t="shared" si="823"/>
        <v>4.1377664634931177</v>
      </c>
      <c r="DQ284" s="314">
        <f t="shared" si="824"/>
        <v>2720</v>
      </c>
      <c r="DR284" s="144">
        <f t="shared" si="825"/>
        <v>350</v>
      </c>
      <c r="DT284">
        <f t="shared" si="826"/>
        <v>2720</v>
      </c>
      <c r="DU284">
        <f t="shared" si="827"/>
        <v>350</v>
      </c>
      <c r="DW284" s="5">
        <f t="shared" si="857"/>
        <v>2.8571428571428572</v>
      </c>
      <c r="DX284" s="5">
        <f t="shared" si="828"/>
        <v>0.98177034782733985</v>
      </c>
      <c r="DY284" s="5">
        <f t="shared" si="829"/>
        <v>1.8753725093155174</v>
      </c>
      <c r="DZ284" s="5"/>
      <c r="EA284" s="150">
        <f t="shared" si="830"/>
        <v>0.34361962173956895</v>
      </c>
      <c r="EB284" s="150">
        <f t="shared" si="858"/>
        <v>82.688000000000017</v>
      </c>
      <c r="EC284" s="150">
        <f t="shared" si="859"/>
        <v>3.290628726494218</v>
      </c>
      <c r="ED284" s="150">
        <f t="shared" si="860"/>
        <v>25.128328618249942</v>
      </c>
      <c r="EE284" s="144">
        <f t="shared" si="831"/>
        <v>8.9013844869678831</v>
      </c>
      <c r="EF284" s="5">
        <f t="shared" si="832"/>
        <v>1.8753725093155174</v>
      </c>
      <c r="EH284" s="150">
        <f t="shared" si="861"/>
        <v>3.3933733194667943</v>
      </c>
      <c r="EI284" s="150">
        <f t="shared" si="862"/>
        <v>4.689974247994166</v>
      </c>
      <c r="EK284" s="456">
        <f t="shared" si="863"/>
        <v>0.13817978982322909</v>
      </c>
      <c r="EL284" s="456">
        <f t="shared" si="864"/>
        <v>5.227463372356719</v>
      </c>
      <c r="EM284" s="456">
        <f t="shared" si="865"/>
        <v>4.0250000000000001E-2</v>
      </c>
      <c r="EN284" s="456">
        <f t="shared" si="866"/>
        <v>1.1132956800000005</v>
      </c>
      <c r="EO284">
        <f t="shared" si="867"/>
        <v>2.1600000000000001E-2</v>
      </c>
      <c r="EP284" s="144">
        <f t="shared" si="868"/>
        <v>61.85</v>
      </c>
      <c r="EQ284" s="144"/>
      <c r="ER284" s="144">
        <f t="shared" si="869"/>
        <v>6540.7888421799489</v>
      </c>
      <c r="ES284" s="456">
        <f t="shared" si="870"/>
        <v>1.9039999999999999</v>
      </c>
      <c r="EV284" s="144">
        <f t="shared" si="871"/>
        <v>1904</v>
      </c>
      <c r="EW284" s="456">
        <f t="shared" si="872"/>
        <v>0.16120975479376726</v>
      </c>
      <c r="EX284" s="456">
        <f t="shared" si="873"/>
        <v>0.30794201825587819</v>
      </c>
      <c r="EY284" s="456">
        <f t="shared" si="874"/>
        <v>36.477355143126964</v>
      </c>
      <c r="EZ284" s="456"/>
      <c r="FA284" s="456">
        <f t="shared" si="875"/>
        <v>3.5186382978723412</v>
      </c>
      <c r="FB284" s="144">
        <f t="shared" si="876"/>
        <v>40465.145214048949</v>
      </c>
      <c r="FC284" s="150">
        <f t="shared" si="877"/>
        <v>48.909934056228899</v>
      </c>
      <c r="FD284" s="5">
        <f t="shared" si="878"/>
        <v>81.600000000000009</v>
      </c>
      <c r="FE284" s="150">
        <f t="shared" si="879"/>
        <v>0.62523976117284275</v>
      </c>
      <c r="FF284" s="5">
        <f t="shared" si="880"/>
        <v>62.523976117284278</v>
      </c>
      <c r="FI284" s="59">
        <f t="shared" si="833"/>
        <v>-50</v>
      </c>
      <c r="FJ284">
        <f t="shared" si="834"/>
        <v>-50</v>
      </c>
      <c r="FL284">
        <f t="shared" si="835"/>
        <v>0.54255729748352999</v>
      </c>
    </row>
    <row r="285" spans="5:168">
      <c r="E285" s="147">
        <v>69</v>
      </c>
      <c r="F285" s="188">
        <f t="shared" si="836"/>
        <v>2.76</v>
      </c>
      <c r="G285" s="188"/>
      <c r="H285" s="188">
        <f t="shared" si="762"/>
        <v>82.8</v>
      </c>
      <c r="I285" s="465">
        <f t="shared" si="763"/>
        <v>47.869566073744053</v>
      </c>
      <c r="J285" s="149">
        <f t="shared" si="764"/>
        <v>30.470233652599354</v>
      </c>
      <c r="K285" s="149">
        <f t="shared" si="765"/>
        <v>78.339799726343415</v>
      </c>
      <c r="L285" s="379"/>
      <c r="M285" s="188">
        <f t="shared" si="766"/>
        <v>0.38895323856618985</v>
      </c>
      <c r="N285" s="149">
        <f t="shared" si="767"/>
        <v>284.95868117663372</v>
      </c>
      <c r="O285" s="149">
        <f t="shared" si="760"/>
        <v>82.8</v>
      </c>
      <c r="P285" s="188">
        <f t="shared" si="768"/>
        <v>9.4986227058877901</v>
      </c>
      <c r="Q285" s="188">
        <f t="shared" si="769"/>
        <v>30</v>
      </c>
      <c r="R285" s="188"/>
      <c r="S285" s="149">
        <f t="shared" si="770"/>
        <v>215.00789583324513</v>
      </c>
      <c r="T285" s="149">
        <f t="shared" si="771"/>
        <v>30</v>
      </c>
      <c r="U285" s="188">
        <f t="shared" si="772"/>
        <v>8.8941295252493244</v>
      </c>
      <c r="V285" s="188">
        <f t="shared" si="773"/>
        <v>0.87325647999972145</v>
      </c>
      <c r="W285" s="188">
        <f t="shared" si="774"/>
        <v>1.3719096888220199</v>
      </c>
      <c r="X285" s="172">
        <f t="shared" si="775"/>
        <v>350</v>
      </c>
      <c r="Y285" s="379">
        <f t="shared" si="837"/>
        <v>350</v>
      </c>
      <c r="AA285" s="188">
        <f t="shared" si="776"/>
        <v>11.318448939975589</v>
      </c>
      <c r="AB285" s="150">
        <f t="shared" si="777"/>
        <v>1.7458582899100008</v>
      </c>
      <c r="AC285" s="150">
        <f t="shared" si="778"/>
        <v>3.4580713843864022</v>
      </c>
      <c r="AD285" s="150"/>
      <c r="AE285" s="150">
        <f t="shared" si="779"/>
        <v>0.9348418134764942</v>
      </c>
      <c r="AF285" s="314">
        <f t="shared" si="780"/>
        <v>974.28247952764593</v>
      </c>
      <c r="AG285" s="456">
        <f t="shared" si="781"/>
        <v>0.99149889308113026</v>
      </c>
      <c r="AI285" s="150">
        <f t="shared" si="782"/>
        <v>10.111707072315793</v>
      </c>
      <c r="AJ285" s="150">
        <f t="shared" si="783"/>
        <v>10.111707072315793</v>
      </c>
      <c r="AK285" s="150">
        <f t="shared" si="784"/>
        <v>4.2008155642294316</v>
      </c>
      <c r="AM285" s="314">
        <f t="shared" si="785"/>
        <v>2760</v>
      </c>
      <c r="AN285" s="144">
        <f t="shared" si="786"/>
        <v>350</v>
      </c>
      <c r="AP285">
        <f t="shared" si="787"/>
        <v>2760</v>
      </c>
      <c r="AQ285">
        <f t="shared" si="788"/>
        <v>350</v>
      </c>
      <c r="AS285" s="5">
        <f t="shared" si="761"/>
        <v>2.8571428571428572</v>
      </c>
      <c r="AT285" s="5">
        <f t="shared" si="789"/>
        <v>0.99280246590643728</v>
      </c>
      <c r="AU285" s="5">
        <f t="shared" si="721"/>
        <v>1.86434039123642</v>
      </c>
      <c r="AV285" s="5"/>
      <c r="AW285" s="150">
        <f t="shared" si="722"/>
        <v>0.34748086306725307</v>
      </c>
      <c r="AX285" s="150">
        <f t="shared" si="790"/>
        <v>84.097844881174211</v>
      </c>
      <c r="AY285" s="150">
        <f t="shared" si="791"/>
        <v>3.2990411858721278</v>
      </c>
      <c r="AZ285" s="150">
        <f t="shared" si="792"/>
        <v>25.491601996760849</v>
      </c>
      <c r="BA285" s="144">
        <f t="shared" si="723"/>
        <v>9.133782686339222</v>
      </c>
      <c r="BB285" s="5">
        <f t="shared" si="724"/>
        <v>1.8969117794281114</v>
      </c>
      <c r="BD285" s="150">
        <f t="shared" si="838"/>
        <v>3.4413535967810054</v>
      </c>
      <c r="BE285" s="150">
        <f t="shared" si="839"/>
        <v>4.7158553901382714</v>
      </c>
      <c r="BG285" s="456">
        <f t="shared" si="840"/>
        <v>0.14211497493693076</v>
      </c>
      <c r="BH285" s="456">
        <f t="shared" si="793"/>
        <v>5.059852420557978</v>
      </c>
      <c r="BI285" s="456">
        <f t="shared" si="841"/>
        <v>4.0250000000000001E-2</v>
      </c>
      <c r="BJ285" s="456">
        <f t="shared" si="842"/>
        <v>1.1115866245582562</v>
      </c>
      <c r="BK285">
        <f t="shared" si="843"/>
        <v>2.1541304733184823E-2</v>
      </c>
      <c r="BL285" s="144">
        <f t="shared" si="844"/>
        <v>61.791304733184823</v>
      </c>
      <c r="BM285" s="456">
        <f t="shared" si="794"/>
        <v>6.5739028732830214</v>
      </c>
      <c r="BN285" s="144">
        <f t="shared" si="845"/>
        <v>6573.9028732830211</v>
      </c>
      <c r="BO285" s="456">
        <f t="shared" si="795"/>
        <v>1.9319999999999997</v>
      </c>
      <c r="BR285" s="144">
        <f t="shared" si="846"/>
        <v>1931.9999999999998</v>
      </c>
      <c r="BS285" s="456">
        <f t="shared" si="847"/>
        <v>0.1658008040930859</v>
      </c>
      <c r="BT285" s="456">
        <f t="shared" si="848"/>
        <v>0.31135008884974663</v>
      </c>
      <c r="BU285" s="456">
        <f t="shared" si="849"/>
        <v>37.256436667638695</v>
      </c>
      <c r="BV285" s="456"/>
      <c r="BW285" s="456">
        <f t="shared" si="850"/>
        <v>3.5786316970712431</v>
      </c>
      <c r="BX285" s="144">
        <f t="shared" si="851"/>
        <v>41312.219257652774</v>
      </c>
      <c r="BY285" s="150">
        <f t="shared" si="852"/>
        <v>49.619564582439125</v>
      </c>
      <c r="BZ285" s="5">
        <f t="shared" si="853"/>
        <v>82.8</v>
      </c>
      <c r="CA285" s="150">
        <f t="shared" si="854"/>
        <v>0.62528524588564116</v>
      </c>
      <c r="CB285" s="5">
        <f t="shared" si="855"/>
        <v>62.528524588564117</v>
      </c>
      <c r="CE285" s="59">
        <f t="shared" si="796"/>
        <v>-50</v>
      </c>
      <c r="CF285">
        <f t="shared" si="797"/>
        <v>-50</v>
      </c>
      <c r="CG285" s="150">
        <f t="shared" si="798"/>
        <v>0.55016361202827657</v>
      </c>
      <c r="CI285" s="147">
        <v>69</v>
      </c>
      <c r="CJ285" s="188">
        <f t="shared" si="856"/>
        <v>2.76</v>
      </c>
      <c r="CK285" s="188"/>
      <c r="CL285" s="188">
        <f t="shared" si="799"/>
        <v>82.8</v>
      </c>
      <c r="CM285" s="465">
        <f t="shared" si="800"/>
        <v>48</v>
      </c>
      <c r="CN285" s="379">
        <f t="shared" si="801"/>
        <v>30.4</v>
      </c>
      <c r="CO285" s="379">
        <f t="shared" si="802"/>
        <v>78.400000000000006</v>
      </c>
      <c r="CP285" s="379"/>
      <c r="CQ285" s="188">
        <f t="shared" si="803"/>
        <v>0.38775510204081626</v>
      </c>
      <c r="CR285" s="149">
        <f t="shared" si="804"/>
        <v>284.85494809142222</v>
      </c>
      <c r="CS285" s="149">
        <f t="shared" si="805"/>
        <v>82.8</v>
      </c>
      <c r="CT285" s="188">
        <f t="shared" si="806"/>
        <v>9.4951649363807409</v>
      </c>
      <c r="CU285" s="188">
        <f t="shared" si="807"/>
        <v>30</v>
      </c>
      <c r="CV285" s="188"/>
      <c r="CW285" s="149">
        <f t="shared" si="808"/>
        <v>215.59350289337405</v>
      </c>
      <c r="CX285" s="149">
        <f t="shared" si="809"/>
        <v>30</v>
      </c>
      <c r="CY285" s="188">
        <f t="shared" si="810"/>
        <v>8.8973684210526329</v>
      </c>
      <c r="CZ285" s="188">
        <f t="shared" si="811"/>
        <v>0.871200657894737</v>
      </c>
      <c r="DA285" s="188">
        <f t="shared" si="812"/>
        <v>1.3755799861495848</v>
      </c>
      <c r="DB285" s="172">
        <f t="shared" si="813"/>
        <v>350</v>
      </c>
      <c r="DC285" s="379">
        <f t="shared" si="814"/>
        <v>350</v>
      </c>
      <c r="DE285" s="188">
        <f t="shared" si="815"/>
        <v>11.314434588425037</v>
      </c>
      <c r="DF285" s="150">
        <f t="shared" si="816"/>
        <v>1.7492711370262393</v>
      </c>
      <c r="DG285" s="150">
        <f t="shared" si="817"/>
        <v>3.463602425028073</v>
      </c>
      <c r="DH285" s="150"/>
      <c r="DI285" s="150">
        <f t="shared" si="818"/>
        <v>0.93700159489633172</v>
      </c>
      <c r="DJ285" s="314">
        <f t="shared" si="819"/>
        <v>972.03676595744673</v>
      </c>
      <c r="DK285" s="456">
        <f t="shared" si="820"/>
        <v>0.99378957034459414</v>
      </c>
      <c r="DM285" s="150">
        <f t="shared" si="821"/>
        <v>10.10004664589427</v>
      </c>
      <c r="DN285" s="150">
        <f t="shared" si="822"/>
        <v>10.10004664589427</v>
      </c>
      <c r="DO285" s="150">
        <f t="shared" si="823"/>
        <v>4.1921782113245998</v>
      </c>
      <c r="DQ285" s="314">
        <f t="shared" si="824"/>
        <v>2760</v>
      </c>
      <c r="DR285" s="144">
        <f t="shared" si="825"/>
        <v>350</v>
      </c>
      <c r="DT285">
        <f t="shared" si="826"/>
        <v>2760</v>
      </c>
      <c r="DU285">
        <f t="shared" si="827"/>
        <v>350</v>
      </c>
      <c r="DW285" s="5">
        <f t="shared" si="857"/>
        <v>2.8571428571428572</v>
      </c>
      <c r="DX285" s="5">
        <f t="shared" si="828"/>
        <v>0.98896290074381399</v>
      </c>
      <c r="DY285" s="5">
        <f t="shared" si="829"/>
        <v>1.8681799563990431</v>
      </c>
      <c r="DZ285" s="5"/>
      <c r="EA285" s="150">
        <f t="shared" si="830"/>
        <v>0.34613701526033491</v>
      </c>
      <c r="EB285" s="150">
        <f t="shared" si="858"/>
        <v>83.903999999999996</v>
      </c>
      <c r="EC285" s="150">
        <f t="shared" si="859"/>
        <v>3.3020233229471354</v>
      </c>
      <c r="ED285" s="150">
        <f t="shared" si="860"/>
        <v>25.409875035380928</v>
      </c>
      <c r="EE285" s="144">
        <f t="shared" si="831"/>
        <v>9.0984586868430881</v>
      </c>
      <c r="EF285" s="5">
        <f t="shared" si="832"/>
        <v>1.8956531910519698</v>
      </c>
      <c r="EH285" s="150">
        <f t="shared" si="861"/>
        <v>3.4307318497198409</v>
      </c>
      <c r="EI285" s="150">
        <f t="shared" si="862"/>
        <v>4.7152652514711457</v>
      </c>
      <c r="EK285" s="456">
        <f t="shared" si="863"/>
        <v>0.14123905229618547</v>
      </c>
      <c r="EL285" s="456">
        <f t="shared" si="864"/>
        <v>5.2657603193034372</v>
      </c>
      <c r="EM285" s="456">
        <f t="shared" si="865"/>
        <v>4.0250000000000001E-2</v>
      </c>
      <c r="EN285" s="456">
        <f t="shared" si="866"/>
        <v>1.1132956800000005</v>
      </c>
      <c r="EO285">
        <f t="shared" si="867"/>
        <v>2.1600000000000001E-2</v>
      </c>
      <c r="EP285" s="144">
        <f t="shared" si="868"/>
        <v>61.85</v>
      </c>
      <c r="EQ285" s="144"/>
      <c r="ER285" s="144">
        <f t="shared" si="869"/>
        <v>6582.1450515996239</v>
      </c>
      <c r="ES285" s="456">
        <f t="shared" si="870"/>
        <v>1.9319999999999997</v>
      </c>
      <c r="EV285" s="144">
        <f t="shared" si="871"/>
        <v>1931.9999999999998</v>
      </c>
      <c r="EW285" s="456">
        <f t="shared" si="872"/>
        <v>0.16477889434554971</v>
      </c>
      <c r="EX285" s="456">
        <f t="shared" si="873"/>
        <v>0.31127216948423747</v>
      </c>
      <c r="EY285" s="456">
        <f t="shared" si="874"/>
        <v>37.149122866587199</v>
      </c>
      <c r="EZ285" s="456"/>
      <c r="FA285" s="456">
        <f t="shared" si="875"/>
        <v>3.5703829787234036</v>
      </c>
      <c r="FB285" s="144">
        <f t="shared" si="876"/>
        <v>41195.556909140389</v>
      </c>
      <c r="FC285" s="150">
        <f t="shared" si="877"/>
        <v>49.709701960740006</v>
      </c>
      <c r="FD285" s="5">
        <f t="shared" si="878"/>
        <v>82.8</v>
      </c>
      <c r="FE285" s="150">
        <f t="shared" si="879"/>
        <v>0.62485990666956592</v>
      </c>
      <c r="FF285" s="5">
        <f t="shared" si="880"/>
        <v>62.485990666956596</v>
      </c>
      <c r="FI285" s="59">
        <f t="shared" si="833"/>
        <v>-50</v>
      </c>
      <c r="FJ285">
        <f t="shared" si="834"/>
        <v>-50</v>
      </c>
      <c r="FL285">
        <f t="shared" si="835"/>
        <v>0.54653212935842355</v>
      </c>
    </row>
    <row r="286" spans="5:168">
      <c r="E286" s="147">
        <v>70</v>
      </c>
      <c r="F286" s="188">
        <f t="shared" si="836"/>
        <v>2.8</v>
      </c>
      <c r="G286" s="188"/>
      <c r="H286" s="188">
        <f t="shared" si="762"/>
        <v>84</v>
      </c>
      <c r="I286" s="465">
        <f t="shared" si="763"/>
        <v>47.86862430031362</v>
      </c>
      <c r="J286" s="149">
        <f t="shared" si="764"/>
        <v>30.470740761369587</v>
      </c>
      <c r="K286" s="149">
        <f t="shared" si="765"/>
        <v>78.33936506168321</v>
      </c>
      <c r="L286" s="379"/>
      <c r="M286" s="188">
        <f t="shared" si="766"/>
        <v>0.38896189612766324</v>
      </c>
      <c r="N286" s="149">
        <f t="shared" si="767"/>
        <v>284.95941763501196</v>
      </c>
      <c r="O286" s="149">
        <f t="shared" si="760"/>
        <v>84</v>
      </c>
      <c r="P286" s="188">
        <f t="shared" si="768"/>
        <v>9.4986472545003995</v>
      </c>
      <c r="Q286" s="188">
        <f t="shared" si="769"/>
        <v>30</v>
      </c>
      <c r="R286" s="188"/>
      <c r="S286" s="149">
        <f t="shared" si="770"/>
        <v>211.25119497913767</v>
      </c>
      <c r="T286" s="149">
        <f t="shared" si="771"/>
        <v>30</v>
      </c>
      <c r="U286" s="188">
        <f t="shared" si="772"/>
        <v>9.0230066337396888</v>
      </c>
      <c r="V286" s="188">
        <f t="shared" si="773"/>
        <v>0.88592751094162303</v>
      </c>
      <c r="W286" s="188">
        <f t="shared" si="774"/>
        <v>1.3917656781203371</v>
      </c>
      <c r="X286" s="172">
        <f t="shared" si="775"/>
        <v>350</v>
      </c>
      <c r="Y286" s="379">
        <f t="shared" si="837"/>
        <v>350</v>
      </c>
      <c r="AA286" s="188">
        <f t="shared" si="776"/>
        <v>11.318477430298307</v>
      </c>
      <c r="AB286" s="150">
        <f t="shared" si="777"/>
        <v>1.7458336290217242</v>
      </c>
      <c r="AC286" s="150">
        <f t="shared" si="778"/>
        <v>3.4580312422491803</v>
      </c>
      <c r="AD286" s="150"/>
      <c r="AE286" s="150">
        <f t="shared" si="779"/>
        <v>0.93482625538796249</v>
      </c>
      <c r="AF286" s="314">
        <f t="shared" si="780"/>
        <v>988.4189652081717</v>
      </c>
      <c r="AG286" s="456">
        <f t="shared" si="781"/>
        <v>0.99148239207814204</v>
      </c>
      <c r="AI286" s="150">
        <f t="shared" si="782"/>
        <v>10.184801486298136</v>
      </c>
      <c r="AJ286" s="150">
        <f t="shared" si="783"/>
        <v>10.184801486298136</v>
      </c>
      <c r="AK286" s="150">
        <f t="shared" si="784"/>
        <v>4.2549595745867226</v>
      </c>
      <c r="AM286" s="314">
        <f t="shared" si="785"/>
        <v>2800</v>
      </c>
      <c r="AN286" s="144">
        <f t="shared" si="786"/>
        <v>350</v>
      </c>
      <c r="AP286">
        <f t="shared" si="787"/>
        <v>2800</v>
      </c>
      <c r="AQ286">
        <f t="shared" si="788"/>
        <v>350</v>
      </c>
      <c r="AS286" s="5">
        <f t="shared" si="761"/>
        <v>2.8571428571428572</v>
      </c>
      <c r="AT286" s="5">
        <f t="shared" si="789"/>
        <v>0.99999880266639751</v>
      </c>
      <c r="AU286" s="5">
        <f t="shared" si="721"/>
        <v>1.8571440544764597</v>
      </c>
      <c r="AV286" s="5"/>
      <c r="AW286" s="150">
        <f t="shared" si="722"/>
        <v>0.34999958093323913</v>
      </c>
      <c r="AX286" s="150">
        <f t="shared" si="790"/>
        <v>85.318074131834848</v>
      </c>
      <c r="AY286" s="150">
        <f t="shared" si="791"/>
        <v>3.3100626171027789</v>
      </c>
      <c r="AZ286" s="150">
        <f t="shared" si="792"/>
        <v>25.775365605171476</v>
      </c>
      <c r="BA286" s="144">
        <f t="shared" si="723"/>
        <v>9.3333221582197101</v>
      </c>
      <c r="BB286" s="5">
        <f t="shared" si="724"/>
        <v>1.917012790445243</v>
      </c>
      <c r="BD286" s="150">
        <f t="shared" si="838"/>
        <v>3.4787698970797214</v>
      </c>
      <c r="BE286" s="150">
        <f t="shared" si="839"/>
        <v>4.7407686199889767</v>
      </c>
      <c r="BG286" s="456">
        <f t="shared" si="840"/>
        <v>0.14522207996193667</v>
      </c>
      <c r="BH286" s="456">
        <f t="shared" si="793"/>
        <v>5.0964002569602052</v>
      </c>
      <c r="BI286" s="456">
        <f t="shared" si="841"/>
        <v>4.0250000000000001E-2</v>
      </c>
      <c r="BJ286" s="456">
        <f t="shared" si="842"/>
        <v>1.1115742894212322</v>
      </c>
      <c r="BK286">
        <f t="shared" si="843"/>
        <v>2.154088093514113E-2</v>
      </c>
      <c r="BL286" s="144">
        <f t="shared" si="844"/>
        <v>61.790880935141132</v>
      </c>
      <c r="BM286" s="456">
        <f t="shared" si="794"/>
        <v>6.6208577361556991</v>
      </c>
      <c r="BN286" s="144">
        <f t="shared" si="845"/>
        <v>6620.8577361556991</v>
      </c>
      <c r="BO286" s="456">
        <f t="shared" si="795"/>
        <v>1.9599999999999997</v>
      </c>
      <c r="BR286" s="144">
        <f t="shared" si="846"/>
        <v>1959.9999999999998</v>
      </c>
      <c r="BS286" s="456">
        <f t="shared" si="847"/>
        <v>0.16942575995559278</v>
      </c>
      <c r="BT286" s="456">
        <f t="shared" si="848"/>
        <v>0.31464841951581057</v>
      </c>
      <c r="BU286" s="456">
        <f t="shared" si="849"/>
        <v>37.933379551786679</v>
      </c>
      <c r="BV286" s="456"/>
      <c r="BW286" s="456">
        <f t="shared" si="850"/>
        <v>3.6305563460355259</v>
      </c>
      <c r="BX286" s="144">
        <f t="shared" si="851"/>
        <v>42048.010077293613</v>
      </c>
      <c r="BY286" s="150">
        <f t="shared" si="852"/>
        <v>50.422997584572123</v>
      </c>
      <c r="BZ286" s="5">
        <f t="shared" si="853"/>
        <v>84</v>
      </c>
      <c r="CA286" s="150">
        <f t="shared" si="854"/>
        <v>0.62489307268387217</v>
      </c>
      <c r="CB286" s="5">
        <f t="shared" si="855"/>
        <v>62.489307268387215</v>
      </c>
      <c r="CE286" s="59">
        <f t="shared" si="796"/>
        <v>-50</v>
      </c>
      <c r="CF286">
        <f t="shared" si="797"/>
        <v>-50</v>
      </c>
      <c r="CG286" s="150">
        <f t="shared" si="798"/>
        <v>0.55413596406176946</v>
      </c>
      <c r="CI286" s="147">
        <v>70</v>
      </c>
      <c r="CJ286" s="188">
        <f t="shared" si="856"/>
        <v>2.8</v>
      </c>
      <c r="CK286" s="188"/>
      <c r="CL286" s="188">
        <f t="shared" si="799"/>
        <v>84</v>
      </c>
      <c r="CM286" s="465">
        <f t="shared" si="800"/>
        <v>48</v>
      </c>
      <c r="CN286" s="379">
        <f t="shared" si="801"/>
        <v>30.4</v>
      </c>
      <c r="CO286" s="379">
        <f t="shared" si="802"/>
        <v>78.400000000000006</v>
      </c>
      <c r="CP286" s="379"/>
      <c r="CQ286" s="188">
        <f t="shared" si="803"/>
        <v>0.38775510204081626</v>
      </c>
      <c r="CR286" s="149">
        <f t="shared" si="804"/>
        <v>284.85494809142222</v>
      </c>
      <c r="CS286" s="149">
        <f t="shared" si="805"/>
        <v>84</v>
      </c>
      <c r="CT286" s="188">
        <f t="shared" si="806"/>
        <v>9.4951649363807409</v>
      </c>
      <c r="CU286" s="188">
        <f t="shared" si="807"/>
        <v>30</v>
      </c>
      <c r="CV286" s="188"/>
      <c r="CW286" s="149">
        <f t="shared" si="808"/>
        <v>211.83072731883598</v>
      </c>
      <c r="CX286" s="149">
        <f t="shared" si="809"/>
        <v>30</v>
      </c>
      <c r="CY286" s="188">
        <f t="shared" si="810"/>
        <v>9.0263157894736867</v>
      </c>
      <c r="CZ286" s="188">
        <f t="shared" si="811"/>
        <v>0.88382675438596514</v>
      </c>
      <c r="DA286" s="188">
        <f t="shared" si="812"/>
        <v>1.3955159279778397</v>
      </c>
      <c r="DB286" s="172">
        <f t="shared" si="813"/>
        <v>350</v>
      </c>
      <c r="DC286" s="379">
        <f t="shared" si="814"/>
        <v>350</v>
      </c>
      <c r="DE286" s="188">
        <f t="shared" si="815"/>
        <v>11.314434588425037</v>
      </c>
      <c r="DF286" s="150">
        <f t="shared" si="816"/>
        <v>1.7492711370262393</v>
      </c>
      <c r="DG286" s="150">
        <f t="shared" si="817"/>
        <v>3.463602425028073</v>
      </c>
      <c r="DH286" s="150"/>
      <c r="DI286" s="150">
        <f t="shared" si="818"/>
        <v>0.93700159489633172</v>
      </c>
      <c r="DJ286" s="314">
        <f t="shared" si="819"/>
        <v>986.12425531914892</v>
      </c>
      <c r="DK286" s="456">
        <f t="shared" si="820"/>
        <v>0.99378957034459414</v>
      </c>
      <c r="DM286" s="150">
        <f t="shared" si="821"/>
        <v>10.17297211743587</v>
      </c>
      <c r="DN286" s="150">
        <f t="shared" si="822"/>
        <v>10.17297211743587</v>
      </c>
      <c r="DO286" s="150">
        <f t="shared" si="823"/>
        <v>4.246197079133192</v>
      </c>
      <c r="DQ286" s="314">
        <f t="shared" si="824"/>
        <v>2800</v>
      </c>
      <c r="DR286" s="144">
        <f t="shared" si="825"/>
        <v>350</v>
      </c>
      <c r="DT286">
        <f t="shared" si="826"/>
        <v>2800</v>
      </c>
      <c r="DU286">
        <f t="shared" si="827"/>
        <v>350</v>
      </c>
      <c r="DW286" s="5">
        <f t="shared" si="857"/>
        <v>2.8571428571428572</v>
      </c>
      <c r="DX286" s="5">
        <f t="shared" si="828"/>
        <v>0.99610351983226242</v>
      </c>
      <c r="DY286" s="5">
        <f t="shared" si="829"/>
        <v>1.8610393373105949</v>
      </c>
      <c r="DZ286" s="5"/>
      <c r="EA286" s="150">
        <f t="shared" si="830"/>
        <v>0.34863623194129184</v>
      </c>
      <c r="EB286" s="150">
        <f t="shared" si="858"/>
        <v>85.11999999999999</v>
      </c>
      <c r="EC286" s="150">
        <f t="shared" si="859"/>
        <v>3.3131527253846014</v>
      </c>
      <c r="ED286" s="150">
        <f t="shared" si="860"/>
        <v>25.691541276630701</v>
      </c>
      <c r="EE286" s="144">
        <f t="shared" si="831"/>
        <v>9.2969661851011161</v>
      </c>
      <c r="EF286" s="5">
        <f t="shared" si="832"/>
        <v>1.9157757884079651</v>
      </c>
      <c r="EH286" s="150">
        <f t="shared" si="861"/>
        <v>3.4679552625833772</v>
      </c>
      <c r="EI286" s="150">
        <f t="shared" si="862"/>
        <v>4.7402257538464854</v>
      </c>
      <c r="EK286" s="456">
        <f t="shared" si="863"/>
        <v>0.1443205644393569</v>
      </c>
      <c r="EL286" s="456">
        <f t="shared" si="864"/>
        <v>5.3037807431463664</v>
      </c>
      <c r="EM286" s="456">
        <f t="shared" si="865"/>
        <v>4.0250000000000001E-2</v>
      </c>
      <c r="EN286" s="456">
        <f t="shared" si="866"/>
        <v>1.1132956800000005</v>
      </c>
      <c r="EO286">
        <f t="shared" si="867"/>
        <v>2.1600000000000001E-2</v>
      </c>
      <c r="EP286" s="144">
        <f t="shared" si="868"/>
        <v>61.85</v>
      </c>
      <c r="EQ286" s="144"/>
      <c r="ER286" s="144">
        <f t="shared" si="869"/>
        <v>6623.2469875857241</v>
      </c>
      <c r="ES286" s="456">
        <f t="shared" si="870"/>
        <v>1.9599999999999997</v>
      </c>
      <c r="EV286" s="144">
        <f t="shared" si="871"/>
        <v>1959.9999999999998</v>
      </c>
      <c r="EW286" s="456">
        <f t="shared" si="872"/>
        <v>0.16837399184591637</v>
      </c>
      <c r="EX286" s="456">
        <f t="shared" si="873"/>
        <v>0.31457636276401274</v>
      </c>
      <c r="EY286" s="456">
        <f t="shared" si="874"/>
        <v>37.823329020547781</v>
      </c>
      <c r="EZ286" s="456"/>
      <c r="FA286" s="456">
        <f t="shared" si="875"/>
        <v>3.6221276595744687</v>
      </c>
      <c r="FB286" s="144">
        <f t="shared" si="876"/>
        <v>41928.407034732176</v>
      </c>
      <c r="FC286" s="150">
        <f t="shared" si="877"/>
        <v>50.511654022317906</v>
      </c>
      <c r="FD286" s="5">
        <f t="shared" si="878"/>
        <v>84</v>
      </c>
      <c r="FE286" s="150">
        <f t="shared" si="879"/>
        <v>0.62448120655822792</v>
      </c>
      <c r="FF286" s="5">
        <f t="shared" si="880"/>
        <v>62.448120655822791</v>
      </c>
      <c r="FI286" s="59">
        <f t="shared" si="833"/>
        <v>-50</v>
      </c>
      <c r="FJ286">
        <f t="shared" si="834"/>
        <v>-50</v>
      </c>
      <c r="FL286">
        <f t="shared" si="835"/>
        <v>0.55047826095993435</v>
      </c>
    </row>
    <row r="287" spans="5:168">
      <c r="E287" s="147">
        <v>71</v>
      </c>
      <c r="F287" s="188">
        <f t="shared" si="836"/>
        <v>2.84</v>
      </c>
      <c r="G287" s="188"/>
      <c r="H287" s="188">
        <f t="shared" si="762"/>
        <v>85.199999999999989</v>
      </c>
      <c r="I287" s="465">
        <f t="shared" si="763"/>
        <v>47.867689230152536</v>
      </c>
      <c r="J287" s="149">
        <f t="shared" si="764"/>
        <v>30.471244260687097</v>
      </c>
      <c r="K287" s="149">
        <f t="shared" si="765"/>
        <v>78.338933490839636</v>
      </c>
      <c r="L287" s="379"/>
      <c r="M287" s="188">
        <f t="shared" si="766"/>
        <v>0.38897049216144486</v>
      </c>
      <c r="N287" s="149">
        <f t="shared" si="767"/>
        <v>284.96014867367285</v>
      </c>
      <c r="O287" s="149">
        <f t="shared" si="760"/>
        <v>85.199999999999989</v>
      </c>
      <c r="P287" s="188">
        <f t="shared" si="768"/>
        <v>9.4986716224557615</v>
      </c>
      <c r="Q287" s="188">
        <f t="shared" si="769"/>
        <v>30</v>
      </c>
      <c r="R287" s="188"/>
      <c r="S287" s="149">
        <f t="shared" si="770"/>
        <v>207.60042673045382</v>
      </c>
      <c r="T287" s="149">
        <f t="shared" si="771"/>
        <v>30</v>
      </c>
      <c r="U287" s="188">
        <f t="shared" si="772"/>
        <v>9.1518832501450014</v>
      </c>
      <c r="V287" s="188">
        <f t="shared" si="773"/>
        <v>0.89859886632226382</v>
      </c>
      <c r="W287" s="188">
        <f t="shared" si="774"/>
        <v>1.4116210978353918</v>
      </c>
      <c r="X287" s="172">
        <f t="shared" si="775"/>
        <v>350</v>
      </c>
      <c r="Y287" s="379">
        <f t="shared" si="837"/>
        <v>350</v>
      </c>
      <c r="AA287" s="188">
        <f t="shared" si="776"/>
        <v>11.318505710814955</v>
      </c>
      <c r="AB287" s="150">
        <f t="shared" si="777"/>
        <v>1.7458091433917293</v>
      </c>
      <c r="AC287" s="150">
        <f t="shared" si="778"/>
        <v>3.4579913829076445</v>
      </c>
      <c r="AD287" s="150"/>
      <c r="AE287" s="150">
        <f t="shared" si="779"/>
        <v>0.93481080854970555</v>
      </c>
      <c r="AF287" s="314">
        <f t="shared" si="780"/>
        <v>1002.5558021242833</v>
      </c>
      <c r="AG287" s="456">
        <f t="shared" si="781"/>
        <v>0.99146600906786964</v>
      </c>
      <c r="AI287" s="150">
        <f t="shared" si="782"/>
        <v>10.257376836935224</v>
      </c>
      <c r="AJ287" s="150">
        <f t="shared" si="783"/>
        <v>10.257376836935224</v>
      </c>
      <c r="AK287" s="150">
        <f t="shared" si="784"/>
        <v>4.3087190935771584</v>
      </c>
      <c r="AM287" s="314">
        <f t="shared" si="785"/>
        <v>2840</v>
      </c>
      <c r="AN287" s="144">
        <f t="shared" si="786"/>
        <v>350</v>
      </c>
      <c r="AP287">
        <f t="shared" si="787"/>
        <v>2840</v>
      </c>
      <c r="AQ287">
        <f t="shared" si="788"/>
        <v>350</v>
      </c>
      <c r="AS287" s="5">
        <f t="shared" si="761"/>
        <v>2.8571428571428572</v>
      </c>
      <c r="AT287" s="5">
        <f t="shared" si="789"/>
        <v>1.007144316112665</v>
      </c>
      <c r="AU287" s="5">
        <f t="shared" si="721"/>
        <v>1.8499985410301922</v>
      </c>
      <c r="AV287" s="5"/>
      <c r="AW287" s="150">
        <f t="shared" si="722"/>
        <v>0.35250051063943272</v>
      </c>
      <c r="AX287" s="150">
        <f t="shared" si="790"/>
        <v>86.538333700351345</v>
      </c>
      <c r="AY287" s="150">
        <f t="shared" si="791"/>
        <v>3.3208231320472339</v>
      </c>
      <c r="AZ287" s="150">
        <f t="shared" si="792"/>
        <v>26.059302245043643</v>
      </c>
      <c r="BA287" s="144">
        <f t="shared" si="723"/>
        <v>9.5342995258665617</v>
      </c>
      <c r="BB287" s="5">
        <f t="shared" si="724"/>
        <v>1.9369552913426518</v>
      </c>
      <c r="BD287" s="150">
        <f t="shared" si="838"/>
        <v>3.5160541817239439</v>
      </c>
      <c r="BE287" s="150">
        <f t="shared" si="839"/>
        <v>4.7653565291046158</v>
      </c>
      <c r="BG287" s="456">
        <f t="shared" si="840"/>
        <v>0.14835164410582122</v>
      </c>
      <c r="BH287" s="456">
        <f t="shared" si="793"/>
        <v>5.132688156119805</v>
      </c>
      <c r="BI287" s="456">
        <f t="shared" si="841"/>
        <v>4.0250000000000001E-2</v>
      </c>
      <c r="BJ287" s="456">
        <f t="shared" si="842"/>
        <v>1.1115620421498378</v>
      </c>
      <c r="BK287">
        <f t="shared" si="843"/>
        <v>2.1540460153568641E-2</v>
      </c>
      <c r="BL287" s="144">
        <f t="shared" si="844"/>
        <v>61.790460153568645</v>
      </c>
      <c r="BM287" s="456">
        <f t="shared" si="794"/>
        <v>6.6676815640048979</v>
      </c>
      <c r="BN287" s="144">
        <f t="shared" si="845"/>
        <v>6667.6815640048981</v>
      </c>
      <c r="BO287" s="456">
        <f t="shared" si="795"/>
        <v>1.9879999999999998</v>
      </c>
      <c r="BR287" s="144">
        <f t="shared" si="846"/>
        <v>1987.9999999999998</v>
      </c>
      <c r="BS287" s="456">
        <f t="shared" si="847"/>
        <v>0.17307691812345807</v>
      </c>
      <c r="BT287" s="456">
        <f t="shared" si="848"/>
        <v>0.31792071989271986</v>
      </c>
      <c r="BU287" s="456">
        <f t="shared" si="849"/>
        <v>38.612764179648671</v>
      </c>
      <c r="BV287" s="456"/>
      <c r="BW287" s="456">
        <f t="shared" si="850"/>
        <v>3.6824822851213339</v>
      </c>
      <c r="BX287" s="144">
        <f t="shared" si="851"/>
        <v>42786.244102786179</v>
      </c>
      <c r="BY287" s="150">
        <f t="shared" si="852"/>
        <v>51.228636405315214</v>
      </c>
      <c r="BZ287" s="5">
        <f t="shared" si="853"/>
        <v>85.199999999999989</v>
      </c>
      <c r="CA287" s="150">
        <f t="shared" si="854"/>
        <v>0.62450232036974773</v>
      </c>
      <c r="CB287" s="5">
        <f t="shared" si="855"/>
        <v>62.450232036974775</v>
      </c>
      <c r="CE287" s="59">
        <f t="shared" si="796"/>
        <v>-50</v>
      </c>
      <c r="CF287">
        <f t="shared" si="797"/>
        <v>-50</v>
      </c>
      <c r="CG287" s="150">
        <f t="shared" si="798"/>
        <v>0.55808004204892814</v>
      </c>
      <c r="CI287" s="147">
        <v>71</v>
      </c>
      <c r="CJ287" s="188">
        <f t="shared" si="856"/>
        <v>2.84</v>
      </c>
      <c r="CK287" s="188"/>
      <c r="CL287" s="188">
        <f t="shared" si="799"/>
        <v>85.199999999999989</v>
      </c>
      <c r="CM287" s="465">
        <f t="shared" si="800"/>
        <v>48</v>
      </c>
      <c r="CN287" s="379">
        <f t="shared" si="801"/>
        <v>30.4</v>
      </c>
      <c r="CO287" s="379">
        <f t="shared" si="802"/>
        <v>78.400000000000006</v>
      </c>
      <c r="CP287" s="379"/>
      <c r="CQ287" s="188">
        <f t="shared" si="803"/>
        <v>0.38775510204081626</v>
      </c>
      <c r="CR287" s="149">
        <f t="shared" si="804"/>
        <v>284.85494809142222</v>
      </c>
      <c r="CS287" s="149">
        <f t="shared" si="805"/>
        <v>85.199999999999989</v>
      </c>
      <c r="CT287" s="188">
        <f t="shared" si="806"/>
        <v>9.4951649363807409</v>
      </c>
      <c r="CU287" s="188">
        <f t="shared" si="807"/>
        <v>30</v>
      </c>
      <c r="CV287" s="188"/>
      <c r="CW287" s="149">
        <f t="shared" si="808"/>
        <v>208.17399988245558</v>
      </c>
      <c r="CX287" s="149">
        <f t="shared" si="809"/>
        <v>30</v>
      </c>
      <c r="CY287" s="188">
        <f t="shared" si="810"/>
        <v>9.155263157894737</v>
      </c>
      <c r="CZ287" s="188">
        <f t="shared" si="811"/>
        <v>0.89645285087719306</v>
      </c>
      <c r="DA287" s="188">
        <f t="shared" si="812"/>
        <v>1.4154518698060945</v>
      </c>
      <c r="DB287" s="172">
        <f t="shared" si="813"/>
        <v>350</v>
      </c>
      <c r="DC287" s="379">
        <f t="shared" si="814"/>
        <v>350</v>
      </c>
      <c r="DE287" s="188">
        <f t="shared" si="815"/>
        <v>11.314434588425037</v>
      </c>
      <c r="DF287" s="150">
        <f t="shared" si="816"/>
        <v>1.7492711370262393</v>
      </c>
      <c r="DG287" s="150">
        <f t="shared" si="817"/>
        <v>3.463602425028073</v>
      </c>
      <c r="DH287" s="150"/>
      <c r="DI287" s="150">
        <f t="shared" si="818"/>
        <v>0.93700159489633172</v>
      </c>
      <c r="DJ287" s="314">
        <f t="shared" si="819"/>
        <v>1000.211744680851</v>
      </c>
      <c r="DK287" s="456">
        <f t="shared" si="820"/>
        <v>0.99378957034459414</v>
      </c>
      <c r="DM287" s="150">
        <f t="shared" si="821"/>
        <v>10.245378526682906</v>
      </c>
      <c r="DN287" s="150">
        <f t="shared" si="822"/>
        <v>10.245378526682906</v>
      </c>
      <c r="DO287" s="150">
        <f t="shared" si="823"/>
        <v>4.2998314563532185</v>
      </c>
      <c r="DQ287" s="314">
        <f t="shared" si="824"/>
        <v>2840</v>
      </c>
      <c r="DR287" s="144">
        <f t="shared" si="825"/>
        <v>350</v>
      </c>
      <c r="DT287">
        <f t="shared" si="826"/>
        <v>2840</v>
      </c>
      <c r="DU287">
        <f t="shared" si="827"/>
        <v>350</v>
      </c>
      <c r="DW287" s="5">
        <f t="shared" si="857"/>
        <v>2.8571428571428572</v>
      </c>
      <c r="DX287" s="5">
        <f t="shared" si="828"/>
        <v>1.0031933140710345</v>
      </c>
      <c r="DY287" s="5">
        <f t="shared" si="829"/>
        <v>1.8539495430718227</v>
      </c>
      <c r="DZ287" s="5"/>
      <c r="EA287" s="150">
        <f t="shared" si="830"/>
        <v>0.35111765992486205</v>
      </c>
      <c r="EB287" s="150">
        <f t="shared" si="858"/>
        <v>86.335999999999984</v>
      </c>
      <c r="EC287" s="150">
        <f t="shared" si="859"/>
        <v>3.3240225966747867</v>
      </c>
      <c r="ED287" s="150">
        <f t="shared" si="860"/>
        <v>25.973349304654821</v>
      </c>
      <c r="EE287" s="144">
        <f t="shared" si="831"/>
        <v>9.4968967065391272</v>
      </c>
      <c r="EF287" s="5">
        <f t="shared" si="832"/>
        <v>1.935741434677932</v>
      </c>
      <c r="EH287" s="150">
        <f t="shared" si="861"/>
        <v>3.5050459667292033</v>
      </c>
      <c r="EI287" s="150">
        <f t="shared" si="862"/>
        <v>4.7648623438794546</v>
      </c>
      <c r="EK287" s="456">
        <f t="shared" si="863"/>
        <v>0.14742416674661588</v>
      </c>
      <c r="EL287" s="456">
        <f t="shared" si="864"/>
        <v>5.3415305486714004</v>
      </c>
      <c r="EM287" s="456">
        <f t="shared" si="865"/>
        <v>4.0250000000000001E-2</v>
      </c>
      <c r="EN287" s="456">
        <f t="shared" si="866"/>
        <v>1.1132956800000005</v>
      </c>
      <c r="EO287">
        <f t="shared" si="867"/>
        <v>2.1600000000000001E-2</v>
      </c>
      <c r="EP287" s="144">
        <f t="shared" si="868"/>
        <v>61.85</v>
      </c>
      <c r="EQ287" s="144"/>
      <c r="ER287" s="144">
        <f t="shared" si="869"/>
        <v>6664.1003954180169</v>
      </c>
      <c r="ES287" s="456">
        <f t="shared" si="870"/>
        <v>1.9879999999999998</v>
      </c>
      <c r="EV287" s="144">
        <f t="shared" si="871"/>
        <v>1987.9999999999998</v>
      </c>
      <c r="EW287" s="456">
        <f t="shared" si="872"/>
        <v>0.17199486120438517</v>
      </c>
      <c r="EX287" s="456">
        <f t="shared" si="873"/>
        <v>0.31785478418568575</v>
      </c>
      <c r="EY287" s="456">
        <f t="shared" si="874"/>
        <v>38.499947430461901</v>
      </c>
      <c r="EZ287" s="456"/>
      <c r="FA287" s="456">
        <f t="shared" si="875"/>
        <v>3.673872340425532</v>
      </c>
      <c r="FB287" s="144">
        <f t="shared" si="876"/>
        <v>42663.669416277509</v>
      </c>
      <c r="FC287" s="150">
        <f t="shared" si="877"/>
        <v>51.315769811695525</v>
      </c>
      <c r="FD287" s="5">
        <f t="shared" si="878"/>
        <v>85.199999999999989</v>
      </c>
      <c r="FE287" s="150">
        <f t="shared" si="879"/>
        <v>0.62410372162513905</v>
      </c>
      <c r="FF287" s="5">
        <f t="shared" si="880"/>
        <v>62.410372162513909</v>
      </c>
      <c r="FI287" s="59">
        <f t="shared" si="833"/>
        <v>-50</v>
      </c>
      <c r="FJ287">
        <f t="shared" si="834"/>
        <v>-50</v>
      </c>
      <c r="FL287">
        <f t="shared" si="835"/>
        <v>0.5543963051445191</v>
      </c>
    </row>
    <row r="288" spans="5:168">
      <c r="E288" s="147">
        <v>72</v>
      </c>
      <c r="F288" s="188">
        <f t="shared" si="836"/>
        <v>2.88</v>
      </c>
      <c r="G288" s="188"/>
      <c r="H288" s="188">
        <f t="shared" si="762"/>
        <v>86.399999999999991</v>
      </c>
      <c r="I288" s="465">
        <f t="shared" si="763"/>
        <v>47.86676072213055</v>
      </c>
      <c r="J288" s="149">
        <f t="shared" si="764"/>
        <v>30.471744226545088</v>
      </c>
      <c r="K288" s="149">
        <f t="shared" si="765"/>
        <v>78.338504948675634</v>
      </c>
      <c r="L288" s="379"/>
      <c r="M288" s="188">
        <f t="shared" si="766"/>
        <v>0.3889790279629366</v>
      </c>
      <c r="N288" s="149">
        <f t="shared" si="767"/>
        <v>284.96087440671971</v>
      </c>
      <c r="O288" s="149">
        <f t="shared" si="760"/>
        <v>86.399999999999991</v>
      </c>
      <c r="P288" s="188">
        <f t="shared" si="768"/>
        <v>9.4986958135573243</v>
      </c>
      <c r="Q288" s="188">
        <f t="shared" si="769"/>
        <v>30</v>
      </c>
      <c r="R288" s="188"/>
      <c r="S288" s="149">
        <f t="shared" si="770"/>
        <v>204.05117686277671</v>
      </c>
      <c r="T288" s="149">
        <f t="shared" si="771"/>
        <v>30</v>
      </c>
      <c r="U288" s="188">
        <f t="shared" si="772"/>
        <v>9.2807593781062465</v>
      </c>
      <c r="V288" s="188">
        <f t="shared" si="773"/>
        <v>0.91127054388145468</v>
      </c>
      <c r="W288" s="188">
        <f t="shared" si="774"/>
        <v>1.431475952042834</v>
      </c>
      <c r="X288" s="172">
        <f t="shared" si="775"/>
        <v>350</v>
      </c>
      <c r="Y288" s="379">
        <f t="shared" si="837"/>
        <v>350</v>
      </c>
      <c r="AA288" s="188">
        <f t="shared" si="776"/>
        <v>11.318533785942662</v>
      </c>
      <c r="AB288" s="150">
        <f t="shared" si="777"/>
        <v>1.7457848293301341</v>
      </c>
      <c r="AC288" s="150">
        <f t="shared" si="778"/>
        <v>3.457951800407872</v>
      </c>
      <c r="AD288" s="150"/>
      <c r="AE288" s="150">
        <f t="shared" si="779"/>
        <v>0.93479547061944213</v>
      </c>
      <c r="AF288" s="314">
        <f t="shared" si="780"/>
        <v>1016.6929877935946</v>
      </c>
      <c r="AG288" s="456">
        <f t="shared" si="781"/>
        <v>0.99144974156607502</v>
      </c>
      <c r="AI288" s="150">
        <f t="shared" si="782"/>
        <v>10.329444052541719</v>
      </c>
      <c r="AJ288" s="150">
        <f t="shared" si="783"/>
        <v>10.329444052541719</v>
      </c>
      <c r="AK288" s="150">
        <f t="shared" si="784"/>
        <v>4.362102216248636</v>
      </c>
      <c r="AM288" s="314">
        <f t="shared" si="785"/>
        <v>2880</v>
      </c>
      <c r="AN288" s="144">
        <f t="shared" si="786"/>
        <v>350</v>
      </c>
      <c r="AP288">
        <f t="shared" si="787"/>
        <v>2880</v>
      </c>
      <c r="AQ288">
        <f t="shared" si="788"/>
        <v>350</v>
      </c>
      <c r="AS288" s="5">
        <f t="shared" si="761"/>
        <v>2.8571428571428572</v>
      </c>
      <c r="AT288" s="5">
        <f t="shared" si="789"/>
        <v>1.0142400762978805</v>
      </c>
      <c r="AU288" s="5">
        <f t="shared" si="721"/>
        <v>1.8429027808449767</v>
      </c>
      <c r="AV288" s="5"/>
      <c r="AW288" s="150">
        <f t="shared" si="722"/>
        <v>0.35498402670425816</v>
      </c>
      <c r="AX288" s="150">
        <f t="shared" si="790"/>
        <v>87.758623372449861</v>
      </c>
      <c r="AY288" s="150">
        <f t="shared" si="791"/>
        <v>3.3313282045770549</v>
      </c>
      <c r="AZ288" s="150">
        <f t="shared" si="792"/>
        <v>26.343433604612873</v>
      </c>
      <c r="BA288" s="144">
        <f t="shared" si="723"/>
        <v>9.7367047324596516</v>
      </c>
      <c r="BB288" s="5">
        <f t="shared" si="724"/>
        <v>1.9567403825175469</v>
      </c>
      <c r="BD288" s="150">
        <f t="shared" si="838"/>
        <v>3.5532087758777333</v>
      </c>
      <c r="BE288" s="150">
        <f t="shared" si="839"/>
        <v>4.78962547664797</v>
      </c>
      <c r="BG288" s="456">
        <f t="shared" si="840"/>
        <v>0.15150351125969447</v>
      </c>
      <c r="BH288" s="456">
        <f t="shared" si="793"/>
        <v>5.1687215907231492</v>
      </c>
      <c r="BI288" s="456">
        <f t="shared" si="841"/>
        <v>4.0250000000000001E-2</v>
      </c>
      <c r="BJ288" s="456">
        <f t="shared" si="842"/>
        <v>1.1115498808941546</v>
      </c>
      <c r="BK288">
        <f t="shared" si="843"/>
        <v>2.1540042324958746E-2</v>
      </c>
      <c r="BL288" s="144">
        <f t="shared" si="844"/>
        <v>61.79004232495874</v>
      </c>
      <c r="BM288" s="456">
        <f t="shared" si="794"/>
        <v>6.7143800423137048</v>
      </c>
      <c r="BN288" s="144">
        <f t="shared" si="845"/>
        <v>6714.3800423137045</v>
      </c>
      <c r="BO288" s="456">
        <f t="shared" si="795"/>
        <v>2.016</v>
      </c>
      <c r="BR288" s="144">
        <f t="shared" si="846"/>
        <v>2016</v>
      </c>
      <c r="BS288" s="456">
        <f t="shared" si="847"/>
        <v>0.17675409646964357</v>
      </c>
      <c r="BT288" s="456">
        <f t="shared" si="848"/>
        <v>0.3211671708917741</v>
      </c>
      <c r="BU288" s="456">
        <f t="shared" si="849"/>
        <v>39.294564918772707</v>
      </c>
      <c r="BV288" s="456"/>
      <c r="BW288" s="456">
        <f t="shared" si="850"/>
        <v>3.7344095052106328</v>
      </c>
      <c r="BX288" s="144">
        <f t="shared" si="851"/>
        <v>43526.895691344762</v>
      </c>
      <c r="BY288" s="150">
        <f t="shared" si="852"/>
        <v>52.036460716546721</v>
      </c>
      <c r="BZ288" s="5">
        <f t="shared" si="853"/>
        <v>86.399999999999991</v>
      </c>
      <c r="CA288" s="150">
        <f t="shared" si="854"/>
        <v>0.62411303751044955</v>
      </c>
      <c r="CB288" s="5">
        <f t="shared" si="855"/>
        <v>62.411303751044954</v>
      </c>
      <c r="CE288" s="59">
        <f t="shared" si="796"/>
        <v>-50</v>
      </c>
      <c r="CF288">
        <f t="shared" si="797"/>
        <v>-50</v>
      </c>
      <c r="CG288" s="150">
        <f t="shared" si="798"/>
        <v>0.56199644126987136</v>
      </c>
      <c r="CI288" s="147">
        <v>72</v>
      </c>
      <c r="CJ288" s="188">
        <f t="shared" si="856"/>
        <v>2.88</v>
      </c>
      <c r="CK288" s="188"/>
      <c r="CL288" s="188">
        <f t="shared" si="799"/>
        <v>86.399999999999991</v>
      </c>
      <c r="CM288" s="465">
        <f t="shared" si="800"/>
        <v>48</v>
      </c>
      <c r="CN288" s="379">
        <f t="shared" si="801"/>
        <v>30.4</v>
      </c>
      <c r="CO288" s="379">
        <f t="shared" si="802"/>
        <v>78.400000000000006</v>
      </c>
      <c r="CP288" s="379"/>
      <c r="CQ288" s="188">
        <f t="shared" si="803"/>
        <v>0.38775510204081626</v>
      </c>
      <c r="CR288" s="149">
        <f t="shared" si="804"/>
        <v>284.85494809142222</v>
      </c>
      <c r="CS288" s="149">
        <f t="shared" si="805"/>
        <v>86.399999999999991</v>
      </c>
      <c r="CT288" s="188">
        <f t="shared" si="806"/>
        <v>9.4951649363807409</v>
      </c>
      <c r="CU288" s="188">
        <f t="shared" si="807"/>
        <v>30</v>
      </c>
      <c r="CV288" s="188"/>
      <c r="CW288" s="149">
        <f t="shared" si="808"/>
        <v>204.61890242666524</v>
      </c>
      <c r="CX288" s="149">
        <f t="shared" si="809"/>
        <v>30</v>
      </c>
      <c r="CY288" s="188">
        <f t="shared" si="810"/>
        <v>9.2842105263157908</v>
      </c>
      <c r="CZ288" s="188">
        <f t="shared" si="811"/>
        <v>0.90907894736842121</v>
      </c>
      <c r="DA288" s="188">
        <f t="shared" si="812"/>
        <v>1.4353878116343493</v>
      </c>
      <c r="DB288" s="172">
        <f t="shared" si="813"/>
        <v>350</v>
      </c>
      <c r="DC288" s="379">
        <f t="shared" si="814"/>
        <v>350</v>
      </c>
      <c r="DE288" s="188">
        <f t="shared" si="815"/>
        <v>11.314434588425037</v>
      </c>
      <c r="DF288" s="150">
        <f t="shared" si="816"/>
        <v>1.7492711370262393</v>
      </c>
      <c r="DG288" s="150">
        <f t="shared" si="817"/>
        <v>3.463602425028073</v>
      </c>
      <c r="DH288" s="150"/>
      <c r="DI288" s="150">
        <f t="shared" si="818"/>
        <v>0.93700159489633172</v>
      </c>
      <c r="DJ288" s="314">
        <f t="shared" si="819"/>
        <v>1014.2992340425533</v>
      </c>
      <c r="DK288" s="456">
        <f t="shared" si="820"/>
        <v>0.99378957034459414</v>
      </c>
      <c r="DM288" s="150">
        <f t="shared" si="821"/>
        <v>10.31727680194259</v>
      </c>
      <c r="DN288" s="150">
        <f t="shared" si="822"/>
        <v>10.31727680194259</v>
      </c>
      <c r="DO288" s="150">
        <f t="shared" si="823"/>
        <v>4.3530894380270588</v>
      </c>
      <c r="DQ288" s="314">
        <f t="shared" si="824"/>
        <v>2880</v>
      </c>
      <c r="DR288" s="144">
        <f t="shared" si="825"/>
        <v>350</v>
      </c>
      <c r="DT288">
        <f t="shared" si="826"/>
        <v>2880</v>
      </c>
      <c r="DU288">
        <f t="shared" si="827"/>
        <v>350</v>
      </c>
      <c r="DW288" s="5">
        <f t="shared" si="857"/>
        <v>2.8571428571428572</v>
      </c>
      <c r="DX288" s="5">
        <f t="shared" si="828"/>
        <v>1.0102333535235453</v>
      </c>
      <c r="DY288" s="5">
        <f t="shared" si="829"/>
        <v>1.8469095036193119</v>
      </c>
      <c r="DZ288" s="5"/>
      <c r="EA288" s="150">
        <f t="shared" si="830"/>
        <v>0.35358167373324084</v>
      </c>
      <c r="EB288" s="150">
        <f t="shared" si="858"/>
        <v>87.551999999999992</v>
      </c>
      <c r="EC288" s="150">
        <f t="shared" si="859"/>
        <v>3.3346384009712953</v>
      </c>
      <c r="ED288" s="150">
        <f t="shared" si="860"/>
        <v>26.255320509263711</v>
      </c>
      <c r="EE288" s="144">
        <f t="shared" si="831"/>
        <v>9.6982401938260345</v>
      </c>
      <c r="EF288" s="5">
        <f t="shared" si="832"/>
        <v>1.9555512391263299</v>
      </c>
      <c r="EH288" s="150">
        <f t="shared" si="861"/>
        <v>3.5420062946248678</v>
      </c>
      <c r="EI288" s="150">
        <f t="shared" si="862"/>
        <v>4.7891813787054174</v>
      </c>
      <c r="EK288" s="456">
        <f t="shared" si="863"/>
        <v>0.15054970309394625</v>
      </c>
      <c r="EL288" s="456">
        <f t="shared" si="864"/>
        <v>5.3790154334607898</v>
      </c>
      <c r="EM288" s="456">
        <f t="shared" si="865"/>
        <v>4.0250000000000001E-2</v>
      </c>
      <c r="EN288" s="456">
        <f t="shared" si="866"/>
        <v>1.1132956800000005</v>
      </c>
      <c r="EO288">
        <f t="shared" si="867"/>
        <v>2.1600000000000001E-2</v>
      </c>
      <c r="EP288" s="144">
        <f t="shared" si="868"/>
        <v>61.85</v>
      </c>
      <c r="EQ288" s="144"/>
      <c r="ER288" s="144">
        <f t="shared" si="869"/>
        <v>6704.710816554737</v>
      </c>
      <c r="ES288" s="456">
        <f t="shared" si="870"/>
        <v>2.016</v>
      </c>
      <c r="EV288" s="144">
        <f t="shared" si="871"/>
        <v>2016</v>
      </c>
      <c r="EW288" s="456">
        <f t="shared" si="872"/>
        <v>0.17564132027627061</v>
      </c>
      <c r="EX288" s="456">
        <f t="shared" si="873"/>
        <v>0.32110761589394216</v>
      </c>
      <c r="EY288" s="456">
        <f t="shared" si="874"/>
        <v>39.178952568134832</v>
      </c>
      <c r="EZ288" s="456"/>
      <c r="FA288" s="456">
        <f t="shared" si="875"/>
        <v>3.7256170212765958</v>
      </c>
      <c r="FB288" s="144">
        <f t="shared" si="876"/>
        <v>43401.318525581642</v>
      </c>
      <c r="FC288" s="150">
        <f t="shared" si="877"/>
        <v>52.122029342136379</v>
      </c>
      <c r="FD288" s="5">
        <f t="shared" si="878"/>
        <v>86.399999999999991</v>
      </c>
      <c r="FE288" s="150">
        <f t="shared" si="879"/>
        <v>0.62372750681121003</v>
      </c>
      <c r="FF288" s="5">
        <f t="shared" si="880"/>
        <v>62.372750681121005</v>
      </c>
      <c r="FI288" s="59">
        <f t="shared" si="833"/>
        <v>-50</v>
      </c>
      <c r="FJ288">
        <f t="shared" si="834"/>
        <v>-50</v>
      </c>
      <c r="FL288">
        <f t="shared" si="835"/>
        <v>0.55828685326301186</v>
      </c>
    </row>
    <row r="289" spans="5:168">
      <c r="E289" s="147">
        <v>73</v>
      </c>
      <c r="F289" s="188">
        <f t="shared" si="836"/>
        <v>2.92</v>
      </c>
      <c r="G289" s="188"/>
      <c r="H289" s="188">
        <f t="shared" si="762"/>
        <v>87.6</v>
      </c>
      <c r="I289" s="465">
        <f t="shared" si="763"/>
        <v>47.865838640001236</v>
      </c>
      <c r="J289" s="149">
        <f t="shared" si="764"/>
        <v>30.472240732307025</v>
      </c>
      <c r="K289" s="149">
        <f t="shared" si="765"/>
        <v>78.338079372308258</v>
      </c>
      <c r="L289" s="379"/>
      <c r="M289" s="188">
        <f t="shared" si="766"/>
        <v>0.38898750478271304</v>
      </c>
      <c r="N289" s="149">
        <f t="shared" si="767"/>
        <v>284.96159494430765</v>
      </c>
      <c r="O289" s="149">
        <f t="shared" si="760"/>
        <v>87.6</v>
      </c>
      <c r="P289" s="188">
        <f t="shared" si="768"/>
        <v>9.4987198314769223</v>
      </c>
      <c r="Q289" s="188">
        <f t="shared" si="769"/>
        <v>30</v>
      </c>
      <c r="R289" s="188"/>
      <c r="S289" s="149">
        <f t="shared" si="770"/>
        <v>200.59927306161512</v>
      </c>
      <c r="T289" s="149">
        <f t="shared" si="771"/>
        <v>30</v>
      </c>
      <c r="U289" s="188">
        <f t="shared" si="772"/>
        <v>9.4096350211882758</v>
      </c>
      <c r="V289" s="188">
        <f t="shared" si="773"/>
        <v>0.92394254140626408</v>
      </c>
      <c r="W289" s="188">
        <f t="shared" si="774"/>
        <v>1.4513302447330936</v>
      </c>
      <c r="X289" s="172">
        <f t="shared" si="775"/>
        <v>350</v>
      </c>
      <c r="Y289" s="379">
        <f t="shared" si="837"/>
        <v>350</v>
      </c>
      <c r="AA289" s="188">
        <f t="shared" si="776"/>
        <v>11.318561659945711</v>
      </c>
      <c r="AB289" s="150">
        <f t="shared" si="777"/>
        <v>1.7457606832747454</v>
      </c>
      <c r="AC289" s="150">
        <f t="shared" si="778"/>
        <v>3.4579124890019779</v>
      </c>
      <c r="AD289" s="150"/>
      <c r="AE289" s="150">
        <f t="shared" si="779"/>
        <v>0.93478023933594467</v>
      </c>
      <c r="AF289" s="314">
        <f t="shared" si="780"/>
        <v>1030.8305197856221</v>
      </c>
      <c r="AG289" s="456">
        <f t="shared" si="781"/>
        <v>0.99143358717448693</v>
      </c>
      <c r="AI289" s="150">
        <f t="shared" si="782"/>
        <v>10.401013683257748</v>
      </c>
      <c r="AJ289" s="150">
        <f t="shared" si="783"/>
        <v>10.401013683257748</v>
      </c>
      <c r="AK289" s="150">
        <f t="shared" si="784"/>
        <v>4.4151167575197681</v>
      </c>
      <c r="AM289" s="314">
        <f t="shared" si="785"/>
        <v>2920</v>
      </c>
      <c r="AN289" s="144">
        <f t="shared" si="786"/>
        <v>350</v>
      </c>
      <c r="AP289">
        <f t="shared" si="787"/>
        <v>2920</v>
      </c>
      <c r="AQ289">
        <f t="shared" si="788"/>
        <v>350</v>
      </c>
      <c r="AS289" s="5">
        <f t="shared" si="761"/>
        <v>2.8571428571428572</v>
      </c>
      <c r="AT289" s="5">
        <f t="shared" si="789"/>
        <v>1.0212871162453354</v>
      </c>
      <c r="AU289" s="5">
        <f t="shared" si="721"/>
        <v>1.8358557408975218</v>
      </c>
      <c r="AV289" s="5"/>
      <c r="AW289" s="150">
        <f t="shared" si="722"/>
        <v>0.35745049068586737</v>
      </c>
      <c r="AX289" s="150">
        <f t="shared" si="790"/>
        <v>88.978942938336502</v>
      </c>
      <c r="AY289" s="150">
        <f t="shared" si="791"/>
        <v>3.3415831192734231</v>
      </c>
      <c r="AZ289" s="150">
        <f t="shared" si="792"/>
        <v>26.627780833919115</v>
      </c>
      <c r="BA289" s="144">
        <f t="shared" si="723"/>
        <v>9.9405279314545965</v>
      </c>
      <c r="BB289" s="5">
        <f t="shared" si="724"/>
        <v>1.9763691413577442</v>
      </c>
      <c r="BD289" s="150">
        <f t="shared" si="838"/>
        <v>3.5902359321128627</v>
      </c>
      <c r="BE289" s="150">
        <f t="shared" si="839"/>
        <v>4.8135816012131052</v>
      </c>
      <c r="BG289" s="456">
        <f t="shared" si="840"/>
        <v>0.15467752857881178</v>
      </c>
      <c r="BH289" s="456">
        <f t="shared" si="793"/>
        <v>5.2045058440742684</v>
      </c>
      <c r="BI289" s="456">
        <f t="shared" si="841"/>
        <v>4.0250000000000001E-2</v>
      </c>
      <c r="BJ289" s="456">
        <f t="shared" si="842"/>
        <v>1.1115378038682822</v>
      </c>
      <c r="BK289">
        <f t="shared" si="843"/>
        <v>2.1539627388000554E-2</v>
      </c>
      <c r="BL289" s="144">
        <f t="shared" si="844"/>
        <v>61.789627388000554</v>
      </c>
      <c r="BM289" s="456">
        <f t="shared" si="794"/>
        <v>6.7609586760487659</v>
      </c>
      <c r="BN289" s="144">
        <f t="shared" si="845"/>
        <v>6760.9586760487655</v>
      </c>
      <c r="BO289" s="456">
        <f t="shared" si="795"/>
        <v>2.044</v>
      </c>
      <c r="BR289" s="144">
        <f t="shared" si="846"/>
        <v>2044</v>
      </c>
      <c r="BS289" s="456">
        <f t="shared" si="847"/>
        <v>0.18045711667528044</v>
      </c>
      <c r="BT289" s="456">
        <f t="shared" si="848"/>
        <v>0.32438794964152251</v>
      </c>
      <c r="BU289" s="456">
        <f t="shared" si="849"/>
        <v>39.978756760145693</v>
      </c>
      <c r="BV289" s="456"/>
      <c r="BW289" s="456">
        <f t="shared" si="850"/>
        <v>3.7863379973760218</v>
      </c>
      <c r="BX289" s="144">
        <f t="shared" si="851"/>
        <v>44269.939823838518</v>
      </c>
      <c r="BY289" s="150">
        <f t="shared" si="852"/>
        <v>52.846450627747885</v>
      </c>
      <c r="BZ289" s="5">
        <f t="shared" si="853"/>
        <v>87.6</v>
      </c>
      <c r="CA289" s="150">
        <f t="shared" si="854"/>
        <v>0.62372526759101266</v>
      </c>
      <c r="CB289" s="5">
        <f t="shared" si="855"/>
        <v>62.372526759101262</v>
      </c>
      <c r="CE289" s="59">
        <f t="shared" si="796"/>
        <v>-50</v>
      </c>
      <c r="CF289">
        <f t="shared" si="797"/>
        <v>-50</v>
      </c>
      <c r="CG289" s="150">
        <f t="shared" si="798"/>
        <v>0.56588573640503315</v>
      </c>
      <c r="CI289" s="147">
        <v>73</v>
      </c>
      <c r="CJ289" s="188">
        <f t="shared" si="856"/>
        <v>2.92</v>
      </c>
      <c r="CK289" s="188"/>
      <c r="CL289" s="188">
        <f t="shared" si="799"/>
        <v>87.6</v>
      </c>
      <c r="CM289" s="465">
        <f t="shared" si="800"/>
        <v>48</v>
      </c>
      <c r="CN289" s="379">
        <f t="shared" si="801"/>
        <v>30.4</v>
      </c>
      <c r="CO289" s="379">
        <f t="shared" si="802"/>
        <v>78.400000000000006</v>
      </c>
      <c r="CP289" s="379"/>
      <c r="CQ289" s="188">
        <f t="shared" si="803"/>
        <v>0.38775510204081626</v>
      </c>
      <c r="CR289" s="149">
        <f t="shared" si="804"/>
        <v>284.85494809142222</v>
      </c>
      <c r="CS289" s="149">
        <f t="shared" si="805"/>
        <v>87.6</v>
      </c>
      <c r="CT289" s="188">
        <f t="shared" si="806"/>
        <v>9.4951649363807409</v>
      </c>
      <c r="CU289" s="188">
        <f t="shared" si="807"/>
        <v>30</v>
      </c>
      <c r="CV289" s="188"/>
      <c r="CW289" s="149">
        <f t="shared" si="808"/>
        <v>201.16125889114903</v>
      </c>
      <c r="CX289" s="149">
        <f t="shared" si="809"/>
        <v>30</v>
      </c>
      <c r="CY289" s="188">
        <f t="shared" si="810"/>
        <v>9.4131578947368428</v>
      </c>
      <c r="CZ289" s="188">
        <f t="shared" si="811"/>
        <v>0.92170504385964913</v>
      </c>
      <c r="DA289" s="188">
        <f t="shared" si="812"/>
        <v>1.455323753462604</v>
      </c>
      <c r="DB289" s="172">
        <f t="shared" si="813"/>
        <v>350</v>
      </c>
      <c r="DC289" s="379">
        <f t="shared" si="814"/>
        <v>350</v>
      </c>
      <c r="DE289" s="188">
        <f t="shared" si="815"/>
        <v>11.314434588425037</v>
      </c>
      <c r="DF289" s="150">
        <f t="shared" si="816"/>
        <v>1.7492711370262393</v>
      </c>
      <c r="DG289" s="150">
        <f t="shared" si="817"/>
        <v>3.463602425028073</v>
      </c>
      <c r="DH289" s="150"/>
      <c r="DI289" s="150">
        <f t="shared" si="818"/>
        <v>0.93700159489633172</v>
      </c>
      <c r="DJ289" s="314">
        <f t="shared" si="819"/>
        <v>1028.3867234042552</v>
      </c>
      <c r="DK289" s="456">
        <f t="shared" si="820"/>
        <v>0.99378957034459414</v>
      </c>
      <c r="DM289" s="150">
        <f t="shared" si="821"/>
        <v>10.388677493347759</v>
      </c>
      <c r="DN289" s="150">
        <f t="shared" si="822"/>
        <v>10.388677493347759</v>
      </c>
      <c r="DO289" s="150">
        <f t="shared" si="823"/>
        <v>4.4059788390679246</v>
      </c>
      <c r="DQ289" s="314">
        <f t="shared" si="824"/>
        <v>2920</v>
      </c>
      <c r="DR289" s="144">
        <f t="shared" si="825"/>
        <v>350</v>
      </c>
      <c r="DT289">
        <f t="shared" si="826"/>
        <v>2920</v>
      </c>
      <c r="DU289">
        <f t="shared" si="827"/>
        <v>350</v>
      </c>
      <c r="DW289" s="5">
        <f t="shared" si="857"/>
        <v>2.8571428571428572</v>
      </c>
      <c r="DX289" s="5">
        <f t="shared" si="828"/>
        <v>1.0172246712236348</v>
      </c>
      <c r="DY289" s="5">
        <f t="shared" si="829"/>
        <v>1.8399181859192224</v>
      </c>
      <c r="DZ289" s="5"/>
      <c r="EA289" s="150">
        <f t="shared" si="830"/>
        <v>0.35602863492827219</v>
      </c>
      <c r="EB289" s="150">
        <f t="shared" si="858"/>
        <v>88.768000000000001</v>
      </c>
      <c r="EC289" s="150">
        <f t="shared" si="859"/>
        <v>3.3450054133405458</v>
      </c>
      <c r="ED289" s="150">
        <f t="shared" si="860"/>
        <v>26.537475737998985</v>
      </c>
      <c r="EE289" s="144">
        <f t="shared" si="831"/>
        <v>9.9009867999100454</v>
      </c>
      <c r="EF289" s="5">
        <f t="shared" si="832"/>
        <v>1.9752062878250474</v>
      </c>
      <c r="EH289" s="150">
        <f t="shared" si="861"/>
        <v>3.5788385059678962</v>
      </c>
      <c r="EI289" s="150">
        <f t="shared" si="862"/>
        <v>4.813188995021723</v>
      </c>
      <c r="EK289" s="456">
        <f t="shared" si="863"/>
        <v>0.15369702062158228</v>
      </c>
      <c r="EL289" s="456">
        <f t="shared" si="864"/>
        <v>5.4162408979317869</v>
      </c>
      <c r="EM289" s="456">
        <f t="shared" si="865"/>
        <v>4.0250000000000001E-2</v>
      </c>
      <c r="EN289" s="456">
        <f t="shared" si="866"/>
        <v>1.1132956800000005</v>
      </c>
      <c r="EO289">
        <f t="shared" si="867"/>
        <v>2.1600000000000001E-2</v>
      </c>
      <c r="EP289" s="144">
        <f t="shared" si="868"/>
        <v>61.85</v>
      </c>
      <c r="EQ289" s="144"/>
      <c r="ER289" s="144">
        <f t="shared" si="869"/>
        <v>6745.0835985533695</v>
      </c>
      <c r="ES289" s="456">
        <f t="shared" si="870"/>
        <v>2.044</v>
      </c>
      <c r="EV289" s="144">
        <f t="shared" si="871"/>
        <v>2044</v>
      </c>
      <c r="EW289" s="456">
        <f t="shared" si="872"/>
        <v>0.17931319072517932</v>
      </c>
      <c r="EX289" s="456">
        <f t="shared" si="873"/>
        <v>0.32433503622517512</v>
      </c>
      <c r="EY289" s="456">
        <f t="shared" si="874"/>
        <v>39.860319526990928</v>
      </c>
      <c r="EZ289" s="456"/>
      <c r="FA289" s="456">
        <f t="shared" si="875"/>
        <v>3.7773617021276595</v>
      </c>
      <c r="FB289" s="144">
        <f t="shared" si="876"/>
        <v>44141.329456068939</v>
      </c>
      <c r="FC289" s="150">
        <f t="shared" si="877"/>
        <v>52.930413054622313</v>
      </c>
      <c r="FD289" s="5">
        <f t="shared" si="878"/>
        <v>87.6</v>
      </c>
      <c r="FE289" s="150">
        <f t="shared" si="879"/>
        <v>0.623352611693748</v>
      </c>
      <c r="FF289" s="5">
        <f t="shared" si="880"/>
        <v>62.335261169374803</v>
      </c>
      <c r="FI289" s="59">
        <f t="shared" si="833"/>
        <v>-50</v>
      </c>
      <c r="FJ289">
        <f t="shared" si="834"/>
        <v>-50</v>
      </c>
      <c r="FL289">
        <f t="shared" si="835"/>
        <v>0.562150476202535</v>
      </c>
    </row>
    <row r="290" spans="5:168">
      <c r="E290" s="147">
        <v>74</v>
      </c>
      <c r="F290" s="188">
        <f t="shared" si="836"/>
        <v>2.96</v>
      </c>
      <c r="G290" s="188"/>
      <c r="H290" s="188">
        <f t="shared" si="762"/>
        <v>88.8</v>
      </c>
      <c r="I290" s="465">
        <f t="shared" si="763"/>
        <v>47.864922852168618</v>
      </c>
      <c r="J290" s="149">
        <f t="shared" si="764"/>
        <v>30.472733848832281</v>
      </c>
      <c r="K290" s="149">
        <f t="shared" si="765"/>
        <v>78.337656701000896</v>
      </c>
      <c r="L290" s="379"/>
      <c r="M290" s="188">
        <f t="shared" si="766"/>
        <v>0.38899592382866321</v>
      </c>
      <c r="N290" s="149">
        <f t="shared" si="767"/>
        <v>284.96231039283168</v>
      </c>
      <c r="O290" s="149">
        <f t="shared" si="760"/>
        <v>88.8</v>
      </c>
      <c r="P290" s="188">
        <f t="shared" si="768"/>
        <v>9.4987436797610556</v>
      </c>
      <c r="Q290" s="188">
        <f t="shared" si="769"/>
        <v>30</v>
      </c>
      <c r="R290" s="188"/>
      <c r="S290" s="149">
        <f t="shared" si="770"/>
        <v>197.24076857594616</v>
      </c>
      <c r="T290" s="149">
        <f t="shared" si="771"/>
        <v>30</v>
      </c>
      <c r="U290" s="188">
        <f t="shared" si="772"/>
        <v>9.5385101828824332</v>
      </c>
      <c r="V290" s="188">
        <f t="shared" si="773"/>
        <v>0.9366148567293946</v>
      </c>
      <c r="W290" s="188">
        <f t="shared" si="774"/>
        <v>1.4711839798143143</v>
      </c>
      <c r="X290" s="172">
        <f t="shared" si="775"/>
        <v>350</v>
      </c>
      <c r="Y290" s="379">
        <f t="shared" si="837"/>
        <v>350</v>
      </c>
      <c r="AA290" s="188">
        <f t="shared" si="776"/>
        <v>11.318589336942821</v>
      </c>
      <c r="AB290" s="150">
        <f t="shared" si="777"/>
        <v>1.7457367017849561</v>
      </c>
      <c r="AC290" s="150">
        <f t="shared" si="778"/>
        <v>3.4578734431382636</v>
      </c>
      <c r="AD290" s="150"/>
      <c r="AE290" s="150">
        <f t="shared" si="779"/>
        <v>0.93476511251516814</v>
      </c>
      <c r="AF290" s="314">
        <f t="shared" si="780"/>
        <v>1044.9683957199995</v>
      </c>
      <c r="AG290" s="456">
        <f t="shared" si="781"/>
        <v>0.99141754357669332</v>
      </c>
      <c r="AI290" s="150">
        <f t="shared" si="782"/>
        <v>10.472095919120616</v>
      </c>
      <c r="AJ290" s="150">
        <f t="shared" si="783"/>
        <v>10.472095919120616</v>
      </c>
      <c r="AK290" s="150">
        <f t="shared" si="784"/>
        <v>4.4677702655663367</v>
      </c>
      <c r="AM290" s="314">
        <f t="shared" si="785"/>
        <v>2960</v>
      </c>
      <c r="AN290" s="144">
        <f t="shared" si="786"/>
        <v>350</v>
      </c>
      <c r="AP290">
        <f t="shared" si="787"/>
        <v>2960</v>
      </c>
      <c r="AQ290">
        <f t="shared" si="788"/>
        <v>350</v>
      </c>
      <c r="AS290" s="5">
        <f t="shared" si="761"/>
        <v>2.8571428571428572</v>
      </c>
      <c r="AT290" s="5">
        <f t="shared" si="789"/>
        <v>1.0282864337184854</v>
      </c>
      <c r="AU290" s="5">
        <f t="shared" si="721"/>
        <v>1.8288564234243718</v>
      </c>
      <c r="AV290" s="5"/>
      <c r="AW290" s="150">
        <f t="shared" si="722"/>
        <v>0.35990025180146989</v>
      </c>
      <c r="AX290" s="150">
        <f t="shared" si="790"/>
        <v>90.199292192543538</v>
      </c>
      <c r="AY290" s="150">
        <f t="shared" si="791"/>
        <v>3.3515929804699804</v>
      </c>
      <c r="AZ290" s="150">
        <f t="shared" si="792"/>
        <v>26.912364573545339</v>
      </c>
      <c r="BA290" s="144">
        <f t="shared" si="723"/>
        <v>10.145759479355723</v>
      </c>
      <c r="BB290" s="5">
        <f t="shared" si="724"/>
        <v>1.9958426230324926</v>
      </c>
      <c r="BD290" s="150">
        <f t="shared" si="838"/>
        <v>3.6271378336367226</v>
      </c>
      <c r="BE290" s="150">
        <f t="shared" si="839"/>
        <v>4.8372308313285322</v>
      </c>
      <c r="BG290" s="456">
        <f t="shared" si="840"/>
        <v>0.15787354637038675</v>
      </c>
      <c r="BH290" s="456">
        <f t="shared" si="793"/>
        <v>5.2400460191447982</v>
      </c>
      <c r="BI290" s="456">
        <f t="shared" si="841"/>
        <v>4.0250000000000001E-2</v>
      </c>
      <c r="BJ290" s="456">
        <f t="shared" si="842"/>
        <v>1.1115258093472762</v>
      </c>
      <c r="BK290">
        <f t="shared" si="843"/>
        <v>2.1539215283475879E-2</v>
      </c>
      <c r="BL290" s="144">
        <f t="shared" si="844"/>
        <v>61.789215283475876</v>
      </c>
      <c r="BM290" s="456">
        <f t="shared" si="794"/>
        <v>6.807422798557436</v>
      </c>
      <c r="BN290" s="144">
        <f t="shared" si="845"/>
        <v>6807.4227985574362</v>
      </c>
      <c r="BO290" s="456">
        <f t="shared" si="795"/>
        <v>2.0720000000000001</v>
      </c>
      <c r="BR290" s="144">
        <f t="shared" si="846"/>
        <v>2072</v>
      </c>
      <c r="BS290" s="456">
        <f t="shared" si="847"/>
        <v>0.18418580409878454</v>
      </c>
      <c r="BT290" s="456">
        <f t="shared" si="848"/>
        <v>0.32758322961777453</v>
      </c>
      <c r="BU290" s="456">
        <f t="shared" si="849"/>
        <v>40.665315294676716</v>
      </c>
      <c r="BV290" s="456"/>
      <c r="BW290" s="456">
        <f t="shared" si="850"/>
        <v>3.8382677528741933</v>
      </c>
      <c r="BX290" s="144">
        <f t="shared" si="851"/>
        <v>45015.352081267476</v>
      </c>
      <c r="BY290" s="150">
        <f t="shared" si="852"/>
        <v>53.65858667141341</v>
      </c>
      <c r="BZ290" s="5">
        <f t="shared" si="853"/>
        <v>88.8</v>
      </c>
      <c r="CA290" s="150">
        <f t="shared" si="854"/>
        <v>0.62333904943772089</v>
      </c>
      <c r="CB290" s="5">
        <f t="shared" si="855"/>
        <v>62.33390494377209</v>
      </c>
      <c r="CE290" s="59">
        <f t="shared" si="796"/>
        <v>-50</v>
      </c>
      <c r="CF290">
        <f t="shared" si="797"/>
        <v>-50</v>
      </c>
      <c r="CG290" s="150">
        <f t="shared" si="798"/>
        <v>0.56974848251955301</v>
      </c>
      <c r="CI290" s="147">
        <v>74</v>
      </c>
      <c r="CJ290" s="188">
        <f t="shared" si="856"/>
        <v>2.96</v>
      </c>
      <c r="CK290" s="188"/>
      <c r="CL290" s="188">
        <f t="shared" si="799"/>
        <v>88.8</v>
      </c>
      <c r="CM290" s="465">
        <f t="shared" si="800"/>
        <v>48</v>
      </c>
      <c r="CN290" s="379">
        <f t="shared" si="801"/>
        <v>30.4</v>
      </c>
      <c r="CO290" s="379">
        <f t="shared" si="802"/>
        <v>78.400000000000006</v>
      </c>
      <c r="CP290" s="379"/>
      <c r="CQ290" s="188">
        <f t="shared" si="803"/>
        <v>0.38775510204081626</v>
      </c>
      <c r="CR290" s="149">
        <f t="shared" si="804"/>
        <v>284.85494809142222</v>
      </c>
      <c r="CS290" s="149">
        <f t="shared" si="805"/>
        <v>88.8</v>
      </c>
      <c r="CT290" s="188">
        <f t="shared" si="806"/>
        <v>9.4951649363807409</v>
      </c>
      <c r="CU290" s="188">
        <f t="shared" si="807"/>
        <v>30</v>
      </c>
      <c r="CV290" s="188"/>
      <c r="CW290" s="149">
        <f t="shared" si="808"/>
        <v>197.7971189550197</v>
      </c>
      <c r="CX290" s="149">
        <f t="shared" si="809"/>
        <v>30</v>
      </c>
      <c r="CY290" s="188">
        <f t="shared" si="810"/>
        <v>9.5421052631578966</v>
      </c>
      <c r="CZ290" s="188">
        <f t="shared" si="811"/>
        <v>0.93433114035087739</v>
      </c>
      <c r="DA290" s="188">
        <f t="shared" si="812"/>
        <v>1.475259695290859</v>
      </c>
      <c r="DB290" s="172">
        <f t="shared" si="813"/>
        <v>350</v>
      </c>
      <c r="DC290" s="379">
        <f t="shared" si="814"/>
        <v>350</v>
      </c>
      <c r="DE290" s="188">
        <f t="shared" si="815"/>
        <v>11.314434588425037</v>
      </c>
      <c r="DF290" s="150">
        <f t="shared" si="816"/>
        <v>1.7492711370262393</v>
      </c>
      <c r="DG290" s="150">
        <f t="shared" si="817"/>
        <v>3.463602425028073</v>
      </c>
      <c r="DH290" s="150"/>
      <c r="DI290" s="150">
        <f t="shared" si="818"/>
        <v>0.93700159489633172</v>
      </c>
      <c r="DJ290" s="314">
        <f t="shared" si="819"/>
        <v>1042.4742127659574</v>
      </c>
      <c r="DK290" s="456">
        <f t="shared" si="820"/>
        <v>0.99378957034459414</v>
      </c>
      <c r="DM290" s="150">
        <f t="shared" si="821"/>
        <v>10.459590790928573</v>
      </c>
      <c r="DN290" s="150">
        <f t="shared" si="822"/>
        <v>10.459590790928573</v>
      </c>
      <c r="DO290" s="150">
        <f t="shared" si="823"/>
        <v>4.4585072076463055</v>
      </c>
      <c r="DQ290" s="314">
        <f t="shared" si="824"/>
        <v>2960</v>
      </c>
      <c r="DR290" s="144">
        <f t="shared" si="825"/>
        <v>350</v>
      </c>
      <c r="DT290">
        <f t="shared" si="826"/>
        <v>2960</v>
      </c>
      <c r="DU290">
        <f t="shared" si="827"/>
        <v>350</v>
      </c>
      <c r="DW290" s="5">
        <f t="shared" si="857"/>
        <v>2.8571428571428572</v>
      </c>
      <c r="DX290" s="5">
        <f t="shared" si="828"/>
        <v>1.0241682649450894</v>
      </c>
      <c r="DY290" s="5">
        <f t="shared" si="829"/>
        <v>1.8329745921977678</v>
      </c>
      <c r="DZ290" s="5"/>
      <c r="EA290" s="150">
        <f t="shared" si="830"/>
        <v>0.3584588927307813</v>
      </c>
      <c r="EB290" s="150">
        <f t="shared" si="858"/>
        <v>89.983999999999995</v>
      </c>
      <c r="EC290" s="150">
        <f t="shared" si="859"/>
        <v>3.3551287287976201</v>
      </c>
      <c r="ED290" s="150">
        <f t="shared" si="860"/>
        <v>26.819835324842401</v>
      </c>
      <c r="EE290" s="144">
        <f t="shared" si="831"/>
        <v>10.105126880791548</v>
      </c>
      <c r="EF290" s="5">
        <f t="shared" si="832"/>
        <v>1.9947076444505116</v>
      </c>
      <c r="EH290" s="150">
        <f t="shared" si="861"/>
        <v>3.615544790920397</v>
      </c>
      <c r="EI290" s="150">
        <f t="shared" si="862"/>
        <v>4.8368911195871451</v>
      </c>
      <c r="EK290" s="456">
        <f t="shared" si="863"/>
        <v>0.1568659696218194</v>
      </c>
      <c r="EL290" s="456">
        <f t="shared" si="864"/>
        <v>5.4532122547585207</v>
      </c>
      <c r="EM290" s="456">
        <f t="shared" si="865"/>
        <v>4.0250000000000001E-2</v>
      </c>
      <c r="EN290" s="456">
        <f t="shared" si="866"/>
        <v>1.1132956800000005</v>
      </c>
      <c r="EO290">
        <f t="shared" si="867"/>
        <v>2.1600000000000001E-2</v>
      </c>
      <c r="EP290" s="144">
        <f t="shared" si="868"/>
        <v>61.85</v>
      </c>
      <c r="EQ290" s="144"/>
      <c r="ER290" s="144">
        <f t="shared" si="869"/>
        <v>6785.2239043803402</v>
      </c>
      <c r="ES290" s="456">
        <f t="shared" si="870"/>
        <v>2.0720000000000001</v>
      </c>
      <c r="EV290" s="144">
        <f t="shared" si="871"/>
        <v>2072</v>
      </c>
      <c r="EW290" s="456">
        <f t="shared" si="872"/>
        <v>0.18301029789212264</v>
      </c>
      <c r="EX290" s="456">
        <f t="shared" si="873"/>
        <v>0.32753721983837381</v>
      </c>
      <c r="EY290" s="456">
        <f t="shared" si="874"/>
        <v>40.544023998612808</v>
      </c>
      <c r="EZ290" s="456"/>
      <c r="FA290" s="456">
        <f t="shared" si="875"/>
        <v>3.8291063829787233</v>
      </c>
      <c r="FB290" s="144">
        <f t="shared" si="876"/>
        <v>44883.677899322021</v>
      </c>
      <c r="FC290" s="150">
        <f t="shared" si="877"/>
        <v>53.740901803702371</v>
      </c>
      <c r="FD290" s="5">
        <f t="shared" si="878"/>
        <v>88.8</v>
      </c>
      <c r="FE290" s="150">
        <f t="shared" si="879"/>
        <v>0.62297908092576348</v>
      </c>
      <c r="FF290" s="5">
        <f t="shared" si="880"/>
        <v>62.29790809257635</v>
      </c>
      <c r="FI290" s="59">
        <f t="shared" si="833"/>
        <v>-50</v>
      </c>
      <c r="FJ290">
        <f t="shared" si="834"/>
        <v>-50</v>
      </c>
      <c r="FL290">
        <f t="shared" si="835"/>
        <v>0.56598772536439157</v>
      </c>
    </row>
    <row r="291" spans="5:168">
      <c r="E291" s="147">
        <v>75</v>
      </c>
      <c r="F291" s="188">
        <f t="shared" si="836"/>
        <v>3</v>
      </c>
      <c r="G291" s="188"/>
      <c r="H291" s="188">
        <f t="shared" si="762"/>
        <v>90</v>
      </c>
      <c r="I291" s="465">
        <f t="shared" si="763"/>
        <v>47.864013231467894</v>
      </c>
      <c r="J291" s="149">
        <f t="shared" si="764"/>
        <v>30.47322364459421</v>
      </c>
      <c r="K291" s="149">
        <f t="shared" si="765"/>
        <v>78.337236876062107</v>
      </c>
      <c r="L291" s="379"/>
      <c r="M291" s="188">
        <f t="shared" si="766"/>
        <v>0.38900428626800365</v>
      </c>
      <c r="N291" s="149">
        <f t="shared" si="767"/>
        <v>284.9630208551045</v>
      </c>
      <c r="O291" s="149">
        <f t="shared" si="760"/>
        <v>90</v>
      </c>
      <c r="P291" s="188">
        <f t="shared" si="768"/>
        <v>9.4987673618368174</v>
      </c>
      <c r="Q291" s="188">
        <f t="shared" si="769"/>
        <v>30</v>
      </c>
      <c r="R291" s="188"/>
      <c r="S291" s="149">
        <f t="shared" si="770"/>
        <v>193.97192717955241</v>
      </c>
      <c r="T291" s="149">
        <f t="shared" si="771"/>
        <v>30</v>
      </c>
      <c r="U291" s="188">
        <f t="shared" si="772"/>
        <v>9.6673848666090407</v>
      </c>
      <c r="V291" s="188">
        <f t="shared" si="773"/>
        <v>0.94928748772763616</v>
      </c>
      <c r="W291" s="188">
        <f t="shared" si="774"/>
        <v>1.4910371611151396</v>
      </c>
      <c r="X291" s="172">
        <f t="shared" si="775"/>
        <v>350</v>
      </c>
      <c r="Y291" s="379">
        <f t="shared" si="837"/>
        <v>350</v>
      </c>
      <c r="AA291" s="188">
        <f t="shared" si="776"/>
        <v>11.318616820914034</v>
      </c>
      <c r="AB291" s="150">
        <f t="shared" si="777"/>
        <v>1.7457128815360139</v>
      </c>
      <c r="AC291" s="150">
        <f t="shared" si="778"/>
        <v>3.4578346574519712</v>
      </c>
      <c r="AD291" s="150"/>
      <c r="AE291" s="150">
        <f t="shared" si="779"/>
        <v>0.93475008804661019</v>
      </c>
      <c r="AF291" s="314">
        <f t="shared" si="780"/>
        <v>1059.1066132647798</v>
      </c>
      <c r="AG291" s="456">
        <f t="shared" si="781"/>
        <v>0.99140160853428361</v>
      </c>
      <c r="AI291" s="150">
        <f t="shared" si="782"/>
        <v>10.542700607041127</v>
      </c>
      <c r="AJ291" s="150">
        <f t="shared" si="783"/>
        <v>10.542700607041127</v>
      </c>
      <c r="AK291" s="150">
        <f t="shared" si="784"/>
        <v>4.5200700343963449</v>
      </c>
      <c r="AM291" s="314">
        <f t="shared" si="785"/>
        <v>3000</v>
      </c>
      <c r="AN291" s="144">
        <f t="shared" si="786"/>
        <v>350</v>
      </c>
      <c r="AP291">
        <f t="shared" si="787"/>
        <v>3000</v>
      </c>
      <c r="AQ291">
        <f t="shared" si="788"/>
        <v>350</v>
      </c>
      <c r="AS291" s="5">
        <f t="shared" si="761"/>
        <v>2.8571428571428572</v>
      </c>
      <c r="AT291" s="5">
        <f t="shared" si="789"/>
        <v>1.0352389928832066</v>
      </c>
      <c r="AU291" s="5">
        <f t="shared" si="721"/>
        <v>1.8219038642596506</v>
      </c>
      <c r="AV291" s="5"/>
      <c r="AW291" s="150">
        <f t="shared" si="722"/>
        <v>0.36233364750912234</v>
      </c>
      <c r="AX291" s="150">
        <f t="shared" si="790"/>
        <v>91.419670933782641</v>
      </c>
      <c r="AY291" s="150">
        <f t="shared" si="791"/>
        <v>3.3613627207476386</v>
      </c>
      <c r="AZ291" s="150">
        <f t="shared" si="792"/>
        <v>27.197204981629877</v>
      </c>
      <c r="BA291" s="144">
        <f t="shared" si="723"/>
        <v>10.352389928832066</v>
      </c>
      <c r="BB291" s="5">
        <f t="shared" si="724"/>
        <v>2.0151618612457654</v>
      </c>
      <c r="BD291" s="150">
        <f t="shared" si="838"/>
        <v>3.6639165973350729</v>
      </c>
      <c r="BE291" s="150">
        <f t="shared" si="839"/>
        <v>4.8605788953245437</v>
      </c>
      <c r="BG291" s="456">
        <f t="shared" si="840"/>
        <v>0.16109141798672905</v>
      </c>
      <c r="BH291" s="456">
        <f t="shared" si="793"/>
        <v>5.2753470470753907</v>
      </c>
      <c r="BI291" s="456">
        <f t="shared" si="841"/>
        <v>4.0250000000000001E-2</v>
      </c>
      <c r="BJ291" s="456">
        <f t="shared" si="842"/>
        <v>1.1115138956642761</v>
      </c>
      <c r="BK291">
        <f t="shared" si="843"/>
        <v>2.153880595416055E-2</v>
      </c>
      <c r="BL291" s="144">
        <f t="shared" si="844"/>
        <v>61.788805954160551</v>
      </c>
      <c r="BM291" s="456">
        <f t="shared" si="794"/>
        <v>6.8537775799252074</v>
      </c>
      <c r="BN291" s="144">
        <f t="shared" si="845"/>
        <v>6853.7775799252076</v>
      </c>
      <c r="BO291" s="456">
        <f t="shared" si="795"/>
        <v>2.0999999999999996</v>
      </c>
      <c r="BR291" s="144">
        <f t="shared" si="846"/>
        <v>2099.9999999999995</v>
      </c>
      <c r="BS291" s="456">
        <f t="shared" si="847"/>
        <v>0.18793998765118389</v>
      </c>
      <c r="BT291" s="456">
        <f t="shared" si="848"/>
        <v>0.33075318076744109</v>
      </c>
      <c r="BU291" s="456">
        <f t="shared" si="849"/>
        <v>41.35421669087372</v>
      </c>
      <c r="BV291" s="456"/>
      <c r="BW291" s="456">
        <f t="shared" si="850"/>
        <v>3.8901987631396873</v>
      </c>
      <c r="BX291" s="144">
        <f t="shared" si="851"/>
        <v>45763.108622432032</v>
      </c>
      <c r="BY291" s="150">
        <f t="shared" si="852"/>
        <v>54.472849789112587</v>
      </c>
      <c r="BZ291" s="5">
        <f t="shared" si="853"/>
        <v>90</v>
      </c>
      <c r="CA291" s="150">
        <f t="shared" si="854"/>
        <v>0.62295441760422976</v>
      </c>
      <c r="CB291" s="5">
        <f t="shared" si="855"/>
        <v>62.295441760422975</v>
      </c>
      <c r="CE291" s="59">
        <f t="shared" si="796"/>
        <v>-50</v>
      </c>
      <c r="CF291">
        <f t="shared" si="797"/>
        <v>-50</v>
      </c>
      <c r="CG291" s="150">
        <f t="shared" si="798"/>
        <v>0.57358521598799939</v>
      </c>
      <c r="CI291" s="147">
        <v>75</v>
      </c>
      <c r="CJ291" s="188">
        <f t="shared" si="856"/>
        <v>3</v>
      </c>
      <c r="CK291" s="188"/>
      <c r="CL291" s="188">
        <f t="shared" si="799"/>
        <v>90</v>
      </c>
      <c r="CM291" s="465">
        <f t="shared" si="800"/>
        <v>48</v>
      </c>
      <c r="CN291" s="379">
        <f t="shared" si="801"/>
        <v>30.4</v>
      </c>
      <c r="CO291" s="379">
        <f t="shared" si="802"/>
        <v>78.400000000000006</v>
      </c>
      <c r="CP291" s="379"/>
      <c r="CQ291" s="188">
        <f t="shared" si="803"/>
        <v>0.38775510204081626</v>
      </c>
      <c r="CR291" s="149">
        <f t="shared" si="804"/>
        <v>284.85494809142222</v>
      </c>
      <c r="CS291" s="149">
        <f t="shared" si="805"/>
        <v>90</v>
      </c>
      <c r="CT291" s="188">
        <f t="shared" si="806"/>
        <v>9.4951649363807409</v>
      </c>
      <c r="CU291" s="188">
        <f t="shared" si="807"/>
        <v>30</v>
      </c>
      <c r="CV291" s="188"/>
      <c r="CW291" s="149">
        <f t="shared" si="808"/>
        <v>194.52274298762316</v>
      </c>
      <c r="CX291" s="149">
        <f t="shared" si="809"/>
        <v>30</v>
      </c>
      <c r="CY291" s="188">
        <f t="shared" si="810"/>
        <v>9.6710526315789487</v>
      </c>
      <c r="CZ291" s="188">
        <f t="shared" si="811"/>
        <v>0.94695723684210531</v>
      </c>
      <c r="DA291" s="188">
        <f t="shared" si="812"/>
        <v>1.4951956371191137</v>
      </c>
      <c r="DB291" s="172">
        <f t="shared" si="813"/>
        <v>350</v>
      </c>
      <c r="DC291" s="379">
        <f t="shared" si="814"/>
        <v>350</v>
      </c>
      <c r="DE291" s="188">
        <f t="shared" si="815"/>
        <v>11.314434588425037</v>
      </c>
      <c r="DF291" s="150">
        <f t="shared" si="816"/>
        <v>1.7492711370262393</v>
      </c>
      <c r="DG291" s="150">
        <f t="shared" si="817"/>
        <v>3.463602425028073</v>
      </c>
      <c r="DH291" s="150"/>
      <c r="DI291" s="150">
        <f t="shared" si="818"/>
        <v>0.93700159489633172</v>
      </c>
      <c r="DJ291" s="314">
        <f t="shared" si="819"/>
        <v>1056.5617021276596</v>
      </c>
      <c r="DK291" s="456">
        <f t="shared" si="820"/>
        <v>0.99378957034459414</v>
      </c>
      <c r="DM291" s="150">
        <f t="shared" si="821"/>
        <v>10.530026541588835</v>
      </c>
      <c r="DN291" s="150">
        <f t="shared" si="822"/>
        <v>10.530026541588835</v>
      </c>
      <c r="DO291" s="150">
        <f t="shared" si="823"/>
        <v>4.5106818377650191</v>
      </c>
      <c r="DQ291" s="314">
        <f t="shared" si="824"/>
        <v>3000</v>
      </c>
      <c r="DR291" s="144">
        <f t="shared" si="825"/>
        <v>350</v>
      </c>
      <c r="DT291">
        <f t="shared" si="826"/>
        <v>3000</v>
      </c>
      <c r="DU291">
        <f t="shared" si="827"/>
        <v>350</v>
      </c>
      <c r="DW291" s="5">
        <f t="shared" si="857"/>
        <v>2.8571428571428572</v>
      </c>
      <c r="DX291" s="5">
        <f t="shared" si="828"/>
        <v>1.031065098863907</v>
      </c>
      <c r="DY291" s="5">
        <f t="shared" si="829"/>
        <v>1.8260777582789502</v>
      </c>
      <c r="DZ291" s="5"/>
      <c r="EA291" s="150">
        <f t="shared" si="830"/>
        <v>0.36087278460236744</v>
      </c>
      <c r="EB291" s="150">
        <f t="shared" si="858"/>
        <v>91.199999999999989</v>
      </c>
      <c r="EC291" s="150">
        <f t="shared" si="859"/>
        <v>3.3650132707944183</v>
      </c>
      <c r="ED291" s="150">
        <f t="shared" si="860"/>
        <v>27.102419117196924</v>
      </c>
      <c r="EE291" s="144">
        <f t="shared" si="831"/>
        <v>10.31065098863907</v>
      </c>
      <c r="EF291" s="5">
        <f t="shared" si="832"/>
        <v>2.0140563510429597</v>
      </c>
      <c r="EH291" s="150">
        <f t="shared" si="861"/>
        <v>3.6521272731581873</v>
      </c>
      <c r="EI291" s="150">
        <f t="shared" si="862"/>
        <v>4.8602934790856596</v>
      </c>
      <c r="EK291" s="456">
        <f t="shared" si="863"/>
        <v>0.1600564034321503</v>
      </c>
      <c r="EL291" s="456">
        <f t="shared" si="864"/>
        <v>5.4899346377227554</v>
      </c>
      <c r="EM291" s="456">
        <f t="shared" si="865"/>
        <v>4.0250000000000001E-2</v>
      </c>
      <c r="EN291" s="456">
        <f t="shared" si="866"/>
        <v>1.1132956800000005</v>
      </c>
      <c r="EO291">
        <f t="shared" si="867"/>
        <v>2.1600000000000001E-2</v>
      </c>
      <c r="EP291" s="144">
        <f t="shared" si="868"/>
        <v>61.85</v>
      </c>
      <c r="EQ291" s="144"/>
      <c r="ER291" s="144">
        <f t="shared" si="869"/>
        <v>6825.1367211549059</v>
      </c>
      <c r="ES291" s="456">
        <f t="shared" si="870"/>
        <v>2.0999999999999996</v>
      </c>
      <c r="EV291" s="144">
        <f t="shared" si="871"/>
        <v>2099.9999999999995</v>
      </c>
      <c r="EW291" s="456">
        <f t="shared" si="872"/>
        <v>0.186732470670842</v>
      </c>
      <c r="EX291" s="456">
        <f t="shared" si="873"/>
        <v>0.33071433783979615</v>
      </c>
      <c r="EY291" s="456">
        <f t="shared" si="874"/>
        <v>41.230042250472117</v>
      </c>
      <c r="EZ291" s="456"/>
      <c r="FA291" s="456">
        <f t="shared" si="875"/>
        <v>3.8808510638297871</v>
      </c>
      <c r="FB291" s="144">
        <f t="shared" si="876"/>
        <v>45628.340122812544</v>
      </c>
      <c r="FC291" s="150">
        <f t="shared" si="877"/>
        <v>54.553476843967452</v>
      </c>
      <c r="FD291" s="5">
        <f t="shared" si="878"/>
        <v>90</v>
      </c>
      <c r="FE291" s="150">
        <f t="shared" si="879"/>
        <v>0.6226069546369124</v>
      </c>
      <c r="FF291" s="5">
        <f t="shared" si="880"/>
        <v>62.260695463691242</v>
      </c>
      <c r="FI291" s="59">
        <f t="shared" si="833"/>
        <v>-50</v>
      </c>
      <c r="FJ291">
        <f t="shared" si="834"/>
        <v>-50</v>
      </c>
      <c r="FL291">
        <f t="shared" si="835"/>
        <v>0.56979913358268541</v>
      </c>
    </row>
    <row r="292" spans="5:168">
      <c r="E292" s="147">
        <v>76</v>
      </c>
      <c r="F292" s="188">
        <f t="shared" si="836"/>
        <v>3.04</v>
      </c>
      <c r="G292" s="188"/>
      <c r="H292" s="188">
        <f t="shared" si="762"/>
        <v>91.2</v>
      </c>
      <c r="I292" s="465">
        <f t="shared" si="763"/>
        <v>47.863109654959345</v>
      </c>
      <c r="J292" s="149">
        <f t="shared" si="764"/>
        <v>30.47371018579112</v>
      </c>
      <c r="K292" s="149">
        <f t="shared" si="765"/>
        <v>78.336819840750465</v>
      </c>
      <c r="L292" s="379"/>
      <c r="M292" s="188">
        <f t="shared" si="766"/>
        <v>0.38901259322916953</v>
      </c>
      <c r="N292" s="149">
        <f t="shared" si="767"/>
        <v>284.96372643052274</v>
      </c>
      <c r="O292" s="149">
        <f t="shared" si="760"/>
        <v>91.2</v>
      </c>
      <c r="P292" s="188">
        <f t="shared" si="768"/>
        <v>9.498790881017424</v>
      </c>
      <c r="Q292" s="188">
        <f t="shared" si="769"/>
        <v>30</v>
      </c>
      <c r="R292" s="188"/>
      <c r="S292" s="149">
        <f t="shared" si="770"/>
        <v>190.78920931969279</v>
      </c>
      <c r="T292" s="149">
        <f t="shared" si="771"/>
        <v>30</v>
      </c>
      <c r="U292" s="188">
        <f t="shared" si="772"/>
        <v>9.7962590757197852</v>
      </c>
      <c r="V292" s="188">
        <f t="shared" si="773"/>
        <v>0.96196043232039141</v>
      </c>
      <c r="W292" s="188">
        <f t="shared" si="774"/>
        <v>1.5108897923873752</v>
      </c>
      <c r="X292" s="172">
        <f t="shared" si="775"/>
        <v>350</v>
      </c>
      <c r="Y292" s="379">
        <f t="shared" si="837"/>
        <v>350</v>
      </c>
      <c r="AA292" s="188">
        <f t="shared" si="776"/>
        <v>11.318644115707151</v>
      </c>
      <c r="AB292" s="150">
        <f t="shared" si="777"/>
        <v>1.7456892193136331</v>
      </c>
      <c r="AC292" s="150">
        <f t="shared" si="778"/>
        <v>3.4577961267565911</v>
      </c>
      <c r="AD292" s="150"/>
      <c r="AE292" s="150">
        <f t="shared" si="779"/>
        <v>0.93473516388989042</v>
      </c>
      <c r="AF292" s="314">
        <f t="shared" si="780"/>
        <v>1073.2451701348155</v>
      </c>
      <c r="AG292" s="456">
        <f t="shared" si="781"/>
        <v>0.99138577988321708</v>
      </c>
      <c r="AI292" s="150">
        <f t="shared" si="782"/>
        <v>10.612837266764565</v>
      </c>
      <c r="AJ292" s="150">
        <f t="shared" si="783"/>
        <v>10.612837266764565</v>
      </c>
      <c r="AK292" s="150">
        <f t="shared" si="784"/>
        <v>4.572023115672966</v>
      </c>
      <c r="AM292" s="314">
        <f t="shared" si="785"/>
        <v>3040</v>
      </c>
      <c r="AN292" s="144">
        <f t="shared" si="786"/>
        <v>350</v>
      </c>
      <c r="AP292">
        <f t="shared" si="787"/>
        <v>3040</v>
      </c>
      <c r="AQ292">
        <f t="shared" si="788"/>
        <v>350</v>
      </c>
      <c r="AS292" s="5">
        <f t="shared" si="761"/>
        <v>2.8571428571428572</v>
      </c>
      <c r="AT292" s="5">
        <f t="shared" si="789"/>
        <v>1.0421457258706361</v>
      </c>
      <c r="AU292" s="5">
        <f t="shared" si="721"/>
        <v>1.8149971312722211</v>
      </c>
      <c r="AV292" s="5"/>
      <c r="AW292" s="150">
        <f t="shared" si="722"/>
        <v>0.36475100405472266</v>
      </c>
      <c r="AX292" s="150">
        <f t="shared" si="790"/>
        <v>92.640078964804999</v>
      </c>
      <c r="AY292" s="150">
        <f t="shared" si="791"/>
        <v>3.3708971089214059</v>
      </c>
      <c r="AZ292" s="150">
        <f t="shared" si="792"/>
        <v>27.482321759280058</v>
      </c>
      <c r="BA292" s="144">
        <f t="shared" si="723"/>
        <v>10.56041002215578</v>
      </c>
      <c r="BB292" s="5">
        <f t="shared" si="724"/>
        <v>2.0343278689542696</v>
      </c>
      <c r="BD292" s="150">
        <f t="shared" si="838"/>
        <v>3.7005742766426</v>
      </c>
      <c r="BE292" s="150">
        <f t="shared" si="839"/>
        <v>4.8836313306111343</v>
      </c>
      <c r="BG292" s="456">
        <f t="shared" si="840"/>
        <v>0.16433099972338683</v>
      </c>
      <c r="BH292" s="456">
        <f t="shared" si="793"/>
        <v>5.3104136951686538</v>
      </c>
      <c r="BI292" s="456">
        <f t="shared" si="841"/>
        <v>4.0250000000000001E-2</v>
      </c>
      <c r="BJ292" s="456">
        <f t="shared" si="842"/>
        <v>1.1115020612078028</v>
      </c>
      <c r="BK292">
        <f t="shared" si="843"/>
        <v>2.1538399344731705E-2</v>
      </c>
      <c r="BL292" s="144">
        <f t="shared" si="844"/>
        <v>61.788399344731708</v>
      </c>
      <c r="BM292" s="456">
        <f t="shared" si="794"/>
        <v>6.9000280348329985</v>
      </c>
      <c r="BN292" s="144">
        <f t="shared" si="845"/>
        <v>6900.0280348329989</v>
      </c>
      <c r="BO292" s="456">
        <f t="shared" si="795"/>
        <v>2.1279999999999997</v>
      </c>
      <c r="BR292" s="144">
        <f t="shared" si="846"/>
        <v>2127.9999999999995</v>
      </c>
      <c r="BS292" s="456">
        <f t="shared" si="847"/>
        <v>0.19171949967728463</v>
      </c>
      <c r="BT292" s="456">
        <f t="shared" si="848"/>
        <v>0.33389796962657353</v>
      </c>
      <c r="BU292" s="456">
        <f t="shared" si="849"/>
        <v>42.045437673637878</v>
      </c>
      <c r="BV292" s="456"/>
      <c r="BW292" s="456">
        <f t="shared" si="850"/>
        <v>3.942131019778937</v>
      </c>
      <c r="BX292" s="144">
        <f t="shared" si="851"/>
        <v>46513.186162720674</v>
      </c>
      <c r="BY292" s="150">
        <f t="shared" si="852"/>
        <v>55.289221318165247</v>
      </c>
      <c r="BZ292" s="5">
        <f t="shared" si="853"/>
        <v>91.2</v>
      </c>
      <c r="CA292" s="150">
        <f t="shared" si="854"/>
        <v>0.62257140272402312</v>
      </c>
      <c r="CB292" s="5">
        <f t="shared" si="855"/>
        <v>62.25714027240231</v>
      </c>
      <c r="CE292" s="59">
        <f t="shared" si="796"/>
        <v>-50</v>
      </c>
      <c r="CF292">
        <f t="shared" si="797"/>
        <v>-50</v>
      </c>
      <c r="CG292" s="150">
        <f t="shared" si="798"/>
        <v>0.57739645536378781</v>
      </c>
      <c r="CI292" s="147">
        <v>76</v>
      </c>
      <c r="CJ292" s="188">
        <f t="shared" si="856"/>
        <v>3.04</v>
      </c>
      <c r="CK292" s="188"/>
      <c r="CL292" s="188">
        <f t="shared" si="799"/>
        <v>91.2</v>
      </c>
      <c r="CM292" s="465">
        <f t="shared" si="800"/>
        <v>48</v>
      </c>
      <c r="CN292" s="379">
        <f t="shared" si="801"/>
        <v>30.4</v>
      </c>
      <c r="CO292" s="379">
        <f t="shared" si="802"/>
        <v>78.400000000000006</v>
      </c>
      <c r="CP292" s="379"/>
      <c r="CQ292" s="188">
        <f t="shared" si="803"/>
        <v>0.38775510204081626</v>
      </c>
      <c r="CR292" s="149">
        <f t="shared" si="804"/>
        <v>284.85494809142222</v>
      </c>
      <c r="CS292" s="149">
        <f t="shared" si="805"/>
        <v>91.2</v>
      </c>
      <c r="CT292" s="188">
        <f t="shared" si="806"/>
        <v>9.4951649363807409</v>
      </c>
      <c r="CU292" s="188">
        <f t="shared" si="807"/>
        <v>30</v>
      </c>
      <c r="CV292" s="188"/>
      <c r="CW292" s="149">
        <f t="shared" si="808"/>
        <v>191.33458818743915</v>
      </c>
      <c r="CX292" s="149">
        <f t="shared" si="809"/>
        <v>30</v>
      </c>
      <c r="CY292" s="188">
        <f t="shared" si="810"/>
        <v>9.8000000000000025</v>
      </c>
      <c r="CZ292" s="188">
        <f t="shared" si="811"/>
        <v>0.95958333333333357</v>
      </c>
      <c r="DA292" s="188">
        <f t="shared" si="812"/>
        <v>1.5151315789473687</v>
      </c>
      <c r="DB292" s="172">
        <f t="shared" si="813"/>
        <v>350</v>
      </c>
      <c r="DC292" s="379">
        <f t="shared" si="814"/>
        <v>350</v>
      </c>
      <c r="DE292" s="188">
        <f t="shared" si="815"/>
        <v>11.314434588425037</v>
      </c>
      <c r="DF292" s="150">
        <f t="shared" si="816"/>
        <v>1.7492711370262393</v>
      </c>
      <c r="DG292" s="150">
        <f t="shared" si="817"/>
        <v>3.463602425028073</v>
      </c>
      <c r="DH292" s="150"/>
      <c r="DI292" s="150">
        <f t="shared" si="818"/>
        <v>0.93700159489633172</v>
      </c>
      <c r="DJ292" s="314">
        <f t="shared" si="819"/>
        <v>1070.6491914893618</v>
      </c>
      <c r="DK292" s="456">
        <f t="shared" si="820"/>
        <v>0.99378957034459414</v>
      </c>
      <c r="DM292" s="150">
        <f t="shared" si="821"/>
        <v>10.599994265066981</v>
      </c>
      <c r="DN292" s="150">
        <f t="shared" si="822"/>
        <v>10.599994265066981</v>
      </c>
      <c r="DO292" s="150">
        <f t="shared" si="823"/>
        <v>4.5625097810821629</v>
      </c>
      <c r="DQ292" s="314">
        <f t="shared" si="824"/>
        <v>3040</v>
      </c>
      <c r="DR292" s="144">
        <f t="shared" si="825"/>
        <v>350</v>
      </c>
      <c r="DT292">
        <f t="shared" si="826"/>
        <v>3040</v>
      </c>
      <c r="DU292">
        <f t="shared" si="827"/>
        <v>350</v>
      </c>
      <c r="DW292" s="5">
        <f t="shared" si="857"/>
        <v>2.8571428571428572</v>
      </c>
      <c r="DX292" s="5">
        <f t="shared" si="828"/>
        <v>1.0379161051211416</v>
      </c>
      <c r="DY292" s="5">
        <f t="shared" si="829"/>
        <v>1.8192267520217156</v>
      </c>
      <c r="DZ292" s="5"/>
      <c r="EA292" s="150">
        <f t="shared" si="830"/>
        <v>0.36327063679239957</v>
      </c>
      <c r="EB292" s="150">
        <f t="shared" si="858"/>
        <v>92.415999999999983</v>
      </c>
      <c r="EC292" s="150">
        <f t="shared" si="859"/>
        <v>3.3746637992001576</v>
      </c>
      <c r="ED292" s="150">
        <f t="shared" si="860"/>
        <v>27.385246501267435</v>
      </c>
      <c r="EE292" s="144">
        <f t="shared" si="831"/>
        <v>10.517549865227569</v>
      </c>
      <c r="EF292" s="5">
        <f t="shared" si="832"/>
        <v>2.0332534287301529</v>
      </c>
      <c r="EH292" s="150">
        <f t="shared" si="861"/>
        <v>3.6885880127473909</v>
      </c>
      <c r="EI292" s="150">
        <f t="shared" si="862"/>
        <v>4.8834016094010275</v>
      </c>
      <c r="EK292" s="456">
        <f t="shared" si="863"/>
        <v>0.16326817833340496</v>
      </c>
      <c r="EL292" s="456">
        <f t="shared" si="864"/>
        <v>5.5264130100353226</v>
      </c>
      <c r="EM292" s="456">
        <f t="shared" si="865"/>
        <v>4.0250000000000001E-2</v>
      </c>
      <c r="EN292" s="456">
        <f t="shared" si="866"/>
        <v>1.1132956800000005</v>
      </c>
      <c r="EO292">
        <f t="shared" si="867"/>
        <v>2.1600000000000001E-2</v>
      </c>
      <c r="EP292" s="144">
        <f t="shared" si="868"/>
        <v>61.85</v>
      </c>
      <c r="EQ292" s="144"/>
      <c r="ER292" s="144">
        <f t="shared" si="869"/>
        <v>6864.8268683687284</v>
      </c>
      <c r="ES292" s="456">
        <f t="shared" si="870"/>
        <v>2.1279999999999997</v>
      </c>
      <c r="EV292" s="144">
        <f t="shared" si="871"/>
        <v>2127.9999999999995</v>
      </c>
      <c r="EW292" s="456">
        <f t="shared" si="872"/>
        <v>0.19047954138897244</v>
      </c>
      <c r="EX292" s="456">
        <f t="shared" si="873"/>
        <v>0.33386655790180764</v>
      </c>
      <c r="EY292" s="456">
        <f t="shared" si="874"/>
        <v>41.918351104775567</v>
      </c>
      <c r="EZ292" s="456"/>
      <c r="FA292" s="456">
        <f t="shared" si="875"/>
        <v>3.9325957446808513</v>
      </c>
      <c r="FB292" s="144">
        <f t="shared" si="876"/>
        <v>46375.292948747199</v>
      </c>
      <c r="FC292" s="150">
        <f t="shared" si="877"/>
        <v>55.368119817115925</v>
      </c>
      <c r="FD292" s="5">
        <f t="shared" si="878"/>
        <v>91.2</v>
      </c>
      <c r="FE292" s="150">
        <f t="shared" si="879"/>
        <v>0.62223626879977112</v>
      </c>
      <c r="FF292" s="5">
        <f t="shared" si="880"/>
        <v>62.223626879977111</v>
      </c>
      <c r="FI292" s="59">
        <f t="shared" si="833"/>
        <v>-50</v>
      </c>
      <c r="FJ292">
        <f t="shared" si="834"/>
        <v>-50</v>
      </c>
      <c r="FL292">
        <f t="shared" si="835"/>
        <v>0.5735852159879995</v>
      </c>
    </row>
    <row r="293" spans="5:168">
      <c r="E293" s="147">
        <v>77</v>
      </c>
      <c r="F293" s="188">
        <f t="shared" si="836"/>
        <v>3.08</v>
      </c>
      <c r="G293" s="188"/>
      <c r="H293" s="188">
        <f t="shared" si="762"/>
        <v>92.4</v>
      </c>
      <c r="I293" s="465">
        <f t="shared" si="763"/>
        <v>47.862212003734385</v>
      </c>
      <c r="J293" s="149">
        <f t="shared" si="764"/>
        <v>30.474193536450716</v>
      </c>
      <c r="K293" s="149">
        <f t="shared" si="765"/>
        <v>78.336405540185098</v>
      </c>
      <c r="L293" s="379"/>
      <c r="M293" s="188">
        <f t="shared" si="766"/>
        <v>0.38902084580359542</v>
      </c>
      <c r="N293" s="149">
        <f t="shared" si="767"/>
        <v>284.96442721522374</v>
      </c>
      <c r="O293" s="149">
        <f t="shared" si="760"/>
        <v>92.4</v>
      </c>
      <c r="P293" s="188">
        <f t="shared" si="768"/>
        <v>9.4988142405074587</v>
      </c>
      <c r="Q293" s="188">
        <f t="shared" si="769"/>
        <v>30</v>
      </c>
      <c r="R293" s="188"/>
      <c r="S293" s="149">
        <f t="shared" si="770"/>
        <v>187.68925934516452</v>
      </c>
      <c r="T293" s="149">
        <f t="shared" si="771"/>
        <v>30</v>
      </c>
      <c r="U293" s="188">
        <f t="shared" si="772"/>
        <v>9.9251328134999763</v>
      </c>
      <c r="V293" s="188">
        <f t="shared" si="773"/>
        <v>0.97463368846826881</v>
      </c>
      <c r="W293" s="188">
        <f t="shared" si="774"/>
        <v>1.5307418773085251</v>
      </c>
      <c r="X293" s="172">
        <f t="shared" si="775"/>
        <v>350</v>
      </c>
      <c r="Y293" s="379">
        <f t="shared" si="837"/>
        <v>350</v>
      </c>
      <c r="AA293" s="188">
        <f t="shared" si="776"/>
        <v>11.318671225043808</v>
      </c>
      <c r="AB293" s="150">
        <f t="shared" si="777"/>
        <v>1.745665712008921</v>
      </c>
      <c r="AC293" s="150">
        <f t="shared" si="778"/>
        <v>3.4577578460356722</v>
      </c>
      <c r="AD293" s="150"/>
      <c r="AE293" s="150">
        <f t="shared" si="779"/>
        <v>0.9347203380715311</v>
      </c>
      <c r="AF293" s="314">
        <f t="shared" si="780"/>
        <v>1087.3840640902138</v>
      </c>
      <c r="AG293" s="456">
        <f t="shared" si="781"/>
        <v>0.9913700555304118</v>
      </c>
      <c r="AI293" s="150">
        <f t="shared" si="782"/>
        <v>10.68251510588963</v>
      </c>
      <c r="AJ293" s="150">
        <f t="shared" si="783"/>
        <v>10.68251510588963</v>
      </c>
      <c r="AK293" s="150">
        <f t="shared" si="784"/>
        <v>4.6236363298396812</v>
      </c>
      <c r="AM293" s="314">
        <f t="shared" si="785"/>
        <v>3080</v>
      </c>
      <c r="AN293" s="144">
        <f t="shared" si="786"/>
        <v>350</v>
      </c>
      <c r="AP293">
        <f t="shared" si="787"/>
        <v>3080</v>
      </c>
      <c r="AQ293">
        <f t="shared" si="788"/>
        <v>350</v>
      </c>
      <c r="AS293" s="5">
        <f t="shared" si="761"/>
        <v>2.8571428571428572</v>
      </c>
      <c r="AT293" s="5">
        <f t="shared" si="789"/>
        <v>1.0490075342477665</v>
      </c>
      <c r="AU293" s="5">
        <f t="shared" si="721"/>
        <v>1.8081353228950907</v>
      </c>
      <c r="AV293" s="5"/>
      <c r="AW293" s="150">
        <f t="shared" si="722"/>
        <v>0.36715263698671824</v>
      </c>
      <c r="AX293" s="150">
        <f t="shared" si="790"/>
        <v>93.860516092268213</v>
      </c>
      <c r="AY293" s="150">
        <f t="shared" si="791"/>
        <v>3.3802007575559005</v>
      </c>
      <c r="AZ293" s="150">
        <f t="shared" si="792"/>
        <v>27.76773417450368</v>
      </c>
      <c r="BA293" s="144">
        <f t="shared" si="723"/>
        <v>10.769810684943737</v>
      </c>
      <c r="BB293" s="5">
        <f t="shared" si="724"/>
        <v>2.0533416390522765</v>
      </c>
      <c r="BD293" s="150">
        <f t="shared" si="838"/>
        <v>3.7371128642531515</v>
      </c>
      <c r="BE293" s="150">
        <f t="shared" si="839"/>
        <v>4.9063934924090278</v>
      </c>
      <c r="BG293" s="456">
        <f t="shared" si="840"/>
        <v>0.16759215072199674</v>
      </c>
      <c r="BH293" s="456">
        <f t="shared" si="793"/>
        <v>5.3452505744103389</v>
      </c>
      <c r="BI293" s="456">
        <f t="shared" si="841"/>
        <v>4.0250000000000001E-2</v>
      </c>
      <c r="BJ293" s="456">
        <f t="shared" si="842"/>
        <v>1.1114903044192177</v>
      </c>
      <c r="BK293">
        <f t="shared" si="843"/>
        <v>2.1537995401680471E-2</v>
      </c>
      <c r="BL293" s="144">
        <f t="shared" si="844"/>
        <v>61.787995401680469</v>
      </c>
      <c r="BM293" s="456">
        <f t="shared" si="794"/>
        <v>6.9461790299505273</v>
      </c>
      <c r="BN293" s="144">
        <f t="shared" si="845"/>
        <v>6946.1790299505274</v>
      </c>
      <c r="BO293" s="456">
        <f t="shared" si="795"/>
        <v>2.1559999999999997</v>
      </c>
      <c r="BR293" s="144">
        <f t="shared" si="846"/>
        <v>2155.9999999999995</v>
      </c>
      <c r="BS293" s="456">
        <f t="shared" si="847"/>
        <v>0.19552417584232953</v>
      </c>
      <c r="BT293" s="456">
        <f t="shared" si="848"/>
        <v>0.3370177594329512</v>
      </c>
      <c r="BU293" s="456">
        <f t="shared" si="849"/>
        <v>42.738955504106215</v>
      </c>
      <c r="BV293" s="456"/>
      <c r="BW293" s="456">
        <f t="shared" si="850"/>
        <v>3.994064514564605</v>
      </c>
      <c r="BX293" s="144">
        <f t="shared" si="851"/>
        <v>47265.561953946104</v>
      </c>
      <c r="BY293" s="150">
        <f t="shared" si="852"/>
        <v>56.107682978899334</v>
      </c>
      <c r="BZ293" s="5">
        <f t="shared" si="853"/>
        <v>92.4</v>
      </c>
      <c r="CA293" s="150">
        <f t="shared" si="854"/>
        <v>0.62219003183241794</v>
      </c>
      <c r="CB293" s="5">
        <f t="shared" si="855"/>
        <v>62.219003183241796</v>
      </c>
      <c r="CE293" s="59">
        <f t="shared" si="796"/>
        <v>-50</v>
      </c>
      <c r="CF293">
        <f t="shared" si="797"/>
        <v>-50</v>
      </c>
      <c r="CG293" s="150">
        <f t="shared" si="798"/>
        <v>0.58118270219728096</v>
      </c>
      <c r="CI293" s="147">
        <v>77</v>
      </c>
      <c r="CJ293" s="188">
        <f t="shared" si="856"/>
        <v>3.08</v>
      </c>
      <c r="CK293" s="188"/>
      <c r="CL293" s="188">
        <f t="shared" si="799"/>
        <v>92.4</v>
      </c>
      <c r="CM293" s="465">
        <f t="shared" si="800"/>
        <v>48</v>
      </c>
      <c r="CN293" s="379">
        <f t="shared" si="801"/>
        <v>30.4</v>
      </c>
      <c r="CO293" s="379">
        <f t="shared" si="802"/>
        <v>78.400000000000006</v>
      </c>
      <c r="CP293" s="379"/>
      <c r="CQ293" s="188">
        <f t="shared" si="803"/>
        <v>0.38775510204081626</v>
      </c>
      <c r="CR293" s="149">
        <f t="shared" si="804"/>
        <v>284.85494809142222</v>
      </c>
      <c r="CS293" s="149">
        <f t="shared" si="805"/>
        <v>92.4</v>
      </c>
      <c r="CT293" s="188">
        <f t="shared" si="806"/>
        <v>9.4951649363807409</v>
      </c>
      <c r="CU293" s="188">
        <f t="shared" si="807"/>
        <v>30</v>
      </c>
      <c r="CV293" s="188"/>
      <c r="CW293" s="149">
        <f t="shared" si="808"/>
        <v>188.22929580106936</v>
      </c>
      <c r="CX293" s="149">
        <f t="shared" si="809"/>
        <v>30</v>
      </c>
      <c r="CY293" s="188">
        <f t="shared" si="810"/>
        <v>9.9289473684210563</v>
      </c>
      <c r="CZ293" s="188">
        <f t="shared" si="811"/>
        <v>0.97220942982456182</v>
      </c>
      <c r="DA293" s="188">
        <f t="shared" si="812"/>
        <v>1.5350675207756239</v>
      </c>
      <c r="DB293" s="172">
        <f t="shared" si="813"/>
        <v>350</v>
      </c>
      <c r="DC293" s="379">
        <f t="shared" si="814"/>
        <v>350</v>
      </c>
      <c r="DE293" s="188">
        <f t="shared" si="815"/>
        <v>11.314434588425037</v>
      </c>
      <c r="DF293" s="150">
        <f t="shared" si="816"/>
        <v>1.7492711370262393</v>
      </c>
      <c r="DG293" s="150">
        <f t="shared" si="817"/>
        <v>3.463602425028073</v>
      </c>
      <c r="DH293" s="150"/>
      <c r="DI293" s="150">
        <f t="shared" si="818"/>
        <v>0.93700159489633172</v>
      </c>
      <c r="DJ293" s="314">
        <f t="shared" si="819"/>
        <v>1084.736680851064</v>
      </c>
      <c r="DK293" s="456">
        <f t="shared" si="820"/>
        <v>0.99378957034459414</v>
      </c>
      <c r="DM293" s="150">
        <f t="shared" si="821"/>
        <v>10.669503168954982</v>
      </c>
      <c r="DN293" s="150">
        <f t="shared" si="822"/>
        <v>10.669503168954982</v>
      </c>
      <c r="DO293" s="150">
        <f t="shared" si="823"/>
        <v>4.613997858036238</v>
      </c>
      <c r="DQ293" s="314">
        <f t="shared" si="824"/>
        <v>3080</v>
      </c>
      <c r="DR293" s="144">
        <f t="shared" si="825"/>
        <v>350</v>
      </c>
      <c r="DT293">
        <f t="shared" si="826"/>
        <v>3080</v>
      </c>
      <c r="DU293">
        <f t="shared" si="827"/>
        <v>350</v>
      </c>
      <c r="DW293" s="5">
        <f t="shared" si="857"/>
        <v>2.8571428571428572</v>
      </c>
      <c r="DX293" s="5">
        <f t="shared" si="828"/>
        <v>1.0447221852935087</v>
      </c>
      <c r="DY293" s="5">
        <f t="shared" si="829"/>
        <v>1.8124206718493485</v>
      </c>
      <c r="DZ293" s="5"/>
      <c r="EA293" s="150">
        <f t="shared" si="830"/>
        <v>0.36565276485272802</v>
      </c>
      <c r="EB293" s="150">
        <f t="shared" si="858"/>
        <v>93.631999999999977</v>
      </c>
      <c r="EC293" s="150">
        <f t="shared" si="859"/>
        <v>3.3840849178108248</v>
      </c>
      <c r="ED293" s="150">
        <f t="shared" si="860"/>
        <v>27.668336425957897</v>
      </c>
      <c r="EE293" s="144">
        <f t="shared" si="831"/>
        <v>10.725814435680023</v>
      </c>
      <c r="EF293" s="5">
        <f t="shared" si="832"/>
        <v>2.0522998784176445</v>
      </c>
      <c r="EH293" s="150">
        <f t="shared" si="861"/>
        <v>3.7249290088604239</v>
      </c>
      <c r="EI293" s="150">
        <f t="shared" si="862"/>
        <v>4.9062208643445961</v>
      </c>
      <c r="EK293" s="456">
        <f t="shared" si="863"/>
        <v>0.1665011534525988</v>
      </c>
      <c r="EL293" s="456">
        <f t="shared" si="864"/>
        <v>5.56265217216637</v>
      </c>
      <c r="EM293" s="456">
        <f t="shared" si="865"/>
        <v>4.0250000000000001E-2</v>
      </c>
      <c r="EN293" s="456">
        <f t="shared" si="866"/>
        <v>1.1132956800000005</v>
      </c>
      <c r="EO293">
        <f t="shared" si="867"/>
        <v>2.1600000000000001E-2</v>
      </c>
      <c r="EP293" s="144">
        <f t="shared" si="868"/>
        <v>61.85</v>
      </c>
      <c r="EQ293" s="144"/>
      <c r="ER293" s="144">
        <f t="shared" si="869"/>
        <v>6904.2990056189692</v>
      </c>
      <c r="ES293" s="456">
        <f t="shared" si="870"/>
        <v>2.1559999999999997</v>
      </c>
      <c r="EV293" s="144">
        <f t="shared" si="871"/>
        <v>2155.9999999999995</v>
      </c>
      <c r="EW293" s="456">
        <f t="shared" si="872"/>
        <v>0.1942513456946986</v>
      </c>
      <c r="EX293" s="456">
        <f t="shared" si="873"/>
        <v>0.33699404437622332</v>
      </c>
      <c r="EY293" s="456">
        <f t="shared" si="874"/>
        <v>42.608927918356741</v>
      </c>
      <c r="EZ293" s="456"/>
      <c r="FA293" s="456">
        <f t="shared" si="875"/>
        <v>3.9843404255319146</v>
      </c>
      <c r="FB293" s="144">
        <f t="shared" si="876"/>
        <v>47124.513733959575</v>
      </c>
      <c r="FC293" s="150">
        <f t="shared" si="877"/>
        <v>56.184812739578547</v>
      </c>
      <c r="FD293" s="5">
        <f t="shared" si="878"/>
        <v>92.4</v>
      </c>
      <c r="FE293" s="150">
        <f t="shared" si="879"/>
        <v>0.6218670555647402</v>
      </c>
      <c r="FF293" s="5">
        <f t="shared" si="880"/>
        <v>62.186705556474017</v>
      </c>
      <c r="FI293" s="59">
        <f t="shared" si="833"/>
        <v>-50</v>
      </c>
      <c r="FJ293">
        <f t="shared" si="834"/>
        <v>-50</v>
      </c>
      <c r="FL293">
        <f t="shared" si="835"/>
        <v>0.57734647082009694</v>
      </c>
    </row>
    <row r="294" spans="5:168">
      <c r="E294" s="147">
        <v>78</v>
      </c>
      <c r="F294" s="188">
        <f t="shared" si="836"/>
        <v>3.12</v>
      </c>
      <c r="G294" s="188"/>
      <c r="H294" s="188">
        <f t="shared" si="762"/>
        <v>93.600000000000009</v>
      </c>
      <c r="I294" s="465">
        <f t="shared" si="763"/>
        <v>47.861320162732866</v>
      </c>
      <c r="J294" s="149">
        <f t="shared" si="764"/>
        <v>30.474673758528454</v>
      </c>
      <c r="K294" s="149">
        <f t="shared" si="765"/>
        <v>78.33599392126132</v>
      </c>
      <c r="L294" s="379"/>
      <c r="M294" s="188">
        <f t="shared" si="766"/>
        <v>0.38902904504739166</v>
      </c>
      <c r="N294" s="149">
        <f t="shared" si="767"/>
        <v>284.96512330223362</v>
      </c>
      <c r="O294" s="149">
        <f t="shared" si="760"/>
        <v>93.600000000000009</v>
      </c>
      <c r="P294" s="188">
        <f t="shared" si="768"/>
        <v>9.4988374434077869</v>
      </c>
      <c r="Q294" s="188">
        <f t="shared" si="769"/>
        <v>30</v>
      </c>
      <c r="R294" s="188"/>
      <c r="S294" s="149">
        <f t="shared" si="770"/>
        <v>184.66889371688075</v>
      </c>
      <c r="T294" s="149">
        <f t="shared" si="771"/>
        <v>30</v>
      </c>
      <c r="U294" s="188">
        <f t="shared" si="772"/>
        <v>10.054006083170709</v>
      </c>
      <c r="V294" s="188">
        <f t="shared" si="773"/>
        <v>0.98730725417174003</v>
      </c>
      <c r="W294" s="188">
        <f t="shared" si="774"/>
        <v>1.550593419484209</v>
      </c>
      <c r="X294" s="172">
        <f t="shared" si="775"/>
        <v>350</v>
      </c>
      <c r="Y294" s="379">
        <f t="shared" si="837"/>
        <v>350</v>
      </c>
      <c r="AA294" s="188">
        <f t="shared" si="776"/>
        <v>11.31869815252519</v>
      </c>
      <c r="AB294" s="150">
        <f t="shared" si="777"/>
        <v>1.7456423566136048</v>
      </c>
      <c r="AC294" s="150">
        <f t="shared" si="778"/>
        <v>3.4577198104351221</v>
      </c>
      <c r="AD294" s="150"/>
      <c r="AE294" s="150">
        <f t="shared" si="779"/>
        <v>0.93470560868192687</v>
      </c>
      <c r="AF294" s="314">
        <f t="shared" si="780"/>
        <v>1101.5232929348613</v>
      </c>
      <c r="AG294" s="456">
        <f t="shared" si="781"/>
        <v>0.99135443345052854</v>
      </c>
      <c r="AI294" s="150">
        <f t="shared" si="782"/>
        <v>10.751743034012353</v>
      </c>
      <c r="AJ294" s="150">
        <f t="shared" si="783"/>
        <v>10.751743034012353</v>
      </c>
      <c r="AK294" s="150">
        <f t="shared" si="784"/>
        <v>4.6749162765972541</v>
      </c>
      <c r="AM294" s="314">
        <f t="shared" si="785"/>
        <v>3120</v>
      </c>
      <c r="AN294" s="144">
        <f t="shared" si="786"/>
        <v>350</v>
      </c>
      <c r="AP294">
        <f t="shared" si="787"/>
        <v>3120</v>
      </c>
      <c r="AQ294">
        <f t="shared" si="788"/>
        <v>350</v>
      </c>
      <c r="AS294" s="5">
        <f t="shared" si="761"/>
        <v>2.8571428571428572</v>
      </c>
      <c r="AT294" s="5">
        <f t="shared" si="789"/>
        <v>1.0558252904023662</v>
      </c>
      <c r="AU294" s="5">
        <f t="shared" si="721"/>
        <v>1.801317566740491</v>
      </c>
      <c r="AV294" s="5"/>
      <c r="AW294" s="150">
        <f t="shared" si="722"/>
        <v>0.36953885164082817</v>
      </c>
      <c r="AX294" s="150">
        <f t="shared" si="790"/>
        <v>95.080982126608774</v>
      </c>
      <c r="AY294" s="150">
        <f t="shared" si="791"/>
        <v>3.3892781300430768</v>
      </c>
      <c r="AZ294" s="150">
        <f t="shared" si="792"/>
        <v>28.053461084765068</v>
      </c>
      <c r="BA294" s="144">
        <f t="shared" si="723"/>
        <v>10.980583020184609</v>
      </c>
      <c r="BB294" s="5">
        <f t="shared" si="724"/>
        <v>2.0722041450252182</v>
      </c>
      <c r="BD294" s="150">
        <f t="shared" si="838"/>
        <v>3.7735342946805641</v>
      </c>
      <c r="BE294" s="150">
        <f t="shared" si="839"/>
        <v>4.9288705619726629</v>
      </c>
      <c r="BG294" s="456">
        <f t="shared" si="840"/>
        <v>0.17087473287756411</v>
      </c>
      <c r="BH294" s="456">
        <f t="shared" si="793"/>
        <v>5.3798621465523322</v>
      </c>
      <c r="BI294" s="456">
        <f t="shared" si="841"/>
        <v>4.0250000000000001E-2</v>
      </c>
      <c r="BJ294" s="456">
        <f t="shared" si="842"/>
        <v>1.1114786237903262</v>
      </c>
      <c r="BK294">
        <f t="shared" si="843"/>
        <v>2.153759407322979E-2</v>
      </c>
      <c r="BL294" s="144">
        <f t="shared" si="844"/>
        <v>61.787594073229791</v>
      </c>
      <c r="BM294" s="456">
        <f t="shared" si="794"/>
        <v>6.9922352908989085</v>
      </c>
      <c r="BN294" s="144">
        <f t="shared" si="845"/>
        <v>6992.2352908989087</v>
      </c>
      <c r="BO294" s="456">
        <f t="shared" si="795"/>
        <v>2.1839999999999997</v>
      </c>
      <c r="BR294" s="144">
        <f t="shared" si="846"/>
        <v>2183.9999999999995</v>
      </c>
      <c r="BS294" s="456">
        <f t="shared" si="847"/>
        <v>0.1993538550238248</v>
      </c>
      <c r="BT294" s="456">
        <f t="shared" si="848"/>
        <v>0.34011271023352996</v>
      </c>
      <c r="BU294" s="456">
        <f t="shared" si="849"/>
        <v>43.434747960477182</v>
      </c>
      <c r="BV294" s="456"/>
      <c r="BW294" s="456">
        <f t="shared" si="850"/>
        <v>4.0459992394301612</v>
      </c>
      <c r="BX294" s="144">
        <f t="shared" si="851"/>
        <v>48020.213765164699</v>
      </c>
      <c r="BY294" s="150">
        <f t="shared" si="852"/>
        <v>56.92821686245815</v>
      </c>
      <c r="BZ294" s="5">
        <f t="shared" si="853"/>
        <v>93.600000000000009</v>
      </c>
      <c r="CA294" s="150">
        <f t="shared" si="854"/>
        <v>0.62181032866100416</v>
      </c>
      <c r="CB294" s="5">
        <f t="shared" si="855"/>
        <v>62.181032866100416</v>
      </c>
      <c r="CE294" s="59">
        <f t="shared" si="796"/>
        <v>-50</v>
      </c>
      <c r="CF294">
        <f t="shared" si="797"/>
        <v>-50</v>
      </c>
      <c r="CG294" s="150">
        <f t="shared" si="798"/>
        <v>0.5849444418062284</v>
      </c>
      <c r="CI294" s="147">
        <v>78</v>
      </c>
      <c r="CJ294" s="188">
        <f t="shared" si="856"/>
        <v>3.12</v>
      </c>
      <c r="CK294" s="188"/>
      <c r="CL294" s="188">
        <f t="shared" si="799"/>
        <v>93.600000000000009</v>
      </c>
      <c r="CM294" s="465">
        <f t="shared" si="800"/>
        <v>48</v>
      </c>
      <c r="CN294" s="379">
        <f t="shared" si="801"/>
        <v>30.4</v>
      </c>
      <c r="CO294" s="379">
        <f t="shared" si="802"/>
        <v>78.400000000000006</v>
      </c>
      <c r="CP294" s="379"/>
      <c r="CQ294" s="188">
        <f t="shared" si="803"/>
        <v>0.38775510204081626</v>
      </c>
      <c r="CR294" s="149">
        <f t="shared" si="804"/>
        <v>284.85494809142222</v>
      </c>
      <c r="CS294" s="149">
        <f t="shared" si="805"/>
        <v>93.600000000000009</v>
      </c>
      <c r="CT294" s="188">
        <f t="shared" si="806"/>
        <v>9.4951649363807409</v>
      </c>
      <c r="CU294" s="188">
        <f t="shared" si="807"/>
        <v>30</v>
      </c>
      <c r="CV294" s="188"/>
      <c r="CW294" s="149">
        <f t="shared" si="808"/>
        <v>185.20367932538221</v>
      </c>
      <c r="CX294" s="149">
        <f t="shared" si="809"/>
        <v>30</v>
      </c>
      <c r="CY294" s="188">
        <f t="shared" si="810"/>
        <v>10.057894736842108</v>
      </c>
      <c r="CZ294" s="188">
        <f t="shared" si="811"/>
        <v>0.98483552631578974</v>
      </c>
      <c r="DA294" s="188">
        <f t="shared" si="812"/>
        <v>1.5550034626038787</v>
      </c>
      <c r="DB294" s="172">
        <f t="shared" si="813"/>
        <v>350</v>
      </c>
      <c r="DC294" s="379">
        <f t="shared" si="814"/>
        <v>350</v>
      </c>
      <c r="DE294" s="188">
        <f t="shared" si="815"/>
        <v>11.314434588425037</v>
      </c>
      <c r="DF294" s="150">
        <f t="shared" si="816"/>
        <v>1.7492711370262393</v>
      </c>
      <c r="DG294" s="150">
        <f t="shared" si="817"/>
        <v>3.463602425028073</v>
      </c>
      <c r="DH294" s="150"/>
      <c r="DI294" s="150">
        <f t="shared" si="818"/>
        <v>0.93700159489633172</v>
      </c>
      <c r="DJ294" s="314">
        <f t="shared" si="819"/>
        <v>1098.8241702127659</v>
      </c>
      <c r="DK294" s="456">
        <f t="shared" si="820"/>
        <v>0.99378957034459414</v>
      </c>
      <c r="DM294" s="150">
        <f t="shared" si="821"/>
        <v>10.738562162842285</v>
      </c>
      <c r="DN294" s="150">
        <f t="shared" si="822"/>
        <v>10.738562162842285</v>
      </c>
      <c r="DO294" s="150">
        <f t="shared" si="823"/>
        <v>4.6651526683231301</v>
      </c>
      <c r="DQ294" s="314">
        <f t="shared" si="824"/>
        <v>3120</v>
      </c>
      <c r="DR294" s="144">
        <f t="shared" si="825"/>
        <v>350</v>
      </c>
      <c r="DT294">
        <f t="shared" si="826"/>
        <v>3120</v>
      </c>
      <c r="DU294">
        <f t="shared" si="827"/>
        <v>350</v>
      </c>
      <c r="DW294" s="5">
        <f t="shared" si="857"/>
        <v>2.8571428571428572</v>
      </c>
      <c r="DX294" s="5">
        <f t="shared" si="828"/>
        <v>1.051484211778307</v>
      </c>
      <c r="DY294" s="5">
        <f t="shared" si="829"/>
        <v>1.8056586453645502</v>
      </c>
      <c r="DZ294" s="5"/>
      <c r="EA294" s="150">
        <f t="shared" si="830"/>
        <v>0.36801947412240743</v>
      </c>
      <c r="EB294" s="150">
        <f t="shared" si="858"/>
        <v>94.848000000000013</v>
      </c>
      <c r="EC294" s="150">
        <f t="shared" si="859"/>
        <v>3.3932810814211427</v>
      </c>
      <c r="ED294" s="150">
        <f t="shared" si="860"/>
        <v>27.951707425391547</v>
      </c>
      <c r="EE294" s="144">
        <f t="shared" si="831"/>
        <v>10.935435802494393</v>
      </c>
      <c r="EF294" s="5">
        <f t="shared" si="832"/>
        <v>2.0711966814475722</v>
      </c>
      <c r="EH294" s="150">
        <f t="shared" si="861"/>
        <v>3.761152202342287</v>
      </c>
      <c r="EI294" s="150">
        <f t="shared" si="862"/>
        <v>4.9287564238752717</v>
      </c>
      <c r="EK294" s="456">
        <f t="shared" si="863"/>
        <v>0.16975519067021083</v>
      </c>
      <c r="EL294" s="456">
        <f t="shared" si="864"/>
        <v>5.5986567692194553</v>
      </c>
      <c r="EM294" s="456">
        <f t="shared" si="865"/>
        <v>4.0250000000000001E-2</v>
      </c>
      <c r="EN294" s="456">
        <f t="shared" si="866"/>
        <v>1.1132956800000005</v>
      </c>
      <c r="EO294">
        <f t="shared" si="867"/>
        <v>2.1600000000000001E-2</v>
      </c>
      <c r="EP294" s="144">
        <f t="shared" si="868"/>
        <v>61.85</v>
      </c>
      <c r="EQ294" s="144"/>
      <c r="ER294" s="144">
        <f t="shared" si="869"/>
        <v>6943.5576398896665</v>
      </c>
      <c r="ES294" s="456">
        <f t="shared" si="870"/>
        <v>2.1839999999999997</v>
      </c>
      <c r="EV294" s="144">
        <f t="shared" si="871"/>
        <v>2183.9999999999995</v>
      </c>
      <c r="EW294" s="456">
        <f t="shared" si="872"/>
        <v>0.19804772244857929</v>
      </c>
      <c r="EX294" s="456">
        <f t="shared" si="873"/>
        <v>0.34009695840248461</v>
      </c>
      <c r="EY294" s="456">
        <f t="shared" si="874"/>
        <v>43.301750563549071</v>
      </c>
      <c r="EZ294" s="456"/>
      <c r="FA294" s="456">
        <f t="shared" si="875"/>
        <v>4.0360851063829797</v>
      </c>
      <c r="FB294" s="144">
        <f t="shared" si="876"/>
        <v>47875.980350783109</v>
      </c>
      <c r="FC294" s="150">
        <f t="shared" si="877"/>
        <v>57.003537990672775</v>
      </c>
      <c r="FD294" s="5">
        <f t="shared" si="878"/>
        <v>93.600000000000009</v>
      </c>
      <c r="FE294" s="150">
        <f t="shared" si="879"/>
        <v>0.62149934356652947</v>
      </c>
      <c r="FF294" s="5">
        <f t="shared" si="880"/>
        <v>62.149934356652949</v>
      </c>
      <c r="FI294" s="59">
        <f t="shared" si="833"/>
        <v>-50</v>
      </c>
      <c r="FJ294">
        <f t="shared" si="834"/>
        <v>-50</v>
      </c>
      <c r="FL294">
        <f t="shared" si="835"/>
        <v>0.58108338019327499</v>
      </c>
    </row>
    <row r="295" spans="5:168">
      <c r="E295" s="147">
        <v>79</v>
      </c>
      <c r="F295" s="188">
        <f t="shared" si="836"/>
        <v>3.16</v>
      </c>
      <c r="G295" s="188"/>
      <c r="H295" s="188">
        <f t="shared" si="762"/>
        <v>94.800000000000011</v>
      </c>
      <c r="I295" s="465">
        <f t="shared" si="763"/>
        <v>47.860434020570978</v>
      </c>
      <c r="J295" s="149">
        <f t="shared" si="764"/>
        <v>30.475150912000242</v>
      </c>
      <c r="K295" s="149">
        <f t="shared" si="765"/>
        <v>78.335584932571223</v>
      </c>
      <c r="L295" s="379"/>
      <c r="M295" s="188">
        <f t="shared" si="766"/>
        <v>0.38903719198292475</v>
      </c>
      <c r="N295" s="149">
        <f t="shared" si="767"/>
        <v>284.96581478160601</v>
      </c>
      <c r="O295" s="149">
        <f t="shared" si="760"/>
        <v>94.800000000000011</v>
      </c>
      <c r="P295" s="188">
        <f t="shared" si="768"/>
        <v>9.4988604927202012</v>
      </c>
      <c r="Q295" s="188">
        <f t="shared" si="769"/>
        <v>30</v>
      </c>
      <c r="R295" s="188"/>
      <c r="S295" s="149">
        <f t="shared" si="770"/>
        <v>181.7250901139042</v>
      </c>
      <c r="T295" s="149">
        <f t="shared" si="771"/>
        <v>30</v>
      </c>
      <c r="U295" s="188">
        <f t="shared" si="772"/>
        <v>10.182878887890926</v>
      </c>
      <c r="V295" s="188">
        <f t="shared" si="773"/>
        <v>0.99998112746985868</v>
      </c>
      <c r="W295" s="188">
        <f t="shared" si="774"/>
        <v>1.5704444224504772</v>
      </c>
      <c r="X295" s="172">
        <f t="shared" si="775"/>
        <v>350</v>
      </c>
      <c r="Y295" s="379">
        <f t="shared" si="837"/>
        <v>350</v>
      </c>
      <c r="AA295" s="188">
        <f t="shared" si="776"/>
        <v>11.318724901637419</v>
      </c>
      <c r="AB295" s="150">
        <f t="shared" si="777"/>
        <v>1.7456191502155292</v>
      </c>
      <c r="AC295" s="150">
        <f t="shared" si="778"/>
        <v>3.4576820152559407</v>
      </c>
      <c r="AD295" s="150"/>
      <c r="AE295" s="150">
        <f t="shared" si="779"/>
        <v>0.9346909738724859</v>
      </c>
      <c r="AF295" s="314">
        <f t="shared" si="780"/>
        <v>1115.6628545150184</v>
      </c>
      <c r="AG295" s="456">
        <f t="shared" si="781"/>
        <v>0.99133891168293942</v>
      </c>
      <c r="AI295" s="150">
        <f t="shared" si="782"/>
        <v>10.820529676056546</v>
      </c>
      <c r="AJ295" s="150">
        <f t="shared" si="783"/>
        <v>10.820529676056546</v>
      </c>
      <c r="AK295" s="150">
        <f t="shared" si="784"/>
        <v>4.7258693447781379</v>
      </c>
      <c r="AM295" s="314">
        <f t="shared" si="785"/>
        <v>3160</v>
      </c>
      <c r="AN295" s="144">
        <f t="shared" si="786"/>
        <v>350</v>
      </c>
      <c r="AP295">
        <f t="shared" si="787"/>
        <v>3160</v>
      </c>
      <c r="AQ295">
        <f t="shared" si="788"/>
        <v>350</v>
      </c>
      <c r="AS295" s="5">
        <f t="shared" si="761"/>
        <v>2.8571428571428572</v>
      </c>
      <c r="AT295" s="5">
        <f t="shared" si="789"/>
        <v>1.0625998388482447</v>
      </c>
      <c r="AU295" s="5">
        <f t="shared" si="721"/>
        <v>1.7945430182946125</v>
      </c>
      <c r="AV295" s="5"/>
      <c r="AW295" s="150">
        <f t="shared" si="722"/>
        <v>0.37190994359688562</v>
      </c>
      <c r="AX295" s="150">
        <f t="shared" si="790"/>
        <v>96.301476881920763</v>
      </c>
      <c r="AY295" s="150">
        <f t="shared" si="791"/>
        <v>3.3981335472729648</v>
      </c>
      <c r="AZ295" s="150">
        <f t="shared" si="792"/>
        <v>28.339520958263584</v>
      </c>
      <c r="BA295" s="144">
        <f t="shared" si="723"/>
        <v>11.192718302534844</v>
      </c>
      <c r="BB295" s="5">
        <f t="shared" si="724"/>
        <v>2.0909163415738519</v>
      </c>
      <c r="BD295" s="150">
        <f t="shared" si="838"/>
        <v>3.8098404466801301</v>
      </c>
      <c r="BE295" s="150">
        <f t="shared" si="839"/>
        <v>4.9510675543408764</v>
      </c>
      <c r="BG295" s="456">
        <f t="shared" si="840"/>
        <v>0.17417861074991825</v>
      </c>
      <c r="BH295" s="456">
        <f t="shared" si="793"/>
        <v>5.4142527307882871</v>
      </c>
      <c r="BI295" s="456">
        <f t="shared" si="841"/>
        <v>4.0250000000000001E-2</v>
      </c>
      <c r="BJ295" s="456">
        <f t="shared" si="842"/>
        <v>1.1114670178611235</v>
      </c>
      <c r="BK295">
        <f t="shared" si="843"/>
        <v>2.1537195309256938E-2</v>
      </c>
      <c r="BL295" s="144">
        <f t="shared" si="844"/>
        <v>61.787195309256944</v>
      </c>
      <c r="BM295" s="456">
        <f t="shared" si="794"/>
        <v>7.0382014088128857</v>
      </c>
      <c r="BN295" s="144">
        <f t="shared" si="845"/>
        <v>7038.2014088128853</v>
      </c>
      <c r="BO295" s="456">
        <f t="shared" si="795"/>
        <v>2.2119999999999997</v>
      </c>
      <c r="BR295" s="144">
        <f t="shared" si="846"/>
        <v>2211.9999999999995</v>
      </c>
      <c r="BS295" s="456">
        <f t="shared" si="847"/>
        <v>0.20320837920823795</v>
      </c>
      <c r="BT295" s="456">
        <f t="shared" si="848"/>
        <v>0.34318297898705724</v>
      </c>
      <c r="BU295" s="456">
        <f t="shared" si="849"/>
        <v>44.132793319759131</v>
      </c>
      <c r="BV295" s="456"/>
      <c r="BW295" s="456">
        <f t="shared" si="850"/>
        <v>4.0979351864647136</v>
      </c>
      <c r="BX295" s="144">
        <f t="shared" si="851"/>
        <v>48777.119864419132</v>
      </c>
      <c r="BY295" s="150">
        <f t="shared" si="852"/>
        <v>57.75080541912773</v>
      </c>
      <c r="BZ295" s="5">
        <f t="shared" si="853"/>
        <v>94.800000000000011</v>
      </c>
      <c r="CA295" s="150">
        <f t="shared" si="854"/>
        <v>0.62143231390709786</v>
      </c>
      <c r="CB295" s="5">
        <f t="shared" si="855"/>
        <v>62.143231390709786</v>
      </c>
      <c r="CE295" s="59">
        <f t="shared" si="796"/>
        <v>-50</v>
      </c>
      <c r="CF295">
        <f t="shared" si="797"/>
        <v>-50</v>
      </c>
      <c r="CG295" s="150">
        <f t="shared" si="798"/>
        <v>0.588682144001894</v>
      </c>
      <c r="CI295" s="147">
        <v>79</v>
      </c>
      <c r="CJ295" s="188">
        <f t="shared" si="856"/>
        <v>3.16</v>
      </c>
      <c r="CK295" s="188"/>
      <c r="CL295" s="188">
        <f t="shared" si="799"/>
        <v>94.800000000000011</v>
      </c>
      <c r="CM295" s="465">
        <f t="shared" si="800"/>
        <v>48</v>
      </c>
      <c r="CN295" s="379">
        <f t="shared" si="801"/>
        <v>30.4</v>
      </c>
      <c r="CO295" s="379">
        <f t="shared" si="802"/>
        <v>78.400000000000006</v>
      </c>
      <c r="CP295" s="379"/>
      <c r="CQ295" s="188">
        <f t="shared" si="803"/>
        <v>0.38775510204081626</v>
      </c>
      <c r="CR295" s="149">
        <f t="shared" si="804"/>
        <v>284.85494809142222</v>
      </c>
      <c r="CS295" s="149">
        <f t="shared" si="805"/>
        <v>94.800000000000011</v>
      </c>
      <c r="CT295" s="188">
        <f t="shared" si="806"/>
        <v>9.4951649363807409</v>
      </c>
      <c r="CU295" s="188">
        <f t="shared" si="807"/>
        <v>30</v>
      </c>
      <c r="CV295" s="188"/>
      <c r="CW295" s="149">
        <f t="shared" si="808"/>
        <v>182.25471360569944</v>
      </c>
      <c r="CX295" s="149">
        <f t="shared" si="809"/>
        <v>30</v>
      </c>
      <c r="CY295" s="188">
        <f t="shared" si="810"/>
        <v>10.186842105263162</v>
      </c>
      <c r="CZ295" s="188">
        <f t="shared" si="811"/>
        <v>0.99746162280701789</v>
      </c>
      <c r="DA295" s="188">
        <f t="shared" si="812"/>
        <v>1.5749394044321336</v>
      </c>
      <c r="DB295" s="172">
        <f t="shared" si="813"/>
        <v>350</v>
      </c>
      <c r="DC295" s="379">
        <f t="shared" si="814"/>
        <v>350</v>
      </c>
      <c r="DE295" s="188">
        <f t="shared" si="815"/>
        <v>11.314434588425037</v>
      </c>
      <c r="DF295" s="150">
        <f t="shared" si="816"/>
        <v>1.7492711370262393</v>
      </c>
      <c r="DG295" s="150">
        <f t="shared" si="817"/>
        <v>3.463602425028073</v>
      </c>
      <c r="DH295" s="150"/>
      <c r="DI295" s="150">
        <f t="shared" si="818"/>
        <v>0.93700159489633172</v>
      </c>
      <c r="DJ295" s="314">
        <f t="shared" si="819"/>
        <v>1112.9116595744681</v>
      </c>
      <c r="DK295" s="456">
        <f t="shared" si="820"/>
        <v>0.99378957034459414</v>
      </c>
      <c r="DM295" s="150">
        <f t="shared" si="821"/>
        <v>10.807179871646234</v>
      </c>
      <c r="DN295" s="150">
        <f t="shared" si="822"/>
        <v>10.807179871646234</v>
      </c>
      <c r="DO295" s="150">
        <f t="shared" si="823"/>
        <v>4.7159806007704992</v>
      </c>
      <c r="DQ295" s="314">
        <f t="shared" si="824"/>
        <v>3160</v>
      </c>
      <c r="DR295" s="144">
        <f t="shared" si="825"/>
        <v>350</v>
      </c>
      <c r="DT295">
        <f t="shared" si="826"/>
        <v>3160</v>
      </c>
      <c r="DU295">
        <f t="shared" si="827"/>
        <v>350</v>
      </c>
      <c r="DW295" s="5">
        <f t="shared" si="857"/>
        <v>2.8571428571428572</v>
      </c>
      <c r="DX295" s="5">
        <f t="shared" si="828"/>
        <v>1.0582030290986937</v>
      </c>
      <c r="DY295" s="5">
        <f t="shared" si="829"/>
        <v>1.7989398280441635</v>
      </c>
      <c r="DZ295" s="5"/>
      <c r="EA295" s="150">
        <f t="shared" si="830"/>
        <v>0.3703710601845428</v>
      </c>
      <c r="EB295" s="150">
        <f t="shared" si="858"/>
        <v>96.064000000000007</v>
      </c>
      <c r="EC295" s="150">
        <f t="shared" si="859"/>
        <v>3.4022566024897833</v>
      </c>
      <c r="ED295" s="150">
        <f t="shared" si="860"/>
        <v>28.235377640152137</v>
      </c>
      <c r="EE295" s="144">
        <f t="shared" si="831"/>
        <v>11.146405239839574</v>
      </c>
      <c r="EF295" s="5">
        <f t="shared" si="832"/>
        <v>2.0899448002277783</v>
      </c>
      <c r="EH295" s="150">
        <f t="shared" si="861"/>
        <v>3.7972594781372404</v>
      </c>
      <c r="EI295" s="150">
        <f t="shared" si="862"/>
        <v>4.9510133018472828</v>
      </c>
      <c r="EK295" s="456">
        <f t="shared" si="863"/>
        <v>0.17303015453163728</v>
      </c>
      <c r="EL295" s="456">
        <f t="shared" si="864"/>
        <v>5.6344312978814814</v>
      </c>
      <c r="EM295" s="456">
        <f t="shared" si="865"/>
        <v>4.0250000000000001E-2</v>
      </c>
      <c r="EN295" s="456">
        <f t="shared" si="866"/>
        <v>1.1132956800000005</v>
      </c>
      <c r="EO295">
        <f t="shared" si="867"/>
        <v>2.1600000000000001E-2</v>
      </c>
      <c r="EP295" s="144">
        <f t="shared" si="868"/>
        <v>61.85</v>
      </c>
      <c r="EQ295" s="144"/>
      <c r="ER295" s="144">
        <f t="shared" si="869"/>
        <v>6982.607132413119</v>
      </c>
      <c r="ES295" s="456">
        <f t="shared" si="870"/>
        <v>2.2119999999999997</v>
      </c>
      <c r="EV295" s="144">
        <f t="shared" si="871"/>
        <v>2211.9999999999995</v>
      </c>
      <c r="EW295" s="456">
        <f t="shared" si="872"/>
        <v>0.20186851362024349</v>
      </c>
      <c r="EX295" s="456">
        <f t="shared" si="873"/>
        <v>0.34317545801096228</v>
      </c>
      <c r="EY295" s="456">
        <f t="shared" si="874"/>
        <v>43.996797409979422</v>
      </c>
      <c r="EZ295" s="456"/>
      <c r="FA295" s="456">
        <f t="shared" si="875"/>
        <v>4.0878297872340426</v>
      </c>
      <c r="FB295" s="144">
        <f t="shared" si="876"/>
        <v>48629.671168844674</v>
      </c>
      <c r="FC295" s="150">
        <f t="shared" si="877"/>
        <v>57.824278301257792</v>
      </c>
      <c r="FD295" s="5">
        <f t="shared" si="878"/>
        <v>94.800000000000011</v>
      </c>
      <c r="FE295" s="150">
        <f t="shared" si="879"/>
        <v>0.62113315820487491</v>
      </c>
      <c r="FF295" s="5">
        <f t="shared" si="880"/>
        <v>62.113315820487493</v>
      </c>
      <c r="FI295" s="59">
        <f t="shared" si="833"/>
        <v>-50</v>
      </c>
      <c r="FJ295">
        <f t="shared" si="834"/>
        <v>-50</v>
      </c>
      <c r="FL295">
        <f t="shared" si="835"/>
        <v>0.58479641081769917</v>
      </c>
    </row>
    <row r="296" spans="5:168">
      <c r="E296" s="147">
        <v>80</v>
      </c>
      <c r="F296" s="188">
        <f t="shared" si="836"/>
        <v>3.2</v>
      </c>
      <c r="G296" s="188"/>
      <c r="H296" s="188">
        <f t="shared" si="762"/>
        <v>96</v>
      </c>
      <c r="I296" s="465">
        <f t="shared" si="763"/>
        <v>47.859553469378824</v>
      </c>
      <c r="J296" s="149">
        <f t="shared" si="764"/>
        <v>30.475625054949866</v>
      </c>
      <c r="K296" s="149">
        <f t="shared" si="765"/>
        <v>78.335178524328683</v>
      </c>
      <c r="L296" s="379"/>
      <c r="M296" s="188">
        <f t="shared" si="766"/>
        <v>0.38904528760030738</v>
      </c>
      <c r="N296" s="149">
        <f t="shared" si="767"/>
        <v>284.96650174055372</v>
      </c>
      <c r="O296" s="149">
        <f t="shared" si="760"/>
        <v>96</v>
      </c>
      <c r="P296" s="188">
        <f t="shared" si="768"/>
        <v>9.4988833913517912</v>
      </c>
      <c r="Q296" s="188">
        <f t="shared" si="769"/>
        <v>30</v>
      </c>
      <c r="R296" s="188"/>
      <c r="S296" s="149">
        <f t="shared" si="770"/>
        <v>178.85497735657884</v>
      </c>
      <c r="T296" s="149">
        <f t="shared" si="771"/>
        <v>30</v>
      </c>
      <c r="U296" s="188">
        <f t="shared" si="772"/>
        <v>10.311751230759402</v>
      </c>
      <c r="V296" s="188">
        <f t="shared" si="773"/>
        <v>1.0126553064390349</v>
      </c>
      <c r="W296" s="188">
        <f t="shared" si="774"/>
        <v>1.5902948896760181</v>
      </c>
      <c r="X296" s="172">
        <f t="shared" si="775"/>
        <v>350</v>
      </c>
      <c r="Y296" s="379">
        <f t="shared" si="837"/>
        <v>350</v>
      </c>
      <c r="AA296" s="188">
        <f t="shared" si="776"/>
        <v>11.318751475756642</v>
      </c>
      <c r="AB296" s="150">
        <f t="shared" si="777"/>
        <v>1.7455960899944118</v>
      </c>
      <c r="AC296" s="150">
        <f t="shared" si="778"/>
        <v>3.4576444559473729</v>
      </c>
      <c r="AD296" s="150"/>
      <c r="AE296" s="150">
        <f t="shared" si="779"/>
        <v>0.93467643185293625</v>
      </c>
      <c r="AF296" s="314">
        <f t="shared" si="780"/>
        <v>1129.8027467179713</v>
      </c>
      <c r="AG296" s="456">
        <f t="shared" si="781"/>
        <v>0.99132348832887163</v>
      </c>
      <c r="AI296" s="150">
        <f t="shared" si="782"/>
        <v>10.888883384847222</v>
      </c>
      <c r="AJ296" s="150">
        <f t="shared" si="783"/>
        <v>10.888883384847222</v>
      </c>
      <c r="AK296" s="150">
        <f t="shared" si="784"/>
        <v>4.7765017216601198</v>
      </c>
      <c r="AM296" s="314">
        <f t="shared" si="785"/>
        <v>3200</v>
      </c>
      <c r="AN296" s="144">
        <f t="shared" si="786"/>
        <v>350</v>
      </c>
      <c r="AP296">
        <f t="shared" si="787"/>
        <v>3200</v>
      </c>
      <c r="AQ296">
        <f t="shared" si="788"/>
        <v>350</v>
      </c>
      <c r="AS296" s="5">
        <f t="shared" si="761"/>
        <v>2.8571428571428572</v>
      </c>
      <c r="AT296" s="5">
        <f t="shared" si="789"/>
        <v>1.0693319974563937</v>
      </c>
      <c r="AU296" s="5">
        <f t="shared" si="721"/>
        <v>1.7878108596864635</v>
      </c>
      <c r="AV296" s="5"/>
      <c r="AW296" s="150">
        <f t="shared" si="722"/>
        <v>0.3742661991097378</v>
      </c>
      <c r="AX296" s="150">
        <f t="shared" si="790"/>
        <v>97.522000175839565</v>
      </c>
      <c r="AY296" s="150">
        <f t="shared" si="791"/>
        <v>3.4067711939256382</v>
      </c>
      <c r="AZ296" s="150">
        <f t="shared" si="792"/>
        <v>28.625931894024415</v>
      </c>
      <c r="BA296" s="144">
        <f t="shared" si="723"/>
        <v>11.4062079728682</v>
      </c>
      <c r="BB296" s="5">
        <f t="shared" si="724"/>
        <v>2.1094791652106863</v>
      </c>
      <c r="BD296" s="150">
        <f t="shared" si="838"/>
        <v>3.846033145539955</v>
      </c>
      <c r="BE296" s="150">
        <f t="shared" si="839"/>
        <v>4.9729893256479718</v>
      </c>
      <c r="BG296" s="456">
        <f t="shared" si="840"/>
        <v>0.17750365147910352</v>
      </c>
      <c r="BH296" s="456">
        <f t="shared" si="793"/>
        <v>5.4484265100501297</v>
      </c>
      <c r="BI296" s="456">
        <f t="shared" si="841"/>
        <v>4.0250000000000001E-2</v>
      </c>
      <c r="BJ296" s="456">
        <f t="shared" si="842"/>
        <v>1.1114554852176635</v>
      </c>
      <c r="BK296">
        <f t="shared" si="843"/>
        <v>2.1536799061220468E-2</v>
      </c>
      <c r="BL296" s="144">
        <f t="shared" si="844"/>
        <v>61.786799061220471</v>
      </c>
      <c r="BM296" s="456">
        <f t="shared" si="794"/>
        <v>7.0840818465305695</v>
      </c>
      <c r="BN296" s="144">
        <f t="shared" si="845"/>
        <v>7084.0818465305692</v>
      </c>
      <c r="BO296" s="456">
        <f t="shared" si="795"/>
        <v>2.2399999999999998</v>
      </c>
      <c r="BR296" s="144">
        <f t="shared" si="846"/>
        <v>2239.9999999999995</v>
      </c>
      <c r="BS296" s="456">
        <f t="shared" si="847"/>
        <v>0.20708759339228744</v>
      </c>
      <c r="BT296" s="456">
        <f t="shared" si="848"/>
        <v>0.34622871966212138</v>
      </c>
      <c r="BU296" s="456">
        <f t="shared" si="849"/>
        <v>44.833070340387088</v>
      </c>
      <c r="BV296" s="456"/>
      <c r="BW296" s="456">
        <f t="shared" si="850"/>
        <v>4.149872347908067</v>
      </c>
      <c r="BX296" s="144">
        <f t="shared" si="851"/>
        <v>49536.259001349565</v>
      </c>
      <c r="BY296" s="150">
        <f t="shared" si="852"/>
        <v>58.575431447157676</v>
      </c>
      <c r="BZ296" s="5">
        <f t="shared" si="853"/>
        <v>96</v>
      </c>
      <c r="CA296" s="150">
        <f t="shared" si="854"/>
        <v>0.62105600548052187</v>
      </c>
      <c r="CB296" s="5">
        <f t="shared" si="855"/>
        <v>62.105600548052188</v>
      </c>
      <c r="CE296" s="59">
        <f t="shared" si="796"/>
        <v>-50</v>
      </c>
      <c r="CF296">
        <f t="shared" si="797"/>
        <v>-50</v>
      </c>
      <c r="CG296" s="150">
        <f t="shared" si="798"/>
        <v>0.59239626377394827</v>
      </c>
      <c r="CI296" s="147">
        <v>80</v>
      </c>
      <c r="CJ296" s="188">
        <f t="shared" si="856"/>
        <v>3.2</v>
      </c>
      <c r="CK296" s="188"/>
      <c r="CL296" s="188">
        <f t="shared" si="799"/>
        <v>96</v>
      </c>
      <c r="CM296" s="465">
        <f t="shared" si="800"/>
        <v>48</v>
      </c>
      <c r="CN296" s="379">
        <f t="shared" si="801"/>
        <v>30.4</v>
      </c>
      <c r="CO296" s="379">
        <f t="shared" si="802"/>
        <v>78.400000000000006</v>
      </c>
      <c r="CP296" s="379"/>
      <c r="CQ296" s="188">
        <f t="shared" si="803"/>
        <v>0.38775510204081626</v>
      </c>
      <c r="CR296" s="149">
        <f t="shared" si="804"/>
        <v>284.85494809142222</v>
      </c>
      <c r="CS296" s="149">
        <f t="shared" si="805"/>
        <v>96</v>
      </c>
      <c r="CT296" s="188">
        <f t="shared" si="806"/>
        <v>9.4951649363807409</v>
      </c>
      <c r="CU296" s="188">
        <f t="shared" si="807"/>
        <v>30</v>
      </c>
      <c r="CV296" s="188"/>
      <c r="CW296" s="149">
        <f t="shared" si="808"/>
        <v>179.37952475161998</v>
      </c>
      <c r="CX296" s="149">
        <f t="shared" si="809"/>
        <v>30</v>
      </c>
      <c r="CY296" s="188">
        <f t="shared" si="810"/>
        <v>10.315789473684212</v>
      </c>
      <c r="CZ296" s="188">
        <f t="shared" si="811"/>
        <v>1.0100877192982458</v>
      </c>
      <c r="DA296" s="188">
        <f t="shared" si="812"/>
        <v>1.5948753462603882</v>
      </c>
      <c r="DB296" s="172">
        <f t="shared" si="813"/>
        <v>350</v>
      </c>
      <c r="DC296" s="379">
        <f t="shared" si="814"/>
        <v>350</v>
      </c>
      <c r="DE296" s="188">
        <f t="shared" si="815"/>
        <v>11.314434588425037</v>
      </c>
      <c r="DF296" s="150">
        <f t="shared" si="816"/>
        <v>1.7492711370262393</v>
      </c>
      <c r="DG296" s="150">
        <f t="shared" si="817"/>
        <v>3.463602425028073</v>
      </c>
      <c r="DH296" s="150"/>
      <c r="DI296" s="150">
        <f t="shared" si="818"/>
        <v>0.93700159489633172</v>
      </c>
      <c r="DJ296" s="314">
        <f t="shared" si="819"/>
        <v>1126.9991489361703</v>
      </c>
      <c r="DK296" s="456">
        <f t="shared" si="820"/>
        <v>0.99378957034459414</v>
      </c>
      <c r="DM296" s="150">
        <f t="shared" si="821"/>
        <v>10.875364648185505</v>
      </c>
      <c r="DN296" s="150">
        <f t="shared" si="822"/>
        <v>10.875364648185505</v>
      </c>
      <c r="DO296" s="150">
        <f t="shared" si="823"/>
        <v>4.7664878426514399</v>
      </c>
      <c r="DQ296" s="314">
        <f t="shared" si="824"/>
        <v>3200</v>
      </c>
      <c r="DR296" s="144">
        <f t="shared" si="825"/>
        <v>350</v>
      </c>
      <c r="DT296">
        <f t="shared" si="826"/>
        <v>3200</v>
      </c>
      <c r="DU296">
        <f t="shared" si="827"/>
        <v>350</v>
      </c>
      <c r="DW296" s="5">
        <f t="shared" si="857"/>
        <v>2.8571428571428572</v>
      </c>
      <c r="DX296" s="5">
        <f t="shared" si="828"/>
        <v>1.0648794551348306</v>
      </c>
      <c r="DY296" s="5">
        <f t="shared" si="829"/>
        <v>1.7922634020080266</v>
      </c>
      <c r="DZ296" s="5"/>
      <c r="EA296" s="150">
        <f t="shared" si="830"/>
        <v>0.37270780929719072</v>
      </c>
      <c r="EB296" s="150">
        <f t="shared" si="858"/>
        <v>97.279999999999987</v>
      </c>
      <c r="EC296" s="150">
        <f t="shared" si="859"/>
        <v>3.4110156574260859</v>
      </c>
      <c r="ED296" s="150">
        <f t="shared" si="860"/>
        <v>28.519364837335981</v>
      </c>
      <c r="EE296" s="144">
        <f t="shared" si="831"/>
        <v>11.358714188104861</v>
      </c>
      <c r="EF296" s="5">
        <f t="shared" si="832"/>
        <v>2.1085451788329723</v>
      </c>
      <c r="EH296" s="150">
        <f t="shared" si="861"/>
        <v>3.8332526675851168</v>
      </c>
      <c r="EI296" s="150">
        <f t="shared" si="862"/>
        <v>4.972996353318516</v>
      </c>
      <c r="EK296" s="456">
        <f t="shared" si="863"/>
        <v>0.17632591216258098</v>
      </c>
      <c r="EL296" s="456">
        <f t="shared" si="864"/>
        <v>5.6699801129779956</v>
      </c>
      <c r="EM296" s="456">
        <f t="shared" si="865"/>
        <v>4.0250000000000001E-2</v>
      </c>
      <c r="EN296" s="456">
        <f t="shared" si="866"/>
        <v>1.1132956800000005</v>
      </c>
      <c r="EO296">
        <f t="shared" si="867"/>
        <v>2.1600000000000001E-2</v>
      </c>
      <c r="EP296" s="144">
        <f t="shared" si="868"/>
        <v>61.85</v>
      </c>
      <c r="EQ296" s="144"/>
      <c r="ER296" s="144">
        <f t="shared" si="869"/>
        <v>7021.4517051405783</v>
      </c>
      <c r="ES296" s="456">
        <f t="shared" si="870"/>
        <v>2.2399999999999998</v>
      </c>
      <c r="EV296" s="144">
        <f t="shared" si="871"/>
        <v>2239.9999999999995</v>
      </c>
      <c r="EW296" s="456">
        <f t="shared" si="872"/>
        <v>0.20571356418967779</v>
      </c>
      <c r="EX296" s="456">
        <f t="shared" si="873"/>
        <v>0.3462296982216696</v>
      </c>
      <c r="EY296" s="456">
        <f t="shared" si="874"/>
        <v>44.69404730722831</v>
      </c>
      <c r="EZ296" s="456"/>
      <c r="FA296" s="456">
        <f t="shared" si="875"/>
        <v>4.1395744680851063</v>
      </c>
      <c r="FB296" s="144">
        <f t="shared" si="876"/>
        <v>49385.565037724766</v>
      </c>
      <c r="FC296" s="150">
        <f t="shared" si="877"/>
        <v>58.64701674286534</v>
      </c>
      <c r="FD296" s="5">
        <f t="shared" si="878"/>
        <v>96</v>
      </c>
      <c r="FE296" s="150">
        <f t="shared" si="879"/>
        <v>0.62076852190185539</v>
      </c>
      <c r="FF296" s="5">
        <f t="shared" si="880"/>
        <v>62.076852190185541</v>
      </c>
      <c r="FI296" s="59">
        <f t="shared" si="833"/>
        <v>-50</v>
      </c>
      <c r="FJ296">
        <f t="shared" si="834"/>
        <v>-50</v>
      </c>
      <c r="FL296">
        <f t="shared" si="835"/>
        <v>0.58848601467977479</v>
      </c>
    </row>
    <row r="297" spans="5:168">
      <c r="E297" s="147">
        <v>81</v>
      </c>
      <c r="F297" s="188">
        <f t="shared" si="836"/>
        <v>3.24</v>
      </c>
      <c r="G297" s="188"/>
      <c r="H297" s="188">
        <f t="shared" si="762"/>
        <v>97.2</v>
      </c>
      <c r="I297" s="465">
        <f t="shared" si="763"/>
        <v>47.858678404647165</v>
      </c>
      <c r="J297" s="149">
        <f t="shared" si="764"/>
        <v>30.476096243651526</v>
      </c>
      <c r="K297" s="149">
        <f t="shared" si="765"/>
        <v>78.334774648298691</v>
      </c>
      <c r="L297" s="379"/>
      <c r="M297" s="188">
        <f t="shared" si="766"/>
        <v>0.38905333285880567</v>
      </c>
      <c r="N297" s="149">
        <f t="shared" si="767"/>
        <v>284.96718426357239</v>
      </c>
      <c r="O297" s="149">
        <f t="shared" si="760"/>
        <v>97.2</v>
      </c>
      <c r="P297" s="188">
        <f t="shared" si="768"/>
        <v>9.498906142119079</v>
      </c>
      <c r="Q297" s="188">
        <f t="shared" si="769"/>
        <v>30</v>
      </c>
      <c r="R297" s="188"/>
      <c r="S297" s="149">
        <f t="shared" si="770"/>
        <v>176.05582607614386</v>
      </c>
      <c r="T297" s="149">
        <f t="shared" si="771"/>
        <v>30</v>
      </c>
      <c r="U297" s="188">
        <f t="shared" si="772"/>
        <v>10.440623114816621</v>
      </c>
      <c r="V297" s="188">
        <f t="shared" si="773"/>
        <v>1.0253297891918645</v>
      </c>
      <c r="W297" s="188">
        <f t="shared" si="774"/>
        <v>1.6101448245642707</v>
      </c>
      <c r="X297" s="172">
        <f t="shared" si="775"/>
        <v>350</v>
      </c>
      <c r="Y297" s="379">
        <f t="shared" si="837"/>
        <v>350</v>
      </c>
      <c r="AA297" s="188">
        <f t="shared" si="776"/>
        <v>11.318777878153815</v>
      </c>
      <c r="AB297" s="150">
        <f t="shared" si="777"/>
        <v>1.745573173217835</v>
      </c>
      <c r="AC297" s="150">
        <f t="shared" si="778"/>
        <v>3.4576071281004381</v>
      </c>
      <c r="AD297" s="150"/>
      <c r="AE297" s="150">
        <f t="shared" si="779"/>
        <v>0.93466198088878139</v>
      </c>
      <c r="AF297" s="314">
        <f t="shared" si="780"/>
        <v>1143.942967470748</v>
      </c>
      <c r="AG297" s="456">
        <f t="shared" si="781"/>
        <v>0.99130816154870738</v>
      </c>
      <c r="AI297" s="150">
        <f t="shared" si="782"/>
        <v>10.956812252978898</v>
      </c>
      <c r="AJ297" s="150">
        <f t="shared" si="783"/>
        <v>10.956812252978898</v>
      </c>
      <c r="AK297" s="150">
        <f t="shared" si="784"/>
        <v>4.8268194017576569</v>
      </c>
      <c r="AM297" s="314">
        <f t="shared" si="785"/>
        <v>3240</v>
      </c>
      <c r="AN297" s="144">
        <f t="shared" si="786"/>
        <v>350</v>
      </c>
      <c r="AP297">
        <f t="shared" si="787"/>
        <v>3240</v>
      </c>
      <c r="AQ297">
        <f t="shared" si="788"/>
        <v>350</v>
      </c>
      <c r="AS297" s="5">
        <f t="shared" si="761"/>
        <v>2.8571428571428572</v>
      </c>
      <c r="AT297" s="5">
        <f t="shared" si="789"/>
        <v>1.0760225586170882</v>
      </c>
      <c r="AU297" s="5">
        <f t="shared" si="721"/>
        <v>1.781120298525769</v>
      </c>
      <c r="AV297" s="5"/>
      <c r="AW297" s="150">
        <f t="shared" si="722"/>
        <v>0.37660789551598084</v>
      </c>
      <c r="AX297" s="150">
        <f t="shared" si="790"/>
        <v>98.742551829430951</v>
      </c>
      <c r="AY297" s="150">
        <f t="shared" si="791"/>
        <v>3.4151951244104013</v>
      </c>
      <c r="AZ297" s="150">
        <f t="shared" si="792"/>
        <v>28.912711640884019</v>
      </c>
      <c r="BA297" s="144">
        <f t="shared" si="723"/>
        <v>11.621043633064554</v>
      </c>
      <c r="BB297" s="5">
        <f t="shared" si="724"/>
        <v>2.1278935348302226</v>
      </c>
      <c r="BD297" s="150">
        <f t="shared" si="838"/>
        <v>3.8821141652507318</v>
      </c>
      <c r="BE297" s="150">
        <f t="shared" si="839"/>
        <v>4.9946405800253322</v>
      </c>
      <c r="BG297" s="456">
        <f t="shared" si="840"/>
        <v>0.18084972470448463</v>
      </c>
      <c r="BH297" s="456">
        <f t="shared" si="793"/>
        <v>5.482387536951487</v>
      </c>
      <c r="BI297" s="456">
        <f t="shared" si="841"/>
        <v>4.0250000000000001E-2</v>
      </c>
      <c r="BJ297" s="456">
        <f t="shared" si="842"/>
        <v>1.1114440244900525</v>
      </c>
      <c r="BK297">
        <f t="shared" si="843"/>
        <v>2.1536405282091223E-2</v>
      </c>
      <c r="BL297" s="144">
        <f t="shared" si="844"/>
        <v>61.786405282091231</v>
      </c>
      <c r="BM297" s="456">
        <f t="shared" si="794"/>
        <v>7.1298809444363869</v>
      </c>
      <c r="BN297" s="144">
        <f t="shared" si="845"/>
        <v>7129.8809444363869</v>
      </c>
      <c r="BO297" s="456">
        <f t="shared" si="795"/>
        <v>2.2679999999999998</v>
      </c>
      <c r="BR297" s="144">
        <f t="shared" si="846"/>
        <v>2268</v>
      </c>
      <c r="BS297" s="456">
        <f t="shared" si="847"/>
        <v>0.21099134548856541</v>
      </c>
      <c r="BT297" s="456">
        <f t="shared" si="848"/>
        <v>0.34925008333090102</v>
      </c>
      <c r="BU297" s="456">
        <f t="shared" si="849"/>
        <v>45.535558245654528</v>
      </c>
      <c r="BV297" s="456"/>
      <c r="BW297" s="456">
        <f t="shared" si="850"/>
        <v>4.2018107161459977</v>
      </c>
      <c r="BX297" s="144">
        <f t="shared" si="851"/>
        <v>50297.610390619993</v>
      </c>
      <c r="BY297" s="150">
        <f t="shared" si="852"/>
        <v>59.402078082048106</v>
      </c>
      <c r="BZ297" s="5">
        <f t="shared" si="853"/>
        <v>97.2</v>
      </c>
      <c r="CA297" s="150">
        <f t="shared" si="854"/>
        <v>0.62068141872979654</v>
      </c>
      <c r="CB297" s="5">
        <f t="shared" si="855"/>
        <v>62.068141872979652</v>
      </c>
      <c r="CE297" s="59">
        <f t="shared" si="796"/>
        <v>-50</v>
      </c>
      <c r="CF297">
        <f t="shared" si="797"/>
        <v>-50</v>
      </c>
      <c r="CG297" s="150">
        <f t="shared" si="798"/>
        <v>0.59608724193694995</v>
      </c>
      <c r="CI297" s="147">
        <v>81</v>
      </c>
      <c r="CJ297" s="188">
        <f t="shared" si="856"/>
        <v>3.24</v>
      </c>
      <c r="CK297" s="188"/>
      <c r="CL297" s="188">
        <f t="shared" si="799"/>
        <v>97.2</v>
      </c>
      <c r="CM297" s="465">
        <f t="shared" si="800"/>
        <v>48</v>
      </c>
      <c r="CN297" s="379">
        <f t="shared" si="801"/>
        <v>30.4</v>
      </c>
      <c r="CO297" s="379">
        <f t="shared" si="802"/>
        <v>78.400000000000006</v>
      </c>
      <c r="CP297" s="379"/>
      <c r="CQ297" s="188">
        <f t="shared" si="803"/>
        <v>0.38775510204081626</v>
      </c>
      <c r="CR297" s="149">
        <f t="shared" si="804"/>
        <v>284.85494809142222</v>
      </c>
      <c r="CS297" s="149">
        <f t="shared" si="805"/>
        <v>97.2</v>
      </c>
      <c r="CT297" s="188">
        <f t="shared" si="806"/>
        <v>9.4951649363807409</v>
      </c>
      <c r="CU297" s="188">
        <f t="shared" si="807"/>
        <v>30</v>
      </c>
      <c r="CV297" s="188"/>
      <c r="CW297" s="149">
        <f t="shared" si="808"/>
        <v>176.57538079982226</v>
      </c>
      <c r="CX297" s="149">
        <f t="shared" si="809"/>
        <v>30</v>
      </c>
      <c r="CY297" s="188">
        <f t="shared" si="810"/>
        <v>10.444736842105266</v>
      </c>
      <c r="CZ297" s="188">
        <f t="shared" si="811"/>
        <v>1.0227138157894742</v>
      </c>
      <c r="DA297" s="188">
        <f t="shared" si="812"/>
        <v>1.6148112880886434</v>
      </c>
      <c r="DB297" s="172">
        <f t="shared" si="813"/>
        <v>350</v>
      </c>
      <c r="DC297" s="379">
        <f t="shared" si="814"/>
        <v>350</v>
      </c>
      <c r="DE297" s="188">
        <f t="shared" si="815"/>
        <v>11.314434588425037</v>
      </c>
      <c r="DF297" s="150">
        <f t="shared" si="816"/>
        <v>1.7492711370262393</v>
      </c>
      <c r="DG297" s="150">
        <f t="shared" si="817"/>
        <v>3.463602425028073</v>
      </c>
      <c r="DH297" s="150"/>
      <c r="DI297" s="150">
        <f t="shared" si="818"/>
        <v>0.93700159489633172</v>
      </c>
      <c r="DJ297" s="314">
        <f t="shared" si="819"/>
        <v>1141.0866382978725</v>
      </c>
      <c r="DK297" s="456">
        <f t="shared" si="820"/>
        <v>0.99378957034459414</v>
      </c>
      <c r="DM297" s="150">
        <f t="shared" si="821"/>
        <v>10.943124585048393</v>
      </c>
      <c r="DN297" s="150">
        <f t="shared" si="822"/>
        <v>10.943124585048393</v>
      </c>
      <c r="DO297" s="150">
        <f t="shared" si="823"/>
        <v>4.8166803884758016</v>
      </c>
      <c r="DQ297" s="314">
        <f t="shared" si="824"/>
        <v>3240</v>
      </c>
      <c r="DR297" s="144">
        <f t="shared" si="825"/>
        <v>350</v>
      </c>
      <c r="DT297">
        <f t="shared" si="826"/>
        <v>3240</v>
      </c>
      <c r="DU297">
        <f t="shared" si="827"/>
        <v>350</v>
      </c>
      <c r="DW297" s="5">
        <f t="shared" si="857"/>
        <v>2.8571428571428572</v>
      </c>
      <c r="DX297" s="5">
        <f t="shared" si="828"/>
        <v>1.0715142822859884</v>
      </c>
      <c r="DY297" s="5">
        <f t="shared" si="829"/>
        <v>1.7856285748568688</v>
      </c>
      <c r="DZ297" s="5"/>
      <c r="EA297" s="150">
        <f t="shared" si="830"/>
        <v>0.37502999880009597</v>
      </c>
      <c r="EB297" s="150">
        <f t="shared" si="858"/>
        <v>98.495999999999995</v>
      </c>
      <c r="EC297" s="150">
        <f t="shared" si="859"/>
        <v>3.4195622925241964</v>
      </c>
      <c r="ED297" s="150">
        <f t="shared" si="860"/>
        <v>28.803686429497336</v>
      </c>
      <c r="EE297" s="144">
        <f t="shared" si="831"/>
        <v>11.572354248688677</v>
      </c>
      <c r="EF297" s="5">
        <f t="shared" si="832"/>
        <v>2.126998743579505</v>
      </c>
      <c r="EH297" s="150">
        <f t="shared" si="861"/>
        <v>3.869133550595818</v>
      </c>
      <c r="EI297" s="150">
        <f t="shared" si="862"/>
        <v>4.9947102814494979</v>
      </c>
      <c r="EK297" s="456">
        <f t="shared" si="863"/>
        <v>0.17964233318815442</v>
      </c>
      <c r="EL297" s="456">
        <f t="shared" si="864"/>
        <v>5.7053074336608312</v>
      </c>
      <c r="EM297" s="456">
        <f t="shared" si="865"/>
        <v>4.0250000000000001E-2</v>
      </c>
      <c r="EN297" s="456">
        <f t="shared" si="866"/>
        <v>1.1132956800000005</v>
      </c>
      <c r="EO297">
        <f t="shared" si="867"/>
        <v>2.1600000000000001E-2</v>
      </c>
      <c r="EP297" s="144">
        <f t="shared" si="868"/>
        <v>61.85</v>
      </c>
      <c r="EQ297" s="144"/>
      <c r="ER297" s="144">
        <f t="shared" si="869"/>
        <v>7060.0954468489863</v>
      </c>
      <c r="ES297" s="456">
        <f t="shared" si="870"/>
        <v>2.2679999999999998</v>
      </c>
      <c r="EV297" s="144">
        <f t="shared" si="871"/>
        <v>2268</v>
      </c>
      <c r="EW297" s="456">
        <f t="shared" si="872"/>
        <v>0.20958272205284681</v>
      </c>
      <c r="EX297" s="456">
        <f t="shared" si="873"/>
        <v>0.34925983113864251</v>
      </c>
      <c r="EY297" s="456">
        <f t="shared" si="874"/>
        <v>45.393479568303462</v>
      </c>
      <c r="EZ297" s="456"/>
      <c r="FA297" s="456">
        <f t="shared" si="875"/>
        <v>4.1913191489361701</v>
      </c>
      <c r="FB297" s="144">
        <f t="shared" si="876"/>
        <v>50143.641270431115</v>
      </c>
      <c r="FC297" s="150">
        <f t="shared" si="877"/>
        <v>59.471736717280109</v>
      </c>
      <c r="FD297" s="5">
        <f t="shared" si="878"/>
        <v>97.2</v>
      </c>
      <c r="FE297" s="150">
        <f t="shared" si="879"/>
        <v>0.62040545433795102</v>
      </c>
      <c r="FF297" s="5">
        <f t="shared" si="880"/>
        <v>62.040545433795103</v>
      </c>
      <c r="FI297" s="59">
        <f t="shared" si="833"/>
        <v>-50</v>
      </c>
      <c r="FJ297">
        <f t="shared" si="834"/>
        <v>-50</v>
      </c>
      <c r="FL297">
        <f t="shared" si="835"/>
        <v>0.59215262968436222</v>
      </c>
    </row>
    <row r="298" spans="5:168">
      <c r="E298" s="147">
        <v>82</v>
      </c>
      <c r="F298" s="188">
        <f t="shared" si="836"/>
        <v>3.28</v>
      </c>
      <c r="G298" s="188"/>
      <c r="H298" s="188">
        <f t="shared" si="762"/>
        <v>98.399999999999991</v>
      </c>
      <c r="I298" s="465">
        <f t="shared" si="763"/>
        <v>47.857808725082677</v>
      </c>
      <c r="J298" s="149">
        <f t="shared" si="764"/>
        <v>30.476564532647789</v>
      </c>
      <c r="K298" s="149">
        <f t="shared" si="765"/>
        <v>78.334373257730462</v>
      </c>
      <c r="L298" s="379"/>
      <c r="M298" s="188">
        <f t="shared" si="766"/>
        <v>0.38906132868816773</v>
      </c>
      <c r="N298" s="149">
        <f t="shared" si="767"/>
        <v>284.96786243255758</v>
      </c>
      <c r="O298" s="149">
        <f t="shared" si="760"/>
        <v>98.399999999999991</v>
      </c>
      <c r="P298" s="188">
        <f t="shared" si="768"/>
        <v>9.4989287477519202</v>
      </c>
      <c r="Q298" s="188">
        <f t="shared" si="769"/>
        <v>30</v>
      </c>
      <c r="R298" s="188"/>
      <c r="S298" s="149">
        <f t="shared" si="770"/>
        <v>173.32504006710306</v>
      </c>
      <c r="T298" s="149">
        <f t="shared" si="771"/>
        <v>30</v>
      </c>
      <c r="U298" s="188">
        <f t="shared" si="772"/>
        <v>10.569494543046575</v>
      </c>
      <c r="V298" s="188">
        <f t="shared" si="773"/>
        <v>1.0380045738760073</v>
      </c>
      <c r="W298" s="188">
        <f t="shared" si="774"/>
        <v>1.6299942304554438</v>
      </c>
      <c r="X298" s="172">
        <f t="shared" si="775"/>
        <v>350</v>
      </c>
      <c r="Y298" s="379">
        <f t="shared" si="837"/>
        <v>348.67518023010695</v>
      </c>
      <c r="AA298" s="188">
        <f t="shared" si="776"/>
        <v>11.318804111999254</v>
      </c>
      <c r="AB298" s="150">
        <f t="shared" si="777"/>
        <v>1.7455503972374622</v>
      </c>
      <c r="AC298" s="150">
        <f t="shared" si="778"/>
        <v>3.4575700274418311</v>
      </c>
      <c r="AD298" s="150"/>
      <c r="AE298" s="150">
        <f t="shared" si="779"/>
        <v>0.93464761929889784</v>
      </c>
      <c r="AF298" s="314">
        <f t="shared" si="780"/>
        <v>1158.0835147388859</v>
      </c>
      <c r="AG298" s="456">
        <f t="shared" si="781"/>
        <v>0.99129292955943715</v>
      </c>
      <c r="AI298" s="150">
        <f t="shared" si="782"/>
        <v>11.024324124026489</v>
      </c>
      <c r="AJ298" s="150">
        <f t="shared" si="783"/>
        <v>11.024324124026489</v>
      </c>
      <c r="AK298" s="150">
        <f t="shared" si="784"/>
        <v>4.8768281951262429</v>
      </c>
      <c r="AM298" s="314">
        <f t="shared" si="785"/>
        <v>3280</v>
      </c>
      <c r="AN298" s="144">
        <f t="shared" si="786"/>
        <v>348.67518023010695</v>
      </c>
      <c r="AP298">
        <f t="shared" si="787"/>
        <v>3280</v>
      </c>
      <c r="AQ298">
        <f t="shared" si="788"/>
        <v>348.67518023010695</v>
      </c>
      <c r="AS298" s="5">
        <f t="shared" si="761"/>
        <v>2.8679988043314513</v>
      </c>
      <c r="AT298" s="5">
        <f t="shared" si="789"/>
        <v>1.0826722903376094</v>
      </c>
      <c r="AU298" s="5">
        <f t="shared" ref="AU298:AU316" si="881">AS298-AT298</f>
        <v>1.7853265139938419</v>
      </c>
      <c r="AV298" s="5"/>
      <c r="AW298" s="150">
        <f t="shared" ref="AW298:AW315" si="882">AT298/AS298</f>
        <v>0.37750095596360861</v>
      </c>
      <c r="AX298" s="150">
        <f t="shared" si="790"/>
        <v>99.584751286819099</v>
      </c>
      <c r="AY298" s="150">
        <f t="shared" si="791"/>
        <v>3.4313156141769081</v>
      </c>
      <c r="AZ298" s="150">
        <f t="shared" si="792"/>
        <v>29.022323354742504</v>
      </c>
      <c r="BA298" s="144">
        <f t="shared" si="723"/>
        <v>11.837217041024529</v>
      </c>
      <c r="BB298" s="5">
        <f t="shared" si="724"/>
        <v>2.1592902423062883</v>
      </c>
      <c r="BD298" s="150">
        <f t="shared" si="838"/>
        <v>3.9106628332698228</v>
      </c>
      <c r="BE298" s="150">
        <f t="shared" si="839"/>
        <v>5.0218147783790448</v>
      </c>
      <c r="BG298" s="456">
        <f t="shared" si="840"/>
        <v>0.18351940554621549</v>
      </c>
      <c r="BH298" s="456">
        <f t="shared" si="793"/>
        <v>5.4952600508868601</v>
      </c>
      <c r="BI298" s="456">
        <f t="shared" si="841"/>
        <v>4.0097645726462301E-2</v>
      </c>
      <c r="BJ298" s="456">
        <f t="shared" si="842"/>
        <v>1.1072256402737164</v>
      </c>
      <c r="BK298">
        <f t="shared" si="843"/>
        <v>2.1536013926287203E-2</v>
      </c>
      <c r="BL298" s="144">
        <f t="shared" si="844"/>
        <v>61.6336596527495</v>
      </c>
      <c r="BM298" s="456">
        <f t="shared" si="794"/>
        <v>7.1472035041269715</v>
      </c>
      <c r="BN298" s="144">
        <f t="shared" si="845"/>
        <v>7147.2035041269719</v>
      </c>
      <c r="BO298" s="456">
        <f t="shared" si="795"/>
        <v>2.2959999999999998</v>
      </c>
      <c r="BR298" s="144">
        <f t="shared" si="846"/>
        <v>2296</v>
      </c>
      <c r="BS298" s="456">
        <f t="shared" si="847"/>
        <v>0.21410597313725141</v>
      </c>
      <c r="BT298" s="456">
        <f t="shared" si="848"/>
        <v>0.35306073135684646</v>
      </c>
      <c r="BU298" s="456">
        <f t="shared" si="849"/>
        <v>45.803906860804013</v>
      </c>
      <c r="BV298" s="456"/>
      <c r="BW298" s="456">
        <f t="shared" si="850"/>
        <v>4.2376489909284727</v>
      </c>
      <c r="BX298" s="144">
        <f t="shared" si="851"/>
        <v>50608.722556226581</v>
      </c>
      <c r="BY298" s="150">
        <f t="shared" si="852"/>
        <v>59.752361312586125</v>
      </c>
      <c r="BZ298" s="5">
        <f t="shared" si="853"/>
        <v>98.399999999999991</v>
      </c>
      <c r="CA298" s="150">
        <f t="shared" si="854"/>
        <v>0.62218482976370904</v>
      </c>
      <c r="CB298" s="5">
        <f t="shared" si="855"/>
        <v>62.2184829763709</v>
      </c>
      <c r="CE298" s="59">
        <f t="shared" si="796"/>
        <v>-50</v>
      </c>
      <c r="CF298">
        <f t="shared" si="797"/>
        <v>-50</v>
      </c>
      <c r="CG298" s="150">
        <f t="shared" si="798"/>
        <v>0.59975550574101999</v>
      </c>
      <c r="CI298" s="147">
        <v>82</v>
      </c>
      <c r="CJ298" s="188">
        <f t="shared" si="856"/>
        <v>3.28</v>
      </c>
      <c r="CK298" s="188"/>
      <c r="CL298" s="188">
        <f t="shared" si="799"/>
        <v>98.399999999999991</v>
      </c>
      <c r="CM298" s="465">
        <f t="shared" si="800"/>
        <v>48</v>
      </c>
      <c r="CN298" s="379">
        <f t="shared" si="801"/>
        <v>30.4</v>
      </c>
      <c r="CO298" s="379">
        <f t="shared" si="802"/>
        <v>78.400000000000006</v>
      </c>
      <c r="CP298" s="379"/>
      <c r="CQ298" s="188">
        <f t="shared" si="803"/>
        <v>0.38775510204081626</v>
      </c>
      <c r="CR298" s="149">
        <f t="shared" si="804"/>
        <v>284.85494809142222</v>
      </c>
      <c r="CS298" s="149">
        <f t="shared" si="805"/>
        <v>98.399999999999991</v>
      </c>
      <c r="CT298" s="188">
        <f t="shared" si="806"/>
        <v>9.4951649363807409</v>
      </c>
      <c r="CU298" s="188">
        <f t="shared" si="807"/>
        <v>30</v>
      </c>
      <c r="CV298" s="188"/>
      <c r="CW298" s="149">
        <f t="shared" si="808"/>
        <v>173.83968306007799</v>
      </c>
      <c r="CX298" s="149">
        <f t="shared" si="809"/>
        <v>30</v>
      </c>
      <c r="CY298" s="188">
        <f t="shared" si="810"/>
        <v>10.573684210526316</v>
      </c>
      <c r="CZ298" s="188">
        <f t="shared" si="811"/>
        <v>1.0353399122807019</v>
      </c>
      <c r="DA298" s="188">
        <f t="shared" si="812"/>
        <v>1.6347472299168977</v>
      </c>
      <c r="DB298" s="172">
        <f t="shared" si="813"/>
        <v>350</v>
      </c>
      <c r="DC298" s="379">
        <f t="shared" si="814"/>
        <v>350</v>
      </c>
      <c r="DE298" s="188">
        <f t="shared" si="815"/>
        <v>11.314434588425037</v>
      </c>
      <c r="DF298" s="150">
        <f t="shared" si="816"/>
        <v>1.7492711370262393</v>
      </c>
      <c r="DG298" s="150">
        <f t="shared" si="817"/>
        <v>3.463602425028073</v>
      </c>
      <c r="DH298" s="150"/>
      <c r="DI298" s="150">
        <f t="shared" si="818"/>
        <v>0.93700159489633172</v>
      </c>
      <c r="DJ298" s="314">
        <f t="shared" si="819"/>
        <v>1155.1741276595744</v>
      </c>
      <c r="DK298" s="456">
        <f t="shared" si="820"/>
        <v>0.99378957034459414</v>
      </c>
      <c r="DM298" s="150">
        <f t="shared" si="821"/>
        <v>11.010467525803712</v>
      </c>
      <c r="DN298" s="150">
        <f t="shared" si="822"/>
        <v>11.010467525803712</v>
      </c>
      <c r="DO298" s="150">
        <f t="shared" si="823"/>
        <v>4.8665640482945562</v>
      </c>
      <c r="DQ298" s="314">
        <f t="shared" si="824"/>
        <v>3280</v>
      </c>
      <c r="DR298" s="144">
        <f t="shared" si="825"/>
        <v>350</v>
      </c>
      <c r="DT298">
        <f t="shared" si="826"/>
        <v>3280</v>
      </c>
      <c r="DU298">
        <f t="shared" si="827"/>
        <v>350</v>
      </c>
      <c r="DW298" s="5">
        <f t="shared" si="857"/>
        <v>2.8571428571428572</v>
      </c>
      <c r="DX298" s="5">
        <f t="shared" si="828"/>
        <v>1.0781082785682803</v>
      </c>
      <c r="DY298" s="5">
        <f t="shared" si="829"/>
        <v>1.7790345785745769</v>
      </c>
      <c r="DZ298" s="5"/>
      <c r="EA298" s="150">
        <f t="shared" si="830"/>
        <v>0.37733789749889807</v>
      </c>
      <c r="EB298" s="150">
        <f t="shared" si="858"/>
        <v>99.711999999999989</v>
      </c>
      <c r="EC298" s="150">
        <f t="shared" si="859"/>
        <v>3.4279004295685223</v>
      </c>
      <c r="ED298" s="150">
        <f t="shared" si="860"/>
        <v>29.088359492562905</v>
      </c>
      <c r="EE298" s="144">
        <f t="shared" si="831"/>
        <v>11.787317179013197</v>
      </c>
      <c r="EF298" s="5">
        <f t="shared" si="832"/>
        <v>2.145306403575225</v>
      </c>
      <c r="EH298" s="150">
        <f t="shared" si="861"/>
        <v>3.9049038577098791</v>
      </c>
      <c r="EI298" s="150">
        <f t="shared" si="862"/>
        <v>5.0161596440206999</v>
      </c>
      <c r="EK298" s="456">
        <f t="shared" si="863"/>
        <v>0.18297928965548996</v>
      </c>
      <c r="EL298" s="456">
        <f t="shared" si="864"/>
        <v>5.7404173492530237</v>
      </c>
      <c r="EM298" s="456">
        <f t="shared" si="865"/>
        <v>4.0250000000000001E-2</v>
      </c>
      <c r="EN298" s="456">
        <f t="shared" si="866"/>
        <v>1.1132956800000005</v>
      </c>
      <c r="EO298">
        <f t="shared" si="867"/>
        <v>2.1600000000000001E-2</v>
      </c>
      <c r="EP298" s="144">
        <f t="shared" si="868"/>
        <v>61.85</v>
      </c>
      <c r="EQ298" s="144"/>
      <c r="ER298" s="144">
        <f t="shared" si="869"/>
        <v>7098.542318908515</v>
      </c>
      <c r="ES298" s="456">
        <f t="shared" si="870"/>
        <v>2.2959999999999998</v>
      </c>
      <c r="EV298" s="144">
        <f t="shared" si="871"/>
        <v>2296</v>
      </c>
      <c r="EW298" s="456">
        <f t="shared" si="872"/>
        <v>0.21347583793140495</v>
      </c>
      <c r="EX298" s="456">
        <f t="shared" si="873"/>
        <v>0.35226600604022629</v>
      </c>
      <c r="EY298" s="456">
        <f t="shared" si="874"/>
        <v>46.095073953880387</v>
      </c>
      <c r="EZ298" s="456"/>
      <c r="FA298" s="456">
        <f t="shared" si="875"/>
        <v>4.2430638297872347</v>
      </c>
      <c r="FB298" s="144">
        <f t="shared" si="876"/>
        <v>50903.879627639246</v>
      </c>
      <c r="FC298" s="150">
        <f t="shared" si="877"/>
        <v>60.298421946547762</v>
      </c>
      <c r="FD298" s="5">
        <f t="shared" si="878"/>
        <v>98.399999999999991</v>
      </c>
      <c r="FE298" s="150">
        <f t="shared" si="879"/>
        <v>0.62004397266875622</v>
      </c>
      <c r="FF298" s="5">
        <f t="shared" si="880"/>
        <v>62.004397266875621</v>
      </c>
      <c r="FI298" s="59">
        <f t="shared" si="833"/>
        <v>-50</v>
      </c>
      <c r="FJ298">
        <f t="shared" si="834"/>
        <v>-50</v>
      </c>
      <c r="FL298">
        <f t="shared" si="835"/>
        <v>0.59579668026141797</v>
      </c>
    </row>
    <row r="299" spans="5:168">
      <c r="E299" s="147">
        <v>83</v>
      </c>
      <c r="F299" s="188">
        <f t="shared" si="836"/>
        <v>3.32</v>
      </c>
      <c r="G299" s="188"/>
      <c r="H299" s="188">
        <f t="shared" si="762"/>
        <v>99.6</v>
      </c>
      <c r="I299" s="465">
        <f t="shared" si="763"/>
        <v>47.856817800083235</v>
      </c>
      <c r="J299" s="149">
        <f t="shared" si="764"/>
        <v>30.477098107647485</v>
      </c>
      <c r="K299" s="149">
        <f t="shared" si="765"/>
        <v>78.333915907730727</v>
      </c>
      <c r="L299" s="379"/>
      <c r="M299" s="188">
        <f t="shared" si="766"/>
        <v>0.38906990444800194</v>
      </c>
      <c r="N299" s="149">
        <f t="shared" si="767"/>
        <v>284.96824318272752</v>
      </c>
      <c r="O299" s="149">
        <f t="shared" si="760"/>
        <v>99.6</v>
      </c>
      <c r="P299" s="188">
        <f t="shared" si="768"/>
        <v>9.4989414394242502</v>
      </c>
      <c r="Q299" s="188">
        <f t="shared" si="769"/>
        <v>30</v>
      </c>
      <c r="R299" s="188"/>
      <c r="S299" s="149">
        <f t="shared" si="770"/>
        <v>170.65969733922162</v>
      </c>
      <c r="T299" s="149">
        <f t="shared" si="771"/>
        <v>30</v>
      </c>
      <c r="U299" s="188">
        <f t="shared" si="772"/>
        <v>10.698376523687875</v>
      </c>
      <c r="V299" s="188">
        <f t="shared" si="773"/>
        <v>1.0506835174746105</v>
      </c>
      <c r="W299" s="188">
        <f t="shared" si="774"/>
        <v>1.6498411195098617</v>
      </c>
      <c r="X299" s="172">
        <f t="shared" si="775"/>
        <v>350</v>
      </c>
      <c r="Y299" s="379">
        <f t="shared" si="837"/>
        <v>344.76521497147121</v>
      </c>
      <c r="AA299" s="188">
        <f t="shared" si="776"/>
        <v>11.318833995831232</v>
      </c>
      <c r="AB299" s="150">
        <f t="shared" si="777"/>
        <v>1.7455244456839518</v>
      </c>
      <c r="AC299" s="150">
        <f t="shared" si="778"/>
        <v>3.4575277513633469</v>
      </c>
      <c r="AD299" s="150"/>
      <c r="AE299" s="150">
        <f t="shared" si="779"/>
        <v>0.93463125604143082</v>
      </c>
      <c r="AF299" s="314">
        <f t="shared" si="780"/>
        <v>1172.2270070876311</v>
      </c>
      <c r="AG299" s="456">
        <f t="shared" si="781"/>
        <v>0.99127557458939652</v>
      </c>
      <c r="AI299" s="150">
        <f t="shared" si="782"/>
        <v>11.091439000837012</v>
      </c>
      <c r="AJ299" s="150">
        <f t="shared" si="783"/>
        <v>11.091439000837012</v>
      </c>
      <c r="AK299" s="150">
        <f t="shared" si="784"/>
        <v>4.9265429186895933</v>
      </c>
      <c r="AM299" s="314">
        <f t="shared" si="785"/>
        <v>3320</v>
      </c>
      <c r="AN299" s="144">
        <f t="shared" si="786"/>
        <v>344.76521497147121</v>
      </c>
      <c r="AP299">
        <f t="shared" si="787"/>
        <v>3320</v>
      </c>
      <c r="AQ299">
        <f t="shared" si="788"/>
        <v>344.76521497147121</v>
      </c>
      <c r="AS299" s="5">
        <f t="shared" si="761"/>
        <v>2.9005246369844717</v>
      </c>
      <c r="AT299" s="5">
        <f t="shared" si="789"/>
        <v>1.0892860348905875</v>
      </c>
      <c r="AU299" s="5">
        <f t="shared" si="881"/>
        <v>1.8112386020938842</v>
      </c>
      <c r="AV299" s="5"/>
      <c r="AW299" s="150">
        <f t="shared" si="882"/>
        <v>0.37554793398447495</v>
      </c>
      <c r="AX299" s="150">
        <f t="shared" si="790"/>
        <v>99.670604834919459</v>
      </c>
      <c r="AY299" s="150">
        <f t="shared" si="791"/>
        <v>3.4630359995789215</v>
      </c>
      <c r="AZ299" s="150">
        <f t="shared" si="792"/>
        <v>28.781278868322083</v>
      </c>
      <c r="BA299" s="144">
        <f t="shared" si="723"/>
        <v>12.054765452789168</v>
      </c>
      <c r="BB299" s="5">
        <f t="shared" si="724"/>
        <v>2.2173909229936437</v>
      </c>
      <c r="BD299" s="150">
        <f t="shared" si="838"/>
        <v>3.9242797222430452</v>
      </c>
      <c r="BE299" s="150">
        <f t="shared" si="839"/>
        <v>5.0603064826175785</v>
      </c>
      <c r="BG299" s="456">
        <f t="shared" si="840"/>
        <v>0.18479965606089541</v>
      </c>
      <c r="BH299" s="456">
        <f t="shared" si="793"/>
        <v>5.4666849093731571</v>
      </c>
      <c r="BI299" s="456">
        <f t="shared" si="841"/>
        <v>3.9647999721719195E-2</v>
      </c>
      <c r="BJ299" s="456">
        <f t="shared" si="842"/>
        <v>1.0947966764027539</v>
      </c>
      <c r="BK299">
        <f t="shared" si="843"/>
        <v>2.1535568010037455E-2</v>
      </c>
      <c r="BL299" s="144">
        <f t="shared" si="844"/>
        <v>61.183567731756646</v>
      </c>
      <c r="BM299" s="456">
        <f t="shared" si="794"/>
        <v>7.108290813084726</v>
      </c>
      <c r="BN299" s="144">
        <f t="shared" si="845"/>
        <v>7108.2908130847263</v>
      </c>
      <c r="BO299" s="456">
        <f t="shared" si="795"/>
        <v>2.3239999999999998</v>
      </c>
      <c r="BR299" s="144">
        <f t="shared" si="846"/>
        <v>2324</v>
      </c>
      <c r="BS299" s="456">
        <f t="shared" si="847"/>
        <v>0.21559959873771131</v>
      </c>
      <c r="BT299" s="456">
        <f t="shared" si="848"/>
        <v>0.35849382377230082</v>
      </c>
      <c r="BU299" s="456">
        <f t="shared" si="849"/>
        <v>45.211440580198648</v>
      </c>
      <c r="BV299" s="456"/>
      <c r="BW299" s="456">
        <f t="shared" si="850"/>
        <v>4.241302333400828</v>
      </c>
      <c r="BX299" s="144">
        <f t="shared" si="851"/>
        <v>50026.836336109482</v>
      </c>
      <c r="BY299" s="150">
        <f t="shared" si="852"/>
        <v>59.158301145678053</v>
      </c>
      <c r="BZ299" s="5">
        <f t="shared" si="853"/>
        <v>99.6</v>
      </c>
      <c r="CA299" s="150">
        <f t="shared" si="854"/>
        <v>0.6273687692626928</v>
      </c>
      <c r="CB299" s="5">
        <f t="shared" si="855"/>
        <v>62.736876926269282</v>
      </c>
      <c r="CE299" s="59">
        <f t="shared" si="796"/>
        <v>-50</v>
      </c>
      <c r="CF299">
        <f t="shared" si="797"/>
        <v>-50</v>
      </c>
      <c r="CG299" s="150">
        <f t="shared" si="798"/>
        <v>0.60286823397168432</v>
      </c>
      <c r="CI299" s="147">
        <v>83</v>
      </c>
      <c r="CJ299" s="188">
        <f t="shared" si="856"/>
        <v>3.32</v>
      </c>
      <c r="CK299" s="188"/>
      <c r="CL299" s="188">
        <f t="shared" si="799"/>
        <v>99.6</v>
      </c>
      <c r="CM299" s="465">
        <f t="shared" si="800"/>
        <v>48</v>
      </c>
      <c r="CN299" s="379">
        <f t="shared" si="801"/>
        <v>30.4</v>
      </c>
      <c r="CO299" s="379">
        <f t="shared" si="802"/>
        <v>78.400000000000006</v>
      </c>
      <c r="CP299" s="379"/>
      <c r="CQ299" s="188">
        <f t="shared" si="803"/>
        <v>0.38775510204081626</v>
      </c>
      <c r="CR299" s="149">
        <f t="shared" si="804"/>
        <v>284.85494809142222</v>
      </c>
      <c r="CS299" s="149">
        <f t="shared" si="805"/>
        <v>99.6</v>
      </c>
      <c r="CT299" s="188">
        <f t="shared" si="806"/>
        <v>9.4951649363807409</v>
      </c>
      <c r="CU299" s="188">
        <f t="shared" si="807"/>
        <v>30</v>
      </c>
      <c r="CV299" s="188"/>
      <c r="CW299" s="149">
        <f t="shared" si="808"/>
        <v>171.16995808685692</v>
      </c>
      <c r="CX299" s="149">
        <f t="shared" si="809"/>
        <v>30</v>
      </c>
      <c r="CY299" s="188">
        <f t="shared" si="810"/>
        <v>10.70263157894737</v>
      </c>
      <c r="CZ299" s="188">
        <f t="shared" si="811"/>
        <v>1.04796600877193</v>
      </c>
      <c r="DA299" s="188">
        <f t="shared" si="812"/>
        <v>1.6546831717451527</v>
      </c>
      <c r="DB299" s="172">
        <f t="shared" si="813"/>
        <v>350</v>
      </c>
      <c r="DC299" s="379">
        <f t="shared" si="814"/>
        <v>350</v>
      </c>
      <c r="DE299" s="188">
        <f t="shared" si="815"/>
        <v>11.314434588425037</v>
      </c>
      <c r="DF299" s="150">
        <f t="shared" si="816"/>
        <v>1.7492711370262393</v>
      </c>
      <c r="DG299" s="150">
        <f t="shared" si="817"/>
        <v>3.463602425028073</v>
      </c>
      <c r="DH299" s="150"/>
      <c r="DI299" s="150">
        <f t="shared" si="818"/>
        <v>0.93700159489633172</v>
      </c>
      <c r="DJ299" s="314">
        <f t="shared" si="819"/>
        <v>1169.2616170212766</v>
      </c>
      <c r="DK299" s="456">
        <f t="shared" si="820"/>
        <v>0.99378957034459414</v>
      </c>
      <c r="DM299" s="150">
        <f t="shared" si="821"/>
        <v>11.077401075598267</v>
      </c>
      <c r="DN299" s="150">
        <f t="shared" si="822"/>
        <v>11.077401075598267</v>
      </c>
      <c r="DO299" s="150">
        <f t="shared" si="823"/>
        <v>4.9161444555497829</v>
      </c>
      <c r="DQ299" s="314">
        <f t="shared" si="824"/>
        <v>3320</v>
      </c>
      <c r="DR299" s="144">
        <f t="shared" si="825"/>
        <v>350</v>
      </c>
      <c r="DT299">
        <f t="shared" si="826"/>
        <v>3320</v>
      </c>
      <c r="DU299">
        <f t="shared" si="827"/>
        <v>350</v>
      </c>
      <c r="DW299" s="5">
        <f t="shared" si="857"/>
        <v>2.8571428571428572</v>
      </c>
      <c r="DX299" s="5">
        <f t="shared" si="828"/>
        <v>1.0846621886523304</v>
      </c>
      <c r="DY299" s="5">
        <f t="shared" si="829"/>
        <v>1.7724806684905268</v>
      </c>
      <c r="DZ299" s="5"/>
      <c r="EA299" s="150">
        <f t="shared" si="830"/>
        <v>0.37963176602831566</v>
      </c>
      <c r="EB299" s="150">
        <f t="shared" si="858"/>
        <v>100.928</v>
      </c>
      <c r="EC299" s="150">
        <f t="shared" si="859"/>
        <v>3.4360338711324663</v>
      </c>
      <c r="ED299" s="150">
        <f t="shared" si="860"/>
        <v>29.373400782785534</v>
      </c>
      <c r="EE299" s="144">
        <f t="shared" si="831"/>
        <v>12.003594887752456</v>
      </c>
      <c r="EF299" s="5">
        <f t="shared" si="832"/>
        <v>2.1634690512457895</v>
      </c>
      <c r="EH299" s="150">
        <f t="shared" si="861"/>
        <v>3.9405652720523876</v>
      </c>
      <c r="EI299" s="150">
        <f t="shared" si="862"/>
        <v>5.0373488595936955</v>
      </c>
      <c r="EK299" s="456">
        <f t="shared" si="863"/>
        <v>0.18633665595966367</v>
      </c>
      <c r="EL299" s="456">
        <f t="shared" si="864"/>
        <v>5.7753138247739146</v>
      </c>
      <c r="EM299" s="456">
        <f t="shared" si="865"/>
        <v>4.0250000000000001E-2</v>
      </c>
      <c r="EN299" s="456">
        <f t="shared" si="866"/>
        <v>1.1132956800000005</v>
      </c>
      <c r="EO299">
        <f t="shared" si="867"/>
        <v>2.1600000000000001E-2</v>
      </c>
      <c r="EP299" s="144">
        <f t="shared" si="868"/>
        <v>61.85</v>
      </c>
      <c r="EQ299" s="144"/>
      <c r="ER299" s="144">
        <f t="shared" si="869"/>
        <v>7136.7961607335792</v>
      </c>
      <c r="ES299" s="456">
        <f t="shared" si="870"/>
        <v>2.3239999999999998</v>
      </c>
      <c r="EV299" s="144">
        <f t="shared" si="871"/>
        <v>2324</v>
      </c>
      <c r="EW299" s="456">
        <f t="shared" si="872"/>
        <v>0.2173927652862743</v>
      </c>
      <c r="EX299" s="456">
        <f t="shared" si="873"/>
        <v>0.35524836946549865</v>
      </c>
      <c r="EY299" s="456">
        <f t="shared" si="874"/>
        <v>46.798810657264376</v>
      </c>
      <c r="EZ299" s="456"/>
      <c r="FA299" s="456">
        <f t="shared" si="875"/>
        <v>4.2948085106382976</v>
      </c>
      <c r="FB299" s="144">
        <f t="shared" si="876"/>
        <v>51666.260302654446</v>
      </c>
      <c r="FC299" s="150">
        <f t="shared" si="877"/>
        <v>61.127056463388023</v>
      </c>
      <c r="FD299" s="5">
        <f t="shared" si="878"/>
        <v>99.6</v>
      </c>
      <c r="FE299" s="150">
        <f t="shared" si="879"/>
        <v>0.6196840917240829</v>
      </c>
      <c r="FF299" s="5">
        <f t="shared" si="880"/>
        <v>61.968409172408286</v>
      </c>
      <c r="FI299" s="59">
        <f t="shared" si="833"/>
        <v>-50</v>
      </c>
      <c r="FJ299">
        <f t="shared" si="834"/>
        <v>-50</v>
      </c>
      <c r="FL299">
        <f t="shared" si="835"/>
        <v>0.59941857793944564</v>
      </c>
    </row>
    <row r="300" spans="5:168">
      <c r="E300" s="147">
        <v>84</v>
      </c>
      <c r="F300" s="188">
        <f t="shared" si="836"/>
        <v>3.36</v>
      </c>
      <c r="G300" s="188"/>
      <c r="H300" s="188">
        <f t="shared" si="762"/>
        <v>100.8</v>
      </c>
      <c r="I300" s="465">
        <f t="shared" si="763"/>
        <v>47.854542582888676</v>
      </c>
      <c r="J300" s="149">
        <f t="shared" si="764"/>
        <v>30.478323224598402</v>
      </c>
      <c r="K300" s="149">
        <f t="shared" si="765"/>
        <v>78.332865807487082</v>
      </c>
      <c r="L300" s="379"/>
      <c r="M300" s="188">
        <f t="shared" si="766"/>
        <v>0.38908483746571382</v>
      </c>
      <c r="N300" s="149">
        <f t="shared" si="767"/>
        <v>284.96563211093837</v>
      </c>
      <c r="O300" s="149">
        <f t="shared" si="760"/>
        <v>100.8</v>
      </c>
      <c r="P300" s="188">
        <f t="shared" si="768"/>
        <v>9.4988544036979459</v>
      </c>
      <c r="Q300" s="188">
        <f t="shared" si="769"/>
        <v>30</v>
      </c>
      <c r="R300" s="188"/>
      <c r="S300" s="149">
        <f t="shared" si="770"/>
        <v>168.0533838960331</v>
      </c>
      <c r="T300" s="149">
        <f t="shared" si="771"/>
        <v>30</v>
      </c>
      <c r="U300" s="188">
        <f t="shared" si="772"/>
        <v>10.827371834087005</v>
      </c>
      <c r="V300" s="188">
        <f t="shared" si="773"/>
        <v>1.0634026546605242</v>
      </c>
      <c r="W300" s="188">
        <f t="shared" si="774"/>
        <v>1.6696669054004187</v>
      </c>
      <c r="X300" s="172">
        <f t="shared" si="775"/>
        <v>350</v>
      </c>
      <c r="Y300" s="379">
        <f t="shared" si="837"/>
        <v>340.93974913408539</v>
      </c>
      <c r="AA300" s="188">
        <f t="shared" si="776"/>
        <v>11.318902580987229</v>
      </c>
      <c r="AB300" s="150">
        <f t="shared" si="777"/>
        <v>1.7454648583720096</v>
      </c>
      <c r="AC300" s="150">
        <f t="shared" si="778"/>
        <v>3.4574306708286531</v>
      </c>
      <c r="AD300" s="150"/>
      <c r="AE300" s="150">
        <f t="shared" si="779"/>
        <v>0.93459368728851111</v>
      </c>
      <c r="AF300" s="314">
        <f t="shared" si="780"/>
        <v>1186.3979128907929</v>
      </c>
      <c r="AG300" s="456">
        <f t="shared" si="781"/>
        <v>0.99123572894236023</v>
      </c>
      <c r="AI300" s="150">
        <f t="shared" si="782"/>
        <v>11.158279112268863</v>
      </c>
      <c r="AJ300" s="150">
        <f t="shared" si="783"/>
        <v>11.158279112268863</v>
      </c>
      <c r="AK300" s="150">
        <f t="shared" si="784"/>
        <v>4.9760541123428164</v>
      </c>
      <c r="AM300" s="314">
        <f t="shared" si="785"/>
        <v>3360</v>
      </c>
      <c r="AN300" s="144">
        <f t="shared" si="786"/>
        <v>340.93974913408539</v>
      </c>
      <c r="AP300">
        <f t="shared" si="787"/>
        <v>3360</v>
      </c>
      <c r="AQ300">
        <f t="shared" si="788"/>
        <v>340.93974913408539</v>
      </c>
      <c r="AS300" s="5">
        <f t="shared" si="761"/>
        <v>2.9330695600609431</v>
      </c>
      <c r="AT300" s="5">
        <f t="shared" si="789"/>
        <v>1.095902478575064</v>
      </c>
      <c r="AU300" s="5">
        <f t="shared" si="881"/>
        <v>1.8371670814858791</v>
      </c>
      <c r="AV300" s="5"/>
      <c r="AW300" s="150">
        <f t="shared" si="882"/>
        <v>0.37363671612080462</v>
      </c>
      <c r="AX300" s="150">
        <f t="shared" si="790"/>
        <v>99.756209992532618</v>
      </c>
      <c r="AY300" s="150">
        <f t="shared" si="791"/>
        <v>3.4945681736006788</v>
      </c>
      <c r="AZ300" s="150">
        <f t="shared" si="792"/>
        <v>28.546076378228832</v>
      </c>
      <c r="BA300" s="144">
        <f t="shared" si="723"/>
        <v>12.274107760040716</v>
      </c>
      <c r="BB300" s="5">
        <f t="shared" si="724"/>
        <v>2.2763398245473692</v>
      </c>
      <c r="BD300" s="150">
        <f t="shared" si="838"/>
        <v>3.9378699246978517</v>
      </c>
      <c r="BE300" s="150">
        <f t="shared" si="839"/>
        <v>5.0985858861641233</v>
      </c>
      <c r="BG300" s="456">
        <f t="shared" si="840"/>
        <v>0.18608183452607838</v>
      </c>
      <c r="BH300" s="456">
        <f t="shared" si="793"/>
        <v>5.4385326752849652</v>
      </c>
      <c r="BI300" s="456">
        <f t="shared" si="841"/>
        <v>3.9208071150419826E-2</v>
      </c>
      <c r="BJ300" s="456">
        <f t="shared" si="842"/>
        <v>1.0826199414749484</v>
      </c>
      <c r="BK300">
        <f t="shared" si="843"/>
        <v>2.1534544162299905E-2</v>
      </c>
      <c r="BL300" s="144">
        <f t="shared" si="844"/>
        <v>60.742615312719735</v>
      </c>
      <c r="BM300" s="456">
        <f t="shared" si="794"/>
        <v>7.0700656703496971</v>
      </c>
      <c r="BN300" s="144">
        <f t="shared" si="845"/>
        <v>7070.065670349697</v>
      </c>
      <c r="BO300" s="456">
        <f t="shared" si="795"/>
        <v>2.3519999999999999</v>
      </c>
      <c r="BR300" s="144">
        <f t="shared" si="846"/>
        <v>2352</v>
      </c>
      <c r="BS300" s="456">
        <f t="shared" si="847"/>
        <v>0.21709547361375811</v>
      </c>
      <c r="BT300" s="456">
        <f t="shared" si="848"/>
        <v>0.36393809254028797</v>
      </c>
      <c r="BU300" s="456">
        <f t="shared" si="849"/>
        <v>44.633109983142461</v>
      </c>
      <c r="BV300" s="456"/>
      <c r="BW300" s="456">
        <f t="shared" si="850"/>
        <v>4.2449451060652184</v>
      </c>
      <c r="BX300" s="144">
        <f t="shared" si="851"/>
        <v>49459.088655361724</v>
      </c>
      <c r="BY300" s="150">
        <f t="shared" si="852"/>
        <v>58.579065721960433</v>
      </c>
      <c r="BZ300" s="5">
        <f t="shared" si="853"/>
        <v>100.8</v>
      </c>
      <c r="CA300" s="150">
        <f t="shared" si="854"/>
        <v>0.63245445406140954</v>
      </c>
      <c r="CB300" s="5">
        <f t="shared" si="855"/>
        <v>63.245445406140952</v>
      </c>
      <c r="CE300" s="59">
        <f t="shared" si="796"/>
        <v>-50</v>
      </c>
      <c r="CF300">
        <f t="shared" si="797"/>
        <v>-50</v>
      </c>
      <c r="CG300" s="150">
        <f t="shared" si="798"/>
        <v>0.60058814280430284</v>
      </c>
      <c r="CI300" s="147">
        <v>84</v>
      </c>
      <c r="CJ300" s="188">
        <f t="shared" si="856"/>
        <v>3.36</v>
      </c>
      <c r="CK300" s="188"/>
      <c r="CL300" s="188">
        <f t="shared" si="799"/>
        <v>100.8</v>
      </c>
      <c r="CM300" s="465">
        <f t="shared" si="800"/>
        <v>48</v>
      </c>
      <c r="CN300" s="379">
        <f t="shared" si="801"/>
        <v>30.4</v>
      </c>
      <c r="CO300" s="379">
        <f t="shared" si="802"/>
        <v>78.400000000000006</v>
      </c>
      <c r="CP300" s="379"/>
      <c r="CQ300" s="188">
        <f t="shared" si="803"/>
        <v>0.38775510204081626</v>
      </c>
      <c r="CR300" s="149">
        <f t="shared" si="804"/>
        <v>284.85494809142222</v>
      </c>
      <c r="CS300" s="149">
        <f t="shared" si="805"/>
        <v>100.8</v>
      </c>
      <c r="CT300" s="188">
        <f t="shared" si="806"/>
        <v>9.4951649363807409</v>
      </c>
      <c r="CU300" s="188">
        <f t="shared" si="807"/>
        <v>30</v>
      </c>
      <c r="CV300" s="188"/>
      <c r="CW300" s="149">
        <f t="shared" si="808"/>
        <v>168.56385022439068</v>
      </c>
      <c r="CX300" s="149">
        <f t="shared" si="809"/>
        <v>30</v>
      </c>
      <c r="CY300" s="188">
        <f t="shared" si="810"/>
        <v>10.831578947368424</v>
      </c>
      <c r="CZ300" s="188">
        <f t="shared" si="811"/>
        <v>1.0605921052631582</v>
      </c>
      <c r="DA300" s="188">
        <f t="shared" si="812"/>
        <v>1.6746191135734076</v>
      </c>
      <c r="DB300" s="172">
        <f t="shared" si="813"/>
        <v>350</v>
      </c>
      <c r="DC300" s="379">
        <f t="shared" si="814"/>
        <v>350</v>
      </c>
      <c r="DE300" s="188">
        <f t="shared" si="815"/>
        <v>11.314434588425037</v>
      </c>
      <c r="DF300" s="150">
        <f t="shared" si="816"/>
        <v>1.7492711370262393</v>
      </c>
      <c r="DG300" s="150">
        <f t="shared" si="817"/>
        <v>3.463602425028073</v>
      </c>
      <c r="DH300" s="150"/>
      <c r="DI300" s="150">
        <f t="shared" si="818"/>
        <v>0.93700159489633172</v>
      </c>
      <c r="DJ300" s="314">
        <f t="shared" si="819"/>
        <v>1183.3491063829786</v>
      </c>
      <c r="DK300" s="456">
        <f t="shared" si="820"/>
        <v>0.99378957034459414</v>
      </c>
      <c r="DM300" s="150">
        <f t="shared" si="821"/>
        <v>11.143932611181439</v>
      </c>
      <c r="DN300" s="150">
        <f t="shared" si="822"/>
        <v>11.143932611181439</v>
      </c>
      <c r="DO300" s="150">
        <f t="shared" si="823"/>
        <v>4.9654270745002806</v>
      </c>
      <c r="DQ300" s="314">
        <f t="shared" si="824"/>
        <v>3360</v>
      </c>
      <c r="DR300" s="144">
        <f t="shared" si="825"/>
        <v>350</v>
      </c>
      <c r="DT300">
        <f t="shared" si="826"/>
        <v>3360</v>
      </c>
      <c r="DU300">
        <f t="shared" si="827"/>
        <v>350</v>
      </c>
      <c r="DW300" s="5">
        <f t="shared" si="857"/>
        <v>2.8571428571428572</v>
      </c>
      <c r="DX300" s="5">
        <f t="shared" si="828"/>
        <v>1.0911767348448491</v>
      </c>
      <c r="DY300" s="5">
        <f t="shared" si="829"/>
        <v>1.7659661222980081</v>
      </c>
      <c r="DZ300" s="5"/>
      <c r="EA300" s="150">
        <f t="shared" si="830"/>
        <v>0.3819118571956972</v>
      </c>
      <c r="EB300" s="150">
        <f t="shared" si="858"/>
        <v>102.14399999999999</v>
      </c>
      <c r="EC300" s="150">
        <f t="shared" si="859"/>
        <v>3.4439663055907204</v>
      </c>
      <c r="ED300" s="150">
        <f t="shared" si="860"/>
        <v>29.658826752801208</v>
      </c>
      <c r="EE300" s="144">
        <f t="shared" si="831"/>
        <v>12.221179430262309</v>
      </c>
      <c r="EF300" s="5">
        <f t="shared" si="832"/>
        <v>2.1814875628387158</v>
      </c>
      <c r="EH300" s="150">
        <f t="shared" si="861"/>
        <v>3.9761194311869872</v>
      </c>
      <c r="EI300" s="150">
        <f t="shared" si="862"/>
        <v>5.0582822133396554</v>
      </c>
      <c r="EK300" s="456">
        <f t="shared" si="863"/>
        <v>0.18971430877275278</v>
      </c>
      <c r="EL300" s="456">
        <f t="shared" si="864"/>
        <v>5.8100007061655559</v>
      </c>
      <c r="EM300" s="456">
        <f t="shared" si="865"/>
        <v>4.0250000000000001E-2</v>
      </c>
      <c r="EN300" s="456">
        <f t="shared" si="866"/>
        <v>1.1132956800000005</v>
      </c>
      <c r="EO300">
        <f t="shared" si="867"/>
        <v>2.1600000000000001E-2</v>
      </c>
      <c r="EP300" s="144">
        <f t="shared" si="868"/>
        <v>61.85</v>
      </c>
      <c r="EQ300" s="144"/>
      <c r="ER300" s="144">
        <f t="shared" si="869"/>
        <v>7174.8606949383093</v>
      </c>
      <c r="ES300" s="456">
        <f t="shared" si="870"/>
        <v>2.3519999999999999</v>
      </c>
      <c r="EV300" s="144">
        <f t="shared" si="871"/>
        <v>2352</v>
      </c>
      <c r="EW300" s="456">
        <f t="shared" si="872"/>
        <v>0.22133336023487823</v>
      </c>
      <c r="EX300" s="456">
        <f t="shared" si="873"/>
        <v>0.35820706529703655</v>
      </c>
      <c r="EY300" s="456">
        <f t="shared" si="874"/>
        <v>47.504670290033459</v>
      </c>
      <c r="EZ300" s="456"/>
      <c r="FA300" s="456">
        <f t="shared" si="875"/>
        <v>4.3465531914893614</v>
      </c>
      <c r="FB300" s="144">
        <f t="shared" si="876"/>
        <v>52430.763907054738</v>
      </c>
      <c r="FC300" s="150">
        <f t="shared" si="877"/>
        <v>61.957624601993047</v>
      </c>
      <c r="FD300" s="5">
        <f t="shared" si="878"/>
        <v>100.8</v>
      </c>
      <c r="FE300" s="150">
        <f t="shared" si="879"/>
        <v>0.6193258241910079</v>
      </c>
      <c r="FF300" s="5">
        <f t="shared" si="880"/>
        <v>61.93258241910079</v>
      </c>
      <c r="FI300" s="59">
        <f t="shared" si="833"/>
        <v>-50</v>
      </c>
      <c r="FJ300">
        <f t="shared" si="834"/>
        <v>-50</v>
      </c>
      <c r="FL300">
        <f t="shared" si="835"/>
        <v>0.60301872188794314</v>
      </c>
    </row>
    <row r="301" spans="5:168">
      <c r="E301" s="147">
        <v>85</v>
      </c>
      <c r="F301" s="188">
        <f t="shared" si="836"/>
        <v>3.4</v>
      </c>
      <c r="G301" s="188"/>
      <c r="H301" s="188">
        <f t="shared" si="762"/>
        <v>102</v>
      </c>
      <c r="I301" s="465">
        <f t="shared" si="763"/>
        <v>47.852253366067366</v>
      </c>
      <c r="J301" s="149">
        <f t="shared" si="764"/>
        <v>30.47955587980988</v>
      </c>
      <c r="K301" s="149">
        <f t="shared" si="765"/>
        <v>78.331809245877253</v>
      </c>
      <c r="L301" s="379"/>
      <c r="M301" s="188">
        <f t="shared" si="766"/>
        <v>0.38909981915869535</v>
      </c>
      <c r="N301" s="149">
        <f t="shared" si="767"/>
        <v>284.96297227863039</v>
      </c>
      <c r="O301" s="149">
        <f t="shared" si="760"/>
        <v>102</v>
      </c>
      <c r="P301" s="188">
        <f t="shared" si="768"/>
        <v>9.4987657426210124</v>
      </c>
      <c r="Q301" s="188">
        <f t="shared" si="769"/>
        <v>30</v>
      </c>
      <c r="R301" s="188"/>
      <c r="S301" s="149">
        <f t="shared" si="770"/>
        <v>165.50845274994708</v>
      </c>
      <c r="T301" s="149">
        <f t="shared" si="771"/>
        <v>30</v>
      </c>
      <c r="U301" s="188">
        <f t="shared" si="772"/>
        <v>10.956371383177814</v>
      </c>
      <c r="V301" s="188">
        <f t="shared" si="773"/>
        <v>1.076123732502249</v>
      </c>
      <c r="W301" s="188">
        <f t="shared" si="774"/>
        <v>1.6894913332725676</v>
      </c>
      <c r="X301" s="172">
        <f t="shared" si="775"/>
        <v>350</v>
      </c>
      <c r="Y301" s="379">
        <f t="shared" si="837"/>
        <v>337.19817906938408</v>
      </c>
      <c r="AA301" s="188">
        <f t="shared" si="776"/>
        <v>11.318971546345972</v>
      </c>
      <c r="AB301" s="150">
        <f t="shared" si="777"/>
        <v>1.7454049028012906</v>
      </c>
      <c r="AC301" s="150">
        <f t="shared" si="778"/>
        <v>3.457332975540599</v>
      </c>
      <c r="AD301" s="150"/>
      <c r="AE301" s="150">
        <f t="shared" si="779"/>
        <v>0.93455589041956078</v>
      </c>
      <c r="AF301" s="314">
        <f t="shared" si="780"/>
        <v>1200.570251070043</v>
      </c>
      <c r="AG301" s="456">
        <f t="shared" si="781"/>
        <v>0.99119564135407967</v>
      </c>
      <c r="AI301" s="150">
        <f t="shared" si="782"/>
        <v>11.224727912373329</v>
      </c>
      <c r="AJ301" s="150">
        <f t="shared" si="783"/>
        <v>11.224727912373329</v>
      </c>
      <c r="AK301" s="150">
        <f t="shared" si="784"/>
        <v>5.0252754457535316</v>
      </c>
      <c r="AM301" s="314">
        <f t="shared" si="785"/>
        <v>3400</v>
      </c>
      <c r="AN301" s="144">
        <f t="shared" si="786"/>
        <v>337.19817906938408</v>
      </c>
      <c r="AP301">
        <f t="shared" si="787"/>
        <v>3400</v>
      </c>
      <c r="AQ301">
        <f t="shared" si="788"/>
        <v>337.19817906938408</v>
      </c>
      <c r="AS301" s="5">
        <f t="shared" si="761"/>
        <v>2.9656150657748168</v>
      </c>
      <c r="AT301" s="5">
        <f t="shared" si="789"/>
        <v>1.1024814397886797</v>
      </c>
      <c r="AU301" s="5">
        <f t="shared" si="881"/>
        <v>1.8631336259861371</v>
      </c>
      <c r="AV301" s="5"/>
      <c r="AW301" s="150">
        <f t="shared" si="882"/>
        <v>0.37175473395453562</v>
      </c>
      <c r="AX301" s="150">
        <f t="shared" si="790"/>
        <v>99.840035774721343</v>
      </c>
      <c r="AY301" s="150">
        <f t="shared" si="791"/>
        <v>3.5259410867984657</v>
      </c>
      <c r="AZ301" s="150">
        <f t="shared" si="792"/>
        <v>28.315854779461311</v>
      </c>
      <c r="BA301" s="144">
        <f t="shared" si="723"/>
        <v>12.494789650938371</v>
      </c>
      <c r="BB301" s="5">
        <f t="shared" si="724"/>
        <v>2.3361077001744399</v>
      </c>
      <c r="BD301" s="150">
        <f t="shared" si="838"/>
        <v>3.9513313384255486</v>
      </c>
      <c r="BE301" s="150">
        <f t="shared" si="839"/>
        <v>5.1366480207992113</v>
      </c>
      <c r="BG301" s="456">
        <f t="shared" si="840"/>
        <v>0.18735623215228606</v>
      </c>
      <c r="BH301" s="456">
        <f t="shared" si="793"/>
        <v>5.4108073291922896</v>
      </c>
      <c r="BI301" s="456">
        <f t="shared" si="841"/>
        <v>3.8777790592979172E-2</v>
      </c>
      <c r="BJ301" s="456">
        <f t="shared" si="842"/>
        <v>1.0707100771293006</v>
      </c>
      <c r="BK301">
        <f t="shared" si="843"/>
        <v>2.1533514014730314E-2</v>
      </c>
      <c r="BL301" s="144">
        <f t="shared" si="844"/>
        <v>60.311304607709488</v>
      </c>
      <c r="BM301" s="456">
        <f t="shared" si="794"/>
        <v>7.0325182852799673</v>
      </c>
      <c r="BN301" s="144">
        <f t="shared" si="845"/>
        <v>7032.5182852799671</v>
      </c>
      <c r="BO301" s="456">
        <f t="shared" si="795"/>
        <v>2.38</v>
      </c>
      <c r="BR301" s="144">
        <f t="shared" si="846"/>
        <v>2380</v>
      </c>
      <c r="BS301" s="456">
        <f t="shared" si="847"/>
        <v>0.21858227084433371</v>
      </c>
      <c r="BT301" s="456">
        <f t="shared" si="848"/>
        <v>0.36939214045412638</v>
      </c>
      <c r="BU301" s="456">
        <f t="shared" si="849"/>
        <v>44.067926083362124</v>
      </c>
      <c r="BV301" s="456"/>
      <c r="BW301" s="456">
        <f t="shared" si="850"/>
        <v>4.24851216062644</v>
      </c>
      <c r="BX301" s="144">
        <f t="shared" si="851"/>
        <v>48904.412655287022</v>
      </c>
      <c r="BY301" s="150">
        <f t="shared" si="852"/>
        <v>58.013597598368612</v>
      </c>
      <c r="BZ301" s="5">
        <f t="shared" si="853"/>
        <v>102</v>
      </c>
      <c r="CA301" s="150">
        <f t="shared" si="854"/>
        <v>0.63744582667291971</v>
      </c>
      <c r="CB301" s="5">
        <f t="shared" si="855"/>
        <v>63.744582667291972</v>
      </c>
      <c r="CE301" s="59">
        <f t="shared" si="796"/>
        <v>-50</v>
      </c>
      <c r="CF301">
        <f t="shared" si="797"/>
        <v>-50</v>
      </c>
      <c r="CG301" s="150">
        <f t="shared" si="798"/>
        <v>0.59832158369377975</v>
      </c>
      <c r="CI301" s="147">
        <v>85</v>
      </c>
      <c r="CJ301" s="188">
        <f t="shared" si="856"/>
        <v>3.4</v>
      </c>
      <c r="CK301" s="188"/>
      <c r="CL301" s="188">
        <f t="shared" si="799"/>
        <v>102</v>
      </c>
      <c r="CM301" s="465">
        <f t="shared" si="800"/>
        <v>48</v>
      </c>
      <c r="CN301" s="379">
        <f t="shared" si="801"/>
        <v>30.4</v>
      </c>
      <c r="CO301" s="379">
        <f t="shared" si="802"/>
        <v>78.400000000000006</v>
      </c>
      <c r="CP301" s="379"/>
      <c r="CQ301" s="188">
        <f t="shared" si="803"/>
        <v>0.38775510204081626</v>
      </c>
      <c r="CR301" s="149">
        <f t="shared" si="804"/>
        <v>284.85494809142222</v>
      </c>
      <c r="CS301" s="149">
        <f t="shared" si="805"/>
        <v>102</v>
      </c>
      <c r="CT301" s="188">
        <f t="shared" si="806"/>
        <v>9.4951649363807409</v>
      </c>
      <c r="CU301" s="188">
        <f t="shared" si="807"/>
        <v>30</v>
      </c>
      <c r="CV301" s="188"/>
      <c r="CW301" s="149">
        <f t="shared" si="808"/>
        <v>166.01911467796936</v>
      </c>
      <c r="CX301" s="149">
        <f t="shared" si="809"/>
        <v>30</v>
      </c>
      <c r="CY301" s="188">
        <f t="shared" si="810"/>
        <v>10.960526315789476</v>
      </c>
      <c r="CZ301" s="188">
        <f t="shared" si="811"/>
        <v>1.0732182017543861</v>
      </c>
      <c r="DA301" s="188">
        <f t="shared" si="812"/>
        <v>1.6945550554016626</v>
      </c>
      <c r="DB301" s="172">
        <f t="shared" si="813"/>
        <v>350</v>
      </c>
      <c r="DC301" s="379">
        <f t="shared" si="814"/>
        <v>350</v>
      </c>
      <c r="DE301" s="188">
        <f t="shared" si="815"/>
        <v>11.314434588425037</v>
      </c>
      <c r="DF301" s="150">
        <f t="shared" si="816"/>
        <v>1.7492711370262393</v>
      </c>
      <c r="DG301" s="150">
        <f t="shared" si="817"/>
        <v>3.463602425028073</v>
      </c>
      <c r="DH301" s="150"/>
      <c r="DI301" s="150">
        <f t="shared" si="818"/>
        <v>0.93700159489633172</v>
      </c>
      <c r="DJ301" s="314">
        <f t="shared" si="819"/>
        <v>1197.4365957446807</v>
      </c>
      <c r="DK301" s="456">
        <f t="shared" si="820"/>
        <v>0.99378957034459414</v>
      </c>
      <c r="DM301" s="150">
        <f t="shared" si="821"/>
        <v>11.210069290394271</v>
      </c>
      <c r="DN301" s="150">
        <f t="shared" si="822"/>
        <v>11.210069290394271</v>
      </c>
      <c r="DO301" s="150">
        <f t="shared" si="823"/>
        <v>5.0144172072505269</v>
      </c>
      <c r="DQ301" s="314">
        <f t="shared" si="824"/>
        <v>3400</v>
      </c>
      <c r="DR301" s="144">
        <f t="shared" si="825"/>
        <v>350</v>
      </c>
      <c r="DT301">
        <f t="shared" si="826"/>
        <v>3400</v>
      </c>
      <c r="DU301">
        <f t="shared" si="827"/>
        <v>350</v>
      </c>
      <c r="DW301" s="5">
        <f t="shared" si="857"/>
        <v>2.8571428571428572</v>
      </c>
      <c r="DX301" s="5">
        <f t="shared" si="828"/>
        <v>1.0976526180177724</v>
      </c>
      <c r="DY301" s="5">
        <f t="shared" si="829"/>
        <v>1.7594902391250848</v>
      </c>
      <c r="DZ301" s="5"/>
      <c r="EA301" s="150">
        <f t="shared" si="830"/>
        <v>0.38417841630622029</v>
      </c>
      <c r="EB301" s="150">
        <f t="shared" si="858"/>
        <v>103.36</v>
      </c>
      <c r="EC301" s="150">
        <f t="shared" si="859"/>
        <v>3.4517013118638027</v>
      </c>
      <c r="ED301" s="150">
        <f t="shared" si="860"/>
        <v>29.944653566849059</v>
      </c>
      <c r="EE301" s="144">
        <f t="shared" si="831"/>
        <v>12.44006300420142</v>
      </c>
      <c r="EF301" s="5">
        <f t="shared" si="832"/>
        <v>2.199362798906356</v>
      </c>
      <c r="EH301" s="150">
        <f t="shared" si="861"/>
        <v>4.0115679288762163</v>
      </c>
      <c r="EI301" s="150">
        <f t="shared" si="862"/>
        <v>5.0789638625568791</v>
      </c>
      <c r="EK301" s="456">
        <f t="shared" si="863"/>
        <v>0.19311212697585861</v>
      </c>
      <c r="EL301" s="456">
        <f t="shared" si="864"/>
        <v>5.8444817252399588</v>
      </c>
      <c r="EM301" s="456">
        <f t="shared" si="865"/>
        <v>4.0250000000000001E-2</v>
      </c>
      <c r="EN301" s="456">
        <f t="shared" si="866"/>
        <v>1.1132956800000005</v>
      </c>
      <c r="EO301">
        <f t="shared" si="867"/>
        <v>2.1600000000000001E-2</v>
      </c>
      <c r="EP301" s="144">
        <f t="shared" si="868"/>
        <v>61.85</v>
      </c>
      <c r="EQ301" s="144"/>
      <c r="ER301" s="144">
        <f t="shared" si="869"/>
        <v>7212.7395322158181</v>
      </c>
      <c r="ES301" s="456">
        <f t="shared" si="870"/>
        <v>2.38</v>
      </c>
      <c r="EV301" s="144">
        <f t="shared" si="871"/>
        <v>2380</v>
      </c>
      <c r="EW301" s="456">
        <f t="shared" si="872"/>
        <v>0.22529748147183504</v>
      </c>
      <c r="EX301" s="456">
        <f t="shared" si="873"/>
        <v>0.36114223484022173</v>
      </c>
      <c r="EY301" s="456">
        <f t="shared" si="874"/>
        <v>48.212633868322925</v>
      </c>
      <c r="EZ301" s="456"/>
      <c r="FA301" s="456">
        <f t="shared" si="875"/>
        <v>4.3982978723404251</v>
      </c>
      <c r="FB301" s="144">
        <f t="shared" si="876"/>
        <v>53197.371456975401</v>
      </c>
      <c r="FC301" s="150">
        <f t="shared" si="877"/>
        <v>62.79011098919122</v>
      </c>
      <c r="FD301" s="5">
        <f t="shared" si="878"/>
        <v>102</v>
      </c>
      <c r="FE301" s="150">
        <f t="shared" si="879"/>
        <v>0.61896918078227581</v>
      </c>
      <c r="FF301" s="5">
        <f t="shared" si="880"/>
        <v>61.896918078227579</v>
      </c>
      <c r="FI301" s="59">
        <f t="shared" si="833"/>
        <v>-50</v>
      </c>
      <c r="FJ301">
        <f t="shared" si="834"/>
        <v>-50</v>
      </c>
      <c r="FL301">
        <f t="shared" si="835"/>
        <v>0.60659749943087427</v>
      </c>
    </row>
    <row r="302" spans="5:168">
      <c r="E302" s="147">
        <v>86</v>
      </c>
      <c r="F302" s="188">
        <f t="shared" si="836"/>
        <v>3.44</v>
      </c>
      <c r="G302" s="188"/>
      <c r="H302" s="188">
        <f t="shared" si="762"/>
        <v>103.2</v>
      </c>
      <c r="I302" s="465">
        <f t="shared" si="763"/>
        <v>47.849950085888288</v>
      </c>
      <c r="J302" s="149">
        <f t="shared" si="764"/>
        <v>30.480796107598611</v>
      </c>
      <c r="K302" s="149">
        <f t="shared" si="765"/>
        <v>78.330746193486902</v>
      </c>
      <c r="L302" s="379"/>
      <c r="M302" s="188">
        <f t="shared" si="766"/>
        <v>0.38911485023587383</v>
      </c>
      <c r="N302" s="149">
        <f t="shared" si="767"/>
        <v>284.96026381068913</v>
      </c>
      <c r="O302" s="149">
        <f t="shared" si="760"/>
        <v>103.2</v>
      </c>
      <c r="P302" s="188">
        <f t="shared" si="768"/>
        <v>9.4986754603563046</v>
      </c>
      <c r="Q302" s="188">
        <f t="shared" si="769"/>
        <v>30</v>
      </c>
      <c r="R302" s="188"/>
      <c r="S302" s="149">
        <f t="shared" si="770"/>
        <v>163.02276344506535</v>
      </c>
      <c r="T302" s="149">
        <f t="shared" si="771"/>
        <v>30</v>
      </c>
      <c r="U302" s="188">
        <f t="shared" si="772"/>
        <v>11.085375232441407</v>
      </c>
      <c r="V302" s="188">
        <f t="shared" si="773"/>
        <v>1.0888467699329973</v>
      </c>
      <c r="W302" s="188">
        <f t="shared" si="774"/>
        <v>1.7093143961383015</v>
      </c>
      <c r="X302" s="172">
        <f t="shared" si="775"/>
        <v>350</v>
      </c>
      <c r="Y302" s="379">
        <f t="shared" si="837"/>
        <v>333.5377735248203</v>
      </c>
      <c r="AA302" s="188">
        <f t="shared" si="776"/>
        <v>11.319040893054575</v>
      </c>
      <c r="AB302" s="150">
        <f t="shared" si="777"/>
        <v>1.745344577272846</v>
      </c>
      <c r="AC302" s="150">
        <f t="shared" si="778"/>
        <v>3.457234662458919</v>
      </c>
      <c r="AD302" s="150"/>
      <c r="AE302" s="150">
        <f t="shared" si="779"/>
        <v>0.93451786443817475</v>
      </c>
      <c r="AF302" s="314">
        <f t="shared" si="780"/>
        <v>1214.7440334727833</v>
      </c>
      <c r="AG302" s="456">
        <f t="shared" si="781"/>
        <v>0.99115531076776098</v>
      </c>
      <c r="AI302" s="150">
        <f t="shared" si="782"/>
        <v>11.290792365072184</v>
      </c>
      <c r="AJ302" s="150">
        <f t="shared" si="783"/>
        <v>11.290792365072184</v>
      </c>
      <c r="AK302" s="150">
        <f t="shared" si="784"/>
        <v>5.0742120773823132</v>
      </c>
      <c r="AM302" s="314">
        <f t="shared" si="785"/>
        <v>3440</v>
      </c>
      <c r="AN302" s="144">
        <f t="shared" si="786"/>
        <v>333.5377735248203</v>
      </c>
      <c r="AP302">
        <f t="shared" si="787"/>
        <v>3440</v>
      </c>
      <c r="AQ302">
        <f t="shared" si="788"/>
        <v>333.5377735248203</v>
      </c>
      <c r="AS302" s="5">
        <f t="shared" si="761"/>
        <v>2.9981611660712986</v>
      </c>
      <c r="AT302" s="5">
        <f t="shared" si="789"/>
        <v>1.1090236044256498</v>
      </c>
      <c r="AU302" s="5">
        <f t="shared" si="881"/>
        <v>1.8891375616456487</v>
      </c>
      <c r="AV302" s="5"/>
      <c r="AW302" s="150">
        <f t="shared" si="882"/>
        <v>0.36990126380660232</v>
      </c>
      <c r="AX302" s="150">
        <f t="shared" si="790"/>
        <v>99.922140655240085</v>
      </c>
      <c r="AY302" s="150">
        <f t="shared" si="791"/>
        <v>3.5571569999270229</v>
      </c>
      <c r="AZ302" s="150">
        <f t="shared" si="792"/>
        <v>28.090449945641996</v>
      </c>
      <c r="BA302" s="144">
        <f t="shared" si="723"/>
        <v>12.716803997414116</v>
      </c>
      <c r="BB302" s="5">
        <f t="shared" si="724"/>
        <v>2.3966955526585676</v>
      </c>
      <c r="BD302" s="150">
        <f t="shared" si="838"/>
        <v>3.9646668644790362</v>
      </c>
      <c r="BE302" s="150">
        <f t="shared" si="839"/>
        <v>5.1744965034380623</v>
      </c>
      <c r="BG302" s="456">
        <f t="shared" si="840"/>
        <v>0.1886230001555764</v>
      </c>
      <c r="BH302" s="456">
        <f t="shared" si="793"/>
        <v>5.3834982821190485</v>
      </c>
      <c r="BI302" s="456">
        <f t="shared" si="841"/>
        <v>3.8356843955354339E-2</v>
      </c>
      <c r="BJ302" s="456">
        <f t="shared" si="842"/>
        <v>1.0590583945363596</v>
      </c>
      <c r="BK302">
        <f t="shared" si="843"/>
        <v>2.153247753864973E-2</v>
      </c>
      <c r="BL302" s="144">
        <f t="shared" si="844"/>
        <v>59.889321494004072</v>
      </c>
      <c r="BM302" s="456">
        <f t="shared" si="794"/>
        <v>6.9956298023281835</v>
      </c>
      <c r="BN302" s="144">
        <f t="shared" si="845"/>
        <v>6995.6298023281834</v>
      </c>
      <c r="BO302" s="456">
        <f t="shared" si="795"/>
        <v>2.4079999999999999</v>
      </c>
      <c r="BR302" s="144">
        <f t="shared" si="846"/>
        <v>2408</v>
      </c>
      <c r="BS302" s="456">
        <f t="shared" si="847"/>
        <v>0.22006016684817245</v>
      </c>
      <c r="BT302" s="456">
        <f t="shared" si="848"/>
        <v>0.37485579689729825</v>
      </c>
      <c r="BU302" s="456">
        <f t="shared" si="849"/>
        <v>43.515464132473063</v>
      </c>
      <c r="BV302" s="456"/>
      <c r="BW302" s="456">
        <f t="shared" si="850"/>
        <v>4.2520059853293652</v>
      </c>
      <c r="BX302" s="144">
        <f t="shared" si="851"/>
        <v>48362.386081547898</v>
      </c>
      <c r="BY302" s="150">
        <f t="shared" si="852"/>
        <v>57.461455079852882</v>
      </c>
      <c r="BZ302" s="5">
        <f t="shared" si="853"/>
        <v>103.2</v>
      </c>
      <c r="CA302" s="150">
        <f t="shared" si="854"/>
        <v>0.64234448734892224</v>
      </c>
      <c r="CB302" s="5">
        <f t="shared" si="855"/>
        <v>64.234448734892226</v>
      </c>
      <c r="CE302" s="59">
        <f t="shared" si="796"/>
        <v>-50</v>
      </c>
      <c r="CF302">
        <f t="shared" si="797"/>
        <v>-50</v>
      </c>
      <c r="CG302" s="150">
        <f t="shared" si="798"/>
        <v>0.59606831852907771</v>
      </c>
      <c r="CI302" s="147">
        <v>86</v>
      </c>
      <c r="CJ302" s="188">
        <f t="shared" si="856"/>
        <v>3.44</v>
      </c>
      <c r="CK302" s="188"/>
      <c r="CL302" s="188">
        <f t="shared" si="799"/>
        <v>103.2</v>
      </c>
      <c r="CM302" s="465">
        <f t="shared" si="800"/>
        <v>48</v>
      </c>
      <c r="CN302" s="379">
        <f t="shared" si="801"/>
        <v>30.4</v>
      </c>
      <c r="CO302" s="379">
        <f t="shared" si="802"/>
        <v>78.400000000000006</v>
      </c>
      <c r="CP302" s="379"/>
      <c r="CQ302" s="188">
        <f t="shared" si="803"/>
        <v>0.38775510204081626</v>
      </c>
      <c r="CR302" s="149">
        <f t="shared" si="804"/>
        <v>284.85494809142222</v>
      </c>
      <c r="CS302" s="149">
        <f t="shared" si="805"/>
        <v>103.2</v>
      </c>
      <c r="CT302" s="188">
        <f t="shared" si="806"/>
        <v>9.4951649363807409</v>
      </c>
      <c r="CU302" s="188">
        <f t="shared" si="807"/>
        <v>30</v>
      </c>
      <c r="CV302" s="188"/>
      <c r="CW302" s="149">
        <f t="shared" si="808"/>
        <v>163.53361106863781</v>
      </c>
      <c r="CX302" s="149">
        <f t="shared" si="809"/>
        <v>30</v>
      </c>
      <c r="CY302" s="188">
        <f t="shared" si="810"/>
        <v>11.08947368421053</v>
      </c>
      <c r="CZ302" s="188">
        <f t="shared" si="811"/>
        <v>1.0858442982456145</v>
      </c>
      <c r="DA302" s="188">
        <f t="shared" si="812"/>
        <v>1.7144909972299174</v>
      </c>
      <c r="DB302" s="172">
        <f t="shared" si="813"/>
        <v>350</v>
      </c>
      <c r="DC302" s="379">
        <f t="shared" si="814"/>
        <v>350</v>
      </c>
      <c r="DE302" s="188">
        <f t="shared" si="815"/>
        <v>11.314434588425037</v>
      </c>
      <c r="DF302" s="150">
        <f t="shared" si="816"/>
        <v>1.7492711370262393</v>
      </c>
      <c r="DG302" s="150">
        <f t="shared" si="817"/>
        <v>3.463602425028073</v>
      </c>
      <c r="DH302" s="150"/>
      <c r="DI302" s="150">
        <f t="shared" si="818"/>
        <v>0.93700159489633172</v>
      </c>
      <c r="DJ302" s="314">
        <f t="shared" si="819"/>
        <v>1211.5240851063832</v>
      </c>
      <c r="DK302" s="456">
        <f t="shared" si="820"/>
        <v>0.99378957034459414</v>
      </c>
      <c r="DM302" s="150">
        <f t="shared" si="821"/>
        <v>11.275818061157615</v>
      </c>
      <c r="DN302" s="150">
        <f t="shared" si="822"/>
        <v>11.275818061157615</v>
      </c>
      <c r="DO302" s="150">
        <f t="shared" si="823"/>
        <v>5.063120000408559</v>
      </c>
      <c r="DQ302" s="314">
        <f t="shared" si="824"/>
        <v>3440</v>
      </c>
      <c r="DR302" s="144">
        <f t="shared" si="825"/>
        <v>350</v>
      </c>
      <c r="DT302">
        <f t="shared" si="826"/>
        <v>3440</v>
      </c>
      <c r="DU302">
        <f t="shared" si="827"/>
        <v>350</v>
      </c>
      <c r="DW302" s="5">
        <f t="shared" si="857"/>
        <v>2.8571428571428572</v>
      </c>
      <c r="DX302" s="5">
        <f t="shared" si="828"/>
        <v>1.1040905184883496</v>
      </c>
      <c r="DY302" s="5">
        <f t="shared" si="829"/>
        <v>1.7530523386545076</v>
      </c>
      <c r="DZ302" s="5"/>
      <c r="EA302" s="150">
        <f t="shared" si="830"/>
        <v>0.38643168147092233</v>
      </c>
      <c r="EB302" s="150">
        <f t="shared" si="858"/>
        <v>104.57600000000001</v>
      </c>
      <c r="EC302" s="150">
        <f t="shared" si="859"/>
        <v>3.4592423639121415</v>
      </c>
      <c r="ED302" s="150">
        <f t="shared" si="860"/>
        <v>30.230897115208911</v>
      </c>
      <c r="EE302" s="144">
        <f t="shared" si="831"/>
        <v>12.660237945333074</v>
      </c>
      <c r="EF302" s="5">
        <f t="shared" si="832"/>
        <v>2.2170956047689359</v>
      </c>
      <c r="EH302" s="150">
        <f t="shared" si="861"/>
        <v>4.0469123167539358</v>
      </c>
      <c r="EI302" s="150">
        <f t="shared" si="862"/>
        <v>5.0993978418974191</v>
      </c>
      <c r="EK302" s="456">
        <f t="shared" si="863"/>
        <v>0.1965299915939365</v>
      </c>
      <c r="EL302" s="456">
        <f t="shared" si="864"/>
        <v>5.8787605043651352</v>
      </c>
      <c r="EM302" s="456">
        <f t="shared" si="865"/>
        <v>4.0250000000000001E-2</v>
      </c>
      <c r="EN302" s="456">
        <f t="shared" si="866"/>
        <v>1.1132956800000005</v>
      </c>
      <c r="EO302">
        <f t="shared" si="867"/>
        <v>2.1600000000000001E-2</v>
      </c>
      <c r="EP302" s="144">
        <f t="shared" si="868"/>
        <v>61.85</v>
      </c>
      <c r="EQ302" s="144"/>
      <c r="ER302" s="144">
        <f t="shared" si="869"/>
        <v>7250.4361759590729</v>
      </c>
      <c r="ES302" s="456">
        <f t="shared" si="870"/>
        <v>2.4079999999999999</v>
      </c>
      <c r="EV302" s="144">
        <f t="shared" si="871"/>
        <v>2408</v>
      </c>
      <c r="EW302" s="456">
        <f t="shared" si="872"/>
        <v>0.22928499019292592</v>
      </c>
      <c r="EX302" s="456">
        <f t="shared" si="873"/>
        <v>0.36405401689927275</v>
      </c>
      <c r="EY302" s="456">
        <f t="shared" si="874"/>
        <v>48.92268279971649</v>
      </c>
      <c r="EZ302" s="456"/>
      <c r="FA302" s="456">
        <f t="shared" si="875"/>
        <v>4.4500425531914898</v>
      </c>
      <c r="FB302" s="144">
        <f t="shared" si="876"/>
        <v>53966.064360000171</v>
      </c>
      <c r="FC302" s="150">
        <f t="shared" si="877"/>
        <v>63.62450053595925</v>
      </c>
      <c r="FD302" s="5">
        <f t="shared" si="878"/>
        <v>103.2</v>
      </c>
      <c r="FE302" s="150">
        <f t="shared" si="879"/>
        <v>0.61861417039132749</v>
      </c>
      <c r="FF302" s="5">
        <f t="shared" si="880"/>
        <v>61.861417039132746</v>
      </c>
      <c r="FI302" s="59">
        <f t="shared" si="833"/>
        <v>-50</v>
      </c>
      <c r="FJ302">
        <f t="shared" si="834"/>
        <v>-50</v>
      </c>
      <c r="FL302">
        <f t="shared" si="835"/>
        <v>0.61015528653303541</v>
      </c>
    </row>
    <row r="303" spans="5:168">
      <c r="E303" s="147">
        <v>87</v>
      </c>
      <c r="F303" s="188">
        <f t="shared" si="836"/>
        <v>3.48</v>
      </c>
      <c r="G303" s="188"/>
      <c r="H303" s="188">
        <f t="shared" si="762"/>
        <v>104.4</v>
      </c>
      <c r="I303" s="465">
        <f t="shared" si="763"/>
        <v>47.848704598802826</v>
      </c>
      <c r="J303" s="149">
        <f t="shared" si="764"/>
        <v>30.481466754490786</v>
      </c>
      <c r="K303" s="149">
        <f t="shared" si="765"/>
        <v>78.330171353293608</v>
      </c>
      <c r="L303" s="379"/>
      <c r="M303" s="188">
        <f t="shared" si="766"/>
        <v>0.38912460615106381</v>
      </c>
      <c r="N303" s="149">
        <f t="shared" si="767"/>
        <v>284.95999093363577</v>
      </c>
      <c r="O303" s="149">
        <f t="shared" si="760"/>
        <v>104.4</v>
      </c>
      <c r="P303" s="188">
        <f t="shared" si="768"/>
        <v>9.4986663644545253</v>
      </c>
      <c r="Q303" s="188">
        <f t="shared" si="769"/>
        <v>30</v>
      </c>
      <c r="R303" s="188"/>
      <c r="S303" s="149">
        <f t="shared" si="770"/>
        <v>160.59786905107455</v>
      </c>
      <c r="T303" s="149">
        <f t="shared" si="771"/>
        <v>30</v>
      </c>
      <c r="U303" s="188">
        <f t="shared" si="772"/>
        <v>11.21428568321128</v>
      </c>
      <c r="V303" s="188">
        <f t="shared" si="773"/>
        <v>1.1015375056237517</v>
      </c>
      <c r="W303" s="188">
        <f t="shared" si="774"/>
        <v>1.7291537554808694</v>
      </c>
      <c r="X303" s="172">
        <f t="shared" si="775"/>
        <v>350</v>
      </c>
      <c r="Y303" s="379">
        <f t="shared" si="837"/>
        <v>329.9577270815509</v>
      </c>
      <c r="AA303" s="188">
        <f t="shared" si="776"/>
        <v>11.31907837424955</v>
      </c>
      <c r="AB303" s="150">
        <f t="shared" si="777"/>
        <v>1.7453119558669223</v>
      </c>
      <c r="AC303" s="150">
        <f t="shared" si="778"/>
        <v>3.4571814927951814</v>
      </c>
      <c r="AD303" s="150"/>
      <c r="AE303" s="150">
        <f t="shared" si="779"/>
        <v>0.93449730337047698</v>
      </c>
      <c r="AF303" s="314">
        <f t="shared" si="780"/>
        <v>1228.8960020088175</v>
      </c>
      <c r="AG303" s="456">
        <f t="shared" si="781"/>
        <v>0.99113350357474828</v>
      </c>
      <c r="AI303" s="150">
        <f t="shared" si="782"/>
        <v>11.35637171314349</v>
      </c>
      <c r="AJ303" s="150">
        <f t="shared" si="783"/>
        <v>11.21428568321128</v>
      </c>
      <c r="AK303" s="150">
        <f t="shared" si="784"/>
        <v>5.0175404611890517</v>
      </c>
      <c r="AM303" s="314">
        <f t="shared" si="785"/>
        <v>3480</v>
      </c>
      <c r="AN303" s="144">
        <f t="shared" si="786"/>
        <v>329.9577270815509</v>
      </c>
      <c r="AP303">
        <f t="shared" si="787"/>
        <v>3480</v>
      </c>
      <c r="AQ303">
        <f t="shared" si="788"/>
        <v>329.9577270815509</v>
      </c>
      <c r="AS303" s="5">
        <f t="shared" si="761"/>
        <v>3.0306912611046215</v>
      </c>
      <c r="AT303" s="5">
        <f t="shared" si="789"/>
        <v>1.1015375056237517</v>
      </c>
      <c r="AU303" s="5">
        <f t="shared" si="881"/>
        <v>1.9291537554808698</v>
      </c>
      <c r="AV303" s="5"/>
      <c r="AW303" s="150">
        <f t="shared" si="882"/>
        <v>0.36346081165069422</v>
      </c>
      <c r="AX303" s="150">
        <f t="shared" si="790"/>
        <v>97.514544535386108</v>
      </c>
      <c r="AY303" s="150">
        <f t="shared" si="791"/>
        <v>3.5691661533542742</v>
      </c>
      <c r="AZ303" s="150">
        <f t="shared" si="792"/>
        <v>27.321379937367922</v>
      </c>
      <c r="BA303" s="144">
        <f t="shared" si="723"/>
        <v>12.77783506523552</v>
      </c>
      <c r="BB303" s="5">
        <f t="shared" si="724"/>
        <v>2.4759862885822961</v>
      </c>
      <c r="BD303" s="150">
        <f t="shared" si="838"/>
        <v>3.9033705774860468</v>
      </c>
      <c r="BE303" s="150">
        <f t="shared" si="839"/>
        <v>5.1656331586465507</v>
      </c>
      <c r="BG303" s="456">
        <f t="shared" si="840"/>
        <v>0.18283562238220508</v>
      </c>
      <c r="BH303" s="456">
        <f t="shared" si="793"/>
        <v>5.2895882139518147</v>
      </c>
      <c r="BI303" s="456">
        <f t="shared" si="841"/>
        <v>3.7945138614378357E-2</v>
      </c>
      <c r="BJ303" s="456">
        <f t="shared" si="842"/>
        <v>1.0476755545482452</v>
      </c>
      <c r="BK303">
        <f t="shared" si="843"/>
        <v>2.1531917069461271E-2</v>
      </c>
      <c r="BL303" s="144">
        <f t="shared" si="844"/>
        <v>59.477055683839623</v>
      </c>
      <c r="BM303" s="456">
        <f t="shared" si="794"/>
        <v>6.8678148632148428</v>
      </c>
      <c r="BN303" s="144">
        <f t="shared" si="845"/>
        <v>6867.8148632148432</v>
      </c>
      <c r="BO303" s="456">
        <f t="shared" si="795"/>
        <v>2.4359999999999999</v>
      </c>
      <c r="BR303" s="144">
        <f t="shared" si="846"/>
        <v>2436</v>
      </c>
      <c r="BS303" s="456">
        <f t="shared" si="847"/>
        <v>0.21330822611257258</v>
      </c>
      <c r="BT303" s="456">
        <f t="shared" si="848"/>
        <v>0.37357272301592237</v>
      </c>
      <c r="BU303" s="456">
        <f t="shared" si="849"/>
        <v>41.64326776040761</v>
      </c>
      <c r="BV303" s="456"/>
      <c r="BW303" s="456">
        <f t="shared" si="850"/>
        <v>4.1495550866121746</v>
      </c>
      <c r="BX303" s="144">
        <f t="shared" si="851"/>
        <v>46379.703796148278</v>
      </c>
      <c r="BY303" s="150">
        <f t="shared" si="852"/>
        <v>55.395280242714385</v>
      </c>
      <c r="BZ303" s="5">
        <f t="shared" si="853"/>
        <v>104.4</v>
      </c>
      <c r="CA303" s="150">
        <f t="shared" si="854"/>
        <v>0.65333594234714543</v>
      </c>
      <c r="CB303" s="5">
        <f t="shared" si="855"/>
        <v>65.333594234714539</v>
      </c>
      <c r="CE303" s="59">
        <f t="shared" si="796"/>
        <v>-50</v>
      </c>
      <c r="CF303">
        <f t="shared" si="797"/>
        <v>-50</v>
      </c>
      <c r="CG303" s="150">
        <f t="shared" si="798"/>
        <v>0.59803536184210515</v>
      </c>
      <c r="CI303" s="147">
        <v>87</v>
      </c>
      <c r="CJ303" s="188">
        <f t="shared" si="856"/>
        <v>3.48</v>
      </c>
      <c r="CK303" s="188"/>
      <c r="CL303" s="188">
        <f t="shared" si="799"/>
        <v>104.4</v>
      </c>
      <c r="CM303" s="465">
        <f t="shared" si="800"/>
        <v>48</v>
      </c>
      <c r="CN303" s="379">
        <f t="shared" si="801"/>
        <v>30.4</v>
      </c>
      <c r="CO303" s="379">
        <f t="shared" si="802"/>
        <v>78.400000000000006</v>
      </c>
      <c r="CP303" s="379"/>
      <c r="CQ303" s="188">
        <f t="shared" si="803"/>
        <v>0.38775510204081626</v>
      </c>
      <c r="CR303" s="149">
        <f t="shared" si="804"/>
        <v>284.85494809142222</v>
      </c>
      <c r="CS303" s="149">
        <f t="shared" si="805"/>
        <v>104.4</v>
      </c>
      <c r="CT303" s="188">
        <f t="shared" si="806"/>
        <v>9.4951649363807409</v>
      </c>
      <c r="CU303" s="188">
        <f t="shared" si="807"/>
        <v>30</v>
      </c>
      <c r="CV303" s="188"/>
      <c r="CW303" s="149">
        <f t="shared" si="808"/>
        <v>161.10529743239815</v>
      </c>
      <c r="CX303" s="149">
        <f t="shared" si="809"/>
        <v>30</v>
      </c>
      <c r="CY303" s="188">
        <f t="shared" si="810"/>
        <v>11.218421052631582</v>
      </c>
      <c r="CZ303" s="188">
        <f t="shared" si="811"/>
        <v>1.0984703947368424</v>
      </c>
      <c r="DA303" s="188">
        <f t="shared" si="812"/>
        <v>1.7344269390581724</v>
      </c>
      <c r="DB303" s="172">
        <f t="shared" si="813"/>
        <v>350</v>
      </c>
      <c r="DC303" s="379">
        <f t="shared" si="814"/>
        <v>350</v>
      </c>
      <c r="DE303" s="188">
        <f t="shared" si="815"/>
        <v>11.314434588425037</v>
      </c>
      <c r="DF303" s="150">
        <f t="shared" si="816"/>
        <v>1.7492711370262393</v>
      </c>
      <c r="DG303" s="150">
        <f t="shared" si="817"/>
        <v>3.463602425028073</v>
      </c>
      <c r="DH303" s="150"/>
      <c r="DI303" s="150">
        <f t="shared" si="818"/>
        <v>0.93700159489633172</v>
      </c>
      <c r="DJ303" s="314">
        <f t="shared" si="819"/>
        <v>1225.6115744680851</v>
      </c>
      <c r="DK303" s="456">
        <f t="shared" si="820"/>
        <v>0.99378957034459414</v>
      </c>
      <c r="DM303" s="150">
        <f t="shared" si="821"/>
        <v>11.34118566999129</v>
      </c>
      <c r="DN303" s="150">
        <f t="shared" si="822"/>
        <v>11.218421052631582</v>
      </c>
      <c r="DO303" s="150">
        <f t="shared" si="823"/>
        <v>5.020603697796683</v>
      </c>
      <c r="DQ303" s="314">
        <f t="shared" si="824"/>
        <v>3480</v>
      </c>
      <c r="DR303" s="144">
        <f t="shared" si="825"/>
        <v>350</v>
      </c>
      <c r="DT303">
        <f t="shared" si="826"/>
        <v>3480</v>
      </c>
      <c r="DU303">
        <f t="shared" si="827"/>
        <v>350</v>
      </c>
      <c r="DW303" s="5">
        <f t="shared" si="857"/>
        <v>2.8571428571428572</v>
      </c>
      <c r="DX303" s="5">
        <f t="shared" si="828"/>
        <v>1.0984703947368424</v>
      </c>
      <c r="DY303" s="5">
        <f t="shared" si="829"/>
        <v>1.7586724624060148</v>
      </c>
      <c r="DZ303" s="5"/>
      <c r="EA303" s="150">
        <f t="shared" si="830"/>
        <v>0.38446463815789483</v>
      </c>
      <c r="EB303" s="150">
        <f t="shared" si="858"/>
        <v>103.51406857686986</v>
      </c>
      <c r="EC303" s="150">
        <f t="shared" si="859"/>
        <v>3.4526674309643353</v>
      </c>
      <c r="ED303" s="150">
        <f t="shared" si="860"/>
        <v>29.980897565902612</v>
      </c>
      <c r="EE303" s="144">
        <f t="shared" si="831"/>
        <v>12.742256578947371</v>
      </c>
      <c r="EF303" s="5">
        <f t="shared" si="832"/>
        <v>2.2500662386665189</v>
      </c>
      <c r="EH303" s="150">
        <f t="shared" si="861"/>
        <v>4.01605183082407</v>
      </c>
      <c r="EI303" s="150">
        <f t="shared" si="862"/>
        <v>5.0815664904479796</v>
      </c>
      <c r="EK303" s="456">
        <f t="shared" si="863"/>
        <v>0.1935440676943844</v>
      </c>
      <c r="EL303" s="456">
        <f t="shared" si="864"/>
        <v>5.8488360000000021</v>
      </c>
      <c r="EM303" s="456">
        <f t="shared" si="865"/>
        <v>4.0250000000000001E-2</v>
      </c>
      <c r="EN303" s="456">
        <f t="shared" si="866"/>
        <v>1.1132956800000005</v>
      </c>
      <c r="EO303">
        <f t="shared" si="867"/>
        <v>2.1600000000000001E-2</v>
      </c>
      <c r="EP303" s="144">
        <f t="shared" si="868"/>
        <v>61.85</v>
      </c>
      <c r="EQ303" s="144"/>
      <c r="ER303" s="144">
        <f t="shared" si="869"/>
        <v>7217.5257476943871</v>
      </c>
      <c r="ES303" s="456">
        <f t="shared" si="870"/>
        <v>2.4359999999999999</v>
      </c>
      <c r="EV303" s="144">
        <f t="shared" si="871"/>
        <v>2436</v>
      </c>
      <c r="EW303" s="456">
        <f t="shared" si="872"/>
        <v>0.22580141231011511</v>
      </c>
      <c r="EX303" s="456">
        <f t="shared" si="873"/>
        <v>0.36151245195581316</v>
      </c>
      <c r="EY303" s="456">
        <f t="shared" si="874"/>
        <v>48.302482883960394</v>
      </c>
      <c r="EZ303" s="456"/>
      <c r="FA303" s="456">
        <f t="shared" si="875"/>
        <v>4.4048539819944628</v>
      </c>
      <c r="FB303" s="144">
        <f t="shared" si="876"/>
        <v>53294.65073022079</v>
      </c>
      <c r="FC303" s="150">
        <f t="shared" si="877"/>
        <v>62.948176477915176</v>
      </c>
      <c r="FD303" s="5">
        <f t="shared" si="878"/>
        <v>104.4</v>
      </c>
      <c r="FE303" s="150">
        <f t="shared" si="879"/>
        <v>0.62384904453247858</v>
      </c>
      <c r="FF303" s="5">
        <f t="shared" si="880"/>
        <v>62.384904453247856</v>
      </c>
      <c r="FI303" s="59">
        <f t="shared" si="833"/>
        <v>-50</v>
      </c>
      <c r="FJ303">
        <f t="shared" si="834"/>
        <v>-50</v>
      </c>
      <c r="FL303">
        <f t="shared" si="835"/>
        <v>0.61369244826104186</v>
      </c>
    </row>
    <row r="304" spans="5:168">
      <c r="E304" s="147">
        <v>88</v>
      </c>
      <c r="F304" s="188">
        <f t="shared" si="836"/>
        <v>3.52</v>
      </c>
      <c r="G304" s="188"/>
      <c r="H304" s="188">
        <f t="shared" si="762"/>
        <v>105.6</v>
      </c>
      <c r="I304" s="465">
        <f t="shared" si="763"/>
        <v>47.846132038736066</v>
      </c>
      <c r="J304" s="149">
        <f t="shared" si="764"/>
        <v>30.482851979142115</v>
      </c>
      <c r="K304" s="149">
        <f t="shared" si="765"/>
        <v>78.328984017878184</v>
      </c>
      <c r="L304" s="379"/>
      <c r="M304" s="188">
        <f t="shared" si="766"/>
        <v>0.38914598400735356</v>
      </c>
      <c r="N304" s="149">
        <f t="shared" si="767"/>
        <v>284.96032459631977</v>
      </c>
      <c r="O304" s="149">
        <f t="shared" si="760"/>
        <v>105.6</v>
      </c>
      <c r="P304" s="188">
        <f t="shared" si="768"/>
        <v>9.4986774865439916</v>
      </c>
      <c r="Q304" s="188">
        <f t="shared" si="769"/>
        <v>30</v>
      </c>
      <c r="R304" s="188"/>
      <c r="S304" s="149">
        <f t="shared" si="770"/>
        <v>158.22378088196683</v>
      </c>
      <c r="T304" s="149">
        <f t="shared" si="771"/>
        <v>30</v>
      </c>
      <c r="U304" s="188">
        <f t="shared" si="772"/>
        <v>11.343172236809478</v>
      </c>
      <c r="V304" s="188">
        <f t="shared" si="773"/>
        <v>1.1142574590949712</v>
      </c>
      <c r="W304" s="188">
        <f t="shared" si="774"/>
        <v>1.7489475574491484</v>
      </c>
      <c r="X304" s="172">
        <f t="shared" si="775"/>
        <v>350</v>
      </c>
      <c r="Y304" s="379">
        <f t="shared" si="837"/>
        <v>326.45545910217623</v>
      </c>
      <c r="AA304" s="188">
        <f t="shared" si="776"/>
        <v>11.319155752548593</v>
      </c>
      <c r="AB304" s="150">
        <f t="shared" si="777"/>
        <v>1.745244574667111</v>
      </c>
      <c r="AC304" s="150">
        <f t="shared" si="778"/>
        <v>3.4570716542158042</v>
      </c>
      <c r="AD304" s="150"/>
      <c r="AE304" s="150">
        <f t="shared" si="779"/>
        <v>0.93445483724223821</v>
      </c>
      <c r="AF304" s="314">
        <f t="shared" si="780"/>
        <v>1243.0777322830413</v>
      </c>
      <c r="AG304" s="456">
        <f t="shared" si="781"/>
        <v>0.99108846374176784</v>
      </c>
      <c r="AI304" s="150">
        <f t="shared" si="782"/>
        <v>11.421711259932319</v>
      </c>
      <c r="AJ304" s="150">
        <f t="shared" si="783"/>
        <v>11.343172236809478</v>
      </c>
      <c r="AK304" s="150">
        <f t="shared" si="784"/>
        <v>5.1130119823729014</v>
      </c>
      <c r="AM304" s="314">
        <f t="shared" si="785"/>
        <v>3520</v>
      </c>
      <c r="AN304" s="144">
        <f t="shared" si="786"/>
        <v>326.45545910217623</v>
      </c>
      <c r="AP304">
        <f t="shared" si="787"/>
        <v>3520</v>
      </c>
      <c r="AQ304">
        <f t="shared" si="788"/>
        <v>326.45545910217623</v>
      </c>
      <c r="AS304" s="5">
        <f t="shared" si="761"/>
        <v>3.0632050165441203</v>
      </c>
      <c r="AT304" s="5">
        <f t="shared" si="789"/>
        <v>1.1142574590949712</v>
      </c>
      <c r="AU304" s="5">
        <f t="shared" si="881"/>
        <v>1.948947557449149</v>
      </c>
      <c r="AV304" s="5"/>
      <c r="AW304" s="150">
        <f t="shared" si="882"/>
        <v>0.36375543036687313</v>
      </c>
      <c r="AX304" s="150">
        <f t="shared" si="790"/>
        <v>98.709931556215011</v>
      </c>
      <c r="AY304" s="150">
        <f t="shared" si="791"/>
        <v>3.6085158690416401</v>
      </c>
      <c r="AZ304" s="150">
        <f t="shared" si="792"/>
        <v>27.354717323837257</v>
      </c>
      <c r="BA304" s="144">
        <f t="shared" si="723"/>
        <v>13.073954186714328</v>
      </c>
      <c r="BB304" s="5">
        <f t="shared" si="724"/>
        <v>2.530278443652862</v>
      </c>
      <c r="BD304" s="150">
        <f t="shared" si="838"/>
        <v>3.9498321631147073</v>
      </c>
      <c r="BE304" s="150">
        <f t="shared" si="839"/>
        <v>5.2237928124942297</v>
      </c>
      <c r="BG304" s="456">
        <f t="shared" si="840"/>
        <v>0.18721408940130491</v>
      </c>
      <c r="BH304" s="456">
        <f t="shared" si="793"/>
        <v>5.2935110529394525</v>
      </c>
      <c r="BI304" s="456">
        <f t="shared" si="841"/>
        <v>3.7542377796750272E-2</v>
      </c>
      <c r="BJ304" s="456">
        <f t="shared" si="842"/>
        <v>1.0365237951395392</v>
      </c>
      <c r="BK304">
        <f t="shared" si="843"/>
        <v>2.1530759417431228E-2</v>
      </c>
      <c r="BL304" s="144">
        <f t="shared" si="844"/>
        <v>59.0731372141815</v>
      </c>
      <c r="BM304" s="456">
        <f t="shared" si="794"/>
        <v>6.8735462927515218</v>
      </c>
      <c r="BN304" s="144">
        <f t="shared" si="845"/>
        <v>6873.5462927515218</v>
      </c>
      <c r="BO304" s="456">
        <f t="shared" si="795"/>
        <v>2.464</v>
      </c>
      <c r="BR304" s="144">
        <f t="shared" si="846"/>
        <v>2464</v>
      </c>
      <c r="BS304" s="456">
        <f t="shared" si="847"/>
        <v>0.21841643763485571</v>
      </c>
      <c r="BT304" s="456">
        <f t="shared" si="848"/>
        <v>0.38203215887012926</v>
      </c>
      <c r="BU304" s="456">
        <f t="shared" si="849"/>
        <v>41.722099959903289</v>
      </c>
      <c r="BV304" s="456"/>
      <c r="BW304" s="456">
        <f t="shared" si="850"/>
        <v>4.2004226194134047</v>
      </c>
      <c r="BX304" s="144">
        <f t="shared" si="851"/>
        <v>46522.971175821673</v>
      </c>
      <c r="BY304" s="150">
        <f t="shared" si="852"/>
        <v>55.563293250516153</v>
      </c>
      <c r="BZ304" s="5">
        <f t="shared" si="853"/>
        <v>105.6</v>
      </c>
      <c r="CA304" s="150">
        <f t="shared" si="854"/>
        <v>0.65523605201993973</v>
      </c>
      <c r="CB304" s="5">
        <f t="shared" si="855"/>
        <v>65.523605201993973</v>
      </c>
      <c r="CE304" s="59">
        <f t="shared" si="796"/>
        <v>-50</v>
      </c>
      <c r="CF304">
        <f t="shared" si="797"/>
        <v>-50</v>
      </c>
      <c r="CG304" s="150">
        <f t="shared" si="798"/>
        <v>0.59479568877248923</v>
      </c>
      <c r="CI304" s="147">
        <v>88</v>
      </c>
      <c r="CJ304" s="188">
        <f t="shared" si="856"/>
        <v>3.52</v>
      </c>
      <c r="CK304" s="188"/>
      <c r="CL304" s="188">
        <f t="shared" si="799"/>
        <v>105.6</v>
      </c>
      <c r="CM304" s="465">
        <f t="shared" si="800"/>
        <v>48</v>
      </c>
      <c r="CN304" s="379">
        <f t="shared" si="801"/>
        <v>30.4</v>
      </c>
      <c r="CO304" s="379">
        <f t="shared" si="802"/>
        <v>78.400000000000006</v>
      </c>
      <c r="CP304" s="379"/>
      <c r="CQ304" s="188">
        <f t="shared" si="803"/>
        <v>0.38775510204081626</v>
      </c>
      <c r="CR304" s="149">
        <f t="shared" si="804"/>
        <v>284.85494809142222</v>
      </c>
      <c r="CS304" s="149">
        <f t="shared" si="805"/>
        <v>105.6</v>
      </c>
      <c r="CT304" s="188">
        <f t="shared" si="806"/>
        <v>9.4951649363807409</v>
      </c>
      <c r="CU304" s="188">
        <f t="shared" si="807"/>
        <v>30</v>
      </c>
      <c r="CV304" s="188"/>
      <c r="CW304" s="149">
        <f t="shared" si="808"/>
        <v>158.73222462855864</v>
      </c>
      <c r="CX304" s="149">
        <f t="shared" si="809"/>
        <v>30</v>
      </c>
      <c r="CY304" s="188">
        <f t="shared" si="810"/>
        <v>11.347368421052634</v>
      </c>
      <c r="CZ304" s="188">
        <f t="shared" si="811"/>
        <v>1.1110964912280705</v>
      </c>
      <c r="DA304" s="188">
        <f t="shared" si="812"/>
        <v>1.7543628808864271</v>
      </c>
      <c r="DB304" s="172">
        <f t="shared" si="813"/>
        <v>350</v>
      </c>
      <c r="DC304" s="379">
        <f t="shared" si="814"/>
        <v>348.98418373388893</v>
      </c>
      <c r="DE304" s="188">
        <f t="shared" si="815"/>
        <v>11.314434588425037</v>
      </c>
      <c r="DF304" s="150">
        <f t="shared" si="816"/>
        <v>1.7492711370262393</v>
      </c>
      <c r="DG304" s="150">
        <f t="shared" si="817"/>
        <v>3.463602425028073</v>
      </c>
      <c r="DH304" s="150"/>
      <c r="DI304" s="150">
        <f t="shared" si="818"/>
        <v>0.93700159489633172</v>
      </c>
      <c r="DJ304" s="314">
        <f t="shared" si="819"/>
        <v>1239.6990638297873</v>
      </c>
      <c r="DK304" s="456">
        <f t="shared" si="820"/>
        <v>0.99378957034459414</v>
      </c>
      <c r="DM304" s="150">
        <f t="shared" si="821"/>
        <v>11.406178670093825</v>
      </c>
      <c r="DN304" s="150">
        <f t="shared" si="822"/>
        <v>11.347368421052634</v>
      </c>
      <c r="DO304" s="150">
        <f t="shared" si="823"/>
        <v>5.1161202669974619</v>
      </c>
      <c r="DQ304" s="314">
        <f t="shared" si="824"/>
        <v>3520</v>
      </c>
      <c r="DR304" s="144">
        <f t="shared" si="825"/>
        <v>348.98418373388893</v>
      </c>
      <c r="DT304">
        <f t="shared" si="826"/>
        <v>3520</v>
      </c>
      <c r="DU304">
        <f t="shared" si="827"/>
        <v>348.98418373388893</v>
      </c>
      <c r="DW304" s="5">
        <f t="shared" si="857"/>
        <v>2.8654593721144979</v>
      </c>
      <c r="DX304" s="5">
        <f t="shared" si="828"/>
        <v>1.1110964912280705</v>
      </c>
      <c r="DY304" s="5">
        <f t="shared" si="829"/>
        <v>1.7543628808864273</v>
      </c>
      <c r="DZ304" s="5"/>
      <c r="EA304" s="150">
        <f t="shared" si="830"/>
        <v>0.38775510204081631</v>
      </c>
      <c r="EB304" s="150">
        <f t="shared" si="858"/>
        <v>105.6</v>
      </c>
      <c r="EC304" s="150">
        <f t="shared" si="859"/>
        <v>3.4736842105263168</v>
      </c>
      <c r="ED304" s="150">
        <f t="shared" si="860"/>
        <v>30.399999999999988</v>
      </c>
      <c r="EE304" s="144">
        <f t="shared" si="831"/>
        <v>13.036865497076027</v>
      </c>
      <c r="EF304" s="5">
        <f t="shared" si="832"/>
        <v>2.2703519635000817</v>
      </c>
      <c r="EH304" s="150">
        <f t="shared" si="861"/>
        <v>4.0795596597603359</v>
      </c>
      <c r="EI304" s="150">
        <f t="shared" si="862"/>
        <v>5.1262185227992694</v>
      </c>
      <c r="EK304" s="456">
        <f t="shared" si="863"/>
        <v>0.1997136842105264</v>
      </c>
      <c r="EL304" s="456">
        <f t="shared" si="864"/>
        <v>5.898893617021276</v>
      </c>
      <c r="EM304" s="456">
        <f t="shared" si="865"/>
        <v>4.0133181129397233E-2</v>
      </c>
      <c r="EN304" s="456">
        <f t="shared" si="866"/>
        <v>1.1100645261121855</v>
      </c>
      <c r="EO304">
        <f t="shared" si="867"/>
        <v>2.1600000000000001E-2</v>
      </c>
      <c r="EP304" s="144">
        <f t="shared" si="868"/>
        <v>61.733181129397231</v>
      </c>
      <c r="EQ304" s="144"/>
      <c r="ER304" s="144">
        <f t="shared" si="869"/>
        <v>7270.4050084733854</v>
      </c>
      <c r="ES304" s="456">
        <f t="shared" si="870"/>
        <v>2.464</v>
      </c>
      <c r="EV304" s="144">
        <f t="shared" si="871"/>
        <v>2464</v>
      </c>
      <c r="EW304" s="456">
        <f t="shared" si="872"/>
        <v>0.23299929824561413</v>
      </c>
      <c r="EX304" s="456">
        <f t="shared" si="873"/>
        <v>0.36789362880886456</v>
      </c>
      <c r="EY304" s="456">
        <f t="shared" si="874"/>
        <v>49.342625597061712</v>
      </c>
      <c r="EZ304" s="456"/>
      <c r="FA304" s="456">
        <f t="shared" si="875"/>
        <v>4.493617021276596</v>
      </c>
      <c r="FB304" s="144">
        <f t="shared" si="876"/>
        <v>54437.13554539279</v>
      </c>
      <c r="FC304" s="150">
        <f t="shared" si="877"/>
        <v>64.171540553866166</v>
      </c>
      <c r="FD304" s="5">
        <f t="shared" si="878"/>
        <v>105.6</v>
      </c>
      <c r="FE304" s="150">
        <f t="shared" si="879"/>
        <v>0.62201238002251968</v>
      </c>
      <c r="FF304" s="5">
        <f t="shared" si="880"/>
        <v>62.201238002251969</v>
      </c>
      <c r="FI304" s="59">
        <f t="shared" si="833"/>
        <v>-50</v>
      </c>
      <c r="FJ304">
        <f t="shared" si="834"/>
        <v>-50</v>
      </c>
      <c r="FL304">
        <f t="shared" si="835"/>
        <v>0.61224489795918369</v>
      </c>
    </row>
    <row r="305" spans="5:168">
      <c r="E305" s="147">
        <v>89</v>
      </c>
      <c r="F305" s="188">
        <f t="shared" si="836"/>
        <v>3.56</v>
      </c>
      <c r="G305" s="188"/>
      <c r="H305" s="188">
        <f t="shared" si="762"/>
        <v>106.8</v>
      </c>
      <c r="I305" s="465">
        <f t="shared" si="763"/>
        <v>47.844434817088455</v>
      </c>
      <c r="J305" s="149">
        <f t="shared" si="764"/>
        <v>30.483765867721598</v>
      </c>
      <c r="K305" s="149">
        <f t="shared" si="765"/>
        <v>78.328200684810056</v>
      </c>
      <c r="L305" s="379"/>
      <c r="M305" s="188">
        <f t="shared" si="766"/>
        <v>0.38916154968519912</v>
      </c>
      <c r="N305" s="149">
        <f t="shared" si="767"/>
        <v>284.96161423320569</v>
      </c>
      <c r="O305" s="149">
        <f t="shared" si="760"/>
        <v>106.8</v>
      </c>
      <c r="P305" s="188">
        <f t="shared" si="768"/>
        <v>9.498720474440189</v>
      </c>
      <c r="Q305" s="188">
        <f t="shared" si="769"/>
        <v>30</v>
      </c>
      <c r="R305" s="188"/>
      <c r="S305" s="149">
        <f t="shared" si="770"/>
        <v>155.90600278437483</v>
      </c>
      <c r="T305" s="149">
        <f t="shared" si="771"/>
        <v>30</v>
      </c>
      <c r="U305" s="188">
        <f t="shared" si="772"/>
        <v>11.472020002722035</v>
      </c>
      <c r="V305" s="188">
        <f t="shared" si="773"/>
        <v>1.126954351512909</v>
      </c>
      <c r="W305" s="188">
        <f t="shared" si="774"/>
        <v>1.76876092825153</v>
      </c>
      <c r="X305" s="172">
        <f t="shared" si="775"/>
        <v>350</v>
      </c>
      <c r="Y305" s="379">
        <f t="shared" si="837"/>
        <v>323.02712285481641</v>
      </c>
      <c r="AA305" s="188">
        <f t="shared" si="776"/>
        <v>11.319206773133995</v>
      </c>
      <c r="AB305" s="150">
        <f t="shared" si="777"/>
        <v>1.7452001194531561</v>
      </c>
      <c r="AC305" s="150">
        <f t="shared" si="778"/>
        <v>3.4569991772029738</v>
      </c>
      <c r="AD305" s="150"/>
      <c r="AE305" s="150">
        <f t="shared" si="779"/>
        <v>0.9344268227374849</v>
      </c>
      <c r="AF305" s="314">
        <f t="shared" si="780"/>
        <v>1257.2413070916787</v>
      </c>
      <c r="AG305" s="456">
        <f t="shared" si="781"/>
        <v>0.99105875138824151</v>
      </c>
      <c r="AI305" s="150">
        <f t="shared" si="782"/>
        <v>11.486596205488814</v>
      </c>
      <c r="AJ305" s="150">
        <f t="shared" si="783"/>
        <v>11.472020002722035</v>
      </c>
      <c r="AK305" s="150">
        <f t="shared" si="784"/>
        <v>5.2084547719377587</v>
      </c>
      <c r="AM305" s="314">
        <f t="shared" si="785"/>
        <v>3560</v>
      </c>
      <c r="AN305" s="144">
        <f t="shared" si="786"/>
        <v>323.02712285481641</v>
      </c>
      <c r="AP305">
        <f t="shared" si="787"/>
        <v>3560</v>
      </c>
      <c r="AQ305">
        <f t="shared" si="788"/>
        <v>323.02712285481641</v>
      </c>
      <c r="AS305" s="5">
        <f t="shared" si="761"/>
        <v>3.0957152797644398</v>
      </c>
      <c r="AT305" s="5">
        <f t="shared" si="789"/>
        <v>1.126954351512909</v>
      </c>
      <c r="AU305" s="5">
        <f t="shared" si="881"/>
        <v>1.9687609282515308</v>
      </c>
      <c r="AV305" s="5"/>
      <c r="AW305" s="150">
        <f t="shared" si="882"/>
        <v>0.3640368217579304</v>
      </c>
      <c r="AX305" s="150">
        <f t="shared" si="790"/>
        <v>99.904866231510042</v>
      </c>
      <c r="AY305" s="150">
        <f t="shared" si="791"/>
        <v>3.6478911508938507</v>
      </c>
      <c r="AZ305" s="150">
        <f t="shared" si="792"/>
        <v>27.387019540599542</v>
      </c>
      <c r="BA305" s="144">
        <f t="shared" si="723"/>
        <v>13.373191637953187</v>
      </c>
      <c r="BB305" s="5">
        <f t="shared" si="724"/>
        <v>2.5851389101699072</v>
      </c>
      <c r="BD305" s="150">
        <f t="shared" si="838"/>
        <v>3.9962433376543594</v>
      </c>
      <c r="BE305" s="150">
        <f t="shared" si="839"/>
        <v>5.2819617725997068</v>
      </c>
      <c r="BG305" s="456">
        <f t="shared" si="840"/>
        <v>0.19163952976496224</v>
      </c>
      <c r="BH305" s="456">
        <f t="shared" si="793"/>
        <v>5.2973650739310862</v>
      </c>
      <c r="BI305" s="456">
        <f t="shared" si="841"/>
        <v>3.7148119128303889E-2</v>
      </c>
      <c r="BJ305" s="456">
        <f t="shared" si="842"/>
        <v>1.0256180227257954</v>
      </c>
      <c r="BK305">
        <f t="shared" si="843"/>
        <v>2.1529995667689806E-2</v>
      </c>
      <c r="BL305" s="144">
        <f t="shared" si="844"/>
        <v>58.678114795993693</v>
      </c>
      <c r="BM305" s="456">
        <f t="shared" si="794"/>
        <v>6.8796187808277018</v>
      </c>
      <c r="BN305" s="144">
        <f t="shared" si="845"/>
        <v>6879.6187808277018</v>
      </c>
      <c r="BO305" s="456">
        <f t="shared" si="795"/>
        <v>2.492</v>
      </c>
      <c r="BR305" s="144">
        <f t="shared" si="846"/>
        <v>2492</v>
      </c>
      <c r="BS305" s="456">
        <f t="shared" si="847"/>
        <v>0.22357945139245594</v>
      </c>
      <c r="BT305" s="456">
        <f t="shared" si="848"/>
        <v>0.39058768234086488</v>
      </c>
      <c r="BU305" s="456">
        <f t="shared" si="849"/>
        <v>41.799127479310599</v>
      </c>
      <c r="BV305" s="456"/>
      <c r="BW305" s="456">
        <f t="shared" si="850"/>
        <v>4.2512709034685123</v>
      </c>
      <c r="BX305" s="144">
        <f t="shared" si="851"/>
        <v>46664.565516512426</v>
      </c>
      <c r="BY305" s="150">
        <f t="shared" si="852"/>
        <v>55.729866257730265</v>
      </c>
      <c r="BZ305" s="5">
        <f t="shared" si="853"/>
        <v>106.8</v>
      </c>
      <c r="CA305" s="150">
        <f t="shared" si="854"/>
        <v>0.65710999743667342</v>
      </c>
      <c r="CB305" s="5">
        <f t="shared" si="855"/>
        <v>65.710999743667344</v>
      </c>
      <c r="CE305" s="59">
        <f t="shared" si="796"/>
        <v>-50</v>
      </c>
      <c r="CF305">
        <f t="shared" si="797"/>
        <v>-50</v>
      </c>
      <c r="CG305" s="150">
        <f t="shared" si="798"/>
        <v>0.59499174730267679</v>
      </c>
      <c r="CI305" s="147">
        <v>89</v>
      </c>
      <c r="CJ305" s="188">
        <f t="shared" si="856"/>
        <v>3.56</v>
      </c>
      <c r="CK305" s="188"/>
      <c r="CL305" s="188">
        <f t="shared" si="799"/>
        <v>106.8</v>
      </c>
      <c r="CM305" s="465">
        <f t="shared" si="800"/>
        <v>48</v>
      </c>
      <c r="CN305" s="379">
        <f t="shared" si="801"/>
        <v>30.4</v>
      </c>
      <c r="CO305" s="379">
        <f t="shared" si="802"/>
        <v>78.400000000000006</v>
      </c>
      <c r="CP305" s="379"/>
      <c r="CQ305" s="188">
        <f t="shared" si="803"/>
        <v>0.38775510204081626</v>
      </c>
      <c r="CR305" s="149">
        <f t="shared" si="804"/>
        <v>284.85494809142222</v>
      </c>
      <c r="CS305" s="149">
        <f t="shared" si="805"/>
        <v>106.8</v>
      </c>
      <c r="CT305" s="188">
        <f t="shared" si="806"/>
        <v>9.4951649363807409</v>
      </c>
      <c r="CU305" s="188">
        <f t="shared" si="807"/>
        <v>30</v>
      </c>
      <c r="CV305" s="188"/>
      <c r="CW305" s="149">
        <f t="shared" si="808"/>
        <v>156.4125311250512</v>
      </c>
      <c r="CX305" s="149">
        <f t="shared" si="809"/>
        <v>30</v>
      </c>
      <c r="CY305" s="188">
        <f t="shared" si="810"/>
        <v>11.476315789473686</v>
      </c>
      <c r="CZ305" s="188">
        <f t="shared" si="811"/>
        <v>1.1237225877192982</v>
      </c>
      <c r="DA305" s="188">
        <f t="shared" si="812"/>
        <v>1.7742988227146819</v>
      </c>
      <c r="DB305" s="172">
        <f t="shared" si="813"/>
        <v>350</v>
      </c>
      <c r="DC305" s="379">
        <f t="shared" si="814"/>
        <v>345.06301313013751</v>
      </c>
      <c r="DE305" s="188">
        <f t="shared" si="815"/>
        <v>11.314434588425037</v>
      </c>
      <c r="DF305" s="150">
        <f t="shared" si="816"/>
        <v>1.7492711370262393</v>
      </c>
      <c r="DG305" s="150">
        <f t="shared" si="817"/>
        <v>3.463602425028073</v>
      </c>
      <c r="DH305" s="150"/>
      <c r="DI305" s="150">
        <f t="shared" si="818"/>
        <v>0.93700159489633172</v>
      </c>
      <c r="DJ305" s="314">
        <f t="shared" si="819"/>
        <v>1253.7865531914892</v>
      </c>
      <c r="DK305" s="456">
        <f t="shared" si="820"/>
        <v>0.99378957034459414</v>
      </c>
      <c r="DM305" s="150">
        <f t="shared" si="821"/>
        <v>11.470803429010143</v>
      </c>
      <c r="DN305" s="150">
        <f t="shared" si="822"/>
        <v>11.476315789473686</v>
      </c>
      <c r="DO305" s="150">
        <f t="shared" si="823"/>
        <v>5.2116368361982417</v>
      </c>
      <c r="DQ305" s="314">
        <f t="shared" si="824"/>
        <v>3560</v>
      </c>
      <c r="DR305" s="144">
        <f t="shared" si="825"/>
        <v>345.06301313013751</v>
      </c>
      <c r="DT305">
        <f t="shared" si="826"/>
        <v>3560</v>
      </c>
      <c r="DU305">
        <f t="shared" si="827"/>
        <v>345.06301313013751</v>
      </c>
      <c r="DW305" s="5">
        <f t="shared" si="857"/>
        <v>2.8980214104339801</v>
      </c>
      <c r="DX305" s="5">
        <f t="shared" si="828"/>
        <v>1.1237225877192982</v>
      </c>
      <c r="DY305" s="5">
        <f t="shared" si="829"/>
        <v>1.7742988227146819</v>
      </c>
      <c r="DZ305" s="5"/>
      <c r="EA305" s="150">
        <f t="shared" si="830"/>
        <v>0.38775510204081626</v>
      </c>
      <c r="EB305" s="150">
        <f t="shared" si="858"/>
        <v>106.80000000000003</v>
      </c>
      <c r="EC305" s="150">
        <f t="shared" si="859"/>
        <v>3.5131578947368429</v>
      </c>
      <c r="ED305" s="150">
        <f t="shared" si="860"/>
        <v>30.4</v>
      </c>
      <c r="EE305" s="144">
        <f t="shared" si="831"/>
        <v>13.334841374269006</v>
      </c>
      <c r="EF305" s="5">
        <f t="shared" si="832"/>
        <v>2.3222440473765689</v>
      </c>
      <c r="EH305" s="150">
        <f t="shared" si="861"/>
        <v>4.1259182922576114</v>
      </c>
      <c r="EI305" s="150">
        <f t="shared" si="862"/>
        <v>5.1844710060128971</v>
      </c>
      <c r="EK305" s="456">
        <f t="shared" si="863"/>
        <v>0.20427842105263158</v>
      </c>
      <c r="EL305" s="456">
        <f t="shared" si="864"/>
        <v>5.8988936170212778</v>
      </c>
      <c r="EM305" s="456">
        <f t="shared" si="865"/>
        <v>3.9682246509965817E-2</v>
      </c>
      <c r="EN305" s="456">
        <f t="shared" si="866"/>
        <v>1.0975918909873299</v>
      </c>
      <c r="EO305">
        <f t="shared" si="867"/>
        <v>2.1600000000000001E-2</v>
      </c>
      <c r="EP305" s="144">
        <f t="shared" si="868"/>
        <v>61.282246509965816</v>
      </c>
      <c r="EQ305" s="144"/>
      <c r="ER305" s="144">
        <f t="shared" si="869"/>
        <v>7262.0461755712049</v>
      </c>
      <c r="ES305" s="456">
        <f t="shared" si="870"/>
        <v>2.492</v>
      </c>
      <c r="EV305" s="144">
        <f t="shared" si="871"/>
        <v>2492</v>
      </c>
      <c r="EW305" s="456">
        <f t="shared" si="872"/>
        <v>0.23832482456140353</v>
      </c>
      <c r="EX305" s="456">
        <f t="shared" si="873"/>
        <v>0.37630235457063738</v>
      </c>
      <c r="EY305" s="456">
        <f t="shared" si="874"/>
        <v>49.342625597061748</v>
      </c>
      <c r="EZ305" s="456"/>
      <c r="FA305" s="456">
        <f t="shared" si="875"/>
        <v>4.5446808510638315</v>
      </c>
      <c r="FB305" s="144">
        <f t="shared" si="876"/>
        <v>54501.933627257618</v>
      </c>
      <c r="FC305" s="150">
        <f t="shared" si="877"/>
        <v>64.255979802828818</v>
      </c>
      <c r="FD305" s="5">
        <f t="shared" si="878"/>
        <v>106.8</v>
      </c>
      <c r="FE305" s="150">
        <f t="shared" si="879"/>
        <v>0.62435700946032535</v>
      </c>
      <c r="FF305" s="5">
        <f t="shared" si="880"/>
        <v>62.435700946032533</v>
      </c>
      <c r="FI305" s="59">
        <f t="shared" si="833"/>
        <v>-50</v>
      </c>
      <c r="FJ305">
        <f t="shared" si="834"/>
        <v>-50</v>
      </c>
      <c r="FL305">
        <f t="shared" si="835"/>
        <v>0.61224489795918369</v>
      </c>
    </row>
    <row r="306" spans="5:168">
      <c r="E306" s="147">
        <v>90</v>
      </c>
      <c r="F306" s="188">
        <f t="shared" si="836"/>
        <v>3.6</v>
      </c>
      <c r="G306" s="188"/>
      <c r="H306" s="188">
        <f t="shared" si="762"/>
        <v>108</v>
      </c>
      <c r="I306" s="465">
        <f t="shared" si="763"/>
        <v>47.842737562408807</v>
      </c>
      <c r="J306" s="149">
        <f t="shared" si="764"/>
        <v>30.484679774087564</v>
      </c>
      <c r="K306" s="149">
        <f t="shared" si="765"/>
        <v>78.327417336496367</v>
      </c>
      <c r="L306" s="379"/>
      <c r="M306" s="188">
        <f t="shared" si="766"/>
        <v>0.38917711583820952</v>
      </c>
      <c r="N306" s="149">
        <f t="shared" si="767"/>
        <v>284.96290321261768</v>
      </c>
      <c r="O306" s="149">
        <f t="shared" si="760"/>
        <v>108</v>
      </c>
      <c r="P306" s="188">
        <f t="shared" si="768"/>
        <v>9.4987634404205892</v>
      </c>
      <c r="Q306" s="188">
        <f t="shared" si="769"/>
        <v>30</v>
      </c>
      <c r="R306" s="188"/>
      <c r="S306" s="149">
        <f t="shared" si="770"/>
        <v>153.63982023877034</v>
      </c>
      <c r="T306" s="149">
        <f t="shared" si="771"/>
        <v>30</v>
      </c>
      <c r="U306" s="188">
        <f t="shared" si="772"/>
        <v>11.600866629165591</v>
      </c>
      <c r="V306" s="188">
        <f t="shared" si="773"/>
        <v>1.1396520336227405</v>
      </c>
      <c r="W306" s="188">
        <f t="shared" si="774"/>
        <v>1.7885729343768457</v>
      </c>
      <c r="X306" s="172">
        <f t="shared" si="775"/>
        <v>350</v>
      </c>
      <c r="Y306" s="379">
        <f t="shared" si="837"/>
        <v>319.67010372641846</v>
      </c>
      <c r="AA306" s="188">
        <f t="shared" si="776"/>
        <v>11.31925777165632</v>
      </c>
      <c r="AB306" s="150">
        <f t="shared" si="777"/>
        <v>1.7451556624847979</v>
      </c>
      <c r="AC306" s="150">
        <f t="shared" si="778"/>
        <v>3.4569266891829393</v>
      </c>
      <c r="AD306" s="150"/>
      <c r="AE306" s="150">
        <f t="shared" si="779"/>
        <v>0.93439880936722297</v>
      </c>
      <c r="AF306" s="314">
        <f t="shared" si="780"/>
        <v>1271.4057296418393</v>
      </c>
      <c r="AG306" s="456">
        <f t="shared" si="781"/>
        <v>0.99102904023796357</v>
      </c>
      <c r="AI306" s="150">
        <f t="shared" si="782"/>
        <v>11.551120536006183</v>
      </c>
      <c r="AJ306" s="150">
        <f t="shared" si="783"/>
        <v>11.600866629165591</v>
      </c>
      <c r="AK306" s="150">
        <f t="shared" si="784"/>
        <v>5.3038967174515044</v>
      </c>
      <c r="AM306" s="314">
        <f t="shared" si="785"/>
        <v>3600</v>
      </c>
      <c r="AN306" s="144">
        <f t="shared" si="786"/>
        <v>319.67010372641846</v>
      </c>
      <c r="AP306">
        <f t="shared" si="787"/>
        <v>3600</v>
      </c>
      <c r="AQ306">
        <f t="shared" si="788"/>
        <v>319.67010372641846</v>
      </c>
      <c r="AS306" s="5">
        <f t="shared" si="761"/>
        <v>3.128224967999587</v>
      </c>
      <c r="AT306" s="5">
        <f t="shared" si="789"/>
        <v>1.1396520336227405</v>
      </c>
      <c r="AU306" s="5">
        <f t="shared" si="881"/>
        <v>1.9885729343768466</v>
      </c>
      <c r="AV306" s="5"/>
      <c r="AW306" s="150">
        <f t="shared" si="882"/>
        <v>0.36431268380020515</v>
      </c>
      <c r="AX306" s="150">
        <f t="shared" si="790"/>
        <v>101.09990605608776</v>
      </c>
      <c r="AY306" s="150">
        <f t="shared" si="791"/>
        <v>3.687261886543018</v>
      </c>
      <c r="AZ306" s="150">
        <f t="shared" si="792"/>
        <v>27.418694187429605</v>
      </c>
      <c r="BA306" s="144">
        <f t="shared" si="723"/>
        <v>13.675824403472888</v>
      </c>
      <c r="BB306" s="5">
        <f t="shared" si="724"/>
        <v>2.6405861204614447</v>
      </c>
      <c r="BD306" s="150">
        <f t="shared" si="838"/>
        <v>4.042657533624209</v>
      </c>
      <c r="BE306" s="150">
        <f t="shared" si="839"/>
        <v>5.3401269256195931</v>
      </c>
      <c r="BG306" s="456">
        <f t="shared" si="840"/>
        <v>0.19611695921002287</v>
      </c>
      <c r="BH306" s="456">
        <f t="shared" si="793"/>
        <v>5.3011382636539581</v>
      </c>
      <c r="BI306" s="456">
        <f t="shared" si="841"/>
        <v>3.6762061928538127E-2</v>
      </c>
      <c r="BJ306" s="456">
        <f t="shared" si="842"/>
        <v>1.0149391144009483</v>
      </c>
      <c r="BK306">
        <f t="shared" si="843"/>
        <v>2.1529231903083961E-2</v>
      </c>
      <c r="BL306" s="144">
        <f t="shared" si="844"/>
        <v>58.291293831622085</v>
      </c>
      <c r="BM306" s="456">
        <f t="shared" si="794"/>
        <v>6.8860162999404739</v>
      </c>
      <c r="BN306" s="144">
        <f t="shared" si="845"/>
        <v>6886.0162999404738</v>
      </c>
      <c r="BO306" s="456">
        <f t="shared" si="795"/>
        <v>2.52</v>
      </c>
      <c r="BR306" s="144">
        <f t="shared" si="846"/>
        <v>2520</v>
      </c>
      <c r="BS306" s="456">
        <f t="shared" si="847"/>
        <v>0.22880311907836001</v>
      </c>
      <c r="BT306" s="456">
        <f t="shared" si="848"/>
        <v>0.39923737814418314</v>
      </c>
      <c r="BU306" s="456">
        <f t="shared" si="849"/>
        <v>41.874645554373316</v>
      </c>
      <c r="BV306" s="456"/>
      <c r="BW306" s="456">
        <f t="shared" si="850"/>
        <v>4.3021236619611818</v>
      </c>
      <c r="BX306" s="144">
        <f t="shared" si="851"/>
        <v>46804.809713557042</v>
      </c>
      <c r="BY306" s="150">
        <f t="shared" si="852"/>
        <v>55.895295344653597</v>
      </c>
      <c r="BZ306" s="5">
        <f t="shared" si="853"/>
        <v>108</v>
      </c>
      <c r="CA306" s="150">
        <f t="shared" si="854"/>
        <v>0.65895729204970777</v>
      </c>
      <c r="CB306" s="5">
        <f t="shared" si="855"/>
        <v>65.895729204970777</v>
      </c>
      <c r="CE306" s="59">
        <f t="shared" si="796"/>
        <v>-50</v>
      </c>
      <c r="CF306">
        <f t="shared" si="797"/>
        <v>-50</v>
      </c>
      <c r="CG306" s="150">
        <f t="shared" si="798"/>
        <v>0.595183448976638</v>
      </c>
      <c r="CI306" s="147">
        <v>90</v>
      </c>
      <c r="CJ306" s="188">
        <f t="shared" si="856"/>
        <v>3.6</v>
      </c>
      <c r="CK306" s="188"/>
      <c r="CL306" s="188">
        <f t="shared" si="799"/>
        <v>108</v>
      </c>
      <c r="CM306" s="465">
        <f t="shared" si="800"/>
        <v>48</v>
      </c>
      <c r="CN306" s="379">
        <f t="shared" si="801"/>
        <v>30.4</v>
      </c>
      <c r="CO306" s="379">
        <f t="shared" si="802"/>
        <v>78.400000000000006</v>
      </c>
      <c r="CP306" s="379"/>
      <c r="CQ306" s="188">
        <f t="shared" si="803"/>
        <v>0.38775510204081626</v>
      </c>
      <c r="CR306" s="149">
        <f t="shared" si="804"/>
        <v>284.85494809142222</v>
      </c>
      <c r="CS306" s="149">
        <f t="shared" si="805"/>
        <v>108</v>
      </c>
      <c r="CT306" s="188">
        <f t="shared" si="806"/>
        <v>9.4951649363807409</v>
      </c>
      <c r="CU306" s="188">
        <f t="shared" si="807"/>
        <v>30</v>
      </c>
      <c r="CV306" s="188"/>
      <c r="CW306" s="149">
        <f t="shared" si="808"/>
        <v>154.14443813139536</v>
      </c>
      <c r="CX306" s="149">
        <f t="shared" si="809"/>
        <v>30</v>
      </c>
      <c r="CY306" s="188">
        <f t="shared" si="810"/>
        <v>11.60526315789474</v>
      </c>
      <c r="CZ306" s="188">
        <f t="shared" si="811"/>
        <v>1.1363486842105264</v>
      </c>
      <c r="DA306" s="188">
        <f t="shared" si="812"/>
        <v>1.7942347645429366</v>
      </c>
      <c r="DB306" s="172">
        <f t="shared" si="813"/>
        <v>350</v>
      </c>
      <c r="DC306" s="379">
        <f t="shared" si="814"/>
        <v>341.22897965091369</v>
      </c>
      <c r="DE306" s="188">
        <f t="shared" si="815"/>
        <v>11.314434588425037</v>
      </c>
      <c r="DF306" s="150">
        <f t="shared" si="816"/>
        <v>1.7492711370262393</v>
      </c>
      <c r="DG306" s="150">
        <f t="shared" si="817"/>
        <v>3.463602425028073</v>
      </c>
      <c r="DH306" s="150"/>
      <c r="DI306" s="150">
        <f t="shared" si="818"/>
        <v>0.93700159489633172</v>
      </c>
      <c r="DJ306" s="314">
        <f t="shared" si="819"/>
        <v>1267.8740425531914</v>
      </c>
      <c r="DK306" s="456">
        <f t="shared" si="820"/>
        <v>0.99378957034459414</v>
      </c>
      <c r="DM306" s="150">
        <f t="shared" si="821"/>
        <v>11.535066135912633</v>
      </c>
      <c r="DN306" s="150">
        <f t="shared" si="822"/>
        <v>11.60526315789474</v>
      </c>
      <c r="DO306" s="150">
        <f t="shared" si="823"/>
        <v>5.3071534053990215</v>
      </c>
      <c r="DQ306" s="314">
        <f t="shared" si="824"/>
        <v>3600</v>
      </c>
      <c r="DR306" s="144">
        <f t="shared" si="825"/>
        <v>341.22897965091369</v>
      </c>
      <c r="DT306">
        <f t="shared" si="826"/>
        <v>3600</v>
      </c>
      <c r="DU306">
        <f t="shared" si="827"/>
        <v>341.22897965091369</v>
      </c>
      <c r="DW306" s="5">
        <f t="shared" si="857"/>
        <v>2.9305834487534632</v>
      </c>
      <c r="DX306" s="5">
        <f t="shared" si="828"/>
        <v>1.1363486842105264</v>
      </c>
      <c r="DY306" s="5">
        <f t="shared" si="829"/>
        <v>1.7942347645429368</v>
      </c>
      <c r="DZ306" s="5"/>
      <c r="EA306" s="150">
        <f t="shared" si="830"/>
        <v>0.38775510204081626</v>
      </c>
      <c r="EB306" s="150">
        <f t="shared" si="858"/>
        <v>108.00000000000001</v>
      </c>
      <c r="EC306" s="150">
        <f t="shared" si="859"/>
        <v>3.5526315789473695</v>
      </c>
      <c r="ED306" s="150">
        <f t="shared" si="860"/>
        <v>30.399999999999995</v>
      </c>
      <c r="EE306" s="144">
        <f t="shared" si="831"/>
        <v>13.636184210526316</v>
      </c>
      <c r="EF306" s="5">
        <f t="shared" si="832"/>
        <v>2.3747224824832984</v>
      </c>
      <c r="EH306" s="150">
        <f t="shared" si="861"/>
        <v>4.1722769247548888</v>
      </c>
      <c r="EI306" s="150">
        <f t="shared" si="862"/>
        <v>5.2427234892265249</v>
      </c>
      <c r="EK306" s="456">
        <f t="shared" si="863"/>
        <v>0.20889473684210536</v>
      </c>
      <c r="EL306" s="456">
        <f t="shared" si="864"/>
        <v>5.8988936170212778</v>
      </c>
      <c r="EM306" s="456">
        <f t="shared" si="865"/>
        <v>3.9241332659855077E-2</v>
      </c>
      <c r="EN306" s="456">
        <f t="shared" si="866"/>
        <v>1.0853964255319148</v>
      </c>
      <c r="EO306">
        <f t="shared" si="867"/>
        <v>2.1600000000000001E-2</v>
      </c>
      <c r="EP306" s="144">
        <f t="shared" si="868"/>
        <v>60.841332659855077</v>
      </c>
      <c r="EQ306" s="144"/>
      <c r="ER306" s="144">
        <f t="shared" si="869"/>
        <v>7254.0261120551531</v>
      </c>
      <c r="ES306" s="456">
        <f t="shared" si="870"/>
        <v>2.52</v>
      </c>
      <c r="EV306" s="144">
        <f t="shared" si="871"/>
        <v>2520</v>
      </c>
      <c r="EW306" s="456">
        <f t="shared" si="872"/>
        <v>0.2437105263157896</v>
      </c>
      <c r="EX306" s="456">
        <f t="shared" si="873"/>
        <v>0.38480609418282569</v>
      </c>
      <c r="EY306" s="456">
        <f t="shared" si="874"/>
        <v>49.342625597061748</v>
      </c>
      <c r="EZ306" s="456"/>
      <c r="FA306" s="456">
        <f t="shared" si="875"/>
        <v>4.5957446808510642</v>
      </c>
      <c r="FB306" s="144">
        <f t="shared" si="876"/>
        <v>54566.886898411423</v>
      </c>
      <c r="FC306" s="150">
        <f t="shared" si="877"/>
        <v>64.340913010466579</v>
      </c>
      <c r="FD306" s="5">
        <f t="shared" si="878"/>
        <v>108</v>
      </c>
      <c r="FE306" s="150">
        <f t="shared" si="879"/>
        <v>0.6266648940953502</v>
      </c>
      <c r="FF306" s="5">
        <f t="shared" si="880"/>
        <v>62.666489409535018</v>
      </c>
      <c r="FI306" s="59">
        <f t="shared" si="833"/>
        <v>-50</v>
      </c>
      <c r="FJ306">
        <f t="shared" si="834"/>
        <v>-50</v>
      </c>
      <c r="FL306">
        <f t="shared" si="835"/>
        <v>0.61224489795918369</v>
      </c>
    </row>
    <row r="307" spans="5:168">
      <c r="E307" s="147">
        <v>91</v>
      </c>
      <c r="F307" s="188">
        <f t="shared" si="836"/>
        <v>3.64</v>
      </c>
      <c r="G307" s="188"/>
      <c r="H307" s="188">
        <f t="shared" si="762"/>
        <v>109.2</v>
      </c>
      <c r="I307" s="465">
        <f t="shared" si="763"/>
        <v>47.841040275816951</v>
      </c>
      <c r="J307" s="149">
        <f t="shared" si="764"/>
        <v>30.485593697637025</v>
      </c>
      <c r="K307" s="149">
        <f t="shared" si="765"/>
        <v>78.32663397345398</v>
      </c>
      <c r="L307" s="379"/>
      <c r="M307" s="188">
        <f t="shared" si="766"/>
        <v>0.3891926824608542</v>
      </c>
      <c r="N307" s="149">
        <f t="shared" si="767"/>
        <v>284.96419153711594</v>
      </c>
      <c r="O307" s="149">
        <f t="shared" si="760"/>
        <v>109.2</v>
      </c>
      <c r="P307" s="188">
        <f t="shared" si="768"/>
        <v>9.4988063845705319</v>
      </c>
      <c r="Q307" s="188">
        <f t="shared" si="769"/>
        <v>30</v>
      </c>
      <c r="R307" s="188"/>
      <c r="S307" s="149">
        <f t="shared" si="770"/>
        <v>151.42353281807536</v>
      </c>
      <c r="T307" s="149">
        <f t="shared" si="771"/>
        <v>30</v>
      </c>
      <c r="U307" s="188">
        <f t="shared" si="772"/>
        <v>11.729712116942054</v>
      </c>
      <c r="V307" s="188">
        <f t="shared" si="773"/>
        <v>1.152350505586623</v>
      </c>
      <c r="W307" s="188">
        <f t="shared" si="774"/>
        <v>1.8083835760725506</v>
      </c>
      <c r="X307" s="172">
        <f t="shared" si="775"/>
        <v>350</v>
      </c>
      <c r="Y307" s="379">
        <f t="shared" si="837"/>
        <v>316.38219925007644</v>
      </c>
      <c r="AA307" s="188">
        <f t="shared" si="776"/>
        <v>11.319308748079905</v>
      </c>
      <c r="AB307" s="150">
        <f t="shared" si="777"/>
        <v>1.7451112037912913</v>
      </c>
      <c r="AC307" s="150">
        <f t="shared" si="778"/>
        <v>3.4568541902032281</v>
      </c>
      <c r="AD307" s="150"/>
      <c r="AE307" s="150">
        <f t="shared" si="779"/>
        <v>0.93437079714988058</v>
      </c>
      <c r="AF307" s="314">
        <f t="shared" si="780"/>
        <v>1285.5709999328221</v>
      </c>
      <c r="AG307" s="456">
        <f t="shared" si="781"/>
        <v>0.99099933031047949</v>
      </c>
      <c r="AI307" s="150">
        <f t="shared" si="782"/>
        <v>11.615290261262194</v>
      </c>
      <c r="AJ307" s="150">
        <f t="shared" si="783"/>
        <v>11.729712116942054</v>
      </c>
      <c r="AK307" s="150">
        <f t="shared" si="784"/>
        <v>5.3993378195081432</v>
      </c>
      <c r="AM307" s="314">
        <f t="shared" si="785"/>
        <v>3640</v>
      </c>
      <c r="AN307" s="144">
        <f t="shared" si="786"/>
        <v>316.38219925007644</v>
      </c>
      <c r="AP307">
        <f t="shared" si="787"/>
        <v>3640</v>
      </c>
      <c r="AQ307">
        <f t="shared" si="788"/>
        <v>316.38219925007644</v>
      </c>
      <c r="AS307" s="5">
        <f t="shared" si="761"/>
        <v>3.1607340816591734</v>
      </c>
      <c r="AT307" s="5">
        <f t="shared" si="789"/>
        <v>1.152350505586623</v>
      </c>
      <c r="AU307" s="5">
        <f t="shared" si="881"/>
        <v>2.0083835760725504</v>
      </c>
      <c r="AV307" s="5"/>
      <c r="AW307" s="150">
        <f t="shared" si="882"/>
        <v>0.36458318726443328</v>
      </c>
      <c r="AX307" s="150">
        <f t="shared" si="790"/>
        <v>102.29504778338305</v>
      </c>
      <c r="AY307" s="150">
        <f t="shared" si="791"/>
        <v>3.7266281438265385</v>
      </c>
      <c r="AZ307" s="150">
        <f t="shared" si="792"/>
        <v>27.449759899667772</v>
      </c>
      <c r="BA307" s="144">
        <f t="shared" si="723"/>
        <v>13.981852801117695</v>
      </c>
      <c r="BB307" s="5">
        <f t="shared" si="724"/>
        <v>2.6966200769527275</v>
      </c>
      <c r="BD307" s="150">
        <f t="shared" si="838"/>
        <v>4.0890747021128711</v>
      </c>
      <c r="BE307" s="150">
        <f t="shared" si="839"/>
        <v>5.3982883271137849</v>
      </c>
      <c r="BG307" s="456">
        <f t="shared" si="840"/>
        <v>0.20064638303351356</v>
      </c>
      <c r="BH307" s="456">
        <f t="shared" si="793"/>
        <v>5.304833118025714</v>
      </c>
      <c r="BI307" s="456">
        <f t="shared" si="841"/>
        <v>3.6383952913758795E-2</v>
      </c>
      <c r="BJ307" s="456">
        <f t="shared" si="842"/>
        <v>1.0044800639974467</v>
      </c>
      <c r="BK307">
        <f t="shared" si="843"/>
        <v>2.1528468124117628E-2</v>
      </c>
      <c r="BL307" s="144">
        <f t="shared" si="844"/>
        <v>57.91242103787642</v>
      </c>
      <c r="BM307" s="456">
        <f t="shared" si="794"/>
        <v>6.8927354684455402</v>
      </c>
      <c r="BN307" s="144">
        <f t="shared" si="845"/>
        <v>6892.7354684455404</v>
      </c>
      <c r="BO307" s="456">
        <f t="shared" si="795"/>
        <v>2.548</v>
      </c>
      <c r="BR307" s="144">
        <f t="shared" si="846"/>
        <v>2548</v>
      </c>
      <c r="BS307" s="456">
        <f t="shared" si="847"/>
        <v>0.23408744687243252</v>
      </c>
      <c r="BT307" s="456">
        <f t="shared" si="848"/>
        <v>0.40798123607714126</v>
      </c>
      <c r="BU307" s="456">
        <f t="shared" si="849"/>
        <v>41.948698329597619</v>
      </c>
      <c r="BV307" s="456"/>
      <c r="BW307" s="456">
        <f t="shared" si="850"/>
        <v>4.3529807567397052</v>
      </c>
      <c r="BX307" s="144">
        <f t="shared" si="851"/>
        <v>46943.747769286892</v>
      </c>
      <c r="BY307" s="150">
        <f t="shared" si="852"/>
        <v>56.059619755381448</v>
      </c>
      <c r="BZ307" s="5">
        <f t="shared" si="853"/>
        <v>109.2</v>
      </c>
      <c r="CA307" s="150">
        <f t="shared" si="854"/>
        <v>0.66077847789822275</v>
      </c>
      <c r="CB307" s="5">
        <f t="shared" si="855"/>
        <v>66.077847789822272</v>
      </c>
      <c r="CE307" s="59">
        <f t="shared" si="796"/>
        <v>-50</v>
      </c>
      <c r="CF307">
        <f t="shared" si="797"/>
        <v>-50</v>
      </c>
      <c r="CG307" s="150">
        <f t="shared" si="798"/>
        <v>0.59537093742699565</v>
      </c>
      <c r="CI307" s="147">
        <v>91</v>
      </c>
      <c r="CJ307" s="188">
        <f t="shared" si="856"/>
        <v>3.64</v>
      </c>
      <c r="CK307" s="188"/>
      <c r="CL307" s="188">
        <f t="shared" si="799"/>
        <v>109.2</v>
      </c>
      <c r="CM307" s="465">
        <f t="shared" si="800"/>
        <v>48</v>
      </c>
      <c r="CN307" s="379">
        <f t="shared" si="801"/>
        <v>30.4</v>
      </c>
      <c r="CO307" s="379">
        <f t="shared" si="802"/>
        <v>78.400000000000006</v>
      </c>
      <c r="CP307" s="379"/>
      <c r="CQ307" s="188">
        <f t="shared" si="803"/>
        <v>0.38775510204081626</v>
      </c>
      <c r="CR307" s="149">
        <f t="shared" si="804"/>
        <v>284.85494809142222</v>
      </c>
      <c r="CS307" s="149">
        <f t="shared" si="805"/>
        <v>109.2</v>
      </c>
      <c r="CT307" s="188">
        <f t="shared" si="806"/>
        <v>9.4951649363807409</v>
      </c>
      <c r="CU307" s="188">
        <f t="shared" si="807"/>
        <v>30</v>
      </c>
      <c r="CV307" s="188"/>
      <c r="CW307" s="149">
        <f t="shared" si="808"/>
        <v>151.92624505256831</v>
      </c>
      <c r="CX307" s="149">
        <f t="shared" si="809"/>
        <v>30</v>
      </c>
      <c r="CY307" s="188">
        <f t="shared" si="810"/>
        <v>11.734210526315792</v>
      </c>
      <c r="CZ307" s="188">
        <f t="shared" si="811"/>
        <v>1.1489747807017547</v>
      </c>
      <c r="DA307" s="188">
        <f t="shared" si="812"/>
        <v>1.8141707063711916</v>
      </c>
      <c r="DB307" s="172">
        <f t="shared" si="813"/>
        <v>350</v>
      </c>
      <c r="DC307" s="379">
        <f t="shared" si="814"/>
        <v>337.47921064376078</v>
      </c>
      <c r="DE307" s="188">
        <f t="shared" si="815"/>
        <v>11.314434588425037</v>
      </c>
      <c r="DF307" s="150">
        <f t="shared" si="816"/>
        <v>1.7492711370262393</v>
      </c>
      <c r="DG307" s="150">
        <f t="shared" si="817"/>
        <v>3.463602425028073</v>
      </c>
      <c r="DH307" s="150"/>
      <c r="DI307" s="150">
        <f t="shared" si="818"/>
        <v>0.93700159489633172</v>
      </c>
      <c r="DJ307" s="314">
        <f t="shared" si="819"/>
        <v>1281.9615319148938</v>
      </c>
      <c r="DK307" s="456">
        <f t="shared" si="820"/>
        <v>0.99378957034459414</v>
      </c>
      <c r="DM307" s="150">
        <f t="shared" si="821"/>
        <v>11.598972808519122</v>
      </c>
      <c r="DN307" s="150">
        <f t="shared" si="822"/>
        <v>11.734210526315792</v>
      </c>
      <c r="DO307" s="150">
        <f t="shared" si="823"/>
        <v>5.4026699745998013</v>
      </c>
      <c r="DQ307" s="314">
        <f t="shared" si="824"/>
        <v>3640</v>
      </c>
      <c r="DR307" s="144">
        <f t="shared" si="825"/>
        <v>337.47921064376078</v>
      </c>
      <c r="DT307">
        <f t="shared" si="826"/>
        <v>3640</v>
      </c>
      <c r="DU307">
        <f t="shared" si="827"/>
        <v>337.47921064376078</v>
      </c>
      <c r="DW307" s="5">
        <f t="shared" si="857"/>
        <v>2.9631454870729468</v>
      </c>
      <c r="DX307" s="5">
        <f t="shared" si="828"/>
        <v>1.1489747807017547</v>
      </c>
      <c r="DY307" s="5">
        <f t="shared" si="829"/>
        <v>1.814170706371192</v>
      </c>
      <c r="DZ307" s="5"/>
      <c r="EA307" s="150">
        <f t="shared" si="830"/>
        <v>0.38775510204081626</v>
      </c>
      <c r="EB307" s="150">
        <f t="shared" si="858"/>
        <v>109.20000000000002</v>
      </c>
      <c r="EC307" s="150">
        <f t="shared" si="859"/>
        <v>3.5921052631578956</v>
      </c>
      <c r="ED307" s="150">
        <f t="shared" si="860"/>
        <v>30.4</v>
      </c>
      <c r="EE307" s="144">
        <f t="shared" si="831"/>
        <v>13.940894005847957</v>
      </c>
      <c r="EF307" s="5">
        <f t="shared" si="832"/>
        <v>2.4277872688202713</v>
      </c>
      <c r="EH307" s="150">
        <f t="shared" si="861"/>
        <v>4.2186355572521652</v>
      </c>
      <c r="EI307" s="150">
        <f t="shared" si="862"/>
        <v>5.3009759724401535</v>
      </c>
      <c r="EK307" s="456">
        <f t="shared" si="863"/>
        <v>0.21356263157894742</v>
      </c>
      <c r="EL307" s="456">
        <f t="shared" si="864"/>
        <v>5.8988936170212769</v>
      </c>
      <c r="EM307" s="456">
        <f t="shared" si="865"/>
        <v>3.8810109224032489E-2</v>
      </c>
      <c r="EN307" s="456">
        <f t="shared" si="866"/>
        <v>1.0734689922843113</v>
      </c>
      <c r="EO307">
        <f t="shared" si="867"/>
        <v>2.1600000000000001E-2</v>
      </c>
      <c r="EP307" s="144">
        <f t="shared" si="868"/>
        <v>60.410109224032489</v>
      </c>
      <c r="EQ307" s="144"/>
      <c r="ER307" s="144">
        <f t="shared" si="869"/>
        <v>7246.3353501085694</v>
      </c>
      <c r="ES307" s="456">
        <f t="shared" si="870"/>
        <v>2.548</v>
      </c>
      <c r="EV307" s="144">
        <f t="shared" si="871"/>
        <v>2548</v>
      </c>
      <c r="EW307" s="456">
        <f t="shared" si="872"/>
        <v>0.249156403508772</v>
      </c>
      <c r="EX307" s="456">
        <f t="shared" si="873"/>
        <v>0.39340484764542966</v>
      </c>
      <c r="EY307" s="456">
        <f t="shared" si="874"/>
        <v>49.342625597061705</v>
      </c>
      <c r="EZ307" s="456"/>
      <c r="FA307" s="456">
        <f t="shared" si="875"/>
        <v>4.6468085106382997</v>
      </c>
      <c r="FB307" s="144">
        <f t="shared" si="876"/>
        <v>54631.995358854205</v>
      </c>
      <c r="FC307" s="150">
        <f t="shared" si="877"/>
        <v>64.426330708962766</v>
      </c>
      <c r="FD307" s="5">
        <f t="shared" si="878"/>
        <v>109.2</v>
      </c>
      <c r="FE307" s="150">
        <f t="shared" si="879"/>
        <v>0.62893686432298135</v>
      </c>
      <c r="FF307" s="5">
        <f t="shared" si="880"/>
        <v>62.893686432298132</v>
      </c>
      <c r="FI307" s="59">
        <f t="shared" si="833"/>
        <v>-50</v>
      </c>
      <c r="FJ307">
        <f t="shared" si="834"/>
        <v>-50</v>
      </c>
      <c r="FL307">
        <f t="shared" si="835"/>
        <v>0.61224489795918369</v>
      </c>
    </row>
    <row r="308" spans="5:168">
      <c r="E308" s="147">
        <v>92</v>
      </c>
      <c r="F308" s="188">
        <f t="shared" si="836"/>
        <v>3.68</v>
      </c>
      <c r="G308" s="188"/>
      <c r="H308" s="188">
        <f t="shared" si="762"/>
        <v>110.4</v>
      </c>
      <c r="I308" s="465">
        <f t="shared" si="763"/>
        <v>47.839342958382659</v>
      </c>
      <c r="J308" s="149">
        <f t="shared" si="764"/>
        <v>30.486507637793949</v>
      </c>
      <c r="K308" s="149">
        <f t="shared" si="765"/>
        <v>78.325850596176608</v>
      </c>
      <c r="L308" s="379"/>
      <c r="M308" s="188">
        <f t="shared" si="766"/>
        <v>0.38920824954785033</v>
      </c>
      <c r="N308" s="149">
        <f t="shared" si="767"/>
        <v>284.96547920914537</v>
      </c>
      <c r="O308" s="149">
        <f t="shared" si="760"/>
        <v>110.4</v>
      </c>
      <c r="P308" s="188">
        <f t="shared" si="768"/>
        <v>9.498849306971513</v>
      </c>
      <c r="Q308" s="188">
        <f t="shared" si="769"/>
        <v>30</v>
      </c>
      <c r="R308" s="188"/>
      <c r="S308" s="149">
        <f t="shared" si="770"/>
        <v>149.25551403351753</v>
      </c>
      <c r="T308" s="149">
        <f t="shared" si="771"/>
        <v>30</v>
      </c>
      <c r="U308" s="188">
        <f t="shared" si="772"/>
        <v>11.858556466853473</v>
      </c>
      <c r="V308" s="188">
        <f t="shared" si="773"/>
        <v>1.1650497675667828</v>
      </c>
      <c r="W308" s="188">
        <f t="shared" si="774"/>
        <v>1.8281928535860466</v>
      </c>
      <c r="X308" s="172">
        <f t="shared" si="775"/>
        <v>350</v>
      </c>
      <c r="Y308" s="379">
        <f t="shared" si="837"/>
        <v>313.16129672570213</v>
      </c>
      <c r="AA308" s="188">
        <f t="shared" si="776"/>
        <v>11.319359702370651</v>
      </c>
      <c r="AB308" s="150">
        <f t="shared" si="777"/>
        <v>1.7450667434005822</v>
      </c>
      <c r="AC308" s="150">
        <f t="shared" si="778"/>
        <v>3.4567816803092541</v>
      </c>
      <c r="AD308" s="150"/>
      <c r="AE308" s="150">
        <f t="shared" si="779"/>
        <v>0.93434278610305566</v>
      </c>
      <c r="AF308" s="314">
        <f t="shared" si="780"/>
        <v>1299.7371179639576</v>
      </c>
      <c r="AG308" s="456">
        <f t="shared" si="781"/>
        <v>0.99096962162445301</v>
      </c>
      <c r="AI308" s="150">
        <f t="shared" si="782"/>
        <v>11.679111226286256</v>
      </c>
      <c r="AJ308" s="150">
        <f t="shared" si="783"/>
        <v>11.858556466853473</v>
      </c>
      <c r="AK308" s="150">
        <f t="shared" si="784"/>
        <v>5.4947780787017875</v>
      </c>
      <c r="AM308" s="314">
        <f t="shared" si="785"/>
        <v>3680</v>
      </c>
      <c r="AN308" s="144">
        <f t="shared" si="786"/>
        <v>313.16129672570213</v>
      </c>
      <c r="AP308">
        <f t="shared" si="787"/>
        <v>3680</v>
      </c>
      <c r="AQ308">
        <f t="shared" si="788"/>
        <v>313.16129672570213</v>
      </c>
      <c r="AS308" s="5">
        <f t="shared" si="761"/>
        <v>3.1932426211528293</v>
      </c>
      <c r="AT308" s="5">
        <f t="shared" si="789"/>
        <v>1.1650497675667828</v>
      </c>
      <c r="AU308" s="5">
        <f t="shared" si="881"/>
        <v>2.0281928535860465</v>
      </c>
      <c r="AV308" s="5"/>
      <c r="AW308" s="150">
        <f t="shared" si="882"/>
        <v>0.36484849596119157</v>
      </c>
      <c r="AX308" s="150">
        <f t="shared" si="790"/>
        <v>103.49028829915258</v>
      </c>
      <c r="AY308" s="150">
        <f t="shared" si="791"/>
        <v>3.7659899878255612</v>
      </c>
      <c r="AZ308" s="150">
        <f t="shared" si="792"/>
        <v>27.480234582064483</v>
      </c>
      <c r="BA308" s="144">
        <f t="shared" si="723"/>
        <v>14.291277148819205</v>
      </c>
      <c r="BB308" s="5">
        <f t="shared" si="724"/>
        <v>2.7532407820838998</v>
      </c>
      <c r="BD308" s="150">
        <f t="shared" si="838"/>
        <v>4.1354947962359496</v>
      </c>
      <c r="BE308" s="150">
        <f t="shared" si="839"/>
        <v>5.4564460304141944</v>
      </c>
      <c r="BG308" s="456">
        <f t="shared" si="840"/>
        <v>0.20522780651633543</v>
      </c>
      <c r="BH308" s="456">
        <f t="shared" si="793"/>
        <v>5.3084520312368673</v>
      </c>
      <c r="BI308" s="456">
        <f t="shared" si="841"/>
        <v>3.6013549123455744E-2</v>
      </c>
      <c r="BJ308" s="456">
        <f t="shared" si="842"/>
        <v>0.99423415090030431</v>
      </c>
      <c r="BK308">
        <f t="shared" si="843"/>
        <v>2.1527704331272195E-2</v>
      </c>
      <c r="BL308" s="144">
        <f t="shared" si="844"/>
        <v>57.541253454727936</v>
      </c>
      <c r="BM308" s="456">
        <f t="shared" si="794"/>
        <v>6.8997731077808941</v>
      </c>
      <c r="BN308" s="144">
        <f t="shared" si="845"/>
        <v>6899.773107780894</v>
      </c>
      <c r="BO308" s="456">
        <f t="shared" si="795"/>
        <v>2.5760000000000001</v>
      </c>
      <c r="BR308" s="144">
        <f t="shared" si="846"/>
        <v>2576</v>
      </c>
      <c r="BS308" s="456">
        <f t="shared" si="847"/>
        <v>0.23943244093572466</v>
      </c>
      <c r="BT308" s="456">
        <f t="shared" si="848"/>
        <v>0.41681924595951952</v>
      </c>
      <c r="BU308" s="456">
        <f t="shared" si="849"/>
        <v>42.021328248529734</v>
      </c>
      <c r="BV308" s="456"/>
      <c r="BW308" s="456">
        <f t="shared" si="850"/>
        <v>4.4038420552830893</v>
      </c>
      <c r="BX308" s="144">
        <f t="shared" si="851"/>
        <v>47081.421990708062</v>
      </c>
      <c r="BY308" s="150">
        <f t="shared" si="852"/>
        <v>56.222877232816302</v>
      </c>
      <c r="BZ308" s="5">
        <f t="shared" si="853"/>
        <v>110.4</v>
      </c>
      <c r="CA308" s="150">
        <f t="shared" si="854"/>
        <v>0.66257408246373006</v>
      </c>
      <c r="CB308" s="5">
        <f t="shared" si="855"/>
        <v>66.257408246373004</v>
      </c>
      <c r="CE308" s="59">
        <f t="shared" si="796"/>
        <v>-50</v>
      </c>
      <c r="CF308">
        <f t="shared" si="797"/>
        <v>-50</v>
      </c>
      <c r="CG308" s="150">
        <f t="shared" si="798"/>
        <v>0.59555435004147594</v>
      </c>
      <c r="CI308" s="147">
        <v>92</v>
      </c>
      <c r="CJ308" s="188">
        <f t="shared" si="856"/>
        <v>3.68</v>
      </c>
      <c r="CK308" s="188"/>
      <c r="CL308" s="188">
        <f t="shared" si="799"/>
        <v>110.4</v>
      </c>
      <c r="CM308" s="465">
        <f t="shared" si="800"/>
        <v>48</v>
      </c>
      <c r="CN308" s="379">
        <f t="shared" si="801"/>
        <v>30.4</v>
      </c>
      <c r="CO308" s="379">
        <f t="shared" si="802"/>
        <v>78.400000000000006</v>
      </c>
      <c r="CP308" s="379"/>
      <c r="CQ308" s="188">
        <f t="shared" si="803"/>
        <v>0.38775510204081626</v>
      </c>
      <c r="CR308" s="149">
        <f t="shared" si="804"/>
        <v>284.85494809142222</v>
      </c>
      <c r="CS308" s="149">
        <f t="shared" si="805"/>
        <v>110.4</v>
      </c>
      <c r="CT308" s="188">
        <f t="shared" si="806"/>
        <v>9.4951649363807409</v>
      </c>
      <c r="CU308" s="188">
        <f t="shared" si="807"/>
        <v>30</v>
      </c>
      <c r="CV308" s="188"/>
      <c r="CW308" s="149">
        <f t="shared" si="808"/>
        <v>149.75632523936406</v>
      </c>
      <c r="CX308" s="149">
        <f t="shared" si="809"/>
        <v>30</v>
      </c>
      <c r="CY308" s="188">
        <f t="shared" si="810"/>
        <v>11.863157894736846</v>
      </c>
      <c r="CZ308" s="188">
        <f t="shared" si="811"/>
        <v>1.1616008771929829</v>
      </c>
      <c r="DA308" s="188">
        <f t="shared" si="812"/>
        <v>1.8341066481994466</v>
      </c>
      <c r="DB308" s="172">
        <f t="shared" si="813"/>
        <v>350</v>
      </c>
      <c r="DC308" s="379">
        <f t="shared" si="814"/>
        <v>333.81095835415465</v>
      </c>
      <c r="DE308" s="188">
        <f t="shared" si="815"/>
        <v>11.314434588425037</v>
      </c>
      <c r="DF308" s="150">
        <f t="shared" si="816"/>
        <v>1.7492711370262393</v>
      </c>
      <c r="DG308" s="150">
        <f t="shared" si="817"/>
        <v>3.463602425028073</v>
      </c>
      <c r="DH308" s="150"/>
      <c r="DI308" s="150">
        <f t="shared" si="818"/>
        <v>0.93700159489633172</v>
      </c>
      <c r="DJ308" s="314">
        <f t="shared" si="819"/>
        <v>1296.0490212765958</v>
      </c>
      <c r="DK308" s="456">
        <f t="shared" si="820"/>
        <v>0.99378957034459414</v>
      </c>
      <c r="DM308" s="150">
        <f t="shared" si="821"/>
        <v>11.662529299669668</v>
      </c>
      <c r="DN308" s="150">
        <f t="shared" si="822"/>
        <v>11.863157894736846</v>
      </c>
      <c r="DO308" s="150">
        <f t="shared" si="823"/>
        <v>5.4981865438005819</v>
      </c>
      <c r="DQ308" s="314">
        <f t="shared" si="824"/>
        <v>3680</v>
      </c>
      <c r="DR308" s="144">
        <f t="shared" si="825"/>
        <v>333.81095835415465</v>
      </c>
      <c r="DT308">
        <f t="shared" si="826"/>
        <v>3680</v>
      </c>
      <c r="DU308">
        <f t="shared" si="827"/>
        <v>333.81095835415465</v>
      </c>
      <c r="DW308" s="5">
        <f t="shared" si="857"/>
        <v>2.9957075253924295</v>
      </c>
      <c r="DX308" s="5">
        <f t="shared" si="828"/>
        <v>1.1616008771929829</v>
      </c>
      <c r="DY308" s="5">
        <f t="shared" si="829"/>
        <v>1.8341066481994466</v>
      </c>
      <c r="DZ308" s="5"/>
      <c r="EA308" s="150">
        <f t="shared" si="830"/>
        <v>0.38775510204081631</v>
      </c>
      <c r="EB308" s="150">
        <f t="shared" si="858"/>
        <v>110.4</v>
      </c>
      <c r="EC308" s="150">
        <f t="shared" si="859"/>
        <v>3.6315789473684221</v>
      </c>
      <c r="ED308" s="150">
        <f t="shared" si="860"/>
        <v>30.399999999999991</v>
      </c>
      <c r="EE308" s="144">
        <f t="shared" si="831"/>
        <v>14.248970760233922</v>
      </c>
      <c r="EF308" s="5">
        <f t="shared" si="832"/>
        <v>2.4814384063874866</v>
      </c>
      <c r="EH308" s="150">
        <f t="shared" si="861"/>
        <v>4.2649941897494426</v>
      </c>
      <c r="EI308" s="150">
        <f t="shared" si="862"/>
        <v>5.3592284556537813</v>
      </c>
      <c r="EK308" s="456">
        <f t="shared" si="863"/>
        <v>0.21828210526315805</v>
      </c>
      <c r="EL308" s="456">
        <f t="shared" si="864"/>
        <v>5.8988936170212769</v>
      </c>
      <c r="EM308" s="456">
        <f t="shared" si="865"/>
        <v>3.838826021072779E-2</v>
      </c>
      <c r="EN308" s="456">
        <f t="shared" si="866"/>
        <v>1.0618008510638295</v>
      </c>
      <c r="EO308">
        <f t="shared" si="867"/>
        <v>2.1600000000000001E-2</v>
      </c>
      <c r="EP308" s="144">
        <f t="shared" si="868"/>
        <v>59.988260210727788</v>
      </c>
      <c r="EQ308" s="144"/>
      <c r="ER308" s="144">
        <f t="shared" si="869"/>
        <v>7238.9648335589927</v>
      </c>
      <c r="ES308" s="456">
        <f t="shared" si="870"/>
        <v>2.5760000000000001</v>
      </c>
      <c r="EV308" s="144">
        <f t="shared" si="871"/>
        <v>2576</v>
      </c>
      <c r="EW308" s="456">
        <f t="shared" si="872"/>
        <v>0.2546624561403511</v>
      </c>
      <c r="EX308" s="456">
        <f t="shared" si="873"/>
        <v>0.40209861495844901</v>
      </c>
      <c r="EY308" s="456">
        <f t="shared" si="874"/>
        <v>49.342625597061748</v>
      </c>
      <c r="EZ308" s="456"/>
      <c r="FA308" s="456">
        <f t="shared" si="875"/>
        <v>4.6978723404255325</v>
      </c>
      <c r="FB308" s="144">
        <f t="shared" si="876"/>
        <v>54697.259008586079</v>
      </c>
      <c r="FC308" s="150">
        <f t="shared" si="877"/>
        <v>64.512223842145076</v>
      </c>
      <c r="FD308" s="5">
        <f t="shared" si="878"/>
        <v>110.4</v>
      </c>
      <c r="FE308" s="150">
        <f t="shared" si="879"/>
        <v>0.6311737257404828</v>
      </c>
      <c r="FF308" s="5">
        <f t="shared" si="880"/>
        <v>63.117372574048282</v>
      </c>
      <c r="FI308" s="59">
        <f t="shared" si="833"/>
        <v>-50</v>
      </c>
      <c r="FJ308">
        <f t="shared" si="834"/>
        <v>-50</v>
      </c>
      <c r="FL308">
        <f t="shared" si="835"/>
        <v>0.61224489795918369</v>
      </c>
    </row>
    <row r="309" spans="5:168">
      <c r="E309" s="147">
        <v>93</v>
      </c>
      <c r="F309" s="188">
        <f t="shared" si="836"/>
        <v>3.72</v>
      </c>
      <c r="G309" s="188"/>
      <c r="H309" s="188">
        <f t="shared" si="762"/>
        <v>111.60000000000001</v>
      </c>
      <c r="I309" s="465">
        <f t="shared" si="763"/>
        <v>47.837645611128437</v>
      </c>
      <c r="J309" s="149">
        <f t="shared" si="764"/>
        <v>30.487421594007763</v>
      </c>
      <c r="K309" s="149">
        <f t="shared" si="765"/>
        <v>78.325067205136207</v>
      </c>
      <c r="L309" s="379"/>
      <c r="M309" s="188">
        <f t="shared" si="766"/>
        <v>0.38922381709414899</v>
      </c>
      <c r="N309" s="149">
        <f t="shared" si="767"/>
        <v>284.96676623104241</v>
      </c>
      <c r="O309" s="149">
        <f t="shared" si="760"/>
        <v>111.60000000000001</v>
      </c>
      <c r="P309" s="188">
        <f t="shared" si="768"/>
        <v>9.4988922077014131</v>
      </c>
      <c r="Q309" s="188">
        <f t="shared" si="769"/>
        <v>30</v>
      </c>
      <c r="R309" s="188"/>
      <c r="S309" s="149">
        <f t="shared" si="770"/>
        <v>147.13420735957618</v>
      </c>
      <c r="T309" s="149">
        <f t="shared" si="771"/>
        <v>30</v>
      </c>
      <c r="U309" s="188">
        <f t="shared" si="772"/>
        <v>11.987399679702007</v>
      </c>
      <c r="V309" s="188">
        <f t="shared" si="773"/>
        <v>1.1777498197255116</v>
      </c>
      <c r="W309" s="188">
        <f t="shared" si="774"/>
        <v>1.8480007671646816</v>
      </c>
      <c r="X309" s="172">
        <f t="shared" si="775"/>
        <v>350</v>
      </c>
      <c r="Y309" s="379">
        <f t="shared" si="837"/>
        <v>310.0053686928278</v>
      </c>
      <c r="AA309" s="188">
        <f t="shared" si="776"/>
        <v>11.319410634495931</v>
      </c>
      <c r="AB309" s="150">
        <f t="shared" si="777"/>
        <v>1.745022281339379</v>
      </c>
      <c r="AC309" s="150">
        <f t="shared" si="778"/>
        <v>3.4567091595444301</v>
      </c>
      <c r="AD309" s="150"/>
      <c r="AE309" s="150">
        <f t="shared" si="779"/>
        <v>0.9343147762435613</v>
      </c>
      <c r="AF309" s="314">
        <f t="shared" si="780"/>
        <v>1313.9040837346065</v>
      </c>
      <c r="AG309" s="456">
        <f t="shared" si="781"/>
        <v>0.99093991419771654</v>
      </c>
      <c r="AI309" s="150">
        <f t="shared" si="782"/>
        <v>11.742589117611857</v>
      </c>
      <c r="AJ309" s="150">
        <f t="shared" si="783"/>
        <v>11.987399679702007</v>
      </c>
      <c r="AK309" s="150">
        <f t="shared" si="784"/>
        <v>5.5902174956266268</v>
      </c>
      <c r="AM309" s="314">
        <f t="shared" si="785"/>
        <v>3720</v>
      </c>
      <c r="AN309" s="144">
        <f t="shared" si="786"/>
        <v>310.0053686928278</v>
      </c>
      <c r="AP309">
        <f t="shared" si="787"/>
        <v>3720</v>
      </c>
      <c r="AQ309">
        <f t="shared" si="788"/>
        <v>310.0053686928278</v>
      </c>
      <c r="AS309" s="5">
        <f t="shared" si="761"/>
        <v>3.225750586890193</v>
      </c>
      <c r="AT309" s="5">
        <f t="shared" si="789"/>
        <v>1.1777498197255116</v>
      </c>
      <c r="AU309" s="5">
        <f t="shared" si="881"/>
        <v>2.0480007671646812</v>
      </c>
      <c r="AV309" s="5"/>
      <c r="AW309" s="150">
        <f t="shared" si="882"/>
        <v>0.36510876709191875</v>
      </c>
      <c r="AX309" s="150">
        <f t="shared" si="790"/>
        <v>104.68562461480121</v>
      </c>
      <c r="AY309" s="150">
        <f t="shared" si="791"/>
        <v>3.8053474810039725</v>
      </c>
      <c r="AZ309" s="150">
        <f t="shared" si="792"/>
        <v>27.510135444235907</v>
      </c>
      <c r="BA309" s="144">
        <f t="shared" ref="BA309:BA316" si="883">F309*AT309/Vout_ripple*1000</f>
        <v>14.604097764596343</v>
      </c>
      <c r="BB309" s="5">
        <f t="shared" ref="BB309:BB316" si="884">H309/Efficiency/I309*AU309/Vinripple1</f>
        <v>2.8104482383099825</v>
      </c>
      <c r="BD309" s="150">
        <f t="shared" si="838"/>
        <v>4.1819177710326496</v>
      </c>
      <c r="BE309" s="150">
        <f t="shared" si="839"/>
        <v>5.5146000867359284</v>
      </c>
      <c r="BG309" s="456">
        <f t="shared" si="840"/>
        <v>0.20986123492414421</v>
      </c>
      <c r="BH309" s="456">
        <f t="shared" si="793"/>
        <v>5.3119973008812007</v>
      </c>
      <c r="BI309" s="456">
        <f t="shared" si="841"/>
        <v>3.5650617399675198E-2</v>
      </c>
      <c r="BJ309" s="456">
        <f t="shared" si="842"/>
        <v>0.98419492564589961</v>
      </c>
      <c r="BK309">
        <f t="shared" si="843"/>
        <v>2.1526940525007796E-2</v>
      </c>
      <c r="BL309" s="144">
        <f t="shared" si="844"/>
        <v>57.177557924682993</v>
      </c>
      <c r="BM309" s="456">
        <f t="shared" si="794"/>
        <v>6.9071262334531145</v>
      </c>
      <c r="BN309" s="144">
        <f t="shared" si="845"/>
        <v>6907.1262334531148</v>
      </c>
      <c r="BO309" s="456">
        <f t="shared" si="795"/>
        <v>2.6040000000000001</v>
      </c>
      <c r="BR309" s="144">
        <f t="shared" si="846"/>
        <v>2604</v>
      </c>
      <c r="BS309" s="456">
        <f t="shared" si="847"/>
        <v>0.24483810741150158</v>
      </c>
      <c r="BT309" s="456">
        <f t="shared" si="848"/>
        <v>0.42575139763279074</v>
      </c>
      <c r="BU309" s="456">
        <f t="shared" si="849"/>
        <v>42.092576134691299</v>
      </c>
      <c r="BV309" s="456"/>
      <c r="BW309" s="456">
        <f t="shared" si="850"/>
        <v>4.4547074304170735</v>
      </c>
      <c r="BX309" s="144">
        <f t="shared" si="851"/>
        <v>47217.873070152666</v>
      </c>
      <c r="BY309" s="150">
        <f t="shared" si="852"/>
        <v>56.385104089528596</v>
      </c>
      <c r="BZ309" s="5">
        <f t="shared" si="853"/>
        <v>111.60000000000001</v>
      </c>
      <c r="CA309" s="150">
        <f t="shared" si="854"/>
        <v>0.66434461915457799</v>
      </c>
      <c r="CB309" s="5">
        <f t="shared" si="855"/>
        <v>66.434461915457803</v>
      </c>
      <c r="CE309" s="59">
        <f t="shared" si="796"/>
        <v>-50</v>
      </c>
      <c r="CF309">
        <f t="shared" si="797"/>
        <v>-50</v>
      </c>
      <c r="CG309" s="150">
        <f t="shared" si="798"/>
        <v>0.59573381829865557</v>
      </c>
      <c r="CI309" s="147">
        <v>93</v>
      </c>
      <c r="CJ309" s="188">
        <f t="shared" si="856"/>
        <v>3.72</v>
      </c>
      <c r="CK309" s="188"/>
      <c r="CL309" s="188">
        <f t="shared" si="799"/>
        <v>111.60000000000001</v>
      </c>
      <c r="CM309" s="465">
        <f t="shared" si="800"/>
        <v>48</v>
      </c>
      <c r="CN309" s="379">
        <f t="shared" si="801"/>
        <v>30.4</v>
      </c>
      <c r="CO309" s="379">
        <f t="shared" si="802"/>
        <v>78.400000000000006</v>
      </c>
      <c r="CP309" s="379"/>
      <c r="CQ309" s="188">
        <f t="shared" si="803"/>
        <v>0.38775510204081626</v>
      </c>
      <c r="CR309" s="149">
        <f t="shared" si="804"/>
        <v>284.85494809142222</v>
      </c>
      <c r="CS309" s="149">
        <f t="shared" si="805"/>
        <v>111.60000000000001</v>
      </c>
      <c r="CT309" s="188">
        <f t="shared" si="806"/>
        <v>9.4951649363807409</v>
      </c>
      <c r="CU309" s="188">
        <f t="shared" si="807"/>
        <v>30</v>
      </c>
      <c r="CV309" s="188"/>
      <c r="CW309" s="149">
        <f t="shared" si="808"/>
        <v>147.63312201292453</v>
      </c>
      <c r="CX309" s="149">
        <f t="shared" si="809"/>
        <v>30</v>
      </c>
      <c r="CY309" s="188">
        <f t="shared" si="810"/>
        <v>11.992105263157898</v>
      </c>
      <c r="CZ309" s="188">
        <f t="shared" si="811"/>
        <v>1.1742269736842108</v>
      </c>
      <c r="DA309" s="188">
        <f t="shared" si="812"/>
        <v>1.8540425900277013</v>
      </c>
      <c r="DB309" s="172">
        <f t="shared" si="813"/>
        <v>350</v>
      </c>
      <c r="DC309" s="379">
        <f t="shared" si="814"/>
        <v>330.22159321056165</v>
      </c>
      <c r="DE309" s="188">
        <f t="shared" si="815"/>
        <v>11.314434588425037</v>
      </c>
      <c r="DF309" s="150">
        <f t="shared" si="816"/>
        <v>1.7492711370262393</v>
      </c>
      <c r="DG309" s="150">
        <f t="shared" si="817"/>
        <v>3.463602425028073</v>
      </c>
      <c r="DH309" s="150"/>
      <c r="DI309" s="150">
        <f t="shared" si="818"/>
        <v>0.93700159489633172</v>
      </c>
      <c r="DJ309" s="314">
        <f t="shared" si="819"/>
        <v>1310.136510638298</v>
      </c>
      <c r="DK309" s="456">
        <f t="shared" si="820"/>
        <v>0.99378957034459414</v>
      </c>
      <c r="DM309" s="150">
        <f t="shared" si="821"/>
        <v>11.725741303582518</v>
      </c>
      <c r="DN309" s="150">
        <f t="shared" si="822"/>
        <v>11.992105263157898</v>
      </c>
      <c r="DO309" s="150">
        <f t="shared" si="823"/>
        <v>5.5937031130013608</v>
      </c>
      <c r="DQ309" s="314">
        <f t="shared" si="824"/>
        <v>3720</v>
      </c>
      <c r="DR309" s="144">
        <f t="shared" si="825"/>
        <v>330.22159321056165</v>
      </c>
      <c r="DT309">
        <f t="shared" si="826"/>
        <v>3720</v>
      </c>
      <c r="DU309">
        <f t="shared" si="827"/>
        <v>330.22159321056165</v>
      </c>
      <c r="DW309" s="5">
        <f t="shared" si="857"/>
        <v>3.0282695637119117</v>
      </c>
      <c r="DX309" s="5">
        <f t="shared" si="828"/>
        <v>1.1742269736842108</v>
      </c>
      <c r="DY309" s="5">
        <f t="shared" si="829"/>
        <v>1.8540425900277009</v>
      </c>
      <c r="DZ309" s="5"/>
      <c r="EA309" s="150">
        <f t="shared" si="830"/>
        <v>0.38775510204081637</v>
      </c>
      <c r="EB309" s="150">
        <f t="shared" si="858"/>
        <v>111.60000000000005</v>
      </c>
      <c r="EC309" s="150">
        <f t="shared" si="859"/>
        <v>3.6710526315789482</v>
      </c>
      <c r="ED309" s="150">
        <f t="shared" si="860"/>
        <v>30.400000000000006</v>
      </c>
      <c r="EE309" s="144">
        <f t="shared" si="831"/>
        <v>14.560414473684213</v>
      </c>
      <c r="EF309" s="5">
        <f t="shared" si="832"/>
        <v>2.5356758951849439</v>
      </c>
      <c r="EH309" s="150">
        <f t="shared" si="861"/>
        <v>4.311352822246719</v>
      </c>
      <c r="EI309" s="150">
        <f t="shared" si="862"/>
        <v>5.417480938867409</v>
      </c>
      <c r="EK309" s="456">
        <f t="shared" si="863"/>
        <v>0.22305315789473698</v>
      </c>
      <c r="EL309" s="456">
        <f t="shared" si="864"/>
        <v>5.8988936170212778</v>
      </c>
      <c r="EM309" s="456">
        <f t="shared" si="865"/>
        <v>3.7975483219214595E-2</v>
      </c>
      <c r="EN309" s="456">
        <f t="shared" si="866"/>
        <v>1.0503836376115305</v>
      </c>
      <c r="EO309">
        <f t="shared" si="867"/>
        <v>2.1600000000000001E-2</v>
      </c>
      <c r="EP309" s="144">
        <f t="shared" si="868"/>
        <v>59.575483219214597</v>
      </c>
      <c r="EQ309" s="144"/>
      <c r="ER309" s="144">
        <f t="shared" si="869"/>
        <v>7231.9058957467596</v>
      </c>
      <c r="ES309" s="456">
        <f t="shared" si="870"/>
        <v>2.6040000000000001</v>
      </c>
      <c r="EV309" s="144">
        <f t="shared" si="871"/>
        <v>2604</v>
      </c>
      <c r="EW309" s="456">
        <f t="shared" si="872"/>
        <v>0.26022868421052647</v>
      </c>
      <c r="EX309" s="456">
        <f t="shared" si="873"/>
        <v>0.41088739612188385</v>
      </c>
      <c r="EY309" s="456">
        <f t="shared" si="874"/>
        <v>49.342625597061705</v>
      </c>
      <c r="EZ309" s="456"/>
      <c r="FA309" s="456">
        <f t="shared" si="875"/>
        <v>4.7489361702127679</v>
      </c>
      <c r="FB309" s="144">
        <f t="shared" si="876"/>
        <v>54762.677847606879</v>
      </c>
      <c r="FC309" s="150">
        <f t="shared" si="877"/>
        <v>64.598583743353643</v>
      </c>
      <c r="FD309" s="5">
        <f t="shared" si="878"/>
        <v>111.60000000000001</v>
      </c>
      <c r="FE309" s="150">
        <f t="shared" si="879"/>
        <v>0.63337626006434711</v>
      </c>
      <c r="FF309" s="5">
        <f t="shared" si="880"/>
        <v>63.337626006434711</v>
      </c>
      <c r="FI309" s="59">
        <f t="shared" si="833"/>
        <v>-50</v>
      </c>
      <c r="FJ309">
        <f t="shared" si="834"/>
        <v>-50</v>
      </c>
      <c r="FL309">
        <f t="shared" si="835"/>
        <v>0.61224489795918369</v>
      </c>
    </row>
    <row r="310" spans="5:168">
      <c r="E310" s="147">
        <v>94</v>
      </c>
      <c r="F310" s="188">
        <f t="shared" si="836"/>
        <v>3.76</v>
      </c>
      <c r="G310" s="188"/>
      <c r="H310" s="188">
        <f t="shared" si="762"/>
        <v>112.8</v>
      </c>
      <c r="I310" s="465">
        <f t="shared" si="763"/>
        <v>47.835948235032063</v>
      </c>
      <c r="J310" s="149">
        <f t="shared" si="764"/>
        <v>30.488335565751964</v>
      </c>
      <c r="K310" s="149">
        <f t="shared" si="765"/>
        <v>78.324283800784031</v>
      </c>
      <c r="L310" s="379"/>
      <c r="M310" s="188">
        <f t="shared" si="766"/>
        <v>0.38923938509492229</v>
      </c>
      <c r="N310" s="149">
        <f t="shared" si="767"/>
        <v>284.96805260503999</v>
      </c>
      <c r="O310" s="149">
        <f t="shared" si="760"/>
        <v>112.8</v>
      </c>
      <c r="P310" s="188">
        <f t="shared" si="768"/>
        <v>9.4989350868346669</v>
      </c>
      <c r="Q310" s="188">
        <f t="shared" si="769"/>
        <v>30</v>
      </c>
      <c r="R310" s="188"/>
      <c r="S310" s="149">
        <f t="shared" si="770"/>
        <v>145.05812251265684</v>
      </c>
      <c r="T310" s="149">
        <f t="shared" si="771"/>
        <v>30</v>
      </c>
      <c r="U310" s="188">
        <f t="shared" si="772"/>
        <v>12.116241756289956</v>
      </c>
      <c r="V310" s="188">
        <f t="shared" si="773"/>
        <v>1.1904506622251683</v>
      </c>
      <c r="W310" s="188">
        <f t="shared" si="774"/>
        <v>1.867807317055757</v>
      </c>
      <c r="X310" s="172">
        <f t="shared" si="775"/>
        <v>350</v>
      </c>
      <c r="Y310" s="379">
        <f t="shared" si="837"/>
        <v>306.91246867465452</v>
      </c>
      <c r="AA310" s="188">
        <f t="shared" si="776"/>
        <v>11.31946154442452</v>
      </c>
      <c r="AB310" s="150">
        <f t="shared" si="777"/>
        <v>1.7449778176332231</v>
      </c>
      <c r="AC310" s="150">
        <f t="shared" si="778"/>
        <v>3.4566366279502914</v>
      </c>
      <c r="AD310" s="150"/>
      <c r="AE310" s="150">
        <f t="shared" si="779"/>
        <v>0.93428676758746942</v>
      </c>
      <c r="AF310" s="314">
        <f t="shared" si="780"/>
        <v>1328.0718972441557</v>
      </c>
      <c r="AG310" s="456">
        <f t="shared" si="781"/>
        <v>0.99091020804731589</v>
      </c>
      <c r="AI310" s="150">
        <f t="shared" si="782"/>
        <v>11.805729469227236</v>
      </c>
      <c r="AJ310" s="150">
        <f t="shared" si="783"/>
        <v>12.116241756289956</v>
      </c>
      <c r="AK310" s="150">
        <f t="shared" si="784"/>
        <v>5.6856560708769592</v>
      </c>
      <c r="AM310" s="314">
        <f t="shared" si="785"/>
        <v>3760</v>
      </c>
      <c r="AN310" s="144">
        <f t="shared" si="786"/>
        <v>306.91246867465452</v>
      </c>
      <c r="AP310">
        <f t="shared" si="787"/>
        <v>3760</v>
      </c>
      <c r="AQ310">
        <f t="shared" si="788"/>
        <v>306.91246867465452</v>
      </c>
      <c r="AS310" s="5">
        <f t="shared" si="761"/>
        <v>3.2582579792809252</v>
      </c>
      <c r="AT310" s="5">
        <f t="shared" si="789"/>
        <v>1.1904506622251683</v>
      </c>
      <c r="AU310" s="5">
        <f t="shared" si="881"/>
        <v>2.0678073170557569</v>
      </c>
      <c r="AV310" s="5"/>
      <c r="AW310" s="150">
        <f t="shared" si="882"/>
        <v>0.36536415157890367</v>
      </c>
      <c r="AX310" s="150">
        <f t="shared" si="790"/>
        <v>105.88105386110878</v>
      </c>
      <c r="AY310" s="150">
        <f t="shared" si="791"/>
        <v>3.8447006833390951</v>
      </c>
      <c r="AZ310" s="150">
        <f t="shared" si="792"/>
        <v>27.539479034074468</v>
      </c>
      <c r="BA310" s="144">
        <f t="shared" si="883"/>
        <v>14.920314966555441</v>
      </c>
      <c r="BB310" s="5">
        <f t="shared" si="884"/>
        <v>2.8682424481008955</v>
      </c>
      <c r="BD310" s="150">
        <f t="shared" si="838"/>
        <v>4.2283435833686678</v>
      </c>
      <c r="BE310" s="150">
        <f t="shared" si="839"/>
        <v>5.5727505452819059</v>
      </c>
      <c r="BG310" s="456">
        <f t="shared" si="840"/>
        <v>0.21454667350817982</v>
      </c>
      <c r="BH310" s="456">
        <f t="shared" si="793"/>
        <v>5.3154711327787565</v>
      </c>
      <c r="BI310" s="456">
        <f t="shared" si="841"/>
        <v>3.5294933897585271E-2</v>
      </c>
      <c r="BJ310" s="456">
        <f t="shared" si="842"/>
        <v>0.97435619638361659</v>
      </c>
      <c r="BK310">
        <f t="shared" si="843"/>
        <v>2.1526176705764427E-2</v>
      </c>
      <c r="BL310" s="144">
        <f t="shared" si="844"/>
        <v>56.821110603349695</v>
      </c>
      <c r="BM310" s="456">
        <f t="shared" si="794"/>
        <v>6.9147920465848767</v>
      </c>
      <c r="BN310" s="144">
        <f t="shared" si="845"/>
        <v>6914.7920465848765</v>
      </c>
      <c r="BO310" s="456">
        <f t="shared" si="795"/>
        <v>2.6319999999999997</v>
      </c>
      <c r="BR310" s="144">
        <f t="shared" si="846"/>
        <v>2631.9999999999995</v>
      </c>
      <c r="BS310" s="456">
        <f t="shared" si="847"/>
        <v>0.2503044524262098</v>
      </c>
      <c r="BT310" s="456">
        <f t="shared" si="848"/>
        <v>0.43477768095915692</v>
      </c>
      <c r="BU310" s="456">
        <f t="shared" si="849"/>
        <v>42.162481267950007</v>
      </c>
      <c r="BV310" s="456"/>
      <c r="BW310" s="456">
        <f t="shared" si="850"/>
        <v>4.505576760047183</v>
      </c>
      <c r="BX310" s="144">
        <f t="shared" si="851"/>
        <v>47353.140161382558</v>
      </c>
      <c r="BY310" s="150">
        <f t="shared" si="852"/>
        <v>56.546335274656457</v>
      </c>
      <c r="BZ310" s="5">
        <f t="shared" si="853"/>
        <v>112.8</v>
      </c>
      <c r="CA310" s="150">
        <f t="shared" si="854"/>
        <v>0.66609058777123187</v>
      </c>
      <c r="CB310" s="5">
        <f t="shared" si="855"/>
        <v>66.609058777123181</v>
      </c>
      <c r="CE310" s="59">
        <f t="shared" si="796"/>
        <v>-50</v>
      </c>
      <c r="CF310">
        <f t="shared" si="797"/>
        <v>-50</v>
      </c>
      <c r="CG310" s="150">
        <f t="shared" si="798"/>
        <v>0.59590946808227829</v>
      </c>
      <c r="CI310" s="147">
        <v>94</v>
      </c>
      <c r="CJ310" s="188">
        <f t="shared" si="856"/>
        <v>3.76</v>
      </c>
      <c r="CK310" s="188"/>
      <c r="CL310" s="188">
        <f t="shared" si="799"/>
        <v>112.8</v>
      </c>
      <c r="CM310" s="465">
        <f t="shared" si="800"/>
        <v>48</v>
      </c>
      <c r="CN310" s="379">
        <f t="shared" si="801"/>
        <v>30.4</v>
      </c>
      <c r="CO310" s="379">
        <f t="shared" si="802"/>
        <v>78.400000000000006</v>
      </c>
      <c r="CP310" s="379"/>
      <c r="CQ310" s="188">
        <f t="shared" si="803"/>
        <v>0.38775510204081626</v>
      </c>
      <c r="CR310" s="149">
        <f t="shared" si="804"/>
        <v>284.85494809142222</v>
      </c>
      <c r="CS310" s="149">
        <f t="shared" si="805"/>
        <v>112.8</v>
      </c>
      <c r="CT310" s="188">
        <f t="shared" si="806"/>
        <v>9.4951649363807409</v>
      </c>
      <c r="CU310" s="188">
        <f t="shared" si="807"/>
        <v>30</v>
      </c>
      <c r="CV310" s="188"/>
      <c r="CW310" s="149">
        <f t="shared" si="808"/>
        <v>145.55514494302662</v>
      </c>
      <c r="CX310" s="149">
        <f t="shared" si="809"/>
        <v>30</v>
      </c>
      <c r="CY310" s="188">
        <f t="shared" si="810"/>
        <v>12.12105263157895</v>
      </c>
      <c r="CZ310" s="188">
        <f t="shared" si="811"/>
        <v>1.1868530701754387</v>
      </c>
      <c r="DA310" s="188">
        <f t="shared" si="812"/>
        <v>1.8739785318559561</v>
      </c>
      <c r="DB310" s="172">
        <f t="shared" si="813"/>
        <v>350</v>
      </c>
      <c r="DC310" s="379">
        <f t="shared" si="814"/>
        <v>326.7085975381089</v>
      </c>
      <c r="DE310" s="188">
        <f t="shared" si="815"/>
        <v>11.314434588425037</v>
      </c>
      <c r="DF310" s="150">
        <f t="shared" si="816"/>
        <v>1.7492711370262393</v>
      </c>
      <c r="DG310" s="150">
        <f t="shared" si="817"/>
        <v>3.463602425028073</v>
      </c>
      <c r="DH310" s="150"/>
      <c r="DI310" s="150">
        <f t="shared" si="818"/>
        <v>0.93700159489633172</v>
      </c>
      <c r="DJ310" s="314">
        <f t="shared" si="819"/>
        <v>1324.2239999999999</v>
      </c>
      <c r="DK310" s="456">
        <f t="shared" si="820"/>
        <v>0.99378957034459414</v>
      </c>
      <c r="DM310" s="150">
        <f t="shared" si="821"/>
        <v>11.788614361808115</v>
      </c>
      <c r="DN310" s="150">
        <f t="shared" si="822"/>
        <v>12.12105263157895</v>
      </c>
      <c r="DO310" s="150">
        <f t="shared" si="823"/>
        <v>5.6892196822021397</v>
      </c>
      <c r="DQ310" s="314">
        <f t="shared" si="824"/>
        <v>3760</v>
      </c>
      <c r="DR310" s="144">
        <f t="shared" si="825"/>
        <v>326.7085975381089</v>
      </c>
      <c r="DT310">
        <f t="shared" si="826"/>
        <v>3760</v>
      </c>
      <c r="DU310">
        <f t="shared" si="827"/>
        <v>326.7085975381089</v>
      </c>
      <c r="DW310" s="5">
        <f t="shared" si="857"/>
        <v>3.0608316020313948</v>
      </c>
      <c r="DX310" s="5">
        <f t="shared" si="828"/>
        <v>1.1868530701754387</v>
      </c>
      <c r="DY310" s="5">
        <f t="shared" si="829"/>
        <v>1.8739785318559561</v>
      </c>
      <c r="DZ310" s="5"/>
      <c r="EA310" s="150">
        <f t="shared" si="830"/>
        <v>0.38775510204081631</v>
      </c>
      <c r="EB310" s="150">
        <f t="shared" si="858"/>
        <v>112.80000000000004</v>
      </c>
      <c r="EC310" s="150">
        <f t="shared" si="859"/>
        <v>3.7105263157894743</v>
      </c>
      <c r="ED310" s="150">
        <f t="shared" si="860"/>
        <v>30.400000000000006</v>
      </c>
      <c r="EE310" s="144">
        <f t="shared" si="831"/>
        <v>14.875225146198833</v>
      </c>
      <c r="EF310" s="5">
        <f t="shared" si="832"/>
        <v>2.5904997352126449</v>
      </c>
      <c r="EH310" s="150">
        <f t="shared" si="861"/>
        <v>4.3577114547439955</v>
      </c>
      <c r="EI310" s="150">
        <f t="shared" si="862"/>
        <v>5.4757334220810367</v>
      </c>
      <c r="EK310" s="456">
        <f t="shared" si="863"/>
        <v>0.22787578947368436</v>
      </c>
      <c r="EL310" s="456">
        <f t="shared" si="864"/>
        <v>5.8988936170212778</v>
      </c>
      <c r="EM310" s="456">
        <f t="shared" si="865"/>
        <v>3.7571488716882526E-2</v>
      </c>
      <c r="EN310" s="456">
        <f t="shared" si="866"/>
        <v>1.0392093435943868</v>
      </c>
      <c r="EO310">
        <f t="shared" si="867"/>
        <v>2.1600000000000001E-2</v>
      </c>
      <c r="EP310" s="144">
        <f t="shared" si="868"/>
        <v>59.171488716882529</v>
      </c>
      <c r="EQ310" s="144"/>
      <c r="ER310" s="144">
        <f t="shared" si="869"/>
        <v>7225.1502388062318</v>
      </c>
      <c r="ES310" s="456">
        <f t="shared" si="870"/>
        <v>2.6319999999999997</v>
      </c>
      <c r="EV310" s="144">
        <f t="shared" si="871"/>
        <v>2631.9999999999995</v>
      </c>
      <c r="EW310" s="456">
        <f t="shared" si="872"/>
        <v>0.26585508771929844</v>
      </c>
      <c r="EX310" s="456">
        <f t="shared" si="873"/>
        <v>0.41977119113573425</v>
      </c>
      <c r="EY310" s="456">
        <f t="shared" si="874"/>
        <v>49.34262559706179</v>
      </c>
      <c r="EZ310" s="456"/>
      <c r="FA310" s="456">
        <f t="shared" si="875"/>
        <v>4.8000000000000025</v>
      </c>
      <c r="FB310" s="144">
        <f t="shared" si="876"/>
        <v>54828.251875916823</v>
      </c>
      <c r="FC310" s="150">
        <f t="shared" si="877"/>
        <v>64.685402114723047</v>
      </c>
      <c r="FD310" s="5">
        <f t="shared" si="878"/>
        <v>112.8</v>
      </c>
      <c r="FE310" s="150">
        <f t="shared" si="879"/>
        <v>0.63554522600731023</v>
      </c>
      <c r="FF310" s="5">
        <f t="shared" si="880"/>
        <v>63.554522600731019</v>
      </c>
      <c r="FI310" s="59">
        <f t="shared" si="833"/>
        <v>-50</v>
      </c>
      <c r="FJ310">
        <f t="shared" si="834"/>
        <v>-50</v>
      </c>
      <c r="FL310">
        <f t="shared" si="835"/>
        <v>0.61224489795918369</v>
      </c>
    </row>
    <row r="311" spans="5:168">
      <c r="E311" s="147">
        <v>95</v>
      </c>
      <c r="F311" s="188">
        <f t="shared" si="836"/>
        <v>3.8</v>
      </c>
      <c r="G311" s="188"/>
      <c r="H311" s="188">
        <f t="shared" si="762"/>
        <v>114</v>
      </c>
      <c r="I311" s="465">
        <f t="shared" si="763"/>
        <v>47.834250831029046</v>
      </c>
      <c r="J311" s="149">
        <f t="shared" si="764"/>
        <v>30.489249552522818</v>
      </c>
      <c r="K311" s="149">
        <f t="shared" si="765"/>
        <v>78.32350038355186</v>
      </c>
      <c r="L311" s="379"/>
      <c r="M311" s="188">
        <f t="shared" si="766"/>
        <v>0.38925495354555162</v>
      </c>
      <c r="N311" s="149">
        <f t="shared" si="767"/>
        <v>284.96933833327427</v>
      </c>
      <c r="O311" s="149">
        <f t="shared" si="760"/>
        <v>114</v>
      </c>
      <c r="P311" s="188">
        <f t="shared" si="768"/>
        <v>9.4989779444424762</v>
      </c>
      <c r="Q311" s="188">
        <f t="shared" si="769"/>
        <v>30</v>
      </c>
      <c r="R311" s="188"/>
      <c r="S311" s="149">
        <f t="shared" si="770"/>
        <v>143.02583196479856</v>
      </c>
      <c r="T311" s="149">
        <f t="shared" si="771"/>
        <v>30</v>
      </c>
      <c r="U311" s="188">
        <f t="shared" si="772"/>
        <v>12.24508269741972</v>
      </c>
      <c r="V311" s="188">
        <f t="shared" si="773"/>
        <v>1.2031522952281719</v>
      </c>
      <c r="W311" s="188">
        <f t="shared" si="774"/>
        <v>1.8876125035065214</v>
      </c>
      <c r="X311" s="172">
        <f t="shared" si="775"/>
        <v>350</v>
      </c>
      <c r="Y311" s="379">
        <f t="shared" si="837"/>
        <v>303.8807271745772</v>
      </c>
      <c r="AA311" s="188">
        <f t="shared" si="776"/>
        <v>11.319512432126507</v>
      </c>
      <c r="AB311" s="150">
        <f t="shared" si="777"/>
        <v>1.7449333523065487</v>
      </c>
      <c r="AC311" s="150">
        <f t="shared" si="778"/>
        <v>3.456564085566578</v>
      </c>
      <c r="AD311" s="150"/>
      <c r="AE311" s="150">
        <f t="shared" si="779"/>
        <v>0.93425876015014997</v>
      </c>
      <c r="AF311" s="314">
        <f t="shared" si="780"/>
        <v>1342.2405584920207</v>
      </c>
      <c r="AG311" s="456">
        <f t="shared" si="781"/>
        <v>0.9908805031895529</v>
      </c>
      <c r="AI311" s="150">
        <f t="shared" si="782"/>
        <v>11.868537668241872</v>
      </c>
      <c r="AJ311" s="150">
        <f t="shared" si="783"/>
        <v>12.24508269741972</v>
      </c>
      <c r="AK311" s="150">
        <f t="shared" si="784"/>
        <v>5.7810938050471554</v>
      </c>
      <c r="AM311" s="314">
        <f t="shared" si="785"/>
        <v>3800</v>
      </c>
      <c r="AN311" s="144">
        <f t="shared" si="786"/>
        <v>303.8807271745772</v>
      </c>
      <c r="AP311">
        <f t="shared" si="787"/>
        <v>3800</v>
      </c>
      <c r="AQ311">
        <f t="shared" si="788"/>
        <v>303.8807271745772</v>
      </c>
      <c r="AS311" s="5">
        <f t="shared" si="761"/>
        <v>3.2907647987346942</v>
      </c>
      <c r="AT311" s="5">
        <f t="shared" si="789"/>
        <v>1.2031522952281719</v>
      </c>
      <c r="AU311" s="5">
        <f t="shared" si="881"/>
        <v>2.0876125035065223</v>
      </c>
      <c r="AV311" s="5"/>
      <c r="AW311" s="150">
        <f t="shared" si="882"/>
        <v>0.36561479437569844</v>
      </c>
      <c r="AX311" s="150">
        <f t="shared" si="790"/>
        <v>107.07657328232845</v>
      </c>
      <c r="AY311" s="150">
        <f t="shared" si="791"/>
        <v>3.8840496524445931</v>
      </c>
      <c r="AZ311" s="150">
        <f t="shared" si="792"/>
        <v>27.568281269250825</v>
      </c>
      <c r="BA311" s="144">
        <f t="shared" si="883"/>
        <v>15.239929072890176</v>
      </c>
      <c r="BB311" s="5">
        <f t="shared" si="884"/>
        <v>2.9266234139414391</v>
      </c>
      <c r="BD311" s="150">
        <f t="shared" si="838"/>
        <v>4.2747721918448898</v>
      </c>
      <c r="BE311" s="150">
        <f t="shared" si="839"/>
        <v>5.6308974533413041</v>
      </c>
      <c r="BG311" s="456">
        <f t="shared" si="840"/>
        <v>0.21928412750604434</v>
      </c>
      <c r="BH311" s="456">
        <f t="shared" si="793"/>
        <v>5.3188756455127386</v>
      </c>
      <c r="BI311" s="456">
        <f t="shared" si="841"/>
        <v>3.4946283625076381E-2</v>
      </c>
      <c r="BJ311" s="456">
        <f t="shared" si="842"/>
        <v>0.96471201614062319</v>
      </c>
      <c r="BK311">
        <f t="shared" si="843"/>
        <v>2.1525412873963069E-2</v>
      </c>
      <c r="BL311" s="144">
        <f t="shared" si="844"/>
        <v>56.471696499039453</v>
      </c>
      <c r="BM311" s="456">
        <f t="shared" si="794"/>
        <v>6.9227679259854238</v>
      </c>
      <c r="BN311" s="144">
        <f t="shared" si="845"/>
        <v>6922.767925985424</v>
      </c>
      <c r="BO311" s="456">
        <f t="shared" si="795"/>
        <v>2.6599999999999997</v>
      </c>
      <c r="BR311" s="144">
        <f t="shared" si="846"/>
        <v>2659.9999999999995</v>
      </c>
      <c r="BS311" s="456">
        <f t="shared" si="847"/>
        <v>0.25583148209038509</v>
      </c>
      <c r="BT311" s="456">
        <f t="shared" si="848"/>
        <v>0.44389808582063822</v>
      </c>
      <c r="BU311" s="456">
        <f t="shared" si="849"/>
        <v>42.231081456620878</v>
      </c>
      <c r="BV311" s="456"/>
      <c r="BW311" s="456">
        <f t="shared" si="850"/>
        <v>4.5564499269075949</v>
      </c>
      <c r="BX311" s="144">
        <f t="shared" si="851"/>
        <v>47487.260951439494</v>
      </c>
      <c r="BY311" s="150">
        <f t="shared" si="852"/>
        <v>56.706604437097944</v>
      </c>
      <c r="BZ311" s="5">
        <f t="shared" si="853"/>
        <v>114</v>
      </c>
      <c r="CA311" s="150">
        <f t="shared" si="854"/>
        <v>0.6678124749532276</v>
      </c>
      <c r="CB311" s="5">
        <f t="shared" si="855"/>
        <v>66.781247495322759</v>
      </c>
      <c r="CE311" s="59">
        <f t="shared" si="796"/>
        <v>-50</v>
      </c>
      <c r="CF311">
        <f t="shared" si="797"/>
        <v>-50</v>
      </c>
      <c r="CG311" s="150">
        <f t="shared" si="798"/>
        <v>0.5960814199757194</v>
      </c>
      <c r="CI311" s="147">
        <v>95</v>
      </c>
      <c r="CJ311" s="188">
        <f t="shared" si="856"/>
        <v>3.8</v>
      </c>
      <c r="CK311" s="188"/>
      <c r="CL311" s="188">
        <f t="shared" si="799"/>
        <v>114</v>
      </c>
      <c r="CM311" s="465">
        <f t="shared" si="800"/>
        <v>48</v>
      </c>
      <c r="CN311" s="379">
        <f t="shared" si="801"/>
        <v>30.4</v>
      </c>
      <c r="CO311" s="379">
        <f t="shared" si="802"/>
        <v>78.400000000000006</v>
      </c>
      <c r="CP311" s="379"/>
      <c r="CQ311" s="188">
        <f t="shared" si="803"/>
        <v>0.38775510204081626</v>
      </c>
      <c r="CR311" s="149">
        <f t="shared" si="804"/>
        <v>284.85494809142222</v>
      </c>
      <c r="CS311" s="149">
        <f t="shared" si="805"/>
        <v>114</v>
      </c>
      <c r="CT311" s="188">
        <f t="shared" si="806"/>
        <v>9.4951649363807409</v>
      </c>
      <c r="CU311" s="188">
        <f t="shared" si="807"/>
        <v>30</v>
      </c>
      <c r="CV311" s="188"/>
      <c r="CW311" s="149">
        <f t="shared" si="808"/>
        <v>143.5209663614269</v>
      </c>
      <c r="CX311" s="149">
        <f t="shared" si="809"/>
        <v>30</v>
      </c>
      <c r="CY311" s="188">
        <f t="shared" si="810"/>
        <v>12.250000000000004</v>
      </c>
      <c r="CZ311" s="188">
        <f t="shared" si="811"/>
        <v>1.1994791666666669</v>
      </c>
      <c r="DA311" s="188">
        <f t="shared" si="812"/>
        <v>1.8939144736842113</v>
      </c>
      <c r="DB311" s="172">
        <f t="shared" si="813"/>
        <v>350</v>
      </c>
      <c r="DC311" s="379">
        <f t="shared" si="814"/>
        <v>323.26955966928665</v>
      </c>
      <c r="DE311" s="188">
        <f t="shared" si="815"/>
        <v>11.314434588425037</v>
      </c>
      <c r="DF311" s="150">
        <f t="shared" si="816"/>
        <v>1.7492711370262393</v>
      </c>
      <c r="DG311" s="150">
        <f t="shared" si="817"/>
        <v>3.463602425028073</v>
      </c>
      <c r="DH311" s="150"/>
      <c r="DI311" s="150">
        <f t="shared" si="818"/>
        <v>0.93700159489633172</v>
      </c>
      <c r="DJ311" s="314">
        <f t="shared" si="819"/>
        <v>1338.3114893617019</v>
      </c>
      <c r="DK311" s="456">
        <f t="shared" si="820"/>
        <v>0.99378957034459414</v>
      </c>
      <c r="DM311" s="150">
        <f t="shared" si="821"/>
        <v>11.851153868898846</v>
      </c>
      <c r="DN311" s="150">
        <f t="shared" si="822"/>
        <v>12.250000000000004</v>
      </c>
      <c r="DO311" s="150">
        <f t="shared" si="823"/>
        <v>5.7847362514029212</v>
      </c>
      <c r="DQ311" s="314">
        <f t="shared" si="824"/>
        <v>3800</v>
      </c>
      <c r="DR311" s="144">
        <f t="shared" si="825"/>
        <v>323.26955966928665</v>
      </c>
      <c r="DT311">
        <f t="shared" si="826"/>
        <v>3800</v>
      </c>
      <c r="DU311">
        <f t="shared" si="827"/>
        <v>323.26955966928665</v>
      </c>
      <c r="DW311" s="5">
        <f t="shared" si="857"/>
        <v>3.0933936403508779</v>
      </c>
      <c r="DX311" s="5">
        <f t="shared" si="828"/>
        <v>1.1994791666666669</v>
      </c>
      <c r="DY311" s="5">
        <f t="shared" si="829"/>
        <v>1.8939144736842111</v>
      </c>
      <c r="DZ311" s="5"/>
      <c r="EA311" s="150">
        <f t="shared" si="830"/>
        <v>0.38775510204081631</v>
      </c>
      <c r="EB311" s="150">
        <f t="shared" si="858"/>
        <v>114.00000000000004</v>
      </c>
      <c r="EC311" s="150">
        <f t="shared" si="859"/>
        <v>3.7500000000000013</v>
      </c>
      <c r="ED311" s="150">
        <f t="shared" si="860"/>
        <v>30.400000000000002</v>
      </c>
      <c r="EE311" s="144">
        <f t="shared" si="831"/>
        <v>15.193402777777779</v>
      </c>
      <c r="EF311" s="5">
        <f t="shared" si="832"/>
        <v>2.6459099264705883</v>
      </c>
      <c r="EH311" s="150">
        <f t="shared" si="861"/>
        <v>4.4040700872412719</v>
      </c>
      <c r="EI311" s="150">
        <f t="shared" si="862"/>
        <v>5.5339859052946654</v>
      </c>
      <c r="EK311" s="456">
        <f t="shared" si="863"/>
        <v>0.23275000000000012</v>
      </c>
      <c r="EL311" s="456">
        <f t="shared" si="864"/>
        <v>5.8988936170212778</v>
      </c>
      <c r="EM311" s="456">
        <f t="shared" si="865"/>
        <v>3.7175999361967971E-2</v>
      </c>
      <c r="EN311" s="456">
        <f t="shared" si="866"/>
        <v>1.0282702978723404</v>
      </c>
      <c r="EO311">
        <f t="shared" si="867"/>
        <v>2.1600000000000001E-2</v>
      </c>
      <c r="EP311" s="144">
        <f t="shared" si="868"/>
        <v>58.775999361967969</v>
      </c>
      <c r="EQ311" s="144"/>
      <c r="ER311" s="144">
        <f t="shared" si="869"/>
        <v>7218.6899142555867</v>
      </c>
      <c r="ES311" s="456">
        <f t="shared" si="870"/>
        <v>2.6599999999999997</v>
      </c>
      <c r="EV311" s="144">
        <f t="shared" si="871"/>
        <v>2659.9999999999995</v>
      </c>
      <c r="EW311" s="456">
        <f t="shared" si="872"/>
        <v>0.27154166666666679</v>
      </c>
      <c r="EX311" s="456">
        <f t="shared" si="873"/>
        <v>0.42875000000000024</v>
      </c>
      <c r="EY311" s="456">
        <f t="shared" si="874"/>
        <v>49.34262559706174</v>
      </c>
      <c r="EZ311" s="456"/>
      <c r="FA311" s="456">
        <f t="shared" si="875"/>
        <v>4.8510638297872353</v>
      </c>
      <c r="FB311" s="144">
        <f t="shared" si="876"/>
        <v>54893.981093515642</v>
      </c>
      <c r="FC311" s="150">
        <f t="shared" si="877"/>
        <v>64.772671007771223</v>
      </c>
      <c r="FD311" s="5">
        <f t="shared" si="878"/>
        <v>114</v>
      </c>
      <c r="FE311" s="150">
        <f t="shared" si="879"/>
        <v>0.63768136011708654</v>
      </c>
      <c r="FF311" s="5">
        <f t="shared" si="880"/>
        <v>63.768136011708656</v>
      </c>
      <c r="FI311" s="59">
        <f t="shared" si="833"/>
        <v>-50</v>
      </c>
      <c r="FJ311">
        <f t="shared" si="834"/>
        <v>-50</v>
      </c>
      <c r="FL311">
        <f t="shared" si="835"/>
        <v>0.61224489795918369</v>
      </c>
    </row>
    <row r="312" spans="5:168">
      <c r="E312" s="147">
        <v>96</v>
      </c>
      <c r="F312" s="188">
        <f t="shared" si="836"/>
        <v>3.84</v>
      </c>
      <c r="G312" s="188"/>
      <c r="H312" s="188">
        <f>F312*Vout</f>
        <v>115.19999999999999</v>
      </c>
      <c r="I312" s="465">
        <f t="shared" si="763"/>
        <v>47.832553400014859</v>
      </c>
      <c r="J312" s="149">
        <f t="shared" si="764"/>
        <v>30.490163553838151</v>
      </c>
      <c r="K312" s="149">
        <f t="shared" si="765"/>
        <v>78.322716953853018</v>
      </c>
      <c r="L312" s="379"/>
      <c r="M312" s="188">
        <f t="shared" si="766"/>
        <v>0.38927052244161647</v>
      </c>
      <c r="N312" s="149">
        <f>M312*I312*(Isw_max+VIN_max/Lmag*ILIM_delay)*0.5*Efficiency</f>
        <v>284.97062341778894</v>
      </c>
      <c r="O312" s="149">
        <f t="shared" si="760"/>
        <v>115.19999999999999</v>
      </c>
      <c r="P312" s="188">
        <f>N312/Vout</f>
        <v>9.4990207805929643</v>
      </c>
      <c r="Q312" s="188">
        <f t="shared" si="769"/>
        <v>30</v>
      </c>
      <c r="R312" s="188"/>
      <c r="S312" s="149">
        <f t="shared" si="770"/>
        <v>141.03596767527608</v>
      </c>
      <c r="T312" s="149">
        <f>MIN(Vout, S312)</f>
        <v>30</v>
      </c>
      <c r="U312" s="188">
        <f t="shared" si="772"/>
        <v>12.373922503893811</v>
      </c>
      <c r="V312" s="188">
        <f>L*U312/I312*1000000</f>
        <v>1.2158547188970021</v>
      </c>
      <c r="W312" s="188">
        <f t="shared" si="774"/>
        <v>1.9074163267641757</v>
      </c>
      <c r="X312" s="172">
        <f t="shared" si="775"/>
        <v>350</v>
      </c>
      <c r="Y312" s="379">
        <f t="shared" si="837"/>
        <v>300.90834790788062</v>
      </c>
      <c r="AA312" s="188">
        <f t="shared" si="776"/>
        <v>11.319563297573239</v>
      </c>
      <c r="AB312" s="150">
        <f>L*AA312/J312*1000000</f>
        <v>1.7448888853827444</v>
      </c>
      <c r="AC312" s="150">
        <f>0.5*AB312*AA312*Nps*X312/1000</f>
        <v>3.4564915324313485</v>
      </c>
      <c r="AD312" s="150"/>
      <c r="AE312" s="150">
        <f t="shared" si="779"/>
        <v>0.93423075394630883</v>
      </c>
      <c r="AF312" s="314">
        <f>MAX(12000,F312/(0.5*AE312/1000000*Isw_min*Nps))/1000</f>
        <v>1356.4100674776407</v>
      </c>
      <c r="AG312" s="456">
        <f t="shared" si="781"/>
        <v>0.99085079964002454</v>
      </c>
      <c r="AI312" s="150">
        <f t="shared" si="782"/>
        <v>11.931018960285206</v>
      </c>
      <c r="AJ312" s="150">
        <f>MAX(IF(F312&gt;AC312,U312,AI312),Isw_min)</f>
        <v>12.373922503893811</v>
      </c>
      <c r="AK312" s="150">
        <f>IF(F312&gt;AG312, (AJ312-Isw_min)/1.08*0.8+1.2, AF312*0.2/350+1)</f>
        <v>5.876530698731667</v>
      </c>
      <c r="AM312" s="314">
        <f t="shared" si="785"/>
        <v>3840</v>
      </c>
      <c r="AN312" s="144">
        <f t="shared" si="786"/>
        <v>300.90834790788062</v>
      </c>
      <c r="AP312">
        <f t="shared" si="787"/>
        <v>3840</v>
      </c>
      <c r="AQ312">
        <f t="shared" si="788"/>
        <v>300.90834790788062</v>
      </c>
      <c r="AS312" s="5">
        <f t="shared" si="761"/>
        <v>3.323271045661178</v>
      </c>
      <c r="AT312" s="5">
        <f t="shared" si="789"/>
        <v>1.2158547188970021</v>
      </c>
      <c r="AU312" s="5">
        <f t="shared" si="881"/>
        <v>2.1074163267641759</v>
      </c>
      <c r="AV312" s="5"/>
      <c r="AW312" s="150">
        <f t="shared" si="882"/>
        <v>0.36586083475929754</v>
      </c>
      <c r="AX312" s="150">
        <f t="shared" si="790"/>
        <v>108.27218023063223</v>
      </c>
      <c r="AY312" s="150">
        <f t="shared" si="791"/>
        <v>3.9233944436861821</v>
      </c>
      <c r="AZ312" s="150">
        <f t="shared" si="792"/>
        <v>27.596557466933223</v>
      </c>
      <c r="BA312" s="144">
        <f t="shared" si="883"/>
        <v>15.562940401881628</v>
      </c>
      <c r="BB312" s="5">
        <f t="shared" si="884"/>
        <v>2.9855911383312974</v>
      </c>
      <c r="BD312" s="150">
        <f t="shared" si="838"/>
        <v>4.321203556711521</v>
      </c>
      <c r="BE312" s="150">
        <f t="shared" si="839"/>
        <v>5.6890408563822881</v>
      </c>
      <c r="BG312" s="456">
        <f t="shared" si="840"/>
        <v>0.2240736021424356</v>
      </c>
      <c r="BH312" s="456">
        <f t="shared" si="793"/>
        <v>5.3222128746998978</v>
      </c>
      <c r="BI312" s="456">
        <f t="shared" si="841"/>
        <v>3.4604460009406278E-2</v>
      </c>
      <c r="BJ312" s="456">
        <f t="shared" si="842"/>
        <v>0.95525667083473687</v>
      </c>
      <c r="BK312">
        <f t="shared" si="843"/>
        <v>2.1524649030006685E-2</v>
      </c>
      <c r="BL312" s="144">
        <f t="shared" si="844"/>
        <v>56.12910903941296</v>
      </c>
      <c r="BM312" s="456">
        <f t="shared" si="794"/>
        <v>6.9310514207086236</v>
      </c>
      <c r="BN312" s="144">
        <f t="shared" si="845"/>
        <v>6931.0514207086235</v>
      </c>
      <c r="BO312" s="456">
        <f t="shared" si="795"/>
        <v>2.6879999999999997</v>
      </c>
      <c r="BR312" s="144">
        <f t="shared" si="846"/>
        <v>2687.9999999999995</v>
      </c>
      <c r="BS312" s="456">
        <f t="shared" si="847"/>
        <v>0.26141920249950817</v>
      </c>
      <c r="BT312" s="456">
        <f t="shared" si="848"/>
        <v>0.45311260211821686</v>
      </c>
      <c r="BU312" s="456">
        <f t="shared" si="849"/>
        <v>42.298413105575555</v>
      </c>
      <c r="BV312" s="456"/>
      <c r="BW312" s="456">
        <f t="shared" si="850"/>
        <v>4.6073268183247773</v>
      </c>
      <c r="BX312" s="144">
        <f t="shared" si="851"/>
        <v>47620.271728518062</v>
      </c>
      <c r="BY312" s="150">
        <f t="shared" si="852"/>
        <v>56.865943985234544</v>
      </c>
      <c r="BZ312" s="5">
        <f t="shared" si="853"/>
        <v>115.19999999999999</v>
      </c>
      <c r="CA312" s="150">
        <f t="shared" si="854"/>
        <v>0.6695107546086263</v>
      </c>
      <c r="CB312" s="5">
        <f t="shared" si="855"/>
        <v>66.951075460862626</v>
      </c>
      <c r="CE312" s="59">
        <f t="shared" si="796"/>
        <v>-50</v>
      </c>
      <c r="CF312">
        <f t="shared" si="797"/>
        <v>-50</v>
      </c>
      <c r="CG312" s="150">
        <f t="shared" si="798"/>
        <v>0.59624978953804708</v>
      </c>
      <c r="CI312" s="147">
        <v>96</v>
      </c>
      <c r="CJ312" s="188">
        <f t="shared" si="856"/>
        <v>3.84</v>
      </c>
      <c r="CK312" s="188"/>
      <c r="CL312" s="188">
        <f t="shared" si="799"/>
        <v>115.19999999999999</v>
      </c>
      <c r="CM312" s="465">
        <f t="shared" si="800"/>
        <v>48</v>
      </c>
      <c r="CN312" s="379">
        <f t="shared" si="801"/>
        <v>30.4</v>
      </c>
      <c r="CO312" s="379">
        <f t="shared" si="802"/>
        <v>78.400000000000006</v>
      </c>
      <c r="CP312" s="379"/>
      <c r="CQ312" s="188">
        <f t="shared" si="803"/>
        <v>0.38775510204081626</v>
      </c>
      <c r="CR312" s="149">
        <f t="shared" si="804"/>
        <v>284.85494809142222</v>
      </c>
      <c r="CS312" s="149">
        <f t="shared" si="805"/>
        <v>115.19999999999999</v>
      </c>
      <c r="CT312" s="188">
        <f t="shared" si="806"/>
        <v>9.4951649363807409</v>
      </c>
      <c r="CU312" s="188">
        <f t="shared" si="807"/>
        <v>30</v>
      </c>
      <c r="CV312" s="188"/>
      <c r="CW312" s="149">
        <f t="shared" si="808"/>
        <v>141.52921809312454</v>
      </c>
      <c r="CX312" s="149">
        <f t="shared" si="809"/>
        <v>30</v>
      </c>
      <c r="CY312" s="188">
        <f t="shared" si="810"/>
        <v>12.378947368421054</v>
      </c>
      <c r="CZ312" s="188">
        <f t="shared" si="811"/>
        <v>1.2121052631578948</v>
      </c>
      <c r="DA312" s="188">
        <f t="shared" si="812"/>
        <v>1.9138504155124654</v>
      </c>
      <c r="DB312" s="172">
        <f t="shared" si="813"/>
        <v>350</v>
      </c>
      <c r="DC312" s="379">
        <f t="shared" si="814"/>
        <v>319.90216842273168</v>
      </c>
      <c r="DE312" s="188">
        <f t="shared" si="815"/>
        <v>11.314434588425037</v>
      </c>
      <c r="DF312" s="150">
        <f t="shared" si="816"/>
        <v>1.7492711370262393</v>
      </c>
      <c r="DG312" s="150">
        <f t="shared" si="817"/>
        <v>3.463602425028073</v>
      </c>
      <c r="DH312" s="150"/>
      <c r="DI312" s="150">
        <f t="shared" si="818"/>
        <v>0.93700159489633172</v>
      </c>
      <c r="DJ312" s="314">
        <f t="shared" si="819"/>
        <v>1352.3989787234043</v>
      </c>
      <c r="DK312" s="456">
        <f t="shared" si="820"/>
        <v>0.99378957034459414</v>
      </c>
      <c r="DM312" s="150">
        <f t="shared" si="821"/>
        <v>11.913365077810871</v>
      </c>
      <c r="DN312" s="150">
        <f t="shared" si="822"/>
        <v>12.378947368421054</v>
      </c>
      <c r="DO312" s="150">
        <f t="shared" si="823"/>
        <v>5.8802528206036984</v>
      </c>
      <c r="DQ312" s="314">
        <f t="shared" si="824"/>
        <v>3840</v>
      </c>
      <c r="DR312" s="144">
        <f t="shared" si="825"/>
        <v>319.90216842273168</v>
      </c>
      <c r="DT312">
        <f t="shared" si="826"/>
        <v>3840</v>
      </c>
      <c r="DU312">
        <f t="shared" si="827"/>
        <v>319.90216842273168</v>
      </c>
      <c r="DW312" s="5">
        <f t="shared" si="857"/>
        <v>3.1259556786703602</v>
      </c>
      <c r="DX312" s="5">
        <f t="shared" si="828"/>
        <v>1.2121052631578948</v>
      </c>
      <c r="DY312" s="5">
        <f t="shared" si="829"/>
        <v>1.9138504155124654</v>
      </c>
      <c r="DZ312" s="5"/>
      <c r="EA312" s="150">
        <f t="shared" si="830"/>
        <v>0.38775510204081631</v>
      </c>
      <c r="EB312" s="150">
        <f t="shared" si="858"/>
        <v>115.20000000000003</v>
      </c>
      <c r="EC312" s="150">
        <f t="shared" si="859"/>
        <v>3.7894736842105265</v>
      </c>
      <c r="ED312" s="150">
        <f t="shared" si="860"/>
        <v>30.400000000000006</v>
      </c>
      <c r="EE312" s="144">
        <f t="shared" si="831"/>
        <v>15.514947368421051</v>
      </c>
      <c r="EF312" s="5">
        <f t="shared" si="832"/>
        <v>2.7019064689587746</v>
      </c>
      <c r="EH312" s="150">
        <f t="shared" si="861"/>
        <v>4.4504287197385475</v>
      </c>
      <c r="EI312" s="150">
        <f t="shared" si="862"/>
        <v>5.5922383885082931</v>
      </c>
      <c r="EK312" s="456">
        <f t="shared" si="863"/>
        <v>0.23767578947368423</v>
      </c>
      <c r="EL312" s="456">
        <f t="shared" si="864"/>
        <v>5.8988936170212778</v>
      </c>
      <c r="EM312" s="456">
        <f t="shared" si="865"/>
        <v>3.6788749368614149E-2</v>
      </c>
      <c r="EN312" s="456">
        <f t="shared" si="866"/>
        <v>1.0175591489361706</v>
      </c>
      <c r="EO312">
        <f t="shared" si="867"/>
        <v>2.1600000000000001E-2</v>
      </c>
      <c r="EP312" s="144">
        <f t="shared" si="868"/>
        <v>58.38874936861415</v>
      </c>
      <c r="EQ312" s="144"/>
      <c r="ER312" s="144">
        <f t="shared" si="869"/>
        <v>7212.5173047997469</v>
      </c>
      <c r="ES312" s="456">
        <f t="shared" si="870"/>
        <v>2.6879999999999997</v>
      </c>
      <c r="EV312" s="144">
        <f t="shared" si="871"/>
        <v>2687.9999999999995</v>
      </c>
      <c r="EW312" s="456">
        <f t="shared" si="872"/>
        <v>0.27728842105263163</v>
      </c>
      <c r="EX312" s="456">
        <f t="shared" si="873"/>
        <v>0.43782382271468168</v>
      </c>
      <c r="EY312" s="456">
        <f t="shared" si="874"/>
        <v>49.342625597061748</v>
      </c>
      <c r="EZ312" s="456"/>
      <c r="FA312" s="456">
        <f t="shared" si="875"/>
        <v>4.9021276595744698</v>
      </c>
      <c r="FB312" s="144">
        <f t="shared" si="876"/>
        <v>54959.865500403532</v>
      </c>
      <c r="FC312" s="150">
        <f t="shared" si="877"/>
        <v>64.860382805203272</v>
      </c>
      <c r="FD312" s="5">
        <f t="shared" si="878"/>
        <v>115.19999999999999</v>
      </c>
      <c r="FE312" s="150">
        <f t="shared" si="879"/>
        <v>0.6397853775787431</v>
      </c>
      <c r="FF312" s="5">
        <f t="shared" si="880"/>
        <v>63.978537757874307</v>
      </c>
      <c r="FI312" s="59">
        <f t="shared" si="833"/>
        <v>-50</v>
      </c>
      <c r="FJ312">
        <f t="shared" si="834"/>
        <v>-50</v>
      </c>
      <c r="FL312">
        <f t="shared" si="835"/>
        <v>0.61224489795918369</v>
      </c>
    </row>
    <row r="313" spans="5:168">
      <c r="E313" s="147">
        <v>97</v>
      </c>
      <c r="F313" s="188">
        <f>IF(PLOT_TYPE=1, E313/100*Iout_max, min_I*EXP(N313*rr/100))</f>
        <v>3.88</v>
      </c>
      <c r="G313" s="188"/>
      <c r="H313" s="188">
        <f>F313*Vout</f>
        <v>116.39999999999999</v>
      </c>
      <c r="I313" s="465">
        <f t="shared" si="763"/>
        <v>47.83085594284708</v>
      </c>
      <c r="J313" s="149">
        <f t="shared" si="764"/>
        <v>30.49107756923619</v>
      </c>
      <c r="K313" s="149">
        <f t="shared" si="765"/>
        <v>78.321933512083262</v>
      </c>
      <c r="L313" s="379"/>
      <c r="M313" s="188">
        <f t="shared" si="766"/>
        <v>0.38928609177888374</v>
      </c>
      <c r="N313" s="149">
        <f>M313*I313*(Isw_max+VIN_max/Lmag*ILIM_delay)*0.5*Efficiency</f>
        <v>284.97190786054063</v>
      </c>
      <c r="O313" s="149">
        <f t="shared" si="760"/>
        <v>116.39999999999999</v>
      </c>
      <c r="P313" s="188">
        <f>N313/Vout</f>
        <v>9.4990635953513536</v>
      </c>
      <c r="Q313" s="188">
        <f t="shared" si="769"/>
        <v>30</v>
      </c>
      <c r="R313" s="188"/>
      <c r="S313" s="149">
        <f t="shared" si="770"/>
        <v>139.08721802437265</v>
      </c>
      <c r="T313" s="149">
        <f>MIN(Vout, S313)</f>
        <v>30</v>
      </c>
      <c r="U313" s="188">
        <f t="shared" si="772"/>
        <v>12.50276117651484</v>
      </c>
      <c r="V313" s="188">
        <f>L*U313/I313*1000000</f>
        <v>1.2285579333941967</v>
      </c>
      <c r="W313" s="188">
        <f t="shared" si="774"/>
        <v>1.9272187870758739</v>
      </c>
      <c r="X313" s="172">
        <f t="shared" si="775"/>
        <v>350</v>
      </c>
      <c r="Y313" s="379">
        <f t="shared" si="837"/>
        <v>297.99360425264581</v>
      </c>
      <c r="AA313" s="188">
        <f t="shared" si="776"/>
        <v>11.31961414073724</v>
      </c>
      <c r="AB313" s="150">
        <f>L*AA313/J313*1000000</f>
        <v>1.7448444168842066</v>
      </c>
      <c r="AC313" s="150">
        <f>0.5*AB313*AA313*Nps*X313/1000</f>
        <v>3.4564189685810556</v>
      </c>
      <c r="AD313" s="150"/>
      <c r="AE313" s="150">
        <f t="shared" si="779"/>
        <v>0.9342027489900232</v>
      </c>
      <c r="AF313" s="314">
        <f>MAX(12000,F313/(0.5*AE313/1000000*Isw_min*Nps))/1000</f>
        <v>1370.5804242004792</v>
      </c>
      <c r="AG313" s="456">
        <f t="shared" si="781"/>
        <v>0.99082109741366109</v>
      </c>
      <c r="AI313" s="150">
        <f t="shared" si="782"/>
        <v>11.993178454652906</v>
      </c>
      <c r="AJ313" s="150">
        <f>MAX(IF(F313&gt;AC313,U313,AI313),Isw_min)</f>
        <v>12.50276117651484</v>
      </c>
      <c r="AK313" s="150">
        <f>IF(F313&gt;AG313, (AJ313-Isw_min)/1.08*0.8+1.2, AF313*0.2/350+1)</f>
        <v>5.9719667525250211</v>
      </c>
      <c r="AM313" s="314">
        <f t="shared" si="785"/>
        <v>3880</v>
      </c>
      <c r="AN313" s="144">
        <f t="shared" si="786"/>
        <v>297.99360425264581</v>
      </c>
      <c r="AP313">
        <f t="shared" si="787"/>
        <v>3880</v>
      </c>
      <c r="AQ313">
        <f t="shared" si="788"/>
        <v>297.99360425264581</v>
      </c>
      <c r="AS313" s="5">
        <f t="shared" si="761"/>
        <v>3.3557767204700713</v>
      </c>
      <c r="AT313" s="5">
        <f t="shared" si="789"/>
        <v>1.2285579333941967</v>
      </c>
      <c r="AU313" s="5">
        <f t="shared" si="881"/>
        <v>2.1272187870758748</v>
      </c>
      <c r="AV313" s="5"/>
      <c r="AW313" s="150">
        <f t="shared" si="882"/>
        <v>0.36610240660531862</v>
      </c>
      <c r="AX313" s="150">
        <f t="shared" si="790"/>
        <v>109.46787216087908</v>
      </c>
      <c r="AY313" s="150">
        <f t="shared" si="791"/>
        <v>3.9627351102906059</v>
      </c>
      <c r="AZ313" s="150">
        <f t="shared" si="792"/>
        <v>27.624322371840616</v>
      </c>
      <c r="BA313" s="144">
        <f t="shared" si="883"/>
        <v>15.889349271898279</v>
      </c>
      <c r="BB313" s="5">
        <f t="shared" si="884"/>
        <v>3.0451456237850509</v>
      </c>
      <c r="BD313" s="150">
        <f t="shared" si="838"/>
        <v>4.3676376397872669</v>
      </c>
      <c r="BE313" s="150">
        <f t="shared" si="839"/>
        <v>5.747180798139417</v>
      </c>
      <c r="BG313" s="456">
        <f t="shared" si="840"/>
        <v>0.22891510262983783</v>
      </c>
      <c r="BH313" s="456">
        <f t="shared" si="793"/>
        <v>5.3254847770124814</v>
      </c>
      <c r="BI313" s="456">
        <f t="shared" si="841"/>
        <v>3.4269264489054277E-2</v>
      </c>
      <c r="BJ313" s="456">
        <f t="shared" si="842"/>
        <v>0.94598466798460346</v>
      </c>
      <c r="BK313">
        <f t="shared" si="843"/>
        <v>2.1523885174281186E-2</v>
      </c>
      <c r="BL313" s="144">
        <f t="shared" si="844"/>
        <v>55.793149663335463</v>
      </c>
      <c r="BM313" s="456">
        <f t="shared" si="794"/>
        <v>6.939640243066032</v>
      </c>
      <c r="BN313" s="144">
        <f t="shared" si="845"/>
        <v>6939.6402430660319</v>
      </c>
      <c r="BO313" s="456">
        <f t="shared" si="795"/>
        <v>2.7159999999999997</v>
      </c>
      <c r="BR313" s="144">
        <f t="shared" si="846"/>
        <v>2715.9999999999995</v>
      </c>
      <c r="BS313" s="456">
        <f t="shared" si="847"/>
        <v>0.2670676197348108</v>
      </c>
      <c r="BT313" s="456">
        <f t="shared" si="848"/>
        <v>0.46242121977103395</v>
      </c>
      <c r="BU313" s="456">
        <f t="shared" si="849"/>
        <v>42.364511280612717</v>
      </c>
      <c r="BV313" s="456"/>
      <c r="BW313" s="456">
        <f t="shared" si="850"/>
        <v>4.6582073259948542</v>
      </c>
      <c r="BX313" s="144">
        <f t="shared" si="851"/>
        <v>47752.207446113418</v>
      </c>
      <c r="BY313" s="150">
        <f t="shared" si="852"/>
        <v>57.02438514340367</v>
      </c>
      <c r="BZ313" s="5">
        <f t="shared" si="853"/>
        <v>116.39999999999999</v>
      </c>
      <c r="CA313" s="150">
        <f t="shared" si="854"/>
        <v>0.67118588832677406</v>
      </c>
      <c r="CB313" s="5">
        <f t="shared" si="855"/>
        <v>67.118588832677403</v>
      </c>
      <c r="CE313" s="59">
        <f t="shared" si="796"/>
        <v>-50</v>
      </c>
      <c r="CF313">
        <f t="shared" si="797"/>
        <v>-50</v>
      </c>
      <c r="CG313" s="150">
        <f t="shared" si="798"/>
        <v>0.59641468756300731</v>
      </c>
      <c r="CI313" s="147">
        <v>97</v>
      </c>
      <c r="CJ313" s="188">
        <f t="shared" si="856"/>
        <v>3.88</v>
      </c>
      <c r="CK313" s="188"/>
      <c r="CL313" s="188">
        <f t="shared" si="799"/>
        <v>116.39999999999999</v>
      </c>
      <c r="CM313" s="465">
        <f t="shared" si="800"/>
        <v>48</v>
      </c>
      <c r="CN313" s="379">
        <f t="shared" si="801"/>
        <v>30.4</v>
      </c>
      <c r="CO313" s="379">
        <f t="shared" si="802"/>
        <v>78.400000000000006</v>
      </c>
      <c r="CP313" s="379"/>
      <c r="CQ313" s="188">
        <f t="shared" si="803"/>
        <v>0.38775510204081626</v>
      </c>
      <c r="CR313" s="149">
        <f t="shared" si="804"/>
        <v>284.85494809142222</v>
      </c>
      <c r="CS313" s="149">
        <f t="shared" si="805"/>
        <v>116.39999999999999</v>
      </c>
      <c r="CT313" s="188">
        <f t="shared" si="806"/>
        <v>9.4951649363807409</v>
      </c>
      <c r="CU313" s="188">
        <f t="shared" si="807"/>
        <v>30</v>
      </c>
      <c r="CV313" s="188"/>
      <c r="CW313" s="149">
        <f t="shared" si="808"/>
        <v>139.57858838981639</v>
      </c>
      <c r="CX313" s="149">
        <f t="shared" si="809"/>
        <v>30</v>
      </c>
      <c r="CY313" s="188">
        <f t="shared" si="810"/>
        <v>12.507894736842108</v>
      </c>
      <c r="CZ313" s="188">
        <f t="shared" si="811"/>
        <v>1.2247313596491229</v>
      </c>
      <c r="DA313" s="188">
        <f t="shared" si="812"/>
        <v>1.9337863573407206</v>
      </c>
      <c r="DB313" s="172">
        <f t="shared" si="813"/>
        <v>350</v>
      </c>
      <c r="DC313" s="379">
        <f t="shared" si="814"/>
        <v>316.60420792352824</v>
      </c>
      <c r="DE313" s="188">
        <f t="shared" si="815"/>
        <v>11.314434588425037</v>
      </c>
      <c r="DF313" s="150">
        <f t="shared" si="816"/>
        <v>1.7492711370262393</v>
      </c>
      <c r="DG313" s="150">
        <f t="shared" si="817"/>
        <v>3.463602425028073</v>
      </c>
      <c r="DH313" s="150"/>
      <c r="DI313" s="150">
        <f t="shared" si="818"/>
        <v>0.93700159489633172</v>
      </c>
      <c r="DJ313" s="314">
        <f t="shared" si="819"/>
        <v>1366.4864680851065</v>
      </c>
      <c r="DK313" s="456">
        <f t="shared" si="820"/>
        <v>0.99378957034459414</v>
      </c>
      <c r="DM313" s="150">
        <f t="shared" si="821"/>
        <v>11.975253105053403</v>
      </c>
      <c r="DN313" s="150">
        <f t="shared" si="822"/>
        <v>12.507894736842108</v>
      </c>
      <c r="DO313" s="150">
        <f t="shared" si="823"/>
        <v>5.9757693898044799</v>
      </c>
      <c r="DQ313" s="314">
        <f t="shared" si="824"/>
        <v>3880</v>
      </c>
      <c r="DR313" s="144">
        <f t="shared" si="825"/>
        <v>316.60420792352824</v>
      </c>
      <c r="DT313">
        <f t="shared" si="826"/>
        <v>3880</v>
      </c>
      <c r="DU313">
        <f t="shared" si="827"/>
        <v>316.60420792352824</v>
      </c>
      <c r="DW313" s="5">
        <f t="shared" si="857"/>
        <v>3.1585177169898428</v>
      </c>
      <c r="DX313" s="5">
        <f t="shared" si="828"/>
        <v>1.2247313596491229</v>
      </c>
      <c r="DY313" s="5">
        <f t="shared" si="829"/>
        <v>1.9337863573407199</v>
      </c>
      <c r="DZ313" s="5"/>
      <c r="EA313" s="150">
        <f t="shared" si="830"/>
        <v>0.38775510204081637</v>
      </c>
      <c r="EB313" s="150">
        <f t="shared" si="858"/>
        <v>116.40000000000006</v>
      </c>
      <c r="EC313" s="150">
        <f t="shared" si="859"/>
        <v>3.8289473684210535</v>
      </c>
      <c r="ED313" s="150">
        <f t="shared" si="860"/>
        <v>30.400000000000009</v>
      </c>
      <c r="EE313" s="144">
        <f t="shared" si="831"/>
        <v>15.839858918128655</v>
      </c>
      <c r="EF313" s="5">
        <f t="shared" si="832"/>
        <v>2.7584893626772029</v>
      </c>
      <c r="EH313" s="150">
        <f t="shared" si="861"/>
        <v>4.4967873522358248</v>
      </c>
      <c r="EI313" s="150">
        <f t="shared" si="862"/>
        <v>5.6504908717219209</v>
      </c>
      <c r="EK313" s="456">
        <f t="shared" si="863"/>
        <v>0.24265315789473699</v>
      </c>
      <c r="EL313" s="456">
        <f t="shared" si="864"/>
        <v>5.8988936170212787</v>
      </c>
      <c r="EM313" s="456">
        <f t="shared" si="865"/>
        <v>3.6409483911205756E-2</v>
      </c>
      <c r="EN313" s="456">
        <f t="shared" si="866"/>
        <v>1.0070688484316739</v>
      </c>
      <c r="EO313">
        <f t="shared" si="867"/>
        <v>2.1600000000000001E-2</v>
      </c>
      <c r="EP313" s="144">
        <f t="shared" si="868"/>
        <v>58.009483911205756</v>
      </c>
      <c r="EQ313" s="144"/>
      <c r="ER313" s="144">
        <f t="shared" si="869"/>
        <v>7206.6251072588957</v>
      </c>
      <c r="ES313" s="456">
        <f t="shared" si="870"/>
        <v>2.7159999999999997</v>
      </c>
      <c r="EV313" s="144">
        <f t="shared" si="871"/>
        <v>2715.9999999999995</v>
      </c>
      <c r="EW313" s="456">
        <f t="shared" si="872"/>
        <v>0.28309535087719312</v>
      </c>
      <c r="EX313" s="456">
        <f t="shared" si="873"/>
        <v>0.44699265927977855</v>
      </c>
      <c r="EY313" s="456">
        <f t="shared" si="874"/>
        <v>49.342625597061748</v>
      </c>
      <c r="EZ313" s="456"/>
      <c r="FA313" s="456">
        <f t="shared" si="875"/>
        <v>4.9531914893617044</v>
      </c>
      <c r="FB313" s="144">
        <f t="shared" si="876"/>
        <v>55025.90509658042</v>
      </c>
      <c r="FC313" s="150">
        <f t="shared" si="877"/>
        <v>64.948530203839312</v>
      </c>
      <c r="FD313" s="5">
        <f t="shared" si="878"/>
        <v>116.39999999999999</v>
      </c>
      <c r="FE313" s="150">
        <f t="shared" si="879"/>
        <v>0.64185797298254432</v>
      </c>
      <c r="FF313" s="5">
        <f t="shared" si="880"/>
        <v>64.185797298254428</v>
      </c>
      <c r="FI313" s="59">
        <f t="shared" si="833"/>
        <v>-50</v>
      </c>
      <c r="FJ313">
        <f t="shared" si="834"/>
        <v>-50</v>
      </c>
      <c r="FL313">
        <f t="shared" si="835"/>
        <v>0.61224489795918369</v>
      </c>
    </row>
    <row r="314" spans="5:168">
      <c r="E314" s="147">
        <v>98</v>
      </c>
      <c r="F314" s="188">
        <f>IF(PLOT_TYPE=1, E314/100*Iout_max, min_I*EXP(N314*rr/100))</f>
        <v>3.92</v>
      </c>
      <c r="G314" s="188"/>
      <c r="H314" s="188">
        <f>F314*Vout</f>
        <v>117.6</v>
      </c>
      <c r="I314" s="465">
        <f t="shared" si="763"/>
        <v>47.829158460347344</v>
      </c>
      <c r="J314" s="149">
        <f t="shared" si="764"/>
        <v>30.491991598274506</v>
      </c>
      <c r="K314" s="149">
        <f t="shared" si="765"/>
        <v>78.321150058621853</v>
      </c>
      <c r="L314" s="379"/>
      <c r="M314" s="188">
        <f t="shared" si="766"/>
        <v>0.38930166155329793</v>
      </c>
      <c r="N314" s="149">
        <f>M314*I314*(Isw_max+VIN_max/Lmag*ILIM_delay)*0.5*Efficiency</f>
        <v>284.97319166340299</v>
      </c>
      <c r="O314" s="149">
        <f t="shared" si="760"/>
        <v>117.6</v>
      </c>
      <c r="P314" s="188">
        <f>N314/Vout</f>
        <v>9.4991063887800991</v>
      </c>
      <c r="Q314" s="188">
        <f t="shared" si="769"/>
        <v>30</v>
      </c>
      <c r="R314" s="188"/>
      <c r="S314" s="149">
        <f t="shared" si="770"/>
        <v>137.17832493488251</v>
      </c>
      <c r="T314" s="149">
        <f>MIN(Vout, S314)</f>
        <v>30</v>
      </c>
      <c r="U314" s="188">
        <f t="shared" si="772"/>
        <v>12.631598716085527</v>
      </c>
      <c r="V314" s="188">
        <f>L*U314/I314*1000000</f>
        <v>1.2412619388823516</v>
      </c>
      <c r="W314" s="188">
        <f t="shared" si="774"/>
        <v>1.9470198846887241</v>
      </c>
      <c r="X314" s="172">
        <f t="shared" si="775"/>
        <v>350</v>
      </c>
      <c r="Y314" s="379">
        <f t="shared" si="837"/>
        <v>295.13483590513465</v>
      </c>
      <c r="AA314" s="188">
        <f t="shared" si="776"/>
        <v>11.319664961592155</v>
      </c>
      <c r="AB314" s="150">
        <f>L*AA314/J314*1000000</f>
        <v>1.7447999468323929</v>
      </c>
      <c r="AC314" s="150">
        <f>0.5*AB314*AA314*Nps*X314/1000</f>
        <v>3.4563463940506365</v>
      </c>
      <c r="AD314" s="150"/>
      <c r="AE314" s="150">
        <f t="shared" si="779"/>
        <v>0.93417474529477418</v>
      </c>
      <c r="AF314" s="314">
        <f>MAX(12000,F314/(0.5*AE314/1000000*Isw_min*Nps))/1000</f>
        <v>1384.7516286600223</v>
      </c>
      <c r="AG314" s="456">
        <f t="shared" si="781"/>
        <v>0.99079139652476045</v>
      </c>
      <c r="AI314" s="150">
        <f t="shared" si="782"/>
        <v>12.055021129214952</v>
      </c>
      <c r="AJ314" s="150">
        <f>MAX(IF(F314&gt;AC314,U314,AI314),Isw_min)</f>
        <v>12.631598716085527</v>
      </c>
      <c r="AK314" s="150">
        <f>IF(F314&gt;AG314, (AJ314-Isw_min)/1.08*0.8+1.2, AF314*0.2/350+1)</f>
        <v>6.0674019670218273</v>
      </c>
      <c r="AM314" s="314">
        <f t="shared" si="785"/>
        <v>3920</v>
      </c>
      <c r="AN314" s="144">
        <f t="shared" si="786"/>
        <v>295.13483590513465</v>
      </c>
      <c r="AP314">
        <f t="shared" si="787"/>
        <v>3920</v>
      </c>
      <c r="AQ314">
        <f t="shared" si="788"/>
        <v>295.13483590513465</v>
      </c>
      <c r="AS314" s="5">
        <f t="shared" si="761"/>
        <v>3.3882818235710763</v>
      </c>
      <c r="AT314" s="5">
        <f t="shared" si="789"/>
        <v>1.2412619388823516</v>
      </c>
      <c r="AU314" s="5">
        <f t="shared" si="881"/>
        <v>2.1470198846887247</v>
      </c>
      <c r="AV314" s="5"/>
      <c r="AW314" s="150">
        <f t="shared" si="882"/>
        <v>0.3663396386473321</v>
      </c>
      <c r="AX314" s="150">
        <f t="shared" si="790"/>
        <v>110.66364662568519</v>
      </c>
      <c r="AY314" s="150">
        <f t="shared" si="791"/>
        <v>4.0020717034483253</v>
      </c>
      <c r="AZ314" s="150">
        <f t="shared" si="792"/>
        <v>27.651590182737984</v>
      </c>
      <c r="BA314" s="144">
        <f t="shared" si="883"/>
        <v>16.219156001396058</v>
      </c>
      <c r="BB314" s="5">
        <f t="shared" si="884"/>
        <v>3.1052868728321603</v>
      </c>
      <c r="BD314" s="150">
        <f t="shared" si="838"/>
        <v>4.414074404383225</v>
      </c>
      <c r="BE314" s="150">
        <f t="shared" si="839"/>
        <v>5.8053173206960356</v>
      </c>
      <c r="BG314" s="456">
        <f t="shared" si="840"/>
        <v>0.23380863416917347</v>
      </c>
      <c r="BH314" s="456">
        <f t="shared" si="793"/>
        <v>5.3286932339684991</v>
      </c>
      <c r="BI314" s="456">
        <f t="shared" si="841"/>
        <v>3.3940506129090484E-2</v>
      </c>
      <c r="BJ314" s="456">
        <f t="shared" si="842"/>
        <v>0.93689072607033408</v>
      </c>
      <c r="BK314">
        <f t="shared" si="843"/>
        <v>2.1523121307156303E-2</v>
      </c>
      <c r="BL314" s="144">
        <f t="shared" si="844"/>
        <v>55.463627436246789</v>
      </c>
      <c r="BM314" s="456">
        <f t="shared" si="794"/>
        <v>6.9485322620649912</v>
      </c>
      <c r="BN314" s="144">
        <f t="shared" si="845"/>
        <v>6948.5322620649913</v>
      </c>
      <c r="BO314" s="456">
        <f t="shared" si="795"/>
        <v>2.7439999999999998</v>
      </c>
      <c r="BR314" s="144">
        <f t="shared" si="846"/>
        <v>2744</v>
      </c>
      <c r="BS314" s="456">
        <f t="shared" si="847"/>
        <v>0.27277673986403572</v>
      </c>
      <c r="BT314" s="456">
        <f t="shared" si="848"/>
        <v>0.47182392871562762</v>
      </c>
      <c r="BU314" s="456">
        <f t="shared" si="849"/>
        <v>42.429409769325694</v>
      </c>
      <c r="BV314" s="456"/>
      <c r="BW314" s="456">
        <f t="shared" si="850"/>
        <v>4.7090913457738388</v>
      </c>
      <c r="BX314" s="144">
        <f t="shared" si="851"/>
        <v>47883.101783679194</v>
      </c>
      <c r="BY314" s="150">
        <f t="shared" si="852"/>
        <v>57.181958005323452</v>
      </c>
      <c r="BZ314" s="5">
        <f t="shared" si="853"/>
        <v>117.6</v>
      </c>
      <c r="CA314" s="150">
        <f t="shared" si="854"/>
        <v>0.67283832577512481</v>
      </c>
      <c r="CB314" s="5">
        <f t="shared" si="855"/>
        <v>67.283832577512484</v>
      </c>
      <c r="CE314" s="59">
        <f t="shared" si="796"/>
        <v>-50</v>
      </c>
      <c r="CF314">
        <f t="shared" si="797"/>
        <v>-50</v>
      </c>
      <c r="CG314" s="150">
        <f t="shared" si="798"/>
        <v>0.59657622032215196</v>
      </c>
      <c r="CI314" s="147">
        <v>98</v>
      </c>
      <c r="CJ314" s="188">
        <f t="shared" si="856"/>
        <v>3.92</v>
      </c>
      <c r="CK314" s="188"/>
      <c r="CL314" s="188">
        <f t="shared" si="799"/>
        <v>117.6</v>
      </c>
      <c r="CM314" s="465">
        <f t="shared" si="800"/>
        <v>48</v>
      </c>
      <c r="CN314" s="379">
        <f t="shared" si="801"/>
        <v>30.4</v>
      </c>
      <c r="CO314" s="379">
        <f t="shared" si="802"/>
        <v>78.400000000000006</v>
      </c>
      <c r="CP314" s="379"/>
      <c r="CQ314" s="188">
        <f t="shared" si="803"/>
        <v>0.38775510204081626</v>
      </c>
      <c r="CR314" s="149">
        <f t="shared" si="804"/>
        <v>284.85494809142222</v>
      </c>
      <c r="CS314" s="149">
        <f t="shared" si="805"/>
        <v>117.6</v>
      </c>
      <c r="CT314" s="188">
        <f t="shared" si="806"/>
        <v>9.4951649363807409</v>
      </c>
      <c r="CU314" s="188">
        <f t="shared" si="807"/>
        <v>30</v>
      </c>
      <c r="CV314" s="188"/>
      <c r="CW314" s="149">
        <f t="shared" si="808"/>
        <v>137.66781905110199</v>
      </c>
      <c r="CX314" s="149">
        <f t="shared" si="809"/>
        <v>30</v>
      </c>
      <c r="CY314" s="188">
        <f t="shared" si="810"/>
        <v>12.63684210526316</v>
      </c>
      <c r="CZ314" s="188">
        <f t="shared" si="811"/>
        <v>1.2373574561403511</v>
      </c>
      <c r="DA314" s="188">
        <f t="shared" si="812"/>
        <v>1.9537222991689751</v>
      </c>
      <c r="DB314" s="172">
        <f t="shared" si="813"/>
        <v>350</v>
      </c>
      <c r="DC314" s="379">
        <f t="shared" si="814"/>
        <v>313.37355274063503</v>
      </c>
      <c r="DE314" s="188">
        <f t="shared" si="815"/>
        <v>11.314434588425037</v>
      </c>
      <c r="DF314" s="150">
        <f t="shared" si="816"/>
        <v>1.7492711370262393</v>
      </c>
      <c r="DG314" s="150">
        <f t="shared" si="817"/>
        <v>3.463602425028073</v>
      </c>
      <c r="DH314" s="150"/>
      <c r="DI314" s="150">
        <f t="shared" si="818"/>
        <v>0.93700159489633172</v>
      </c>
      <c r="DJ314" s="314">
        <f t="shared" si="819"/>
        <v>1380.5739574468084</v>
      </c>
      <c r="DK314" s="456">
        <f t="shared" si="820"/>
        <v>0.99378957034459414</v>
      </c>
      <c r="DM314" s="150">
        <f t="shared" si="821"/>
        <v>12.036822935599689</v>
      </c>
      <c r="DN314" s="150">
        <f t="shared" si="822"/>
        <v>12.63684210526316</v>
      </c>
      <c r="DO314" s="150">
        <f t="shared" si="823"/>
        <v>6.0712859590052588</v>
      </c>
      <c r="DQ314" s="314">
        <f t="shared" si="824"/>
        <v>3920</v>
      </c>
      <c r="DR314" s="144">
        <f t="shared" si="825"/>
        <v>313.37355274063503</v>
      </c>
      <c r="DT314">
        <f t="shared" si="826"/>
        <v>3920</v>
      </c>
      <c r="DU314">
        <f t="shared" si="827"/>
        <v>313.37355274063503</v>
      </c>
      <c r="DW314" s="5">
        <f t="shared" si="857"/>
        <v>3.1910797553093269</v>
      </c>
      <c r="DX314" s="5">
        <f t="shared" si="828"/>
        <v>1.2373574561403511</v>
      </c>
      <c r="DY314" s="5">
        <f t="shared" si="829"/>
        <v>1.9537222991689758</v>
      </c>
      <c r="DZ314" s="5"/>
      <c r="EA314" s="150">
        <f t="shared" si="830"/>
        <v>0.38775510204081626</v>
      </c>
      <c r="EB314" s="150">
        <f t="shared" si="858"/>
        <v>117.6</v>
      </c>
      <c r="EC314" s="150">
        <f t="shared" si="859"/>
        <v>3.8684210526315796</v>
      </c>
      <c r="ED314" s="150">
        <f t="shared" si="860"/>
        <v>30.399999999999991</v>
      </c>
      <c r="EE314" s="144">
        <f t="shared" si="831"/>
        <v>16.168137426900586</v>
      </c>
      <c r="EF314" s="5">
        <f t="shared" si="832"/>
        <v>2.8156586076258763</v>
      </c>
      <c r="EH314" s="150">
        <f t="shared" si="861"/>
        <v>4.5431459847331004</v>
      </c>
      <c r="EI314" s="150">
        <f t="shared" si="862"/>
        <v>5.7087433549355495</v>
      </c>
      <c r="EK314" s="456">
        <f t="shared" si="863"/>
        <v>0.24768210526315793</v>
      </c>
      <c r="EL314" s="456">
        <f t="shared" si="864"/>
        <v>5.8988936170212769</v>
      </c>
      <c r="EM314" s="456">
        <f t="shared" si="865"/>
        <v>3.6037958565173028E-2</v>
      </c>
      <c r="EN314" s="456">
        <f t="shared" si="866"/>
        <v>0.99679263569257504</v>
      </c>
      <c r="EO314">
        <f t="shared" si="867"/>
        <v>2.1600000000000001E-2</v>
      </c>
      <c r="EP314" s="144">
        <f t="shared" si="868"/>
        <v>57.63795856517303</v>
      </c>
      <c r="EQ314" s="144"/>
      <c r="ER314" s="144">
        <f t="shared" si="869"/>
        <v>7201.0063165421843</v>
      </c>
      <c r="ES314" s="456">
        <f t="shared" si="870"/>
        <v>2.7439999999999998</v>
      </c>
      <c r="EV314" s="144">
        <f t="shared" si="871"/>
        <v>2744</v>
      </c>
      <c r="EW314" s="456">
        <f t="shared" si="872"/>
        <v>0.28896245614035093</v>
      </c>
      <c r="EX314" s="456">
        <f t="shared" si="873"/>
        <v>0.45625650969529113</v>
      </c>
      <c r="EY314" s="456">
        <f t="shared" si="874"/>
        <v>49.342625597061748</v>
      </c>
      <c r="EZ314" s="456"/>
      <c r="FA314" s="456">
        <f t="shared" si="875"/>
        <v>5.0042553191489372</v>
      </c>
      <c r="FB314" s="144">
        <f t="shared" si="876"/>
        <v>55092.099882046328</v>
      </c>
      <c r="FC314" s="150">
        <f t="shared" si="877"/>
        <v>65.037106198588504</v>
      </c>
      <c r="FD314" s="5">
        <f t="shared" si="878"/>
        <v>117.6</v>
      </c>
      <c r="FE314" s="150">
        <f t="shared" si="879"/>
        <v>0.64389982105897414</v>
      </c>
      <c r="FF314" s="5">
        <f t="shared" si="880"/>
        <v>64.389982105897417</v>
      </c>
      <c r="FI314" s="59">
        <f t="shared" si="833"/>
        <v>-50</v>
      </c>
      <c r="FJ314">
        <f t="shared" si="834"/>
        <v>-50</v>
      </c>
      <c r="FL314">
        <f t="shared" si="835"/>
        <v>0.61224489795918369</v>
      </c>
    </row>
    <row r="315" spans="5:168">
      <c r="E315" s="147">
        <v>99</v>
      </c>
      <c r="F315" s="188">
        <f>IF(PLOT_TYPE=1, E315/100*Iout_max, min_I*EXP(N315*rr/100))</f>
        <v>3.96</v>
      </c>
      <c r="G315" s="188"/>
      <c r="H315" s="188">
        <f>F315*Vout</f>
        <v>118.8</v>
      </c>
      <c r="I315" s="465">
        <f t="shared" si="763"/>
        <v>47.827460953303245</v>
      </c>
      <c r="J315" s="149">
        <f t="shared" si="764"/>
        <v>30.49290564052902</v>
      </c>
      <c r="K315" s="149">
        <f t="shared" si="765"/>
        <v>78.320366593832262</v>
      </c>
      <c r="L315" s="379"/>
      <c r="M315" s="188">
        <f t="shared" si="766"/>
        <v>0.38931723176097244</v>
      </c>
      <c r="N315" s="149">
        <f>M315*I315*(Isw_max+VIN_max/Lmag*ILIM_delay)*0.5*Efficiency</f>
        <v>284.97447482817176</v>
      </c>
      <c r="O315" s="149">
        <f t="shared" si="760"/>
        <v>118.8</v>
      </c>
      <c r="P315" s="188">
        <f>N315/Vout</f>
        <v>9.4991491609390586</v>
      </c>
      <c r="Q315" s="188">
        <f t="shared" si="769"/>
        <v>30</v>
      </c>
      <c r="R315" s="188"/>
      <c r="S315" s="149">
        <f t="shared" si="770"/>
        <v>135.30808116807032</v>
      </c>
      <c r="T315" s="149">
        <f>MIN(Vout, S315)</f>
        <v>30</v>
      </c>
      <c r="U315" s="188">
        <f t="shared" si="772"/>
        <v>12.760435123408664</v>
      </c>
      <c r="V315" s="188">
        <f>L*U315/I315*1000000</f>
        <v>1.2539667355241144</v>
      </c>
      <c r="W315" s="188">
        <f t="shared" si="774"/>
        <v>1.9668196198497871</v>
      </c>
      <c r="X315" s="172">
        <f t="shared" si="775"/>
        <v>350</v>
      </c>
      <c r="Y315" s="379">
        <f t="shared" si="837"/>
        <v>292.33044572603751</v>
      </c>
      <c r="AA315" s="188">
        <f t="shared" si="776"/>
        <v>11.3197157601127</v>
      </c>
      <c r="AB315" s="150">
        <f>L*AA315/J315*1000000</f>
        <v>1.7447554752478709</v>
      </c>
      <c r="AC315" s="150">
        <f>0.5*AB315*AA315*Nps*X315/1000</f>
        <v>3.4562738088735938</v>
      </c>
      <c r="AD315" s="150"/>
      <c r="AE315" s="150">
        <f t="shared" si="779"/>
        <v>0.93414674287347776</v>
      </c>
      <c r="AF315" s="314">
        <f>MAX(12000,F315/(0.5*AE315/1000000*Isw_min*Nps))/1000</f>
        <v>1398.9236808557764</v>
      </c>
      <c r="AG315" s="456">
        <f t="shared" si="781"/>
        <v>0.99076169698702188</v>
      </c>
      <c r="AI315" s="150">
        <f t="shared" si="782"/>
        <v>12.116551835098885</v>
      </c>
      <c r="AJ315" s="150">
        <f>MAX(IF(F315&gt;AC315,U315,AI315),Isw_min)</f>
        <v>12.760435123408664</v>
      </c>
      <c r="AK315" s="150">
        <f>IF(F315&gt;AG315, (AJ315-Isw_min)/1.08*0.8+1.2, AF315*0.2/350+1)</f>
        <v>6.1628363428167434</v>
      </c>
      <c r="AM315" s="314">
        <f t="shared" si="785"/>
        <v>3960</v>
      </c>
      <c r="AN315" s="144">
        <f t="shared" si="786"/>
        <v>292.33044572603751</v>
      </c>
      <c r="AP315">
        <f t="shared" si="787"/>
        <v>3960</v>
      </c>
      <c r="AQ315">
        <f t="shared" si="788"/>
        <v>292.33044572603751</v>
      </c>
      <c r="AS315" s="5">
        <f t="shared" si="761"/>
        <v>3.4207863553739015</v>
      </c>
      <c r="AT315" s="5">
        <f t="shared" si="789"/>
        <v>1.2539667355241144</v>
      </c>
      <c r="AU315" s="5">
        <f t="shared" si="881"/>
        <v>2.1668196198497869</v>
      </c>
      <c r="AV315" s="5"/>
      <c r="AW315" s="150">
        <f t="shared" si="882"/>
        <v>0.36657265472138856</v>
      </c>
      <c r="AX315" s="150">
        <f t="shared" si="790"/>
        <v>111.85950127077464</v>
      </c>
      <c r="AY315" s="150">
        <f t="shared" si="791"/>
        <v>4.0414042724103503</v>
      </c>
      <c r="AZ315" s="150">
        <f t="shared" si="792"/>
        <v>27.678374577473306</v>
      </c>
      <c r="BA315" s="144">
        <f t="shared" si="883"/>
        <v>16.55236090891831</v>
      </c>
      <c r="BB315" s="5">
        <f t="shared" si="884"/>
        <v>3.1660148880169747</v>
      </c>
      <c r="BD315" s="150">
        <f t="shared" si="838"/>
        <v>4.4605138152311463</v>
      </c>
      <c r="BE315" s="150">
        <f t="shared" si="839"/>
        <v>5.8634504645620211</v>
      </c>
      <c r="BG315" s="456">
        <f t="shared" si="840"/>
        <v>0.238754201950415</v>
      </c>
      <c r="BH315" s="456">
        <f t="shared" si="793"/>
        <v>5.3318400555056584</v>
      </c>
      <c r="BI315" s="456">
        <f t="shared" si="841"/>
        <v>3.3618001258494318E-2</v>
      </c>
      <c r="BJ315" s="456">
        <f t="shared" si="842"/>
        <v>0.92796976450127766</v>
      </c>
      <c r="BK315">
        <f t="shared" si="843"/>
        <v>2.152235742898646E-2</v>
      </c>
      <c r="BL315" s="144">
        <f t="shared" si="844"/>
        <v>55.140358687480784</v>
      </c>
      <c r="BM315" s="456">
        <f t="shared" si="794"/>
        <v>6.9577254972438842</v>
      </c>
      <c r="BN315" s="144">
        <f t="shared" si="845"/>
        <v>6957.7254972438841</v>
      </c>
      <c r="BO315" s="456">
        <f t="shared" si="795"/>
        <v>2.7719999999999998</v>
      </c>
      <c r="BR315" s="144">
        <f t="shared" si="846"/>
        <v>2772</v>
      </c>
      <c r="BS315" s="456">
        <f t="shared" si="847"/>
        <v>0.27854656894215085</v>
      </c>
      <c r="BT315" s="456">
        <f t="shared" si="848"/>
        <v>0.48132071890521616</v>
      </c>
      <c r="BU315" s="456">
        <f t="shared" si="849"/>
        <v>42.493141138689822</v>
      </c>
      <c r="BV315" s="456"/>
      <c r="BW315" s="456">
        <f t="shared" si="850"/>
        <v>4.7599787774797724</v>
      </c>
      <c r="BX315" s="144">
        <f t="shared" si="851"/>
        <v>48012.987204016958</v>
      </c>
      <c r="BY315" s="150">
        <f t="shared" si="852"/>
        <v>57.338691584661795</v>
      </c>
      <c r="BZ315" s="5">
        <f t="shared" si="853"/>
        <v>118.8</v>
      </c>
      <c r="CA315" s="150">
        <f t="shared" si="854"/>
        <v>0.67446850508082878</v>
      </c>
      <c r="CB315" s="5">
        <f t="shared" si="855"/>
        <v>67.446850508082875</v>
      </c>
      <c r="CE315" s="59">
        <f t="shared" si="796"/>
        <v>-50</v>
      </c>
      <c r="CF315">
        <f t="shared" si="797"/>
        <v>-50</v>
      </c>
      <c r="CG315" s="150">
        <f t="shared" si="798"/>
        <v>0.59673448979323307</v>
      </c>
      <c r="CI315" s="147">
        <v>99</v>
      </c>
      <c r="CJ315" s="188">
        <f t="shared" si="856"/>
        <v>3.96</v>
      </c>
      <c r="CK315" s="188"/>
      <c r="CL315" s="188">
        <f t="shared" si="799"/>
        <v>118.8</v>
      </c>
      <c r="CM315" s="465">
        <f t="shared" si="800"/>
        <v>48</v>
      </c>
      <c r="CN315" s="379">
        <f t="shared" si="801"/>
        <v>30.4</v>
      </c>
      <c r="CO315" s="379">
        <f t="shared" si="802"/>
        <v>78.400000000000006</v>
      </c>
      <c r="CP315" s="379"/>
      <c r="CQ315" s="188">
        <f t="shared" si="803"/>
        <v>0.38775510204081626</v>
      </c>
      <c r="CR315" s="149">
        <f t="shared" si="804"/>
        <v>284.85494809142222</v>
      </c>
      <c r="CS315" s="149">
        <f t="shared" si="805"/>
        <v>118.8</v>
      </c>
      <c r="CT315" s="188">
        <f t="shared" si="806"/>
        <v>9.4951649363807409</v>
      </c>
      <c r="CU315" s="188">
        <f t="shared" si="807"/>
        <v>30</v>
      </c>
      <c r="CV315" s="188"/>
      <c r="CW315" s="149">
        <f t="shared" si="808"/>
        <v>135.79570272016338</v>
      </c>
      <c r="CX315" s="149">
        <f t="shared" si="809"/>
        <v>30</v>
      </c>
      <c r="CY315" s="188">
        <f t="shared" si="810"/>
        <v>12.765789473684213</v>
      </c>
      <c r="CZ315" s="188">
        <f t="shared" si="811"/>
        <v>1.2499835526315792</v>
      </c>
      <c r="DA315" s="188">
        <f t="shared" si="812"/>
        <v>1.9736582409972305</v>
      </c>
      <c r="DB315" s="172">
        <f t="shared" si="813"/>
        <v>350</v>
      </c>
      <c r="DC315" s="379">
        <f t="shared" si="814"/>
        <v>310.20816331901244</v>
      </c>
      <c r="DE315" s="188">
        <f t="shared" si="815"/>
        <v>11.314434588425037</v>
      </c>
      <c r="DF315" s="150">
        <f t="shared" si="816"/>
        <v>1.7492711370262393</v>
      </c>
      <c r="DG315" s="150">
        <f t="shared" si="817"/>
        <v>3.463602425028073</v>
      </c>
      <c r="DH315" s="150"/>
      <c r="DI315" s="150">
        <f t="shared" si="818"/>
        <v>0.93700159489633172</v>
      </c>
      <c r="DJ315" s="314">
        <f t="shared" si="819"/>
        <v>1394.6614468085106</v>
      </c>
      <c r="DK315" s="456">
        <f t="shared" si="820"/>
        <v>0.99378957034459414</v>
      </c>
      <c r="DM315" s="150">
        <f t="shared" si="821"/>
        <v>12.098079427573049</v>
      </c>
      <c r="DN315" s="150">
        <f t="shared" si="822"/>
        <v>12.765789473684213</v>
      </c>
      <c r="DO315" s="150">
        <f t="shared" si="823"/>
        <v>6.1668025282060395</v>
      </c>
      <c r="DQ315" s="314">
        <f t="shared" si="824"/>
        <v>3960</v>
      </c>
      <c r="DR315" s="144">
        <f t="shared" si="825"/>
        <v>310.20816331901244</v>
      </c>
      <c r="DT315">
        <f t="shared" si="826"/>
        <v>3960</v>
      </c>
      <c r="DU315">
        <f t="shared" si="827"/>
        <v>310.20816331901244</v>
      </c>
      <c r="DW315" s="5">
        <f t="shared" si="857"/>
        <v>3.2236417936288095</v>
      </c>
      <c r="DX315" s="5">
        <f t="shared" si="828"/>
        <v>1.2499835526315792</v>
      </c>
      <c r="DY315" s="5">
        <f t="shared" si="829"/>
        <v>1.9736582409972303</v>
      </c>
      <c r="DZ315" s="5"/>
      <c r="EA315" s="150">
        <f t="shared" si="830"/>
        <v>0.38775510204081631</v>
      </c>
      <c r="EB315" s="150">
        <f t="shared" si="858"/>
        <v>118.80000000000001</v>
      </c>
      <c r="EC315" s="150">
        <f t="shared" si="859"/>
        <v>3.9078947368421062</v>
      </c>
      <c r="ED315" s="150">
        <f t="shared" si="860"/>
        <v>30.399999999999995</v>
      </c>
      <c r="EE315" s="144">
        <f t="shared" si="831"/>
        <v>16.49978289473685</v>
      </c>
      <c r="EF315" s="5">
        <f t="shared" si="832"/>
        <v>2.8734142038047907</v>
      </c>
      <c r="EH315" s="150">
        <f t="shared" si="861"/>
        <v>4.5895046172303777</v>
      </c>
      <c r="EI315" s="150">
        <f t="shared" si="862"/>
        <v>5.7669958381491773</v>
      </c>
      <c r="EK315" s="456">
        <f t="shared" si="863"/>
        <v>0.25276263157894752</v>
      </c>
      <c r="EL315" s="456">
        <f t="shared" si="864"/>
        <v>5.8988936170212769</v>
      </c>
      <c r="EM315" s="456">
        <f t="shared" si="865"/>
        <v>3.567393878168644E-2</v>
      </c>
      <c r="EN315" s="456">
        <f t="shared" si="866"/>
        <v>0.98672402321083175</v>
      </c>
      <c r="EO315">
        <f t="shared" si="867"/>
        <v>2.1600000000000001E-2</v>
      </c>
      <c r="EP315" s="144">
        <f t="shared" si="868"/>
        <v>57.273938781686439</v>
      </c>
      <c r="EQ315" s="144"/>
      <c r="ER315" s="144">
        <f t="shared" si="869"/>
        <v>7195.6542105927429</v>
      </c>
      <c r="ES315" s="456">
        <f t="shared" si="870"/>
        <v>2.7719999999999998</v>
      </c>
      <c r="EV315" s="144">
        <f t="shared" si="871"/>
        <v>2772</v>
      </c>
      <c r="EW315" s="456">
        <f t="shared" si="872"/>
        <v>0.2948897368421054</v>
      </c>
      <c r="EX315" s="456">
        <f t="shared" si="873"/>
        <v>0.46561537396121905</v>
      </c>
      <c r="EY315" s="456">
        <f t="shared" si="874"/>
        <v>49.342625597061655</v>
      </c>
      <c r="EZ315" s="456"/>
      <c r="FA315" s="456">
        <f t="shared" si="875"/>
        <v>5.0553191489361717</v>
      </c>
      <c r="FB315" s="144">
        <f t="shared" si="876"/>
        <v>55158.449856801148</v>
      </c>
      <c r="FC315" s="150">
        <f t="shared" si="877"/>
        <v>65.126104067393896</v>
      </c>
      <c r="FD315" s="5">
        <f t="shared" si="878"/>
        <v>118.8</v>
      </c>
      <c r="FE315" s="150">
        <f t="shared" si="879"/>
        <v>0.64591157738256388</v>
      </c>
      <c r="FF315" s="5">
        <f t="shared" si="880"/>
        <v>64.591157738256385</v>
      </c>
      <c r="FI315" s="59">
        <f t="shared" si="833"/>
        <v>-50</v>
      </c>
      <c r="FJ315">
        <f t="shared" si="834"/>
        <v>-50</v>
      </c>
      <c r="FL315">
        <f t="shared" si="835"/>
        <v>0.61224489795918369</v>
      </c>
    </row>
    <row r="316" spans="5:168">
      <c r="E316" s="147">
        <v>100</v>
      </c>
      <c r="F316" s="188">
        <f>IF(PLOT_TYPE=1, E316/100*Iout_max, min_I*EXP(N316*rr/100))</f>
        <v>4</v>
      </c>
      <c r="G316" s="188"/>
      <c r="H316" s="188">
        <f>F316*Vout</f>
        <v>120</v>
      </c>
      <c r="I316" s="465">
        <f t="shared" si="763"/>
        <v>47.825763422470054</v>
      </c>
      <c r="J316" s="149">
        <f t="shared" si="764"/>
        <v>30.493819695593047</v>
      </c>
      <c r="K316" s="149">
        <f t="shared" si="765"/>
        <v>78.319583118063093</v>
      </c>
      <c r="L316" s="379"/>
      <c r="M316" s="188">
        <f t="shared" si="766"/>
        <v>0.38933280239818002</v>
      </c>
      <c r="N316" s="149">
        <f>M316*I316*(Isw_max+VIN_max/Lmag*ILIM_delay)*0.5*Efficiency</f>
        <v>284.97575735656767</v>
      </c>
      <c r="O316" s="149">
        <f t="shared" si="760"/>
        <v>120</v>
      </c>
      <c r="P316" s="188">
        <f>N316/Vout</f>
        <v>9.499191911885589</v>
      </c>
      <c r="Q316" s="188">
        <f t="shared" si="769"/>
        <v>30</v>
      </c>
      <c r="R316" s="188"/>
      <c r="S316" s="149">
        <f t="shared" si="770"/>
        <v>133.47532778187403</v>
      </c>
      <c r="T316" s="149">
        <f>MIN(Vout, S316)</f>
        <v>30</v>
      </c>
      <c r="U316" s="188">
        <f>MIN(2*Vout*F316/(Efficiency*I316*M316), Isw_max)</f>
        <v>12.889270399287151</v>
      </c>
      <c r="V316" s="188">
        <f>L*U316/I316*1000000</f>
        <v>1.2666723234821884</v>
      </c>
      <c r="W316" s="188">
        <f t="shared" si="774"/>
        <v>1.9866179928060812</v>
      </c>
      <c r="X316" s="172">
        <f t="shared" si="775"/>
        <v>350</v>
      </c>
      <c r="Y316" s="379">
        <f t="shared" si="837"/>
        <v>289.57889676499565</v>
      </c>
      <c r="AA316" s="188">
        <f t="shared" si="776"/>
        <v>11.319766536274594</v>
      </c>
      <c r="AB316" s="150">
        <f>L*AA316/J316*1000000</f>
        <v>1.744711002150362</v>
      </c>
      <c r="AC316" s="150">
        <f>0.5*AB316*AA316*Nps*X316/1000</f>
        <v>3.4562012130820614</v>
      </c>
      <c r="AD316" s="150"/>
      <c r="AE316" s="150">
        <f t="shared" si="779"/>
        <v>0.93411874173851372</v>
      </c>
      <c r="AF316" s="314">
        <f>MAX(12000,F316/(0.5*AE316/1000000*Isw_min*Nps))/1000</f>
        <v>1413.0965807872694</v>
      </c>
      <c r="AG316" s="456">
        <f t="shared" si="781"/>
        <v>0.99073199881357521</v>
      </c>
      <c r="AI316" s="150">
        <f t="shared" si="782"/>
        <v>12.177775301160672</v>
      </c>
      <c r="AJ316" s="150">
        <f>MAX(IF(F316&gt;AC316,U316,AI316),Isw_min)</f>
        <v>12.889270399287151</v>
      </c>
      <c r="AK316" s="150">
        <f>IF(F316&gt;AG316, (AJ316-Isw_min)/1.08*0.8+1.2, AF316*0.2/350+1)</f>
        <v>6.2582698805045114</v>
      </c>
      <c r="AM316" s="314">
        <f t="shared" si="785"/>
        <v>4000</v>
      </c>
      <c r="AN316" s="144">
        <f t="shared" si="786"/>
        <v>289.57889676499565</v>
      </c>
      <c r="AP316">
        <f t="shared" si="787"/>
        <v>4000</v>
      </c>
      <c r="AQ316">
        <f t="shared" si="788"/>
        <v>289.57889676499565</v>
      </c>
      <c r="AS316" s="5">
        <f t="shared" si="761"/>
        <v>3.4532903162882698</v>
      </c>
      <c r="AT316" s="5">
        <f t="shared" si="789"/>
        <v>1.2666723234821884</v>
      </c>
      <c r="AU316" s="5">
        <f t="shared" si="881"/>
        <v>2.1866179928060814</v>
      </c>
      <c r="AV316" s="5"/>
      <c r="AW316" s="150">
        <f>AT316/AS316</f>
        <v>0.3668015739967258</v>
      </c>
      <c r="AX316" s="150">
        <f t="shared" si="790"/>
        <v>113.05543383059383</v>
      </c>
      <c r="AY316" s="150">
        <f t="shared" si="791"/>
        <v>4.0807328645796082</v>
      </c>
      <c r="AZ316" s="150">
        <f t="shared" si="792"/>
        <v>27.704688736649427</v>
      </c>
      <c r="BA316" s="144">
        <f t="shared" si="883"/>
        <v>16.888964313095844</v>
      </c>
      <c r="BB316" s="5">
        <f t="shared" si="884"/>
        <v>3.2273296718987372</v>
      </c>
      <c r="BD316" s="150">
        <f t="shared" si="838"/>
        <v>4.5069558384158261</v>
      </c>
      <c r="BE316" s="150">
        <f t="shared" si="839"/>
        <v>5.9215802687471983</v>
      </c>
      <c r="BG316" s="456">
        <f t="shared" si="840"/>
        <v>0.24375181115316605</v>
      </c>
      <c r="BH316" s="456">
        <f t="shared" si="793"/>
        <v>5.334926983353296</v>
      </c>
      <c r="BI316" s="456">
        <f t="shared" si="841"/>
        <v>3.33015731279745E-2</v>
      </c>
      <c r="BJ316" s="456">
        <f t="shared" si="842"/>
        <v>0.91921689415089725</v>
      </c>
      <c r="BK316">
        <f t="shared" si="843"/>
        <v>2.1521593540111524E-2</v>
      </c>
      <c r="BL316" s="144">
        <f t="shared" si="844"/>
        <v>54.823166668086024</v>
      </c>
      <c r="BM316" s="456">
        <f t="shared" si="794"/>
        <v>6.9672181128790189</v>
      </c>
      <c r="BN316" s="144">
        <f t="shared" si="845"/>
        <v>6967.2181128790189</v>
      </c>
      <c r="BO316" s="456">
        <f t="shared" si="795"/>
        <v>2.8</v>
      </c>
      <c r="BR316" s="144">
        <f t="shared" si="846"/>
        <v>2800</v>
      </c>
      <c r="BS316" s="456">
        <f t="shared" si="847"/>
        <v>0.28437711301202706</v>
      </c>
      <c r="BT316" s="456">
        <f t="shared" si="848"/>
        <v>0.49091158030902604</v>
      </c>
      <c r="BU316" s="456">
        <f t="shared" si="849"/>
        <v>42.555736789569849</v>
      </c>
      <c r="BV316" s="456"/>
      <c r="BW316" s="456">
        <f t="shared" si="850"/>
        <v>4.8108695247061206</v>
      </c>
      <c r="BX316" s="144">
        <f t="shared" si="851"/>
        <v>48141.895007597021</v>
      </c>
      <c r="BY316" s="150">
        <f t="shared" si="852"/>
        <v>57.494613862922471</v>
      </c>
      <c r="BZ316" s="5">
        <f t="shared" si="853"/>
        <v>120</v>
      </c>
      <c r="CA316" s="150">
        <f t="shared" si="854"/>
        <v>0.67607685319778177</v>
      </c>
      <c r="CB316" s="5">
        <f t="shared" si="855"/>
        <v>67.60768531977817</v>
      </c>
      <c r="CE316" s="59">
        <f t="shared" si="796"/>
        <v>-50</v>
      </c>
      <c r="CF316">
        <f t="shared" si="797"/>
        <v>-50</v>
      </c>
      <c r="CG316" s="150">
        <f t="shared" si="798"/>
        <v>0.5968895938748926</v>
      </c>
      <c r="CI316" s="147">
        <v>100</v>
      </c>
      <c r="CJ316" s="188">
        <f t="shared" si="856"/>
        <v>4</v>
      </c>
      <c r="CK316" s="188"/>
      <c r="CL316" s="188">
        <f t="shared" si="799"/>
        <v>120</v>
      </c>
      <c r="CM316" s="465">
        <f t="shared" si="800"/>
        <v>48</v>
      </c>
      <c r="CN316" s="379">
        <f t="shared" si="801"/>
        <v>30.4</v>
      </c>
      <c r="CO316" s="379">
        <f t="shared" si="802"/>
        <v>78.400000000000006</v>
      </c>
      <c r="CP316" s="379"/>
      <c r="CQ316" s="188">
        <f t="shared" si="803"/>
        <v>0.38775510204081626</v>
      </c>
      <c r="CR316" s="149">
        <f t="shared" si="804"/>
        <v>284.85494809142222</v>
      </c>
      <c r="CS316" s="149">
        <f t="shared" si="805"/>
        <v>120</v>
      </c>
      <c r="CT316" s="188">
        <f t="shared" si="806"/>
        <v>9.4951649363807409</v>
      </c>
      <c r="CU316" s="188">
        <f t="shared" si="807"/>
        <v>30</v>
      </c>
      <c r="CV316" s="188"/>
      <c r="CW316" s="149">
        <f t="shared" si="808"/>
        <v>133.96108034170641</v>
      </c>
      <c r="CX316" s="149">
        <f t="shared" si="809"/>
        <v>30</v>
      </c>
      <c r="CY316" s="188">
        <f t="shared" si="810"/>
        <v>12.894736842105265</v>
      </c>
      <c r="CZ316" s="188">
        <f t="shared" si="811"/>
        <v>1.2626096491228072</v>
      </c>
      <c r="DA316" s="188">
        <f t="shared" si="812"/>
        <v>1.9935941828254851</v>
      </c>
      <c r="DB316" s="172">
        <f t="shared" si="813"/>
        <v>350</v>
      </c>
      <c r="DC316" s="379">
        <f t="shared" si="814"/>
        <v>307.10608168582235</v>
      </c>
      <c r="DE316" s="188">
        <f t="shared" si="815"/>
        <v>11.314434588425037</v>
      </c>
      <c r="DF316" s="150">
        <f t="shared" si="816"/>
        <v>1.7492711370262393</v>
      </c>
      <c r="DG316" s="150">
        <f t="shared" si="817"/>
        <v>3.463602425028073</v>
      </c>
      <c r="DH316" s="150"/>
      <c r="DI316" s="150">
        <f t="shared" si="818"/>
        <v>0.93700159489633172</v>
      </c>
      <c r="DJ316" s="314">
        <f t="shared" si="819"/>
        <v>1408.7489361702128</v>
      </c>
      <c r="DK316" s="456">
        <f t="shared" si="820"/>
        <v>0.99378957034459414</v>
      </c>
      <c r="DM316" s="150">
        <f t="shared" si="821"/>
        <v>12.159027316720438</v>
      </c>
      <c r="DN316" s="150">
        <f t="shared" si="822"/>
        <v>12.894736842105265</v>
      </c>
      <c r="DO316" s="150">
        <f t="shared" si="823"/>
        <v>6.2623190974068184</v>
      </c>
      <c r="DQ316" s="314">
        <f t="shared" si="824"/>
        <v>4000</v>
      </c>
      <c r="DR316" s="144">
        <f t="shared" si="825"/>
        <v>307.10608168582235</v>
      </c>
      <c r="DT316">
        <f t="shared" si="826"/>
        <v>4000</v>
      </c>
      <c r="DU316">
        <f t="shared" si="827"/>
        <v>307.10608168582235</v>
      </c>
      <c r="DW316" s="5">
        <f t="shared" si="857"/>
        <v>3.2562038319482922</v>
      </c>
      <c r="DX316" s="5">
        <f t="shared" si="828"/>
        <v>1.2626096491228072</v>
      </c>
      <c r="DY316" s="5">
        <f t="shared" si="829"/>
        <v>1.9935941828254851</v>
      </c>
      <c r="DZ316" s="5"/>
      <c r="EA316" s="150">
        <f t="shared" si="830"/>
        <v>0.38775510204081631</v>
      </c>
      <c r="EB316" s="150">
        <f t="shared" si="858"/>
        <v>120.00000000000001</v>
      </c>
      <c r="EC316" s="150">
        <f t="shared" si="859"/>
        <v>3.9473684210526323</v>
      </c>
      <c r="ED316" s="150">
        <f t="shared" si="860"/>
        <v>30.4</v>
      </c>
      <c r="EE316" s="144">
        <f t="shared" si="831"/>
        <v>16.834795321637429</v>
      </c>
      <c r="EF316" s="5">
        <f t="shared" si="832"/>
        <v>2.9317561512139485</v>
      </c>
      <c r="EH316" s="150">
        <f t="shared" si="861"/>
        <v>4.6358632497276542</v>
      </c>
      <c r="EI316" s="150">
        <f t="shared" si="862"/>
        <v>5.825248321362805</v>
      </c>
      <c r="EK316" s="456">
        <f t="shared" si="863"/>
        <v>0.25789473684210534</v>
      </c>
      <c r="EL316" s="456">
        <f t="shared" si="864"/>
        <v>5.8988936170212778</v>
      </c>
      <c r="EM316" s="456">
        <f t="shared" si="865"/>
        <v>3.5317199393869576E-2</v>
      </c>
      <c r="EN316" s="456">
        <f t="shared" si="866"/>
        <v>0.97685678297872347</v>
      </c>
      <c r="EO316">
        <f t="shared" si="867"/>
        <v>2.1600000000000001E-2</v>
      </c>
      <c r="EP316" s="144">
        <f t="shared" si="868"/>
        <v>56.917199393869581</v>
      </c>
      <c r="EQ316" s="144"/>
      <c r="ER316" s="144">
        <f t="shared" si="869"/>
        <v>7190.5623362359756</v>
      </c>
      <c r="ES316" s="456">
        <f t="shared" si="870"/>
        <v>2.8</v>
      </c>
      <c r="EV316" s="144">
        <f t="shared" si="871"/>
        <v>2800</v>
      </c>
      <c r="EW316" s="456">
        <f t="shared" si="872"/>
        <v>0.30087719298245624</v>
      </c>
      <c r="EX316" s="456">
        <f t="shared" si="873"/>
        <v>0.47506925207756251</v>
      </c>
      <c r="EY316" s="456">
        <f t="shared" si="874"/>
        <v>49.342625597061662</v>
      </c>
      <c r="EZ316" s="456"/>
      <c r="FA316" s="456">
        <f t="shared" si="875"/>
        <v>5.1063829787234054</v>
      </c>
      <c r="FB316" s="144">
        <f t="shared" si="876"/>
        <v>55224.955020845089</v>
      </c>
      <c r="FC316" s="150">
        <f t="shared" si="877"/>
        <v>65.215517357081055</v>
      </c>
      <c r="FD316" s="5">
        <f t="shared" si="878"/>
        <v>120</v>
      </c>
      <c r="FE316" s="150">
        <f t="shared" si="879"/>
        <v>0.64789387904604867</v>
      </c>
      <c r="FF316" s="5">
        <f t="shared" si="880"/>
        <v>64.789387904604865</v>
      </c>
      <c r="FI316" s="59">
        <f t="shared" si="833"/>
        <v>-50</v>
      </c>
      <c r="FJ316">
        <f t="shared" si="834"/>
        <v>-50</v>
      </c>
      <c r="FL316">
        <f t="shared" si="835"/>
        <v>0.61224489795918369</v>
      </c>
    </row>
    <row r="317" spans="5:168">
      <c r="E317" s="147"/>
      <c r="F317" s="188"/>
      <c r="G317" s="188"/>
      <c r="CE317" s="59"/>
      <c r="CI317" s="147"/>
      <c r="CJ317" s="188"/>
      <c r="CK317" s="188"/>
      <c r="FI317" s="59"/>
    </row>
    <row r="318" spans="5:168" ht="45" customHeight="1" thickBot="1">
      <c r="E318" s="211" t="s">
        <v>25</v>
      </c>
      <c r="F318" s="380" t="s">
        <v>194</v>
      </c>
      <c r="G318" s="230"/>
      <c r="H318" s="455" t="s">
        <v>223</v>
      </c>
      <c r="I318" s="212" t="s">
        <v>412</v>
      </c>
      <c r="J318" s="213" t="s">
        <v>418</v>
      </c>
      <c r="K318" s="455" t="s">
        <v>413</v>
      </c>
      <c r="L318" s="455"/>
      <c r="M318" s="214" t="s">
        <v>48</v>
      </c>
      <c r="N318" s="455" t="s">
        <v>402</v>
      </c>
      <c r="O318" s="455" t="s">
        <v>656</v>
      </c>
      <c r="P318" s="455" t="s">
        <v>403</v>
      </c>
      <c r="Q318" s="455" t="s">
        <v>433</v>
      </c>
      <c r="R318" s="455" t="s">
        <v>654</v>
      </c>
      <c r="S318" s="455" t="s">
        <v>657</v>
      </c>
      <c r="T318" s="455" t="s">
        <v>655</v>
      </c>
      <c r="U318" s="455" t="s">
        <v>414</v>
      </c>
      <c r="V318" s="455" t="s">
        <v>466</v>
      </c>
      <c r="W318" s="455" t="s">
        <v>465</v>
      </c>
      <c r="X318" s="469" t="s">
        <v>420</v>
      </c>
      <c r="Y318" s="466" t="s">
        <v>425</v>
      </c>
      <c r="AA318" s="215" t="s">
        <v>417</v>
      </c>
      <c r="AB318" s="215" t="s">
        <v>464</v>
      </c>
      <c r="AC318" s="215" t="s">
        <v>423</v>
      </c>
      <c r="AD318" s="468"/>
      <c r="AE318" s="215" t="s">
        <v>463</v>
      </c>
      <c r="AF318" s="215" t="s">
        <v>681</v>
      </c>
      <c r="AG318" s="215" t="s">
        <v>427</v>
      </c>
      <c r="AH318" s="468"/>
      <c r="AI318" s="215" t="s">
        <v>429</v>
      </c>
      <c r="AJ318" s="470" t="s">
        <v>430</v>
      </c>
      <c r="AK318" s="470" t="s">
        <v>431</v>
      </c>
      <c r="AM318" s="467" t="s">
        <v>275</v>
      </c>
      <c r="AN318" s="467" t="s">
        <v>432</v>
      </c>
      <c r="AP318" s="215" t="s">
        <v>275</v>
      </c>
      <c r="AQ318" s="215" t="s">
        <v>432</v>
      </c>
      <c r="AR318" s="471"/>
      <c r="AS318" s="215" t="s">
        <v>467</v>
      </c>
      <c r="AT318" s="215" t="s">
        <v>461</v>
      </c>
      <c r="AU318" s="215" t="s">
        <v>462</v>
      </c>
      <c r="AV318" s="215" t="s">
        <v>653</v>
      </c>
      <c r="AW318" s="215" t="s">
        <v>48</v>
      </c>
      <c r="AX318" s="471" t="s">
        <v>651</v>
      </c>
      <c r="AY318" s="468" t="s">
        <v>650</v>
      </c>
      <c r="AZ318" s="468" t="s">
        <v>652</v>
      </c>
      <c r="BA318" s="215" t="s">
        <v>481</v>
      </c>
      <c r="BB318" s="215" t="s">
        <v>514</v>
      </c>
      <c r="BC318" s="468"/>
      <c r="BD318" s="479" t="s">
        <v>456</v>
      </c>
      <c r="BE318" s="215" t="s">
        <v>457</v>
      </c>
      <c r="BF318" s="468"/>
      <c r="BG318" s="479" t="s">
        <v>474</v>
      </c>
      <c r="BH318" s="215" t="s">
        <v>475</v>
      </c>
      <c r="BI318" s="215" t="s">
        <v>473</v>
      </c>
      <c r="BJ318" s="215" t="s">
        <v>469</v>
      </c>
      <c r="BK318" s="215" t="s">
        <v>478</v>
      </c>
      <c r="BL318" s="215" t="s">
        <v>777</v>
      </c>
      <c r="BM318" s="215" t="s">
        <v>776</v>
      </c>
      <c r="BN318" s="215" t="s">
        <v>491</v>
      </c>
      <c r="BO318" s="479" t="s">
        <v>476</v>
      </c>
      <c r="BP318" s="215" t="s">
        <v>477</v>
      </c>
      <c r="BQ318" s="215" t="s">
        <v>483</v>
      </c>
      <c r="BR318" s="215" t="s">
        <v>487</v>
      </c>
      <c r="BS318" s="479" t="s">
        <v>458</v>
      </c>
      <c r="BT318" s="215" t="s">
        <v>459</v>
      </c>
      <c r="BU318" s="215" t="s">
        <v>468</v>
      </c>
      <c r="BV318" s="215" t="s">
        <v>666</v>
      </c>
      <c r="BW318" s="215" t="s">
        <v>484</v>
      </c>
      <c r="BX318" s="215" t="s">
        <v>667</v>
      </c>
      <c r="BY318" s="479" t="s">
        <v>482</v>
      </c>
      <c r="BZ318" s="215" t="s">
        <v>223</v>
      </c>
      <c r="CA318" s="215" t="s">
        <v>47</v>
      </c>
      <c r="CB318" s="215" t="s">
        <v>485</v>
      </c>
      <c r="CC318" s="215"/>
      <c r="CE318" s="490" t="s">
        <v>664</v>
      </c>
      <c r="CF318" s="490" t="s">
        <v>665</v>
      </c>
      <c r="CG318" s="667" t="s">
        <v>828</v>
      </c>
      <c r="CI318" s="211" t="s">
        <v>25</v>
      </c>
      <c r="CJ318" s="380" t="s">
        <v>194</v>
      </c>
      <c r="CK318" s="230"/>
      <c r="CL318" s="455" t="s">
        <v>223</v>
      </c>
      <c r="CM318" s="212" t="s">
        <v>412</v>
      </c>
      <c r="CN318" s="213" t="s">
        <v>418</v>
      </c>
      <c r="CO318" s="455" t="s">
        <v>413</v>
      </c>
      <c r="CP318" s="455"/>
      <c r="CQ318" s="214" t="s">
        <v>48</v>
      </c>
      <c r="CR318" s="455" t="s">
        <v>402</v>
      </c>
      <c r="CS318" s="455" t="s">
        <v>656</v>
      </c>
      <c r="CT318" s="455" t="s">
        <v>403</v>
      </c>
      <c r="CU318" s="455" t="s">
        <v>433</v>
      </c>
      <c r="CV318" s="455" t="s">
        <v>654</v>
      </c>
      <c r="CW318" s="455" t="s">
        <v>657</v>
      </c>
      <c r="CX318" s="455" t="s">
        <v>655</v>
      </c>
      <c r="CY318" s="455" t="s">
        <v>414</v>
      </c>
      <c r="CZ318" s="455" t="s">
        <v>466</v>
      </c>
      <c r="DA318" s="455" t="s">
        <v>465</v>
      </c>
      <c r="DB318" s="469" t="s">
        <v>420</v>
      </c>
      <c r="DC318" s="466" t="s">
        <v>425</v>
      </c>
      <c r="DE318" s="215" t="s">
        <v>417</v>
      </c>
      <c r="DF318" s="215" t="s">
        <v>464</v>
      </c>
      <c r="DG318" s="215" t="s">
        <v>423</v>
      </c>
      <c r="DH318" s="468"/>
      <c r="DI318" s="215" t="s">
        <v>463</v>
      </c>
      <c r="DJ318" s="215" t="s">
        <v>681</v>
      </c>
      <c r="DK318" s="215" t="s">
        <v>427</v>
      </c>
      <c r="DL318" s="468"/>
      <c r="DM318" s="215" t="s">
        <v>429</v>
      </c>
      <c r="DN318" s="470" t="s">
        <v>430</v>
      </c>
      <c r="DO318" s="470" t="s">
        <v>431</v>
      </c>
      <c r="DQ318" s="467" t="s">
        <v>275</v>
      </c>
      <c r="DR318" s="467" t="s">
        <v>432</v>
      </c>
      <c r="DT318" s="215" t="s">
        <v>275</v>
      </c>
      <c r="DU318" s="215" t="s">
        <v>432</v>
      </c>
      <c r="DV318" s="471"/>
      <c r="DW318" s="215" t="s">
        <v>467</v>
      </c>
      <c r="DX318" s="215" t="s">
        <v>461</v>
      </c>
      <c r="DY318" s="215" t="s">
        <v>462</v>
      </c>
      <c r="DZ318" s="215" t="s">
        <v>653</v>
      </c>
      <c r="EA318" s="215" t="s">
        <v>48</v>
      </c>
      <c r="EB318" s="471" t="s">
        <v>651</v>
      </c>
      <c r="EC318" s="468" t="s">
        <v>650</v>
      </c>
      <c r="ED318" s="468" t="s">
        <v>652</v>
      </c>
      <c r="EE318" s="215" t="s">
        <v>481</v>
      </c>
      <c r="EF318" s="215" t="s">
        <v>514</v>
      </c>
      <c r="EG318" s="468"/>
      <c r="EH318" s="479" t="s">
        <v>456</v>
      </c>
      <c r="EI318" s="215" t="s">
        <v>457</v>
      </c>
      <c r="EJ318" s="468"/>
      <c r="EK318" s="479" t="s">
        <v>474</v>
      </c>
      <c r="EL318" s="215" t="s">
        <v>475</v>
      </c>
      <c r="EM318" s="215" t="s">
        <v>473</v>
      </c>
      <c r="EN318" s="215" t="s">
        <v>469</v>
      </c>
      <c r="EO318" s="215" t="s">
        <v>478</v>
      </c>
      <c r="EP318" s="215" t="s">
        <v>777</v>
      </c>
      <c r="EQ318" s="215" t="s">
        <v>776</v>
      </c>
      <c r="ER318" s="215" t="s">
        <v>491</v>
      </c>
      <c r="ES318" s="479" t="s">
        <v>476</v>
      </c>
      <c r="ET318" s="215" t="s">
        <v>477</v>
      </c>
      <c r="EU318" s="215" t="s">
        <v>483</v>
      </c>
      <c r="EV318" s="215" t="s">
        <v>487</v>
      </c>
      <c r="EW318" s="479" t="s">
        <v>458</v>
      </c>
      <c r="EX318" s="215" t="s">
        <v>459</v>
      </c>
      <c r="EY318" s="215" t="s">
        <v>468</v>
      </c>
      <c r="EZ318" s="215" t="s">
        <v>666</v>
      </c>
      <c r="FA318" s="215" t="s">
        <v>484</v>
      </c>
      <c r="FB318" s="215" t="s">
        <v>667</v>
      </c>
      <c r="FC318" s="479" t="s">
        <v>482</v>
      </c>
      <c r="FD318" s="215" t="s">
        <v>223</v>
      </c>
      <c r="FE318" s="215" t="s">
        <v>47</v>
      </c>
      <c r="FF318" s="215" t="s">
        <v>485</v>
      </c>
      <c r="FG318" s="215"/>
      <c r="FI318" s="490" t="s">
        <v>664</v>
      </c>
      <c r="FJ318" s="490" t="s">
        <v>665</v>
      </c>
      <c r="FL318" t="s">
        <v>825</v>
      </c>
    </row>
    <row r="319" spans="5:168">
      <c r="CE319" s="59"/>
      <c r="FI319" s="59"/>
    </row>
    <row r="320" spans="5:168">
      <c r="E320" s="59" t="s">
        <v>904</v>
      </c>
      <c r="CE320" s="59"/>
      <c r="FI320" s="59"/>
    </row>
    <row r="321" spans="5:165">
      <c r="F321" s="59" t="s">
        <v>905</v>
      </c>
      <c r="G321" s="59" t="s">
        <v>906</v>
      </c>
      <c r="N321">
        <f>Efficiency</f>
        <v>1</v>
      </c>
      <c r="CE321" s="59"/>
      <c r="FI321" s="59"/>
    </row>
    <row r="322" spans="5:165">
      <c r="F322">
        <f>'Design Converter'!E73</f>
        <v>0.02</v>
      </c>
      <c r="G322" s="754">
        <f>F322*Vout</f>
        <v>0.6</v>
      </c>
    </row>
    <row r="323" spans="5:165">
      <c r="E323" t="s">
        <v>907</v>
      </c>
    </row>
    <row r="324" spans="5:165">
      <c r="F324" t="s">
        <v>908</v>
      </c>
      <c r="G324" t="s">
        <v>909</v>
      </c>
      <c r="H324" t="s">
        <v>910</v>
      </c>
      <c r="I324" s="59" t="s">
        <v>660</v>
      </c>
    </row>
    <row r="325" spans="5:165">
      <c r="F325" s="755">
        <v>1.9999999999999999E-7</v>
      </c>
      <c r="G325">
        <f>VIN_max</f>
        <v>48</v>
      </c>
      <c r="H325">
        <f>15000</f>
        <v>15000</v>
      </c>
      <c r="I325">
        <f>L*0.9</f>
        <v>4.2300000000000002E-6</v>
      </c>
    </row>
    <row r="326" spans="5:165">
      <c r="G326" s="59" t="s">
        <v>911</v>
      </c>
    </row>
    <row r="327" spans="5:165">
      <c r="G327" s="754">
        <f>0.5*(G325/I325*F325)^2*H325*I325</f>
        <v>0.16340425531914887</v>
      </c>
    </row>
    <row r="328" spans="5:165">
      <c r="E328" s="59" t="s">
        <v>912</v>
      </c>
    </row>
    <row r="329" spans="5:165">
      <c r="G329" t="str">
        <f>IF(G327&gt;G322, "Yes", "No")</f>
        <v>No</v>
      </c>
      <c r="H329">
        <f>(Vout*1.05)^2/(G327-G322)</f>
        <v>-2272.6973684210525</v>
      </c>
    </row>
  </sheetData>
  <sheetProtection algorithmName="SHA-512" hashValue="M72uJoCXEeMiYSWIh+bDAn1D6JzAGnDUW0qM/cOXtRuf8hK+JFpOBJluubuPoihMJtrc72wXh9EajQsXPfp1Cw==" saltValue="AzU/9kl3cJ8EnhEQK0cF6A==" spinCount="100000" sheet="1" selectLockedCells="1" selectUnlockedCells="1"/>
  <mergeCells count="2">
    <mergeCell ref="M3:AA3"/>
    <mergeCell ref="CQ3:DE3"/>
  </mergeCells>
  <phoneticPr fontId="83"/>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sheetPr>
  <dimension ref="A1:FM329"/>
  <sheetViews>
    <sheetView topLeftCell="CV163" zoomScale="70" zoomScaleNormal="70" workbookViewId="0">
      <selection activeCell="AP105" sqref="AP105"/>
    </sheetView>
  </sheetViews>
  <sheetFormatPr defaultRowHeight="13.2"/>
  <cols>
    <col min="1" max="1" width="2.77734375" customWidth="1"/>
    <col min="2" max="2" width="3.5546875" customWidth="1"/>
    <col min="3" max="3" width="2.77734375" customWidth="1"/>
    <col min="4" max="4" width="3.77734375" customWidth="1"/>
    <col min="5" max="5" width="6.21875" customWidth="1"/>
    <col min="6" max="9" width="7.77734375" customWidth="1"/>
    <col min="10" max="10" width="6.21875" customWidth="1"/>
    <col min="11" max="11" width="9.5546875" customWidth="1"/>
    <col min="12" max="12" width="9.21875" customWidth="1"/>
    <col min="13" max="13" width="7.77734375" customWidth="1"/>
    <col min="14" max="14" width="8.44140625" customWidth="1"/>
    <col min="15" max="16" width="9.5546875" customWidth="1"/>
    <col min="17" max="18" width="8.77734375" customWidth="1"/>
    <col min="19" max="19" width="8.5546875" customWidth="1"/>
    <col min="20" max="20" width="7.5546875" customWidth="1"/>
    <col min="21" max="21" width="9" customWidth="1"/>
    <col min="22" max="22" width="8.77734375" customWidth="1"/>
    <col min="23" max="23" width="10" customWidth="1"/>
    <col min="24" max="24" width="9.5546875" customWidth="1"/>
    <col min="25" max="25" width="1.77734375" customWidth="1"/>
    <col min="26" max="26" width="9.77734375" customWidth="1"/>
    <col min="27" max="27" width="10.44140625" customWidth="1"/>
    <col min="28" max="28" width="10.21875" customWidth="1"/>
    <col min="29" max="29" width="2" customWidth="1"/>
    <col min="30" max="30" width="9.21875" customWidth="1"/>
    <col min="31" max="31" width="9.44140625" customWidth="1"/>
    <col min="32" max="32" width="10.44140625" customWidth="1"/>
    <col min="33" max="33" width="2.21875" customWidth="1"/>
    <col min="35" max="35" width="8" customWidth="1"/>
    <col min="37" max="37" width="2.21875" customWidth="1"/>
    <col min="38" max="38" width="6.5546875" customWidth="1"/>
    <col min="39" max="39" width="7.5546875" customWidth="1"/>
    <col min="40" max="40" width="2" customWidth="1"/>
    <col min="41" max="41" width="6.44140625" customWidth="1"/>
    <col min="42" max="42" width="7.5546875" customWidth="1"/>
    <col min="43" max="43" width="2.21875" customWidth="1"/>
    <col min="44" max="46" width="7" customWidth="1"/>
    <col min="47" max="47" width="8.44140625" customWidth="1"/>
    <col min="48" max="48" width="2.21875" customWidth="1"/>
    <col min="49" max="50" width="9.44140625" customWidth="1"/>
    <col min="51" max="51" width="9.77734375" customWidth="1"/>
    <col min="52" max="52" width="2" customWidth="1"/>
    <col min="56" max="56" width="2.21875" customWidth="1"/>
    <col min="57" max="57" width="9" customWidth="1"/>
    <col min="58" max="59" width="8.21875" customWidth="1"/>
    <col min="60" max="60" width="8.77734375" customWidth="1"/>
    <col min="61" max="64" width="7.5546875" customWidth="1"/>
    <col min="65" max="66" width="10.21875" customWidth="1"/>
    <col min="67" max="67" width="9.44140625" customWidth="1"/>
    <col min="68" max="68" width="9.5546875" customWidth="1"/>
    <col min="69" max="69" width="10" customWidth="1"/>
    <col min="70" max="70" width="8.77734375" customWidth="1"/>
    <col min="73" max="74" width="9.77734375" customWidth="1"/>
    <col min="75" max="75" width="12.21875" customWidth="1"/>
    <col min="76" max="76" width="9.21875" customWidth="1"/>
    <col min="78" max="78" width="7.77734375" customWidth="1"/>
    <col min="79" max="79" width="10.44140625" customWidth="1"/>
    <col min="80" max="80" width="12.44140625" bestFit="1" customWidth="1"/>
    <col min="81" max="81" width="6.5546875" customWidth="1"/>
    <col min="82" max="82" width="5" customWidth="1"/>
    <col min="83" max="83" width="9.5546875" customWidth="1"/>
    <col min="85" max="85" width="15" customWidth="1"/>
    <col min="86" max="86" width="16.77734375" customWidth="1"/>
    <col min="87" max="87" width="6.21875" customWidth="1"/>
    <col min="88" max="91" width="7.77734375" customWidth="1"/>
    <col min="92" max="92" width="6.21875" customWidth="1"/>
    <col min="93" max="93" width="9.5546875" customWidth="1"/>
    <col min="94" max="94" width="9.21875" customWidth="1"/>
    <col min="95" max="95" width="1.77734375" customWidth="1"/>
    <col min="96" max="96" width="8.44140625" customWidth="1"/>
    <col min="97" max="98" width="9.5546875" customWidth="1"/>
    <col min="99" max="100" width="8.77734375" customWidth="1"/>
    <col min="101" max="101" width="8.5546875" customWidth="1"/>
    <col min="102" max="102" width="7.5546875" customWidth="1"/>
    <col min="103" max="103" width="9" customWidth="1"/>
    <col min="104" max="104" width="8.77734375" customWidth="1"/>
    <col min="105" max="105" width="10" customWidth="1"/>
    <col min="106" max="106" width="9.5546875" customWidth="1"/>
    <col min="107" max="107" width="1.77734375" customWidth="1"/>
    <col min="108" max="108" width="9.77734375" customWidth="1"/>
    <col min="109" max="109" width="10.44140625" customWidth="1"/>
    <col min="110" max="110" width="10.21875" customWidth="1"/>
    <col min="111" max="111" width="2" customWidth="1"/>
    <col min="113" max="113" width="9.44140625" customWidth="1"/>
    <col min="114" max="114" width="10.44140625" customWidth="1"/>
    <col min="115" max="115" width="2.21875" customWidth="1"/>
    <col min="117" max="117" width="8" customWidth="1"/>
    <col min="119" max="119" width="2.21875" customWidth="1"/>
    <col min="120" max="120" width="6.5546875" customWidth="1"/>
    <col min="121" max="121" width="7.5546875" customWidth="1"/>
    <col min="122" max="122" width="2" customWidth="1"/>
    <col min="123" max="123" width="6.44140625" customWidth="1"/>
    <col min="124" max="124" width="7.5546875" customWidth="1"/>
    <col min="125" max="125" width="2.21875" customWidth="1"/>
    <col min="126" max="128" width="7" customWidth="1"/>
    <col min="129" max="129" width="8.44140625" customWidth="1"/>
    <col min="130" max="130" width="2.21875" customWidth="1"/>
    <col min="131" max="132" width="9.44140625" customWidth="1"/>
    <col min="133" max="133" width="9.77734375" customWidth="1"/>
    <col min="134" max="134" width="2" customWidth="1"/>
    <col min="138" max="138" width="2.21875" customWidth="1"/>
    <col min="139" max="139" width="9" customWidth="1"/>
    <col min="140" max="141" width="8.21875" customWidth="1"/>
    <col min="142" max="142" width="8.77734375" customWidth="1"/>
    <col min="143" max="146" width="7.5546875" customWidth="1"/>
    <col min="147" max="148" width="10.21875" customWidth="1"/>
    <col min="149" max="149" width="9.44140625" customWidth="1"/>
    <col min="150" max="150" width="9.5546875" customWidth="1"/>
    <col min="151" max="151" width="10" customWidth="1"/>
    <col min="152" max="152" width="8.77734375" customWidth="1"/>
    <col min="155" max="156" width="9.77734375" customWidth="1"/>
    <col min="157" max="157" width="12.21875" customWidth="1"/>
    <col min="160" max="160" width="7.77734375" customWidth="1"/>
    <col min="161" max="161" width="10.44140625" customWidth="1"/>
    <col min="162" max="162" width="12.44140625" bestFit="1" customWidth="1"/>
    <col min="163" max="163" width="6.5546875" customWidth="1"/>
    <col min="164" max="164" width="5" customWidth="1"/>
    <col min="165" max="165" width="9.5546875" customWidth="1"/>
    <col min="168" max="168" width="17.44140625" customWidth="1"/>
    <col min="169" max="169" width="14.21875" customWidth="1"/>
  </cols>
  <sheetData>
    <row r="1" spans="2:169" ht="24.6">
      <c r="B1" s="159" t="s">
        <v>515</v>
      </c>
      <c r="CI1" s="665" t="s">
        <v>823</v>
      </c>
    </row>
    <row r="2" spans="2:169" ht="13.8" thickBot="1">
      <c r="AW2">
        <f>Vout_ripple</f>
        <v>300</v>
      </c>
      <c r="EA2">
        <f>Vout_ripple</f>
        <v>300</v>
      </c>
    </row>
    <row r="3" spans="2:169">
      <c r="E3" s="191" t="s">
        <v>421</v>
      </c>
      <c r="F3" s="464"/>
      <c r="G3" s="464"/>
      <c r="H3" s="464"/>
      <c r="I3" s="464"/>
      <c r="J3" s="192"/>
      <c r="K3" s="193"/>
      <c r="L3" s="452"/>
      <c r="M3" s="452"/>
      <c r="N3" s="814" t="s">
        <v>189</v>
      </c>
      <c r="O3" s="815"/>
      <c r="P3" s="817"/>
      <c r="Q3" s="814"/>
      <c r="R3" s="817"/>
      <c r="S3" s="814"/>
      <c r="T3" s="814"/>
      <c r="U3" s="815"/>
      <c r="V3" s="815"/>
      <c r="W3" s="814"/>
      <c r="X3" s="815"/>
      <c r="Y3" s="814"/>
      <c r="Z3" s="816"/>
      <c r="AA3" s="461"/>
      <c r="AB3" s="461"/>
      <c r="AC3" s="461"/>
      <c r="AD3" s="461"/>
      <c r="AE3" s="461"/>
      <c r="AF3" s="461"/>
      <c r="AG3" s="461"/>
      <c r="AH3" s="461"/>
      <c r="AI3" s="461"/>
      <c r="AJ3" s="461"/>
      <c r="AK3" s="461"/>
      <c r="AL3" s="461"/>
      <c r="AM3" s="461"/>
      <c r="AN3" s="461"/>
      <c r="AO3" s="461"/>
      <c r="AP3" s="461"/>
      <c r="AQ3" s="461"/>
      <c r="AR3" s="461" t="s">
        <v>460</v>
      </c>
      <c r="AS3" s="461"/>
      <c r="AT3" s="461"/>
      <c r="AU3" s="461"/>
      <c r="AV3" s="461"/>
      <c r="AW3" s="461" t="s">
        <v>470</v>
      </c>
      <c r="AX3" s="461" t="s">
        <v>470</v>
      </c>
      <c r="AY3" s="461"/>
      <c r="AZ3" s="461"/>
      <c r="BA3" s="480" t="s">
        <v>471</v>
      </c>
      <c r="BB3" s="461"/>
      <c r="BC3" s="461"/>
      <c r="BD3" s="461"/>
      <c r="BE3" s="480" t="s">
        <v>888</v>
      </c>
      <c r="BF3" s="461"/>
      <c r="BG3" s="461"/>
      <c r="BH3" s="461"/>
      <c r="BI3" s="461"/>
      <c r="BJ3" s="461"/>
      <c r="BK3" s="461"/>
      <c r="BL3" s="461"/>
      <c r="BM3" s="480" t="s">
        <v>489</v>
      </c>
      <c r="BN3" s="461"/>
      <c r="BO3" s="461"/>
      <c r="BP3" s="461"/>
      <c r="BQ3" s="461"/>
      <c r="BR3" s="481" t="s">
        <v>490</v>
      </c>
      <c r="BS3" s="461"/>
      <c r="BT3" s="461"/>
      <c r="BU3" s="461"/>
      <c r="BV3" s="461"/>
      <c r="BW3" s="461"/>
      <c r="BX3" s="461"/>
      <c r="BY3" s="480"/>
      <c r="BZ3" s="461"/>
      <c r="CA3" s="461"/>
      <c r="CB3" s="461"/>
      <c r="CC3" s="461"/>
      <c r="CI3" s="191" t="s">
        <v>421</v>
      </c>
      <c r="CJ3" s="464"/>
      <c r="CK3" s="464"/>
      <c r="CL3" s="464"/>
      <c r="CM3" s="464"/>
      <c r="CN3" s="192"/>
      <c r="CO3" s="193"/>
      <c r="CP3" s="452"/>
      <c r="CQ3" s="452"/>
      <c r="CR3" s="814" t="s">
        <v>189</v>
      </c>
      <c r="CS3" s="815"/>
      <c r="CT3" s="817"/>
      <c r="CU3" s="814"/>
      <c r="CV3" s="817"/>
      <c r="CW3" s="814"/>
      <c r="CX3" s="814"/>
      <c r="CY3" s="815"/>
      <c r="CZ3" s="815"/>
      <c r="DA3" s="814"/>
      <c r="DB3" s="815"/>
      <c r="DC3" s="814"/>
      <c r="DD3" s="816"/>
      <c r="DE3" s="461"/>
      <c r="DF3" s="461"/>
      <c r="DG3" s="461"/>
      <c r="DH3" s="461"/>
      <c r="DI3" s="461"/>
      <c r="DJ3" s="461"/>
      <c r="DK3" s="461"/>
      <c r="DL3" s="461"/>
      <c r="DM3" s="461"/>
      <c r="DN3" s="461"/>
      <c r="DO3" s="461"/>
      <c r="DP3" s="461"/>
      <c r="DQ3" s="461"/>
      <c r="DR3" s="461"/>
      <c r="DS3" s="461"/>
      <c r="DT3" s="461"/>
      <c r="DU3" s="461"/>
      <c r="DV3" s="461" t="s">
        <v>460</v>
      </c>
      <c r="DW3" s="461"/>
      <c r="DX3" s="461"/>
      <c r="DY3" s="461"/>
      <c r="DZ3" s="461"/>
      <c r="EA3" s="461" t="s">
        <v>470</v>
      </c>
      <c r="EB3" s="461" t="s">
        <v>470</v>
      </c>
      <c r="EC3" s="461"/>
      <c r="ED3" s="461"/>
      <c r="EE3" s="480" t="s">
        <v>471</v>
      </c>
      <c r="EF3" s="461"/>
      <c r="EG3" s="461"/>
      <c r="EH3" s="461"/>
      <c r="EI3" s="480" t="s">
        <v>493</v>
      </c>
      <c r="EJ3" s="461"/>
      <c r="EK3" s="461"/>
      <c r="EL3" s="461"/>
      <c r="EM3" s="461"/>
      <c r="EN3" s="461"/>
      <c r="EO3" s="461"/>
      <c r="EP3" s="461"/>
      <c r="EQ3" s="480" t="s">
        <v>489</v>
      </c>
      <c r="ER3" s="461"/>
      <c r="ES3" s="461"/>
      <c r="ET3" s="461"/>
      <c r="EU3" s="461"/>
      <c r="EV3" s="481" t="s">
        <v>490</v>
      </c>
      <c r="EW3" s="461"/>
      <c r="EX3" s="461"/>
      <c r="EY3" s="461"/>
      <c r="EZ3" s="461"/>
      <c r="FA3" s="461"/>
      <c r="FB3" s="461"/>
      <c r="FC3" s="480"/>
      <c r="FD3" s="461"/>
      <c r="FE3" s="461"/>
      <c r="FF3" s="461"/>
      <c r="FG3" s="461"/>
    </row>
    <row r="4" spans="2:169" ht="45" customHeight="1" thickBot="1">
      <c r="E4" s="211" t="s">
        <v>25</v>
      </c>
      <c r="F4" s="516" t="s">
        <v>580</v>
      </c>
      <c r="G4" s="380" t="s">
        <v>579</v>
      </c>
      <c r="H4" s="517" t="s">
        <v>581</v>
      </c>
      <c r="I4" s="518" t="s">
        <v>582</v>
      </c>
      <c r="J4" s="212" t="s">
        <v>412</v>
      </c>
      <c r="K4" s="213" t="s">
        <v>586</v>
      </c>
      <c r="L4" s="519" t="s">
        <v>413</v>
      </c>
      <c r="M4" s="520"/>
      <c r="N4" s="214" t="s">
        <v>48</v>
      </c>
      <c r="O4" s="520" t="s">
        <v>590</v>
      </c>
      <c r="P4" s="520" t="s">
        <v>606</v>
      </c>
      <c r="Q4" s="520" t="s">
        <v>583</v>
      </c>
      <c r="R4" s="520" t="s">
        <v>584</v>
      </c>
      <c r="S4" s="520" t="s">
        <v>585</v>
      </c>
      <c r="T4" s="520" t="s">
        <v>414</v>
      </c>
      <c r="U4" s="520" t="s">
        <v>466</v>
      </c>
      <c r="V4" s="520" t="s">
        <v>465</v>
      </c>
      <c r="W4" s="521" t="s">
        <v>420</v>
      </c>
      <c r="X4" s="522" t="s">
        <v>425</v>
      </c>
      <c r="Z4" s="215" t="s">
        <v>417</v>
      </c>
      <c r="AA4" s="215" t="s">
        <v>464</v>
      </c>
      <c r="AB4" s="215" t="s">
        <v>587</v>
      </c>
      <c r="AC4" s="468"/>
      <c r="AD4" s="215" t="s">
        <v>463</v>
      </c>
      <c r="AE4" s="521" t="s">
        <v>426</v>
      </c>
      <c r="AF4" s="215" t="s">
        <v>588</v>
      </c>
      <c r="AG4" s="468"/>
      <c r="AH4" s="215" t="s">
        <v>429</v>
      </c>
      <c r="AI4" s="470" t="s">
        <v>430</v>
      </c>
      <c r="AJ4" s="470" t="s">
        <v>431</v>
      </c>
      <c r="AL4" s="467" t="s">
        <v>275</v>
      </c>
      <c r="AM4" s="467" t="s">
        <v>432</v>
      </c>
      <c r="AO4" s="215" t="s">
        <v>275</v>
      </c>
      <c r="AP4" s="215" t="s">
        <v>432</v>
      </c>
      <c r="AQ4" s="471"/>
      <c r="AR4" s="215" t="s">
        <v>467</v>
      </c>
      <c r="AS4" s="215" t="s">
        <v>461</v>
      </c>
      <c r="AT4" s="215" t="s">
        <v>462</v>
      </c>
      <c r="AU4" s="215" t="s">
        <v>48</v>
      </c>
      <c r="AV4" s="468"/>
      <c r="AW4" s="215" t="s">
        <v>591</v>
      </c>
      <c r="AX4" s="215" t="s">
        <v>592</v>
      </c>
      <c r="AY4" s="215" t="s">
        <v>514</v>
      </c>
      <c r="AZ4" s="468"/>
      <c r="BA4" s="479" t="s">
        <v>456</v>
      </c>
      <c r="BB4" s="215" t="s">
        <v>599</v>
      </c>
      <c r="BC4" s="215" t="s">
        <v>598</v>
      </c>
      <c r="BD4" s="468"/>
      <c r="BE4" s="479" t="s">
        <v>474</v>
      </c>
      <c r="BF4" s="215" t="s">
        <v>475</v>
      </c>
      <c r="BG4" s="215" t="s">
        <v>473</v>
      </c>
      <c r="BH4" s="215" t="s">
        <v>469</v>
      </c>
      <c r="BI4" s="215" t="s">
        <v>478</v>
      </c>
      <c r="BJ4" s="215" t="s">
        <v>491</v>
      </c>
      <c r="BK4" s="215" t="s">
        <v>776</v>
      </c>
      <c r="BL4" s="215" t="s">
        <v>778</v>
      </c>
      <c r="BM4" s="479" t="s">
        <v>601</v>
      </c>
      <c r="BN4" s="215" t="s">
        <v>600</v>
      </c>
      <c r="BO4" s="215" t="s">
        <v>477</v>
      </c>
      <c r="BP4" s="215" t="s">
        <v>483</v>
      </c>
      <c r="BQ4" s="215" t="s">
        <v>487</v>
      </c>
      <c r="BR4" s="479" t="s">
        <v>458</v>
      </c>
      <c r="BS4" s="215" t="s">
        <v>603</v>
      </c>
      <c r="BT4" s="215" t="s">
        <v>602</v>
      </c>
      <c r="BU4" s="215" t="s">
        <v>468</v>
      </c>
      <c r="BV4" s="215" t="s">
        <v>673</v>
      </c>
      <c r="BW4" s="215" t="s">
        <v>484</v>
      </c>
      <c r="BX4" s="215" t="s">
        <v>667</v>
      </c>
      <c r="BY4" s="479" t="s">
        <v>482</v>
      </c>
      <c r="BZ4" s="215" t="s">
        <v>223</v>
      </c>
      <c r="CA4" s="215" t="s">
        <v>47</v>
      </c>
      <c r="CB4" s="215" t="s">
        <v>485</v>
      </c>
      <c r="CC4" s="215" t="s">
        <v>604</v>
      </c>
      <c r="CE4" s="490" t="s">
        <v>497</v>
      </c>
      <c r="CG4" s="668" t="s">
        <v>829</v>
      </c>
      <c r="CH4" s="669" t="s">
        <v>830</v>
      </c>
      <c r="CI4" s="211" t="s">
        <v>25</v>
      </c>
      <c r="CJ4" s="516" t="s">
        <v>580</v>
      </c>
      <c r="CK4" s="380" t="s">
        <v>579</v>
      </c>
      <c r="CL4" s="517" t="s">
        <v>581</v>
      </c>
      <c r="CM4" s="518" t="s">
        <v>582</v>
      </c>
      <c r="CN4" s="212" t="s">
        <v>412</v>
      </c>
      <c r="CO4" s="213" t="s">
        <v>586</v>
      </c>
      <c r="CP4" s="519" t="s">
        <v>413</v>
      </c>
      <c r="CQ4" s="520"/>
      <c r="CR4" s="214" t="s">
        <v>48</v>
      </c>
      <c r="CS4" s="520" t="s">
        <v>590</v>
      </c>
      <c r="CT4" s="520" t="s">
        <v>606</v>
      </c>
      <c r="CU4" s="520" t="s">
        <v>583</v>
      </c>
      <c r="CV4" s="520" t="s">
        <v>584</v>
      </c>
      <c r="CW4" s="520" t="s">
        <v>585</v>
      </c>
      <c r="CX4" s="520" t="s">
        <v>414</v>
      </c>
      <c r="CY4" s="520" t="s">
        <v>466</v>
      </c>
      <c r="CZ4" s="520" t="s">
        <v>465</v>
      </c>
      <c r="DA4" s="521" t="s">
        <v>420</v>
      </c>
      <c r="DB4" s="522" t="s">
        <v>425</v>
      </c>
      <c r="DD4" s="215" t="s">
        <v>417</v>
      </c>
      <c r="DE4" s="215" t="s">
        <v>464</v>
      </c>
      <c r="DF4" s="215" t="s">
        <v>587</v>
      </c>
      <c r="DG4" s="468"/>
      <c r="DH4" s="215" t="s">
        <v>463</v>
      </c>
      <c r="DI4" s="521" t="s">
        <v>426</v>
      </c>
      <c r="DJ4" s="215" t="s">
        <v>588</v>
      </c>
      <c r="DK4" s="468"/>
      <c r="DL4" s="215" t="s">
        <v>429</v>
      </c>
      <c r="DM4" s="470" t="s">
        <v>430</v>
      </c>
      <c r="DN4" s="470" t="s">
        <v>431</v>
      </c>
      <c r="DP4" s="467" t="s">
        <v>275</v>
      </c>
      <c r="DQ4" s="467" t="s">
        <v>432</v>
      </c>
      <c r="DS4" s="215" t="s">
        <v>275</v>
      </c>
      <c r="DT4" s="215" t="s">
        <v>432</v>
      </c>
      <c r="DU4" s="471"/>
      <c r="DV4" s="215" t="s">
        <v>467</v>
      </c>
      <c r="DW4" s="215" t="s">
        <v>461</v>
      </c>
      <c r="DX4" s="215" t="s">
        <v>462</v>
      </c>
      <c r="DY4" s="215" t="s">
        <v>48</v>
      </c>
      <c r="DZ4" s="468"/>
      <c r="EA4" s="215" t="s">
        <v>591</v>
      </c>
      <c r="EB4" s="215" t="s">
        <v>592</v>
      </c>
      <c r="EC4" s="215" t="s">
        <v>514</v>
      </c>
      <c r="ED4" s="468"/>
      <c r="EE4" s="479" t="s">
        <v>456</v>
      </c>
      <c r="EF4" s="215" t="s">
        <v>599</v>
      </c>
      <c r="EG4" s="215" t="s">
        <v>598</v>
      </c>
      <c r="EH4" s="468"/>
      <c r="EI4" s="479" t="s">
        <v>474</v>
      </c>
      <c r="EJ4" s="215" t="s">
        <v>475</v>
      </c>
      <c r="EK4" s="215" t="s">
        <v>473</v>
      </c>
      <c r="EL4" s="215" t="s">
        <v>469</v>
      </c>
      <c r="EM4" s="215" t="s">
        <v>478</v>
      </c>
      <c r="EN4" s="215" t="s">
        <v>491</v>
      </c>
      <c r="EO4" s="215" t="s">
        <v>776</v>
      </c>
      <c r="EP4" s="215" t="s">
        <v>778</v>
      </c>
      <c r="EQ4" s="479" t="s">
        <v>601</v>
      </c>
      <c r="ER4" s="215" t="s">
        <v>600</v>
      </c>
      <c r="ES4" s="215" t="s">
        <v>477</v>
      </c>
      <c r="ET4" s="215" t="s">
        <v>483</v>
      </c>
      <c r="EU4" s="215" t="s">
        <v>487</v>
      </c>
      <c r="EV4" s="479" t="s">
        <v>458</v>
      </c>
      <c r="EW4" s="215" t="s">
        <v>603</v>
      </c>
      <c r="EX4" s="215" t="s">
        <v>602</v>
      </c>
      <c r="EY4" s="215" t="s">
        <v>468</v>
      </c>
      <c r="EZ4" s="215" t="s">
        <v>673</v>
      </c>
      <c r="FA4" s="215" t="s">
        <v>484</v>
      </c>
      <c r="FB4" s="215" t="s">
        <v>486</v>
      </c>
      <c r="FC4" s="479" t="s">
        <v>482</v>
      </c>
      <c r="FD4" s="215" t="s">
        <v>223</v>
      </c>
      <c r="FE4" s="215" t="s">
        <v>47</v>
      </c>
      <c r="FF4" s="215" t="s">
        <v>485</v>
      </c>
      <c r="FG4" s="215" t="s">
        <v>604</v>
      </c>
      <c r="FI4" s="490" t="s">
        <v>497</v>
      </c>
      <c r="FL4" s="668" t="s">
        <v>876</v>
      </c>
      <c r="FM4" s="668" t="s">
        <v>875</v>
      </c>
    </row>
    <row r="5" spans="2:169">
      <c r="E5" s="147">
        <v>0.1</v>
      </c>
      <c r="F5" s="188">
        <v>1.0000000000000001E-9</v>
      </c>
      <c r="G5" s="188">
        <v>1.0000000000000001E-9</v>
      </c>
      <c r="H5" s="188">
        <f t="shared" ref="H5:H36" si="0">F5*Vout</f>
        <v>3.0000000000000004E-8</v>
      </c>
      <c r="I5" s="188">
        <f>G5*Vout2</f>
        <v>6.0000000000000008E-9</v>
      </c>
      <c r="J5" s="465">
        <f t="shared" ref="J5:J36" si="1">Vin-(F5/CG5/Nps+G5/CH5/(Nps/Nsec1sec2))*(Rdcr_pri+RON/1000)</f>
        <v>33.99997837714465</v>
      </c>
      <c r="K5" s="379">
        <f t="shared" ref="K5:K36" si="2">MAX((S5+Vfwd2+Rdcr_sec*F5/CG5)*Nps,(Vout2+Vfwd22+Rdcr_sec2*G5/CH5)*Nps/Nsec1sec2)</f>
        <v>30.700029330049336</v>
      </c>
      <c r="L5" s="149">
        <f t="shared" ref="L5:L36" si="3">MAX((Vout+Vfwd2+F5/CG5*Rdcr_sec)*Nps+J5, (Vout2+Vfwd22+G5/CH5*Rdcr_sec2)*Nps/Nsec1sec2+J5)</f>
        <v>64.70000770719399</v>
      </c>
      <c r="M5" s="379"/>
      <c r="N5" s="188">
        <f t="shared" ref="N5:N36" si="4">MAX((Vout+Vfwd2+F5/CG5*Rdcr_sec)*Nps/((Vout+Vfwd2+F5/CG5*Rdcr_sec)*Nps+J5), (Vout2+Vfwd22+G5/CH5*Rdcr_sec2)*Nps/Nsec1sec2/((Vout2+Vfwd22+G5/CH5*Rdcr_sec2)*Nps/Nsec1sec2+J5))</f>
        <v>0.47449807840804636</v>
      </c>
      <c r="O5" s="149">
        <f>N5*J5*Isw_max*0.5*Efficiency*(Pout/Pout_total)</f>
        <v>234.47314011874519</v>
      </c>
      <c r="P5" s="149">
        <f t="shared" ref="P5:P36" si="5">N5*J5*Isw_max*0.5*Efficiency*(Pout2/Pout_total)</f>
        <v>9.9651084550466695</v>
      </c>
      <c r="Q5" s="188">
        <f t="shared" ref="Q5:Q68" si="6">O5/Vout</f>
        <v>7.8157713372915065</v>
      </c>
      <c r="R5" s="188">
        <f t="shared" ref="R5:R36" si="7">O5/Vout2</f>
        <v>39.078856686457534</v>
      </c>
      <c r="S5" s="379">
        <f t="shared" ref="S5:S36" si="8">MIN(Vout,O5/F5)</f>
        <v>30</v>
      </c>
      <c r="T5" s="188">
        <f t="shared" ref="T5:T36" si="9">MIN(2*(Vout*F5+Vout2*G5)/(Efficiency*J5*N5), Isw_max)</f>
        <v>4.4629230379212261E-9</v>
      </c>
      <c r="U5" s="188">
        <f t="shared" ref="U5:U68" si="10">L*T5/J5*1000000</f>
        <v>6.1693387112063579E-10</v>
      </c>
      <c r="V5" s="188">
        <f t="shared" ref="V5:V68" si="11">L*T5/K5*1000000</f>
        <v>6.8324815109211015E-10</v>
      </c>
      <c r="W5" s="172">
        <f t="shared" ref="W5:W68" si="12">IF(1/((350000*L)*(1/J5+1/K5))&gt;Isw_min, 350, 0.001/((Isw_min*L)*(1/J5+1/K5)))</f>
        <v>350</v>
      </c>
      <c r="X5" s="379">
        <f>MIN(1/(U5+V5+0.2)*1000, 350)</f>
        <v>350</v>
      </c>
      <c r="Z5" s="188">
        <f t="shared" ref="Z5:Z68" si="13">1/((W5*1000*L)*(1/J5+1/K5))</f>
        <v>9.8072488789484886</v>
      </c>
      <c r="AA5" s="150">
        <f t="shared" ref="AA5:AA68" si="14">L*Z5/K5*1000000</f>
        <v>1.5014340616912962</v>
      </c>
      <c r="AB5" s="150">
        <f t="shared" ref="AB5:AB36" si="15">0.5*AA5*Z5*Nps*W5/1000*(Pout/Pout_total)</f>
        <v>2.4718120534378727</v>
      </c>
      <c r="AC5" s="150"/>
      <c r="AD5" s="150">
        <f t="shared" ref="AD5:AD68" si="16">L*Isw_min/K5*1000000</f>
        <v>0.92784434107909386</v>
      </c>
      <c r="AE5" s="314">
        <f t="shared" ref="AE5:AE36" si="17">MAX(10, F5/(0.5*AD5/1000000*Isw_min*Nps)/1000*Pout_total/Pout)</f>
        <v>10</v>
      </c>
      <c r="AF5" s="456">
        <f t="shared" ref="AF5:AF36" si="18">0.5*AD5/1000000*Isw_min*Nps*W5*1000*(Pout/Pout_total)</f>
        <v>0.94395907093287668</v>
      </c>
      <c r="AH5" s="150">
        <f t="shared" ref="AH5:AH36" si="19">SQRT((H5+I5)/(0.5*L*Fsw_DCM))</f>
        <v>2.0921041312632201E-4</v>
      </c>
      <c r="AI5" s="150">
        <f t="shared" ref="AI5:AI36" si="20">MAX(IF(F5&gt;AB5,T5,AH5),Isw_min)</f>
        <v>6.0606060606060606</v>
      </c>
      <c r="AJ5" s="150">
        <f t="shared" ref="AJ5:AJ36" si="21">IF(F5&gt;AF5, (AI5-Isw_min)/1.08*0.8+1.2, AE5*0.2/350+1)</f>
        <v>1.0057142857142858</v>
      </c>
      <c r="AL5" s="314">
        <f t="shared" ref="AL5:AL36" si="22">F5*1000</f>
        <v>1.0000000000000002E-6</v>
      </c>
      <c r="AM5" s="144">
        <f t="shared" ref="AM5:AM36" si="23">IF(F5&gt;AF5, X5, AE5)</f>
        <v>10</v>
      </c>
      <c r="AO5">
        <f>IF(H5&gt;O5, "",AL5)</f>
        <v>1.0000000000000002E-6</v>
      </c>
      <c r="AP5" s="144">
        <f t="shared" ref="AP5:AP68" si="24">IF(H5&gt;O5, "",AM5)</f>
        <v>10</v>
      </c>
      <c r="AQ5" s="144"/>
      <c r="AR5" s="5">
        <f>1/AM5*1000</f>
        <v>100</v>
      </c>
      <c r="AS5" s="5">
        <f t="shared" ref="AS5:AS68" si="25">L*AI5/J5*1000000</f>
        <v>0.83779019412543132</v>
      </c>
      <c r="AT5" s="5">
        <f>AR5-AS5</f>
        <v>99.162209805874568</v>
      </c>
      <c r="AU5" s="150">
        <f>AS5/AR5</f>
        <v>8.3779019412543124E-3</v>
      </c>
      <c r="AW5" s="5">
        <f t="shared" ref="AW5:AW36" si="26">F5*AS5/Vout_ripple*1000</f>
        <v>2.7926339804181043E-9</v>
      </c>
      <c r="AX5" s="5">
        <f t="shared" ref="AX5:AX36" si="27">G5*AS5/Vout_ripple2*1000</f>
        <v>1.3963169902090522E-8</v>
      </c>
      <c r="AY5" s="5">
        <f t="shared" ref="AY5:AY68" si="28">H5/Efficiency/J5*AT5/Vinripple1</f>
        <v>5.146830771785901E-8</v>
      </c>
      <c r="AZ5" s="5"/>
      <c r="BA5" s="150">
        <f>AI5*SQRT(AU5/3)</f>
        <v>0.32027501843729306</v>
      </c>
      <c r="BB5" s="150">
        <f t="shared" ref="BB5:BB36" si="29">AI5*Npri_sec1*SQRT((1-AU5)/3)*(Pout/Pout_total)</f>
        <v>3.3423541336600042</v>
      </c>
      <c r="BC5" s="150">
        <f t="shared" ref="BC5:BC36" si="30">AI5*Npri_sec2*SQRT((1-AU5)/3)*(Pout2/Pout_total)</f>
        <v>0.67091331629121387</v>
      </c>
      <c r="BD5" s="150"/>
      <c r="BE5" s="456">
        <f t="shared" ref="BE5:BE68" si="31">Rdson*BA5^2</f>
        <v>1.230913049220101E-3</v>
      </c>
      <c r="BF5" s="456">
        <f t="shared" ref="BF5:BF36" si="32">0.5*L5*AI5*AM5*1000*Tfall</f>
        <v>7.1562129736744876E-2</v>
      </c>
      <c r="BG5" s="456">
        <f t="shared" ref="BG5:BG68" si="33">Qg*Vdd*AM5*1000</f>
        <v>1.15E-3</v>
      </c>
      <c r="BH5" s="456">
        <f t="shared" ref="BH5:BH68" si="34">0.5*(Coss+Csw)*L5^2*AM5*1000</f>
        <v>2.1663020911084227E-2</v>
      </c>
      <c r="BI5">
        <f t="shared" ref="BI5:BI68" si="35">J5*IQ</f>
        <v>1.5299990269715092E-2</v>
      </c>
      <c r="BJ5" s="144">
        <f>(BG5+BI5)*1000</f>
        <v>16.449990269715091</v>
      </c>
      <c r="BK5">
        <f t="shared" ref="BK5:BK36" si="36">(BF5+BG5*0+BH5+BI5*0+BE5*(1+RdsonTC*(Ta-25)))/(1-BE5*RdsonTC*ThetaJA)</f>
        <v>9.4816140617262193E-2</v>
      </c>
      <c r="BL5" s="144">
        <f>BK5*1000</f>
        <v>94.816140617262192</v>
      </c>
      <c r="BM5" s="150">
        <f t="shared" ref="BM5:BM36" si="37">Vfwd2*F5*(1+Diode_TC/1000*(Ta-25))</f>
        <v>6.7059999999999994E-10</v>
      </c>
      <c r="BN5" s="150">
        <f t="shared" ref="BN5:BN36" si="38">Vfwd22*G5*(1+Diode_TC/1000*(Ta-25))</f>
        <v>4.79E-10</v>
      </c>
      <c r="BO5" s="456"/>
      <c r="BQ5" s="144">
        <f>SUM(BM5:BP5)*1000</f>
        <v>1.1495999999999998E-6</v>
      </c>
      <c r="BR5" s="456">
        <f t="shared" ref="BR5:BR68" si="39">Rdcr_pri*BA5^2</f>
        <v>1.4360652240901178E-3</v>
      </c>
      <c r="BS5" s="456">
        <f>Rdcr_sec*BB5^2</f>
        <v>0.15639863616711766</v>
      </c>
      <c r="BT5" s="456">
        <f t="shared" ref="BT5:BT36" si="40">Rdcr_sec2*BC5^2</f>
        <v>2.250623389884372E-3</v>
      </c>
      <c r="BU5" s="456">
        <f t="shared" ref="BU5:BU68" si="41">AI5^2.5*AM5^2.5*k_core</f>
        <v>1.4297501270184099E-3</v>
      </c>
      <c r="BV5" s="456">
        <f t="shared" ref="BV5:BV36" si="42">(BU5+(BR5+BS5+BT5)*(1+Ltc*(Ta-25)))/(1-(BR5+BS5+BT5)*Ltc*ThetaCa)</f>
        <v>0.20252931049138906</v>
      </c>
      <c r="BW5" s="538">
        <f t="shared" ref="BW5:BW36" si="43">0.5*Lleak*0.000000001*AI5^2*AM5*1000</f>
        <v>3.6730945821854911E-2</v>
      </c>
      <c r="BX5" s="144">
        <f>(BV5+BW5)*1000</f>
        <v>239.26025631324396</v>
      </c>
      <c r="BY5" s="150">
        <f>SUM(BK5,BM5:BP5,BV5:BW5)</f>
        <v>0.3340763980801062</v>
      </c>
      <c r="BZ5" s="5">
        <f>MIN(H5+I5,O5+P5)</f>
        <v>3.6000000000000005E-8</v>
      </c>
      <c r="CA5" s="150">
        <f>BZ5/(BZ5+BY5)</f>
        <v>1.077597709013135E-7</v>
      </c>
      <c r="CB5" s="5">
        <f>CA5*100</f>
        <v>1.077597709013135E-5</v>
      </c>
      <c r="CC5">
        <v>0</v>
      </c>
      <c r="CE5" s="59">
        <f t="shared" ref="CE5:CE36" si="44">IF(ABS(F5-Ioutmax_Vinnom)&lt;Iout/200, AM5, -50)</f>
        <v>-50</v>
      </c>
      <c r="CF5">
        <f t="shared" ref="CF5:CF36" si="45">IF(ABS(F5-Ioutmax_Vinnom)&lt;Iout/200, (O5+P5)*CA5, -50)</f>
        <v>-50</v>
      </c>
      <c r="CG5" s="150">
        <f t="shared" ref="CG5:CG36" si="46">MIN(SQRT(2*DT5*1000*Ls1_*(CL5+CJ5*Vfwd1))/(CW5+Vfwd1), 1-DY5)</f>
        <v>1.7584383023461174E-6</v>
      </c>
      <c r="CH5" s="150">
        <f t="shared" ref="CH5:CH36" si="47">MIN(SQRT(2*DT5*1000*Ls2_*(CM5+CK5*Vfwd22))/(Vout2+Vfwd22), 1-DY5)</f>
        <v>8.0516007129044149E-7</v>
      </c>
      <c r="CI5" s="147">
        <v>0.1</v>
      </c>
      <c r="CJ5" s="188">
        <v>1.0000000000000001E-9</v>
      </c>
      <c r="CK5" s="188">
        <v>1.0000000000000001E-9</v>
      </c>
      <c r="CL5" s="188">
        <f t="shared" ref="CL5:CL68" si="48">CJ5*Vout</f>
        <v>3.0000000000000004E-8</v>
      </c>
      <c r="CM5" s="188">
        <f>CK5*Vout2</f>
        <v>6.0000000000000008E-9</v>
      </c>
      <c r="CN5" s="465">
        <f>Vin</f>
        <v>34</v>
      </c>
      <c r="CO5" s="379">
        <f t="shared" ref="CO5:CO36" si="49">(CW5+Vfwd2)*Nps</f>
        <v>30.7</v>
      </c>
      <c r="CP5" s="379">
        <f t="shared" ref="CP5:CP36" si="50">(Vout+Vfwd2)*Nps+CN5</f>
        <v>64.7</v>
      </c>
      <c r="CQ5" s="379"/>
      <c r="CR5" s="188">
        <f>(Vout+Vfwd2)*Nps/((Vout+Vfwd2)*Nps+CN5)</f>
        <v>0.47449768160741884</v>
      </c>
      <c r="CS5" s="149">
        <f>CR5*CN5*Isw_max*0.5*Efficiency*(Pout/Pout_total)</f>
        <v>234.4730931567799</v>
      </c>
      <c r="CT5" s="149">
        <f t="shared" ref="CT5:CT68" si="51">CR5*CN5*Isw_max*0.5*Efficiency*(Pout2/Pout_total)</f>
        <v>9.9651064591631435</v>
      </c>
      <c r="CU5" s="188">
        <f t="shared" ref="CU5:CU68" si="52">CS5/Vout</f>
        <v>7.8157697718926631</v>
      </c>
      <c r="CV5" s="188">
        <f t="shared" ref="CV5:CV68" si="53">CS5/Vout2</f>
        <v>39.078848859463314</v>
      </c>
      <c r="CW5" s="379">
        <f t="shared" ref="CW5:CW68" si="54">MIN(Vout,CS5/CJ5)</f>
        <v>30</v>
      </c>
      <c r="CX5" s="188">
        <f t="shared" ref="CX5:CX68" si="55">MIN(2*(Vout*CJ5+Vout2*CK5)/(Efficiency*CN5*CR5), Isw_max)</f>
        <v>4.4629239317877003E-9</v>
      </c>
      <c r="CY5" s="188">
        <f t="shared" ref="CY5:CY68" si="56">L*CX5/CN5*1000000</f>
        <v>6.1693360233535852E-10</v>
      </c>
      <c r="CZ5" s="188">
        <f t="shared" ref="CZ5:CZ68" si="57">L*CX5/CO5*1000000</f>
        <v>6.8324894069713978E-10</v>
      </c>
      <c r="DA5" s="172">
        <f t="shared" ref="DA5:DA68" si="58">IF(1/((350000*L)*(1/CN5+1/CO5))&gt;Isw_min, 350, 0.001/((Isw_min*L)*(1/CN5+1/CO5)))</f>
        <v>350</v>
      </c>
      <c r="DB5" s="379">
        <f>MIN(1/(CY5+CZ5)*1000, 350)</f>
        <v>350</v>
      </c>
      <c r="DD5" s="188">
        <f t="shared" ref="DD5:DD68" si="59">1/((DA5*1000*L)*(1/CN5+1/CO5))</f>
        <v>9.8072469146822137</v>
      </c>
      <c r="DE5" s="150">
        <f t="shared" ref="DE5:DE68" si="60">L*DD5/CO5*1000000</f>
        <v>1.5014351954073746</v>
      </c>
      <c r="DF5" s="150">
        <f t="shared" ref="DF5:DF68" si="61">0.5*DE5*DD5*Nps*DA5/1000*(Pout/Pout_total)</f>
        <v>2.4718134248028734</v>
      </c>
      <c r="DG5" s="150"/>
      <c r="DH5" s="150">
        <f t="shared" ref="DH5:DH68" si="62">L*Isw_min/CO5*1000000</f>
        <v>0.92784522751949461</v>
      </c>
      <c r="DI5" s="314">
        <f t="shared" ref="DI5:DI68" si="63">MAX(10, CJ5/(0.5*DH5/1000000*Isw_min*Nps)/1000*Pout_total/Pout)</f>
        <v>10</v>
      </c>
      <c r="DJ5" s="456">
        <f t="shared" ref="DJ5:DJ68" si="64">0.5*DH5/1000000*Isw_min*Nps*DA5*1000*(Pout/Pout_total)</f>
        <v>0.94395997276890675</v>
      </c>
      <c r="DL5" s="150">
        <f t="shared" ref="DL5:DL68" si="65">SQRT((CL5+CM5)/(0.5*L*Fsw_DCM))</f>
        <v>2.0921041312632201E-4</v>
      </c>
      <c r="DM5" s="150">
        <f t="shared" ref="DM5:DM68" si="66">MAX(IF(CJ5&gt;DF5,CX5,DL5),Isw_min)</f>
        <v>6.0606060606060606</v>
      </c>
      <c r="DN5" s="150">
        <f t="shared" ref="DN5:DN68" si="67">IF(CJ5&gt;DJ5, (DM5-Isw_min)/1.08*0.8+1.2, DI5*0.2/350+1)</f>
        <v>1.0057142857142858</v>
      </c>
      <c r="DP5" s="314">
        <f t="shared" ref="DP5:DP68" si="68">CJ5*1000</f>
        <v>1.0000000000000002E-6</v>
      </c>
      <c r="DQ5" s="144">
        <f t="shared" ref="DQ5:DQ68" si="69">IF(CJ5&gt;DJ5, DB5, DI5)</f>
        <v>10</v>
      </c>
      <c r="DS5">
        <f>IF(CL5&gt;CS5, "",DP5)</f>
        <v>1.0000000000000002E-6</v>
      </c>
      <c r="DT5" s="144">
        <f t="shared" ref="DT5:DT68" si="70">IF(CL5&gt;CS5, "",DQ5)</f>
        <v>10</v>
      </c>
      <c r="DU5" s="144"/>
      <c r="DV5" s="5">
        <f>1/DQ5*1000</f>
        <v>100</v>
      </c>
      <c r="DW5" s="5">
        <f t="shared" ref="DW5:DW68" si="71">L*DM5/CN5*1000000</f>
        <v>0.83778966131907295</v>
      </c>
      <c r="DX5" s="5">
        <f>DV5-DW5</f>
        <v>99.162210338680921</v>
      </c>
      <c r="DY5" s="150">
        <f>DW5/DV5</f>
        <v>8.3778966131907301E-3</v>
      </c>
      <c r="EA5" s="5">
        <f t="shared" ref="EA5:EA68" si="72">CJ5*DW5/Vout_ripple*1000</f>
        <v>2.7926322043969095E-9</v>
      </c>
      <c r="EB5" s="5">
        <f t="shared" ref="EB5:EB68" si="73">CK5*DW5/Vout_ripple2*1000</f>
        <v>1.3963161021984549E-8</v>
      </c>
      <c r="EC5" s="5">
        <f t="shared" ref="EC5:EC68" si="74">CL5/Efficiency/CN5*DX5/Vinripple1</f>
        <v>5.1468275262291137E-8</v>
      </c>
      <c r="ED5" s="5"/>
      <c r="EE5" s="150">
        <f>DM5*SQRT(DY5/3)</f>
        <v>0.32027491659521223</v>
      </c>
      <c r="EF5" s="150">
        <f t="shared" ref="EF5:EF68" si="75">DM5*Npri_sec1*SQRT((1-DY5)/3)*(Pout/Pout_total)</f>
        <v>3.3423541426393704</v>
      </c>
      <c r="EG5" s="150">
        <f t="shared" ref="EG5:EG68" si="76">DM5*Npri_sec2*SQRT((1-DY5)/3)*(Pout2/Pout_total)</f>
        <v>0.67091331809364885</v>
      </c>
      <c r="EH5" s="150"/>
      <c r="EI5" s="456">
        <f t="shared" ref="EI5:EI68" si="77">Rdson*EE5^2</f>
        <v>1.2309122664008419E-3</v>
      </c>
      <c r="EJ5" s="456">
        <f t="shared" ref="EJ5:EJ68" si="78">0.5*CP5*DM5*DQ5*1000*Trise</f>
        <v>7.4503030303030307E-2</v>
      </c>
      <c r="EK5" s="456">
        <f t="shared" ref="EK5:EK68" si="79">Qg*Vdd*DQ5*1000</f>
        <v>1.15E-3</v>
      </c>
      <c r="EL5" s="456">
        <f t="shared" ref="EL5:EL68" si="80">0.5*(Coss+Csw)*CP5^2*DQ5*1000</f>
        <v>2.1663015750000004E-2</v>
      </c>
      <c r="EM5">
        <f t="shared" ref="EM5:EM68" si="81">CN5*IQ</f>
        <v>1.5299999999999999E-2</v>
      </c>
      <c r="EN5" s="144">
        <f>(EK5+EM5)*1000</f>
        <v>16.45</v>
      </c>
      <c r="EO5">
        <f t="shared" ref="EO5:EO68" si="82">(EJ5+EK5+EL5+EM5+EI5*(1+RdsonTC*(Ta-25)))/(1-EI5*RdsonTC*ThetaJA)</f>
        <v>0.11421270782291321</v>
      </c>
      <c r="EP5" s="144">
        <f>EO5*1000</f>
        <v>114.2127078229132</v>
      </c>
      <c r="EQ5" s="150">
        <f t="shared" ref="EQ5:EQ68" si="83">Vfwd2*CJ5*(1+Diode_TC/1000*(Ta-25))</f>
        <v>6.7059999999999994E-10</v>
      </c>
      <c r="ER5" s="150">
        <f t="shared" ref="ER5:ER36" si="84">Vfwd22*CK5*(1+Diode_TC/1000*(Ta-25))</f>
        <v>4.79E-10</v>
      </c>
      <c r="ES5" s="456"/>
      <c r="EU5" s="144">
        <f>SUM(EQ5:ET5)*1000</f>
        <v>1.1495999999999998E-6</v>
      </c>
      <c r="EV5" s="456">
        <f t="shared" ref="EV5:EV68" si="85">Rdcr_pri*EE5^2</f>
        <v>1.4360643108009823E-3</v>
      </c>
      <c r="EW5" s="456">
        <f>Rdcr_sec*EF5^2</f>
        <v>0.15639863700745985</v>
      </c>
      <c r="EX5" s="456">
        <f t="shared" ref="EX5:EX68" si="86">Rdcr_sec2*EG5^2</f>
        <v>2.2506234019771484E-3</v>
      </c>
      <c r="EY5" s="456">
        <f t="shared" ref="EY5:EY68" si="87">DM5^2.5*DQ5^2.5*k_core</f>
        <v>1.4297501270184099E-3</v>
      </c>
      <c r="EZ5" s="456">
        <f t="shared" ref="EZ5:EZ68" si="88">(EY5+(EV5+EW5+EX5)*(1+Ltc*(Ta-25)))/(1-(EV5+EW5+EX5)*Ltc*ThetaCa)</f>
        <v>0.20252931041395217</v>
      </c>
      <c r="FA5" s="538">
        <f t="shared" ref="FA5:FA68" si="89">0.5*Lleak*0.000000001*DM5^2*DQ5*1000</f>
        <v>3.6730945821854911E-2</v>
      </c>
      <c r="FB5" s="144">
        <f>(EZ5+FA5)*1000</f>
        <v>239.26025623580708</v>
      </c>
      <c r="FC5" s="150">
        <f>SUM(EO5,EQ5:ET5,EZ5:FA5)</f>
        <v>0.35347296520832033</v>
      </c>
      <c r="FD5" s="5">
        <f>MIN(CL5+CM5,CS5+CT5)</f>
        <v>3.6000000000000005E-8</v>
      </c>
      <c r="FE5" s="150">
        <f>FD5/(FD5+FC5)</f>
        <v>1.0184653389915713E-7</v>
      </c>
      <c r="FF5" s="5">
        <f>FE5*100</f>
        <v>1.0184653389915712E-5</v>
      </c>
      <c r="FG5">
        <v>0</v>
      </c>
      <c r="FI5" s="59">
        <f t="shared" ref="FI5:FI68" si="90">IF(ABS(CJ5-Ioutmax_Vinnom)&lt;Iout/200, DQ5, -50)</f>
        <v>-50</v>
      </c>
      <c r="FJ5">
        <f t="shared" ref="FJ5:FJ68" si="91">IF(ABS(CJ5-Ioutmax_Vinnom)&lt;Iout/200, (CS5+CT5)*FE5, -50)</f>
        <v>-50</v>
      </c>
      <c r="FL5">
        <f t="shared" ref="FL5:FL68" si="92">MIN(SQRT(2*DQ5*1000*L*CJ5*(Vout+Vfwd1))/(Nps*(Vout+Vfwd1)),1-DY5)</f>
        <v>1.7584383023461174E-6</v>
      </c>
      <c r="FM5">
        <f>MIN(,)</f>
        <v>0</v>
      </c>
    </row>
    <row r="6" spans="2:169">
      <c r="E6" s="147">
        <v>1</v>
      </c>
      <c r="F6" s="188">
        <f>IF(PLOT_TYPE=1, E6/100*Iout, min_I*EXP(O6*rr/100))</f>
        <v>0.04</v>
      </c>
      <c r="G6" s="188">
        <f t="shared" ref="G6:G37" si="93">IF(PLOT_TYPE=1, E6/100*Iout2, min_I*EXP(Q6*rr/100))</f>
        <v>8.5000000000000006E-3</v>
      </c>
      <c r="H6" s="188">
        <f t="shared" si="0"/>
        <v>1.2</v>
      </c>
      <c r="I6" s="188">
        <f>G6*Vout2</f>
        <v>5.1000000000000004E-2</v>
      </c>
      <c r="J6" s="465">
        <f t="shared" si="1"/>
        <v>33.906845048158601</v>
      </c>
      <c r="K6" s="379">
        <f t="shared" si="2"/>
        <v>30.770215829062796</v>
      </c>
      <c r="L6" s="149">
        <f t="shared" si="3"/>
        <v>64.677060877221393</v>
      </c>
      <c r="M6" s="379"/>
      <c r="N6" s="188">
        <f t="shared" si="4"/>
        <v>0.47575160979369358</v>
      </c>
      <c r="O6" s="149">
        <f t="shared" ref="O6:O37" si="94">N6*J6*Isw_max*0.5*Efficiency*Pout/(Pout+Pout2)</f>
        <v>234.44860278594263</v>
      </c>
      <c r="P6" s="149">
        <f t="shared" si="5"/>
        <v>9.9640656184025609</v>
      </c>
      <c r="Q6" s="188">
        <f t="shared" si="6"/>
        <v>7.8149534261980875</v>
      </c>
      <c r="R6" s="188">
        <f t="shared" si="7"/>
        <v>39.074767130990438</v>
      </c>
      <c r="S6" s="379">
        <f t="shared" si="8"/>
        <v>30</v>
      </c>
      <c r="T6" s="188">
        <f t="shared" si="9"/>
        <v>0.15510280689041794</v>
      </c>
      <c r="U6" s="188">
        <f t="shared" si="10"/>
        <v>2.1499587807405091E-2</v>
      </c>
      <c r="V6" s="188">
        <f t="shared" si="11"/>
        <v>2.3691195292053557E-2</v>
      </c>
      <c r="W6" s="172">
        <f t="shared" si="12"/>
        <v>350</v>
      </c>
      <c r="X6" s="379">
        <f t="shared" ref="X6:X69" si="95">MIN(1/(U6+V6+0.2)*1000, 350)</f>
        <v>350</v>
      </c>
      <c r="Z6" s="188">
        <f t="shared" si="13"/>
        <v>9.8062225621196237</v>
      </c>
      <c r="AA6" s="150">
        <f t="shared" si="14"/>
        <v>1.4978525434465899</v>
      </c>
      <c r="AB6" s="150">
        <f t="shared" si="15"/>
        <v>2.4656577420604195</v>
      </c>
      <c r="AC6" s="150"/>
      <c r="AD6" s="150">
        <f t="shared" si="16"/>
        <v>0.92572793909180973</v>
      </c>
      <c r="AE6" s="314">
        <f t="shared" si="17"/>
        <v>14.865058532748076</v>
      </c>
      <c r="AF6" s="456">
        <f t="shared" si="18"/>
        <v>0.94180591143705672</v>
      </c>
      <c r="AH6" s="150">
        <f t="shared" si="19"/>
        <v>1.2332771968932612</v>
      </c>
      <c r="AI6" s="150">
        <f t="shared" si="20"/>
        <v>6.0606060606060606</v>
      </c>
      <c r="AJ6" s="150">
        <f t="shared" si="21"/>
        <v>1.0084943191615703</v>
      </c>
      <c r="AL6" s="314">
        <f t="shared" si="22"/>
        <v>40</v>
      </c>
      <c r="AM6" s="144">
        <f t="shared" si="23"/>
        <v>14.865058532748076</v>
      </c>
      <c r="AO6">
        <f t="shared" ref="AO6:AO69" si="96">IF(H6&gt;O6, "",AL6)</f>
        <v>40</v>
      </c>
      <c r="AP6" s="144">
        <f t="shared" si="24"/>
        <v>14.865058532748076</v>
      </c>
      <c r="AQ6" s="144"/>
      <c r="AR6" s="5">
        <f t="shared" ref="AR6:AR69" si="97">1/AM6*1000</f>
        <v>67.271850816932627</v>
      </c>
      <c r="AS6" s="5">
        <f t="shared" si="25"/>
        <v>0.84009138698663521</v>
      </c>
      <c r="AT6" s="5">
        <f t="shared" ref="AT6:AT69" si="98">AR6-AS6</f>
        <v>66.431759429945998</v>
      </c>
      <c r="AU6" s="150">
        <f t="shared" ref="AU6:AU69" si="99">AS6/AR6</f>
        <v>1.2488007640413848E-2</v>
      </c>
      <c r="AW6" s="5">
        <f t="shared" si="26"/>
        <v>0.11201218493155136</v>
      </c>
      <c r="AX6" s="5">
        <f t="shared" si="27"/>
        <v>0.11901294648977334</v>
      </c>
      <c r="AY6" s="5">
        <f t="shared" si="28"/>
        <v>1.3829952798565996</v>
      </c>
      <c r="AZ6" s="5"/>
      <c r="BA6" s="150">
        <f t="shared" ref="BA6:BA69" si="100">AI6*SQRT(AU6/3)</f>
        <v>0.39102273252883529</v>
      </c>
      <c r="BB6" s="150">
        <f t="shared" si="29"/>
        <v>3.335420195213854</v>
      </c>
      <c r="BC6" s="150">
        <f t="shared" si="30"/>
        <v>0.66952146149311931</v>
      </c>
      <c r="BD6" s="150"/>
      <c r="BE6" s="456">
        <f t="shared" si="31"/>
        <v>1.8347853282518049E-3</v>
      </c>
      <c r="BF6" s="456">
        <f t="shared" si="32"/>
        <v>0.10633979633881589</v>
      </c>
      <c r="BG6" s="456">
        <f t="shared" si="33"/>
        <v>1.709481731266029E-3</v>
      </c>
      <c r="BH6" s="456">
        <f t="shared" si="34"/>
        <v>3.2179369441074544E-2</v>
      </c>
      <c r="BI6">
        <f t="shared" si="35"/>
        <v>1.525808027167137E-2</v>
      </c>
      <c r="BJ6" s="144">
        <f t="shared" ref="BJ6:BJ69" si="101">(BG6+BI6)*1000</f>
        <v>16.967562002937399</v>
      </c>
      <c r="BK6">
        <f t="shared" si="36"/>
        <v>0.140910772492638</v>
      </c>
      <c r="BL6" s="144">
        <f t="shared" ref="BL6:BL69" si="102">BK6*1000</f>
        <v>140.91077249263802</v>
      </c>
      <c r="BM6" s="150">
        <f t="shared" si="37"/>
        <v>2.6823999999999997E-2</v>
      </c>
      <c r="BN6" s="150">
        <f t="shared" si="38"/>
        <v>4.0715000000000005E-3</v>
      </c>
      <c r="BO6" s="456"/>
      <c r="BQ6" s="144">
        <f t="shared" ref="BQ6:BQ69" si="103">SUM(BM6:BP6)*1000</f>
        <v>30.895499999999998</v>
      </c>
      <c r="BR6" s="456">
        <f t="shared" si="39"/>
        <v>2.140582882960439E-3</v>
      </c>
      <c r="BS6" s="456">
        <f t="shared" ref="BS6:BS68" si="104">Rdcr_sec*BB6^2</f>
        <v>0.15575039030096594</v>
      </c>
      <c r="BT6" s="456">
        <f t="shared" si="40"/>
        <v>2.2412949369994125E-3</v>
      </c>
      <c r="BU6" s="456">
        <f t="shared" si="41"/>
        <v>3.8519150696988964E-3</v>
      </c>
      <c r="BV6" s="456">
        <f t="shared" si="42"/>
        <v>0.20504264301869427</v>
      </c>
      <c r="BW6" s="538">
        <f t="shared" si="43"/>
        <v>5.4600765960507169E-2</v>
      </c>
      <c r="BX6" s="144">
        <f t="shared" ref="BX6:BX69" si="105">(BV6+BW6)*1000</f>
        <v>259.64340897920147</v>
      </c>
      <c r="BY6" s="150">
        <f t="shared" ref="BY6:BY69" si="106">SUM(BK6,BM6:BP6,BV6:BW6)</f>
        <v>0.43144968147183943</v>
      </c>
      <c r="BZ6" s="5">
        <f t="shared" ref="BZ6:BZ69" si="107">MIN(H6+I6,O6+P6)</f>
        <v>1.2509999999999999</v>
      </c>
      <c r="CA6" s="150">
        <f t="shared" ref="CA6:CA69" si="108">BZ6/(BZ6+BY6)</f>
        <v>0.74355864176906683</v>
      </c>
      <c r="CB6" s="5">
        <f t="shared" ref="CB6:CB69" si="109">CA6*100</f>
        <v>74.355864176906678</v>
      </c>
      <c r="CC6">
        <f t="shared" ref="CC6:CC37" si="110">F6/Iout*100</f>
        <v>1</v>
      </c>
      <c r="CE6" s="59">
        <f t="shared" si="44"/>
        <v>-50</v>
      </c>
      <c r="CF6">
        <f t="shared" si="45"/>
        <v>-50</v>
      </c>
      <c r="CG6" s="150">
        <f t="shared" si="46"/>
        <v>1.3543919348393564E-2</v>
      </c>
      <c r="CH6" s="150">
        <f t="shared" si="47"/>
        <v>2.8587680571463404E-3</v>
      </c>
      <c r="CI6" s="147">
        <v>1</v>
      </c>
      <c r="CJ6" s="188">
        <f>IF(PLOT_TYPE=1, CI6/100*Iout, min_I*EXP(CS6*rr/100))</f>
        <v>0.04</v>
      </c>
      <c r="CK6" s="188">
        <f t="shared" ref="CK6:CK69" si="111">IF(PLOT_TYPE=1, CI6/100*Iout2, min_I*EXP(CU6*rr/100))</f>
        <v>8.5000000000000006E-3</v>
      </c>
      <c r="CL6" s="188">
        <f t="shared" si="48"/>
        <v>1.2</v>
      </c>
      <c r="CM6" s="188">
        <f>CK6*Vout2</f>
        <v>5.1000000000000004E-2</v>
      </c>
      <c r="CN6" s="465">
        <f t="shared" ref="CN6:CN69" si="112">Vin</f>
        <v>34</v>
      </c>
      <c r="CO6" s="379">
        <f t="shared" si="49"/>
        <v>30.7</v>
      </c>
      <c r="CP6" s="379">
        <f t="shared" si="50"/>
        <v>64.7</v>
      </c>
      <c r="CQ6" s="379"/>
      <c r="CR6" s="188">
        <f t="shared" ref="CR6:CR68" si="113">(Vout+Vfwd1)*Nps/((Vout+Vfwd1)*Nps+CN6)</f>
        <v>0.47204968944099374</v>
      </c>
      <c r="CS6" s="149">
        <f t="shared" ref="CS6:CS69" si="114">CR6*CN6*Isw_max*0.5*Efficiency*Pout/(Pout+Pout2)</f>
        <v>233.26341749863801</v>
      </c>
      <c r="CT6" s="149">
        <f t="shared" si="51"/>
        <v>9.9136952436921142</v>
      </c>
      <c r="CU6" s="188">
        <f t="shared" si="52"/>
        <v>7.7754472499545999</v>
      </c>
      <c r="CV6" s="188">
        <f t="shared" si="53"/>
        <v>38.877236249772999</v>
      </c>
      <c r="CW6" s="379">
        <f t="shared" si="54"/>
        <v>30</v>
      </c>
      <c r="CX6" s="188">
        <f t="shared" si="55"/>
        <v>0.155890866873065</v>
      </c>
      <c r="CY6" s="188">
        <f t="shared" si="56"/>
        <v>2.1549619832453102E-2</v>
      </c>
      <c r="CZ6" s="188">
        <f t="shared" si="57"/>
        <v>2.3866028478938293E-2</v>
      </c>
      <c r="DA6" s="172">
        <f t="shared" si="58"/>
        <v>350</v>
      </c>
      <c r="DB6" s="379">
        <f t="shared" ref="DB6:DB69" si="115">MIN(1/(CY6+CZ6)*1000, 350)</f>
        <v>350</v>
      </c>
      <c r="DD6" s="188">
        <f t="shared" si="59"/>
        <v>9.8072469146822137</v>
      </c>
      <c r="DE6" s="150">
        <f t="shared" si="60"/>
        <v>1.5014351954073746</v>
      </c>
      <c r="DF6" s="150">
        <f t="shared" si="61"/>
        <v>2.4718134248028734</v>
      </c>
      <c r="DG6" s="150"/>
      <c r="DH6" s="150">
        <f t="shared" si="62"/>
        <v>0.92784522751949461</v>
      </c>
      <c r="DI6" s="314">
        <f t="shared" si="63"/>
        <v>14.831137340425533</v>
      </c>
      <c r="DJ6" s="456">
        <f t="shared" si="64"/>
        <v>0.94395997276890675</v>
      </c>
      <c r="DL6" s="150">
        <f t="shared" si="65"/>
        <v>1.2332771968932612</v>
      </c>
      <c r="DM6" s="150">
        <f t="shared" si="66"/>
        <v>6.0606060606060606</v>
      </c>
      <c r="DN6" s="150">
        <f t="shared" si="67"/>
        <v>1.0084749356231002</v>
      </c>
      <c r="DP6" s="314">
        <f t="shared" si="68"/>
        <v>40</v>
      </c>
      <c r="DQ6" s="144">
        <f t="shared" si="69"/>
        <v>14.831137340425533</v>
      </c>
      <c r="DS6">
        <f t="shared" ref="DS6:DS69" si="116">IF(CL6&gt;CS6, "",DP6)</f>
        <v>40</v>
      </c>
      <c r="DT6" s="144">
        <f t="shared" si="70"/>
        <v>14.831137340425533</v>
      </c>
      <c r="DU6" s="144"/>
      <c r="DV6" s="5">
        <f t="shared" ref="DV6:DV69" si="117">1/DQ6*1000</f>
        <v>67.425712340636181</v>
      </c>
      <c r="DW6" s="5">
        <f t="shared" si="71"/>
        <v>0.83778966131907295</v>
      </c>
      <c r="DX6" s="5">
        <f t="shared" ref="DX6:DX69" si="118">DV6-DW6</f>
        <v>66.587922679317103</v>
      </c>
      <c r="DY6" s="150">
        <f t="shared" ref="DY6:DY69" si="119">DW6/DV6</f>
        <v>1.2425373529411764E-2</v>
      </c>
      <c r="EA6" s="5">
        <f t="shared" si="72"/>
        <v>0.11170528817587641</v>
      </c>
      <c r="EB6" s="5">
        <f t="shared" si="73"/>
        <v>0.11868686868686867</v>
      </c>
      <c r="EC6" s="5">
        <f t="shared" si="74"/>
        <v>1.382448221715926</v>
      </c>
      <c r="ED6" s="5"/>
      <c r="EE6" s="150">
        <f t="shared" ref="EE6:EE69" si="120">DM6*SQRT(DY6/3)</f>
        <v>0.39004090466049568</v>
      </c>
      <c r="EF6" s="150">
        <f t="shared" si="75"/>
        <v>3.3355259700134812</v>
      </c>
      <c r="EG6" s="150">
        <f t="shared" si="76"/>
        <v>0.66954269375001363</v>
      </c>
      <c r="EH6" s="150"/>
      <c r="EI6" s="456">
        <f t="shared" si="77"/>
        <v>1.8255828877005347E-3</v>
      </c>
      <c r="EJ6" s="456">
        <f t="shared" si="78"/>
        <v>0.11049646747021277</v>
      </c>
      <c r="EK6" s="456">
        <f t="shared" si="79"/>
        <v>1.7055807941489364E-3</v>
      </c>
      <c r="EL6" s="456">
        <f t="shared" si="80"/>
        <v>3.2128716179605145E-2</v>
      </c>
      <c r="EM6">
        <f t="shared" si="81"/>
        <v>1.5299999999999999E-2</v>
      </c>
      <c r="EN6" s="144">
        <f t="shared" ref="EN6:EN69" si="121">(EK6+EM6)*1000</f>
        <v>17.005580794148937</v>
      </c>
      <c r="EO6">
        <f t="shared" si="82"/>
        <v>0.16201953205959035</v>
      </c>
      <c r="EP6" s="144">
        <f t="shared" ref="EP6:EP69" si="122">EO6*1000</f>
        <v>162.01953205959035</v>
      </c>
      <c r="EQ6" s="150">
        <f t="shared" si="83"/>
        <v>2.6823999999999997E-2</v>
      </c>
      <c r="ER6" s="150">
        <f t="shared" si="84"/>
        <v>4.0715000000000005E-3</v>
      </c>
      <c r="ES6" s="456"/>
      <c r="EU6" s="144">
        <f t="shared" ref="EU6:EU69" si="123">SUM(EQ6:ET6)*1000</f>
        <v>30.895499999999998</v>
      </c>
      <c r="EV6" s="456">
        <f t="shared" si="85"/>
        <v>2.1298467023172906E-3</v>
      </c>
      <c r="EW6" s="456">
        <f t="shared" ref="EW6:EW69" si="124">Rdcr_sec*EF6^2</f>
        <v>0.15576026895288125</v>
      </c>
      <c r="EX6" s="456">
        <f t="shared" si="86"/>
        <v>2.2414370937701229E-3</v>
      </c>
      <c r="EY6" s="456">
        <f t="shared" si="87"/>
        <v>3.8299780529067427E-3</v>
      </c>
      <c r="EZ6" s="456">
        <f t="shared" si="88"/>
        <v>0.20501951087119899</v>
      </c>
      <c r="FA6" s="538">
        <f t="shared" si="89"/>
        <v>5.4476170212765962E-2</v>
      </c>
      <c r="FB6" s="144">
        <f t="shared" ref="FB6:FB69" si="125">(EZ6+FA6)*1000</f>
        <v>259.49568108396494</v>
      </c>
      <c r="FC6" s="150">
        <f t="shared" ref="FC6:FC69" si="126">SUM(EO6,EQ6:ET6,EZ6:FA6)</f>
        <v>0.4524107131435553</v>
      </c>
      <c r="FD6" s="5">
        <f t="shared" ref="FD6:FD69" si="127">MIN(CL6+CM6,CS6+CT6)</f>
        <v>1.2509999999999999</v>
      </c>
      <c r="FE6" s="150">
        <f t="shared" ref="FE6:FE69" si="128">FD6/(FD6+FC6)</f>
        <v>0.73440890699304395</v>
      </c>
      <c r="FF6" s="5">
        <f t="shared" ref="FF6:FF69" si="129">FE6*100</f>
        <v>73.44089069930439</v>
      </c>
      <c r="FG6">
        <f t="shared" ref="FG6:FG69" si="130">CJ6/Iout*100</f>
        <v>1</v>
      </c>
      <c r="FI6" s="59">
        <f t="shared" si="90"/>
        <v>-50</v>
      </c>
      <c r="FJ6">
        <f t="shared" si="91"/>
        <v>-50</v>
      </c>
      <c r="FL6">
        <f t="shared" si="92"/>
        <v>1.3543919348393564E-2</v>
      </c>
    </row>
    <row r="7" spans="2:169">
      <c r="E7" s="147">
        <v>2</v>
      </c>
      <c r="F7" s="188">
        <f>IF(PLOT_TYPE=1, E7/100*Iout, min_I*EXP(O7*rr/100))</f>
        <v>0.08</v>
      </c>
      <c r="G7" s="188">
        <f t="shared" si="93"/>
        <v>1.7000000000000001E-2</v>
      </c>
      <c r="H7" s="188">
        <f t="shared" si="0"/>
        <v>2.4</v>
      </c>
      <c r="I7" s="188">
        <f>G7*Vout2</f>
        <v>0.10200000000000001</v>
      </c>
      <c r="J7" s="465">
        <f t="shared" si="1"/>
        <v>33.906845048158601</v>
      </c>
      <c r="K7" s="379">
        <f t="shared" si="2"/>
        <v>30.770215829062796</v>
      </c>
      <c r="L7" s="149">
        <f t="shared" si="3"/>
        <v>64.677060877221393</v>
      </c>
      <c r="M7" s="379"/>
      <c r="N7" s="188">
        <f t="shared" si="4"/>
        <v>0.47575160979369358</v>
      </c>
      <c r="O7" s="149">
        <f t="shared" si="94"/>
        <v>234.44860278594263</v>
      </c>
      <c r="P7" s="149">
        <f t="shared" si="5"/>
        <v>9.9640656184025609</v>
      </c>
      <c r="Q7" s="188">
        <f t="shared" si="6"/>
        <v>7.8149534261980875</v>
      </c>
      <c r="R7" s="188">
        <f t="shared" si="7"/>
        <v>39.074767130990438</v>
      </c>
      <c r="S7" s="379">
        <f t="shared" si="8"/>
        <v>30</v>
      </c>
      <c r="T7" s="188">
        <f t="shared" si="9"/>
        <v>0.31020561378083589</v>
      </c>
      <c r="U7" s="188">
        <f t="shared" si="10"/>
        <v>4.2999175614810183E-2</v>
      </c>
      <c r="V7" s="188">
        <f t="shared" si="11"/>
        <v>4.7382390584107113E-2</v>
      </c>
      <c r="W7" s="172">
        <f t="shared" si="12"/>
        <v>350</v>
      </c>
      <c r="X7" s="379">
        <f t="shared" si="95"/>
        <v>350</v>
      </c>
      <c r="Z7" s="188">
        <f t="shared" si="13"/>
        <v>9.8062225621196237</v>
      </c>
      <c r="AA7" s="150">
        <f t="shared" si="14"/>
        <v>1.4978525434465899</v>
      </c>
      <c r="AB7" s="150">
        <f t="shared" si="15"/>
        <v>2.4656577420604195</v>
      </c>
      <c r="AC7" s="150"/>
      <c r="AD7" s="150">
        <f t="shared" si="16"/>
        <v>0.92572793909180973</v>
      </c>
      <c r="AE7" s="314">
        <f t="shared" si="17"/>
        <v>29.730117065496152</v>
      </c>
      <c r="AF7" s="456">
        <f t="shared" si="18"/>
        <v>0.94180591143705672</v>
      </c>
      <c r="AH7" s="150">
        <f t="shared" si="19"/>
        <v>1.7441173380119237</v>
      </c>
      <c r="AI7" s="150">
        <f t="shared" si="20"/>
        <v>6.0606060606060606</v>
      </c>
      <c r="AJ7" s="150">
        <f t="shared" si="21"/>
        <v>1.0169886383231406</v>
      </c>
      <c r="AL7" s="314">
        <f t="shared" si="22"/>
        <v>80</v>
      </c>
      <c r="AM7" s="144">
        <f t="shared" si="23"/>
        <v>29.730117065496152</v>
      </c>
      <c r="AO7">
        <f t="shared" si="96"/>
        <v>80</v>
      </c>
      <c r="AP7" s="144">
        <f t="shared" si="24"/>
        <v>29.730117065496152</v>
      </c>
      <c r="AQ7" s="144"/>
      <c r="AR7" s="5">
        <f t="shared" si="97"/>
        <v>33.635925408466314</v>
      </c>
      <c r="AS7" s="5">
        <f t="shared" si="25"/>
        <v>0.84009138698663521</v>
      </c>
      <c r="AT7" s="5">
        <f t="shared" si="98"/>
        <v>32.795834021479678</v>
      </c>
      <c r="AU7" s="150">
        <f t="shared" si="99"/>
        <v>2.4976015280827695E-2</v>
      </c>
      <c r="AW7" s="5">
        <f t="shared" si="26"/>
        <v>0.22402436986310273</v>
      </c>
      <c r="AX7" s="5">
        <f t="shared" si="27"/>
        <v>0.23802589297954668</v>
      </c>
      <c r="AY7" s="5">
        <f t="shared" si="28"/>
        <v>1.3655060182019254</v>
      </c>
      <c r="AZ7" s="5"/>
      <c r="BA7" s="150">
        <f t="shared" si="100"/>
        <v>0.55298965153846602</v>
      </c>
      <c r="BB7" s="150">
        <f t="shared" si="29"/>
        <v>3.3142633500658958</v>
      </c>
      <c r="BC7" s="150">
        <f t="shared" si="30"/>
        <v>0.66527463169207335</v>
      </c>
      <c r="BD7" s="150"/>
      <c r="BE7" s="456">
        <f t="shared" si="31"/>
        <v>3.6695706565036089E-3</v>
      </c>
      <c r="BF7" s="456">
        <f t="shared" si="32"/>
        <v>0.21267959267763178</v>
      </c>
      <c r="BG7" s="456">
        <f t="shared" si="33"/>
        <v>3.4189634625320579E-3</v>
      </c>
      <c r="BH7" s="456">
        <f t="shared" si="34"/>
        <v>6.4358738882149089E-2</v>
      </c>
      <c r="BI7">
        <f t="shared" si="35"/>
        <v>1.525808027167137E-2</v>
      </c>
      <c r="BJ7" s="144">
        <f t="shared" si="101"/>
        <v>18.677043734203426</v>
      </c>
      <c r="BK7">
        <f t="shared" si="36"/>
        <v>0.28194451088975264</v>
      </c>
      <c r="BL7" s="144">
        <f t="shared" si="102"/>
        <v>281.94451088975262</v>
      </c>
      <c r="BM7" s="150">
        <f t="shared" si="37"/>
        <v>5.3647999999999994E-2</v>
      </c>
      <c r="BN7" s="150">
        <f t="shared" si="38"/>
        <v>8.1430000000000009E-3</v>
      </c>
      <c r="BO7" s="456"/>
      <c r="BQ7" s="144">
        <f t="shared" si="103"/>
        <v>61.790999999999997</v>
      </c>
      <c r="BR7" s="456">
        <f t="shared" si="39"/>
        <v>4.281165765920877E-3</v>
      </c>
      <c r="BS7" s="456">
        <f t="shared" si="104"/>
        <v>0.15378078175026022</v>
      </c>
      <c r="BT7" s="456">
        <f t="shared" si="40"/>
        <v>2.2129516778651194E-3</v>
      </c>
      <c r="BU7" s="456">
        <f t="shared" si="41"/>
        <v>2.1789722130709947E-2</v>
      </c>
      <c r="BV7" s="456">
        <f t="shared" si="42"/>
        <v>0.22339496557841024</v>
      </c>
      <c r="BW7" s="538">
        <f t="shared" si="43"/>
        <v>0.10920153192101434</v>
      </c>
      <c r="BX7" s="144">
        <f t="shared" si="105"/>
        <v>332.59649749942457</v>
      </c>
      <c r="BY7" s="150">
        <f t="shared" si="106"/>
        <v>0.67633200838917718</v>
      </c>
      <c r="BZ7" s="5">
        <f t="shared" si="107"/>
        <v>2.5019999999999998</v>
      </c>
      <c r="CA7" s="150">
        <f t="shared" si="108"/>
        <v>0.7872053622453522</v>
      </c>
      <c r="CB7" s="5">
        <f t="shared" si="109"/>
        <v>78.720536224535223</v>
      </c>
      <c r="CC7">
        <f t="shared" si="110"/>
        <v>2</v>
      </c>
      <c r="CE7" s="59">
        <f t="shared" si="44"/>
        <v>-50</v>
      </c>
      <c r="CF7">
        <f t="shared" si="45"/>
        <v>-50</v>
      </c>
      <c r="CG7" s="150">
        <f t="shared" si="46"/>
        <v>2.7087838696787127E-2</v>
      </c>
      <c r="CH7" s="150">
        <f t="shared" si="47"/>
        <v>5.7175361142926808E-3</v>
      </c>
      <c r="CI7" s="147">
        <v>2</v>
      </c>
      <c r="CJ7" s="188">
        <f>IF(PLOT_TYPE=1, CI7/100*Iout, min_I*EXP(CS7*rr/100))</f>
        <v>0.08</v>
      </c>
      <c r="CK7" s="188">
        <f t="shared" si="111"/>
        <v>1.7000000000000001E-2</v>
      </c>
      <c r="CL7" s="188">
        <f t="shared" si="48"/>
        <v>2.4</v>
      </c>
      <c r="CM7" s="188">
        <f>CK7*Vout2</f>
        <v>0.10200000000000001</v>
      </c>
      <c r="CN7" s="465">
        <f t="shared" si="112"/>
        <v>34</v>
      </c>
      <c r="CO7" s="379">
        <f t="shared" si="49"/>
        <v>30.7</v>
      </c>
      <c r="CP7" s="379">
        <f t="shared" si="50"/>
        <v>64.7</v>
      </c>
      <c r="CQ7" s="379"/>
      <c r="CR7" s="188">
        <f t="shared" si="113"/>
        <v>0.47204968944099374</v>
      </c>
      <c r="CS7" s="149">
        <f t="shared" si="114"/>
        <v>233.26341749863801</v>
      </c>
      <c r="CT7" s="149">
        <f t="shared" si="51"/>
        <v>9.9136952436921142</v>
      </c>
      <c r="CU7" s="188">
        <f t="shared" si="52"/>
        <v>7.7754472499545999</v>
      </c>
      <c r="CV7" s="188">
        <f t="shared" si="53"/>
        <v>38.877236249772999</v>
      </c>
      <c r="CW7" s="379">
        <f t="shared" si="54"/>
        <v>30</v>
      </c>
      <c r="CX7" s="188">
        <f t="shared" si="55"/>
        <v>0.31178173374613</v>
      </c>
      <c r="CY7" s="188">
        <f t="shared" si="56"/>
        <v>4.3099239664906204E-2</v>
      </c>
      <c r="CZ7" s="188">
        <f t="shared" si="57"/>
        <v>4.7732056957876585E-2</v>
      </c>
      <c r="DA7" s="172">
        <f t="shared" si="58"/>
        <v>350</v>
      </c>
      <c r="DB7" s="379">
        <f t="shared" si="115"/>
        <v>350</v>
      </c>
      <c r="DD7" s="188">
        <f t="shared" si="59"/>
        <v>9.8072469146822137</v>
      </c>
      <c r="DE7" s="150">
        <f t="shared" si="60"/>
        <v>1.5014351954073746</v>
      </c>
      <c r="DF7" s="150">
        <f t="shared" si="61"/>
        <v>2.4718134248028734</v>
      </c>
      <c r="DG7" s="150"/>
      <c r="DH7" s="150">
        <f t="shared" si="62"/>
        <v>0.92784522751949461</v>
      </c>
      <c r="DI7" s="314">
        <f t="shared" si="63"/>
        <v>29.662274680851066</v>
      </c>
      <c r="DJ7" s="456">
        <f t="shared" si="64"/>
        <v>0.94395997276890675</v>
      </c>
      <c r="DL7" s="150">
        <f t="shared" si="65"/>
        <v>1.7441173380119237</v>
      </c>
      <c r="DM7" s="150">
        <f t="shared" si="66"/>
        <v>6.0606060606060606</v>
      </c>
      <c r="DN7" s="150">
        <f t="shared" si="67"/>
        <v>1.0169498712462006</v>
      </c>
      <c r="DP7" s="314">
        <f t="shared" si="68"/>
        <v>80</v>
      </c>
      <c r="DQ7" s="144">
        <f t="shared" si="69"/>
        <v>29.662274680851066</v>
      </c>
      <c r="DS7">
        <f t="shared" si="116"/>
        <v>80</v>
      </c>
      <c r="DT7" s="144">
        <f t="shared" si="70"/>
        <v>29.662274680851066</v>
      </c>
      <c r="DU7" s="144"/>
      <c r="DV7" s="5">
        <f t="shared" si="117"/>
        <v>33.712856170318091</v>
      </c>
      <c r="DW7" s="5">
        <f t="shared" si="71"/>
        <v>0.83778966131907295</v>
      </c>
      <c r="DX7" s="5">
        <f t="shared" si="118"/>
        <v>32.875066508999019</v>
      </c>
      <c r="DY7" s="150">
        <f t="shared" si="119"/>
        <v>2.4850747058823529E-2</v>
      </c>
      <c r="EA7" s="5">
        <f t="shared" si="72"/>
        <v>0.22341057635175282</v>
      </c>
      <c r="EB7" s="5">
        <f t="shared" si="73"/>
        <v>0.23737373737373735</v>
      </c>
      <c r="EC7" s="5">
        <f t="shared" si="74"/>
        <v>1.3650546647335231</v>
      </c>
      <c r="ED7" s="5"/>
      <c r="EE7" s="150">
        <f t="shared" si="120"/>
        <v>0.55160113725114435</v>
      </c>
      <c r="EF7" s="150">
        <f t="shared" si="75"/>
        <v>3.3144762466456021</v>
      </c>
      <c r="EG7" s="150">
        <f t="shared" si="76"/>
        <v>0.66531736658628449</v>
      </c>
      <c r="EH7" s="150"/>
      <c r="EI7" s="456">
        <f t="shared" si="77"/>
        <v>3.6511657754010694E-3</v>
      </c>
      <c r="EJ7" s="456">
        <f t="shared" si="78"/>
        <v>0.22099293494042554</v>
      </c>
      <c r="EK7" s="456">
        <f t="shared" si="79"/>
        <v>3.4111615882978729E-3</v>
      </c>
      <c r="EL7" s="456">
        <f t="shared" si="80"/>
        <v>6.425743235921029E-2</v>
      </c>
      <c r="EM7">
        <f t="shared" si="81"/>
        <v>1.5299999999999999E-2</v>
      </c>
      <c r="EN7" s="144">
        <f t="shared" si="121"/>
        <v>18.711161588297873</v>
      </c>
      <c r="EO7">
        <f t="shared" si="82"/>
        <v>0.30886645632064724</v>
      </c>
      <c r="EP7" s="144">
        <f t="shared" si="122"/>
        <v>308.86645632064722</v>
      </c>
      <c r="EQ7" s="150">
        <f t="shared" si="83"/>
        <v>5.3647999999999994E-2</v>
      </c>
      <c r="ER7" s="150">
        <f t="shared" si="84"/>
        <v>8.1430000000000009E-3</v>
      </c>
      <c r="ES7" s="456"/>
      <c r="EU7" s="144">
        <f t="shared" si="123"/>
        <v>61.790999999999997</v>
      </c>
      <c r="EV7" s="456">
        <f t="shared" si="85"/>
        <v>4.2596934046345812E-3</v>
      </c>
      <c r="EW7" s="456">
        <f t="shared" si="124"/>
        <v>0.15380053905409088</v>
      </c>
      <c r="EX7" s="456">
        <f t="shared" si="86"/>
        <v>2.2132359914065424E-3</v>
      </c>
      <c r="EY7" s="456">
        <f t="shared" si="87"/>
        <v>2.1665627624048063E-2</v>
      </c>
      <c r="EZ7" s="456">
        <f t="shared" si="88"/>
        <v>0.22326743621372719</v>
      </c>
      <c r="FA7" s="538">
        <f t="shared" si="89"/>
        <v>0.10895234042553192</v>
      </c>
      <c r="FB7" s="144">
        <f t="shared" si="125"/>
        <v>332.21977663925912</v>
      </c>
      <c r="FC7" s="150">
        <f t="shared" si="126"/>
        <v>0.70287723295990634</v>
      </c>
      <c r="FD7" s="5">
        <f t="shared" si="127"/>
        <v>2.5019999999999998</v>
      </c>
      <c r="FE7" s="150">
        <f t="shared" si="128"/>
        <v>0.78068513023484676</v>
      </c>
      <c r="FF7" s="5">
        <f t="shared" si="129"/>
        <v>78.06851302348467</v>
      </c>
      <c r="FG7">
        <f t="shared" si="130"/>
        <v>2</v>
      </c>
      <c r="FI7" s="59">
        <f t="shared" si="90"/>
        <v>-50</v>
      </c>
      <c r="FJ7">
        <f t="shared" si="91"/>
        <v>-50</v>
      </c>
      <c r="FL7">
        <f t="shared" si="92"/>
        <v>2.7087838696787127E-2</v>
      </c>
    </row>
    <row r="8" spans="2:169">
      <c r="E8" s="147">
        <v>3</v>
      </c>
      <c r="F8" s="188">
        <f t="shared" ref="F8:F39" si="131">IF(PLOT_TYPE=1, E8/100*Iout_max, min_I*EXP(O8*rr/100))</f>
        <v>0.12</v>
      </c>
      <c r="G8" s="188">
        <f t="shared" si="93"/>
        <v>2.5499999999999998E-2</v>
      </c>
      <c r="H8" s="188">
        <f t="shared" si="0"/>
        <v>3.5999999999999996</v>
      </c>
      <c r="I8" s="188">
        <f t="shared" ref="I8:I39" si="132">Vout2*G8</f>
        <v>0.153</v>
      </c>
      <c r="J8" s="465">
        <f t="shared" si="1"/>
        <v>33.906845048158601</v>
      </c>
      <c r="K8" s="379">
        <f t="shared" si="2"/>
        <v>30.770215829062796</v>
      </c>
      <c r="L8" s="149">
        <f t="shared" si="3"/>
        <v>64.677060877221393</v>
      </c>
      <c r="M8" s="379"/>
      <c r="N8" s="188">
        <f t="shared" si="4"/>
        <v>0.47575160979369358</v>
      </c>
      <c r="O8" s="149">
        <f t="shared" si="94"/>
        <v>234.44860278594263</v>
      </c>
      <c r="P8" s="149">
        <f t="shared" si="5"/>
        <v>9.9640656184025609</v>
      </c>
      <c r="Q8" s="188">
        <f t="shared" si="6"/>
        <v>7.8149534261980875</v>
      </c>
      <c r="R8" s="188">
        <f t="shared" si="7"/>
        <v>39.074767130990438</v>
      </c>
      <c r="S8" s="379">
        <f t="shared" si="8"/>
        <v>30</v>
      </c>
      <c r="T8" s="188">
        <f t="shared" si="9"/>
        <v>0.46530842067125383</v>
      </c>
      <c r="U8" s="188">
        <f t="shared" si="10"/>
        <v>6.4498763422215277E-2</v>
      </c>
      <c r="V8" s="188">
        <f t="shared" si="11"/>
        <v>7.1073585876160666E-2</v>
      </c>
      <c r="W8" s="172">
        <f t="shared" si="12"/>
        <v>350</v>
      </c>
      <c r="X8" s="379">
        <f t="shared" si="95"/>
        <v>350</v>
      </c>
      <c r="Z8" s="188">
        <f t="shared" si="13"/>
        <v>9.8062225621196237</v>
      </c>
      <c r="AA8" s="150">
        <f t="shared" si="14"/>
        <v>1.4978525434465899</v>
      </c>
      <c r="AB8" s="150">
        <f t="shared" si="15"/>
        <v>2.4656577420604195</v>
      </c>
      <c r="AC8" s="150"/>
      <c r="AD8" s="150">
        <f t="shared" si="16"/>
        <v>0.92572793909180973</v>
      </c>
      <c r="AE8" s="314">
        <f t="shared" si="17"/>
        <v>44.595175598244232</v>
      </c>
      <c r="AF8" s="456">
        <f t="shared" si="18"/>
        <v>0.94180591143705672</v>
      </c>
      <c r="AH8" s="150">
        <f t="shared" si="19"/>
        <v>2.1360987648352543</v>
      </c>
      <c r="AI8" s="150">
        <f t="shared" si="20"/>
        <v>6.0606060606060606</v>
      </c>
      <c r="AJ8" s="150">
        <f t="shared" si="21"/>
        <v>1.0254829574847111</v>
      </c>
      <c r="AL8" s="314">
        <f t="shared" si="22"/>
        <v>120</v>
      </c>
      <c r="AM8" s="144">
        <f t="shared" si="23"/>
        <v>44.595175598244232</v>
      </c>
      <c r="AO8">
        <f t="shared" si="96"/>
        <v>120</v>
      </c>
      <c r="AP8" s="144">
        <f t="shared" si="24"/>
        <v>44.595175598244232</v>
      </c>
      <c r="AQ8" s="144"/>
      <c r="AR8" s="5">
        <f t="shared" si="97"/>
        <v>22.423950272310872</v>
      </c>
      <c r="AS8" s="5">
        <f t="shared" si="25"/>
        <v>0.84009138698663521</v>
      </c>
      <c r="AT8" s="5">
        <f t="shared" si="98"/>
        <v>21.583858885324236</v>
      </c>
      <c r="AU8" s="150">
        <f t="shared" si="99"/>
        <v>3.7464022921241548E-2</v>
      </c>
      <c r="AW8" s="5">
        <f t="shared" si="26"/>
        <v>0.33603655479465405</v>
      </c>
      <c r="AX8" s="5">
        <f t="shared" si="27"/>
        <v>0.35703883946931997</v>
      </c>
      <c r="AY8" s="5">
        <f t="shared" si="28"/>
        <v>1.3480167565472505</v>
      </c>
      <c r="AZ8" s="5"/>
      <c r="BA8" s="150">
        <f t="shared" si="100"/>
        <v>0.67727123965435843</v>
      </c>
      <c r="BB8" s="150">
        <f t="shared" si="29"/>
        <v>3.2929705781466683</v>
      </c>
      <c r="BC8" s="150">
        <f t="shared" si="30"/>
        <v>0.66100051720567155</v>
      </c>
      <c r="BD8" s="150"/>
      <c r="BE8" s="456">
        <f t="shared" si="31"/>
        <v>5.5043559847554168E-3</v>
      </c>
      <c r="BF8" s="456">
        <f t="shared" si="32"/>
        <v>0.31901938901644766</v>
      </c>
      <c r="BG8" s="456">
        <f t="shared" si="33"/>
        <v>5.1284451937980867E-3</v>
      </c>
      <c r="BH8" s="456">
        <f t="shared" si="34"/>
        <v>9.653810832322364E-2</v>
      </c>
      <c r="BI8">
        <f t="shared" si="35"/>
        <v>1.525808027167137E-2</v>
      </c>
      <c r="BJ8" s="144">
        <f t="shared" si="101"/>
        <v>20.386525465469457</v>
      </c>
      <c r="BK8">
        <f t="shared" si="36"/>
        <v>0.42310137622105554</v>
      </c>
      <c r="BL8" s="144">
        <f t="shared" si="102"/>
        <v>423.10137622105555</v>
      </c>
      <c r="BM8" s="150">
        <f t="shared" si="37"/>
        <v>8.0471999999999988E-2</v>
      </c>
      <c r="BN8" s="150">
        <f t="shared" si="38"/>
        <v>1.2214499999999998E-2</v>
      </c>
      <c r="BO8" s="456"/>
      <c r="BQ8" s="144">
        <f t="shared" si="103"/>
        <v>92.686499999999995</v>
      </c>
      <c r="BR8" s="456">
        <f t="shared" si="39"/>
        <v>6.4217486488813199E-3</v>
      </c>
      <c r="BS8" s="456">
        <f t="shared" si="104"/>
        <v>0.15181117319955445</v>
      </c>
      <c r="BT8" s="456">
        <f t="shared" si="40"/>
        <v>2.1846084187308267E-3</v>
      </c>
      <c r="BU8" s="456">
        <f t="shared" si="41"/>
        <v>6.0045413464428356E-2</v>
      </c>
      <c r="BV8" s="456">
        <f t="shared" si="42"/>
        <v>0.26232973403973875</v>
      </c>
      <c r="BW8" s="538">
        <f t="shared" si="43"/>
        <v>0.16380229788152151</v>
      </c>
      <c r="BX8" s="144">
        <f t="shared" si="105"/>
        <v>426.13203192126025</v>
      </c>
      <c r="BY8" s="150">
        <f t="shared" si="106"/>
        <v>0.94191990814231574</v>
      </c>
      <c r="BZ8" s="5">
        <f t="shared" si="107"/>
        <v>3.7529999999999997</v>
      </c>
      <c r="CA8" s="150">
        <f t="shared" si="108"/>
        <v>0.79937465887144077</v>
      </c>
      <c r="CB8" s="5">
        <f t="shared" si="109"/>
        <v>79.937465887144072</v>
      </c>
      <c r="CC8">
        <f t="shared" si="110"/>
        <v>3</v>
      </c>
      <c r="CE8" s="59">
        <f t="shared" si="44"/>
        <v>-50</v>
      </c>
      <c r="CF8">
        <f t="shared" si="45"/>
        <v>-50</v>
      </c>
      <c r="CG8" s="150">
        <f t="shared" si="46"/>
        <v>4.0631758045180683E-2</v>
      </c>
      <c r="CH8" s="150">
        <f t="shared" si="47"/>
        <v>8.5763041714390208E-3</v>
      </c>
      <c r="CI8" s="147">
        <v>3</v>
      </c>
      <c r="CJ8" s="188">
        <f t="shared" ref="CJ8:CJ71" si="133">IF(PLOT_TYPE=1, CI8/100*Iout_max, min_I*EXP(CS8*rr/100))</f>
        <v>0.12</v>
      </c>
      <c r="CK8" s="188">
        <f t="shared" si="111"/>
        <v>2.5499999999999998E-2</v>
      </c>
      <c r="CL8" s="188">
        <f t="shared" si="48"/>
        <v>3.5999999999999996</v>
      </c>
      <c r="CM8" s="188">
        <f t="shared" ref="CM8:CM71" si="134">Vout2*CK8</f>
        <v>0.153</v>
      </c>
      <c r="CN8" s="465">
        <f t="shared" si="112"/>
        <v>34</v>
      </c>
      <c r="CO8" s="379">
        <f t="shared" si="49"/>
        <v>30.7</v>
      </c>
      <c r="CP8" s="379">
        <f t="shared" si="50"/>
        <v>64.7</v>
      </c>
      <c r="CQ8" s="379"/>
      <c r="CR8" s="188">
        <f t="shared" si="113"/>
        <v>0.47204968944099374</v>
      </c>
      <c r="CS8" s="149">
        <f t="shared" si="114"/>
        <v>233.26341749863801</v>
      </c>
      <c r="CT8" s="149">
        <f t="shared" si="51"/>
        <v>9.9136952436921142</v>
      </c>
      <c r="CU8" s="188">
        <f t="shared" si="52"/>
        <v>7.7754472499545999</v>
      </c>
      <c r="CV8" s="188">
        <f t="shared" si="53"/>
        <v>38.877236249772999</v>
      </c>
      <c r="CW8" s="379">
        <f t="shared" si="54"/>
        <v>30</v>
      </c>
      <c r="CX8" s="188">
        <f t="shared" si="55"/>
        <v>0.46767260061919502</v>
      </c>
      <c r="CY8" s="188">
        <f t="shared" si="56"/>
        <v>6.4648859497359296E-2</v>
      </c>
      <c r="CZ8" s="188">
        <f t="shared" si="57"/>
        <v>7.1598085436814868E-2</v>
      </c>
      <c r="DA8" s="172">
        <f t="shared" si="58"/>
        <v>350</v>
      </c>
      <c r="DB8" s="379">
        <f t="shared" si="115"/>
        <v>350</v>
      </c>
      <c r="DD8" s="188">
        <f t="shared" si="59"/>
        <v>9.8072469146822137</v>
      </c>
      <c r="DE8" s="150">
        <f t="shared" si="60"/>
        <v>1.5014351954073746</v>
      </c>
      <c r="DF8" s="150">
        <f t="shared" si="61"/>
        <v>2.4718134248028734</v>
      </c>
      <c r="DG8" s="150"/>
      <c r="DH8" s="150">
        <f t="shared" si="62"/>
        <v>0.92784522751949461</v>
      </c>
      <c r="DI8" s="314">
        <f t="shared" si="63"/>
        <v>44.493412021276598</v>
      </c>
      <c r="DJ8" s="456">
        <f t="shared" si="64"/>
        <v>0.94395997276890675</v>
      </c>
      <c r="DL8" s="150">
        <f t="shared" si="65"/>
        <v>2.1360987648352543</v>
      </c>
      <c r="DM8" s="150">
        <f t="shared" si="66"/>
        <v>6.0606060606060606</v>
      </c>
      <c r="DN8" s="150">
        <f t="shared" si="67"/>
        <v>1.0254248068693008</v>
      </c>
      <c r="DP8" s="314">
        <f t="shared" si="68"/>
        <v>120</v>
      </c>
      <c r="DQ8" s="144">
        <f t="shared" si="69"/>
        <v>44.493412021276598</v>
      </c>
      <c r="DS8">
        <f t="shared" si="116"/>
        <v>120</v>
      </c>
      <c r="DT8" s="144">
        <f t="shared" si="70"/>
        <v>44.493412021276598</v>
      </c>
      <c r="DU8" s="144"/>
      <c r="DV8" s="5">
        <f t="shared" si="117"/>
        <v>22.475237446878729</v>
      </c>
      <c r="DW8" s="5">
        <f t="shared" si="71"/>
        <v>0.83778966131907295</v>
      </c>
      <c r="DX8" s="5">
        <f t="shared" si="118"/>
        <v>21.637447785559658</v>
      </c>
      <c r="DY8" s="150">
        <f t="shared" si="119"/>
        <v>3.727612058823529E-2</v>
      </c>
      <c r="EA8" s="5">
        <f t="shared" si="72"/>
        <v>0.33511586452762915</v>
      </c>
      <c r="EB8" s="5">
        <f t="shared" si="73"/>
        <v>0.35606060606060602</v>
      </c>
      <c r="EC8" s="5">
        <f t="shared" si="74"/>
        <v>1.3476611077511202</v>
      </c>
      <c r="ED8" s="5"/>
      <c r="EE8" s="150">
        <f t="shared" si="120"/>
        <v>0.67557066390210707</v>
      </c>
      <c r="EF8" s="150">
        <f t="shared" si="75"/>
        <v>3.2932919825793547</v>
      </c>
      <c r="EG8" s="150">
        <f t="shared" si="76"/>
        <v>0.66106503296467889</v>
      </c>
      <c r="EH8" s="150"/>
      <c r="EI8" s="456">
        <f t="shared" si="77"/>
        <v>5.4767486631016049E-3</v>
      </c>
      <c r="EJ8" s="456">
        <f t="shared" si="78"/>
        <v>0.33148940241063829</v>
      </c>
      <c r="EK8" s="456">
        <f t="shared" si="79"/>
        <v>5.1167423824468091E-3</v>
      </c>
      <c r="EL8" s="456">
        <f t="shared" si="80"/>
        <v>9.6386148538815442E-2</v>
      </c>
      <c r="EM8">
        <f t="shared" si="81"/>
        <v>1.5299999999999999E-2</v>
      </c>
      <c r="EN8" s="144">
        <f t="shared" si="121"/>
        <v>20.41674238244681</v>
      </c>
      <c r="EO8">
        <f t="shared" si="82"/>
        <v>0.45584093877151566</v>
      </c>
      <c r="EP8" s="144">
        <f t="shared" si="122"/>
        <v>455.84093877151565</v>
      </c>
      <c r="EQ8" s="150">
        <f t="shared" si="83"/>
        <v>8.0471999999999988E-2</v>
      </c>
      <c r="ER8" s="150">
        <f t="shared" si="84"/>
        <v>1.2214499999999998E-2</v>
      </c>
      <c r="ES8" s="456"/>
      <c r="EU8" s="144">
        <f t="shared" si="123"/>
        <v>92.686499999999995</v>
      </c>
      <c r="EV8" s="456">
        <f t="shared" si="85"/>
        <v>6.3895401069518727E-3</v>
      </c>
      <c r="EW8" s="456">
        <f t="shared" si="124"/>
        <v>0.1518408091553004</v>
      </c>
      <c r="EX8" s="456">
        <f t="shared" si="86"/>
        <v>2.1850348890429601E-3</v>
      </c>
      <c r="EY8" s="456">
        <f t="shared" si="87"/>
        <v>5.9703449215573814E-2</v>
      </c>
      <c r="EZ8" s="456">
        <f t="shared" si="88"/>
        <v>0.26198058282996783</v>
      </c>
      <c r="FA8" s="538">
        <f t="shared" si="89"/>
        <v>0.16342851063829789</v>
      </c>
      <c r="FB8" s="144">
        <f t="shared" si="125"/>
        <v>425.40909346826572</v>
      </c>
      <c r="FC8" s="150">
        <f t="shared" si="126"/>
        <v>0.97393653223978138</v>
      </c>
      <c r="FD8" s="5">
        <f t="shared" si="127"/>
        <v>3.7529999999999997</v>
      </c>
      <c r="FE8" s="150">
        <f t="shared" si="128"/>
        <v>0.79396031116620513</v>
      </c>
      <c r="FF8" s="5">
        <f t="shared" si="129"/>
        <v>79.39603111662052</v>
      </c>
      <c r="FG8">
        <f t="shared" si="130"/>
        <v>3</v>
      </c>
      <c r="FI8" s="59">
        <f t="shared" si="90"/>
        <v>-50</v>
      </c>
      <c r="FJ8">
        <f t="shared" si="91"/>
        <v>-50</v>
      </c>
      <c r="FL8">
        <f t="shared" si="92"/>
        <v>4.0631758045180683E-2</v>
      </c>
    </row>
    <row r="9" spans="2:169">
      <c r="E9" s="147">
        <v>4</v>
      </c>
      <c r="F9" s="188">
        <f t="shared" si="131"/>
        <v>0.16</v>
      </c>
      <c r="G9" s="188">
        <f t="shared" si="93"/>
        <v>3.4000000000000002E-2</v>
      </c>
      <c r="H9" s="188">
        <f t="shared" si="0"/>
        <v>4.8</v>
      </c>
      <c r="I9" s="188">
        <f t="shared" si="132"/>
        <v>0.20400000000000001</v>
      </c>
      <c r="J9" s="465">
        <f t="shared" si="1"/>
        <v>33.906845048158601</v>
      </c>
      <c r="K9" s="379">
        <f t="shared" si="2"/>
        <v>30.770215829062796</v>
      </c>
      <c r="L9" s="149">
        <f t="shared" si="3"/>
        <v>64.677060877221393</v>
      </c>
      <c r="M9" s="379"/>
      <c r="N9" s="188">
        <f t="shared" si="4"/>
        <v>0.47575160979369358</v>
      </c>
      <c r="O9" s="149">
        <f t="shared" si="94"/>
        <v>234.44860278594263</v>
      </c>
      <c r="P9" s="149">
        <f t="shared" si="5"/>
        <v>9.9640656184025609</v>
      </c>
      <c r="Q9" s="188">
        <f t="shared" si="6"/>
        <v>7.8149534261980875</v>
      </c>
      <c r="R9" s="188">
        <f t="shared" si="7"/>
        <v>39.074767130990438</v>
      </c>
      <c r="S9" s="379">
        <f t="shared" si="8"/>
        <v>30</v>
      </c>
      <c r="T9" s="188">
        <f t="shared" si="9"/>
        <v>0.62041122756167177</v>
      </c>
      <c r="U9" s="188">
        <f t="shared" si="10"/>
        <v>8.5998351229620365E-2</v>
      </c>
      <c r="V9" s="188">
        <f t="shared" si="11"/>
        <v>9.4764781168214227E-2</v>
      </c>
      <c r="W9" s="172">
        <f t="shared" si="12"/>
        <v>350</v>
      </c>
      <c r="X9" s="379">
        <f t="shared" si="95"/>
        <v>350</v>
      </c>
      <c r="Z9" s="188">
        <f t="shared" si="13"/>
        <v>9.8062225621196237</v>
      </c>
      <c r="AA9" s="150">
        <f t="shared" si="14"/>
        <v>1.4978525434465899</v>
      </c>
      <c r="AB9" s="150">
        <f t="shared" si="15"/>
        <v>2.4656577420604195</v>
      </c>
      <c r="AC9" s="150"/>
      <c r="AD9" s="150">
        <f t="shared" si="16"/>
        <v>0.92572793909180973</v>
      </c>
      <c r="AE9" s="314">
        <f t="shared" si="17"/>
        <v>59.460234130992305</v>
      </c>
      <c r="AF9" s="456">
        <f t="shared" si="18"/>
        <v>0.94180591143705672</v>
      </c>
      <c r="AH9" s="150">
        <f t="shared" si="19"/>
        <v>2.4665543937865224</v>
      </c>
      <c r="AI9" s="150">
        <f t="shared" si="20"/>
        <v>6.0606060606060606</v>
      </c>
      <c r="AJ9" s="150">
        <f t="shared" si="21"/>
        <v>1.0339772766462814</v>
      </c>
      <c r="AL9" s="314">
        <f t="shared" si="22"/>
        <v>160</v>
      </c>
      <c r="AM9" s="144">
        <f t="shared" si="23"/>
        <v>59.460234130992305</v>
      </c>
      <c r="AO9">
        <f t="shared" si="96"/>
        <v>160</v>
      </c>
      <c r="AP9" s="144">
        <f t="shared" si="24"/>
        <v>59.460234130992305</v>
      </c>
      <c r="AQ9" s="144"/>
      <c r="AR9" s="5">
        <f t="shared" si="97"/>
        <v>16.817962704233157</v>
      </c>
      <c r="AS9" s="5">
        <f t="shared" si="25"/>
        <v>0.84009138698663521</v>
      </c>
      <c r="AT9" s="5">
        <f t="shared" si="98"/>
        <v>15.977871317246521</v>
      </c>
      <c r="AU9" s="150">
        <f t="shared" si="99"/>
        <v>4.995203056165539E-2</v>
      </c>
      <c r="AW9" s="5">
        <f t="shared" si="26"/>
        <v>0.44804873972620546</v>
      </c>
      <c r="AX9" s="5">
        <f t="shared" si="27"/>
        <v>0.47605178595909337</v>
      </c>
      <c r="AY9" s="5">
        <f t="shared" si="28"/>
        <v>1.3305274948925767</v>
      </c>
      <c r="AZ9" s="5"/>
      <c r="BA9" s="150">
        <f t="shared" si="100"/>
        <v>0.78204546505767059</v>
      </c>
      <c r="BB9" s="150">
        <f t="shared" si="29"/>
        <v>3.2715392254242031</v>
      </c>
      <c r="BC9" s="150">
        <f t="shared" si="30"/>
        <v>0.65669858528803515</v>
      </c>
      <c r="BD9" s="150"/>
      <c r="BE9" s="456">
        <f t="shared" si="31"/>
        <v>7.3391413130072195E-3</v>
      </c>
      <c r="BF9" s="456">
        <f t="shared" si="32"/>
        <v>0.42535918535526357</v>
      </c>
      <c r="BG9" s="456">
        <f t="shared" si="33"/>
        <v>6.8379269250641158E-3</v>
      </c>
      <c r="BH9" s="456">
        <f t="shared" si="34"/>
        <v>0.12871747776429818</v>
      </c>
      <c r="BI9">
        <f t="shared" si="35"/>
        <v>1.525808027167137E-2</v>
      </c>
      <c r="BJ9" s="144">
        <f t="shared" si="101"/>
        <v>22.096007196735485</v>
      </c>
      <c r="BK9">
        <f t="shared" si="36"/>
        <v>0.56438152979754952</v>
      </c>
      <c r="BL9" s="144">
        <f t="shared" si="102"/>
        <v>564.38152979754955</v>
      </c>
      <c r="BM9" s="150">
        <f t="shared" si="37"/>
        <v>0.10729599999999999</v>
      </c>
      <c r="BN9" s="150">
        <f t="shared" si="38"/>
        <v>1.6286000000000002E-2</v>
      </c>
      <c r="BO9" s="456"/>
      <c r="BQ9" s="144">
        <f t="shared" si="103"/>
        <v>123.58199999999999</v>
      </c>
      <c r="BR9" s="456">
        <f t="shared" si="39"/>
        <v>8.5623315318417558E-3</v>
      </c>
      <c r="BS9" s="456">
        <f t="shared" si="104"/>
        <v>0.14984156464884874</v>
      </c>
      <c r="BT9" s="456">
        <f t="shared" si="40"/>
        <v>2.156265159596534E-3</v>
      </c>
      <c r="BU9" s="456">
        <f t="shared" si="41"/>
        <v>0.12326128223036488</v>
      </c>
      <c r="BV9" s="456">
        <f t="shared" si="42"/>
        <v>0.32655036057874087</v>
      </c>
      <c r="BW9" s="538">
        <f t="shared" si="43"/>
        <v>0.21840306384202868</v>
      </c>
      <c r="BX9" s="144">
        <f t="shared" si="105"/>
        <v>544.95342442076958</v>
      </c>
      <c r="BY9" s="150">
        <f t="shared" si="106"/>
        <v>1.2329169542183191</v>
      </c>
      <c r="BZ9" s="5">
        <f t="shared" si="107"/>
        <v>5.0039999999999996</v>
      </c>
      <c r="CA9" s="150">
        <f t="shared" si="108"/>
        <v>0.80231948520904395</v>
      </c>
      <c r="CB9" s="5">
        <f t="shared" si="109"/>
        <v>80.231948520904396</v>
      </c>
      <c r="CC9">
        <f t="shared" si="110"/>
        <v>4</v>
      </c>
      <c r="CE9" s="59">
        <f t="shared" si="44"/>
        <v>-50</v>
      </c>
      <c r="CF9">
        <f t="shared" si="45"/>
        <v>-50</v>
      </c>
      <c r="CG9" s="150">
        <f t="shared" si="46"/>
        <v>5.4175677393574255E-2</v>
      </c>
      <c r="CH9" s="150">
        <f t="shared" si="47"/>
        <v>1.1435072228585362E-2</v>
      </c>
      <c r="CI9" s="147">
        <v>4</v>
      </c>
      <c r="CJ9" s="188">
        <f t="shared" si="133"/>
        <v>0.16</v>
      </c>
      <c r="CK9" s="188">
        <f t="shared" si="111"/>
        <v>3.4000000000000002E-2</v>
      </c>
      <c r="CL9" s="188">
        <f t="shared" si="48"/>
        <v>4.8</v>
      </c>
      <c r="CM9" s="188">
        <f t="shared" si="134"/>
        <v>0.20400000000000001</v>
      </c>
      <c r="CN9" s="465">
        <f t="shared" si="112"/>
        <v>34</v>
      </c>
      <c r="CO9" s="379">
        <f t="shared" si="49"/>
        <v>30.7</v>
      </c>
      <c r="CP9" s="379">
        <f t="shared" si="50"/>
        <v>64.7</v>
      </c>
      <c r="CQ9" s="379"/>
      <c r="CR9" s="188">
        <f t="shared" si="113"/>
        <v>0.47204968944099374</v>
      </c>
      <c r="CS9" s="149">
        <f t="shared" si="114"/>
        <v>233.26341749863801</v>
      </c>
      <c r="CT9" s="149">
        <f t="shared" si="51"/>
        <v>9.9136952436921142</v>
      </c>
      <c r="CU9" s="188">
        <f t="shared" si="52"/>
        <v>7.7754472499545999</v>
      </c>
      <c r="CV9" s="188">
        <f t="shared" si="53"/>
        <v>38.877236249772999</v>
      </c>
      <c r="CW9" s="379">
        <f t="shared" si="54"/>
        <v>30</v>
      </c>
      <c r="CX9" s="188">
        <f t="shared" si="55"/>
        <v>0.62356346749225999</v>
      </c>
      <c r="CY9" s="188">
        <f t="shared" si="56"/>
        <v>8.6198479329812408E-2</v>
      </c>
      <c r="CZ9" s="188">
        <f t="shared" si="57"/>
        <v>9.5464113915753171E-2</v>
      </c>
      <c r="DA9" s="172">
        <f t="shared" si="58"/>
        <v>350</v>
      </c>
      <c r="DB9" s="379">
        <f t="shared" si="115"/>
        <v>350</v>
      </c>
      <c r="DD9" s="188">
        <f t="shared" si="59"/>
        <v>9.8072469146822137</v>
      </c>
      <c r="DE9" s="150">
        <f t="shared" si="60"/>
        <v>1.5014351954073746</v>
      </c>
      <c r="DF9" s="150">
        <f t="shared" si="61"/>
        <v>2.4718134248028734</v>
      </c>
      <c r="DG9" s="150"/>
      <c r="DH9" s="150">
        <f t="shared" si="62"/>
        <v>0.92784522751949461</v>
      </c>
      <c r="DI9" s="314">
        <f t="shared" si="63"/>
        <v>59.324549361702132</v>
      </c>
      <c r="DJ9" s="456">
        <f t="shared" si="64"/>
        <v>0.94395997276890675</v>
      </c>
      <c r="DL9" s="150">
        <f t="shared" si="65"/>
        <v>2.4665543937865224</v>
      </c>
      <c r="DM9" s="150">
        <f t="shared" si="66"/>
        <v>6.0606060606060606</v>
      </c>
      <c r="DN9" s="150">
        <f t="shared" si="67"/>
        <v>1.0338997424924012</v>
      </c>
      <c r="DP9" s="314">
        <f t="shared" si="68"/>
        <v>160</v>
      </c>
      <c r="DQ9" s="144">
        <f t="shared" si="69"/>
        <v>59.324549361702132</v>
      </c>
      <c r="DS9">
        <f t="shared" si="116"/>
        <v>160</v>
      </c>
      <c r="DT9" s="144">
        <f t="shared" si="70"/>
        <v>59.324549361702132</v>
      </c>
      <c r="DU9" s="144"/>
      <c r="DV9" s="5">
        <f t="shared" si="117"/>
        <v>16.856428085159045</v>
      </c>
      <c r="DW9" s="5">
        <f t="shared" si="71"/>
        <v>0.83778966131907295</v>
      </c>
      <c r="DX9" s="5">
        <f t="shared" si="118"/>
        <v>16.018638423839974</v>
      </c>
      <c r="DY9" s="150">
        <f t="shared" si="119"/>
        <v>4.9701494117647058E-2</v>
      </c>
      <c r="EA9" s="5">
        <f t="shared" si="72"/>
        <v>0.44682115270350564</v>
      </c>
      <c r="EB9" s="5">
        <f t="shared" si="73"/>
        <v>0.4747474747474747</v>
      </c>
      <c r="EC9" s="5">
        <f t="shared" si="74"/>
        <v>1.3302675507687174</v>
      </c>
      <c r="ED9" s="5"/>
      <c r="EE9" s="150">
        <f t="shared" si="120"/>
        <v>0.78008180932099136</v>
      </c>
      <c r="EF9" s="150">
        <f t="shared" si="75"/>
        <v>3.2719705645780195</v>
      </c>
      <c r="EG9" s="150">
        <f t="shared" si="76"/>
        <v>0.65678516832818012</v>
      </c>
      <c r="EH9" s="150"/>
      <c r="EI9" s="456">
        <f t="shared" si="77"/>
        <v>7.3023315508021387E-3</v>
      </c>
      <c r="EJ9" s="456">
        <f t="shared" si="78"/>
        <v>0.44198586988085109</v>
      </c>
      <c r="EK9" s="456">
        <f t="shared" si="79"/>
        <v>6.8223231765957458E-3</v>
      </c>
      <c r="EL9" s="456">
        <f t="shared" si="80"/>
        <v>0.12851486471842058</v>
      </c>
      <c r="EM9">
        <f t="shared" si="81"/>
        <v>1.5299999999999999E-2</v>
      </c>
      <c r="EN9" s="144">
        <f t="shared" si="121"/>
        <v>22.122323176595746</v>
      </c>
      <c r="EO9">
        <f t="shared" si="82"/>
        <v>0.60294314568903673</v>
      </c>
      <c r="EP9" s="144">
        <f t="shared" si="122"/>
        <v>602.94314568903678</v>
      </c>
      <c r="EQ9" s="150">
        <f t="shared" si="83"/>
        <v>0.10729599999999999</v>
      </c>
      <c r="ER9" s="150">
        <f t="shared" si="84"/>
        <v>1.6286000000000002E-2</v>
      </c>
      <c r="ES9" s="456"/>
      <c r="EU9" s="144">
        <f t="shared" si="123"/>
        <v>123.58199999999999</v>
      </c>
      <c r="EV9" s="456">
        <f t="shared" si="85"/>
        <v>8.5193868092691624E-3</v>
      </c>
      <c r="EW9" s="456">
        <f t="shared" si="124"/>
        <v>0.14988107925651006</v>
      </c>
      <c r="EX9" s="456">
        <f t="shared" si="86"/>
        <v>2.1568337866793796E-3</v>
      </c>
      <c r="EY9" s="456">
        <f t="shared" si="87"/>
        <v>0.1225592976930157</v>
      </c>
      <c r="EZ9" s="456">
        <f t="shared" si="88"/>
        <v>0.32583557187941159</v>
      </c>
      <c r="FA9" s="538">
        <f t="shared" si="89"/>
        <v>0.21790468085106385</v>
      </c>
      <c r="FB9" s="144">
        <f t="shared" si="125"/>
        <v>543.74025273047539</v>
      </c>
      <c r="FC9" s="150">
        <f t="shared" si="126"/>
        <v>1.2702653984195122</v>
      </c>
      <c r="FD9" s="5">
        <f t="shared" si="127"/>
        <v>5.0039999999999996</v>
      </c>
      <c r="FE9" s="150">
        <f t="shared" si="128"/>
        <v>0.79754356601818399</v>
      </c>
      <c r="FF9" s="5">
        <f t="shared" si="129"/>
        <v>79.754356601818401</v>
      </c>
      <c r="FG9">
        <f t="shared" si="130"/>
        <v>4</v>
      </c>
      <c r="FI9" s="59">
        <f t="shared" si="90"/>
        <v>-50</v>
      </c>
      <c r="FJ9">
        <f t="shared" si="91"/>
        <v>-50</v>
      </c>
      <c r="FL9">
        <f t="shared" si="92"/>
        <v>5.4175677393574255E-2</v>
      </c>
    </row>
    <row r="10" spans="2:169">
      <c r="E10" s="147">
        <v>5</v>
      </c>
      <c r="F10" s="188">
        <f t="shared" si="131"/>
        <v>0.2</v>
      </c>
      <c r="G10" s="188">
        <f t="shared" si="93"/>
        <v>4.2500000000000003E-2</v>
      </c>
      <c r="H10" s="188">
        <f t="shared" si="0"/>
        <v>6</v>
      </c>
      <c r="I10" s="188">
        <f t="shared" si="132"/>
        <v>0.255</v>
      </c>
      <c r="J10" s="465">
        <f t="shared" si="1"/>
        <v>33.906845048158601</v>
      </c>
      <c r="K10" s="379">
        <f t="shared" si="2"/>
        <v>30.770215829062796</v>
      </c>
      <c r="L10" s="149">
        <f t="shared" si="3"/>
        <v>64.677060877221393</v>
      </c>
      <c r="M10" s="379"/>
      <c r="N10" s="188">
        <f t="shared" si="4"/>
        <v>0.47575160979369358</v>
      </c>
      <c r="O10" s="149">
        <f t="shared" si="94"/>
        <v>234.44860278594263</v>
      </c>
      <c r="P10" s="149">
        <f t="shared" si="5"/>
        <v>9.9640656184025609</v>
      </c>
      <c r="Q10" s="188">
        <f t="shared" si="6"/>
        <v>7.8149534261980875</v>
      </c>
      <c r="R10" s="188">
        <f t="shared" si="7"/>
        <v>39.074767130990438</v>
      </c>
      <c r="S10" s="379">
        <f t="shared" si="8"/>
        <v>30</v>
      </c>
      <c r="T10" s="188">
        <f t="shared" si="9"/>
        <v>0.77551403445208977</v>
      </c>
      <c r="U10" s="188">
        <f t="shared" si="10"/>
        <v>0.10749793903702545</v>
      </c>
      <c r="V10" s="188">
        <f t="shared" si="11"/>
        <v>0.11845597646026779</v>
      </c>
      <c r="W10" s="172">
        <f t="shared" si="12"/>
        <v>350</v>
      </c>
      <c r="X10" s="379">
        <f t="shared" si="95"/>
        <v>350</v>
      </c>
      <c r="Z10" s="188">
        <f t="shared" si="13"/>
        <v>9.8062225621196237</v>
      </c>
      <c r="AA10" s="150">
        <f t="shared" si="14"/>
        <v>1.4978525434465899</v>
      </c>
      <c r="AB10" s="150">
        <f t="shared" si="15"/>
        <v>2.4656577420604195</v>
      </c>
      <c r="AC10" s="150"/>
      <c r="AD10" s="150">
        <f t="shared" si="16"/>
        <v>0.92572793909180973</v>
      </c>
      <c r="AE10" s="314">
        <f t="shared" si="17"/>
        <v>74.325292663740399</v>
      </c>
      <c r="AF10" s="456">
        <f t="shared" si="18"/>
        <v>0.94180591143705672</v>
      </c>
      <c r="AH10" s="150">
        <f t="shared" si="19"/>
        <v>2.7576916473537243</v>
      </c>
      <c r="AI10" s="150">
        <f t="shared" si="20"/>
        <v>6.0606060606060606</v>
      </c>
      <c r="AJ10" s="150">
        <f t="shared" si="21"/>
        <v>1.0424715958078516</v>
      </c>
      <c r="AL10" s="314">
        <f t="shared" si="22"/>
        <v>200</v>
      </c>
      <c r="AM10" s="144">
        <f t="shared" si="23"/>
        <v>74.325292663740399</v>
      </c>
      <c r="AO10">
        <f t="shared" si="96"/>
        <v>200</v>
      </c>
      <c r="AP10" s="144">
        <f t="shared" si="24"/>
        <v>74.325292663740399</v>
      </c>
      <c r="AQ10" s="144"/>
      <c r="AR10" s="5">
        <f t="shared" si="97"/>
        <v>13.454370163386521</v>
      </c>
      <c r="AS10" s="5">
        <f t="shared" si="25"/>
        <v>0.84009138698663521</v>
      </c>
      <c r="AT10" s="5">
        <f t="shared" si="98"/>
        <v>12.614278776399885</v>
      </c>
      <c r="AU10" s="150">
        <f t="shared" si="99"/>
        <v>6.244003820206926E-2</v>
      </c>
      <c r="AW10" s="5">
        <f t="shared" si="26"/>
        <v>0.56006092465775681</v>
      </c>
      <c r="AX10" s="5">
        <f t="shared" si="27"/>
        <v>0.5950647324488666</v>
      </c>
      <c r="AY10" s="5">
        <f t="shared" si="28"/>
        <v>1.313038233237902</v>
      </c>
      <c r="AZ10" s="5"/>
      <c r="BA10" s="150">
        <f t="shared" si="100"/>
        <v>0.87435341068219408</v>
      </c>
      <c r="BB10" s="150">
        <f t="shared" si="29"/>
        <v>3.2499665503569082</v>
      </c>
      <c r="BC10" s="150">
        <f t="shared" si="30"/>
        <v>0.65236828562741167</v>
      </c>
      <c r="BD10" s="150"/>
      <c r="BE10" s="456">
        <f t="shared" si="31"/>
        <v>9.1739266412590274E-3</v>
      </c>
      <c r="BF10" s="456">
        <f t="shared" si="32"/>
        <v>0.53169898169407959</v>
      </c>
      <c r="BG10" s="456">
        <f t="shared" si="33"/>
        <v>8.5474086563301459E-3</v>
      </c>
      <c r="BH10" s="456">
        <f t="shared" si="34"/>
        <v>0.16089684720537278</v>
      </c>
      <c r="BI10">
        <f t="shared" si="35"/>
        <v>1.525808027167137E-2</v>
      </c>
      <c r="BJ10" s="144">
        <f t="shared" si="101"/>
        <v>23.805488928001516</v>
      </c>
      <c r="BK10">
        <f t="shared" si="36"/>
        <v>0.70578513321214253</v>
      </c>
      <c r="BL10" s="144">
        <f t="shared" si="102"/>
        <v>705.78513321214257</v>
      </c>
      <c r="BM10" s="150">
        <f t="shared" si="37"/>
        <v>0.13411999999999999</v>
      </c>
      <c r="BN10" s="150">
        <f t="shared" si="38"/>
        <v>2.0357500000000001E-2</v>
      </c>
      <c r="BO10" s="456"/>
      <c r="BQ10" s="144">
        <f t="shared" si="103"/>
        <v>154.47749999999999</v>
      </c>
      <c r="BR10" s="456">
        <f t="shared" si="39"/>
        <v>1.0702914414802199E-2</v>
      </c>
      <c r="BS10" s="456">
        <f t="shared" si="104"/>
        <v>0.14787195609814294</v>
      </c>
      <c r="BT10" s="456">
        <f t="shared" si="40"/>
        <v>2.1279219004622409E-3</v>
      </c>
      <c r="BU10" s="456">
        <f t="shared" si="41"/>
        <v>0.21532859848506455</v>
      </c>
      <c r="BV10" s="456">
        <f t="shared" si="42"/>
        <v>0.41999967066882504</v>
      </c>
      <c r="BW10" s="538">
        <f t="shared" si="43"/>
        <v>0.2730038298025359</v>
      </c>
      <c r="BX10" s="144">
        <f t="shared" si="105"/>
        <v>693.00350047136089</v>
      </c>
      <c r="BY10" s="150">
        <f t="shared" si="106"/>
        <v>1.5532661336835034</v>
      </c>
      <c r="BZ10" s="5">
        <f t="shared" si="107"/>
        <v>6.2549999999999999</v>
      </c>
      <c r="CA10" s="150">
        <f t="shared" si="108"/>
        <v>0.80107413001934158</v>
      </c>
      <c r="CB10" s="5">
        <f t="shared" si="109"/>
        <v>80.107413001934162</v>
      </c>
      <c r="CC10">
        <f t="shared" si="110"/>
        <v>5</v>
      </c>
      <c r="CE10" s="59">
        <f t="shared" si="44"/>
        <v>-50</v>
      </c>
      <c r="CF10">
        <f t="shared" si="45"/>
        <v>-50</v>
      </c>
      <c r="CG10" s="150">
        <f t="shared" si="46"/>
        <v>6.7719596741967814E-2</v>
      </c>
      <c r="CH10" s="150">
        <f t="shared" si="47"/>
        <v>1.4293840285731701E-2</v>
      </c>
      <c r="CI10" s="147">
        <v>5</v>
      </c>
      <c r="CJ10" s="188">
        <f t="shared" si="133"/>
        <v>0.2</v>
      </c>
      <c r="CK10" s="188">
        <f t="shared" si="111"/>
        <v>4.2500000000000003E-2</v>
      </c>
      <c r="CL10" s="188">
        <f t="shared" si="48"/>
        <v>6</v>
      </c>
      <c r="CM10" s="188">
        <f t="shared" si="134"/>
        <v>0.255</v>
      </c>
      <c r="CN10" s="465">
        <f t="shared" si="112"/>
        <v>34</v>
      </c>
      <c r="CO10" s="379">
        <f t="shared" si="49"/>
        <v>30.7</v>
      </c>
      <c r="CP10" s="379">
        <f t="shared" si="50"/>
        <v>64.7</v>
      </c>
      <c r="CQ10" s="379"/>
      <c r="CR10" s="188">
        <f t="shared" si="113"/>
        <v>0.47204968944099374</v>
      </c>
      <c r="CS10" s="149">
        <f t="shared" si="114"/>
        <v>233.26341749863801</v>
      </c>
      <c r="CT10" s="149">
        <f t="shared" si="51"/>
        <v>9.9136952436921142</v>
      </c>
      <c r="CU10" s="188">
        <f t="shared" si="52"/>
        <v>7.7754472499545999</v>
      </c>
      <c r="CV10" s="188">
        <f t="shared" si="53"/>
        <v>38.877236249772999</v>
      </c>
      <c r="CW10" s="379">
        <f t="shared" si="54"/>
        <v>30</v>
      </c>
      <c r="CX10" s="188">
        <f t="shared" si="55"/>
        <v>0.77945433436532507</v>
      </c>
      <c r="CY10" s="188">
        <f t="shared" si="56"/>
        <v>0.10774809916226552</v>
      </c>
      <c r="CZ10" s="188">
        <f t="shared" si="57"/>
        <v>0.11933014239469145</v>
      </c>
      <c r="DA10" s="172">
        <f t="shared" si="58"/>
        <v>350</v>
      </c>
      <c r="DB10" s="379">
        <f t="shared" si="115"/>
        <v>350</v>
      </c>
      <c r="DD10" s="188">
        <f t="shared" si="59"/>
        <v>9.8072469146822137</v>
      </c>
      <c r="DE10" s="150">
        <f t="shared" si="60"/>
        <v>1.5014351954073746</v>
      </c>
      <c r="DF10" s="150">
        <f t="shared" si="61"/>
        <v>2.4718134248028734</v>
      </c>
      <c r="DG10" s="150"/>
      <c r="DH10" s="150">
        <f t="shared" si="62"/>
        <v>0.92784522751949461</v>
      </c>
      <c r="DI10" s="314">
        <f t="shared" si="63"/>
        <v>74.155686702127667</v>
      </c>
      <c r="DJ10" s="456">
        <f t="shared" si="64"/>
        <v>0.94395997276890675</v>
      </c>
      <c r="DL10" s="150">
        <f t="shared" si="65"/>
        <v>2.7576916473537243</v>
      </c>
      <c r="DM10" s="150">
        <f t="shared" si="66"/>
        <v>6.0606060606060606</v>
      </c>
      <c r="DN10" s="150">
        <f t="shared" si="67"/>
        <v>1.0423746781155014</v>
      </c>
      <c r="DP10" s="314">
        <f t="shared" si="68"/>
        <v>200</v>
      </c>
      <c r="DQ10" s="144">
        <f t="shared" si="69"/>
        <v>74.155686702127667</v>
      </c>
      <c r="DS10">
        <f t="shared" si="116"/>
        <v>200</v>
      </c>
      <c r="DT10" s="144">
        <f t="shared" si="70"/>
        <v>74.155686702127667</v>
      </c>
      <c r="DU10" s="144"/>
      <c r="DV10" s="5">
        <f t="shared" si="117"/>
        <v>13.485142468127236</v>
      </c>
      <c r="DW10" s="5">
        <f t="shared" si="71"/>
        <v>0.83778966131907295</v>
      </c>
      <c r="DX10" s="5">
        <f t="shared" si="118"/>
        <v>12.647352806808163</v>
      </c>
      <c r="DY10" s="150">
        <f t="shared" si="119"/>
        <v>6.2126867647058825E-2</v>
      </c>
      <c r="EA10" s="5">
        <f t="shared" si="72"/>
        <v>0.55852644087938197</v>
      </c>
      <c r="EB10" s="5">
        <f t="shared" si="73"/>
        <v>0.59343434343434343</v>
      </c>
      <c r="EC10" s="5">
        <f t="shared" si="74"/>
        <v>1.3128739937863145</v>
      </c>
      <c r="ED10" s="5"/>
      <c r="EE10" s="150">
        <f t="shared" si="120"/>
        <v>0.87215797682638296</v>
      </c>
      <c r="EF10" s="150">
        <f t="shared" si="75"/>
        <v>3.2505092936966888</v>
      </c>
      <c r="EG10" s="150">
        <f t="shared" si="76"/>
        <v>0.65247723091550058</v>
      </c>
      <c r="EH10" s="150"/>
      <c r="EI10" s="456">
        <f t="shared" si="77"/>
        <v>9.1279144385026743E-3</v>
      </c>
      <c r="EJ10" s="456">
        <f t="shared" si="78"/>
        <v>0.55248233735106389</v>
      </c>
      <c r="EK10" s="456">
        <f t="shared" si="79"/>
        <v>8.5279039707446824E-3</v>
      </c>
      <c r="EL10" s="456">
        <f t="shared" si="80"/>
        <v>0.16064358089802572</v>
      </c>
      <c r="EM10">
        <f t="shared" si="81"/>
        <v>1.5299999999999999E-2</v>
      </c>
      <c r="EN10" s="144">
        <f t="shared" si="121"/>
        <v>23.827903970744682</v>
      </c>
      <c r="EO10">
        <f t="shared" si="82"/>
        <v>0.75017324363917404</v>
      </c>
      <c r="EP10" s="144">
        <f t="shared" si="122"/>
        <v>750.17324363917407</v>
      </c>
      <c r="EQ10" s="150">
        <f t="shared" si="83"/>
        <v>0.13411999999999999</v>
      </c>
      <c r="ER10" s="150">
        <f t="shared" si="84"/>
        <v>2.0357500000000001E-2</v>
      </c>
      <c r="ES10" s="456"/>
      <c r="EU10" s="144">
        <f t="shared" si="123"/>
        <v>154.47749999999999</v>
      </c>
      <c r="EV10" s="456">
        <f t="shared" si="85"/>
        <v>1.0649233511586455E-2</v>
      </c>
      <c r="EW10" s="456">
        <f t="shared" si="124"/>
        <v>0.14792134935771967</v>
      </c>
      <c r="EX10" s="456">
        <f t="shared" si="86"/>
        <v>2.1286326843157973E-3</v>
      </c>
      <c r="EY10" s="456">
        <f t="shared" si="87"/>
        <v>0.21410228196579384</v>
      </c>
      <c r="EZ10" s="456">
        <f t="shared" si="88"/>
        <v>0.41875276856584004</v>
      </c>
      <c r="FA10" s="538">
        <f t="shared" si="89"/>
        <v>0.27238085106382981</v>
      </c>
      <c r="FB10" s="144">
        <f t="shared" si="125"/>
        <v>691.13361962966974</v>
      </c>
      <c r="FC10" s="150">
        <f t="shared" si="126"/>
        <v>1.595784363268844</v>
      </c>
      <c r="FD10" s="5">
        <f t="shared" si="127"/>
        <v>6.2549999999999999</v>
      </c>
      <c r="FE10" s="150">
        <f t="shared" si="128"/>
        <v>0.79673567768145859</v>
      </c>
      <c r="FF10" s="5">
        <f t="shared" si="129"/>
        <v>79.673567768145858</v>
      </c>
      <c r="FG10">
        <f t="shared" si="130"/>
        <v>5</v>
      </c>
      <c r="FI10" s="59">
        <f t="shared" si="90"/>
        <v>-50</v>
      </c>
      <c r="FJ10">
        <f t="shared" si="91"/>
        <v>-50</v>
      </c>
      <c r="FL10">
        <f t="shared" si="92"/>
        <v>6.7719596741967814E-2</v>
      </c>
    </row>
    <row r="11" spans="2:169">
      <c r="E11" s="147">
        <v>6</v>
      </c>
      <c r="F11" s="188">
        <f t="shared" si="131"/>
        <v>0.24</v>
      </c>
      <c r="G11" s="188">
        <f t="shared" si="93"/>
        <v>5.0999999999999997E-2</v>
      </c>
      <c r="H11" s="188">
        <f t="shared" si="0"/>
        <v>7.1999999999999993</v>
      </c>
      <c r="I11" s="188">
        <f t="shared" si="132"/>
        <v>0.30599999999999999</v>
      </c>
      <c r="J11" s="465">
        <f t="shared" si="1"/>
        <v>33.906845048158601</v>
      </c>
      <c r="K11" s="379">
        <f t="shared" si="2"/>
        <v>30.770215829062796</v>
      </c>
      <c r="L11" s="149">
        <f t="shared" si="3"/>
        <v>64.677060877221393</v>
      </c>
      <c r="M11" s="379"/>
      <c r="N11" s="188">
        <f t="shared" si="4"/>
        <v>0.47575160979369358</v>
      </c>
      <c r="O11" s="149">
        <f t="shared" si="94"/>
        <v>234.44860278594263</v>
      </c>
      <c r="P11" s="149">
        <f t="shared" si="5"/>
        <v>9.9640656184025609</v>
      </c>
      <c r="Q11" s="188">
        <f t="shared" si="6"/>
        <v>7.8149534261980875</v>
      </c>
      <c r="R11" s="188">
        <f t="shared" si="7"/>
        <v>39.074767130990438</v>
      </c>
      <c r="S11" s="379">
        <f t="shared" si="8"/>
        <v>30</v>
      </c>
      <c r="T11" s="188">
        <f t="shared" si="9"/>
        <v>0.93061684134250766</v>
      </c>
      <c r="U11" s="188">
        <f t="shared" si="10"/>
        <v>0.12899752684443055</v>
      </c>
      <c r="V11" s="188">
        <f t="shared" si="11"/>
        <v>0.14214717175232133</v>
      </c>
      <c r="W11" s="172">
        <f t="shared" si="12"/>
        <v>350</v>
      </c>
      <c r="X11" s="379">
        <f t="shared" si="95"/>
        <v>350</v>
      </c>
      <c r="Z11" s="188">
        <f t="shared" si="13"/>
        <v>9.8062225621196237</v>
      </c>
      <c r="AA11" s="150">
        <f t="shared" si="14"/>
        <v>1.4978525434465899</v>
      </c>
      <c r="AB11" s="150">
        <f t="shared" si="15"/>
        <v>2.4656577420604195</v>
      </c>
      <c r="AC11" s="150"/>
      <c r="AD11" s="150">
        <f t="shared" si="16"/>
        <v>0.92572793909180973</v>
      </c>
      <c r="AE11" s="314">
        <f t="shared" si="17"/>
        <v>89.190351196488464</v>
      </c>
      <c r="AF11" s="456">
        <f t="shared" si="18"/>
        <v>0.94180591143705672</v>
      </c>
      <c r="AH11" s="150">
        <f t="shared" si="19"/>
        <v>3.0208998437984329</v>
      </c>
      <c r="AI11" s="150">
        <f t="shared" si="20"/>
        <v>6.0606060606060606</v>
      </c>
      <c r="AJ11" s="150">
        <f t="shared" si="21"/>
        <v>1.0509659149694219</v>
      </c>
      <c r="AL11" s="314">
        <f t="shared" si="22"/>
        <v>240</v>
      </c>
      <c r="AM11" s="144">
        <f t="shared" si="23"/>
        <v>89.190351196488464</v>
      </c>
      <c r="AO11">
        <f t="shared" si="96"/>
        <v>240</v>
      </c>
      <c r="AP11" s="144">
        <f t="shared" si="24"/>
        <v>89.190351196488464</v>
      </c>
      <c r="AQ11" s="144"/>
      <c r="AR11" s="5">
        <f t="shared" si="97"/>
        <v>11.211975136155436</v>
      </c>
      <c r="AS11" s="5">
        <f t="shared" si="25"/>
        <v>0.84009138698663521</v>
      </c>
      <c r="AT11" s="5">
        <f t="shared" si="98"/>
        <v>10.3718837491688</v>
      </c>
      <c r="AU11" s="150">
        <f t="shared" si="99"/>
        <v>7.4928045842483096E-2</v>
      </c>
      <c r="AW11" s="5">
        <f t="shared" si="26"/>
        <v>0.6720731095893081</v>
      </c>
      <c r="AX11" s="5">
        <f t="shared" si="27"/>
        <v>0.71407767893863994</v>
      </c>
      <c r="AY11" s="5">
        <f t="shared" si="28"/>
        <v>1.2955489715832278</v>
      </c>
      <c r="AZ11" s="5"/>
      <c r="BA11" s="150">
        <f t="shared" si="100"/>
        <v>0.95780617252443234</v>
      </c>
      <c r="BB11" s="150">
        <f t="shared" si="29"/>
        <v>3.2282497197999374</v>
      </c>
      <c r="BC11" s="150">
        <f t="shared" si="30"/>
        <v>0.64800904952445648</v>
      </c>
      <c r="BD11" s="150"/>
      <c r="BE11" s="456">
        <f t="shared" si="31"/>
        <v>1.1008711969510832E-2</v>
      </c>
      <c r="BF11" s="456">
        <f t="shared" si="32"/>
        <v>0.63803877803289533</v>
      </c>
      <c r="BG11" s="456">
        <f t="shared" si="33"/>
        <v>1.0256890387596173E-2</v>
      </c>
      <c r="BH11" s="456">
        <f t="shared" si="34"/>
        <v>0.19307621664644728</v>
      </c>
      <c r="BI11">
        <f t="shared" si="35"/>
        <v>1.525808027167137E-2</v>
      </c>
      <c r="BJ11" s="144">
        <f t="shared" si="101"/>
        <v>25.51497065926754</v>
      </c>
      <c r="BK11">
        <f t="shared" si="36"/>
        <v>0.84731234834026381</v>
      </c>
      <c r="BL11" s="144">
        <f t="shared" si="102"/>
        <v>847.31234834026384</v>
      </c>
      <c r="BM11" s="150">
        <f t="shared" si="37"/>
        <v>0.16094399999999998</v>
      </c>
      <c r="BN11" s="150">
        <f t="shared" si="38"/>
        <v>2.4428999999999996E-2</v>
      </c>
      <c r="BO11" s="456"/>
      <c r="BQ11" s="144">
        <f t="shared" si="103"/>
        <v>185.37299999999999</v>
      </c>
      <c r="BR11" s="456">
        <f t="shared" si="39"/>
        <v>1.2843497297762638E-2</v>
      </c>
      <c r="BS11" s="456">
        <f t="shared" si="104"/>
        <v>0.14590234754743725</v>
      </c>
      <c r="BT11" s="456">
        <f t="shared" si="40"/>
        <v>2.0995786413279473E-3</v>
      </c>
      <c r="BU11" s="456">
        <f t="shared" si="41"/>
        <v>0.33966815231877828</v>
      </c>
      <c r="BV11" s="456">
        <f t="shared" si="42"/>
        <v>0.5461440592415413</v>
      </c>
      <c r="BW11" s="538">
        <f t="shared" si="43"/>
        <v>0.32760459576304302</v>
      </c>
      <c r="BX11" s="144">
        <f t="shared" si="105"/>
        <v>873.74865500458429</v>
      </c>
      <c r="BY11" s="150">
        <f t="shared" si="106"/>
        <v>1.9064340033448479</v>
      </c>
      <c r="BZ11" s="5">
        <f t="shared" si="107"/>
        <v>7.5059999999999993</v>
      </c>
      <c r="CA11" s="150">
        <f t="shared" si="108"/>
        <v>0.79745579064168004</v>
      </c>
      <c r="CB11" s="5">
        <f t="shared" si="109"/>
        <v>79.745579064167998</v>
      </c>
      <c r="CC11">
        <f t="shared" si="110"/>
        <v>6</v>
      </c>
      <c r="CE11" s="59">
        <f t="shared" si="44"/>
        <v>-50</v>
      </c>
      <c r="CF11">
        <f t="shared" si="45"/>
        <v>-50</v>
      </c>
      <c r="CG11" s="150">
        <f t="shared" si="46"/>
        <v>8.1263516090361365E-2</v>
      </c>
      <c r="CH11" s="150">
        <f t="shared" si="47"/>
        <v>1.7152608342878042E-2</v>
      </c>
      <c r="CI11" s="147">
        <v>6</v>
      </c>
      <c r="CJ11" s="188">
        <f t="shared" si="133"/>
        <v>0.24</v>
      </c>
      <c r="CK11" s="188">
        <f t="shared" si="111"/>
        <v>5.0999999999999997E-2</v>
      </c>
      <c r="CL11" s="188">
        <f t="shared" si="48"/>
        <v>7.1999999999999993</v>
      </c>
      <c r="CM11" s="188">
        <f t="shared" si="134"/>
        <v>0.30599999999999999</v>
      </c>
      <c r="CN11" s="465">
        <f t="shared" si="112"/>
        <v>34</v>
      </c>
      <c r="CO11" s="379">
        <f t="shared" si="49"/>
        <v>30.7</v>
      </c>
      <c r="CP11" s="379">
        <f t="shared" si="50"/>
        <v>64.7</v>
      </c>
      <c r="CQ11" s="379"/>
      <c r="CR11" s="188">
        <f t="shared" si="113"/>
        <v>0.47204968944099374</v>
      </c>
      <c r="CS11" s="149">
        <f t="shared" si="114"/>
        <v>233.26341749863801</v>
      </c>
      <c r="CT11" s="149">
        <f t="shared" si="51"/>
        <v>9.9136952436921142</v>
      </c>
      <c r="CU11" s="188">
        <f t="shared" si="52"/>
        <v>7.7754472499545999</v>
      </c>
      <c r="CV11" s="188">
        <f t="shared" si="53"/>
        <v>38.877236249772999</v>
      </c>
      <c r="CW11" s="379">
        <f t="shared" si="54"/>
        <v>30</v>
      </c>
      <c r="CX11" s="188">
        <f t="shared" si="55"/>
        <v>0.93534520123839004</v>
      </c>
      <c r="CY11" s="188">
        <f t="shared" si="56"/>
        <v>0.12929771899471859</v>
      </c>
      <c r="CZ11" s="188">
        <f t="shared" si="57"/>
        <v>0.14319617087362974</v>
      </c>
      <c r="DA11" s="172">
        <f t="shared" si="58"/>
        <v>350</v>
      </c>
      <c r="DB11" s="379">
        <f t="shared" si="115"/>
        <v>350</v>
      </c>
      <c r="DD11" s="188">
        <f t="shared" si="59"/>
        <v>9.8072469146822137</v>
      </c>
      <c r="DE11" s="150">
        <f t="shared" si="60"/>
        <v>1.5014351954073746</v>
      </c>
      <c r="DF11" s="150">
        <f t="shared" si="61"/>
        <v>2.4718134248028734</v>
      </c>
      <c r="DG11" s="150"/>
      <c r="DH11" s="150">
        <f t="shared" si="62"/>
        <v>0.92784522751949461</v>
      </c>
      <c r="DI11" s="314">
        <f t="shared" si="63"/>
        <v>88.986824042553195</v>
      </c>
      <c r="DJ11" s="456">
        <f t="shared" si="64"/>
        <v>0.94395997276890675</v>
      </c>
      <c r="DL11" s="150">
        <f t="shared" si="65"/>
        <v>3.0208998437984329</v>
      </c>
      <c r="DM11" s="150">
        <f t="shared" si="66"/>
        <v>6.0606060606060606</v>
      </c>
      <c r="DN11" s="150">
        <f t="shared" si="67"/>
        <v>1.0508496137386019</v>
      </c>
      <c r="DP11" s="314">
        <f t="shared" si="68"/>
        <v>240</v>
      </c>
      <c r="DQ11" s="144">
        <f t="shared" si="69"/>
        <v>88.986824042553195</v>
      </c>
      <c r="DS11">
        <f t="shared" si="116"/>
        <v>240</v>
      </c>
      <c r="DT11" s="144">
        <f t="shared" si="70"/>
        <v>88.986824042553195</v>
      </c>
      <c r="DU11" s="144"/>
      <c r="DV11" s="5">
        <f t="shared" si="117"/>
        <v>11.237618723439365</v>
      </c>
      <c r="DW11" s="5">
        <f t="shared" si="71"/>
        <v>0.83778966131907295</v>
      </c>
      <c r="DX11" s="5">
        <f t="shared" si="118"/>
        <v>10.399829062120292</v>
      </c>
      <c r="DY11" s="150">
        <f t="shared" si="119"/>
        <v>7.4552241176470579E-2</v>
      </c>
      <c r="EA11" s="5">
        <f t="shared" si="72"/>
        <v>0.6702317290552583</v>
      </c>
      <c r="EB11" s="5">
        <f t="shared" si="73"/>
        <v>0.71212121212121204</v>
      </c>
      <c r="EC11" s="5">
        <f t="shared" si="74"/>
        <v>1.2954804368039115</v>
      </c>
      <c r="ED11" s="5"/>
      <c r="EE11" s="150">
        <f t="shared" si="120"/>
        <v>0.95540119523175571</v>
      </c>
      <c r="EF11" s="150">
        <f t="shared" si="75"/>
        <v>3.2289053812944233</v>
      </c>
      <c r="EG11" s="150">
        <f t="shared" si="76"/>
        <v>0.64814066096059975</v>
      </c>
      <c r="EH11" s="150"/>
      <c r="EI11" s="456">
        <f t="shared" si="77"/>
        <v>1.0953497326203208E-2</v>
      </c>
      <c r="EJ11" s="456">
        <f t="shared" si="78"/>
        <v>0.66297880482127658</v>
      </c>
      <c r="EK11" s="456">
        <f t="shared" si="79"/>
        <v>1.0233484764893618E-2</v>
      </c>
      <c r="EL11" s="456">
        <f t="shared" si="80"/>
        <v>0.19277229707763088</v>
      </c>
      <c r="EM11">
        <f t="shared" si="81"/>
        <v>1.5299999999999999E-2</v>
      </c>
      <c r="EN11" s="144">
        <f t="shared" si="121"/>
        <v>25.533484764893615</v>
      </c>
      <c r="EO11">
        <f t="shared" si="82"/>
        <v>0.89753139947764349</v>
      </c>
      <c r="EP11" s="144">
        <f t="shared" si="122"/>
        <v>897.5313994776435</v>
      </c>
      <c r="EQ11" s="150">
        <f t="shared" si="83"/>
        <v>0.16094399999999998</v>
      </c>
      <c r="ER11" s="150">
        <f t="shared" si="84"/>
        <v>2.4428999999999996E-2</v>
      </c>
      <c r="ES11" s="456"/>
      <c r="EU11" s="144">
        <f t="shared" si="123"/>
        <v>185.37299999999999</v>
      </c>
      <c r="EV11" s="456">
        <f t="shared" si="85"/>
        <v>1.2779080213903744E-2</v>
      </c>
      <c r="EW11" s="456">
        <f t="shared" si="124"/>
        <v>0.14596161945892919</v>
      </c>
      <c r="EX11" s="456">
        <f t="shared" si="86"/>
        <v>2.1004315819522154E-3</v>
      </c>
      <c r="EY11" s="456">
        <f t="shared" si="87"/>
        <v>0.33773371040447103</v>
      </c>
      <c r="EZ11" s="456">
        <f t="shared" si="88"/>
        <v>0.54417882012308394</v>
      </c>
      <c r="FA11" s="538">
        <f t="shared" si="89"/>
        <v>0.32685702127659577</v>
      </c>
      <c r="FB11" s="144">
        <f t="shared" si="125"/>
        <v>871.03584139967973</v>
      </c>
      <c r="FC11" s="150">
        <f t="shared" si="126"/>
        <v>1.9539402408773232</v>
      </c>
      <c r="FD11" s="5">
        <f t="shared" si="127"/>
        <v>7.5059999999999993</v>
      </c>
      <c r="FE11" s="150">
        <f t="shared" si="128"/>
        <v>0.7934511010509181</v>
      </c>
      <c r="FF11" s="5">
        <f t="shared" si="129"/>
        <v>79.345110105091806</v>
      </c>
      <c r="FG11">
        <f t="shared" si="130"/>
        <v>6</v>
      </c>
      <c r="FI11" s="59">
        <f t="shared" si="90"/>
        <v>-50</v>
      </c>
      <c r="FJ11">
        <f t="shared" si="91"/>
        <v>-50</v>
      </c>
      <c r="FL11">
        <f t="shared" si="92"/>
        <v>8.1263516090361365E-2</v>
      </c>
    </row>
    <row r="12" spans="2:169">
      <c r="E12" s="147">
        <v>7</v>
      </c>
      <c r="F12" s="188">
        <f t="shared" si="131"/>
        <v>0.28000000000000003</v>
      </c>
      <c r="G12" s="188">
        <f t="shared" si="93"/>
        <v>5.9500000000000004E-2</v>
      </c>
      <c r="H12" s="188">
        <f t="shared" si="0"/>
        <v>8.4</v>
      </c>
      <c r="I12" s="188">
        <f t="shared" si="132"/>
        <v>0.35700000000000004</v>
      </c>
      <c r="J12" s="465">
        <f t="shared" si="1"/>
        <v>33.906845048158601</v>
      </c>
      <c r="K12" s="379">
        <f t="shared" si="2"/>
        <v>30.770215829062796</v>
      </c>
      <c r="L12" s="149">
        <f t="shared" si="3"/>
        <v>64.677060877221393</v>
      </c>
      <c r="M12" s="379"/>
      <c r="N12" s="188">
        <f t="shared" si="4"/>
        <v>0.47575160979369358</v>
      </c>
      <c r="O12" s="149">
        <f t="shared" si="94"/>
        <v>234.44860278594263</v>
      </c>
      <c r="P12" s="149">
        <f t="shared" si="5"/>
        <v>9.9640656184025609</v>
      </c>
      <c r="Q12" s="188">
        <f t="shared" si="6"/>
        <v>7.8149534261980875</v>
      </c>
      <c r="R12" s="188">
        <f t="shared" si="7"/>
        <v>39.074767130990438</v>
      </c>
      <c r="S12" s="379">
        <f t="shared" si="8"/>
        <v>30</v>
      </c>
      <c r="T12" s="188">
        <f t="shared" si="9"/>
        <v>1.0857196482329257</v>
      </c>
      <c r="U12" s="188">
        <f t="shared" si="10"/>
        <v>0.15049711465183566</v>
      </c>
      <c r="V12" s="188">
        <f t="shared" si="11"/>
        <v>0.16583836704437491</v>
      </c>
      <c r="W12" s="172">
        <f t="shared" si="12"/>
        <v>350</v>
      </c>
      <c r="X12" s="379">
        <f t="shared" si="95"/>
        <v>350</v>
      </c>
      <c r="Z12" s="188">
        <f t="shared" si="13"/>
        <v>9.8062225621196237</v>
      </c>
      <c r="AA12" s="150">
        <f t="shared" si="14"/>
        <v>1.4978525434465899</v>
      </c>
      <c r="AB12" s="150">
        <f t="shared" si="15"/>
        <v>2.4656577420604195</v>
      </c>
      <c r="AC12" s="150"/>
      <c r="AD12" s="150">
        <f t="shared" si="16"/>
        <v>0.92572793909180973</v>
      </c>
      <c r="AE12" s="314">
        <f t="shared" si="17"/>
        <v>104.05540972923656</v>
      </c>
      <c r="AF12" s="456">
        <f t="shared" si="18"/>
        <v>0.94180591143705672</v>
      </c>
      <c r="AH12" s="150">
        <f t="shared" si="19"/>
        <v>3.262944760586409</v>
      </c>
      <c r="AI12" s="150">
        <f t="shared" si="20"/>
        <v>6.0606060606060606</v>
      </c>
      <c r="AJ12" s="150">
        <f t="shared" si="21"/>
        <v>1.0594602341309922</v>
      </c>
      <c r="AL12" s="314">
        <f t="shared" si="22"/>
        <v>280</v>
      </c>
      <c r="AM12" s="144">
        <f t="shared" si="23"/>
        <v>104.05540972923656</v>
      </c>
      <c r="AO12">
        <f t="shared" si="96"/>
        <v>280</v>
      </c>
      <c r="AP12" s="144">
        <f t="shared" si="24"/>
        <v>104.05540972923656</v>
      </c>
      <c r="AQ12" s="144"/>
      <c r="AR12" s="5">
        <f t="shared" si="97"/>
        <v>9.6102644024189434</v>
      </c>
      <c r="AS12" s="5">
        <f t="shared" si="25"/>
        <v>0.84009138698663521</v>
      </c>
      <c r="AT12" s="5">
        <f t="shared" si="98"/>
        <v>8.7701730154323077</v>
      </c>
      <c r="AU12" s="150">
        <f t="shared" si="99"/>
        <v>8.7416053482896966E-2</v>
      </c>
      <c r="AW12" s="5">
        <f t="shared" si="26"/>
        <v>0.78408529452085951</v>
      </c>
      <c r="AX12" s="5">
        <f t="shared" si="27"/>
        <v>0.83309062542841339</v>
      </c>
      <c r="AY12" s="5">
        <f t="shared" si="28"/>
        <v>1.2780597099285533</v>
      </c>
      <c r="AZ12" s="5"/>
      <c r="BA12" s="150">
        <f t="shared" si="100"/>
        <v>1.0345489072442249</v>
      </c>
      <c r="BB12" s="150">
        <f t="shared" si="29"/>
        <v>3.2063858046619975</v>
      </c>
      <c r="BC12" s="150">
        <f t="shared" si="30"/>
        <v>0.64362028902042168</v>
      </c>
      <c r="BD12" s="150"/>
      <c r="BE12" s="456">
        <f t="shared" si="31"/>
        <v>1.2843497297762638E-2</v>
      </c>
      <c r="BF12" s="456">
        <f t="shared" si="32"/>
        <v>0.74437857437171151</v>
      </c>
      <c r="BG12" s="456">
        <f t="shared" si="33"/>
        <v>1.1966372118862206E-2</v>
      </c>
      <c r="BH12" s="456">
        <f t="shared" si="34"/>
        <v>0.22525558608752189</v>
      </c>
      <c r="BI12">
        <f t="shared" si="35"/>
        <v>1.525808027167137E-2</v>
      </c>
      <c r="BJ12" s="144">
        <f t="shared" si="101"/>
        <v>27.224452390533575</v>
      </c>
      <c r="BK12">
        <f t="shared" si="36"/>
        <v>0.9889633373404827</v>
      </c>
      <c r="BL12" s="144">
        <f t="shared" si="102"/>
        <v>988.96333734048267</v>
      </c>
      <c r="BM12" s="150">
        <f t="shared" si="37"/>
        <v>0.18776799999999999</v>
      </c>
      <c r="BN12" s="150">
        <f t="shared" si="38"/>
        <v>2.8500500000000002E-2</v>
      </c>
      <c r="BO12" s="456"/>
      <c r="BQ12" s="144">
        <f t="shared" si="103"/>
        <v>216.26849999999999</v>
      </c>
      <c r="BR12" s="456">
        <f t="shared" si="39"/>
        <v>1.4984080180723077E-2</v>
      </c>
      <c r="BS12" s="456">
        <f t="shared" si="104"/>
        <v>0.14393273899673154</v>
      </c>
      <c r="BT12" s="456">
        <f t="shared" si="40"/>
        <v>2.0712353821936559E-3</v>
      </c>
      <c r="BU12" s="456">
        <f t="shared" si="41"/>
        <v>0.49936925794250137</v>
      </c>
      <c r="BV12" s="456">
        <f t="shared" si="42"/>
        <v>0.70811428083466332</v>
      </c>
      <c r="BW12" s="538">
        <f t="shared" si="43"/>
        <v>0.38220536172355024</v>
      </c>
      <c r="BX12" s="144">
        <f t="shared" si="105"/>
        <v>1090.3196425582137</v>
      </c>
      <c r="BY12" s="150">
        <f t="shared" si="106"/>
        <v>2.295551479898696</v>
      </c>
      <c r="BZ12" s="5">
        <f t="shared" si="107"/>
        <v>8.7569999999999997</v>
      </c>
      <c r="CA12" s="150">
        <f t="shared" si="108"/>
        <v>0.79230574188470215</v>
      </c>
      <c r="CB12" s="5">
        <f t="shared" si="109"/>
        <v>79.230574188470214</v>
      </c>
      <c r="CC12">
        <f t="shared" si="110"/>
        <v>7.0000000000000009</v>
      </c>
      <c r="CE12" s="59">
        <f t="shared" si="44"/>
        <v>-50</v>
      </c>
      <c r="CF12">
        <f t="shared" si="45"/>
        <v>-50</v>
      </c>
      <c r="CG12" s="150">
        <f t="shared" si="46"/>
        <v>9.4807435438754945E-2</v>
      </c>
      <c r="CH12" s="150">
        <f t="shared" si="47"/>
        <v>2.0011376400024379E-2</v>
      </c>
      <c r="CI12" s="147">
        <v>7</v>
      </c>
      <c r="CJ12" s="188">
        <f t="shared" si="133"/>
        <v>0.28000000000000003</v>
      </c>
      <c r="CK12" s="188">
        <f t="shared" si="111"/>
        <v>5.9500000000000004E-2</v>
      </c>
      <c r="CL12" s="188">
        <f t="shared" si="48"/>
        <v>8.4</v>
      </c>
      <c r="CM12" s="188">
        <f t="shared" si="134"/>
        <v>0.35700000000000004</v>
      </c>
      <c r="CN12" s="465">
        <f t="shared" si="112"/>
        <v>34</v>
      </c>
      <c r="CO12" s="379">
        <f t="shared" si="49"/>
        <v>30.7</v>
      </c>
      <c r="CP12" s="379">
        <f t="shared" si="50"/>
        <v>64.7</v>
      </c>
      <c r="CQ12" s="379"/>
      <c r="CR12" s="188">
        <f t="shared" si="113"/>
        <v>0.47204968944099374</v>
      </c>
      <c r="CS12" s="149">
        <f t="shared" si="114"/>
        <v>233.26341749863801</v>
      </c>
      <c r="CT12" s="149">
        <f t="shared" si="51"/>
        <v>9.9136952436921142</v>
      </c>
      <c r="CU12" s="188">
        <f t="shared" si="52"/>
        <v>7.7754472499545999</v>
      </c>
      <c r="CV12" s="188">
        <f t="shared" si="53"/>
        <v>38.877236249772999</v>
      </c>
      <c r="CW12" s="379">
        <f t="shared" si="54"/>
        <v>30</v>
      </c>
      <c r="CX12" s="188">
        <f t="shared" si="55"/>
        <v>1.091236068111455</v>
      </c>
      <c r="CY12" s="188">
        <f t="shared" si="56"/>
        <v>0.15084733882717172</v>
      </c>
      <c r="CZ12" s="188">
        <f t="shared" si="57"/>
        <v>0.16706219935256805</v>
      </c>
      <c r="DA12" s="172">
        <f t="shared" si="58"/>
        <v>350</v>
      </c>
      <c r="DB12" s="379">
        <f t="shared" si="115"/>
        <v>350</v>
      </c>
      <c r="DD12" s="188">
        <f t="shared" si="59"/>
        <v>9.8072469146822137</v>
      </c>
      <c r="DE12" s="150">
        <f t="shared" si="60"/>
        <v>1.5014351954073746</v>
      </c>
      <c r="DF12" s="150">
        <f t="shared" si="61"/>
        <v>2.4718134248028734</v>
      </c>
      <c r="DG12" s="150"/>
      <c r="DH12" s="150">
        <f t="shared" si="62"/>
        <v>0.92784522751949461</v>
      </c>
      <c r="DI12" s="314">
        <f t="shared" si="63"/>
        <v>103.81796138297874</v>
      </c>
      <c r="DJ12" s="456">
        <f t="shared" si="64"/>
        <v>0.94395997276890675</v>
      </c>
      <c r="DL12" s="150">
        <f t="shared" si="65"/>
        <v>3.262944760586409</v>
      </c>
      <c r="DM12" s="150">
        <f t="shared" si="66"/>
        <v>6.0606060606060606</v>
      </c>
      <c r="DN12" s="150">
        <f t="shared" si="67"/>
        <v>1.0593245493617021</v>
      </c>
      <c r="DP12" s="314">
        <f t="shared" si="68"/>
        <v>280</v>
      </c>
      <c r="DQ12" s="144">
        <f t="shared" si="69"/>
        <v>103.81796138297874</v>
      </c>
      <c r="DS12">
        <f t="shared" si="116"/>
        <v>280</v>
      </c>
      <c r="DT12" s="144">
        <f t="shared" si="70"/>
        <v>103.81796138297874</v>
      </c>
      <c r="DU12" s="144"/>
      <c r="DV12" s="5">
        <f t="shared" si="117"/>
        <v>9.6322446200908836</v>
      </c>
      <c r="DW12" s="5">
        <f t="shared" si="71"/>
        <v>0.83778966131907295</v>
      </c>
      <c r="DX12" s="5">
        <f t="shared" si="118"/>
        <v>8.7944549587718104</v>
      </c>
      <c r="DY12" s="150">
        <f t="shared" si="119"/>
        <v>8.6977614705882347E-2</v>
      </c>
      <c r="EA12" s="5">
        <f t="shared" si="72"/>
        <v>0.78193701723113485</v>
      </c>
      <c r="EB12" s="5">
        <f t="shared" si="73"/>
        <v>0.83080808080808077</v>
      </c>
      <c r="EC12" s="5">
        <f t="shared" si="74"/>
        <v>1.2780868798215086</v>
      </c>
      <c r="ED12" s="5"/>
      <c r="EE12" s="150">
        <f t="shared" si="120"/>
        <v>1.0319512348743256</v>
      </c>
      <c r="EF12" s="150">
        <f t="shared" si="75"/>
        <v>3.2071559448046214</v>
      </c>
      <c r="EG12" s="150">
        <f t="shared" si="76"/>
        <v>0.64377487984366599</v>
      </c>
      <c r="EH12" s="150"/>
      <c r="EI12" s="456">
        <f t="shared" si="77"/>
        <v>1.2779080213903747E-2</v>
      </c>
      <c r="EJ12" s="456">
        <f t="shared" si="78"/>
        <v>0.7734752722914896</v>
      </c>
      <c r="EK12" s="456">
        <f t="shared" si="79"/>
        <v>1.1939065559042556E-2</v>
      </c>
      <c r="EL12" s="456">
        <f t="shared" si="80"/>
        <v>0.22490101325723602</v>
      </c>
      <c r="EM12">
        <f t="shared" si="81"/>
        <v>1.5299999999999999E-2</v>
      </c>
      <c r="EN12" s="144">
        <f t="shared" si="121"/>
        <v>27.239065559042555</v>
      </c>
      <c r="EO12">
        <f t="shared" si="82"/>
        <v>1.0450177803505432</v>
      </c>
      <c r="EP12" s="144">
        <f t="shared" si="122"/>
        <v>1045.0177803505433</v>
      </c>
      <c r="EQ12" s="150">
        <f t="shared" si="83"/>
        <v>0.18776799999999999</v>
      </c>
      <c r="ER12" s="150">
        <f t="shared" si="84"/>
        <v>2.8500500000000002E-2</v>
      </c>
      <c r="ES12" s="456"/>
      <c r="EU12" s="144">
        <f t="shared" si="123"/>
        <v>216.26849999999999</v>
      </c>
      <c r="EV12" s="456">
        <f t="shared" si="85"/>
        <v>1.4908926916221038E-2</v>
      </c>
      <c r="EW12" s="456">
        <f t="shared" si="124"/>
        <v>0.14400188956013873</v>
      </c>
      <c r="EX12" s="456">
        <f t="shared" si="86"/>
        <v>2.0722304795886331E-3</v>
      </c>
      <c r="EY12" s="456">
        <f t="shared" si="87"/>
        <v>0.49652530328650379</v>
      </c>
      <c r="EZ12" s="456">
        <f t="shared" si="88"/>
        <v>0.7052266442304993</v>
      </c>
      <c r="FA12" s="538">
        <f t="shared" si="89"/>
        <v>0.38133319148936179</v>
      </c>
      <c r="FB12" s="144">
        <f t="shared" si="125"/>
        <v>1086.5598357198612</v>
      </c>
      <c r="FC12" s="150">
        <f t="shared" si="126"/>
        <v>2.3478461160704041</v>
      </c>
      <c r="FD12" s="5">
        <f t="shared" si="127"/>
        <v>8.7569999999999997</v>
      </c>
      <c r="FE12" s="150">
        <f t="shared" si="128"/>
        <v>0.78857463745736078</v>
      </c>
      <c r="FF12" s="5">
        <f t="shared" si="129"/>
        <v>78.857463745736084</v>
      </c>
      <c r="FG12">
        <f t="shared" si="130"/>
        <v>7.0000000000000009</v>
      </c>
      <c r="FI12" s="59">
        <f t="shared" si="90"/>
        <v>-50</v>
      </c>
      <c r="FJ12">
        <f t="shared" si="91"/>
        <v>-50</v>
      </c>
      <c r="FL12">
        <f t="shared" si="92"/>
        <v>9.4807435438754945E-2</v>
      </c>
    </row>
    <row r="13" spans="2:169" s="59" customFormat="1">
      <c r="E13" s="147">
        <v>8</v>
      </c>
      <c r="F13" s="188">
        <f t="shared" si="131"/>
        <v>0.32</v>
      </c>
      <c r="G13" s="188">
        <f t="shared" si="93"/>
        <v>6.8000000000000005E-2</v>
      </c>
      <c r="H13" s="188">
        <f t="shared" si="0"/>
        <v>9.6</v>
      </c>
      <c r="I13" s="188">
        <f t="shared" si="132"/>
        <v>0.40800000000000003</v>
      </c>
      <c r="J13" s="465">
        <f t="shared" si="1"/>
        <v>33.906845048158601</v>
      </c>
      <c r="K13" s="379">
        <f t="shared" si="2"/>
        <v>30.770215829062796</v>
      </c>
      <c r="L13" s="149">
        <f t="shared" si="3"/>
        <v>64.677060877221393</v>
      </c>
      <c r="M13" s="379"/>
      <c r="N13" s="188">
        <f t="shared" si="4"/>
        <v>0.47575160979369358</v>
      </c>
      <c r="O13" s="149">
        <f t="shared" si="94"/>
        <v>234.44860278594263</v>
      </c>
      <c r="P13" s="149">
        <f t="shared" si="5"/>
        <v>9.9640656184025609</v>
      </c>
      <c r="Q13" s="188">
        <f t="shared" si="6"/>
        <v>7.8149534261980875</v>
      </c>
      <c r="R13" s="188">
        <f t="shared" si="7"/>
        <v>39.074767130990438</v>
      </c>
      <c r="S13" s="379">
        <f t="shared" si="8"/>
        <v>30</v>
      </c>
      <c r="T13" s="188">
        <f t="shared" si="9"/>
        <v>1.2408224551233435</v>
      </c>
      <c r="U13" s="188">
        <f t="shared" si="10"/>
        <v>0.17199670245924073</v>
      </c>
      <c r="V13" s="188">
        <f t="shared" si="11"/>
        <v>0.18952956233642845</v>
      </c>
      <c r="W13" s="172">
        <f t="shared" si="12"/>
        <v>350</v>
      </c>
      <c r="X13" s="379">
        <f t="shared" si="95"/>
        <v>350</v>
      </c>
      <c r="Z13" s="188">
        <f t="shared" si="13"/>
        <v>9.8062225621196237</v>
      </c>
      <c r="AA13" s="150">
        <f t="shared" si="14"/>
        <v>1.4978525434465899</v>
      </c>
      <c r="AB13" s="150">
        <f t="shared" si="15"/>
        <v>2.4656577420604195</v>
      </c>
      <c r="AC13" s="462"/>
      <c r="AD13" s="150">
        <f t="shared" si="16"/>
        <v>0.92572793909180973</v>
      </c>
      <c r="AE13" s="314">
        <f t="shared" si="17"/>
        <v>118.92046826198461</v>
      </c>
      <c r="AF13" s="456">
        <f t="shared" si="18"/>
        <v>0.94180591143705672</v>
      </c>
      <c r="AG13"/>
      <c r="AH13" s="150">
        <f t="shared" si="19"/>
        <v>3.4882346760238474</v>
      </c>
      <c r="AI13" s="150">
        <f t="shared" si="20"/>
        <v>6.0606060606060606</v>
      </c>
      <c r="AJ13" s="150">
        <f t="shared" si="21"/>
        <v>1.0679545532925627</v>
      </c>
      <c r="AL13" s="314">
        <f t="shared" si="22"/>
        <v>320</v>
      </c>
      <c r="AM13" s="144">
        <f t="shared" si="23"/>
        <v>118.92046826198461</v>
      </c>
      <c r="AO13">
        <f t="shared" si="96"/>
        <v>320</v>
      </c>
      <c r="AP13" s="144">
        <f t="shared" si="24"/>
        <v>118.92046826198461</v>
      </c>
      <c r="AQ13" s="144"/>
      <c r="AR13" s="5">
        <f t="shared" si="97"/>
        <v>8.4089813521165784</v>
      </c>
      <c r="AS13" s="5">
        <f t="shared" si="25"/>
        <v>0.84009138698663521</v>
      </c>
      <c r="AT13" s="5">
        <f t="shared" si="98"/>
        <v>7.5688899651299435</v>
      </c>
      <c r="AU13" s="150">
        <f t="shared" si="99"/>
        <v>9.9904061123310781E-2</v>
      </c>
      <c r="AW13" s="5">
        <f t="shared" si="26"/>
        <v>0.89609747945241092</v>
      </c>
      <c r="AX13" s="5">
        <f t="shared" si="27"/>
        <v>0.95210357191818673</v>
      </c>
      <c r="AY13" s="5">
        <f t="shared" si="28"/>
        <v>1.2605704482738798</v>
      </c>
      <c r="AZ13" s="5"/>
      <c r="BA13" s="150">
        <f t="shared" si="100"/>
        <v>1.105979303076932</v>
      </c>
      <c r="BB13" s="150">
        <f t="shared" si="29"/>
        <v>3.1843717752937635</v>
      </c>
      <c r="BC13" s="150">
        <f t="shared" si="30"/>
        <v>0.6392013959714673</v>
      </c>
      <c r="BD13" s="150"/>
      <c r="BE13" s="456">
        <f t="shared" si="31"/>
        <v>1.4678282626014436E-2</v>
      </c>
      <c r="BF13" s="456">
        <f t="shared" si="32"/>
        <v>0.85071837071052714</v>
      </c>
      <c r="BG13" s="456">
        <f t="shared" si="33"/>
        <v>1.3675853850128232E-2</v>
      </c>
      <c r="BH13" s="456">
        <f t="shared" si="34"/>
        <v>0.25743495552859635</v>
      </c>
      <c r="BI13">
        <f t="shared" si="35"/>
        <v>1.525808027167137E-2</v>
      </c>
      <c r="BJ13" s="144">
        <f t="shared" si="101"/>
        <v>28.933934121799599</v>
      </c>
      <c r="BK13">
        <f t="shared" si="36"/>
        <v>1.1307382626551252</v>
      </c>
      <c r="BL13" s="144">
        <f t="shared" si="102"/>
        <v>1130.7382626551253</v>
      </c>
      <c r="BM13" s="150">
        <f t="shared" si="37"/>
        <v>0.21459199999999998</v>
      </c>
      <c r="BN13" s="150">
        <f t="shared" si="38"/>
        <v>3.2572000000000004E-2</v>
      </c>
      <c r="BO13" s="456"/>
      <c r="BQ13" s="144">
        <f t="shared" si="103"/>
        <v>247.16399999999999</v>
      </c>
      <c r="BR13" s="456">
        <f t="shared" si="39"/>
        <v>1.7124663063683508E-2</v>
      </c>
      <c r="BS13" s="456">
        <f t="shared" si="104"/>
        <v>0.14196313044602579</v>
      </c>
      <c r="BT13" s="456">
        <f t="shared" si="40"/>
        <v>2.0428921230593628E-3</v>
      </c>
      <c r="BU13" s="456">
        <f t="shared" si="41"/>
        <v>0.69727110818271743</v>
      </c>
      <c r="BV13" s="456">
        <f t="shared" si="42"/>
        <v>0.9087878470789148</v>
      </c>
      <c r="BW13" s="538">
        <f t="shared" si="43"/>
        <v>0.43680612768405735</v>
      </c>
      <c r="BX13" s="144">
        <f t="shared" si="105"/>
        <v>1345.5939747629723</v>
      </c>
      <c r="BY13" s="150">
        <f t="shared" si="106"/>
        <v>2.7234962374180971</v>
      </c>
      <c r="BZ13" s="5">
        <f t="shared" si="107"/>
        <v>10.007999999999999</v>
      </c>
      <c r="CA13" s="150">
        <f t="shared" si="108"/>
        <v>0.78608199801263801</v>
      </c>
      <c r="CB13" s="5">
        <f t="shared" si="109"/>
        <v>78.608199801263794</v>
      </c>
      <c r="CC13">
        <f t="shared" si="110"/>
        <v>8</v>
      </c>
      <c r="CE13" s="59">
        <f t="shared" si="44"/>
        <v>-50</v>
      </c>
      <c r="CF13">
        <f t="shared" si="45"/>
        <v>-50</v>
      </c>
      <c r="CG13" s="150">
        <f t="shared" si="46"/>
        <v>0.10835135478714851</v>
      </c>
      <c r="CH13" s="150">
        <f t="shared" si="47"/>
        <v>2.2870144457170723E-2</v>
      </c>
      <c r="CI13" s="147">
        <v>8</v>
      </c>
      <c r="CJ13" s="188">
        <f t="shared" si="133"/>
        <v>0.32</v>
      </c>
      <c r="CK13" s="188">
        <f t="shared" si="111"/>
        <v>6.8000000000000005E-2</v>
      </c>
      <c r="CL13" s="188">
        <f t="shared" si="48"/>
        <v>9.6</v>
      </c>
      <c r="CM13" s="188">
        <f t="shared" si="134"/>
        <v>0.40800000000000003</v>
      </c>
      <c r="CN13" s="465">
        <f t="shared" si="112"/>
        <v>34</v>
      </c>
      <c r="CO13" s="379">
        <f t="shared" si="49"/>
        <v>30.7</v>
      </c>
      <c r="CP13" s="379">
        <f t="shared" si="50"/>
        <v>64.7</v>
      </c>
      <c r="CQ13" s="379"/>
      <c r="CR13" s="188">
        <f t="shared" si="113"/>
        <v>0.47204968944099374</v>
      </c>
      <c r="CS13" s="149">
        <f t="shared" si="114"/>
        <v>233.26341749863801</v>
      </c>
      <c r="CT13" s="149">
        <f t="shared" si="51"/>
        <v>9.9136952436921142</v>
      </c>
      <c r="CU13" s="188">
        <f t="shared" si="52"/>
        <v>7.7754472499545999</v>
      </c>
      <c r="CV13" s="188">
        <f t="shared" si="53"/>
        <v>38.877236249772999</v>
      </c>
      <c r="CW13" s="379">
        <f t="shared" si="54"/>
        <v>30</v>
      </c>
      <c r="CX13" s="188">
        <f t="shared" si="55"/>
        <v>1.24712693498452</v>
      </c>
      <c r="CY13" s="188">
        <f t="shared" si="56"/>
        <v>0.17239695865962482</v>
      </c>
      <c r="CZ13" s="188">
        <f t="shared" si="57"/>
        <v>0.19092822783150634</v>
      </c>
      <c r="DA13" s="172">
        <f t="shared" si="58"/>
        <v>350</v>
      </c>
      <c r="DB13" s="379">
        <f t="shared" si="115"/>
        <v>350</v>
      </c>
      <c r="DD13" s="188">
        <f t="shared" si="59"/>
        <v>9.8072469146822137</v>
      </c>
      <c r="DE13" s="150">
        <f t="shared" si="60"/>
        <v>1.5014351954073746</v>
      </c>
      <c r="DF13" s="150">
        <f t="shared" si="61"/>
        <v>2.4718134248028734</v>
      </c>
      <c r="DG13" s="462"/>
      <c r="DH13" s="150">
        <f t="shared" si="62"/>
        <v>0.92784522751949461</v>
      </c>
      <c r="DI13" s="314">
        <f t="shared" si="63"/>
        <v>118.64909872340426</v>
      </c>
      <c r="DJ13" s="456">
        <f t="shared" si="64"/>
        <v>0.94395997276890675</v>
      </c>
      <c r="DK13"/>
      <c r="DL13" s="150">
        <f t="shared" si="65"/>
        <v>3.4882346760238474</v>
      </c>
      <c r="DM13" s="150">
        <f t="shared" si="66"/>
        <v>6.0606060606060606</v>
      </c>
      <c r="DN13" s="150">
        <f t="shared" si="67"/>
        <v>1.0677994849848025</v>
      </c>
      <c r="DP13" s="314">
        <f t="shared" si="68"/>
        <v>320</v>
      </c>
      <c r="DQ13" s="144">
        <f t="shared" si="69"/>
        <v>118.64909872340426</v>
      </c>
      <c r="DS13">
        <f t="shared" si="116"/>
        <v>320</v>
      </c>
      <c r="DT13" s="144">
        <f t="shared" si="70"/>
        <v>118.64909872340426</v>
      </c>
      <c r="DU13" s="144"/>
      <c r="DV13" s="5">
        <f t="shared" si="117"/>
        <v>8.4282140425795227</v>
      </c>
      <c r="DW13" s="5">
        <f t="shared" si="71"/>
        <v>0.83778966131907295</v>
      </c>
      <c r="DX13" s="5">
        <f t="shared" si="118"/>
        <v>7.5904243812604495</v>
      </c>
      <c r="DY13" s="150">
        <f t="shared" si="119"/>
        <v>9.9402988235294115E-2</v>
      </c>
      <c r="EA13" s="5">
        <f t="shared" si="72"/>
        <v>0.89364230540701128</v>
      </c>
      <c r="EB13" s="5">
        <f t="shared" si="73"/>
        <v>0.94949494949494939</v>
      </c>
      <c r="EC13" s="5">
        <f t="shared" si="74"/>
        <v>1.2606933228391057</v>
      </c>
      <c r="ED13" s="5"/>
      <c r="EE13" s="150">
        <f t="shared" si="120"/>
        <v>1.1032022745022887</v>
      </c>
      <c r="EF13" s="150">
        <f t="shared" si="75"/>
        <v>3.1852580032454467</v>
      </c>
      <c r="EG13" s="150">
        <f t="shared" si="76"/>
        <v>0.63937928918992248</v>
      </c>
      <c r="EH13" s="150"/>
      <c r="EI13" s="456">
        <f t="shared" si="77"/>
        <v>1.4604663101604277E-2</v>
      </c>
      <c r="EJ13" s="456">
        <f t="shared" si="78"/>
        <v>0.88397173976170218</v>
      </c>
      <c r="EK13" s="456">
        <f t="shared" si="79"/>
        <v>1.3644646353191492E-2</v>
      </c>
      <c r="EL13" s="456">
        <f t="shared" si="80"/>
        <v>0.25702972943684116</v>
      </c>
      <c r="EM13">
        <f t="shared" si="81"/>
        <v>1.5299999999999999E-2</v>
      </c>
      <c r="EN13" s="144">
        <f t="shared" si="121"/>
        <v>28.944646353191491</v>
      </c>
      <c r="EO13">
        <f t="shared" si="82"/>
        <v>1.1926325536949838</v>
      </c>
      <c r="EP13" s="144">
        <f t="shared" si="122"/>
        <v>1192.6325536949837</v>
      </c>
      <c r="EQ13" s="150">
        <f t="shared" si="83"/>
        <v>0.21459199999999998</v>
      </c>
      <c r="ER13" s="150">
        <f t="shared" si="84"/>
        <v>3.2572000000000004E-2</v>
      </c>
      <c r="ES13" s="456"/>
      <c r="EU13" s="144">
        <f t="shared" si="123"/>
        <v>247.16399999999999</v>
      </c>
      <c r="EV13" s="456">
        <f t="shared" si="85"/>
        <v>1.7038773618538325E-2</v>
      </c>
      <c r="EW13" s="456">
        <f t="shared" si="124"/>
        <v>0.14204215966134837</v>
      </c>
      <c r="EX13" s="456">
        <f t="shared" si="86"/>
        <v>2.0440293772250526E-3</v>
      </c>
      <c r="EY13" s="456">
        <f t="shared" si="87"/>
        <v>0.69330008396953702</v>
      </c>
      <c r="EZ13" s="456">
        <f t="shared" si="88"/>
        <v>0.9047573572970139</v>
      </c>
      <c r="FA13" s="538">
        <f t="shared" si="89"/>
        <v>0.4358093617021277</v>
      </c>
      <c r="FB13" s="144">
        <f t="shared" si="125"/>
        <v>1340.5667189991416</v>
      </c>
      <c r="FC13" s="150">
        <f t="shared" si="126"/>
        <v>2.7803632726941254</v>
      </c>
      <c r="FD13" s="5">
        <f t="shared" si="127"/>
        <v>10.007999999999999</v>
      </c>
      <c r="FE13" s="150">
        <f t="shared" si="128"/>
        <v>0.78258646447502855</v>
      </c>
      <c r="FF13" s="5">
        <f t="shared" si="129"/>
        <v>78.258646447502855</v>
      </c>
      <c r="FG13">
        <f t="shared" si="130"/>
        <v>8</v>
      </c>
      <c r="FI13" s="59">
        <f t="shared" si="90"/>
        <v>-50</v>
      </c>
      <c r="FJ13">
        <f t="shared" si="91"/>
        <v>-50</v>
      </c>
      <c r="FL13">
        <f t="shared" si="92"/>
        <v>0.10835135478714851</v>
      </c>
    </row>
    <row r="14" spans="2:169">
      <c r="E14" s="147">
        <v>9</v>
      </c>
      <c r="F14" s="188">
        <f t="shared" si="131"/>
        <v>0.36</v>
      </c>
      <c r="G14" s="188">
        <f t="shared" si="93"/>
        <v>7.6499999999999999E-2</v>
      </c>
      <c r="H14" s="188">
        <f t="shared" si="0"/>
        <v>10.799999999999999</v>
      </c>
      <c r="I14" s="188">
        <f t="shared" si="132"/>
        <v>0.45899999999999996</v>
      </c>
      <c r="J14" s="465">
        <f t="shared" si="1"/>
        <v>33.906845048158601</v>
      </c>
      <c r="K14" s="379">
        <f t="shared" si="2"/>
        <v>30.770215829062796</v>
      </c>
      <c r="L14" s="149">
        <f t="shared" si="3"/>
        <v>64.677060877221393</v>
      </c>
      <c r="M14" s="379"/>
      <c r="N14" s="188">
        <f t="shared" si="4"/>
        <v>0.47575160979369358</v>
      </c>
      <c r="O14" s="149">
        <f t="shared" si="94"/>
        <v>234.44860278594263</v>
      </c>
      <c r="P14" s="149">
        <f t="shared" si="5"/>
        <v>9.9640656184025609</v>
      </c>
      <c r="Q14" s="188">
        <f t="shared" si="6"/>
        <v>7.8149534261980875</v>
      </c>
      <c r="R14" s="188">
        <f t="shared" si="7"/>
        <v>39.074767130990438</v>
      </c>
      <c r="S14" s="379">
        <f t="shared" si="8"/>
        <v>30</v>
      </c>
      <c r="T14" s="188">
        <f t="shared" si="9"/>
        <v>1.3959252620137614</v>
      </c>
      <c r="U14" s="188">
        <f t="shared" si="10"/>
        <v>0.1934962902666458</v>
      </c>
      <c r="V14" s="188">
        <f t="shared" si="11"/>
        <v>0.213220757628482</v>
      </c>
      <c r="W14" s="172">
        <f t="shared" si="12"/>
        <v>350</v>
      </c>
      <c r="X14" s="379">
        <f t="shared" si="95"/>
        <v>350</v>
      </c>
      <c r="Z14" s="188">
        <f t="shared" si="13"/>
        <v>9.8062225621196237</v>
      </c>
      <c r="AA14" s="150">
        <f t="shared" si="14"/>
        <v>1.4978525434465899</v>
      </c>
      <c r="AB14" s="150">
        <f t="shared" si="15"/>
        <v>2.4656577420604195</v>
      </c>
      <c r="AC14" s="150"/>
      <c r="AD14" s="150">
        <f t="shared" si="16"/>
        <v>0.92572793909180973</v>
      </c>
      <c r="AE14" s="314">
        <f t="shared" si="17"/>
        <v>133.78552679473268</v>
      </c>
      <c r="AF14" s="456">
        <f t="shared" si="18"/>
        <v>0.94180591143705672</v>
      </c>
      <c r="AH14" s="150">
        <f t="shared" si="19"/>
        <v>3.6998315906797834</v>
      </c>
      <c r="AI14" s="150">
        <f t="shared" si="20"/>
        <v>6.0606060606060606</v>
      </c>
      <c r="AJ14" s="150">
        <f t="shared" si="21"/>
        <v>1.076448872454133</v>
      </c>
      <c r="AL14" s="314">
        <f t="shared" si="22"/>
        <v>360</v>
      </c>
      <c r="AM14" s="144">
        <f t="shared" si="23"/>
        <v>133.78552679473268</v>
      </c>
      <c r="AO14">
        <f t="shared" si="96"/>
        <v>360</v>
      </c>
      <c r="AP14" s="144">
        <f t="shared" si="24"/>
        <v>133.78552679473268</v>
      </c>
      <c r="AQ14" s="144"/>
      <c r="AR14" s="5">
        <f t="shared" si="97"/>
        <v>7.4746500907702922</v>
      </c>
      <c r="AS14" s="5">
        <f t="shared" si="25"/>
        <v>0.84009138698663521</v>
      </c>
      <c r="AT14" s="5">
        <f t="shared" si="98"/>
        <v>6.6345587037836573</v>
      </c>
      <c r="AU14" s="150">
        <f t="shared" si="99"/>
        <v>0.11239206876372462</v>
      </c>
      <c r="AW14" s="5">
        <f t="shared" si="26"/>
        <v>1.0081096643839622</v>
      </c>
      <c r="AX14" s="5">
        <f t="shared" si="27"/>
        <v>1.0711165184079599</v>
      </c>
      <c r="AY14" s="5">
        <f t="shared" si="28"/>
        <v>1.2430811866192051</v>
      </c>
      <c r="AZ14" s="5"/>
      <c r="BA14" s="150">
        <f t="shared" si="100"/>
        <v>1.1730681975865058</v>
      </c>
      <c r="BB14" s="150">
        <f t="shared" si="29"/>
        <v>3.1622044965873322</v>
      </c>
      <c r="BC14" s="150">
        <f t="shared" si="30"/>
        <v>0.63475174106497245</v>
      </c>
      <c r="BD14" s="150"/>
      <c r="BE14" s="456">
        <f t="shared" si="31"/>
        <v>1.6513067954266242E-2</v>
      </c>
      <c r="BF14" s="456">
        <f t="shared" si="32"/>
        <v>0.95705816704934288</v>
      </c>
      <c r="BG14" s="456">
        <f t="shared" si="33"/>
        <v>1.5385335581394259E-2</v>
      </c>
      <c r="BH14" s="456">
        <f t="shared" si="34"/>
        <v>0.28961432496967093</v>
      </c>
      <c r="BI14">
        <f t="shared" si="35"/>
        <v>1.525808027167137E-2</v>
      </c>
      <c r="BJ14" s="144">
        <f t="shared" si="101"/>
        <v>30.64341585306563</v>
      </c>
      <c r="BK14">
        <f t="shared" si="36"/>
        <v>1.2726372870108986</v>
      </c>
      <c r="BL14" s="144">
        <f t="shared" si="102"/>
        <v>1272.6372870108987</v>
      </c>
      <c r="BM14" s="150">
        <f t="shared" si="37"/>
        <v>0.24141599999999999</v>
      </c>
      <c r="BN14" s="150">
        <f t="shared" si="38"/>
        <v>3.6643499999999996E-2</v>
      </c>
      <c r="BO14" s="456"/>
      <c r="BQ14" s="144">
        <f t="shared" si="103"/>
        <v>278.05950000000001</v>
      </c>
      <c r="BR14" s="456">
        <f t="shared" si="39"/>
        <v>1.9265245946643948E-2</v>
      </c>
      <c r="BS14" s="456">
        <f t="shared" si="104"/>
        <v>0.13999352189532002</v>
      </c>
      <c r="BT14" s="456">
        <f t="shared" si="40"/>
        <v>2.0145488639250692E-3</v>
      </c>
      <c r="BU14" s="456">
        <f t="shared" si="41"/>
        <v>0.93601536193683177</v>
      </c>
      <c r="BV14" s="456">
        <f t="shared" si="42"/>
        <v>1.1508422868607275</v>
      </c>
      <c r="BW14" s="538">
        <f t="shared" si="43"/>
        <v>0.49140689364456447</v>
      </c>
      <c r="BX14" s="144">
        <f t="shared" si="105"/>
        <v>1642.2491805052921</v>
      </c>
      <c r="BY14" s="150">
        <f t="shared" si="106"/>
        <v>3.1929459675161911</v>
      </c>
      <c r="BZ14" s="5">
        <f t="shared" si="107"/>
        <v>11.258999999999999</v>
      </c>
      <c r="CA14" s="150">
        <f t="shared" si="108"/>
        <v>0.77906463429264028</v>
      </c>
      <c r="CB14" s="5">
        <f t="shared" si="109"/>
        <v>77.906463429264022</v>
      </c>
      <c r="CC14">
        <f t="shared" si="110"/>
        <v>9</v>
      </c>
      <c r="CE14" s="59">
        <f t="shared" si="44"/>
        <v>-50</v>
      </c>
      <c r="CF14">
        <f t="shared" si="45"/>
        <v>-50</v>
      </c>
      <c r="CG14" s="150">
        <f t="shared" si="46"/>
        <v>0.12189527413554203</v>
      </c>
      <c r="CH14" s="150">
        <f t="shared" si="47"/>
        <v>2.5728912514317057E-2</v>
      </c>
      <c r="CI14" s="147">
        <v>9</v>
      </c>
      <c r="CJ14" s="188">
        <f t="shared" si="133"/>
        <v>0.36</v>
      </c>
      <c r="CK14" s="188">
        <f t="shared" si="111"/>
        <v>7.6499999999999999E-2</v>
      </c>
      <c r="CL14" s="188">
        <f t="shared" si="48"/>
        <v>10.799999999999999</v>
      </c>
      <c r="CM14" s="188">
        <f t="shared" si="134"/>
        <v>0.45899999999999996</v>
      </c>
      <c r="CN14" s="465">
        <f t="shared" si="112"/>
        <v>34</v>
      </c>
      <c r="CO14" s="379">
        <f t="shared" si="49"/>
        <v>30.7</v>
      </c>
      <c r="CP14" s="379">
        <f t="shared" si="50"/>
        <v>64.7</v>
      </c>
      <c r="CQ14" s="379"/>
      <c r="CR14" s="188">
        <f t="shared" si="113"/>
        <v>0.47204968944099374</v>
      </c>
      <c r="CS14" s="149">
        <f t="shared" si="114"/>
        <v>233.26341749863801</v>
      </c>
      <c r="CT14" s="149">
        <f t="shared" si="51"/>
        <v>9.9136952436921142</v>
      </c>
      <c r="CU14" s="188">
        <f t="shared" si="52"/>
        <v>7.7754472499545999</v>
      </c>
      <c r="CV14" s="188">
        <f t="shared" si="53"/>
        <v>38.877236249772999</v>
      </c>
      <c r="CW14" s="379">
        <f t="shared" si="54"/>
        <v>30</v>
      </c>
      <c r="CX14" s="188">
        <f t="shared" si="55"/>
        <v>1.403017801857585</v>
      </c>
      <c r="CY14" s="188">
        <f t="shared" si="56"/>
        <v>0.19394657849207791</v>
      </c>
      <c r="CZ14" s="188">
        <f t="shared" si="57"/>
        <v>0.2147942563104446</v>
      </c>
      <c r="DA14" s="172">
        <f t="shared" si="58"/>
        <v>350</v>
      </c>
      <c r="DB14" s="379">
        <f t="shared" si="115"/>
        <v>350</v>
      </c>
      <c r="DD14" s="188">
        <f t="shared" si="59"/>
        <v>9.8072469146822137</v>
      </c>
      <c r="DE14" s="150">
        <f t="shared" si="60"/>
        <v>1.5014351954073746</v>
      </c>
      <c r="DF14" s="150">
        <f t="shared" si="61"/>
        <v>2.4718134248028734</v>
      </c>
      <c r="DG14" s="150"/>
      <c r="DH14" s="150">
        <f t="shared" si="62"/>
        <v>0.92784522751949461</v>
      </c>
      <c r="DI14" s="314">
        <f t="shared" si="63"/>
        <v>133.48023606382975</v>
      </c>
      <c r="DJ14" s="456">
        <f t="shared" si="64"/>
        <v>0.94395997276890675</v>
      </c>
      <c r="DL14" s="150">
        <f t="shared" si="65"/>
        <v>3.6998315906797834</v>
      </c>
      <c r="DM14" s="150">
        <f t="shared" si="66"/>
        <v>6.0606060606060606</v>
      </c>
      <c r="DN14" s="150">
        <f t="shared" si="67"/>
        <v>1.0762744206079027</v>
      </c>
      <c r="DP14" s="314">
        <f t="shared" si="68"/>
        <v>360</v>
      </c>
      <c r="DQ14" s="144">
        <f t="shared" si="69"/>
        <v>133.48023606382975</v>
      </c>
      <c r="DS14">
        <f t="shared" si="116"/>
        <v>360</v>
      </c>
      <c r="DT14" s="144">
        <f t="shared" si="70"/>
        <v>133.48023606382975</v>
      </c>
      <c r="DU14" s="144"/>
      <c r="DV14" s="5">
        <f t="shared" si="117"/>
        <v>7.4917458156262455</v>
      </c>
      <c r="DW14" s="5">
        <f t="shared" si="71"/>
        <v>0.83778966131907295</v>
      </c>
      <c r="DX14" s="5">
        <f t="shared" si="118"/>
        <v>6.6539561543071724</v>
      </c>
      <c r="DY14" s="150">
        <f t="shared" si="119"/>
        <v>0.11182836176470583</v>
      </c>
      <c r="EA14" s="5">
        <f t="shared" si="72"/>
        <v>1.0053475935828875</v>
      </c>
      <c r="EB14" s="5">
        <f t="shared" si="73"/>
        <v>1.0681818181818179</v>
      </c>
      <c r="EC14" s="5">
        <f t="shared" si="74"/>
        <v>1.2432997658567033</v>
      </c>
      <c r="ED14" s="5"/>
      <c r="EE14" s="150">
        <f t="shared" si="120"/>
        <v>1.1701227139814867</v>
      </c>
      <c r="EF14" s="150">
        <f t="shared" si="75"/>
        <v>3.1632084724505134</v>
      </c>
      <c r="EG14" s="150">
        <f t="shared" si="76"/>
        <v>0.63495326991227796</v>
      </c>
      <c r="EH14" s="150"/>
      <c r="EI14" s="456">
        <f t="shared" si="77"/>
        <v>1.6430245989304804E-2</v>
      </c>
      <c r="EJ14" s="456">
        <f t="shared" si="78"/>
        <v>0.99446820723191465</v>
      </c>
      <c r="EK14" s="456">
        <f t="shared" si="79"/>
        <v>1.5350227147340424E-2</v>
      </c>
      <c r="EL14" s="456">
        <f t="shared" si="80"/>
        <v>0.28915844561644621</v>
      </c>
      <c r="EM14">
        <f t="shared" si="81"/>
        <v>1.5299999999999999E-2</v>
      </c>
      <c r="EN14" s="144">
        <f t="shared" si="121"/>
        <v>30.650227147340424</v>
      </c>
      <c r="EO14">
        <f t="shared" si="82"/>
        <v>1.3403758872397249</v>
      </c>
      <c r="EP14" s="144">
        <f t="shared" si="122"/>
        <v>1340.375887239725</v>
      </c>
      <c r="EQ14" s="150">
        <f t="shared" si="83"/>
        <v>0.24141599999999999</v>
      </c>
      <c r="ER14" s="150">
        <f t="shared" si="84"/>
        <v>3.6643499999999996E-2</v>
      </c>
      <c r="ES14" s="456"/>
      <c r="EU14" s="144">
        <f t="shared" si="123"/>
        <v>278.05950000000001</v>
      </c>
      <c r="EV14" s="456">
        <f t="shared" si="85"/>
        <v>1.9168620320855603E-2</v>
      </c>
      <c r="EW14" s="456">
        <f t="shared" si="124"/>
        <v>0.14008242976255794</v>
      </c>
      <c r="EX14" s="456">
        <f t="shared" si="86"/>
        <v>2.0158282748614707E-3</v>
      </c>
      <c r="EY14" s="456">
        <f t="shared" si="87"/>
        <v>0.93068466685633655</v>
      </c>
      <c r="EZ14" s="456">
        <f t="shared" si="88"/>
        <v>1.1454332313475779</v>
      </c>
      <c r="FA14" s="538">
        <f t="shared" si="89"/>
        <v>0.49028553191489344</v>
      </c>
      <c r="FB14" s="144">
        <f t="shared" si="125"/>
        <v>1635.7187632624712</v>
      </c>
      <c r="FC14" s="150">
        <f t="shared" si="126"/>
        <v>3.2541541505021963</v>
      </c>
      <c r="FD14" s="5">
        <f t="shared" si="127"/>
        <v>11.258999999999999</v>
      </c>
      <c r="FE14" s="150">
        <f t="shared" si="128"/>
        <v>0.77577898527388034</v>
      </c>
      <c r="FF14" s="5">
        <f t="shared" si="129"/>
        <v>77.577898527388029</v>
      </c>
      <c r="FG14">
        <f t="shared" si="130"/>
        <v>9</v>
      </c>
      <c r="FI14" s="59">
        <f t="shared" si="90"/>
        <v>-50</v>
      </c>
      <c r="FJ14">
        <f t="shared" si="91"/>
        <v>-50</v>
      </c>
      <c r="FL14">
        <f t="shared" si="92"/>
        <v>0.12189527413554205</v>
      </c>
    </row>
    <row r="15" spans="2:169">
      <c r="E15" s="147">
        <v>10</v>
      </c>
      <c r="F15" s="188">
        <f t="shared" si="131"/>
        <v>0.4</v>
      </c>
      <c r="G15" s="188">
        <f t="shared" si="93"/>
        <v>8.5000000000000006E-2</v>
      </c>
      <c r="H15" s="188">
        <f t="shared" si="0"/>
        <v>12</v>
      </c>
      <c r="I15" s="188">
        <f t="shared" si="132"/>
        <v>0.51</v>
      </c>
      <c r="J15" s="465">
        <f t="shared" si="1"/>
        <v>33.906845048158601</v>
      </c>
      <c r="K15" s="379">
        <f t="shared" si="2"/>
        <v>30.770215829062796</v>
      </c>
      <c r="L15" s="149">
        <f t="shared" si="3"/>
        <v>64.677060877221393</v>
      </c>
      <c r="M15" s="379"/>
      <c r="N15" s="188">
        <f t="shared" si="4"/>
        <v>0.47575160979369358</v>
      </c>
      <c r="O15" s="149">
        <f t="shared" si="94"/>
        <v>234.44860278594263</v>
      </c>
      <c r="P15" s="149">
        <f t="shared" si="5"/>
        <v>9.9640656184025609</v>
      </c>
      <c r="Q15" s="188">
        <f t="shared" si="6"/>
        <v>7.8149534261980875</v>
      </c>
      <c r="R15" s="188">
        <f t="shared" si="7"/>
        <v>39.074767130990438</v>
      </c>
      <c r="S15" s="379">
        <f t="shared" si="8"/>
        <v>30</v>
      </c>
      <c r="T15" s="188">
        <f t="shared" si="9"/>
        <v>1.5510280689041795</v>
      </c>
      <c r="U15" s="188">
        <f t="shared" si="10"/>
        <v>0.21499587807405091</v>
      </c>
      <c r="V15" s="188">
        <f t="shared" si="11"/>
        <v>0.23691195292053557</v>
      </c>
      <c r="W15" s="172">
        <f t="shared" si="12"/>
        <v>350</v>
      </c>
      <c r="X15" s="379">
        <f t="shared" si="95"/>
        <v>350</v>
      </c>
      <c r="Z15" s="188">
        <f t="shared" si="13"/>
        <v>9.8062225621196237</v>
      </c>
      <c r="AA15" s="150">
        <f t="shared" si="14"/>
        <v>1.4978525434465899</v>
      </c>
      <c r="AB15" s="150">
        <f t="shared" si="15"/>
        <v>2.4656577420604195</v>
      </c>
      <c r="AC15" s="150"/>
      <c r="AD15" s="150">
        <f t="shared" si="16"/>
        <v>0.92572793909180973</v>
      </c>
      <c r="AE15" s="314">
        <f t="shared" si="17"/>
        <v>148.6505853274808</v>
      </c>
      <c r="AF15" s="456">
        <f t="shared" si="18"/>
        <v>0.94180591143705672</v>
      </c>
      <c r="AH15" s="150">
        <f t="shared" si="19"/>
        <v>3.8999649285306397</v>
      </c>
      <c r="AI15" s="150">
        <f t="shared" si="20"/>
        <v>6.0606060606060606</v>
      </c>
      <c r="AJ15" s="150">
        <f t="shared" si="21"/>
        <v>1.0849431916157033</v>
      </c>
      <c r="AL15" s="314">
        <f t="shared" si="22"/>
        <v>400</v>
      </c>
      <c r="AM15" s="144">
        <f t="shared" si="23"/>
        <v>148.6505853274808</v>
      </c>
      <c r="AO15">
        <f t="shared" si="96"/>
        <v>400</v>
      </c>
      <c r="AP15" s="144">
        <f t="shared" si="24"/>
        <v>148.6505853274808</v>
      </c>
      <c r="AQ15" s="144"/>
      <c r="AR15" s="5">
        <f t="shared" si="97"/>
        <v>6.7271850816932606</v>
      </c>
      <c r="AS15" s="5">
        <f t="shared" si="25"/>
        <v>0.84009138698663521</v>
      </c>
      <c r="AT15" s="5">
        <f t="shared" si="98"/>
        <v>5.8870936947066257</v>
      </c>
      <c r="AU15" s="150">
        <f t="shared" si="99"/>
        <v>0.12488007640413852</v>
      </c>
      <c r="AW15" s="5">
        <f t="shared" si="26"/>
        <v>1.1201218493155136</v>
      </c>
      <c r="AX15" s="5">
        <f t="shared" si="27"/>
        <v>1.1901294648977332</v>
      </c>
      <c r="AY15" s="5">
        <f t="shared" si="28"/>
        <v>1.2255919249645306</v>
      </c>
      <c r="AZ15" s="5"/>
      <c r="BA15" s="150">
        <f t="shared" si="100"/>
        <v>1.2365224516939315</v>
      </c>
      <c r="BB15" s="150">
        <f t="shared" si="29"/>
        <v>3.1398807227642798</v>
      </c>
      <c r="BC15" s="150">
        <f t="shared" si="30"/>
        <v>0.63027067277333737</v>
      </c>
      <c r="BD15" s="150"/>
      <c r="BE15" s="456">
        <f t="shared" si="31"/>
        <v>1.8347853282518055E-2</v>
      </c>
      <c r="BF15" s="456">
        <f t="shared" si="32"/>
        <v>1.0633979633881592</v>
      </c>
      <c r="BG15" s="456">
        <f t="shared" si="33"/>
        <v>1.7094817312660292E-2</v>
      </c>
      <c r="BH15" s="456">
        <f t="shared" si="34"/>
        <v>0.32179369441074557</v>
      </c>
      <c r="BI15">
        <f t="shared" si="35"/>
        <v>1.525808027167137E-2</v>
      </c>
      <c r="BJ15" s="144">
        <f t="shared" si="101"/>
        <v>32.352897584331657</v>
      </c>
      <c r="BK15">
        <f t="shared" si="36"/>
        <v>1.4146605734195126</v>
      </c>
      <c r="BL15" s="144">
        <f t="shared" si="102"/>
        <v>1414.6605734195125</v>
      </c>
      <c r="BM15" s="150">
        <f t="shared" si="37"/>
        <v>0.26823999999999998</v>
      </c>
      <c r="BN15" s="150">
        <f t="shared" si="38"/>
        <v>4.0715000000000001E-2</v>
      </c>
      <c r="BO15" s="456"/>
      <c r="BQ15" s="144">
        <f t="shared" si="103"/>
        <v>308.95499999999998</v>
      </c>
      <c r="BR15" s="456">
        <f t="shared" si="39"/>
        <v>2.1405828829604397E-2</v>
      </c>
      <c r="BS15" s="456">
        <f t="shared" si="104"/>
        <v>0.13802391334461431</v>
      </c>
      <c r="BT15" s="456">
        <f t="shared" si="40"/>
        <v>1.9862056047907769E-3</v>
      </c>
      <c r="BU15" s="456">
        <f t="shared" si="41"/>
        <v>1.2180824973774769</v>
      </c>
      <c r="BV15" s="456">
        <f t="shared" si="42"/>
        <v>1.4367919635480382</v>
      </c>
      <c r="BW15" s="538">
        <f t="shared" si="43"/>
        <v>0.5460076596050718</v>
      </c>
      <c r="BX15" s="144">
        <f t="shared" si="105"/>
        <v>1982.7996231531099</v>
      </c>
      <c r="BY15" s="150">
        <f t="shared" si="106"/>
        <v>3.7064151965726224</v>
      </c>
      <c r="BZ15" s="5">
        <f t="shared" si="107"/>
        <v>12.51</v>
      </c>
      <c r="CA15" s="150">
        <f t="shared" si="108"/>
        <v>0.77144053407340096</v>
      </c>
      <c r="CB15" s="5">
        <f t="shared" si="109"/>
        <v>77.144053407340095</v>
      </c>
      <c r="CC15">
        <f t="shared" si="110"/>
        <v>10</v>
      </c>
      <c r="CE15" s="59">
        <f t="shared" si="44"/>
        <v>-50</v>
      </c>
      <c r="CF15">
        <f t="shared" si="45"/>
        <v>-50</v>
      </c>
      <c r="CG15" s="150">
        <f t="shared" si="46"/>
        <v>0.13543919348393563</v>
      </c>
      <c r="CH15" s="150">
        <f t="shared" si="47"/>
        <v>2.8587680571463402E-2</v>
      </c>
      <c r="CI15" s="147">
        <v>10</v>
      </c>
      <c r="CJ15" s="188">
        <f t="shared" si="133"/>
        <v>0.4</v>
      </c>
      <c r="CK15" s="188">
        <f t="shared" si="111"/>
        <v>8.5000000000000006E-2</v>
      </c>
      <c r="CL15" s="188">
        <f t="shared" si="48"/>
        <v>12</v>
      </c>
      <c r="CM15" s="188">
        <f t="shared" si="134"/>
        <v>0.51</v>
      </c>
      <c r="CN15" s="465">
        <f t="shared" si="112"/>
        <v>34</v>
      </c>
      <c r="CO15" s="379">
        <f t="shared" si="49"/>
        <v>30.7</v>
      </c>
      <c r="CP15" s="379">
        <f t="shared" si="50"/>
        <v>64.7</v>
      </c>
      <c r="CQ15" s="379"/>
      <c r="CR15" s="188">
        <f t="shared" si="113"/>
        <v>0.47204968944099374</v>
      </c>
      <c r="CS15" s="149">
        <f t="shared" si="114"/>
        <v>233.26341749863801</v>
      </c>
      <c r="CT15" s="149">
        <f t="shared" si="51"/>
        <v>9.9136952436921142</v>
      </c>
      <c r="CU15" s="188">
        <f t="shared" si="52"/>
        <v>7.7754472499545999</v>
      </c>
      <c r="CV15" s="188">
        <f t="shared" si="53"/>
        <v>38.877236249772999</v>
      </c>
      <c r="CW15" s="379">
        <f t="shared" si="54"/>
        <v>30</v>
      </c>
      <c r="CX15" s="188">
        <f t="shared" si="55"/>
        <v>1.5589086687306501</v>
      </c>
      <c r="CY15" s="188">
        <f t="shared" si="56"/>
        <v>0.21549619832453104</v>
      </c>
      <c r="CZ15" s="188">
        <f t="shared" si="57"/>
        <v>0.23866028478938289</v>
      </c>
      <c r="DA15" s="172">
        <f t="shared" si="58"/>
        <v>350</v>
      </c>
      <c r="DB15" s="379">
        <f t="shared" si="115"/>
        <v>350</v>
      </c>
      <c r="DD15" s="188">
        <f t="shared" si="59"/>
        <v>9.8072469146822137</v>
      </c>
      <c r="DE15" s="150">
        <f t="shared" si="60"/>
        <v>1.5014351954073746</v>
      </c>
      <c r="DF15" s="150">
        <f t="shared" si="61"/>
        <v>2.4718134248028734</v>
      </c>
      <c r="DG15" s="150"/>
      <c r="DH15" s="150">
        <f t="shared" si="62"/>
        <v>0.92784522751949461</v>
      </c>
      <c r="DI15" s="314">
        <f t="shared" si="63"/>
        <v>148.31137340425533</v>
      </c>
      <c r="DJ15" s="456">
        <f t="shared" si="64"/>
        <v>0.94395997276890675</v>
      </c>
      <c r="DL15" s="150">
        <f t="shared" si="65"/>
        <v>3.8999649285306397</v>
      </c>
      <c r="DM15" s="150">
        <f t="shared" si="66"/>
        <v>6.0606060606060606</v>
      </c>
      <c r="DN15" s="150">
        <f t="shared" si="67"/>
        <v>1.0847493562310031</v>
      </c>
      <c r="DP15" s="314">
        <f t="shared" si="68"/>
        <v>400</v>
      </c>
      <c r="DQ15" s="144">
        <f t="shared" si="69"/>
        <v>148.31137340425533</v>
      </c>
      <c r="DS15">
        <f t="shared" si="116"/>
        <v>400</v>
      </c>
      <c r="DT15" s="144">
        <f t="shared" si="70"/>
        <v>148.31137340425533</v>
      </c>
      <c r="DU15" s="144"/>
      <c r="DV15" s="5">
        <f t="shared" si="117"/>
        <v>6.7425712340636181</v>
      </c>
      <c r="DW15" s="5">
        <f t="shared" si="71"/>
        <v>0.83778966131907295</v>
      </c>
      <c r="DX15" s="5">
        <f t="shared" si="118"/>
        <v>5.904781572744545</v>
      </c>
      <c r="DY15" s="150">
        <f t="shared" si="119"/>
        <v>0.12425373529411765</v>
      </c>
      <c r="EA15" s="5">
        <f t="shared" si="72"/>
        <v>1.1170528817587639</v>
      </c>
      <c r="EB15" s="5">
        <f t="shared" si="73"/>
        <v>1.1868686868686869</v>
      </c>
      <c r="EC15" s="5">
        <f t="shared" si="74"/>
        <v>1.2259062088743</v>
      </c>
      <c r="ED15" s="5"/>
      <c r="EE15" s="150">
        <f t="shared" si="120"/>
        <v>1.2334176393597502</v>
      </c>
      <c r="EF15" s="150">
        <f t="shared" si="75"/>
        <v>3.1410041599982401</v>
      </c>
      <c r="EG15" s="150">
        <f t="shared" si="76"/>
        <v>0.63049618119349282</v>
      </c>
      <c r="EH15" s="150"/>
      <c r="EI15" s="456">
        <f t="shared" si="77"/>
        <v>1.8255828877005349E-2</v>
      </c>
      <c r="EJ15" s="456">
        <f t="shared" si="78"/>
        <v>1.1049646747021278</v>
      </c>
      <c r="EK15" s="456">
        <f t="shared" si="79"/>
        <v>1.7055807941489365E-2</v>
      </c>
      <c r="EL15" s="456">
        <f t="shared" si="80"/>
        <v>0.32128716179605143</v>
      </c>
      <c r="EM15">
        <f t="shared" si="81"/>
        <v>1.5299999999999999E-2</v>
      </c>
      <c r="EN15" s="144">
        <f t="shared" si="121"/>
        <v>32.355807941489367</v>
      </c>
      <c r="EO15">
        <f t="shared" si="82"/>
        <v>1.4882479490058098</v>
      </c>
      <c r="EP15" s="144">
        <f t="shared" si="122"/>
        <v>1488.2479490058099</v>
      </c>
      <c r="EQ15" s="150">
        <f t="shared" si="83"/>
        <v>0.26823999999999998</v>
      </c>
      <c r="ER15" s="150">
        <f t="shared" si="84"/>
        <v>4.0715000000000001E-2</v>
      </c>
      <c r="ES15" s="456"/>
      <c r="EU15" s="144">
        <f t="shared" si="123"/>
        <v>308.95499999999998</v>
      </c>
      <c r="EV15" s="456">
        <f t="shared" si="85"/>
        <v>2.1298467023172906E-2</v>
      </c>
      <c r="EW15" s="456">
        <f t="shared" si="124"/>
        <v>0.13812269986376749</v>
      </c>
      <c r="EX15" s="456">
        <f t="shared" si="86"/>
        <v>1.9876271724978889E-3</v>
      </c>
      <c r="EY15" s="456">
        <f t="shared" si="87"/>
        <v>1.211145403564218</v>
      </c>
      <c r="EZ15" s="456">
        <f t="shared" si="88"/>
        <v>1.4297543016078265</v>
      </c>
      <c r="FA15" s="538">
        <f t="shared" si="89"/>
        <v>0.54476170212765962</v>
      </c>
      <c r="FB15" s="144">
        <f t="shared" si="125"/>
        <v>1974.516003735486</v>
      </c>
      <c r="FC15" s="150">
        <f t="shared" si="126"/>
        <v>3.7717189527412955</v>
      </c>
      <c r="FD15" s="5">
        <f t="shared" si="127"/>
        <v>12.51</v>
      </c>
      <c r="FE15" s="150">
        <f t="shared" si="128"/>
        <v>0.76834639120789738</v>
      </c>
      <c r="FF15" s="5">
        <f t="shared" si="129"/>
        <v>76.834639120789745</v>
      </c>
      <c r="FG15">
        <f t="shared" si="130"/>
        <v>10</v>
      </c>
      <c r="FI15" s="59">
        <f t="shared" si="90"/>
        <v>-50</v>
      </c>
      <c r="FJ15">
        <f t="shared" si="91"/>
        <v>-50</v>
      </c>
      <c r="FL15">
        <f t="shared" si="92"/>
        <v>0.13543919348393563</v>
      </c>
    </row>
    <row r="16" spans="2:169">
      <c r="E16" s="147">
        <v>11</v>
      </c>
      <c r="F16" s="188">
        <f t="shared" si="131"/>
        <v>0.44</v>
      </c>
      <c r="G16" s="188">
        <f t="shared" si="93"/>
        <v>9.35E-2</v>
      </c>
      <c r="H16" s="188">
        <f t="shared" si="0"/>
        <v>13.2</v>
      </c>
      <c r="I16" s="188">
        <f t="shared" si="132"/>
        <v>0.56099999999999994</v>
      </c>
      <c r="J16" s="465">
        <f t="shared" si="1"/>
        <v>33.906845048158601</v>
      </c>
      <c r="K16" s="379">
        <f t="shared" si="2"/>
        <v>30.770215829062796</v>
      </c>
      <c r="L16" s="149">
        <f t="shared" si="3"/>
        <v>64.677060877221393</v>
      </c>
      <c r="M16" s="379"/>
      <c r="N16" s="188">
        <f t="shared" si="4"/>
        <v>0.47575160979369358</v>
      </c>
      <c r="O16" s="149">
        <f t="shared" si="94"/>
        <v>234.44860278594263</v>
      </c>
      <c r="P16" s="149">
        <f t="shared" si="5"/>
        <v>9.9640656184025609</v>
      </c>
      <c r="Q16" s="188">
        <f t="shared" si="6"/>
        <v>7.8149534261980875</v>
      </c>
      <c r="R16" s="188">
        <f t="shared" si="7"/>
        <v>39.074767130990438</v>
      </c>
      <c r="S16" s="379">
        <f t="shared" si="8"/>
        <v>30</v>
      </c>
      <c r="T16" s="188">
        <f t="shared" si="9"/>
        <v>1.7061308757945974</v>
      </c>
      <c r="U16" s="188">
        <f t="shared" si="10"/>
        <v>0.23649546588145598</v>
      </c>
      <c r="V16" s="188">
        <f t="shared" si="11"/>
        <v>0.26060314821258912</v>
      </c>
      <c r="W16" s="172">
        <f t="shared" si="12"/>
        <v>350</v>
      </c>
      <c r="X16" s="379">
        <f t="shared" si="95"/>
        <v>350</v>
      </c>
      <c r="Z16" s="188">
        <f t="shared" si="13"/>
        <v>9.8062225621196237</v>
      </c>
      <c r="AA16" s="150">
        <f t="shared" si="14"/>
        <v>1.4978525434465899</v>
      </c>
      <c r="AB16" s="150">
        <f t="shared" si="15"/>
        <v>2.4656577420604195</v>
      </c>
      <c r="AC16" s="150"/>
      <c r="AD16" s="150">
        <f t="shared" si="16"/>
        <v>0.92572793909180973</v>
      </c>
      <c r="AE16" s="314">
        <f t="shared" si="17"/>
        <v>163.51564386022886</v>
      </c>
      <c r="AF16" s="456">
        <f t="shared" si="18"/>
        <v>0.94180591143705672</v>
      </c>
      <c r="AH16" s="150">
        <f t="shared" si="19"/>
        <v>4.0903177245962077</v>
      </c>
      <c r="AI16" s="150">
        <f t="shared" si="20"/>
        <v>6.0606060606060606</v>
      </c>
      <c r="AJ16" s="150">
        <f t="shared" si="21"/>
        <v>1.0934375107772736</v>
      </c>
      <c r="AL16" s="314">
        <f t="shared" si="22"/>
        <v>440</v>
      </c>
      <c r="AM16" s="144">
        <f t="shared" si="23"/>
        <v>163.51564386022886</v>
      </c>
      <c r="AO16">
        <f t="shared" si="96"/>
        <v>440</v>
      </c>
      <c r="AP16" s="144">
        <f t="shared" si="24"/>
        <v>163.51564386022886</v>
      </c>
      <c r="AQ16" s="144"/>
      <c r="AR16" s="5">
        <f t="shared" si="97"/>
        <v>6.1156228015393292</v>
      </c>
      <c r="AS16" s="5">
        <f t="shared" si="25"/>
        <v>0.84009138698663521</v>
      </c>
      <c r="AT16" s="5">
        <f t="shared" si="98"/>
        <v>5.2755314145526944</v>
      </c>
      <c r="AU16" s="150">
        <f t="shared" si="99"/>
        <v>0.13736808404455234</v>
      </c>
      <c r="AW16" s="5">
        <f t="shared" si="26"/>
        <v>1.232134034247065</v>
      </c>
      <c r="AX16" s="5">
        <f t="shared" si="27"/>
        <v>1.3091424113875068</v>
      </c>
      <c r="AY16" s="5">
        <f t="shared" si="28"/>
        <v>1.2081026633098568</v>
      </c>
      <c r="AZ16" s="5"/>
      <c r="BA16" s="150">
        <f t="shared" si="100"/>
        <v>1.2968756882976442</v>
      </c>
      <c r="BB16" s="150">
        <f t="shared" si="29"/>
        <v>3.1173970918277836</v>
      </c>
      <c r="BC16" s="150">
        <f t="shared" si="30"/>
        <v>0.62575751624035381</v>
      </c>
      <c r="BD16" s="150"/>
      <c r="BE16" s="456">
        <f t="shared" si="31"/>
        <v>2.0182638610769861E-2</v>
      </c>
      <c r="BF16" s="456">
        <f t="shared" si="32"/>
        <v>1.1697377597269749</v>
      </c>
      <c r="BG16" s="456">
        <f t="shared" si="33"/>
        <v>1.8804299043926321E-2</v>
      </c>
      <c r="BH16" s="456">
        <f t="shared" si="34"/>
        <v>0.35397306385182009</v>
      </c>
      <c r="BI16">
        <f t="shared" si="35"/>
        <v>1.525808027167137E-2</v>
      </c>
      <c r="BJ16" s="144">
        <f t="shared" si="101"/>
        <v>34.062379315597688</v>
      </c>
      <c r="BK16">
        <f t="shared" si="36"/>
        <v>1.5568082851782998</v>
      </c>
      <c r="BL16" s="144">
        <f t="shared" si="102"/>
        <v>1556.8082851782999</v>
      </c>
      <c r="BM16" s="150">
        <f t="shared" si="37"/>
        <v>0.29506399999999999</v>
      </c>
      <c r="BN16" s="150">
        <f t="shared" si="38"/>
        <v>4.47865E-2</v>
      </c>
      <c r="BO16" s="456"/>
      <c r="BQ16" s="144">
        <f t="shared" si="103"/>
        <v>339.85050000000001</v>
      </c>
      <c r="BR16" s="456">
        <f t="shared" si="39"/>
        <v>2.354641171256484E-2</v>
      </c>
      <c r="BS16" s="456">
        <f t="shared" si="104"/>
        <v>0.13605430479390854</v>
      </c>
      <c r="BT16" s="456">
        <f t="shared" si="40"/>
        <v>1.9578623456564834E-3</v>
      </c>
      <c r="BU16" s="456">
        <f t="shared" si="41"/>
        <v>1.5458181982713393</v>
      </c>
      <c r="BV16" s="456">
        <f t="shared" si="42"/>
        <v>1.7690147973786103</v>
      </c>
      <c r="BW16" s="538">
        <f t="shared" si="43"/>
        <v>0.60060842556557892</v>
      </c>
      <c r="BX16" s="144">
        <f t="shared" si="105"/>
        <v>2369.6232229441894</v>
      </c>
      <c r="BY16" s="150">
        <f t="shared" si="106"/>
        <v>4.2662820081224888</v>
      </c>
      <c r="BZ16" s="5">
        <f t="shared" si="107"/>
        <v>13.760999999999999</v>
      </c>
      <c r="CA16" s="150">
        <f t="shared" si="108"/>
        <v>0.7633430260756866</v>
      </c>
      <c r="CB16" s="5">
        <f t="shared" si="109"/>
        <v>76.334302607568659</v>
      </c>
      <c r="CC16">
        <f t="shared" si="110"/>
        <v>11</v>
      </c>
      <c r="CE16" s="59">
        <f t="shared" si="44"/>
        <v>-50</v>
      </c>
      <c r="CF16">
        <f t="shared" si="45"/>
        <v>-50</v>
      </c>
      <c r="CG16" s="150">
        <f t="shared" si="46"/>
        <v>0.14898311283232918</v>
      </c>
      <c r="CH16" s="150">
        <f t="shared" si="47"/>
        <v>3.1446448628609736E-2</v>
      </c>
      <c r="CI16" s="147">
        <v>11</v>
      </c>
      <c r="CJ16" s="188">
        <f t="shared" si="133"/>
        <v>0.44</v>
      </c>
      <c r="CK16" s="188">
        <f t="shared" si="111"/>
        <v>9.35E-2</v>
      </c>
      <c r="CL16" s="188">
        <f t="shared" si="48"/>
        <v>13.2</v>
      </c>
      <c r="CM16" s="188">
        <f t="shared" si="134"/>
        <v>0.56099999999999994</v>
      </c>
      <c r="CN16" s="465">
        <f t="shared" si="112"/>
        <v>34</v>
      </c>
      <c r="CO16" s="379">
        <f t="shared" si="49"/>
        <v>30.7</v>
      </c>
      <c r="CP16" s="379">
        <f t="shared" si="50"/>
        <v>64.7</v>
      </c>
      <c r="CQ16" s="379"/>
      <c r="CR16" s="188">
        <f t="shared" si="113"/>
        <v>0.47204968944099374</v>
      </c>
      <c r="CS16" s="149">
        <f t="shared" si="114"/>
        <v>233.26341749863801</v>
      </c>
      <c r="CT16" s="149">
        <f t="shared" si="51"/>
        <v>9.9136952436921142</v>
      </c>
      <c r="CU16" s="188">
        <f t="shared" si="52"/>
        <v>7.7754472499545999</v>
      </c>
      <c r="CV16" s="188">
        <f t="shared" si="53"/>
        <v>38.877236249772999</v>
      </c>
      <c r="CW16" s="379">
        <f t="shared" si="54"/>
        <v>30</v>
      </c>
      <c r="CX16" s="188">
        <f t="shared" si="55"/>
        <v>1.7147995356037151</v>
      </c>
      <c r="CY16" s="188">
        <f t="shared" si="56"/>
        <v>0.23704581815698414</v>
      </c>
      <c r="CZ16" s="188">
        <f t="shared" si="57"/>
        <v>0.26252631326832115</v>
      </c>
      <c r="DA16" s="172">
        <f t="shared" si="58"/>
        <v>350</v>
      </c>
      <c r="DB16" s="379">
        <f t="shared" si="115"/>
        <v>350</v>
      </c>
      <c r="DD16" s="188">
        <f t="shared" si="59"/>
        <v>9.8072469146822137</v>
      </c>
      <c r="DE16" s="150">
        <f t="shared" si="60"/>
        <v>1.5014351954073746</v>
      </c>
      <c r="DF16" s="150">
        <f t="shared" si="61"/>
        <v>2.4718134248028734</v>
      </c>
      <c r="DG16" s="150"/>
      <c r="DH16" s="150">
        <f t="shared" si="62"/>
        <v>0.92784522751949461</v>
      </c>
      <c r="DI16" s="314">
        <f t="shared" si="63"/>
        <v>163.14251074468086</v>
      </c>
      <c r="DJ16" s="456">
        <f t="shared" si="64"/>
        <v>0.94395997276890675</v>
      </c>
      <c r="DL16" s="150">
        <f t="shared" si="65"/>
        <v>4.0903177245962077</v>
      </c>
      <c r="DM16" s="150">
        <f t="shared" si="66"/>
        <v>6.0606060606060606</v>
      </c>
      <c r="DN16" s="150">
        <f t="shared" si="67"/>
        <v>1.0932242918541033</v>
      </c>
      <c r="DP16" s="314">
        <f t="shared" si="68"/>
        <v>440</v>
      </c>
      <c r="DQ16" s="144">
        <f t="shared" si="69"/>
        <v>163.14251074468086</v>
      </c>
      <c r="DS16">
        <f t="shared" si="116"/>
        <v>440</v>
      </c>
      <c r="DT16" s="144">
        <f t="shared" si="70"/>
        <v>163.14251074468086</v>
      </c>
      <c r="DU16" s="144"/>
      <c r="DV16" s="5">
        <f t="shared" si="117"/>
        <v>6.1296102127851082</v>
      </c>
      <c r="DW16" s="5">
        <f t="shared" si="71"/>
        <v>0.83778966131907295</v>
      </c>
      <c r="DX16" s="5">
        <f t="shared" si="118"/>
        <v>5.291820551466035</v>
      </c>
      <c r="DY16" s="150">
        <f t="shared" si="119"/>
        <v>0.1366791088235294</v>
      </c>
      <c r="EA16" s="5">
        <f t="shared" si="72"/>
        <v>1.2287581699346406</v>
      </c>
      <c r="EB16" s="5">
        <f t="shared" si="73"/>
        <v>1.3055555555555554</v>
      </c>
      <c r="EC16" s="5">
        <f t="shared" si="74"/>
        <v>1.2085126518918969</v>
      </c>
      <c r="ED16" s="5"/>
      <c r="EE16" s="150">
        <f t="shared" si="120"/>
        <v>1.2936193336496471</v>
      </c>
      <c r="EF16" s="150">
        <f t="shared" si="75"/>
        <v>3.1186417598162492</v>
      </c>
      <c r="EG16" s="150">
        <f t="shared" si="76"/>
        <v>0.62600735940311547</v>
      </c>
      <c r="EH16" s="150"/>
      <c r="EI16" s="456">
        <f t="shared" si="77"/>
        <v>2.0081411764705882E-2</v>
      </c>
      <c r="EJ16" s="456">
        <f t="shared" si="78"/>
        <v>1.2154611421723407</v>
      </c>
      <c r="EK16" s="456">
        <f t="shared" si="79"/>
        <v>1.8761388735638301E-2</v>
      </c>
      <c r="EL16" s="456">
        <f t="shared" si="80"/>
        <v>0.35341587797565666</v>
      </c>
      <c r="EM16">
        <f t="shared" si="81"/>
        <v>1.5299999999999999E-2</v>
      </c>
      <c r="EN16" s="144">
        <f t="shared" si="121"/>
        <v>34.061388735638296</v>
      </c>
      <c r="EO16">
        <f t="shared" si="82"/>
        <v>1.6362489073071997</v>
      </c>
      <c r="EP16" s="144">
        <f t="shared" si="122"/>
        <v>1636.2489073071997</v>
      </c>
      <c r="EQ16" s="150">
        <f t="shared" si="83"/>
        <v>0.29506399999999999</v>
      </c>
      <c r="ER16" s="150">
        <f t="shared" si="84"/>
        <v>4.47865E-2</v>
      </c>
      <c r="ES16" s="456"/>
      <c r="EU16" s="144">
        <f t="shared" si="123"/>
        <v>339.85050000000001</v>
      </c>
      <c r="EV16" s="456">
        <f t="shared" si="85"/>
        <v>2.3428313725490198E-2</v>
      </c>
      <c r="EW16" s="456">
        <f t="shared" si="124"/>
        <v>0.13616296996497709</v>
      </c>
      <c r="EX16" s="456">
        <f t="shared" si="86"/>
        <v>1.959426070134307E-3</v>
      </c>
      <c r="EY16" s="456">
        <f t="shared" si="87"/>
        <v>1.5370146189712981</v>
      </c>
      <c r="EZ16" s="456">
        <f t="shared" si="88"/>
        <v>1.760084936735935</v>
      </c>
      <c r="FA16" s="538">
        <f t="shared" si="89"/>
        <v>0.59923787234042558</v>
      </c>
      <c r="FB16" s="144">
        <f t="shared" si="125"/>
        <v>2359.3228090763605</v>
      </c>
      <c r="FC16" s="150">
        <f t="shared" si="126"/>
        <v>4.3354222163835603</v>
      </c>
      <c r="FD16" s="5">
        <f t="shared" si="127"/>
        <v>13.760999999999999</v>
      </c>
      <c r="FE16" s="150">
        <f t="shared" si="128"/>
        <v>0.76042655478835519</v>
      </c>
      <c r="FF16" s="5">
        <f t="shared" si="129"/>
        <v>76.042655478835513</v>
      </c>
      <c r="FG16">
        <f t="shared" si="130"/>
        <v>11</v>
      </c>
      <c r="FI16" s="59">
        <f t="shared" si="90"/>
        <v>-50</v>
      </c>
      <c r="FJ16">
        <f t="shared" si="91"/>
        <v>-50</v>
      </c>
      <c r="FL16">
        <f t="shared" si="92"/>
        <v>0.14898311283232918</v>
      </c>
    </row>
    <row r="17" spans="5:168">
      <c r="E17" s="147">
        <v>12</v>
      </c>
      <c r="F17" s="188">
        <f t="shared" si="131"/>
        <v>0.48</v>
      </c>
      <c r="G17" s="188">
        <f t="shared" si="93"/>
        <v>0.10199999999999999</v>
      </c>
      <c r="H17" s="188">
        <f t="shared" si="0"/>
        <v>14.399999999999999</v>
      </c>
      <c r="I17" s="188">
        <f t="shared" si="132"/>
        <v>0.61199999999999999</v>
      </c>
      <c r="J17" s="465">
        <f t="shared" si="1"/>
        <v>33.906845048158601</v>
      </c>
      <c r="K17" s="379">
        <f t="shared" si="2"/>
        <v>30.770215829062796</v>
      </c>
      <c r="L17" s="149">
        <f t="shared" si="3"/>
        <v>64.677060877221393</v>
      </c>
      <c r="M17" s="379"/>
      <c r="N17" s="188">
        <f t="shared" si="4"/>
        <v>0.47575160979369358</v>
      </c>
      <c r="O17" s="149">
        <f t="shared" si="94"/>
        <v>234.44860278594263</v>
      </c>
      <c r="P17" s="149">
        <f t="shared" si="5"/>
        <v>9.9640656184025609</v>
      </c>
      <c r="Q17" s="188">
        <f t="shared" si="6"/>
        <v>7.8149534261980875</v>
      </c>
      <c r="R17" s="188">
        <f t="shared" si="7"/>
        <v>39.074767130990438</v>
      </c>
      <c r="S17" s="379">
        <f t="shared" si="8"/>
        <v>30</v>
      </c>
      <c r="T17" s="188">
        <f t="shared" si="9"/>
        <v>1.8612336826850153</v>
      </c>
      <c r="U17" s="188">
        <f t="shared" si="10"/>
        <v>0.25799505368886111</v>
      </c>
      <c r="V17" s="188">
        <f t="shared" si="11"/>
        <v>0.28429434350464267</v>
      </c>
      <c r="W17" s="172">
        <f t="shared" si="12"/>
        <v>350</v>
      </c>
      <c r="X17" s="379">
        <f t="shared" si="95"/>
        <v>350</v>
      </c>
      <c r="Z17" s="188">
        <f t="shared" si="13"/>
        <v>9.8062225621196237</v>
      </c>
      <c r="AA17" s="150">
        <f t="shared" si="14"/>
        <v>1.4978525434465899</v>
      </c>
      <c r="AB17" s="150">
        <f t="shared" si="15"/>
        <v>2.4656577420604195</v>
      </c>
      <c r="AC17" s="150"/>
      <c r="AD17" s="150">
        <f t="shared" si="16"/>
        <v>0.92572793909180973</v>
      </c>
      <c r="AE17" s="314">
        <f t="shared" si="17"/>
        <v>178.38070239297693</v>
      </c>
      <c r="AF17" s="456">
        <f t="shared" si="18"/>
        <v>0.94180591143705672</v>
      </c>
      <c r="AH17" s="150">
        <f t="shared" si="19"/>
        <v>4.2721975296705086</v>
      </c>
      <c r="AI17" s="150">
        <f t="shared" si="20"/>
        <v>6.0606060606060606</v>
      </c>
      <c r="AJ17" s="150">
        <f t="shared" si="21"/>
        <v>1.1019318299388439</v>
      </c>
      <c r="AL17" s="314">
        <f t="shared" si="22"/>
        <v>480</v>
      </c>
      <c r="AM17" s="144">
        <f t="shared" si="23"/>
        <v>178.38070239297693</v>
      </c>
      <c r="AO17">
        <f t="shared" si="96"/>
        <v>480</v>
      </c>
      <c r="AP17" s="144">
        <f t="shared" si="24"/>
        <v>178.38070239297693</v>
      </c>
      <c r="AQ17" s="144"/>
      <c r="AR17" s="5">
        <f t="shared" si="97"/>
        <v>5.605987568077718</v>
      </c>
      <c r="AS17" s="5">
        <f t="shared" si="25"/>
        <v>0.84009138698663521</v>
      </c>
      <c r="AT17" s="5">
        <f t="shared" si="98"/>
        <v>4.7658961810910832</v>
      </c>
      <c r="AU17" s="150">
        <f t="shared" si="99"/>
        <v>0.14985609168496619</v>
      </c>
      <c r="AW17" s="5">
        <f t="shared" si="26"/>
        <v>1.3441462191786162</v>
      </c>
      <c r="AX17" s="5">
        <f t="shared" si="27"/>
        <v>1.4281553578772799</v>
      </c>
      <c r="AY17" s="5">
        <f t="shared" si="28"/>
        <v>1.1906134016551821</v>
      </c>
      <c r="AZ17" s="5"/>
      <c r="BA17" s="150">
        <f t="shared" si="100"/>
        <v>1.3545424793087169</v>
      </c>
      <c r="BB17" s="150">
        <f t="shared" si="29"/>
        <v>3.0947501196519753</v>
      </c>
      <c r="BC17" s="150">
        <f t="shared" si="30"/>
        <v>0.62121157209475608</v>
      </c>
      <c r="BD17" s="150"/>
      <c r="BE17" s="456">
        <f t="shared" si="31"/>
        <v>2.2017423939021667E-2</v>
      </c>
      <c r="BF17" s="456">
        <f t="shared" si="32"/>
        <v>1.2760775560657907</v>
      </c>
      <c r="BG17" s="456">
        <f t="shared" si="33"/>
        <v>2.0513780775192347E-2</v>
      </c>
      <c r="BH17" s="456">
        <f t="shared" si="34"/>
        <v>0.38615243329289456</v>
      </c>
      <c r="BI17">
        <f t="shared" si="35"/>
        <v>1.525808027167137E-2</v>
      </c>
      <c r="BJ17" s="144">
        <f t="shared" si="101"/>
        <v>35.771861046863719</v>
      </c>
      <c r="BK17">
        <f t="shared" si="36"/>
        <v>1.6990805858708482</v>
      </c>
      <c r="BL17" s="144">
        <f t="shared" si="102"/>
        <v>1699.0805858708482</v>
      </c>
      <c r="BM17" s="150">
        <f t="shared" si="37"/>
        <v>0.32188799999999995</v>
      </c>
      <c r="BN17" s="150">
        <f t="shared" si="38"/>
        <v>4.8857999999999992E-2</v>
      </c>
      <c r="BO17" s="456"/>
      <c r="BQ17" s="144">
        <f t="shared" si="103"/>
        <v>370.74599999999998</v>
      </c>
      <c r="BR17" s="456">
        <f t="shared" si="39"/>
        <v>2.568699459552528E-2</v>
      </c>
      <c r="BS17" s="456">
        <f t="shared" si="104"/>
        <v>0.13408469624320282</v>
      </c>
      <c r="BT17" s="456">
        <f t="shared" si="40"/>
        <v>1.9295190865221917E-3</v>
      </c>
      <c r="BU17" s="456">
        <f t="shared" si="41"/>
        <v>1.9214532308617081</v>
      </c>
      <c r="BV17" s="456">
        <f t="shared" si="42"/>
        <v>2.1497723949552725</v>
      </c>
      <c r="BW17" s="538">
        <f t="shared" si="43"/>
        <v>0.65520919152608603</v>
      </c>
      <c r="BX17" s="144">
        <f t="shared" si="105"/>
        <v>2804.9815864813581</v>
      </c>
      <c r="BY17" s="150">
        <f t="shared" si="106"/>
        <v>4.8748081723522061</v>
      </c>
      <c r="BZ17" s="5">
        <f t="shared" si="107"/>
        <v>15.011999999999999</v>
      </c>
      <c r="CA17" s="150">
        <f t="shared" si="108"/>
        <v>0.7548722685860948</v>
      </c>
      <c r="CB17" s="5">
        <f t="shared" si="109"/>
        <v>75.487226858609475</v>
      </c>
      <c r="CC17">
        <f t="shared" si="110"/>
        <v>12</v>
      </c>
      <c r="CE17" s="59">
        <f t="shared" si="44"/>
        <v>-50</v>
      </c>
      <c r="CF17">
        <f t="shared" si="45"/>
        <v>-50</v>
      </c>
      <c r="CG17" s="150">
        <f t="shared" si="46"/>
        <v>0.16252703218072273</v>
      </c>
      <c r="CH17" s="150">
        <f t="shared" si="47"/>
        <v>3.4305216685756083E-2</v>
      </c>
      <c r="CI17" s="147">
        <v>12</v>
      </c>
      <c r="CJ17" s="188">
        <f t="shared" si="133"/>
        <v>0.48</v>
      </c>
      <c r="CK17" s="188">
        <f t="shared" si="111"/>
        <v>0.10199999999999999</v>
      </c>
      <c r="CL17" s="188">
        <f t="shared" si="48"/>
        <v>14.399999999999999</v>
      </c>
      <c r="CM17" s="188">
        <f t="shared" si="134"/>
        <v>0.61199999999999999</v>
      </c>
      <c r="CN17" s="465">
        <f t="shared" si="112"/>
        <v>34</v>
      </c>
      <c r="CO17" s="379">
        <f t="shared" si="49"/>
        <v>30.7</v>
      </c>
      <c r="CP17" s="379">
        <f t="shared" si="50"/>
        <v>64.7</v>
      </c>
      <c r="CQ17" s="379"/>
      <c r="CR17" s="188">
        <f t="shared" si="113"/>
        <v>0.47204968944099374</v>
      </c>
      <c r="CS17" s="149">
        <f t="shared" si="114"/>
        <v>233.26341749863801</v>
      </c>
      <c r="CT17" s="149">
        <f t="shared" si="51"/>
        <v>9.9136952436921142</v>
      </c>
      <c r="CU17" s="188">
        <f t="shared" si="52"/>
        <v>7.7754472499545999</v>
      </c>
      <c r="CV17" s="188">
        <f t="shared" si="53"/>
        <v>38.877236249772999</v>
      </c>
      <c r="CW17" s="379">
        <f t="shared" si="54"/>
        <v>30</v>
      </c>
      <c r="CX17" s="188">
        <f t="shared" si="55"/>
        <v>1.8706904024767801</v>
      </c>
      <c r="CY17" s="188">
        <f t="shared" si="56"/>
        <v>0.25859543798943718</v>
      </c>
      <c r="CZ17" s="188">
        <f t="shared" si="57"/>
        <v>0.28639234174725947</v>
      </c>
      <c r="DA17" s="172">
        <f t="shared" si="58"/>
        <v>350</v>
      </c>
      <c r="DB17" s="379">
        <f t="shared" si="115"/>
        <v>350</v>
      </c>
      <c r="DD17" s="188">
        <f t="shared" si="59"/>
        <v>9.8072469146822137</v>
      </c>
      <c r="DE17" s="150">
        <f t="shared" si="60"/>
        <v>1.5014351954073746</v>
      </c>
      <c r="DF17" s="150">
        <f t="shared" si="61"/>
        <v>2.4718134248028734</v>
      </c>
      <c r="DG17" s="150"/>
      <c r="DH17" s="150">
        <f t="shared" si="62"/>
        <v>0.92784522751949461</v>
      </c>
      <c r="DI17" s="314">
        <f t="shared" si="63"/>
        <v>177.97364808510639</v>
      </c>
      <c r="DJ17" s="456">
        <f t="shared" si="64"/>
        <v>0.94395997276890675</v>
      </c>
      <c r="DL17" s="150">
        <f t="shared" si="65"/>
        <v>4.2721975296705086</v>
      </c>
      <c r="DM17" s="150">
        <f t="shared" si="66"/>
        <v>6.0606060606060606</v>
      </c>
      <c r="DN17" s="150">
        <f t="shared" si="67"/>
        <v>1.1016992274772037</v>
      </c>
      <c r="DP17" s="314">
        <f t="shared" si="68"/>
        <v>480</v>
      </c>
      <c r="DQ17" s="144">
        <f t="shared" si="69"/>
        <v>177.97364808510639</v>
      </c>
      <c r="DS17">
        <f t="shared" si="116"/>
        <v>480</v>
      </c>
      <c r="DT17" s="144">
        <f t="shared" si="70"/>
        <v>177.97364808510639</v>
      </c>
      <c r="DU17" s="144"/>
      <c r="DV17" s="5">
        <f t="shared" si="117"/>
        <v>5.6188093617196824</v>
      </c>
      <c r="DW17" s="5">
        <f t="shared" si="71"/>
        <v>0.83778966131907295</v>
      </c>
      <c r="DX17" s="5">
        <f t="shared" si="118"/>
        <v>4.7810197004006092</v>
      </c>
      <c r="DY17" s="150">
        <f t="shared" si="119"/>
        <v>0.14910448235294116</v>
      </c>
      <c r="EA17" s="5">
        <f t="shared" si="72"/>
        <v>1.3404634581105166</v>
      </c>
      <c r="EB17" s="5">
        <f t="shared" si="73"/>
        <v>1.4242424242424241</v>
      </c>
      <c r="EC17" s="5">
        <f t="shared" si="74"/>
        <v>1.1911190949094939</v>
      </c>
      <c r="ED17" s="5"/>
      <c r="EE17" s="150">
        <f t="shared" si="120"/>
        <v>1.3511413278042141</v>
      </c>
      <c r="EF17" s="150">
        <f t="shared" si="75"/>
        <v>3.0961178464350056</v>
      </c>
      <c r="EG17" s="150">
        <f t="shared" si="76"/>
        <v>0.62148611694401124</v>
      </c>
      <c r="EH17" s="150"/>
      <c r="EI17" s="456">
        <f t="shared" si="77"/>
        <v>2.190699465240642E-2</v>
      </c>
      <c r="EJ17" s="456">
        <f t="shared" si="78"/>
        <v>1.3259576096425532</v>
      </c>
      <c r="EK17" s="456">
        <f t="shared" si="79"/>
        <v>2.0466969529787236E-2</v>
      </c>
      <c r="EL17" s="456">
        <f t="shared" si="80"/>
        <v>0.38554459415526177</v>
      </c>
      <c r="EM17">
        <f t="shared" si="81"/>
        <v>1.5299999999999999E-2</v>
      </c>
      <c r="EN17" s="144">
        <f t="shared" si="121"/>
        <v>35.766969529787239</v>
      </c>
      <c r="EO17">
        <f t="shared" si="82"/>
        <v>1.7843789307514144</v>
      </c>
      <c r="EP17" s="144">
        <f t="shared" si="122"/>
        <v>1784.3789307514144</v>
      </c>
      <c r="EQ17" s="150">
        <f t="shared" si="83"/>
        <v>0.32188799999999995</v>
      </c>
      <c r="ER17" s="150">
        <f t="shared" si="84"/>
        <v>4.8857999999999992E-2</v>
      </c>
      <c r="ES17" s="456"/>
      <c r="EU17" s="144">
        <f t="shared" si="123"/>
        <v>370.74599999999998</v>
      </c>
      <c r="EV17" s="456">
        <f t="shared" si="85"/>
        <v>2.5558160427807491E-2</v>
      </c>
      <c r="EW17" s="456">
        <f t="shared" si="124"/>
        <v>0.13420324006618672</v>
      </c>
      <c r="EX17" s="456">
        <f t="shared" si="86"/>
        <v>1.931224967770726E-3</v>
      </c>
      <c r="EY17" s="456">
        <f t="shared" si="87"/>
        <v>1.9105103748983594</v>
      </c>
      <c r="EZ17" s="456">
        <f t="shared" si="88"/>
        <v>2.1386738537038927</v>
      </c>
      <c r="FA17" s="538">
        <f t="shared" si="89"/>
        <v>0.65371404255319154</v>
      </c>
      <c r="FB17" s="144">
        <f t="shared" si="125"/>
        <v>2792.3878962570843</v>
      </c>
      <c r="FC17" s="150">
        <f t="shared" si="126"/>
        <v>4.9475128270084987</v>
      </c>
      <c r="FD17" s="5">
        <f t="shared" si="127"/>
        <v>15.011999999999999</v>
      </c>
      <c r="FE17" s="150">
        <f t="shared" si="128"/>
        <v>0.7521225658216617</v>
      </c>
      <c r="FF17" s="5">
        <f t="shared" si="129"/>
        <v>75.212256582166177</v>
      </c>
      <c r="FG17">
        <f t="shared" si="130"/>
        <v>12</v>
      </c>
      <c r="FI17" s="59">
        <f t="shared" si="90"/>
        <v>-50</v>
      </c>
      <c r="FJ17">
        <f t="shared" si="91"/>
        <v>-50</v>
      </c>
      <c r="FL17">
        <f t="shared" si="92"/>
        <v>0.16252703218072273</v>
      </c>
    </row>
    <row r="18" spans="5:168">
      <c r="E18" s="147">
        <v>13</v>
      </c>
      <c r="F18" s="188">
        <f t="shared" si="131"/>
        <v>0.52</v>
      </c>
      <c r="G18" s="188">
        <f t="shared" si="93"/>
        <v>0.1105</v>
      </c>
      <c r="H18" s="188">
        <f t="shared" si="0"/>
        <v>15.600000000000001</v>
      </c>
      <c r="I18" s="188">
        <f t="shared" si="132"/>
        <v>0.66300000000000003</v>
      </c>
      <c r="J18" s="465">
        <f t="shared" si="1"/>
        <v>33.906845048158601</v>
      </c>
      <c r="K18" s="379">
        <f t="shared" si="2"/>
        <v>30.770215829062796</v>
      </c>
      <c r="L18" s="149">
        <f t="shared" si="3"/>
        <v>64.677060877221393</v>
      </c>
      <c r="M18" s="379"/>
      <c r="N18" s="188">
        <f t="shared" si="4"/>
        <v>0.47575160979369358</v>
      </c>
      <c r="O18" s="149">
        <f t="shared" si="94"/>
        <v>234.44860278594263</v>
      </c>
      <c r="P18" s="149">
        <f t="shared" si="5"/>
        <v>9.9640656184025609</v>
      </c>
      <c r="Q18" s="188">
        <f t="shared" si="6"/>
        <v>7.8149534261980875</v>
      </c>
      <c r="R18" s="188">
        <f t="shared" si="7"/>
        <v>39.074767130990438</v>
      </c>
      <c r="S18" s="379">
        <f t="shared" si="8"/>
        <v>30</v>
      </c>
      <c r="T18" s="188">
        <f t="shared" si="9"/>
        <v>2.0163364895754334</v>
      </c>
      <c r="U18" s="188">
        <f t="shared" si="10"/>
        <v>0.27949464149626618</v>
      </c>
      <c r="V18" s="188">
        <f t="shared" si="11"/>
        <v>0.30798553879669627</v>
      </c>
      <c r="W18" s="172">
        <f t="shared" si="12"/>
        <v>350</v>
      </c>
      <c r="X18" s="379">
        <f t="shared" si="95"/>
        <v>350</v>
      </c>
      <c r="Z18" s="188">
        <f t="shared" si="13"/>
        <v>9.8062225621196237</v>
      </c>
      <c r="AA18" s="150">
        <f t="shared" si="14"/>
        <v>1.4978525434465899</v>
      </c>
      <c r="AB18" s="150">
        <f t="shared" si="15"/>
        <v>2.4656577420604195</v>
      </c>
      <c r="AC18" s="150"/>
      <c r="AD18" s="150">
        <f t="shared" si="16"/>
        <v>0.92572793909180973</v>
      </c>
      <c r="AE18" s="314">
        <f t="shared" si="17"/>
        <v>193.24576092572499</v>
      </c>
      <c r="AF18" s="456">
        <f t="shared" si="18"/>
        <v>0.94180591143705672</v>
      </c>
      <c r="AH18" s="150">
        <f t="shared" si="19"/>
        <v>4.4466441702591517</v>
      </c>
      <c r="AI18" s="150">
        <f t="shared" si="20"/>
        <v>6.0606060606060606</v>
      </c>
      <c r="AJ18" s="150">
        <f t="shared" si="21"/>
        <v>1.1104261491004144</v>
      </c>
      <c r="AL18" s="314">
        <f t="shared" si="22"/>
        <v>520</v>
      </c>
      <c r="AM18" s="144">
        <f t="shared" si="23"/>
        <v>193.24576092572499</v>
      </c>
      <c r="AO18">
        <f t="shared" si="96"/>
        <v>520</v>
      </c>
      <c r="AP18" s="144">
        <f t="shared" si="24"/>
        <v>193.24576092572499</v>
      </c>
      <c r="AQ18" s="144"/>
      <c r="AR18" s="5">
        <f t="shared" si="97"/>
        <v>5.1747577551486632</v>
      </c>
      <c r="AS18" s="5">
        <f t="shared" si="25"/>
        <v>0.84009138698663521</v>
      </c>
      <c r="AT18" s="5">
        <f t="shared" si="98"/>
        <v>4.3346663681620283</v>
      </c>
      <c r="AU18" s="150">
        <f t="shared" si="99"/>
        <v>0.16234409932538005</v>
      </c>
      <c r="AW18" s="5">
        <f t="shared" si="26"/>
        <v>1.4561584041101678</v>
      </c>
      <c r="AX18" s="5">
        <f t="shared" si="27"/>
        <v>1.5471683043670532</v>
      </c>
      <c r="AY18" s="5">
        <f t="shared" si="28"/>
        <v>1.1731241400005084</v>
      </c>
      <c r="AZ18" s="5"/>
      <c r="BA18" s="150">
        <f t="shared" si="100"/>
        <v>1.4098525120047565</v>
      </c>
      <c r="BB18" s="150">
        <f t="shared" si="29"/>
        <v>3.0719361936790786</v>
      </c>
      <c r="BC18" s="150">
        <f t="shared" si="30"/>
        <v>0.61663211518504268</v>
      </c>
      <c r="BD18" s="150"/>
      <c r="BE18" s="456">
        <f t="shared" si="31"/>
        <v>2.3852209267273466E-2</v>
      </c>
      <c r="BF18" s="456">
        <f t="shared" si="32"/>
        <v>1.3824173524046066</v>
      </c>
      <c r="BG18" s="456">
        <f t="shared" si="33"/>
        <v>2.2223262506458376E-2</v>
      </c>
      <c r="BH18" s="456">
        <f t="shared" si="34"/>
        <v>0.41833180273396914</v>
      </c>
      <c r="BI18">
        <f t="shared" si="35"/>
        <v>1.525808027167137E-2</v>
      </c>
      <c r="BJ18" s="144">
        <f t="shared" si="101"/>
        <v>37.481342778129743</v>
      </c>
      <c r="BK18">
        <f t="shared" si="36"/>
        <v>1.8414776393676249</v>
      </c>
      <c r="BL18" s="144">
        <f t="shared" si="102"/>
        <v>1841.4776393676248</v>
      </c>
      <c r="BM18" s="150">
        <f t="shared" si="37"/>
        <v>0.34871199999999997</v>
      </c>
      <c r="BN18" s="150">
        <f t="shared" si="38"/>
        <v>5.2929499999999997E-2</v>
      </c>
      <c r="BO18" s="456"/>
      <c r="BQ18" s="144">
        <f t="shared" si="103"/>
        <v>401.64150000000001</v>
      </c>
      <c r="BR18" s="456">
        <f t="shared" si="39"/>
        <v>2.7827577478485709E-2</v>
      </c>
      <c r="BS18" s="456">
        <f t="shared" si="104"/>
        <v>0.13211508769249708</v>
      </c>
      <c r="BT18" s="456">
        <f t="shared" si="40"/>
        <v>1.9011758273878988E-3</v>
      </c>
      <c r="BU18" s="456">
        <f t="shared" si="41"/>
        <v>2.3471188624378772</v>
      </c>
      <c r="BV18" s="456">
        <f t="shared" si="42"/>
        <v>2.5812256633429769</v>
      </c>
      <c r="BW18" s="538">
        <f t="shared" si="43"/>
        <v>0.70980995748659326</v>
      </c>
      <c r="BX18" s="144">
        <f t="shared" si="105"/>
        <v>3291.0356208295698</v>
      </c>
      <c r="BY18" s="150">
        <f t="shared" si="106"/>
        <v>5.534154760197195</v>
      </c>
      <c r="BZ18" s="5">
        <f t="shared" si="107"/>
        <v>16.263000000000002</v>
      </c>
      <c r="CA18" s="150">
        <f t="shared" si="108"/>
        <v>0.74610655284684846</v>
      </c>
      <c r="CB18" s="5">
        <f t="shared" si="109"/>
        <v>74.610655284684839</v>
      </c>
      <c r="CC18">
        <f t="shared" si="110"/>
        <v>13</v>
      </c>
      <c r="CE18" s="59">
        <f t="shared" si="44"/>
        <v>-50</v>
      </c>
      <c r="CF18">
        <f t="shared" si="45"/>
        <v>-50</v>
      </c>
      <c r="CG18" s="150">
        <f t="shared" si="46"/>
        <v>0.17607095152911631</v>
      </c>
      <c r="CH18" s="150">
        <f t="shared" si="47"/>
        <v>3.7163984742902417E-2</v>
      </c>
      <c r="CI18" s="147">
        <v>13</v>
      </c>
      <c r="CJ18" s="188">
        <f t="shared" si="133"/>
        <v>0.52</v>
      </c>
      <c r="CK18" s="188">
        <f t="shared" si="111"/>
        <v>0.1105</v>
      </c>
      <c r="CL18" s="188">
        <f t="shared" si="48"/>
        <v>15.600000000000001</v>
      </c>
      <c r="CM18" s="188">
        <f t="shared" si="134"/>
        <v>0.66300000000000003</v>
      </c>
      <c r="CN18" s="465">
        <f t="shared" si="112"/>
        <v>34</v>
      </c>
      <c r="CO18" s="379">
        <f t="shared" si="49"/>
        <v>30.7</v>
      </c>
      <c r="CP18" s="379">
        <f t="shared" si="50"/>
        <v>64.7</v>
      </c>
      <c r="CQ18" s="379"/>
      <c r="CR18" s="188">
        <f t="shared" si="113"/>
        <v>0.47204968944099374</v>
      </c>
      <c r="CS18" s="149">
        <f t="shared" si="114"/>
        <v>233.26341749863801</v>
      </c>
      <c r="CT18" s="149">
        <f t="shared" si="51"/>
        <v>9.9136952436921142</v>
      </c>
      <c r="CU18" s="188">
        <f t="shared" si="52"/>
        <v>7.7754472499545999</v>
      </c>
      <c r="CV18" s="188">
        <f t="shared" si="53"/>
        <v>38.877236249772999</v>
      </c>
      <c r="CW18" s="379">
        <f t="shared" si="54"/>
        <v>30</v>
      </c>
      <c r="CX18" s="188">
        <f t="shared" si="55"/>
        <v>2.0265812693498457</v>
      </c>
      <c r="CY18" s="188">
        <f t="shared" si="56"/>
        <v>0.28014505782189042</v>
      </c>
      <c r="CZ18" s="188">
        <f t="shared" si="57"/>
        <v>0.31025837022619784</v>
      </c>
      <c r="DA18" s="172">
        <f t="shared" si="58"/>
        <v>350</v>
      </c>
      <c r="DB18" s="379">
        <f t="shared" si="115"/>
        <v>350</v>
      </c>
      <c r="DD18" s="188">
        <f t="shared" si="59"/>
        <v>9.8072469146822137</v>
      </c>
      <c r="DE18" s="150">
        <f t="shared" si="60"/>
        <v>1.5014351954073746</v>
      </c>
      <c r="DF18" s="150">
        <f t="shared" si="61"/>
        <v>2.4718134248028734</v>
      </c>
      <c r="DG18" s="150"/>
      <c r="DH18" s="150">
        <f t="shared" si="62"/>
        <v>0.92784522751949461</v>
      </c>
      <c r="DI18" s="314">
        <f t="shared" si="63"/>
        <v>192.80478542553192</v>
      </c>
      <c r="DJ18" s="456">
        <f t="shared" si="64"/>
        <v>0.94395997276890675</v>
      </c>
      <c r="DL18" s="150">
        <f t="shared" si="65"/>
        <v>4.4466441702591517</v>
      </c>
      <c r="DM18" s="150">
        <f t="shared" si="66"/>
        <v>6.0606060606060606</v>
      </c>
      <c r="DN18" s="150">
        <f t="shared" si="67"/>
        <v>1.1101741631003039</v>
      </c>
      <c r="DP18" s="314">
        <f t="shared" si="68"/>
        <v>520</v>
      </c>
      <c r="DQ18" s="144">
        <f t="shared" si="69"/>
        <v>192.80478542553192</v>
      </c>
      <c r="DS18">
        <f t="shared" si="116"/>
        <v>520</v>
      </c>
      <c r="DT18" s="144">
        <f t="shared" si="70"/>
        <v>192.80478542553192</v>
      </c>
      <c r="DU18" s="144"/>
      <c r="DV18" s="5">
        <f t="shared" si="117"/>
        <v>5.1865932569720146</v>
      </c>
      <c r="DW18" s="5">
        <f t="shared" si="71"/>
        <v>0.83778966131907295</v>
      </c>
      <c r="DX18" s="5">
        <f t="shared" si="118"/>
        <v>4.3488035956529414</v>
      </c>
      <c r="DY18" s="150">
        <f t="shared" si="119"/>
        <v>0.16152985588235291</v>
      </c>
      <c r="EA18" s="5">
        <f t="shared" si="72"/>
        <v>1.452168746286393</v>
      </c>
      <c r="EB18" s="5">
        <f t="shared" si="73"/>
        <v>1.5429292929292928</v>
      </c>
      <c r="EC18" s="5">
        <f t="shared" si="74"/>
        <v>1.1737255379270914</v>
      </c>
      <c r="ED18" s="5"/>
      <c r="EE18" s="150">
        <f t="shared" si="120"/>
        <v>1.4063124812817784</v>
      </c>
      <c r="EF18" s="150">
        <f t="shared" si="75"/>
        <v>3.0734288688624107</v>
      </c>
      <c r="EG18" s="150">
        <f t="shared" si="76"/>
        <v>0.61693174102280457</v>
      </c>
      <c r="EH18" s="150"/>
      <c r="EI18" s="456">
        <f t="shared" si="77"/>
        <v>2.373257754010695E-2</v>
      </c>
      <c r="EJ18" s="456">
        <f t="shared" si="78"/>
        <v>1.4364540771127661</v>
      </c>
      <c r="EK18" s="456">
        <f t="shared" si="79"/>
        <v>2.2172550323936172E-2</v>
      </c>
      <c r="EL18" s="456">
        <f t="shared" si="80"/>
        <v>0.41767331033486688</v>
      </c>
      <c r="EM18">
        <f t="shared" si="81"/>
        <v>1.5299999999999999E-2</v>
      </c>
      <c r="EN18" s="144">
        <f t="shared" si="121"/>
        <v>37.472550323936169</v>
      </c>
      <c r="EO18">
        <f t="shared" si="82"/>
        <v>1.9326381882401742</v>
      </c>
      <c r="EP18" s="144">
        <f t="shared" si="122"/>
        <v>1932.6381882401743</v>
      </c>
      <c r="EQ18" s="150">
        <f t="shared" si="83"/>
        <v>0.34871199999999997</v>
      </c>
      <c r="ER18" s="150">
        <f t="shared" si="84"/>
        <v>5.2929499999999997E-2</v>
      </c>
      <c r="ES18" s="456"/>
      <c r="EU18" s="144">
        <f t="shared" si="123"/>
        <v>401.64150000000001</v>
      </c>
      <c r="EV18" s="456">
        <f t="shared" si="85"/>
        <v>2.7688007130124776E-2</v>
      </c>
      <c r="EW18" s="456">
        <f t="shared" si="124"/>
        <v>0.1322435101673963</v>
      </c>
      <c r="EX18" s="456">
        <f t="shared" si="86"/>
        <v>1.9030238654071442E-3</v>
      </c>
      <c r="EY18" s="456">
        <f t="shared" si="87"/>
        <v>2.3337518008680309</v>
      </c>
      <c r="EZ18" s="456">
        <f t="shared" si="88"/>
        <v>2.5676696429925969</v>
      </c>
      <c r="FA18" s="538">
        <f t="shared" si="89"/>
        <v>0.70819021276595739</v>
      </c>
      <c r="FB18" s="144">
        <f t="shared" si="125"/>
        <v>3275.8598557585542</v>
      </c>
      <c r="FC18" s="150">
        <f t="shared" si="126"/>
        <v>5.6101395439987289</v>
      </c>
      <c r="FD18" s="5">
        <f t="shared" si="127"/>
        <v>16.263000000000002</v>
      </c>
      <c r="FE18" s="150">
        <f t="shared" si="128"/>
        <v>0.74351466406028721</v>
      </c>
      <c r="FF18" s="5">
        <f t="shared" si="129"/>
        <v>74.35146640602872</v>
      </c>
      <c r="FG18">
        <f t="shared" si="130"/>
        <v>13</v>
      </c>
      <c r="FI18" s="59">
        <f t="shared" si="90"/>
        <v>-50</v>
      </c>
      <c r="FJ18">
        <f t="shared" si="91"/>
        <v>-50</v>
      </c>
      <c r="FL18">
        <f t="shared" si="92"/>
        <v>0.17607095152911631</v>
      </c>
    </row>
    <row r="19" spans="5:168">
      <c r="E19" s="147">
        <v>14</v>
      </c>
      <c r="F19" s="188">
        <f t="shared" si="131"/>
        <v>0.56000000000000005</v>
      </c>
      <c r="G19" s="188">
        <f t="shared" si="93"/>
        <v>0.11900000000000001</v>
      </c>
      <c r="H19" s="188">
        <f t="shared" si="0"/>
        <v>16.8</v>
      </c>
      <c r="I19" s="188">
        <f t="shared" si="132"/>
        <v>0.71400000000000008</v>
      </c>
      <c r="J19" s="465">
        <f t="shared" si="1"/>
        <v>33.906845048158601</v>
      </c>
      <c r="K19" s="379">
        <f t="shared" si="2"/>
        <v>30.770215829062796</v>
      </c>
      <c r="L19" s="149">
        <f t="shared" si="3"/>
        <v>64.677060877221393</v>
      </c>
      <c r="M19" s="379"/>
      <c r="N19" s="188">
        <f t="shared" si="4"/>
        <v>0.47575160979369358</v>
      </c>
      <c r="O19" s="149">
        <f t="shared" si="94"/>
        <v>234.44860278594263</v>
      </c>
      <c r="P19" s="149">
        <f t="shared" si="5"/>
        <v>9.9640656184025609</v>
      </c>
      <c r="Q19" s="188">
        <f t="shared" si="6"/>
        <v>7.8149534261980875</v>
      </c>
      <c r="R19" s="188">
        <f t="shared" si="7"/>
        <v>39.074767130990438</v>
      </c>
      <c r="S19" s="379">
        <f t="shared" si="8"/>
        <v>30</v>
      </c>
      <c r="T19" s="188">
        <f t="shared" si="9"/>
        <v>2.1714392964658513</v>
      </c>
      <c r="U19" s="188">
        <f t="shared" si="10"/>
        <v>0.30099422930367131</v>
      </c>
      <c r="V19" s="188">
        <f t="shared" si="11"/>
        <v>0.33167673408874981</v>
      </c>
      <c r="W19" s="172">
        <f t="shared" si="12"/>
        <v>350</v>
      </c>
      <c r="X19" s="379">
        <f t="shared" si="95"/>
        <v>350</v>
      </c>
      <c r="Z19" s="188">
        <f t="shared" si="13"/>
        <v>9.8062225621196237</v>
      </c>
      <c r="AA19" s="150">
        <f t="shared" si="14"/>
        <v>1.4978525434465899</v>
      </c>
      <c r="AB19" s="150">
        <f t="shared" si="15"/>
        <v>2.4656577420604195</v>
      </c>
      <c r="AC19" s="150"/>
      <c r="AD19" s="150">
        <f t="shared" si="16"/>
        <v>0.92572793909180973</v>
      </c>
      <c r="AE19" s="314">
        <f t="shared" si="17"/>
        <v>208.11081945847312</v>
      </c>
      <c r="AF19" s="456">
        <f t="shared" si="18"/>
        <v>0.94180591143705672</v>
      </c>
      <c r="AH19" s="150">
        <f t="shared" si="19"/>
        <v>4.6145007336955315</v>
      </c>
      <c r="AI19" s="150">
        <f t="shared" si="20"/>
        <v>6.0606060606060606</v>
      </c>
      <c r="AJ19" s="150">
        <f t="shared" si="21"/>
        <v>1.1189204682619847</v>
      </c>
      <c r="AL19" s="314">
        <f t="shared" si="22"/>
        <v>560</v>
      </c>
      <c r="AM19" s="144">
        <f t="shared" si="23"/>
        <v>208.11081945847312</v>
      </c>
      <c r="AO19">
        <f t="shared" si="96"/>
        <v>560</v>
      </c>
      <c r="AP19" s="144">
        <f t="shared" si="24"/>
        <v>208.11081945847312</v>
      </c>
      <c r="AQ19" s="144"/>
      <c r="AR19" s="5">
        <f t="shared" si="97"/>
        <v>4.8051322012094717</v>
      </c>
      <c r="AS19" s="5">
        <f t="shared" si="25"/>
        <v>0.84009138698663521</v>
      </c>
      <c r="AT19" s="5">
        <f t="shared" si="98"/>
        <v>3.9650408142228364</v>
      </c>
      <c r="AU19" s="150">
        <f t="shared" si="99"/>
        <v>0.17483210696579393</v>
      </c>
      <c r="AW19" s="5">
        <f t="shared" si="26"/>
        <v>1.568170589041719</v>
      </c>
      <c r="AX19" s="5">
        <f t="shared" si="27"/>
        <v>1.6661812508568268</v>
      </c>
      <c r="AY19" s="5">
        <f t="shared" si="28"/>
        <v>1.1556348783458334</v>
      </c>
      <c r="AZ19" s="5"/>
      <c r="BA19" s="150">
        <f t="shared" si="100"/>
        <v>1.4630730955630482</v>
      </c>
      <c r="BB19" s="150">
        <f t="shared" si="29"/>
        <v>3.048951566192073</v>
      </c>
      <c r="BC19" s="150">
        <f t="shared" si="30"/>
        <v>0.61201839322909335</v>
      </c>
      <c r="BD19" s="150"/>
      <c r="BE19" s="456">
        <f t="shared" si="31"/>
        <v>2.5686994595525287E-2</v>
      </c>
      <c r="BF19" s="456">
        <f t="shared" si="32"/>
        <v>1.488757148743423</v>
      </c>
      <c r="BG19" s="456">
        <f t="shared" si="33"/>
        <v>2.3932744237724412E-2</v>
      </c>
      <c r="BH19" s="456">
        <f t="shared" si="34"/>
        <v>0.45051117217504377</v>
      </c>
      <c r="BI19">
        <f t="shared" si="35"/>
        <v>1.525808027167137E-2</v>
      </c>
      <c r="BJ19" s="144">
        <f t="shared" si="101"/>
        <v>39.190824509395782</v>
      </c>
      <c r="BK19">
        <f t="shared" si="36"/>
        <v>1.9839996098266053</v>
      </c>
      <c r="BL19" s="144">
        <f t="shared" si="102"/>
        <v>1983.9996098266054</v>
      </c>
      <c r="BM19" s="150">
        <f t="shared" si="37"/>
        <v>0.37553599999999998</v>
      </c>
      <c r="BN19" s="150">
        <f t="shared" si="38"/>
        <v>5.7001000000000003E-2</v>
      </c>
      <c r="BO19" s="456"/>
      <c r="BQ19" s="144">
        <f t="shared" si="103"/>
        <v>432.53699999999998</v>
      </c>
      <c r="BR19" s="456">
        <f t="shared" si="39"/>
        <v>2.9968160361446169E-2</v>
      </c>
      <c r="BS19" s="456">
        <f t="shared" si="104"/>
        <v>0.13014547914179131</v>
      </c>
      <c r="BT19" s="456">
        <f t="shared" si="40"/>
        <v>1.8728325682536057E-3</v>
      </c>
      <c r="BU19" s="456">
        <f t="shared" si="41"/>
        <v>2.8248591088578929</v>
      </c>
      <c r="BV19" s="456">
        <f t="shared" si="42"/>
        <v>3.0654472125693824</v>
      </c>
      <c r="BW19" s="538">
        <f t="shared" si="43"/>
        <v>0.76441072344710048</v>
      </c>
      <c r="BX19" s="144">
        <f t="shared" si="105"/>
        <v>3829.8579360164827</v>
      </c>
      <c r="BY19" s="150">
        <f t="shared" si="106"/>
        <v>6.2463945458430876</v>
      </c>
      <c r="BZ19" s="5">
        <f t="shared" si="107"/>
        <v>17.513999999999999</v>
      </c>
      <c r="CA19" s="150">
        <f t="shared" si="108"/>
        <v>0.73710897208413972</v>
      </c>
      <c r="CB19" s="5">
        <f t="shared" si="109"/>
        <v>73.710897208413968</v>
      </c>
      <c r="CC19">
        <f t="shared" si="110"/>
        <v>14.000000000000002</v>
      </c>
      <c r="CE19" s="59">
        <f t="shared" si="44"/>
        <v>-50</v>
      </c>
      <c r="CF19">
        <f t="shared" si="45"/>
        <v>-50</v>
      </c>
      <c r="CG19" s="150">
        <f t="shared" si="46"/>
        <v>0.18961487087750989</v>
      </c>
      <c r="CH19" s="150">
        <f t="shared" si="47"/>
        <v>4.0022752800048758E-2</v>
      </c>
      <c r="CI19" s="147">
        <v>14</v>
      </c>
      <c r="CJ19" s="188">
        <f t="shared" si="133"/>
        <v>0.56000000000000005</v>
      </c>
      <c r="CK19" s="188">
        <f t="shared" si="111"/>
        <v>0.11900000000000001</v>
      </c>
      <c r="CL19" s="188">
        <f t="shared" si="48"/>
        <v>16.8</v>
      </c>
      <c r="CM19" s="188">
        <f t="shared" si="134"/>
        <v>0.71400000000000008</v>
      </c>
      <c r="CN19" s="465">
        <f t="shared" si="112"/>
        <v>34</v>
      </c>
      <c r="CO19" s="379">
        <f t="shared" si="49"/>
        <v>30.7</v>
      </c>
      <c r="CP19" s="379">
        <f t="shared" si="50"/>
        <v>64.7</v>
      </c>
      <c r="CQ19" s="379"/>
      <c r="CR19" s="188">
        <f t="shared" si="113"/>
        <v>0.47204968944099374</v>
      </c>
      <c r="CS19" s="149">
        <f t="shared" si="114"/>
        <v>233.26341749863801</v>
      </c>
      <c r="CT19" s="149">
        <f t="shared" si="51"/>
        <v>9.9136952436921142</v>
      </c>
      <c r="CU19" s="188">
        <f t="shared" si="52"/>
        <v>7.7754472499545999</v>
      </c>
      <c r="CV19" s="188">
        <f t="shared" si="53"/>
        <v>38.877236249772999</v>
      </c>
      <c r="CW19" s="379">
        <f t="shared" si="54"/>
        <v>30</v>
      </c>
      <c r="CX19" s="188">
        <f t="shared" si="55"/>
        <v>2.18247213622291</v>
      </c>
      <c r="CY19" s="188">
        <f t="shared" si="56"/>
        <v>0.30169467765434343</v>
      </c>
      <c r="CZ19" s="188">
        <f t="shared" si="57"/>
        <v>0.33412439870513611</v>
      </c>
      <c r="DA19" s="172">
        <f t="shared" si="58"/>
        <v>350</v>
      </c>
      <c r="DB19" s="379">
        <f t="shared" si="115"/>
        <v>350</v>
      </c>
      <c r="DD19" s="188">
        <f t="shared" si="59"/>
        <v>9.8072469146822137</v>
      </c>
      <c r="DE19" s="150">
        <f t="shared" si="60"/>
        <v>1.5014351954073746</v>
      </c>
      <c r="DF19" s="150">
        <f t="shared" si="61"/>
        <v>2.4718134248028734</v>
      </c>
      <c r="DG19" s="150"/>
      <c r="DH19" s="150">
        <f t="shared" si="62"/>
        <v>0.92784522751949461</v>
      </c>
      <c r="DI19" s="314">
        <f t="shared" si="63"/>
        <v>207.63592276595747</v>
      </c>
      <c r="DJ19" s="456">
        <f t="shared" si="64"/>
        <v>0.94395997276890675</v>
      </c>
      <c r="DL19" s="150">
        <f t="shared" si="65"/>
        <v>4.6145007336955315</v>
      </c>
      <c r="DM19" s="150">
        <f t="shared" si="66"/>
        <v>6.0606060606060606</v>
      </c>
      <c r="DN19" s="150">
        <f t="shared" si="67"/>
        <v>1.1186490987234043</v>
      </c>
      <c r="DP19" s="314">
        <f t="shared" si="68"/>
        <v>560</v>
      </c>
      <c r="DQ19" s="144">
        <f t="shared" si="69"/>
        <v>207.63592276595747</v>
      </c>
      <c r="DS19">
        <f t="shared" si="116"/>
        <v>560</v>
      </c>
      <c r="DT19" s="144">
        <f t="shared" si="70"/>
        <v>207.63592276595747</v>
      </c>
      <c r="DU19" s="144"/>
      <c r="DV19" s="5">
        <f t="shared" si="117"/>
        <v>4.8161223100454418</v>
      </c>
      <c r="DW19" s="5">
        <f t="shared" si="71"/>
        <v>0.83778966131907295</v>
      </c>
      <c r="DX19" s="5">
        <f t="shared" si="118"/>
        <v>3.9783326487263686</v>
      </c>
      <c r="DY19" s="150">
        <f t="shared" si="119"/>
        <v>0.17395522941176469</v>
      </c>
      <c r="EA19" s="5">
        <f t="shared" si="72"/>
        <v>1.5638740344622697</v>
      </c>
      <c r="EB19" s="5">
        <f t="shared" si="73"/>
        <v>1.6616161616161615</v>
      </c>
      <c r="EC19" s="5">
        <f t="shared" si="74"/>
        <v>1.1563319809446884</v>
      </c>
      <c r="ED19" s="5"/>
      <c r="EE19" s="150">
        <f t="shared" si="120"/>
        <v>1.4593994320669343</v>
      </c>
      <c r="EF19" s="150">
        <f t="shared" si="75"/>
        <v>3.0505711440483436</v>
      </c>
      <c r="EG19" s="150">
        <f t="shared" si="76"/>
        <v>0.61234349233801166</v>
      </c>
      <c r="EH19" s="150"/>
      <c r="EI19" s="456">
        <f t="shared" si="77"/>
        <v>2.5558160427807487E-2</v>
      </c>
      <c r="EJ19" s="456">
        <f t="shared" si="78"/>
        <v>1.5469505445829792</v>
      </c>
      <c r="EK19" s="456">
        <f t="shared" si="79"/>
        <v>2.3878131118085111E-2</v>
      </c>
      <c r="EL19" s="456">
        <f t="shared" si="80"/>
        <v>0.44980202651447204</v>
      </c>
      <c r="EM19">
        <f t="shared" si="81"/>
        <v>1.5299999999999999E-2</v>
      </c>
      <c r="EN19" s="144">
        <f t="shared" si="121"/>
        <v>39.178131118085112</v>
      </c>
      <c r="EO19">
        <f t="shared" si="82"/>
        <v>2.0810268489700392</v>
      </c>
      <c r="EP19" s="144">
        <f t="shared" si="122"/>
        <v>2081.0268489700393</v>
      </c>
      <c r="EQ19" s="150">
        <f t="shared" si="83"/>
        <v>0.37553599999999998</v>
      </c>
      <c r="ER19" s="150">
        <f t="shared" si="84"/>
        <v>5.7001000000000003E-2</v>
      </c>
      <c r="ES19" s="456"/>
      <c r="EU19" s="144">
        <f t="shared" si="123"/>
        <v>432.53699999999998</v>
      </c>
      <c r="EV19" s="456">
        <f t="shared" si="85"/>
        <v>2.9817853832442068E-2</v>
      </c>
      <c r="EW19" s="456">
        <f t="shared" si="124"/>
        <v>0.13028378026860588</v>
      </c>
      <c r="EX19" s="456">
        <f t="shared" si="86"/>
        <v>1.8748227630435627E-3</v>
      </c>
      <c r="EY19" s="456">
        <f t="shared" si="87"/>
        <v>2.808771271876755</v>
      </c>
      <c r="EZ19" s="456">
        <f t="shared" si="88"/>
        <v>3.0491331004780249</v>
      </c>
      <c r="FA19" s="538">
        <f t="shared" si="89"/>
        <v>0.76266638297872358</v>
      </c>
      <c r="FB19" s="144">
        <f t="shared" si="125"/>
        <v>3811.7994834567485</v>
      </c>
      <c r="FC19" s="150">
        <f t="shared" si="126"/>
        <v>6.3253633324267877</v>
      </c>
      <c r="FD19" s="5">
        <f t="shared" si="127"/>
        <v>17.513999999999999</v>
      </c>
      <c r="FE19" s="150">
        <f t="shared" si="128"/>
        <v>0.73466727092401418</v>
      </c>
      <c r="FF19" s="5">
        <f t="shared" si="129"/>
        <v>73.466727092401413</v>
      </c>
      <c r="FG19">
        <f t="shared" si="130"/>
        <v>14.000000000000002</v>
      </c>
      <c r="FI19" s="59">
        <f t="shared" si="90"/>
        <v>-50</v>
      </c>
      <c r="FJ19">
        <f t="shared" si="91"/>
        <v>-50</v>
      </c>
      <c r="FL19">
        <f t="shared" si="92"/>
        <v>0.18961487087750989</v>
      </c>
    </row>
    <row r="20" spans="5:168">
      <c r="E20" s="147">
        <v>15</v>
      </c>
      <c r="F20" s="188">
        <f t="shared" si="131"/>
        <v>0.6</v>
      </c>
      <c r="G20" s="188">
        <f t="shared" si="93"/>
        <v>0.1275</v>
      </c>
      <c r="H20" s="188">
        <f t="shared" si="0"/>
        <v>18</v>
      </c>
      <c r="I20" s="188">
        <f t="shared" si="132"/>
        <v>0.76500000000000001</v>
      </c>
      <c r="J20" s="465">
        <f t="shared" si="1"/>
        <v>33.906845048158601</v>
      </c>
      <c r="K20" s="379">
        <f t="shared" si="2"/>
        <v>30.770215829062796</v>
      </c>
      <c r="L20" s="149">
        <f t="shared" si="3"/>
        <v>64.677060877221393</v>
      </c>
      <c r="M20" s="379"/>
      <c r="N20" s="188">
        <f t="shared" si="4"/>
        <v>0.47575160979369358</v>
      </c>
      <c r="O20" s="149">
        <f t="shared" si="94"/>
        <v>234.44860278594263</v>
      </c>
      <c r="P20" s="149">
        <f t="shared" si="5"/>
        <v>9.9640656184025609</v>
      </c>
      <c r="Q20" s="188">
        <f t="shared" si="6"/>
        <v>7.8149534261980875</v>
      </c>
      <c r="R20" s="188">
        <f t="shared" si="7"/>
        <v>39.074767130990438</v>
      </c>
      <c r="S20" s="379">
        <f t="shared" si="8"/>
        <v>30</v>
      </c>
      <c r="T20" s="188">
        <f t="shared" si="9"/>
        <v>2.3265421033562692</v>
      </c>
      <c r="U20" s="188">
        <f t="shared" si="10"/>
        <v>0.32249381711107633</v>
      </c>
      <c r="V20" s="188">
        <f t="shared" si="11"/>
        <v>0.35536792938080336</v>
      </c>
      <c r="W20" s="172">
        <f t="shared" si="12"/>
        <v>350</v>
      </c>
      <c r="X20" s="379">
        <f t="shared" si="95"/>
        <v>350</v>
      </c>
      <c r="Z20" s="188">
        <f t="shared" si="13"/>
        <v>9.8062225621196237</v>
      </c>
      <c r="AA20" s="150">
        <f t="shared" si="14"/>
        <v>1.4978525434465899</v>
      </c>
      <c r="AB20" s="150">
        <f t="shared" si="15"/>
        <v>2.4656577420604195</v>
      </c>
      <c r="AC20" s="150"/>
      <c r="AD20" s="150">
        <f t="shared" si="16"/>
        <v>0.92572793909180973</v>
      </c>
      <c r="AE20" s="314">
        <f t="shared" si="17"/>
        <v>222.97587799122115</v>
      </c>
      <c r="AF20" s="456">
        <f t="shared" si="18"/>
        <v>0.94180591143705672</v>
      </c>
      <c r="AH20" s="150">
        <f t="shared" si="19"/>
        <v>4.7764620448249664</v>
      </c>
      <c r="AI20" s="150">
        <f t="shared" si="20"/>
        <v>6.0606060606060606</v>
      </c>
      <c r="AJ20" s="150">
        <f t="shared" si="21"/>
        <v>1.1274147874235549</v>
      </c>
      <c r="AL20" s="314">
        <f t="shared" si="22"/>
        <v>600</v>
      </c>
      <c r="AM20" s="144">
        <f t="shared" si="23"/>
        <v>222.97587799122115</v>
      </c>
      <c r="AO20">
        <f t="shared" si="96"/>
        <v>600</v>
      </c>
      <c r="AP20" s="144">
        <f t="shared" si="24"/>
        <v>222.97587799122115</v>
      </c>
      <c r="AQ20" s="144"/>
      <c r="AR20" s="5">
        <f t="shared" si="97"/>
        <v>4.4847900544621746</v>
      </c>
      <c r="AS20" s="5">
        <f t="shared" si="25"/>
        <v>0.84009138698663521</v>
      </c>
      <c r="AT20" s="5">
        <f t="shared" si="98"/>
        <v>3.6446986674755393</v>
      </c>
      <c r="AU20" s="150">
        <f t="shared" si="99"/>
        <v>0.18732011460620773</v>
      </c>
      <c r="AW20" s="5">
        <f t="shared" si="26"/>
        <v>1.6801827739732704</v>
      </c>
      <c r="AX20" s="5">
        <f t="shared" si="27"/>
        <v>1.7851941973465999</v>
      </c>
      <c r="AY20" s="5">
        <f t="shared" si="28"/>
        <v>1.1381456166911594</v>
      </c>
      <c r="AZ20" s="5"/>
      <c r="BA20" s="150">
        <f t="shared" si="100"/>
        <v>1.5144245310726965</v>
      </c>
      <c r="BB20" s="150">
        <f t="shared" si="29"/>
        <v>3.0257923471273904</v>
      </c>
      <c r="BC20" s="150">
        <f t="shared" si="30"/>
        <v>0.60736962537145578</v>
      </c>
      <c r="BD20" s="150"/>
      <c r="BE20" s="456">
        <f t="shared" si="31"/>
        <v>2.7521779923777079E-2</v>
      </c>
      <c r="BF20" s="456">
        <f t="shared" si="32"/>
        <v>1.5950969450822385</v>
      </c>
      <c r="BG20" s="456">
        <f t="shared" si="33"/>
        <v>2.5642225968990438E-2</v>
      </c>
      <c r="BH20" s="456">
        <f t="shared" si="34"/>
        <v>0.48269054161611824</v>
      </c>
      <c r="BI20">
        <f t="shared" si="35"/>
        <v>1.525808027167137E-2</v>
      </c>
      <c r="BJ20" s="144">
        <f t="shared" si="101"/>
        <v>40.900306240661806</v>
      </c>
      <c r="BK20">
        <f t="shared" si="36"/>
        <v>2.1266466616939024</v>
      </c>
      <c r="BL20" s="144">
        <f t="shared" si="102"/>
        <v>2126.6466616939024</v>
      </c>
      <c r="BM20" s="150">
        <f t="shared" si="37"/>
        <v>0.40236</v>
      </c>
      <c r="BN20" s="150">
        <f t="shared" si="38"/>
        <v>6.1072500000000002E-2</v>
      </c>
      <c r="BO20" s="456"/>
      <c r="BQ20" s="144">
        <f t="shared" si="103"/>
        <v>463.4325</v>
      </c>
      <c r="BR20" s="456">
        <f t="shared" si="39"/>
        <v>3.2108743244406594E-2</v>
      </c>
      <c r="BS20" s="456">
        <f t="shared" si="104"/>
        <v>0.12817587059108557</v>
      </c>
      <c r="BT20" s="456">
        <f t="shared" si="40"/>
        <v>1.8444893091193128E-3</v>
      </c>
      <c r="BU20" s="456">
        <f t="shared" si="41"/>
        <v>3.3566406560885724</v>
      </c>
      <c r="BV20" s="456">
        <f t="shared" si="42"/>
        <v>3.6044314024377719</v>
      </c>
      <c r="BW20" s="538">
        <f t="shared" si="43"/>
        <v>0.8190114894076076</v>
      </c>
      <c r="BX20" s="144">
        <f t="shared" si="105"/>
        <v>4423.4428918453796</v>
      </c>
      <c r="BY20" s="150">
        <f t="shared" si="106"/>
        <v>7.0135220535392815</v>
      </c>
      <c r="BZ20" s="5">
        <f t="shared" si="107"/>
        <v>18.765000000000001</v>
      </c>
      <c r="CA20" s="150">
        <f t="shared" si="108"/>
        <v>0.72793156880860221</v>
      </c>
      <c r="CB20" s="5">
        <f t="shared" si="109"/>
        <v>72.793156880860224</v>
      </c>
      <c r="CC20">
        <f t="shared" si="110"/>
        <v>15</v>
      </c>
      <c r="CE20" s="59">
        <f t="shared" si="44"/>
        <v>-50</v>
      </c>
      <c r="CF20">
        <f t="shared" si="45"/>
        <v>-50</v>
      </c>
      <c r="CG20" s="150">
        <f t="shared" si="46"/>
        <v>0.20315879022590339</v>
      </c>
      <c r="CH20" s="150">
        <f t="shared" si="47"/>
        <v>4.2881520857195099E-2</v>
      </c>
      <c r="CI20" s="147">
        <v>15</v>
      </c>
      <c r="CJ20" s="188">
        <f t="shared" si="133"/>
        <v>0.6</v>
      </c>
      <c r="CK20" s="188">
        <f t="shared" si="111"/>
        <v>0.1275</v>
      </c>
      <c r="CL20" s="188">
        <f t="shared" si="48"/>
        <v>18</v>
      </c>
      <c r="CM20" s="188">
        <f t="shared" si="134"/>
        <v>0.76500000000000001</v>
      </c>
      <c r="CN20" s="465">
        <f t="shared" si="112"/>
        <v>34</v>
      </c>
      <c r="CO20" s="379">
        <f t="shared" si="49"/>
        <v>30.7</v>
      </c>
      <c r="CP20" s="379">
        <f t="shared" si="50"/>
        <v>64.7</v>
      </c>
      <c r="CQ20" s="379"/>
      <c r="CR20" s="188">
        <f t="shared" si="113"/>
        <v>0.47204968944099374</v>
      </c>
      <c r="CS20" s="149">
        <f t="shared" si="114"/>
        <v>233.26341749863801</v>
      </c>
      <c r="CT20" s="149">
        <f t="shared" si="51"/>
        <v>9.9136952436921142</v>
      </c>
      <c r="CU20" s="188">
        <f t="shared" si="52"/>
        <v>7.7754472499545999</v>
      </c>
      <c r="CV20" s="188">
        <f t="shared" si="53"/>
        <v>38.877236249772999</v>
      </c>
      <c r="CW20" s="379">
        <f t="shared" si="54"/>
        <v>30</v>
      </c>
      <c r="CX20" s="188">
        <f t="shared" si="55"/>
        <v>2.3383630030959752</v>
      </c>
      <c r="CY20" s="188">
        <f t="shared" si="56"/>
        <v>0.32324429748679656</v>
      </c>
      <c r="CZ20" s="188">
        <f t="shared" si="57"/>
        <v>0.35799042718407437</v>
      </c>
      <c r="DA20" s="172">
        <f t="shared" si="58"/>
        <v>350</v>
      </c>
      <c r="DB20" s="379">
        <f t="shared" si="115"/>
        <v>350</v>
      </c>
      <c r="DD20" s="188">
        <f t="shared" si="59"/>
        <v>9.8072469146822137</v>
      </c>
      <c r="DE20" s="150">
        <f t="shared" si="60"/>
        <v>1.5014351954073746</v>
      </c>
      <c r="DF20" s="150">
        <f t="shared" si="61"/>
        <v>2.4718134248028734</v>
      </c>
      <c r="DG20" s="150"/>
      <c r="DH20" s="150">
        <f t="shared" si="62"/>
        <v>0.92784522751949461</v>
      </c>
      <c r="DI20" s="314">
        <f t="shared" si="63"/>
        <v>222.46706010638297</v>
      </c>
      <c r="DJ20" s="456">
        <f t="shared" si="64"/>
        <v>0.94395997276890675</v>
      </c>
      <c r="DL20" s="150">
        <f t="shared" si="65"/>
        <v>4.7764620448249664</v>
      </c>
      <c r="DM20" s="150">
        <f t="shared" si="66"/>
        <v>6.0606060606060606</v>
      </c>
      <c r="DN20" s="150">
        <f t="shared" si="67"/>
        <v>1.1271240343465045</v>
      </c>
      <c r="DP20" s="314">
        <f t="shared" si="68"/>
        <v>600</v>
      </c>
      <c r="DQ20" s="144">
        <f t="shared" si="69"/>
        <v>222.46706010638297</v>
      </c>
      <c r="DS20">
        <f t="shared" si="116"/>
        <v>600</v>
      </c>
      <c r="DT20" s="144">
        <f t="shared" si="70"/>
        <v>222.46706010638297</v>
      </c>
      <c r="DU20" s="144"/>
      <c r="DV20" s="5">
        <f t="shared" si="117"/>
        <v>4.4950474893757457</v>
      </c>
      <c r="DW20" s="5">
        <f t="shared" si="71"/>
        <v>0.83778966131907295</v>
      </c>
      <c r="DX20" s="5">
        <f t="shared" si="118"/>
        <v>3.6572578280566725</v>
      </c>
      <c r="DY20" s="150">
        <f t="shared" si="119"/>
        <v>0.18638060294117645</v>
      </c>
      <c r="EA20" s="5">
        <f t="shared" si="72"/>
        <v>1.6755793226381457</v>
      </c>
      <c r="EB20" s="5">
        <f t="shared" si="73"/>
        <v>1.7803030303030301</v>
      </c>
      <c r="EC20" s="5">
        <f t="shared" si="74"/>
        <v>1.1389384239622855</v>
      </c>
      <c r="ED20" s="5"/>
      <c r="EE20" s="150">
        <f t="shared" si="120"/>
        <v>1.5106219280897746</v>
      </c>
      <c r="EF20" s="150">
        <f t="shared" si="75"/>
        <v>3.0275408499050784</v>
      </c>
      <c r="EG20" s="150">
        <f t="shared" si="76"/>
        <v>0.60772060367902314</v>
      </c>
      <c r="EH20" s="150"/>
      <c r="EI20" s="456">
        <f t="shared" si="77"/>
        <v>2.7383743315508021E-2</v>
      </c>
      <c r="EJ20" s="456">
        <f t="shared" si="78"/>
        <v>1.6574470120531919</v>
      </c>
      <c r="EK20" s="456">
        <f t="shared" si="79"/>
        <v>2.5583711912234044E-2</v>
      </c>
      <c r="EL20" s="456">
        <f t="shared" si="80"/>
        <v>0.48193074269407715</v>
      </c>
      <c r="EM20">
        <f t="shared" si="81"/>
        <v>1.5299999999999999E-2</v>
      </c>
      <c r="EN20" s="144">
        <f t="shared" si="121"/>
        <v>40.883711912234041</v>
      </c>
      <c r="EO20">
        <f t="shared" si="82"/>
        <v>2.2295450824330514</v>
      </c>
      <c r="EP20" s="144">
        <f t="shared" si="122"/>
        <v>2229.5450824330514</v>
      </c>
      <c r="EQ20" s="150">
        <f t="shared" si="83"/>
        <v>0.40236</v>
      </c>
      <c r="ER20" s="150">
        <f t="shared" si="84"/>
        <v>6.1072500000000002E-2</v>
      </c>
      <c r="ES20" s="456"/>
      <c r="EU20" s="144">
        <f t="shared" si="123"/>
        <v>463.4325</v>
      </c>
      <c r="EV20" s="456">
        <f t="shared" si="85"/>
        <v>3.1947700534759357E-2</v>
      </c>
      <c r="EW20" s="456">
        <f t="shared" si="124"/>
        <v>0.12832405036981551</v>
      </c>
      <c r="EX20" s="456">
        <f t="shared" si="86"/>
        <v>1.8466216606799815E-3</v>
      </c>
      <c r="EY20" s="456">
        <f t="shared" si="87"/>
        <v>3.3375242734307387</v>
      </c>
      <c r="EZ20" s="456">
        <f t="shared" si="88"/>
        <v>3.5850472170433885</v>
      </c>
      <c r="FA20" s="538">
        <f t="shared" si="89"/>
        <v>0.81714255319148932</v>
      </c>
      <c r="FB20" s="144">
        <f t="shared" si="125"/>
        <v>4402.1897702348779</v>
      </c>
      <c r="FC20" s="150">
        <f t="shared" si="126"/>
        <v>7.0951673526679286</v>
      </c>
      <c r="FD20" s="5">
        <f t="shared" si="127"/>
        <v>18.765000000000001</v>
      </c>
      <c r="FE20" s="150">
        <f t="shared" si="128"/>
        <v>0.72563335511686322</v>
      </c>
      <c r="FF20" s="5">
        <f t="shared" si="129"/>
        <v>72.563335511686319</v>
      </c>
      <c r="FG20">
        <f t="shared" si="130"/>
        <v>15</v>
      </c>
      <c r="FI20" s="59">
        <f t="shared" si="90"/>
        <v>-50</v>
      </c>
      <c r="FJ20">
        <f t="shared" si="91"/>
        <v>-50</v>
      </c>
      <c r="FL20">
        <f t="shared" si="92"/>
        <v>0.20315879022590341</v>
      </c>
    </row>
    <row r="21" spans="5:168" s="59" customFormat="1">
      <c r="E21" s="147">
        <v>16</v>
      </c>
      <c r="F21" s="188">
        <f t="shared" si="131"/>
        <v>0.64</v>
      </c>
      <c r="G21" s="188">
        <f t="shared" si="93"/>
        <v>0.13600000000000001</v>
      </c>
      <c r="H21" s="188">
        <f t="shared" si="0"/>
        <v>19.2</v>
      </c>
      <c r="I21" s="188">
        <f t="shared" si="132"/>
        <v>0.81600000000000006</v>
      </c>
      <c r="J21" s="465">
        <f t="shared" si="1"/>
        <v>33.906845048158601</v>
      </c>
      <c r="K21" s="379">
        <f t="shared" si="2"/>
        <v>30.770215829062796</v>
      </c>
      <c r="L21" s="149">
        <f t="shared" si="3"/>
        <v>64.677060877221393</v>
      </c>
      <c r="M21" s="379"/>
      <c r="N21" s="188">
        <f t="shared" si="4"/>
        <v>0.47575160979369358</v>
      </c>
      <c r="O21" s="149">
        <f t="shared" si="94"/>
        <v>234.44860278594263</v>
      </c>
      <c r="P21" s="149">
        <f t="shared" si="5"/>
        <v>9.9640656184025609</v>
      </c>
      <c r="Q21" s="188">
        <f t="shared" si="6"/>
        <v>7.8149534261980875</v>
      </c>
      <c r="R21" s="188">
        <f t="shared" si="7"/>
        <v>39.074767130990438</v>
      </c>
      <c r="S21" s="379">
        <f t="shared" si="8"/>
        <v>30</v>
      </c>
      <c r="T21" s="188">
        <f t="shared" si="9"/>
        <v>2.4816449102466871</v>
      </c>
      <c r="U21" s="188">
        <f t="shared" si="10"/>
        <v>0.34399340491848146</v>
      </c>
      <c r="V21" s="188">
        <f t="shared" si="11"/>
        <v>0.37905912467285691</v>
      </c>
      <c r="W21" s="172">
        <f t="shared" si="12"/>
        <v>350</v>
      </c>
      <c r="X21" s="379">
        <f t="shared" si="95"/>
        <v>350</v>
      </c>
      <c r="Z21" s="188">
        <f t="shared" si="13"/>
        <v>9.8062225621196237</v>
      </c>
      <c r="AA21" s="150">
        <f t="shared" si="14"/>
        <v>1.4978525434465899</v>
      </c>
      <c r="AB21" s="150">
        <f t="shared" si="15"/>
        <v>2.4656577420604195</v>
      </c>
      <c r="AC21" s="462"/>
      <c r="AD21" s="150">
        <f t="shared" si="16"/>
        <v>0.92572793909180973</v>
      </c>
      <c r="AE21" s="314">
        <f t="shared" si="17"/>
        <v>237.84093652396922</v>
      </c>
      <c r="AF21" s="456">
        <f t="shared" si="18"/>
        <v>0.94180591143705672</v>
      </c>
      <c r="AG21"/>
      <c r="AH21" s="150">
        <f t="shared" si="19"/>
        <v>4.9331087875730448</v>
      </c>
      <c r="AI21" s="150">
        <f t="shared" si="20"/>
        <v>6.0606060606060606</v>
      </c>
      <c r="AJ21" s="150">
        <f t="shared" si="21"/>
        <v>1.1359091065851252</v>
      </c>
      <c r="AL21" s="314">
        <f t="shared" si="22"/>
        <v>640</v>
      </c>
      <c r="AM21" s="144">
        <f t="shared" si="23"/>
        <v>237.84093652396922</v>
      </c>
      <c r="AO21">
        <f t="shared" si="96"/>
        <v>640</v>
      </c>
      <c r="AP21" s="144">
        <f t="shared" si="24"/>
        <v>237.84093652396922</v>
      </c>
      <c r="AQ21" s="144"/>
      <c r="AR21" s="5">
        <f t="shared" si="97"/>
        <v>4.2044906760582892</v>
      </c>
      <c r="AS21" s="5">
        <f t="shared" si="25"/>
        <v>0.84009138698663521</v>
      </c>
      <c r="AT21" s="5">
        <f t="shared" si="98"/>
        <v>3.3643992890716539</v>
      </c>
      <c r="AU21" s="150">
        <f t="shared" si="99"/>
        <v>0.19980812224662156</v>
      </c>
      <c r="AW21" s="5">
        <f t="shared" si="26"/>
        <v>1.7921949589048218</v>
      </c>
      <c r="AX21" s="5">
        <f t="shared" si="27"/>
        <v>1.9042071438363735</v>
      </c>
      <c r="AY21" s="5">
        <f t="shared" si="28"/>
        <v>1.1206563550364854</v>
      </c>
      <c r="AZ21" s="5"/>
      <c r="BA21" s="150">
        <f t="shared" si="100"/>
        <v>1.5640909301153412</v>
      </c>
      <c r="BB21" s="150">
        <f t="shared" si="29"/>
        <v>3.0024544963886255</v>
      </c>
      <c r="BC21" s="150">
        <f t="shared" si="30"/>
        <v>0.60268500064047048</v>
      </c>
      <c r="BD21" s="150"/>
      <c r="BE21" s="456">
        <f t="shared" si="31"/>
        <v>2.9356565252028878E-2</v>
      </c>
      <c r="BF21" s="456">
        <f t="shared" si="32"/>
        <v>1.7014367414210543</v>
      </c>
      <c r="BG21" s="456">
        <f t="shared" si="33"/>
        <v>2.7351707700256463E-2</v>
      </c>
      <c r="BH21" s="456">
        <f t="shared" si="34"/>
        <v>0.51486991105719271</v>
      </c>
      <c r="BI21">
        <f t="shared" si="35"/>
        <v>1.525808027167137E-2</v>
      </c>
      <c r="BJ21" s="144">
        <f t="shared" si="101"/>
        <v>42.60978797192783</v>
      </c>
      <c r="BK21">
        <f t="shared" si="36"/>
        <v>2.2694189597044052</v>
      </c>
      <c r="BL21" s="144">
        <f t="shared" si="102"/>
        <v>2269.4189597044051</v>
      </c>
      <c r="BM21" s="150">
        <f t="shared" si="37"/>
        <v>0.42918399999999995</v>
      </c>
      <c r="BN21" s="150">
        <f t="shared" si="38"/>
        <v>6.5144000000000007E-2</v>
      </c>
      <c r="BO21" s="456"/>
      <c r="BQ21" s="144">
        <f t="shared" si="103"/>
        <v>494.32799999999997</v>
      </c>
      <c r="BR21" s="456">
        <f t="shared" si="39"/>
        <v>3.4249326127367023E-2</v>
      </c>
      <c r="BS21" s="456">
        <f t="shared" si="104"/>
        <v>0.12620626204037985</v>
      </c>
      <c r="BT21" s="456">
        <f t="shared" si="40"/>
        <v>1.8161460499850196E-3</v>
      </c>
      <c r="BU21" s="456">
        <f t="shared" si="41"/>
        <v>3.9443610313716699</v>
      </c>
      <c r="BV21" s="456">
        <f t="shared" si="42"/>
        <v>4.2001026166412423</v>
      </c>
      <c r="BW21" s="538">
        <f t="shared" si="43"/>
        <v>0.87361225536811471</v>
      </c>
      <c r="BX21" s="144">
        <f t="shared" si="105"/>
        <v>5073.7148720093574</v>
      </c>
      <c r="BY21" s="150">
        <f t="shared" si="106"/>
        <v>7.8374618317137621</v>
      </c>
      <c r="BZ21" s="5">
        <f t="shared" si="107"/>
        <v>20.015999999999998</v>
      </c>
      <c r="CA21" s="150">
        <f t="shared" si="108"/>
        <v>0.7186180346605936</v>
      </c>
      <c r="CB21" s="5">
        <f t="shared" si="109"/>
        <v>71.861803466059357</v>
      </c>
      <c r="CC21">
        <f t="shared" si="110"/>
        <v>16</v>
      </c>
      <c r="CE21" s="59">
        <f t="shared" si="44"/>
        <v>-50</v>
      </c>
      <c r="CF21">
        <f t="shared" si="45"/>
        <v>-50</v>
      </c>
      <c r="CG21" s="150">
        <f t="shared" si="46"/>
        <v>0.21670270957429702</v>
      </c>
      <c r="CH21" s="150">
        <f t="shared" si="47"/>
        <v>4.5740288914341447E-2</v>
      </c>
      <c r="CI21" s="147">
        <v>16</v>
      </c>
      <c r="CJ21" s="188">
        <f t="shared" si="133"/>
        <v>0.64</v>
      </c>
      <c r="CK21" s="188">
        <f t="shared" si="111"/>
        <v>0.13600000000000001</v>
      </c>
      <c r="CL21" s="188">
        <f t="shared" si="48"/>
        <v>19.2</v>
      </c>
      <c r="CM21" s="188">
        <f t="shared" si="134"/>
        <v>0.81600000000000006</v>
      </c>
      <c r="CN21" s="465">
        <f t="shared" si="112"/>
        <v>34</v>
      </c>
      <c r="CO21" s="379">
        <f t="shared" si="49"/>
        <v>30.7</v>
      </c>
      <c r="CP21" s="379">
        <f t="shared" si="50"/>
        <v>64.7</v>
      </c>
      <c r="CQ21" s="379"/>
      <c r="CR21" s="188">
        <f t="shared" si="113"/>
        <v>0.47204968944099374</v>
      </c>
      <c r="CS21" s="149">
        <f t="shared" si="114"/>
        <v>233.26341749863801</v>
      </c>
      <c r="CT21" s="149">
        <f t="shared" si="51"/>
        <v>9.9136952436921142</v>
      </c>
      <c r="CU21" s="188">
        <f t="shared" si="52"/>
        <v>7.7754472499545999</v>
      </c>
      <c r="CV21" s="188">
        <f t="shared" si="53"/>
        <v>38.877236249772999</v>
      </c>
      <c r="CW21" s="379">
        <f t="shared" si="54"/>
        <v>30</v>
      </c>
      <c r="CX21" s="188">
        <f t="shared" si="55"/>
        <v>2.49425386996904</v>
      </c>
      <c r="CY21" s="188">
        <f t="shared" si="56"/>
        <v>0.34479391731924963</v>
      </c>
      <c r="CZ21" s="188">
        <f t="shared" si="57"/>
        <v>0.38185645566301268</v>
      </c>
      <c r="DA21" s="172">
        <f t="shared" si="58"/>
        <v>350</v>
      </c>
      <c r="DB21" s="379">
        <f t="shared" si="115"/>
        <v>350</v>
      </c>
      <c r="DD21" s="188">
        <f t="shared" si="59"/>
        <v>9.8072469146822137</v>
      </c>
      <c r="DE21" s="150">
        <f t="shared" si="60"/>
        <v>1.5014351954073746</v>
      </c>
      <c r="DF21" s="150">
        <f t="shared" si="61"/>
        <v>2.4718134248028734</v>
      </c>
      <c r="DG21" s="462"/>
      <c r="DH21" s="150">
        <f t="shared" si="62"/>
        <v>0.92784522751949461</v>
      </c>
      <c r="DI21" s="314">
        <f t="shared" si="63"/>
        <v>237.29819744680853</v>
      </c>
      <c r="DJ21" s="456">
        <f t="shared" si="64"/>
        <v>0.94395997276890675</v>
      </c>
      <c r="DK21"/>
      <c r="DL21" s="150">
        <f t="shared" si="65"/>
        <v>4.9331087875730448</v>
      </c>
      <c r="DM21" s="150">
        <f t="shared" si="66"/>
        <v>6.0606060606060606</v>
      </c>
      <c r="DN21" s="150">
        <f t="shared" si="67"/>
        <v>1.135598969969605</v>
      </c>
      <c r="DP21" s="314">
        <f t="shared" si="68"/>
        <v>640</v>
      </c>
      <c r="DQ21" s="144">
        <f t="shared" si="69"/>
        <v>237.29819744680853</v>
      </c>
      <c r="DS21">
        <f t="shared" si="116"/>
        <v>640</v>
      </c>
      <c r="DT21" s="144">
        <f t="shared" si="70"/>
        <v>237.29819744680853</v>
      </c>
      <c r="DU21" s="144"/>
      <c r="DV21" s="5">
        <f t="shared" si="117"/>
        <v>4.2141070212897613</v>
      </c>
      <c r="DW21" s="5">
        <f t="shared" si="71"/>
        <v>0.83778966131907295</v>
      </c>
      <c r="DX21" s="5">
        <f t="shared" si="118"/>
        <v>3.3763173599706882</v>
      </c>
      <c r="DY21" s="150">
        <f t="shared" si="119"/>
        <v>0.19880597647058823</v>
      </c>
      <c r="EA21" s="5">
        <f t="shared" si="72"/>
        <v>1.7872846108140226</v>
      </c>
      <c r="EB21" s="5">
        <f t="shared" si="73"/>
        <v>1.8989898989898988</v>
      </c>
      <c r="EC21" s="5">
        <f t="shared" si="74"/>
        <v>1.1215448669798824</v>
      </c>
      <c r="ED21" s="5"/>
      <c r="EE21" s="150">
        <f t="shared" si="120"/>
        <v>1.5601636186419827</v>
      </c>
      <c r="EF21" s="150">
        <f t="shared" si="75"/>
        <v>3.0043340178461353</v>
      </c>
      <c r="EG21" s="150">
        <f t="shared" si="76"/>
        <v>0.60306227842842219</v>
      </c>
      <c r="EH21" s="150"/>
      <c r="EI21" s="456">
        <f t="shared" si="77"/>
        <v>2.9209326203208555E-2</v>
      </c>
      <c r="EJ21" s="456">
        <f t="shared" si="78"/>
        <v>1.7679434795234044</v>
      </c>
      <c r="EK21" s="456">
        <f t="shared" si="79"/>
        <v>2.7289292706382983E-2</v>
      </c>
      <c r="EL21" s="456">
        <f t="shared" si="80"/>
        <v>0.51405945887368232</v>
      </c>
      <c r="EM21">
        <f t="shared" si="81"/>
        <v>1.5299999999999999E-2</v>
      </c>
      <c r="EN21" s="144">
        <f t="shared" si="121"/>
        <v>42.589292706382977</v>
      </c>
      <c r="EO21">
        <f t="shared" si="82"/>
        <v>2.3781930584173874</v>
      </c>
      <c r="EP21" s="144">
        <f t="shared" si="122"/>
        <v>2378.1930584173874</v>
      </c>
      <c r="EQ21" s="150">
        <f t="shared" si="83"/>
        <v>0.42918399999999995</v>
      </c>
      <c r="ER21" s="150">
        <f t="shared" si="84"/>
        <v>6.5144000000000007E-2</v>
      </c>
      <c r="ES21" s="456"/>
      <c r="EU21" s="144">
        <f t="shared" si="123"/>
        <v>494.32799999999997</v>
      </c>
      <c r="EV21" s="456">
        <f t="shared" si="85"/>
        <v>3.407754723707665E-2</v>
      </c>
      <c r="EW21" s="456">
        <f t="shared" si="124"/>
        <v>0.12636432047102503</v>
      </c>
      <c r="EX21" s="456">
        <f t="shared" si="86"/>
        <v>1.818420558316399E-3</v>
      </c>
      <c r="EY21" s="456">
        <f t="shared" si="87"/>
        <v>3.9218975261765046</v>
      </c>
      <c r="EZ21" s="456">
        <f t="shared" si="88"/>
        <v>4.1773254055863083</v>
      </c>
      <c r="FA21" s="538">
        <f t="shared" si="89"/>
        <v>0.87161872340425539</v>
      </c>
      <c r="FB21" s="144">
        <f t="shared" si="125"/>
        <v>5048.9441289905635</v>
      </c>
      <c r="FC21" s="150">
        <f t="shared" si="126"/>
        <v>7.9214651874079509</v>
      </c>
      <c r="FD21" s="5">
        <f t="shared" si="127"/>
        <v>20.015999999999998</v>
      </c>
      <c r="FE21" s="150">
        <f t="shared" si="128"/>
        <v>0.71645726860795034</v>
      </c>
      <c r="FF21" s="5">
        <f t="shared" si="129"/>
        <v>71.645726860795037</v>
      </c>
      <c r="FG21">
        <f t="shared" si="130"/>
        <v>16</v>
      </c>
      <c r="FI21" s="59">
        <f t="shared" si="90"/>
        <v>-50</v>
      </c>
      <c r="FJ21">
        <f t="shared" si="91"/>
        <v>-50</v>
      </c>
      <c r="FL21">
        <f t="shared" si="92"/>
        <v>0.21670270957429702</v>
      </c>
    </row>
    <row r="22" spans="5:168">
      <c r="E22" s="147">
        <v>17</v>
      </c>
      <c r="F22" s="188">
        <f t="shared" si="131"/>
        <v>0.68</v>
      </c>
      <c r="G22" s="188">
        <f t="shared" si="93"/>
        <v>0.14450000000000002</v>
      </c>
      <c r="H22" s="188">
        <f t="shared" si="0"/>
        <v>20.400000000000002</v>
      </c>
      <c r="I22" s="188">
        <f t="shared" si="132"/>
        <v>0.8670000000000001</v>
      </c>
      <c r="J22" s="465">
        <f t="shared" si="1"/>
        <v>33.906845048158601</v>
      </c>
      <c r="K22" s="379">
        <f t="shared" si="2"/>
        <v>30.770215829062796</v>
      </c>
      <c r="L22" s="149">
        <f t="shared" si="3"/>
        <v>64.677060877221393</v>
      </c>
      <c r="M22" s="379"/>
      <c r="N22" s="188">
        <f t="shared" si="4"/>
        <v>0.47575160979369358</v>
      </c>
      <c r="O22" s="149">
        <f t="shared" si="94"/>
        <v>234.44860278594263</v>
      </c>
      <c r="P22" s="149">
        <f t="shared" si="5"/>
        <v>9.9640656184025609</v>
      </c>
      <c r="Q22" s="188">
        <f t="shared" si="6"/>
        <v>7.8149534261980875</v>
      </c>
      <c r="R22" s="188">
        <f t="shared" si="7"/>
        <v>39.074767130990438</v>
      </c>
      <c r="S22" s="379">
        <f t="shared" si="8"/>
        <v>30</v>
      </c>
      <c r="T22" s="188">
        <f t="shared" si="9"/>
        <v>2.6367477171371054</v>
      </c>
      <c r="U22" s="188">
        <f t="shared" si="10"/>
        <v>0.36549299272588659</v>
      </c>
      <c r="V22" s="188">
        <f t="shared" si="11"/>
        <v>0.40275031996491051</v>
      </c>
      <c r="W22" s="172">
        <f t="shared" si="12"/>
        <v>350</v>
      </c>
      <c r="X22" s="379">
        <f t="shared" si="95"/>
        <v>350</v>
      </c>
      <c r="Z22" s="188">
        <f t="shared" si="13"/>
        <v>9.8062225621196237</v>
      </c>
      <c r="AA22" s="150">
        <f t="shared" si="14"/>
        <v>1.4978525434465899</v>
      </c>
      <c r="AB22" s="150">
        <f t="shared" si="15"/>
        <v>2.4656577420604195</v>
      </c>
      <c r="AC22" s="150"/>
      <c r="AD22" s="150">
        <f t="shared" si="16"/>
        <v>0.92572793909180973</v>
      </c>
      <c r="AE22" s="314">
        <f t="shared" si="17"/>
        <v>252.70599505671734</v>
      </c>
      <c r="AF22" s="456">
        <f t="shared" si="18"/>
        <v>0.94180591143705672</v>
      </c>
      <c r="AH22" s="150">
        <f t="shared" si="19"/>
        <v>5.084932148456585</v>
      </c>
      <c r="AI22" s="150">
        <f t="shared" si="20"/>
        <v>6.0606060606060606</v>
      </c>
      <c r="AJ22" s="150">
        <f t="shared" si="21"/>
        <v>1.1444034257466957</v>
      </c>
      <c r="AL22" s="314">
        <f t="shared" si="22"/>
        <v>680</v>
      </c>
      <c r="AM22" s="144">
        <f t="shared" si="23"/>
        <v>252.70599505671734</v>
      </c>
      <c r="AO22">
        <f t="shared" si="96"/>
        <v>680</v>
      </c>
      <c r="AP22" s="144">
        <f t="shared" si="24"/>
        <v>252.70599505671734</v>
      </c>
      <c r="AQ22" s="144"/>
      <c r="AR22" s="5">
        <f t="shared" si="97"/>
        <v>3.9571676951136827</v>
      </c>
      <c r="AS22" s="5">
        <f t="shared" si="25"/>
        <v>0.84009138698663521</v>
      </c>
      <c r="AT22" s="5">
        <f t="shared" si="98"/>
        <v>3.1170763081270474</v>
      </c>
      <c r="AU22" s="150">
        <f t="shared" si="99"/>
        <v>0.21229612988703547</v>
      </c>
      <c r="AW22" s="5">
        <f t="shared" si="26"/>
        <v>1.9042071438363732</v>
      </c>
      <c r="AX22" s="5">
        <f t="shared" si="27"/>
        <v>2.0232200903261468</v>
      </c>
      <c r="AY22" s="5">
        <f t="shared" si="28"/>
        <v>1.103167093381811</v>
      </c>
      <c r="AZ22" s="5"/>
      <c r="BA22" s="150">
        <f t="shared" si="100"/>
        <v>1.6122280282340309</v>
      </c>
      <c r="BB22" s="150">
        <f t="shared" si="29"/>
        <v>2.9789338156182428</v>
      </c>
      <c r="BC22" s="150">
        <f t="shared" si="30"/>
        <v>0.5979636762966003</v>
      </c>
      <c r="BD22" s="150"/>
      <c r="BE22" s="456">
        <f t="shared" si="31"/>
        <v>3.1191350580280695E-2</v>
      </c>
      <c r="BF22" s="456">
        <f t="shared" si="32"/>
        <v>1.8077765377598705</v>
      </c>
      <c r="BG22" s="456">
        <f t="shared" si="33"/>
        <v>2.9061189431522496E-2</v>
      </c>
      <c r="BH22" s="456">
        <f t="shared" si="34"/>
        <v>0.5470492804982674</v>
      </c>
      <c r="BI22">
        <f t="shared" si="35"/>
        <v>1.525808027167137E-2</v>
      </c>
      <c r="BJ22" s="144">
        <f t="shared" si="101"/>
        <v>44.319269703193868</v>
      </c>
      <c r="BK22">
        <f t="shared" si="36"/>
        <v>2.4123166688824069</v>
      </c>
      <c r="BL22" s="144">
        <f t="shared" si="102"/>
        <v>2412.3166688824067</v>
      </c>
      <c r="BM22" s="150">
        <f t="shared" si="37"/>
        <v>0.45600799999999997</v>
      </c>
      <c r="BN22" s="150">
        <f t="shared" si="38"/>
        <v>6.9215499999999999E-2</v>
      </c>
      <c r="BO22" s="456"/>
      <c r="BQ22" s="144">
        <f t="shared" si="103"/>
        <v>525.22349999999994</v>
      </c>
      <c r="BR22" s="456">
        <f t="shared" si="39"/>
        <v>3.638990901032748E-2</v>
      </c>
      <c r="BS22" s="456">
        <f t="shared" si="104"/>
        <v>0.1242366534896741</v>
      </c>
      <c r="BT22" s="456">
        <f t="shared" si="40"/>
        <v>1.7878027908507269E-3</v>
      </c>
      <c r="BU22" s="456">
        <f t="shared" si="41"/>
        <v>4.5898554283570467</v>
      </c>
      <c r="BV22" s="456">
        <f t="shared" si="42"/>
        <v>4.8543221736983861</v>
      </c>
      <c r="BW22" s="538">
        <f t="shared" si="43"/>
        <v>0.92821302132862205</v>
      </c>
      <c r="BX22" s="144">
        <f t="shared" si="105"/>
        <v>5782.5351950270078</v>
      </c>
      <c r="BY22" s="150">
        <f t="shared" si="106"/>
        <v>8.7200753639094142</v>
      </c>
      <c r="BZ22" s="5">
        <f t="shared" si="107"/>
        <v>21.267000000000003</v>
      </c>
      <c r="CA22" s="150">
        <f t="shared" si="108"/>
        <v>0.70920554078426878</v>
      </c>
      <c r="CB22" s="5">
        <f t="shared" si="109"/>
        <v>70.920554078426875</v>
      </c>
      <c r="CC22">
        <f t="shared" si="110"/>
        <v>17</v>
      </c>
      <c r="CE22" s="59">
        <f t="shared" si="44"/>
        <v>-50</v>
      </c>
      <c r="CF22">
        <f t="shared" si="45"/>
        <v>-50</v>
      </c>
      <c r="CG22" s="150">
        <f t="shared" si="46"/>
        <v>0.23024662892269057</v>
      </c>
      <c r="CH22" s="150">
        <f t="shared" si="47"/>
        <v>4.8599056971487781E-2</v>
      </c>
      <c r="CI22" s="147">
        <v>17</v>
      </c>
      <c r="CJ22" s="188">
        <f t="shared" si="133"/>
        <v>0.68</v>
      </c>
      <c r="CK22" s="188">
        <f t="shared" si="111"/>
        <v>0.14450000000000002</v>
      </c>
      <c r="CL22" s="188">
        <f t="shared" si="48"/>
        <v>20.400000000000002</v>
      </c>
      <c r="CM22" s="188">
        <f t="shared" si="134"/>
        <v>0.8670000000000001</v>
      </c>
      <c r="CN22" s="465">
        <f t="shared" si="112"/>
        <v>34</v>
      </c>
      <c r="CO22" s="379">
        <f t="shared" si="49"/>
        <v>30.7</v>
      </c>
      <c r="CP22" s="379">
        <f t="shared" si="50"/>
        <v>64.7</v>
      </c>
      <c r="CQ22" s="379"/>
      <c r="CR22" s="188">
        <f t="shared" si="113"/>
        <v>0.47204968944099374</v>
      </c>
      <c r="CS22" s="149">
        <f t="shared" si="114"/>
        <v>233.26341749863801</v>
      </c>
      <c r="CT22" s="149">
        <f t="shared" si="51"/>
        <v>9.9136952436921142</v>
      </c>
      <c r="CU22" s="188">
        <f t="shared" si="52"/>
        <v>7.7754472499545999</v>
      </c>
      <c r="CV22" s="188">
        <f t="shared" si="53"/>
        <v>38.877236249772999</v>
      </c>
      <c r="CW22" s="379">
        <f t="shared" si="54"/>
        <v>30</v>
      </c>
      <c r="CX22" s="188">
        <f t="shared" si="55"/>
        <v>2.6501447368421056</v>
      </c>
      <c r="CY22" s="188">
        <f t="shared" si="56"/>
        <v>0.36634353715170281</v>
      </c>
      <c r="CZ22" s="188">
        <f t="shared" si="57"/>
        <v>0.405722484141951</v>
      </c>
      <c r="DA22" s="172">
        <f t="shared" si="58"/>
        <v>350</v>
      </c>
      <c r="DB22" s="379">
        <f t="shared" si="115"/>
        <v>350</v>
      </c>
      <c r="DD22" s="188">
        <f t="shared" si="59"/>
        <v>9.8072469146822137</v>
      </c>
      <c r="DE22" s="150">
        <f t="shared" si="60"/>
        <v>1.5014351954073746</v>
      </c>
      <c r="DF22" s="150">
        <f t="shared" si="61"/>
        <v>2.4718134248028734</v>
      </c>
      <c r="DG22" s="150"/>
      <c r="DH22" s="150">
        <f t="shared" si="62"/>
        <v>0.92784522751949461</v>
      </c>
      <c r="DI22" s="314">
        <f t="shared" si="63"/>
        <v>252.12933478723406</v>
      </c>
      <c r="DJ22" s="456">
        <f t="shared" si="64"/>
        <v>0.94395997276890675</v>
      </c>
      <c r="DL22" s="150">
        <f t="shared" si="65"/>
        <v>5.084932148456585</v>
      </c>
      <c r="DM22" s="150">
        <f t="shared" si="66"/>
        <v>6.0606060606060606</v>
      </c>
      <c r="DN22" s="150">
        <f t="shared" si="67"/>
        <v>1.1440739055927052</v>
      </c>
      <c r="DP22" s="314">
        <f t="shared" si="68"/>
        <v>680</v>
      </c>
      <c r="DQ22" s="144">
        <f t="shared" si="69"/>
        <v>252.12933478723406</v>
      </c>
      <c r="DS22">
        <f t="shared" si="116"/>
        <v>680</v>
      </c>
      <c r="DT22" s="144">
        <f t="shared" si="70"/>
        <v>252.12933478723406</v>
      </c>
      <c r="DU22" s="144"/>
      <c r="DV22" s="5">
        <f t="shared" si="117"/>
        <v>3.9662183729785991</v>
      </c>
      <c r="DW22" s="5">
        <f t="shared" si="71"/>
        <v>0.83778966131907295</v>
      </c>
      <c r="DX22" s="5">
        <f t="shared" si="118"/>
        <v>3.1284287116595264</v>
      </c>
      <c r="DY22" s="150">
        <f t="shared" si="119"/>
        <v>0.21123134999999998</v>
      </c>
      <c r="EA22" s="5">
        <f t="shared" si="72"/>
        <v>1.898989898989899</v>
      </c>
      <c r="EB22" s="5">
        <f t="shared" si="73"/>
        <v>2.0176767676767677</v>
      </c>
      <c r="EC22" s="5">
        <f t="shared" si="74"/>
        <v>1.10415130999748</v>
      </c>
      <c r="ED22" s="5"/>
      <c r="EE22" s="150">
        <f t="shared" si="120"/>
        <v>1.6081798482266914</v>
      </c>
      <c r="EF22" s="150">
        <f t="shared" si="75"/>
        <v>2.9809465248023224</v>
      </c>
      <c r="EG22" s="150">
        <f t="shared" si="76"/>
        <v>0.59836768895935843</v>
      </c>
      <c r="EH22" s="150"/>
      <c r="EI22" s="456">
        <f t="shared" si="77"/>
        <v>3.1034909090909092E-2</v>
      </c>
      <c r="EJ22" s="456">
        <f t="shared" si="78"/>
        <v>1.8784399469936173</v>
      </c>
      <c r="EK22" s="456">
        <f t="shared" si="79"/>
        <v>2.8994873500531919E-2</v>
      </c>
      <c r="EL22" s="456">
        <f t="shared" si="80"/>
        <v>0.54618817505328743</v>
      </c>
      <c r="EM22">
        <f t="shared" si="81"/>
        <v>1.5299999999999999E-2</v>
      </c>
      <c r="EN22" s="144">
        <f t="shared" si="121"/>
        <v>44.294873500531921</v>
      </c>
      <c r="EO22">
        <f t="shared" si="82"/>
        <v>2.5269709470079964</v>
      </c>
      <c r="EP22" s="144">
        <f t="shared" si="122"/>
        <v>2526.9709470079965</v>
      </c>
      <c r="EQ22" s="150">
        <f t="shared" si="83"/>
        <v>0.45600799999999997</v>
      </c>
      <c r="ER22" s="150">
        <f t="shared" si="84"/>
        <v>6.9215499999999999E-2</v>
      </c>
      <c r="ES22" s="456"/>
      <c r="EU22" s="144">
        <f t="shared" si="123"/>
        <v>525.22349999999994</v>
      </c>
      <c r="EV22" s="456">
        <f t="shared" si="85"/>
        <v>3.6207393939393942E-2</v>
      </c>
      <c r="EW22" s="456">
        <f t="shared" si="124"/>
        <v>0.1244045905722346</v>
      </c>
      <c r="EX22" s="456">
        <f t="shared" si="86"/>
        <v>1.7902194559528176E-3</v>
      </c>
      <c r="EY22" s="456">
        <f t="shared" si="87"/>
        <v>4.5637157721643327</v>
      </c>
      <c r="EZ22" s="456">
        <f t="shared" si="88"/>
        <v>4.8278183726094905</v>
      </c>
      <c r="FA22" s="538">
        <f t="shared" si="89"/>
        <v>0.92609489361702135</v>
      </c>
      <c r="FB22" s="144">
        <f t="shared" si="125"/>
        <v>5753.913266226512</v>
      </c>
      <c r="FC22" s="150">
        <f t="shared" si="126"/>
        <v>8.8061077132345087</v>
      </c>
      <c r="FD22" s="5">
        <f t="shared" si="127"/>
        <v>21.267000000000003</v>
      </c>
      <c r="FE22" s="150">
        <f t="shared" si="128"/>
        <v>0.70717666437382742</v>
      </c>
      <c r="FF22" s="5">
        <f t="shared" si="129"/>
        <v>70.717666437382746</v>
      </c>
      <c r="FG22">
        <f t="shared" si="130"/>
        <v>17</v>
      </c>
      <c r="FI22" s="59">
        <f t="shared" si="90"/>
        <v>-50</v>
      </c>
      <c r="FJ22">
        <f t="shared" si="91"/>
        <v>-50</v>
      </c>
      <c r="FL22">
        <f t="shared" si="92"/>
        <v>0.23024662892269057</v>
      </c>
    </row>
    <row r="23" spans="5:168">
      <c r="E23" s="147">
        <v>18</v>
      </c>
      <c r="F23" s="188">
        <f t="shared" si="131"/>
        <v>0.72</v>
      </c>
      <c r="G23" s="188">
        <f t="shared" si="93"/>
        <v>0.153</v>
      </c>
      <c r="H23" s="188">
        <f t="shared" si="0"/>
        <v>21.599999999999998</v>
      </c>
      <c r="I23" s="188">
        <f t="shared" si="132"/>
        <v>0.91799999999999993</v>
      </c>
      <c r="J23" s="465">
        <f t="shared" si="1"/>
        <v>33.906845048158601</v>
      </c>
      <c r="K23" s="379">
        <f t="shared" si="2"/>
        <v>30.770215829062796</v>
      </c>
      <c r="L23" s="149">
        <f t="shared" si="3"/>
        <v>64.677060877221393</v>
      </c>
      <c r="M23" s="379"/>
      <c r="N23" s="188">
        <f t="shared" si="4"/>
        <v>0.47575160979369358</v>
      </c>
      <c r="O23" s="149">
        <f t="shared" si="94"/>
        <v>234.44860278594263</v>
      </c>
      <c r="P23" s="149">
        <f t="shared" si="5"/>
        <v>9.9640656184025609</v>
      </c>
      <c r="Q23" s="188">
        <f t="shared" si="6"/>
        <v>7.8149534261980875</v>
      </c>
      <c r="R23" s="188">
        <f t="shared" si="7"/>
        <v>39.074767130990438</v>
      </c>
      <c r="S23" s="379">
        <f t="shared" si="8"/>
        <v>30</v>
      </c>
      <c r="T23" s="188">
        <f t="shared" si="9"/>
        <v>2.7918505240275229</v>
      </c>
      <c r="U23" s="188">
        <f t="shared" si="10"/>
        <v>0.38699258053329161</v>
      </c>
      <c r="V23" s="188">
        <f t="shared" si="11"/>
        <v>0.426441515256964</v>
      </c>
      <c r="W23" s="172">
        <f t="shared" si="12"/>
        <v>350</v>
      </c>
      <c r="X23" s="379">
        <f t="shared" si="95"/>
        <v>350</v>
      </c>
      <c r="Z23" s="188">
        <f t="shared" si="13"/>
        <v>9.8062225621196237</v>
      </c>
      <c r="AA23" s="150">
        <f t="shared" si="14"/>
        <v>1.4978525434465899</v>
      </c>
      <c r="AB23" s="150">
        <f t="shared" si="15"/>
        <v>2.4656577420604195</v>
      </c>
      <c r="AC23" s="150"/>
      <c r="AD23" s="150">
        <f t="shared" si="16"/>
        <v>0.92572793909180973</v>
      </c>
      <c r="AE23" s="314">
        <f t="shared" si="17"/>
        <v>267.57105358946535</v>
      </c>
      <c r="AF23" s="456">
        <f t="shared" si="18"/>
        <v>0.94180591143705672</v>
      </c>
      <c r="AH23" s="150">
        <f t="shared" si="19"/>
        <v>5.2323520140357713</v>
      </c>
      <c r="AI23" s="150">
        <f t="shared" si="20"/>
        <v>6.0606060606060606</v>
      </c>
      <c r="AJ23" s="150">
        <f t="shared" si="21"/>
        <v>1.152897744908266</v>
      </c>
      <c r="AL23" s="314">
        <f t="shared" si="22"/>
        <v>720</v>
      </c>
      <c r="AM23" s="144">
        <f t="shared" si="23"/>
        <v>267.57105358946535</v>
      </c>
      <c r="AO23">
        <f t="shared" si="96"/>
        <v>720</v>
      </c>
      <c r="AP23" s="144">
        <f t="shared" si="24"/>
        <v>267.57105358946535</v>
      </c>
      <c r="AQ23" s="144"/>
      <c r="AR23" s="5">
        <f t="shared" si="97"/>
        <v>3.7373250453851461</v>
      </c>
      <c r="AS23" s="5">
        <f t="shared" si="25"/>
        <v>0.84009138698663521</v>
      </c>
      <c r="AT23" s="5">
        <f t="shared" si="98"/>
        <v>2.8972336583985108</v>
      </c>
      <c r="AU23" s="150">
        <f t="shared" si="99"/>
        <v>0.22478413752744925</v>
      </c>
      <c r="AW23" s="5">
        <f t="shared" si="26"/>
        <v>2.0162193287679244</v>
      </c>
      <c r="AX23" s="5">
        <f t="shared" si="27"/>
        <v>2.1422330368159197</v>
      </c>
      <c r="AY23" s="5">
        <f t="shared" si="28"/>
        <v>1.0856778317271367</v>
      </c>
      <c r="AZ23" s="5"/>
      <c r="BA23" s="150">
        <f t="shared" si="100"/>
        <v>1.6589689546153983</v>
      </c>
      <c r="BB23" s="150">
        <f t="shared" si="29"/>
        <v>2.9552259393798397</v>
      </c>
      <c r="BC23" s="150">
        <f t="shared" si="30"/>
        <v>0.59320477606243771</v>
      </c>
      <c r="BD23" s="150"/>
      <c r="BE23" s="456">
        <f t="shared" si="31"/>
        <v>3.302613590853249E-2</v>
      </c>
      <c r="BF23" s="456">
        <f t="shared" si="32"/>
        <v>1.9141163340986858</v>
      </c>
      <c r="BG23" s="456">
        <f t="shared" si="33"/>
        <v>3.0770671162788518E-2</v>
      </c>
      <c r="BH23" s="456">
        <f t="shared" si="34"/>
        <v>0.57922864993934187</v>
      </c>
      <c r="BI23">
        <f t="shared" si="35"/>
        <v>1.525808027167137E-2</v>
      </c>
      <c r="BJ23" s="144">
        <f t="shared" si="101"/>
        <v>46.028751434459892</v>
      </c>
      <c r="BK23">
        <f t="shared" si="36"/>
        <v>2.5553399545422404</v>
      </c>
      <c r="BL23" s="144">
        <f t="shared" si="102"/>
        <v>2555.3399545422403</v>
      </c>
      <c r="BM23" s="150">
        <f t="shared" si="37"/>
        <v>0.48283199999999998</v>
      </c>
      <c r="BN23" s="150">
        <f t="shared" si="38"/>
        <v>7.3286999999999991E-2</v>
      </c>
      <c r="BO23" s="456"/>
      <c r="BQ23" s="144">
        <f t="shared" si="103"/>
        <v>556.11900000000003</v>
      </c>
      <c r="BR23" s="456">
        <f t="shared" si="39"/>
        <v>3.8530491893287902E-2</v>
      </c>
      <c r="BS23" s="456">
        <f t="shared" si="104"/>
        <v>0.12226704493896838</v>
      </c>
      <c r="BT23" s="456">
        <f t="shared" si="40"/>
        <v>1.7594595317164344E-3</v>
      </c>
      <c r="BU23" s="456">
        <f t="shared" si="41"/>
        <v>5.2949024777625207</v>
      </c>
      <c r="BV23" s="456">
        <f t="shared" si="42"/>
        <v>5.5688941700013883</v>
      </c>
      <c r="BW23" s="538">
        <f t="shared" si="43"/>
        <v>0.98281378728912894</v>
      </c>
      <c r="BX23" s="144">
        <f t="shared" si="105"/>
        <v>6551.7079572905177</v>
      </c>
      <c r="BY23" s="150">
        <f t="shared" si="106"/>
        <v>9.6631669118327572</v>
      </c>
      <c r="BZ23" s="5">
        <f t="shared" si="107"/>
        <v>22.517999999999997</v>
      </c>
      <c r="CA23" s="150">
        <f t="shared" si="108"/>
        <v>0.69972602490434588</v>
      </c>
      <c r="CB23" s="5">
        <f t="shared" si="109"/>
        <v>69.972602490434582</v>
      </c>
      <c r="CC23">
        <f t="shared" si="110"/>
        <v>18</v>
      </c>
      <c r="CE23" s="59">
        <f t="shared" si="44"/>
        <v>-50</v>
      </c>
      <c r="CF23">
        <f t="shared" si="45"/>
        <v>-50</v>
      </c>
      <c r="CG23" s="150">
        <f t="shared" si="46"/>
        <v>0.24379054827108407</v>
      </c>
      <c r="CH23" s="150">
        <f t="shared" si="47"/>
        <v>5.1457825028634115E-2</v>
      </c>
      <c r="CI23" s="147">
        <v>18</v>
      </c>
      <c r="CJ23" s="188">
        <f t="shared" si="133"/>
        <v>0.72</v>
      </c>
      <c r="CK23" s="188">
        <f t="shared" si="111"/>
        <v>0.153</v>
      </c>
      <c r="CL23" s="188">
        <f t="shared" si="48"/>
        <v>21.599999999999998</v>
      </c>
      <c r="CM23" s="188">
        <f t="shared" si="134"/>
        <v>0.91799999999999993</v>
      </c>
      <c r="CN23" s="465">
        <f t="shared" si="112"/>
        <v>34</v>
      </c>
      <c r="CO23" s="379">
        <f t="shared" si="49"/>
        <v>30.7</v>
      </c>
      <c r="CP23" s="379">
        <f t="shared" si="50"/>
        <v>64.7</v>
      </c>
      <c r="CQ23" s="379"/>
      <c r="CR23" s="188">
        <f t="shared" si="113"/>
        <v>0.47204968944099374</v>
      </c>
      <c r="CS23" s="149">
        <f t="shared" si="114"/>
        <v>233.26341749863801</v>
      </c>
      <c r="CT23" s="149">
        <f t="shared" si="51"/>
        <v>9.9136952436921142</v>
      </c>
      <c r="CU23" s="188">
        <f t="shared" si="52"/>
        <v>7.7754472499545999</v>
      </c>
      <c r="CV23" s="188">
        <f t="shared" si="53"/>
        <v>38.877236249772999</v>
      </c>
      <c r="CW23" s="379">
        <f t="shared" si="54"/>
        <v>30</v>
      </c>
      <c r="CX23" s="188">
        <f t="shared" si="55"/>
        <v>2.8060356037151699</v>
      </c>
      <c r="CY23" s="188">
        <f t="shared" si="56"/>
        <v>0.38789315698415583</v>
      </c>
      <c r="CZ23" s="188">
        <f t="shared" si="57"/>
        <v>0.42958851262088921</v>
      </c>
      <c r="DA23" s="172">
        <f t="shared" si="58"/>
        <v>350</v>
      </c>
      <c r="DB23" s="379">
        <f t="shared" si="115"/>
        <v>350</v>
      </c>
      <c r="DD23" s="188">
        <f t="shared" si="59"/>
        <v>9.8072469146822137</v>
      </c>
      <c r="DE23" s="150">
        <f t="shared" si="60"/>
        <v>1.5014351954073746</v>
      </c>
      <c r="DF23" s="150">
        <f t="shared" si="61"/>
        <v>2.4718134248028734</v>
      </c>
      <c r="DG23" s="150"/>
      <c r="DH23" s="150">
        <f t="shared" si="62"/>
        <v>0.92784522751949461</v>
      </c>
      <c r="DI23" s="314">
        <f t="shared" si="63"/>
        <v>266.9604721276595</v>
      </c>
      <c r="DJ23" s="456">
        <f t="shared" si="64"/>
        <v>0.94395997276890675</v>
      </c>
      <c r="DL23" s="150">
        <f t="shared" si="65"/>
        <v>5.2323520140357713</v>
      </c>
      <c r="DM23" s="150">
        <f t="shared" si="66"/>
        <v>6.0606060606060606</v>
      </c>
      <c r="DN23" s="150">
        <f t="shared" si="67"/>
        <v>1.1525488412158054</v>
      </c>
      <c r="DP23" s="314">
        <f t="shared" si="68"/>
        <v>720</v>
      </c>
      <c r="DQ23" s="144">
        <f t="shared" si="69"/>
        <v>266.9604721276595</v>
      </c>
      <c r="DS23">
        <f t="shared" si="116"/>
        <v>720</v>
      </c>
      <c r="DT23" s="144">
        <f t="shared" si="70"/>
        <v>266.9604721276595</v>
      </c>
      <c r="DU23" s="144"/>
      <c r="DV23" s="5">
        <f t="shared" si="117"/>
        <v>3.7458729078131228</v>
      </c>
      <c r="DW23" s="5">
        <f t="shared" si="71"/>
        <v>0.83778966131907295</v>
      </c>
      <c r="DX23" s="5">
        <f t="shared" si="118"/>
        <v>2.9080832464940496</v>
      </c>
      <c r="DY23" s="150">
        <f t="shared" si="119"/>
        <v>0.22365672352941166</v>
      </c>
      <c r="EA23" s="5">
        <f t="shared" si="72"/>
        <v>2.010695187165775</v>
      </c>
      <c r="EB23" s="5">
        <f t="shared" si="73"/>
        <v>2.1363636363636358</v>
      </c>
      <c r="EC23" s="5">
        <f t="shared" si="74"/>
        <v>1.0867577530150772</v>
      </c>
      <c r="ED23" s="5"/>
      <c r="EE23" s="150">
        <f t="shared" si="120"/>
        <v>1.6548034117534327</v>
      </c>
      <c r="EF23" s="150">
        <f t="shared" si="75"/>
        <v>2.9573740846694703</v>
      </c>
      <c r="EG23" s="150">
        <f t="shared" si="76"/>
        <v>0.59363597491884468</v>
      </c>
      <c r="EH23" s="150"/>
      <c r="EI23" s="456">
        <f t="shared" si="77"/>
        <v>3.2860491978609609E-2</v>
      </c>
      <c r="EJ23" s="456">
        <f t="shared" si="78"/>
        <v>1.9889364144638293</v>
      </c>
      <c r="EK23" s="456">
        <f t="shared" si="79"/>
        <v>3.0700454294680848E-2</v>
      </c>
      <c r="EL23" s="456">
        <f t="shared" si="80"/>
        <v>0.57831689123289243</v>
      </c>
      <c r="EM23">
        <f t="shared" si="81"/>
        <v>1.5299999999999999E-2</v>
      </c>
      <c r="EN23" s="144">
        <f t="shared" si="121"/>
        <v>46.000454294680843</v>
      </c>
      <c r="EO23">
        <f t="shared" si="82"/>
        <v>2.6758789185872529</v>
      </c>
      <c r="EP23" s="144">
        <f t="shared" si="122"/>
        <v>2675.8789185872529</v>
      </c>
      <c r="EQ23" s="150">
        <f t="shared" si="83"/>
        <v>0.48283199999999998</v>
      </c>
      <c r="ER23" s="150">
        <f t="shared" si="84"/>
        <v>7.3286999999999991E-2</v>
      </c>
      <c r="ES23" s="456"/>
      <c r="EU23" s="144">
        <f t="shared" si="123"/>
        <v>556.11900000000003</v>
      </c>
      <c r="EV23" s="456">
        <f t="shared" si="85"/>
        <v>3.8337240641711214E-2</v>
      </c>
      <c r="EW23" s="456">
        <f t="shared" si="124"/>
        <v>0.12244486067344422</v>
      </c>
      <c r="EX23" s="456">
        <f t="shared" si="86"/>
        <v>1.762018353589236E-3</v>
      </c>
      <c r="EY23" s="456">
        <f t="shared" si="87"/>
        <v>5.264747512643674</v>
      </c>
      <c r="EZ23" s="456">
        <f t="shared" si="88"/>
        <v>5.5383199280042223</v>
      </c>
      <c r="FA23" s="538">
        <f t="shared" si="89"/>
        <v>0.98057106382978687</v>
      </c>
      <c r="FB23" s="144">
        <f t="shared" si="125"/>
        <v>6518.8909918340096</v>
      </c>
      <c r="FC23" s="150">
        <f t="shared" si="126"/>
        <v>9.7508889104212617</v>
      </c>
      <c r="FD23" s="5">
        <f t="shared" si="127"/>
        <v>22.517999999999997</v>
      </c>
      <c r="FE23" s="150">
        <f t="shared" si="128"/>
        <v>0.69782384086759786</v>
      </c>
      <c r="FF23" s="5">
        <f t="shared" si="129"/>
        <v>69.782384086759791</v>
      </c>
      <c r="FG23">
        <f t="shared" si="130"/>
        <v>18</v>
      </c>
      <c r="FI23" s="59">
        <f t="shared" si="90"/>
        <v>-50</v>
      </c>
      <c r="FJ23">
        <f t="shared" si="91"/>
        <v>-50</v>
      </c>
      <c r="FL23">
        <f t="shared" si="92"/>
        <v>0.2437905482710841</v>
      </c>
    </row>
    <row r="24" spans="5:168">
      <c r="E24" s="147">
        <v>19</v>
      </c>
      <c r="F24" s="188">
        <f t="shared" si="131"/>
        <v>0.76</v>
      </c>
      <c r="G24" s="188">
        <f t="shared" si="93"/>
        <v>0.1615</v>
      </c>
      <c r="H24" s="188">
        <f t="shared" si="0"/>
        <v>22.8</v>
      </c>
      <c r="I24" s="188">
        <f t="shared" si="132"/>
        <v>0.96900000000000008</v>
      </c>
      <c r="J24" s="465">
        <f t="shared" si="1"/>
        <v>33.906845048158601</v>
      </c>
      <c r="K24" s="379">
        <f t="shared" si="2"/>
        <v>30.770215829062796</v>
      </c>
      <c r="L24" s="149">
        <f t="shared" si="3"/>
        <v>64.677060877221393</v>
      </c>
      <c r="M24" s="379"/>
      <c r="N24" s="188">
        <f t="shared" si="4"/>
        <v>0.47575160979369358</v>
      </c>
      <c r="O24" s="149">
        <f t="shared" si="94"/>
        <v>234.44860278594263</v>
      </c>
      <c r="P24" s="149">
        <f t="shared" si="5"/>
        <v>9.9640656184025609</v>
      </c>
      <c r="Q24" s="188">
        <f t="shared" si="6"/>
        <v>7.8149534261980875</v>
      </c>
      <c r="R24" s="188">
        <f t="shared" si="7"/>
        <v>39.074767130990438</v>
      </c>
      <c r="S24" s="379">
        <f t="shared" si="8"/>
        <v>30</v>
      </c>
      <c r="T24" s="188">
        <f t="shared" si="9"/>
        <v>2.9469533309179412</v>
      </c>
      <c r="U24" s="188">
        <f t="shared" si="10"/>
        <v>0.40849216834069679</v>
      </c>
      <c r="V24" s="188">
        <f t="shared" si="11"/>
        <v>0.45013271054901766</v>
      </c>
      <c r="W24" s="172">
        <f t="shared" si="12"/>
        <v>350</v>
      </c>
      <c r="X24" s="379">
        <f t="shared" si="95"/>
        <v>350</v>
      </c>
      <c r="Z24" s="188">
        <f t="shared" si="13"/>
        <v>9.8062225621196237</v>
      </c>
      <c r="AA24" s="150">
        <f t="shared" si="14"/>
        <v>1.4978525434465899</v>
      </c>
      <c r="AB24" s="150">
        <f t="shared" si="15"/>
        <v>2.4656577420604195</v>
      </c>
      <c r="AC24" s="150"/>
      <c r="AD24" s="150">
        <f t="shared" si="16"/>
        <v>0.92572793909180973</v>
      </c>
      <c r="AE24" s="314">
        <f t="shared" si="17"/>
        <v>282.4361121222135</v>
      </c>
      <c r="AF24" s="456">
        <f t="shared" si="18"/>
        <v>0.94180591143705672</v>
      </c>
      <c r="AH24" s="150">
        <f t="shared" si="19"/>
        <v>5.3757306706308396</v>
      </c>
      <c r="AI24" s="150">
        <f t="shared" si="20"/>
        <v>6.0606060606060606</v>
      </c>
      <c r="AJ24" s="150">
        <f t="shared" si="21"/>
        <v>1.1613920640698363</v>
      </c>
      <c r="AL24" s="314">
        <f t="shared" si="22"/>
        <v>760</v>
      </c>
      <c r="AM24" s="144">
        <f t="shared" si="23"/>
        <v>282.4361121222135</v>
      </c>
      <c r="AO24">
        <f t="shared" si="96"/>
        <v>760</v>
      </c>
      <c r="AP24" s="144">
        <f t="shared" si="24"/>
        <v>282.4361121222135</v>
      </c>
      <c r="AQ24" s="144"/>
      <c r="AR24" s="5">
        <f t="shared" si="97"/>
        <v>3.5406237272069796</v>
      </c>
      <c r="AS24" s="5">
        <f t="shared" si="25"/>
        <v>0.84009138698663521</v>
      </c>
      <c r="AT24" s="5">
        <f t="shared" si="98"/>
        <v>2.7005323402203443</v>
      </c>
      <c r="AU24" s="150">
        <f t="shared" si="99"/>
        <v>0.23727214516786316</v>
      </c>
      <c r="AW24" s="5">
        <f t="shared" si="26"/>
        <v>2.1282315136994763</v>
      </c>
      <c r="AX24" s="5">
        <f t="shared" si="27"/>
        <v>2.261245983305693</v>
      </c>
      <c r="AY24" s="5">
        <f t="shared" si="28"/>
        <v>1.0681885700724623</v>
      </c>
      <c r="AZ24" s="5"/>
      <c r="BA24" s="150">
        <f t="shared" si="100"/>
        <v>1.7044285757203279</v>
      </c>
      <c r="BB24" s="150">
        <f t="shared" si="29"/>
        <v>2.9313263256984956</v>
      </c>
      <c r="BC24" s="150">
        <f t="shared" si="30"/>
        <v>0.5884073882238634</v>
      </c>
      <c r="BD24" s="150"/>
      <c r="BE24" s="456">
        <f t="shared" si="31"/>
        <v>3.4860921236784304E-2</v>
      </c>
      <c r="BF24" s="456">
        <f t="shared" si="32"/>
        <v>2.0204561304375019</v>
      </c>
      <c r="BG24" s="456">
        <f t="shared" si="33"/>
        <v>3.2480152894054558E-2</v>
      </c>
      <c r="BH24" s="456">
        <f t="shared" si="34"/>
        <v>0.61140801938041645</v>
      </c>
      <c r="BI24">
        <f t="shared" si="35"/>
        <v>1.525808027167137E-2</v>
      </c>
      <c r="BJ24" s="144">
        <f t="shared" si="101"/>
        <v>47.738233165725923</v>
      </c>
      <c r="BK24">
        <f t="shared" si="36"/>
        <v>2.6984889822889233</v>
      </c>
      <c r="BL24" s="144">
        <f t="shared" si="102"/>
        <v>2698.4889822889231</v>
      </c>
      <c r="BM24" s="150">
        <f t="shared" si="37"/>
        <v>0.50965599999999989</v>
      </c>
      <c r="BN24" s="150">
        <f t="shared" si="38"/>
        <v>7.7358499999999997E-2</v>
      </c>
      <c r="BO24" s="456"/>
      <c r="BQ24" s="144">
        <f t="shared" si="103"/>
        <v>587.01449999999988</v>
      </c>
      <c r="BR24" s="456">
        <f t="shared" si="39"/>
        <v>4.0671074776248359E-2</v>
      </c>
      <c r="BS24" s="456">
        <f t="shared" si="104"/>
        <v>0.12029743638826261</v>
      </c>
      <c r="BT24" s="456">
        <f t="shared" si="40"/>
        <v>1.7311162725821417E-3</v>
      </c>
      <c r="BU24" s="456">
        <f t="shared" si="41"/>
        <v>6.0612291785787384</v>
      </c>
      <c r="BV24" s="456">
        <f t="shared" si="42"/>
        <v>6.3455704727440354</v>
      </c>
      <c r="BW24" s="538">
        <f t="shared" si="43"/>
        <v>1.0374145532496364</v>
      </c>
      <c r="BX24" s="144">
        <f t="shared" si="105"/>
        <v>7382.985025993672</v>
      </c>
      <c r="BY24" s="150">
        <f t="shared" si="106"/>
        <v>10.668488508282595</v>
      </c>
      <c r="BZ24" s="5">
        <f t="shared" si="107"/>
        <v>23.769000000000002</v>
      </c>
      <c r="CA24" s="150">
        <f t="shared" si="108"/>
        <v>0.69020712687231223</v>
      </c>
      <c r="CB24" s="5">
        <f t="shared" si="109"/>
        <v>69.020712687231224</v>
      </c>
      <c r="CC24">
        <f t="shared" si="110"/>
        <v>19</v>
      </c>
      <c r="CE24" s="59">
        <f t="shared" si="44"/>
        <v>-50</v>
      </c>
      <c r="CF24">
        <f t="shared" si="45"/>
        <v>-50</v>
      </c>
      <c r="CG24" s="150">
        <f t="shared" si="46"/>
        <v>0.2573344676194777</v>
      </c>
      <c r="CH24" s="150">
        <f t="shared" si="47"/>
        <v>5.4316593085780469E-2</v>
      </c>
      <c r="CI24" s="147">
        <v>19</v>
      </c>
      <c r="CJ24" s="188">
        <f t="shared" si="133"/>
        <v>0.76</v>
      </c>
      <c r="CK24" s="188">
        <f t="shared" si="111"/>
        <v>0.1615</v>
      </c>
      <c r="CL24" s="188">
        <f t="shared" si="48"/>
        <v>22.8</v>
      </c>
      <c r="CM24" s="188">
        <f t="shared" si="134"/>
        <v>0.96900000000000008</v>
      </c>
      <c r="CN24" s="465">
        <f t="shared" si="112"/>
        <v>34</v>
      </c>
      <c r="CO24" s="379">
        <f t="shared" si="49"/>
        <v>30.7</v>
      </c>
      <c r="CP24" s="379">
        <f t="shared" si="50"/>
        <v>64.7</v>
      </c>
      <c r="CQ24" s="379"/>
      <c r="CR24" s="188">
        <f t="shared" si="113"/>
        <v>0.47204968944099374</v>
      </c>
      <c r="CS24" s="149">
        <f t="shared" si="114"/>
        <v>233.26341749863801</v>
      </c>
      <c r="CT24" s="149">
        <f t="shared" si="51"/>
        <v>9.9136952436921142</v>
      </c>
      <c r="CU24" s="188">
        <f t="shared" si="52"/>
        <v>7.7754472499545999</v>
      </c>
      <c r="CV24" s="188">
        <f t="shared" si="53"/>
        <v>38.877236249772999</v>
      </c>
      <c r="CW24" s="379">
        <f t="shared" si="54"/>
        <v>30</v>
      </c>
      <c r="CX24" s="188">
        <f t="shared" si="55"/>
        <v>2.9619264705882355</v>
      </c>
      <c r="CY24" s="188">
        <f t="shared" si="56"/>
        <v>0.40944277681660901</v>
      </c>
      <c r="CZ24" s="188">
        <f t="shared" si="57"/>
        <v>0.45345454109982758</v>
      </c>
      <c r="DA24" s="172">
        <f t="shared" si="58"/>
        <v>350</v>
      </c>
      <c r="DB24" s="379">
        <f t="shared" si="115"/>
        <v>350</v>
      </c>
      <c r="DD24" s="188">
        <f t="shared" si="59"/>
        <v>9.8072469146822137</v>
      </c>
      <c r="DE24" s="150">
        <f t="shared" si="60"/>
        <v>1.5014351954073746</v>
      </c>
      <c r="DF24" s="150">
        <f t="shared" si="61"/>
        <v>2.4718134248028734</v>
      </c>
      <c r="DG24" s="150"/>
      <c r="DH24" s="150">
        <f t="shared" si="62"/>
        <v>0.92784522751949461</v>
      </c>
      <c r="DI24" s="314">
        <f t="shared" si="63"/>
        <v>281.79160946808508</v>
      </c>
      <c r="DJ24" s="456">
        <f t="shared" si="64"/>
        <v>0.94395997276890675</v>
      </c>
      <c r="DL24" s="150">
        <f t="shared" si="65"/>
        <v>5.3757306706308396</v>
      </c>
      <c r="DM24" s="150">
        <f t="shared" si="66"/>
        <v>6.0606060606060606</v>
      </c>
      <c r="DN24" s="150">
        <f t="shared" si="67"/>
        <v>1.1610237768389058</v>
      </c>
      <c r="DP24" s="314">
        <f t="shared" si="68"/>
        <v>760</v>
      </c>
      <c r="DQ24" s="144">
        <f t="shared" si="69"/>
        <v>281.79160946808508</v>
      </c>
      <c r="DS24">
        <f t="shared" si="116"/>
        <v>760</v>
      </c>
      <c r="DT24" s="144">
        <f t="shared" si="70"/>
        <v>281.79160946808508</v>
      </c>
      <c r="DU24" s="144"/>
      <c r="DV24" s="5">
        <f t="shared" si="117"/>
        <v>3.5487217021387472</v>
      </c>
      <c r="DW24" s="5">
        <f t="shared" si="71"/>
        <v>0.83778966131907295</v>
      </c>
      <c r="DX24" s="5">
        <f t="shared" si="118"/>
        <v>2.7109320408196744</v>
      </c>
      <c r="DY24" s="150">
        <f t="shared" si="119"/>
        <v>0.23608209705882346</v>
      </c>
      <c r="EA24" s="5">
        <f t="shared" si="72"/>
        <v>2.1224004753416512</v>
      </c>
      <c r="EB24" s="5">
        <f t="shared" si="73"/>
        <v>2.2550505050505047</v>
      </c>
      <c r="EC24" s="5">
        <f t="shared" si="74"/>
        <v>1.0693641960326743</v>
      </c>
      <c r="ED24" s="5"/>
      <c r="EE24" s="150">
        <f t="shared" si="120"/>
        <v>1.7001488872622832</v>
      </c>
      <c r="EF24" s="150">
        <f t="shared" si="75"/>
        <v>2.9336122391376351</v>
      </c>
      <c r="EG24" s="150">
        <f t="shared" si="76"/>
        <v>0.58886624138689669</v>
      </c>
      <c r="EH24" s="150"/>
      <c r="EI24" s="456">
        <f t="shared" si="77"/>
        <v>3.468607486631016E-2</v>
      </c>
      <c r="EJ24" s="456">
        <f t="shared" si="78"/>
        <v>2.0994328819340424</v>
      </c>
      <c r="EK24" s="456">
        <f t="shared" si="79"/>
        <v>3.2406035088829784E-2</v>
      </c>
      <c r="EL24" s="456">
        <f t="shared" si="80"/>
        <v>0.61044560741249776</v>
      </c>
      <c r="EM24">
        <f t="shared" si="81"/>
        <v>1.5299999999999999E-2</v>
      </c>
      <c r="EN24" s="144">
        <f t="shared" si="121"/>
        <v>47.706035088829786</v>
      </c>
      <c r="EO24">
        <f t="shared" si="82"/>
        <v>2.8249171438356124</v>
      </c>
      <c r="EP24" s="144">
        <f t="shared" si="122"/>
        <v>2824.9171438356125</v>
      </c>
      <c r="EQ24" s="150">
        <f t="shared" si="83"/>
        <v>0.50965599999999989</v>
      </c>
      <c r="ER24" s="150">
        <f t="shared" si="84"/>
        <v>7.7358499999999997E-2</v>
      </c>
      <c r="ES24" s="456"/>
      <c r="EU24" s="144">
        <f t="shared" si="123"/>
        <v>587.01449999999988</v>
      </c>
      <c r="EV24" s="456">
        <f t="shared" si="85"/>
        <v>4.046708734402852E-2</v>
      </c>
      <c r="EW24" s="456">
        <f t="shared" si="124"/>
        <v>0.12048513077465382</v>
      </c>
      <c r="EX24" s="456">
        <f t="shared" si="86"/>
        <v>1.7338172512256546E-3</v>
      </c>
      <c r="EY24" s="456">
        <f t="shared" si="87"/>
        <v>6.0267099111842954</v>
      </c>
      <c r="EZ24" s="456">
        <f t="shared" si="88"/>
        <v>6.3105719495541424</v>
      </c>
      <c r="FA24" s="538">
        <f t="shared" si="89"/>
        <v>1.0350472340425532</v>
      </c>
      <c r="FB24" s="144">
        <f t="shared" si="125"/>
        <v>7345.6191835966956</v>
      </c>
      <c r="FC24" s="150">
        <f t="shared" si="126"/>
        <v>10.757550827432308</v>
      </c>
      <c r="FD24" s="5">
        <f t="shared" si="127"/>
        <v>23.769000000000002</v>
      </c>
      <c r="FE24" s="150">
        <f t="shared" si="128"/>
        <v>0.68842671597288152</v>
      </c>
      <c r="FF24" s="5">
        <f t="shared" si="129"/>
        <v>68.842671597288145</v>
      </c>
      <c r="FG24">
        <f t="shared" si="130"/>
        <v>19</v>
      </c>
      <c r="FI24" s="59">
        <f t="shared" si="90"/>
        <v>-50</v>
      </c>
      <c r="FJ24">
        <f t="shared" si="91"/>
        <v>-50</v>
      </c>
      <c r="FL24">
        <f t="shared" si="92"/>
        <v>0.2573344676194777</v>
      </c>
    </row>
    <row r="25" spans="5:168">
      <c r="E25" s="147">
        <v>20</v>
      </c>
      <c r="F25" s="188">
        <f t="shared" si="131"/>
        <v>0.8</v>
      </c>
      <c r="G25" s="188">
        <f t="shared" si="93"/>
        <v>0.17</v>
      </c>
      <c r="H25" s="188">
        <f t="shared" si="0"/>
        <v>24</v>
      </c>
      <c r="I25" s="188">
        <f t="shared" si="132"/>
        <v>1.02</v>
      </c>
      <c r="J25" s="465">
        <f t="shared" si="1"/>
        <v>33.906845048158601</v>
      </c>
      <c r="K25" s="379">
        <f t="shared" si="2"/>
        <v>30.770215829062796</v>
      </c>
      <c r="L25" s="149">
        <f t="shared" si="3"/>
        <v>64.677060877221393</v>
      </c>
      <c r="M25" s="379"/>
      <c r="N25" s="188">
        <f t="shared" si="4"/>
        <v>0.47575160979369358</v>
      </c>
      <c r="O25" s="149">
        <f t="shared" si="94"/>
        <v>234.44860278594263</v>
      </c>
      <c r="P25" s="149">
        <f t="shared" si="5"/>
        <v>9.9640656184025609</v>
      </c>
      <c r="Q25" s="188">
        <f t="shared" si="6"/>
        <v>7.8149534261980875</v>
      </c>
      <c r="R25" s="188">
        <f t="shared" si="7"/>
        <v>39.074767130990438</v>
      </c>
      <c r="S25" s="379">
        <f t="shared" si="8"/>
        <v>30</v>
      </c>
      <c r="T25" s="188">
        <f t="shared" si="9"/>
        <v>3.1020561378083591</v>
      </c>
      <c r="U25" s="188">
        <f t="shared" si="10"/>
        <v>0.42999175614810181</v>
      </c>
      <c r="V25" s="188">
        <f t="shared" si="11"/>
        <v>0.47382390584107115</v>
      </c>
      <c r="W25" s="172">
        <f t="shared" si="12"/>
        <v>350</v>
      </c>
      <c r="X25" s="379">
        <f t="shared" si="95"/>
        <v>350</v>
      </c>
      <c r="Z25" s="188">
        <f t="shared" si="13"/>
        <v>9.8062225621196237</v>
      </c>
      <c r="AA25" s="150">
        <f t="shared" si="14"/>
        <v>1.4978525434465899</v>
      </c>
      <c r="AB25" s="150">
        <f t="shared" si="15"/>
        <v>2.4656577420604195</v>
      </c>
      <c r="AC25" s="150"/>
      <c r="AD25" s="150">
        <f t="shared" si="16"/>
        <v>0.92572793909180973</v>
      </c>
      <c r="AE25" s="314">
        <f t="shared" si="17"/>
        <v>297.3011706549616</v>
      </c>
      <c r="AF25" s="456">
        <f t="shared" si="18"/>
        <v>0.94180591143705672</v>
      </c>
      <c r="AH25" s="150">
        <f t="shared" si="19"/>
        <v>5.5153832947074486</v>
      </c>
      <c r="AI25" s="150">
        <f t="shared" si="20"/>
        <v>6.0606060606060606</v>
      </c>
      <c r="AJ25" s="150">
        <f t="shared" si="21"/>
        <v>1.1698863832314066</v>
      </c>
      <c r="AL25" s="314">
        <f t="shared" si="22"/>
        <v>800</v>
      </c>
      <c r="AM25" s="144">
        <f t="shared" si="23"/>
        <v>297.3011706549616</v>
      </c>
      <c r="AO25">
        <f t="shared" si="96"/>
        <v>800</v>
      </c>
      <c r="AP25" s="144">
        <f t="shared" si="24"/>
        <v>297.3011706549616</v>
      </c>
      <c r="AQ25" s="144"/>
      <c r="AR25" s="5">
        <f t="shared" si="97"/>
        <v>3.3635925408466303</v>
      </c>
      <c r="AS25" s="5">
        <f t="shared" si="25"/>
        <v>0.84009138698663521</v>
      </c>
      <c r="AT25" s="5">
        <f t="shared" si="98"/>
        <v>2.523501153859995</v>
      </c>
      <c r="AU25" s="150">
        <f t="shared" si="99"/>
        <v>0.24976015280827704</v>
      </c>
      <c r="AW25" s="5">
        <f t="shared" si="26"/>
        <v>2.2402436986310272</v>
      </c>
      <c r="AX25" s="5">
        <f t="shared" si="27"/>
        <v>2.3802589297954664</v>
      </c>
      <c r="AY25" s="5">
        <f t="shared" si="28"/>
        <v>1.0506993084177878</v>
      </c>
      <c r="AZ25" s="5"/>
      <c r="BA25" s="150">
        <f t="shared" si="100"/>
        <v>1.7487068213643882</v>
      </c>
      <c r="BB25" s="150">
        <f t="shared" si="29"/>
        <v>2.9072302459011796</v>
      </c>
      <c r="BC25" s="150">
        <f t="shared" si="30"/>
        <v>0.58357056359070203</v>
      </c>
      <c r="BD25" s="150"/>
      <c r="BE25" s="456">
        <f t="shared" si="31"/>
        <v>3.669570656503611E-2</v>
      </c>
      <c r="BF25" s="456">
        <f t="shared" si="32"/>
        <v>2.1267959267763183</v>
      </c>
      <c r="BG25" s="456">
        <f t="shared" si="33"/>
        <v>3.4189634625320584E-2</v>
      </c>
      <c r="BH25" s="456">
        <f t="shared" si="34"/>
        <v>0.64358738882149114</v>
      </c>
      <c r="BI25">
        <f t="shared" si="35"/>
        <v>1.525808027167137E-2</v>
      </c>
      <c r="BJ25" s="144">
        <f t="shared" si="101"/>
        <v>49.447714896991954</v>
      </c>
      <c r="BK25">
        <f t="shared" si="36"/>
        <v>2.8417639180187888</v>
      </c>
      <c r="BL25" s="144">
        <f t="shared" si="102"/>
        <v>2841.7639180187889</v>
      </c>
      <c r="BM25" s="150">
        <f t="shared" si="37"/>
        <v>0.53647999999999996</v>
      </c>
      <c r="BN25" s="150">
        <f t="shared" si="38"/>
        <v>8.1430000000000002E-2</v>
      </c>
      <c r="BO25" s="456"/>
      <c r="BQ25" s="144">
        <f t="shared" si="103"/>
        <v>617.91</v>
      </c>
      <c r="BR25" s="456">
        <f t="shared" si="39"/>
        <v>4.2811657659208795E-2</v>
      </c>
      <c r="BS25" s="456">
        <f t="shared" si="104"/>
        <v>0.11832782783755687</v>
      </c>
      <c r="BT25" s="456">
        <f t="shared" si="40"/>
        <v>1.7027730134478482E-3</v>
      </c>
      <c r="BU25" s="456">
        <f t="shared" si="41"/>
        <v>6.8905151515220684</v>
      </c>
      <c r="BV25" s="456">
        <f t="shared" si="42"/>
        <v>7.1860550264982246</v>
      </c>
      <c r="BW25" s="538">
        <f t="shared" si="43"/>
        <v>1.0920153192101436</v>
      </c>
      <c r="BX25" s="144">
        <f t="shared" si="105"/>
        <v>8278.0703457083673</v>
      </c>
      <c r="BY25" s="150">
        <f t="shared" si="106"/>
        <v>11.737744263727159</v>
      </c>
      <c r="BZ25" s="5">
        <f t="shared" si="107"/>
        <v>25.02</v>
      </c>
      <c r="CA25" s="150">
        <f t="shared" si="108"/>
        <v>0.68067288951378713</v>
      </c>
      <c r="CB25" s="5">
        <f t="shared" si="109"/>
        <v>68.067288951378714</v>
      </c>
      <c r="CC25">
        <f t="shared" si="110"/>
        <v>20</v>
      </c>
      <c r="CE25" s="59">
        <f t="shared" si="44"/>
        <v>-50</v>
      </c>
      <c r="CF25">
        <f t="shared" si="45"/>
        <v>-50</v>
      </c>
      <c r="CG25" s="150">
        <f t="shared" si="46"/>
        <v>0.27087838696787125</v>
      </c>
      <c r="CH25" s="150">
        <f t="shared" si="47"/>
        <v>5.7175361142926803E-2</v>
      </c>
      <c r="CI25" s="147">
        <v>20</v>
      </c>
      <c r="CJ25" s="188">
        <f t="shared" si="133"/>
        <v>0.8</v>
      </c>
      <c r="CK25" s="188">
        <f t="shared" si="111"/>
        <v>0.17</v>
      </c>
      <c r="CL25" s="188">
        <f t="shared" si="48"/>
        <v>24</v>
      </c>
      <c r="CM25" s="188">
        <f t="shared" si="134"/>
        <v>1.02</v>
      </c>
      <c r="CN25" s="465">
        <f t="shared" si="112"/>
        <v>34</v>
      </c>
      <c r="CO25" s="379">
        <f t="shared" si="49"/>
        <v>30.7</v>
      </c>
      <c r="CP25" s="379">
        <f t="shared" si="50"/>
        <v>64.7</v>
      </c>
      <c r="CQ25" s="379"/>
      <c r="CR25" s="188">
        <f t="shared" si="113"/>
        <v>0.47204968944099374</v>
      </c>
      <c r="CS25" s="149">
        <f t="shared" si="114"/>
        <v>233.26341749863801</v>
      </c>
      <c r="CT25" s="149">
        <f t="shared" si="51"/>
        <v>9.9136952436921142</v>
      </c>
      <c r="CU25" s="188">
        <f t="shared" si="52"/>
        <v>7.7754472499545999</v>
      </c>
      <c r="CV25" s="188">
        <f t="shared" si="53"/>
        <v>38.877236249772999</v>
      </c>
      <c r="CW25" s="379">
        <f t="shared" si="54"/>
        <v>30</v>
      </c>
      <c r="CX25" s="188">
        <f t="shared" si="55"/>
        <v>3.1178173374613003</v>
      </c>
      <c r="CY25" s="188">
        <f t="shared" si="56"/>
        <v>0.43099239664906208</v>
      </c>
      <c r="CZ25" s="188">
        <f t="shared" si="57"/>
        <v>0.47732056957876579</v>
      </c>
      <c r="DA25" s="172">
        <f t="shared" si="58"/>
        <v>350</v>
      </c>
      <c r="DB25" s="379">
        <f t="shared" si="115"/>
        <v>350</v>
      </c>
      <c r="DD25" s="188">
        <f t="shared" si="59"/>
        <v>9.8072469146822137</v>
      </c>
      <c r="DE25" s="150">
        <f t="shared" si="60"/>
        <v>1.5014351954073746</v>
      </c>
      <c r="DF25" s="150">
        <f t="shared" si="61"/>
        <v>2.4718134248028734</v>
      </c>
      <c r="DG25" s="150"/>
      <c r="DH25" s="150">
        <f t="shared" si="62"/>
        <v>0.92784522751949461</v>
      </c>
      <c r="DI25" s="314">
        <f t="shared" si="63"/>
        <v>296.62274680851067</v>
      </c>
      <c r="DJ25" s="456">
        <f t="shared" si="64"/>
        <v>0.94395997276890675</v>
      </c>
      <c r="DL25" s="150">
        <f t="shared" si="65"/>
        <v>5.5153832947074486</v>
      </c>
      <c r="DM25" s="150">
        <f t="shared" si="66"/>
        <v>6.0606060606060606</v>
      </c>
      <c r="DN25" s="150">
        <f t="shared" si="67"/>
        <v>1.1694987124620062</v>
      </c>
      <c r="DP25" s="314">
        <f t="shared" si="68"/>
        <v>800</v>
      </c>
      <c r="DQ25" s="144">
        <f t="shared" si="69"/>
        <v>296.62274680851067</v>
      </c>
      <c r="DS25">
        <f t="shared" si="116"/>
        <v>800</v>
      </c>
      <c r="DT25" s="144">
        <f t="shared" si="70"/>
        <v>296.62274680851067</v>
      </c>
      <c r="DU25" s="144"/>
      <c r="DV25" s="5">
        <f t="shared" si="117"/>
        <v>3.3712856170318091</v>
      </c>
      <c r="DW25" s="5">
        <f t="shared" si="71"/>
        <v>0.83778966131907295</v>
      </c>
      <c r="DX25" s="5">
        <f t="shared" si="118"/>
        <v>2.5334959557127359</v>
      </c>
      <c r="DY25" s="150">
        <f t="shared" si="119"/>
        <v>0.2485074705882353</v>
      </c>
      <c r="EA25" s="5">
        <f t="shared" si="72"/>
        <v>2.2341057635175279</v>
      </c>
      <c r="EB25" s="5">
        <f t="shared" si="73"/>
        <v>2.3737373737373737</v>
      </c>
      <c r="EC25" s="5">
        <f t="shared" si="74"/>
        <v>1.0519706390502708</v>
      </c>
      <c r="ED25" s="5"/>
      <c r="EE25" s="150">
        <f t="shared" si="120"/>
        <v>1.7443159536527659</v>
      </c>
      <c r="EF25" s="150">
        <f t="shared" si="75"/>
        <v>2.9096563478461968</v>
      </c>
      <c r="EG25" s="150">
        <f t="shared" si="76"/>
        <v>0.58405755690035766</v>
      </c>
      <c r="EH25" s="150"/>
      <c r="EI25" s="456">
        <f t="shared" si="77"/>
        <v>3.6511657754010697E-2</v>
      </c>
      <c r="EJ25" s="456">
        <f t="shared" si="78"/>
        <v>2.2099293494042556</v>
      </c>
      <c r="EK25" s="456">
        <f t="shared" si="79"/>
        <v>3.411161588297873E-2</v>
      </c>
      <c r="EL25" s="456">
        <f t="shared" si="80"/>
        <v>0.64257432359210287</v>
      </c>
      <c r="EM25">
        <f t="shared" si="81"/>
        <v>1.5299999999999999E-2</v>
      </c>
      <c r="EN25" s="144">
        <f t="shared" si="121"/>
        <v>49.41161588297873</v>
      </c>
      <c r="EO25">
        <f t="shared" si="82"/>
        <v>2.9740857937322502</v>
      </c>
      <c r="EP25" s="144">
        <f t="shared" si="122"/>
        <v>2974.0857937322503</v>
      </c>
      <c r="EQ25" s="150">
        <f t="shared" si="83"/>
        <v>0.53647999999999996</v>
      </c>
      <c r="ER25" s="150">
        <f t="shared" si="84"/>
        <v>8.1430000000000002E-2</v>
      </c>
      <c r="ES25" s="456"/>
      <c r="EU25" s="144">
        <f t="shared" si="123"/>
        <v>617.91</v>
      </c>
      <c r="EV25" s="456">
        <f t="shared" si="85"/>
        <v>4.2596934046345819E-2</v>
      </c>
      <c r="EW25" s="456">
        <f t="shared" si="124"/>
        <v>0.11852540087586337</v>
      </c>
      <c r="EX25" s="456">
        <f t="shared" si="86"/>
        <v>1.7056161488620725E-3</v>
      </c>
      <c r="EY25" s="456">
        <f t="shared" si="87"/>
        <v>6.8512730229054064</v>
      </c>
      <c r="EZ25" s="456">
        <f t="shared" si="88"/>
        <v>7.1462686649955041</v>
      </c>
      <c r="FA25" s="538">
        <f t="shared" si="89"/>
        <v>1.0895234042553192</v>
      </c>
      <c r="FB25" s="144">
        <f t="shared" si="125"/>
        <v>8235.7920692508233</v>
      </c>
      <c r="FC25" s="150">
        <f t="shared" si="126"/>
        <v>11.827787862983074</v>
      </c>
      <c r="FD25" s="5">
        <f t="shared" si="127"/>
        <v>25.02</v>
      </c>
      <c r="FE25" s="150">
        <f t="shared" si="128"/>
        <v>0.67900955392589102</v>
      </c>
      <c r="FF25" s="5">
        <f t="shared" si="129"/>
        <v>67.900955392589097</v>
      </c>
      <c r="FG25">
        <f t="shared" si="130"/>
        <v>20</v>
      </c>
      <c r="FI25" s="59">
        <f t="shared" si="90"/>
        <v>-50</v>
      </c>
      <c r="FJ25">
        <f t="shared" si="91"/>
        <v>-50</v>
      </c>
      <c r="FL25">
        <f t="shared" si="92"/>
        <v>0.27087838696787125</v>
      </c>
    </row>
    <row r="26" spans="5:168">
      <c r="E26" s="147">
        <v>21</v>
      </c>
      <c r="F26" s="188">
        <f t="shared" si="131"/>
        <v>0.84</v>
      </c>
      <c r="G26" s="188">
        <f t="shared" si="93"/>
        <v>0.17849999999999999</v>
      </c>
      <c r="H26" s="188">
        <f t="shared" si="0"/>
        <v>25.2</v>
      </c>
      <c r="I26" s="188">
        <f t="shared" si="132"/>
        <v>1.071</v>
      </c>
      <c r="J26" s="465">
        <f t="shared" si="1"/>
        <v>33.906845048158601</v>
      </c>
      <c r="K26" s="379">
        <f t="shared" si="2"/>
        <v>30.770215829062796</v>
      </c>
      <c r="L26" s="149">
        <f t="shared" si="3"/>
        <v>64.677060877221393</v>
      </c>
      <c r="M26" s="379"/>
      <c r="N26" s="188">
        <f t="shared" si="4"/>
        <v>0.47575160979369358</v>
      </c>
      <c r="O26" s="149">
        <f t="shared" si="94"/>
        <v>234.44860278594263</v>
      </c>
      <c r="P26" s="149">
        <f t="shared" si="5"/>
        <v>9.9640656184025609</v>
      </c>
      <c r="Q26" s="188">
        <f t="shared" si="6"/>
        <v>7.8149534261980875</v>
      </c>
      <c r="R26" s="188">
        <f t="shared" si="7"/>
        <v>39.074767130990438</v>
      </c>
      <c r="S26" s="379">
        <f t="shared" si="8"/>
        <v>30</v>
      </c>
      <c r="T26" s="188">
        <f t="shared" si="9"/>
        <v>3.257158944698777</v>
      </c>
      <c r="U26" s="188">
        <f t="shared" si="10"/>
        <v>0.45149134395550694</v>
      </c>
      <c r="V26" s="188">
        <f t="shared" si="11"/>
        <v>0.49751510113312469</v>
      </c>
      <c r="W26" s="172">
        <f t="shared" si="12"/>
        <v>350</v>
      </c>
      <c r="X26" s="379">
        <f t="shared" si="95"/>
        <v>350</v>
      </c>
      <c r="Z26" s="188">
        <f t="shared" si="13"/>
        <v>9.8062225621196237</v>
      </c>
      <c r="AA26" s="150">
        <f t="shared" si="14"/>
        <v>1.4978525434465899</v>
      </c>
      <c r="AB26" s="150">
        <f t="shared" si="15"/>
        <v>2.4656577420604195</v>
      </c>
      <c r="AC26" s="150"/>
      <c r="AD26" s="150">
        <f t="shared" si="16"/>
        <v>0.92572793909180973</v>
      </c>
      <c r="AE26" s="314">
        <f t="shared" si="17"/>
        <v>312.16622918770958</v>
      </c>
      <c r="AF26" s="456">
        <f t="shared" si="18"/>
        <v>0.94180591143705672</v>
      </c>
      <c r="AH26" s="150">
        <f t="shared" si="19"/>
        <v>5.6515861076263265</v>
      </c>
      <c r="AI26" s="150">
        <f t="shared" si="20"/>
        <v>6.0606060606060606</v>
      </c>
      <c r="AJ26" s="150">
        <f t="shared" si="21"/>
        <v>1.1783807023929769</v>
      </c>
      <c r="AL26" s="314">
        <f t="shared" si="22"/>
        <v>840</v>
      </c>
      <c r="AM26" s="144">
        <f t="shared" si="23"/>
        <v>312.16622918770958</v>
      </c>
      <c r="AO26">
        <f t="shared" si="96"/>
        <v>840</v>
      </c>
      <c r="AP26" s="144">
        <f t="shared" si="24"/>
        <v>312.16622918770958</v>
      </c>
      <c r="AQ26" s="144"/>
      <c r="AR26" s="5">
        <f t="shared" si="97"/>
        <v>3.2034214674729822</v>
      </c>
      <c r="AS26" s="5">
        <f t="shared" si="25"/>
        <v>0.84009138698663521</v>
      </c>
      <c r="AT26" s="5">
        <f t="shared" si="98"/>
        <v>2.3633300804863469</v>
      </c>
      <c r="AU26" s="150">
        <f t="shared" si="99"/>
        <v>0.26224816044869081</v>
      </c>
      <c r="AW26" s="5">
        <f t="shared" si="26"/>
        <v>2.3522558835625782</v>
      </c>
      <c r="AX26" s="5">
        <f t="shared" si="27"/>
        <v>2.4992718762852402</v>
      </c>
      <c r="AY26" s="5">
        <f t="shared" si="28"/>
        <v>1.0332100467631138</v>
      </c>
      <c r="AZ26" s="5"/>
      <c r="BA26" s="150">
        <f t="shared" si="100"/>
        <v>1.791891270261859</v>
      </c>
      <c r="BB26" s="150">
        <f t="shared" si="29"/>
        <v>2.8829327736928283</v>
      </c>
      <c r="BC26" s="150">
        <f t="shared" si="30"/>
        <v>0.57869331330395657</v>
      </c>
      <c r="BD26" s="150"/>
      <c r="BE26" s="456">
        <f t="shared" si="31"/>
        <v>3.8530491893287909E-2</v>
      </c>
      <c r="BF26" s="456">
        <f t="shared" si="32"/>
        <v>2.2331357231151334</v>
      </c>
      <c r="BG26" s="456">
        <f t="shared" si="33"/>
        <v>3.5899116356586609E-2</v>
      </c>
      <c r="BH26" s="456">
        <f t="shared" si="34"/>
        <v>0.67576675826256538</v>
      </c>
      <c r="BI26">
        <f t="shared" si="35"/>
        <v>1.525808027167137E-2</v>
      </c>
      <c r="BJ26" s="144">
        <f t="shared" si="101"/>
        <v>51.157196628257978</v>
      </c>
      <c r="BK26">
        <f t="shared" si="36"/>
        <v>2.9851649279201262</v>
      </c>
      <c r="BL26" s="144">
        <f t="shared" si="102"/>
        <v>2985.164927920126</v>
      </c>
      <c r="BM26" s="150">
        <f t="shared" si="37"/>
        <v>0.56330399999999992</v>
      </c>
      <c r="BN26" s="150">
        <f t="shared" si="38"/>
        <v>8.5501499999999994E-2</v>
      </c>
      <c r="BO26" s="456"/>
      <c r="BQ26" s="144">
        <f t="shared" si="103"/>
        <v>648.80549999999994</v>
      </c>
      <c r="BR26" s="456">
        <f t="shared" si="39"/>
        <v>4.4952240542169224E-2</v>
      </c>
      <c r="BS26" s="456">
        <f t="shared" si="104"/>
        <v>0.11635821928685114</v>
      </c>
      <c r="BT26" s="456">
        <f t="shared" si="40"/>
        <v>1.6744297543135561E-3</v>
      </c>
      <c r="BU26" s="456">
        <f t="shared" si="41"/>
        <v>7.7843963384494046</v>
      </c>
      <c r="BV26" s="456">
        <f t="shared" si="42"/>
        <v>8.0920075987316817</v>
      </c>
      <c r="BW26" s="538">
        <f t="shared" si="43"/>
        <v>1.1466160851706506</v>
      </c>
      <c r="BX26" s="144">
        <f t="shared" si="105"/>
        <v>9238.6236839023331</v>
      </c>
      <c r="BY26" s="150">
        <f t="shared" si="106"/>
        <v>12.872594111822458</v>
      </c>
      <c r="BZ26" s="5">
        <f t="shared" si="107"/>
        <v>26.271000000000001</v>
      </c>
      <c r="CA26" s="150">
        <f t="shared" si="108"/>
        <v>0.67114429822031663</v>
      </c>
      <c r="CB26" s="5">
        <f t="shared" si="109"/>
        <v>67.114429822031667</v>
      </c>
      <c r="CC26">
        <f t="shared" si="110"/>
        <v>21</v>
      </c>
      <c r="CE26" s="59">
        <f t="shared" si="44"/>
        <v>-50</v>
      </c>
      <c r="CF26">
        <f t="shared" si="45"/>
        <v>-50</v>
      </c>
      <c r="CG26" s="150">
        <f t="shared" si="46"/>
        <v>0.28442230631626481</v>
      </c>
      <c r="CH26" s="150">
        <f t="shared" si="47"/>
        <v>6.0034129200073144E-2</v>
      </c>
      <c r="CI26" s="147">
        <v>21</v>
      </c>
      <c r="CJ26" s="188">
        <f t="shared" si="133"/>
        <v>0.84</v>
      </c>
      <c r="CK26" s="188">
        <f t="shared" si="111"/>
        <v>0.17849999999999999</v>
      </c>
      <c r="CL26" s="188">
        <f t="shared" si="48"/>
        <v>25.2</v>
      </c>
      <c r="CM26" s="188">
        <f t="shared" si="134"/>
        <v>1.071</v>
      </c>
      <c r="CN26" s="465">
        <f t="shared" si="112"/>
        <v>34</v>
      </c>
      <c r="CO26" s="379">
        <f t="shared" si="49"/>
        <v>30.7</v>
      </c>
      <c r="CP26" s="379">
        <f t="shared" si="50"/>
        <v>64.7</v>
      </c>
      <c r="CQ26" s="379"/>
      <c r="CR26" s="188">
        <f t="shared" si="113"/>
        <v>0.47204968944099374</v>
      </c>
      <c r="CS26" s="149">
        <f t="shared" si="114"/>
        <v>233.26341749863801</v>
      </c>
      <c r="CT26" s="149">
        <f t="shared" si="51"/>
        <v>9.9136952436921142</v>
      </c>
      <c r="CU26" s="188">
        <f t="shared" si="52"/>
        <v>7.7754472499545999</v>
      </c>
      <c r="CV26" s="188">
        <f t="shared" si="53"/>
        <v>38.877236249772999</v>
      </c>
      <c r="CW26" s="379">
        <f t="shared" si="54"/>
        <v>30</v>
      </c>
      <c r="CX26" s="188">
        <f t="shared" si="55"/>
        <v>3.2737082043343655</v>
      </c>
      <c r="CY26" s="188">
        <f t="shared" si="56"/>
        <v>0.45254201648151521</v>
      </c>
      <c r="CZ26" s="188">
        <f t="shared" si="57"/>
        <v>0.50118659805770416</v>
      </c>
      <c r="DA26" s="172">
        <f t="shared" si="58"/>
        <v>350</v>
      </c>
      <c r="DB26" s="379">
        <f t="shared" si="115"/>
        <v>350</v>
      </c>
      <c r="DD26" s="188">
        <f t="shared" si="59"/>
        <v>9.8072469146822137</v>
      </c>
      <c r="DE26" s="150">
        <f t="shared" si="60"/>
        <v>1.5014351954073746</v>
      </c>
      <c r="DF26" s="150">
        <f t="shared" si="61"/>
        <v>2.4718134248028734</v>
      </c>
      <c r="DG26" s="150"/>
      <c r="DH26" s="150">
        <f t="shared" si="62"/>
        <v>0.92784522751949461</v>
      </c>
      <c r="DI26" s="314">
        <f t="shared" si="63"/>
        <v>311.4538841489362</v>
      </c>
      <c r="DJ26" s="456">
        <f t="shared" si="64"/>
        <v>0.94395997276890675</v>
      </c>
      <c r="DL26" s="150">
        <f t="shared" si="65"/>
        <v>5.6515861076263265</v>
      </c>
      <c r="DM26" s="150">
        <f t="shared" si="66"/>
        <v>6.0606060606060606</v>
      </c>
      <c r="DN26" s="150">
        <f t="shared" si="67"/>
        <v>1.1779736480851064</v>
      </c>
      <c r="DP26" s="314">
        <f t="shared" si="68"/>
        <v>840</v>
      </c>
      <c r="DQ26" s="144">
        <f t="shared" si="69"/>
        <v>311.4538841489362</v>
      </c>
      <c r="DS26">
        <f t="shared" si="116"/>
        <v>840</v>
      </c>
      <c r="DT26" s="144">
        <f t="shared" si="70"/>
        <v>311.4538841489362</v>
      </c>
      <c r="DU26" s="144"/>
      <c r="DV26" s="5">
        <f t="shared" si="117"/>
        <v>3.210748206696961</v>
      </c>
      <c r="DW26" s="5">
        <f t="shared" si="71"/>
        <v>0.83778966131907295</v>
      </c>
      <c r="DX26" s="5">
        <f t="shared" si="118"/>
        <v>2.3729585453778883</v>
      </c>
      <c r="DY26" s="150">
        <f t="shared" si="119"/>
        <v>0.26093284411764706</v>
      </c>
      <c r="EA26" s="5">
        <f t="shared" si="72"/>
        <v>2.3458110516934041</v>
      </c>
      <c r="EB26" s="5">
        <f t="shared" si="73"/>
        <v>2.4924242424242418</v>
      </c>
      <c r="EC26" s="5">
        <f t="shared" si="74"/>
        <v>1.0345770820678681</v>
      </c>
      <c r="ED26" s="5"/>
      <c r="EE26" s="150">
        <f t="shared" si="120"/>
        <v>1.7873919697357756</v>
      </c>
      <c r="EF26" s="150">
        <f t="shared" si="75"/>
        <v>2.8855015778032791</v>
      </c>
      <c r="EG26" s="150">
        <f t="shared" si="76"/>
        <v>0.57920895132905037</v>
      </c>
      <c r="EH26" s="150"/>
      <c r="EI26" s="456">
        <f t="shared" si="77"/>
        <v>3.8337240641711227E-2</v>
      </c>
      <c r="EJ26" s="456">
        <f t="shared" si="78"/>
        <v>2.3204258168744683</v>
      </c>
      <c r="EK26" s="456">
        <f t="shared" si="79"/>
        <v>3.5817196677127669E-2</v>
      </c>
      <c r="EL26" s="456">
        <f t="shared" si="80"/>
        <v>0.67470303977170809</v>
      </c>
      <c r="EM26">
        <f t="shared" si="81"/>
        <v>1.5299999999999999E-2</v>
      </c>
      <c r="EN26" s="144">
        <f t="shared" si="121"/>
        <v>51.117196677127673</v>
      </c>
      <c r="EO26">
        <f t="shared" si="82"/>
        <v>3.1233850395557301</v>
      </c>
      <c r="EP26" s="144">
        <f t="shared" si="122"/>
        <v>3123.3850395557301</v>
      </c>
      <c r="EQ26" s="150">
        <f t="shared" si="83"/>
        <v>0.56330399999999992</v>
      </c>
      <c r="ER26" s="150">
        <f t="shared" si="84"/>
        <v>8.5501499999999994E-2</v>
      </c>
      <c r="ES26" s="456"/>
      <c r="EU26" s="144">
        <f t="shared" si="123"/>
        <v>648.80549999999994</v>
      </c>
      <c r="EV26" s="456">
        <f t="shared" si="85"/>
        <v>4.4726780748663104E-2</v>
      </c>
      <c r="EW26" s="456">
        <f t="shared" si="124"/>
        <v>0.11656567097707299</v>
      </c>
      <c r="EX26" s="456">
        <f t="shared" si="86"/>
        <v>1.6774150464984913E-3</v>
      </c>
      <c r="EY26" s="456">
        <f t="shared" si="87"/>
        <v>7.7400634728219444</v>
      </c>
      <c r="EZ26" s="456">
        <f t="shared" si="88"/>
        <v>8.0470603762130821</v>
      </c>
      <c r="FA26" s="538">
        <f t="shared" si="89"/>
        <v>1.1439995744680853</v>
      </c>
      <c r="FB26" s="144">
        <f t="shared" si="125"/>
        <v>9191.0599506811668</v>
      </c>
      <c r="FC26" s="150">
        <f t="shared" si="126"/>
        <v>12.963250490236897</v>
      </c>
      <c r="FD26" s="5">
        <f t="shared" si="127"/>
        <v>26.271000000000001</v>
      </c>
      <c r="FE26" s="150">
        <f t="shared" si="128"/>
        <v>0.66959352279553075</v>
      </c>
      <c r="FF26" s="5">
        <f t="shared" si="129"/>
        <v>66.959352279553073</v>
      </c>
      <c r="FG26">
        <f t="shared" si="130"/>
        <v>21</v>
      </c>
      <c r="FI26" s="59">
        <f t="shared" si="90"/>
        <v>-50</v>
      </c>
      <c r="FJ26">
        <f t="shared" si="91"/>
        <v>-50</v>
      </c>
      <c r="FL26">
        <f t="shared" si="92"/>
        <v>0.28442230631626481</v>
      </c>
    </row>
    <row r="27" spans="5:168">
      <c r="E27" s="147">
        <v>22</v>
      </c>
      <c r="F27" s="188">
        <f t="shared" si="131"/>
        <v>0.88</v>
      </c>
      <c r="G27" s="188">
        <f t="shared" si="93"/>
        <v>0.187</v>
      </c>
      <c r="H27" s="188">
        <f t="shared" si="0"/>
        <v>26.4</v>
      </c>
      <c r="I27" s="188">
        <f t="shared" si="132"/>
        <v>1.1219999999999999</v>
      </c>
      <c r="J27" s="465">
        <f t="shared" si="1"/>
        <v>33.906845048158601</v>
      </c>
      <c r="K27" s="379">
        <f t="shared" si="2"/>
        <v>30.770215829062796</v>
      </c>
      <c r="L27" s="149">
        <f t="shared" si="3"/>
        <v>64.677060877221393</v>
      </c>
      <c r="M27" s="379"/>
      <c r="N27" s="188">
        <f t="shared" si="4"/>
        <v>0.47575160979369358</v>
      </c>
      <c r="O27" s="149">
        <f t="shared" si="94"/>
        <v>234.44860278594263</v>
      </c>
      <c r="P27" s="149">
        <f t="shared" si="5"/>
        <v>9.9640656184025609</v>
      </c>
      <c r="Q27" s="188">
        <f t="shared" si="6"/>
        <v>7.8149534261980875</v>
      </c>
      <c r="R27" s="188">
        <f t="shared" si="7"/>
        <v>39.074767130990438</v>
      </c>
      <c r="S27" s="379">
        <f t="shared" si="8"/>
        <v>30</v>
      </c>
      <c r="T27" s="188">
        <f t="shared" si="9"/>
        <v>3.4122617515891949</v>
      </c>
      <c r="U27" s="188">
        <f t="shared" si="10"/>
        <v>0.47299093176291196</v>
      </c>
      <c r="V27" s="188">
        <f t="shared" si="11"/>
        <v>0.52120629642517824</v>
      </c>
      <c r="W27" s="172">
        <f t="shared" si="12"/>
        <v>350</v>
      </c>
      <c r="X27" s="379">
        <f t="shared" si="95"/>
        <v>350</v>
      </c>
      <c r="Z27" s="188">
        <f t="shared" si="13"/>
        <v>9.8062225621196237</v>
      </c>
      <c r="AA27" s="150">
        <f t="shared" si="14"/>
        <v>1.4978525434465899</v>
      </c>
      <c r="AB27" s="150">
        <f t="shared" si="15"/>
        <v>2.4656577420604195</v>
      </c>
      <c r="AC27" s="150"/>
      <c r="AD27" s="150">
        <f t="shared" si="16"/>
        <v>0.92572793909180973</v>
      </c>
      <c r="AE27" s="314">
        <f t="shared" si="17"/>
        <v>327.03128772045773</v>
      </c>
      <c r="AF27" s="456">
        <f t="shared" si="18"/>
        <v>0.94180591143705672</v>
      </c>
      <c r="AH27" s="150">
        <f t="shared" si="19"/>
        <v>5.784582800539015</v>
      </c>
      <c r="AI27" s="150">
        <f t="shared" si="20"/>
        <v>6.0606060606060606</v>
      </c>
      <c r="AJ27" s="150">
        <f t="shared" si="21"/>
        <v>1.1868750215545472</v>
      </c>
      <c r="AL27" s="314">
        <f t="shared" si="22"/>
        <v>880</v>
      </c>
      <c r="AM27" s="144">
        <f t="shared" si="23"/>
        <v>327.03128772045773</v>
      </c>
      <c r="AO27">
        <f t="shared" si="96"/>
        <v>880</v>
      </c>
      <c r="AP27" s="144">
        <f t="shared" si="24"/>
        <v>327.03128772045773</v>
      </c>
      <c r="AQ27" s="144"/>
      <c r="AR27" s="5">
        <f t="shared" si="97"/>
        <v>3.0578114007696646</v>
      </c>
      <c r="AS27" s="5">
        <f t="shared" si="25"/>
        <v>0.84009138698663521</v>
      </c>
      <c r="AT27" s="5">
        <f t="shared" si="98"/>
        <v>2.2177200137830293</v>
      </c>
      <c r="AU27" s="150">
        <f t="shared" si="99"/>
        <v>0.27473616808910467</v>
      </c>
      <c r="AW27" s="5">
        <f t="shared" si="26"/>
        <v>2.46426806849413</v>
      </c>
      <c r="AX27" s="5">
        <f t="shared" si="27"/>
        <v>2.6182848227750135</v>
      </c>
      <c r="AY27" s="5">
        <f t="shared" si="28"/>
        <v>1.0157207851084398</v>
      </c>
      <c r="AZ27" s="5"/>
      <c r="BA27" s="150">
        <f t="shared" si="100"/>
        <v>1.834059187102471</v>
      </c>
      <c r="BB27" s="150">
        <f t="shared" si="29"/>
        <v>2.8584287733966387</v>
      </c>
      <c r="BC27" s="150">
        <f t="shared" si="30"/>
        <v>0.57377460647527145</v>
      </c>
      <c r="BD27" s="150"/>
      <c r="BE27" s="456">
        <f t="shared" si="31"/>
        <v>4.0365277221539722E-2</v>
      </c>
      <c r="BF27" s="456">
        <f t="shared" si="32"/>
        <v>2.3394755194539498</v>
      </c>
      <c r="BG27" s="456">
        <f t="shared" si="33"/>
        <v>3.7608598087852642E-2</v>
      </c>
      <c r="BH27" s="456">
        <f t="shared" si="34"/>
        <v>0.70794612770364018</v>
      </c>
      <c r="BI27">
        <f t="shared" si="35"/>
        <v>1.525808027167137E-2</v>
      </c>
      <c r="BJ27" s="144">
        <f t="shared" si="101"/>
        <v>52.866678359524009</v>
      </c>
      <c r="BK27">
        <f t="shared" si="36"/>
        <v>3.1286921784738357</v>
      </c>
      <c r="BL27" s="144">
        <f t="shared" si="102"/>
        <v>3128.6921784738356</v>
      </c>
      <c r="BM27" s="150">
        <f t="shared" si="37"/>
        <v>0.59012799999999999</v>
      </c>
      <c r="BN27" s="150">
        <f t="shared" si="38"/>
        <v>8.9573E-2</v>
      </c>
      <c r="BO27" s="456"/>
      <c r="BQ27" s="144">
        <f t="shared" si="103"/>
        <v>679.70100000000002</v>
      </c>
      <c r="BR27" s="456">
        <f t="shared" si="39"/>
        <v>4.7092823425129673E-2</v>
      </c>
      <c r="BS27" s="456">
        <f t="shared" si="104"/>
        <v>0.11438861073614538</v>
      </c>
      <c r="BT27" s="456">
        <f t="shared" si="40"/>
        <v>1.6460864951792632E-3</v>
      </c>
      <c r="BU27" s="456">
        <f t="shared" si="41"/>
        <v>8.7444682438338752</v>
      </c>
      <c r="BV27" s="456">
        <f t="shared" si="42"/>
        <v>9.0650470615911942</v>
      </c>
      <c r="BW27" s="538">
        <f t="shared" si="43"/>
        <v>1.2012168511311578</v>
      </c>
      <c r="BX27" s="144">
        <f t="shared" si="105"/>
        <v>10266.263912722352</v>
      </c>
      <c r="BY27" s="150">
        <f t="shared" si="106"/>
        <v>14.074657091196187</v>
      </c>
      <c r="BZ27" s="5">
        <f t="shared" si="107"/>
        <v>27.521999999999998</v>
      </c>
      <c r="CA27" s="150">
        <f t="shared" si="108"/>
        <v>0.66163970675963168</v>
      </c>
      <c r="CB27" s="5">
        <f t="shared" si="109"/>
        <v>66.163970675963171</v>
      </c>
      <c r="CC27">
        <f t="shared" si="110"/>
        <v>22</v>
      </c>
      <c r="CE27" s="59">
        <f t="shared" si="44"/>
        <v>-50</v>
      </c>
      <c r="CF27">
        <f t="shared" si="45"/>
        <v>-50</v>
      </c>
      <c r="CG27" s="150">
        <f t="shared" si="46"/>
        <v>0.29796622566465836</v>
      </c>
      <c r="CH27" s="150">
        <f t="shared" si="47"/>
        <v>6.2892897257219471E-2</v>
      </c>
      <c r="CI27" s="147">
        <v>22</v>
      </c>
      <c r="CJ27" s="188">
        <f t="shared" si="133"/>
        <v>0.88</v>
      </c>
      <c r="CK27" s="188">
        <f t="shared" si="111"/>
        <v>0.187</v>
      </c>
      <c r="CL27" s="188">
        <f t="shared" si="48"/>
        <v>26.4</v>
      </c>
      <c r="CM27" s="188">
        <f t="shared" si="134"/>
        <v>1.1219999999999999</v>
      </c>
      <c r="CN27" s="465">
        <f t="shared" si="112"/>
        <v>34</v>
      </c>
      <c r="CO27" s="379">
        <f t="shared" si="49"/>
        <v>30.7</v>
      </c>
      <c r="CP27" s="379">
        <f t="shared" si="50"/>
        <v>64.7</v>
      </c>
      <c r="CQ27" s="379"/>
      <c r="CR27" s="188">
        <f t="shared" si="113"/>
        <v>0.47204968944099374</v>
      </c>
      <c r="CS27" s="149">
        <f t="shared" si="114"/>
        <v>233.26341749863801</v>
      </c>
      <c r="CT27" s="149">
        <f t="shared" si="51"/>
        <v>9.9136952436921142</v>
      </c>
      <c r="CU27" s="188">
        <f t="shared" si="52"/>
        <v>7.7754472499545999</v>
      </c>
      <c r="CV27" s="188">
        <f t="shared" si="53"/>
        <v>38.877236249772999</v>
      </c>
      <c r="CW27" s="379">
        <f t="shared" si="54"/>
        <v>30</v>
      </c>
      <c r="CX27" s="188">
        <f t="shared" si="55"/>
        <v>3.4295990712074302</v>
      </c>
      <c r="CY27" s="188">
        <f t="shared" si="56"/>
        <v>0.47409163631396828</v>
      </c>
      <c r="CZ27" s="188">
        <f t="shared" si="57"/>
        <v>0.52505262653664231</v>
      </c>
      <c r="DA27" s="172">
        <f t="shared" si="58"/>
        <v>350</v>
      </c>
      <c r="DB27" s="379">
        <f t="shared" si="115"/>
        <v>350</v>
      </c>
      <c r="DD27" s="188">
        <f t="shared" si="59"/>
        <v>9.8072469146822137</v>
      </c>
      <c r="DE27" s="150">
        <f t="shared" si="60"/>
        <v>1.5014351954073746</v>
      </c>
      <c r="DF27" s="150">
        <f t="shared" si="61"/>
        <v>2.4718134248028734</v>
      </c>
      <c r="DG27" s="150"/>
      <c r="DH27" s="150">
        <f t="shared" si="62"/>
        <v>0.92784522751949461</v>
      </c>
      <c r="DI27" s="314">
        <f t="shared" si="63"/>
        <v>326.28502148936172</v>
      </c>
      <c r="DJ27" s="456">
        <f t="shared" si="64"/>
        <v>0.94395997276890675</v>
      </c>
      <c r="DL27" s="150">
        <f t="shared" si="65"/>
        <v>5.784582800539015</v>
      </c>
      <c r="DM27" s="150">
        <f t="shared" si="66"/>
        <v>6.0606060606060606</v>
      </c>
      <c r="DN27" s="150">
        <f t="shared" si="67"/>
        <v>1.1864485837082066</v>
      </c>
      <c r="DP27" s="314">
        <f t="shared" si="68"/>
        <v>880</v>
      </c>
      <c r="DQ27" s="144">
        <f t="shared" si="69"/>
        <v>326.28502148936172</v>
      </c>
      <c r="DS27">
        <f t="shared" si="116"/>
        <v>880</v>
      </c>
      <c r="DT27" s="144">
        <f t="shared" si="70"/>
        <v>326.28502148936172</v>
      </c>
      <c r="DU27" s="144"/>
      <c r="DV27" s="5">
        <f t="shared" si="117"/>
        <v>3.0648051063925541</v>
      </c>
      <c r="DW27" s="5">
        <f t="shared" si="71"/>
        <v>0.83778966131907295</v>
      </c>
      <c r="DX27" s="5">
        <f t="shared" si="118"/>
        <v>2.2270154450734809</v>
      </c>
      <c r="DY27" s="150">
        <f t="shared" si="119"/>
        <v>0.27335821764705881</v>
      </c>
      <c r="EA27" s="5">
        <f t="shared" si="72"/>
        <v>2.4575163398692812</v>
      </c>
      <c r="EB27" s="5">
        <f t="shared" si="73"/>
        <v>2.6111111111111107</v>
      </c>
      <c r="EC27" s="5">
        <f t="shared" si="74"/>
        <v>1.0171835250854651</v>
      </c>
      <c r="ED27" s="5"/>
      <c r="EE27" s="150">
        <f t="shared" si="120"/>
        <v>1.829454006195377</v>
      </c>
      <c r="EF27" s="150">
        <f t="shared" si="75"/>
        <v>2.8611428920011583</v>
      </c>
      <c r="EG27" s="150">
        <f t="shared" si="76"/>
        <v>0.57431941359054017</v>
      </c>
      <c r="EH27" s="150"/>
      <c r="EI27" s="456">
        <f t="shared" si="77"/>
        <v>4.0162823529411779E-2</v>
      </c>
      <c r="EJ27" s="456">
        <f t="shared" si="78"/>
        <v>2.4309222843446814</v>
      </c>
      <c r="EK27" s="456">
        <f t="shared" si="79"/>
        <v>3.7522777471276601E-2</v>
      </c>
      <c r="EL27" s="456">
        <f t="shared" si="80"/>
        <v>0.70683175595131331</v>
      </c>
      <c r="EM27">
        <f t="shared" si="81"/>
        <v>1.5299999999999999E-2</v>
      </c>
      <c r="EN27" s="144">
        <f t="shared" si="121"/>
        <v>52.822777471276602</v>
      </c>
      <c r="EO27">
        <f t="shared" si="82"/>
        <v>3.2728150528846505</v>
      </c>
      <c r="EP27" s="144">
        <f t="shared" si="122"/>
        <v>3272.8150528846504</v>
      </c>
      <c r="EQ27" s="150">
        <f t="shared" si="83"/>
        <v>0.59012799999999999</v>
      </c>
      <c r="ER27" s="150">
        <f t="shared" si="84"/>
        <v>8.9573E-2</v>
      </c>
      <c r="ES27" s="456"/>
      <c r="EU27" s="144">
        <f t="shared" si="123"/>
        <v>679.70100000000002</v>
      </c>
      <c r="EV27" s="456">
        <f t="shared" si="85"/>
        <v>4.6856627450980404E-2</v>
      </c>
      <c r="EW27" s="456">
        <f t="shared" si="124"/>
        <v>0.11460594107828254</v>
      </c>
      <c r="EX27" s="456">
        <f t="shared" si="86"/>
        <v>1.6492139441349096E-3</v>
      </c>
      <c r="EY27" s="456">
        <f t="shared" si="87"/>
        <v>8.6946676788597106</v>
      </c>
      <c r="EZ27" s="456">
        <f t="shared" si="88"/>
        <v>9.0145567223418208</v>
      </c>
      <c r="FA27" s="538">
        <f t="shared" si="89"/>
        <v>1.1984757446808512</v>
      </c>
      <c r="FB27" s="144">
        <f t="shared" si="125"/>
        <v>10213.032467022671</v>
      </c>
      <c r="FC27" s="150">
        <f t="shared" si="126"/>
        <v>14.165548519907322</v>
      </c>
      <c r="FD27" s="5">
        <f t="shared" si="127"/>
        <v>27.521999999999998</v>
      </c>
      <c r="FE27" s="150">
        <f t="shared" si="128"/>
        <v>0.66019713264878699</v>
      </c>
      <c r="FF27" s="5">
        <f t="shared" si="129"/>
        <v>66.019713264878703</v>
      </c>
      <c r="FG27">
        <f t="shared" si="130"/>
        <v>22</v>
      </c>
      <c r="FI27" s="59">
        <f t="shared" si="90"/>
        <v>-50</v>
      </c>
      <c r="FJ27">
        <f t="shared" si="91"/>
        <v>-50</v>
      </c>
      <c r="FL27">
        <f t="shared" si="92"/>
        <v>0.29796622566465836</v>
      </c>
    </row>
    <row r="28" spans="5:168">
      <c r="E28" s="147">
        <v>23</v>
      </c>
      <c r="F28" s="188">
        <f t="shared" si="131"/>
        <v>0.92</v>
      </c>
      <c r="G28" s="188">
        <f t="shared" si="93"/>
        <v>0.19550000000000001</v>
      </c>
      <c r="H28" s="188">
        <f t="shared" si="0"/>
        <v>27.6</v>
      </c>
      <c r="I28" s="188">
        <f t="shared" si="132"/>
        <v>1.173</v>
      </c>
      <c r="J28" s="465">
        <f t="shared" si="1"/>
        <v>33.906845048158601</v>
      </c>
      <c r="K28" s="379">
        <f t="shared" si="2"/>
        <v>30.770215829062796</v>
      </c>
      <c r="L28" s="149">
        <f t="shared" si="3"/>
        <v>64.677060877221393</v>
      </c>
      <c r="M28" s="379"/>
      <c r="N28" s="188">
        <f t="shared" si="4"/>
        <v>0.47575160979369358</v>
      </c>
      <c r="O28" s="149">
        <f t="shared" si="94"/>
        <v>234.44860278594263</v>
      </c>
      <c r="P28" s="149">
        <f t="shared" si="5"/>
        <v>9.9640656184025609</v>
      </c>
      <c r="Q28" s="188">
        <f t="shared" si="6"/>
        <v>7.8149534261980875</v>
      </c>
      <c r="R28" s="188">
        <f t="shared" si="7"/>
        <v>39.074767130990438</v>
      </c>
      <c r="S28" s="379">
        <f t="shared" si="8"/>
        <v>30</v>
      </c>
      <c r="T28" s="188">
        <f t="shared" si="9"/>
        <v>3.5673645584796132</v>
      </c>
      <c r="U28" s="188">
        <f t="shared" si="10"/>
        <v>0.49449051957031714</v>
      </c>
      <c r="V28" s="188">
        <f t="shared" si="11"/>
        <v>0.5448974917172319</v>
      </c>
      <c r="W28" s="172">
        <f t="shared" si="12"/>
        <v>350</v>
      </c>
      <c r="X28" s="379">
        <f t="shared" si="95"/>
        <v>350</v>
      </c>
      <c r="Z28" s="188">
        <f t="shared" si="13"/>
        <v>9.8062225621196237</v>
      </c>
      <c r="AA28" s="150">
        <f t="shared" si="14"/>
        <v>1.4978525434465899</v>
      </c>
      <c r="AB28" s="150">
        <f t="shared" si="15"/>
        <v>2.4656577420604195</v>
      </c>
      <c r="AC28" s="150"/>
      <c r="AD28" s="150">
        <f t="shared" si="16"/>
        <v>0.92572793909180973</v>
      </c>
      <c r="AE28" s="314">
        <f t="shared" si="17"/>
        <v>341.89634625320582</v>
      </c>
      <c r="AF28" s="456">
        <f t="shared" si="18"/>
        <v>0.94180591143705672</v>
      </c>
      <c r="AH28" s="150">
        <f t="shared" si="19"/>
        <v>5.9145896578434503</v>
      </c>
      <c r="AI28" s="150">
        <f t="shared" si="20"/>
        <v>6.0606060606060606</v>
      </c>
      <c r="AJ28" s="150">
        <f t="shared" si="21"/>
        <v>1.1953693407161177</v>
      </c>
      <c r="AL28" s="314">
        <f t="shared" si="22"/>
        <v>920</v>
      </c>
      <c r="AM28" s="144">
        <f t="shared" si="23"/>
        <v>341.89634625320582</v>
      </c>
      <c r="AO28">
        <f t="shared" si="96"/>
        <v>920</v>
      </c>
      <c r="AP28" s="144">
        <f t="shared" si="24"/>
        <v>341.89634625320582</v>
      </c>
      <c r="AQ28" s="144"/>
      <c r="AR28" s="5">
        <f t="shared" si="97"/>
        <v>2.9248630789970704</v>
      </c>
      <c r="AS28" s="5">
        <f t="shared" si="25"/>
        <v>0.84009138698663521</v>
      </c>
      <c r="AT28" s="5">
        <f t="shared" si="98"/>
        <v>2.0847716920104351</v>
      </c>
      <c r="AU28" s="150">
        <f t="shared" si="99"/>
        <v>0.28722417572951853</v>
      </c>
      <c r="AW28" s="5">
        <f t="shared" si="26"/>
        <v>2.5762802534256819</v>
      </c>
      <c r="AX28" s="5">
        <f t="shared" si="27"/>
        <v>2.7372977692647864</v>
      </c>
      <c r="AY28" s="5">
        <f t="shared" si="28"/>
        <v>0.99823152345376531</v>
      </c>
      <c r="AZ28" s="5"/>
      <c r="BA28" s="150">
        <f t="shared" si="100"/>
        <v>1.8752791469936665</v>
      </c>
      <c r="BB28" s="150">
        <f t="shared" si="29"/>
        <v>2.8337128872790562</v>
      </c>
      <c r="BC28" s="150">
        <f t="shared" si="30"/>
        <v>0.56881336764266899</v>
      </c>
      <c r="BD28" s="150"/>
      <c r="BE28" s="456">
        <f t="shared" si="31"/>
        <v>4.2200062549791521E-2</v>
      </c>
      <c r="BF28" s="456">
        <f t="shared" si="32"/>
        <v>2.4458153157927662</v>
      </c>
      <c r="BG28" s="456">
        <f t="shared" si="33"/>
        <v>3.9318079819118675E-2</v>
      </c>
      <c r="BH28" s="456">
        <f t="shared" si="34"/>
        <v>0.74012549714471476</v>
      </c>
      <c r="BI28">
        <f t="shared" si="35"/>
        <v>1.525808027167137E-2</v>
      </c>
      <c r="BJ28" s="144">
        <f t="shared" si="101"/>
        <v>54.57616009079004</v>
      </c>
      <c r="BK28">
        <f t="shared" si="36"/>
        <v>3.2723458364540554</v>
      </c>
      <c r="BL28" s="144">
        <f t="shared" si="102"/>
        <v>3272.3458364540552</v>
      </c>
      <c r="BM28" s="150">
        <f t="shared" si="37"/>
        <v>0.61695199999999994</v>
      </c>
      <c r="BN28" s="150">
        <f t="shared" si="38"/>
        <v>9.3644500000000006E-2</v>
      </c>
      <c r="BO28" s="456"/>
      <c r="BQ28" s="144">
        <f t="shared" si="103"/>
        <v>710.59649999999999</v>
      </c>
      <c r="BR28" s="456">
        <f t="shared" si="39"/>
        <v>4.9233406308090109E-2</v>
      </c>
      <c r="BS28" s="456">
        <f t="shared" si="104"/>
        <v>0.11241900218543968</v>
      </c>
      <c r="BT28" s="456">
        <f t="shared" si="40"/>
        <v>1.6177432360449707E-3</v>
      </c>
      <c r="BU28" s="456">
        <f t="shared" si="41"/>
        <v>9.7722887939678209</v>
      </c>
      <c r="BV28" s="456">
        <f t="shared" si="42"/>
        <v>10.106754286581591</v>
      </c>
      <c r="BW28" s="538">
        <f t="shared" si="43"/>
        <v>1.2558176170916651</v>
      </c>
      <c r="BX28" s="144">
        <f t="shared" si="105"/>
        <v>11362.571903673255</v>
      </c>
      <c r="BY28" s="150">
        <f t="shared" si="106"/>
        <v>15.345514240127311</v>
      </c>
      <c r="BZ28" s="5">
        <f t="shared" si="107"/>
        <v>28.773000000000003</v>
      </c>
      <c r="CA28" s="150">
        <f t="shared" si="108"/>
        <v>0.65217518077319947</v>
      </c>
      <c r="CB28" s="5">
        <f t="shared" si="109"/>
        <v>65.217518077319951</v>
      </c>
      <c r="CC28">
        <f t="shared" si="110"/>
        <v>23</v>
      </c>
      <c r="CE28" s="59">
        <f t="shared" si="44"/>
        <v>-50</v>
      </c>
      <c r="CF28">
        <f t="shared" si="45"/>
        <v>-50</v>
      </c>
      <c r="CG28" s="150">
        <f t="shared" si="46"/>
        <v>0.31151014501305191</v>
      </c>
      <c r="CH28" s="150">
        <f t="shared" si="47"/>
        <v>6.5751665314365826E-2</v>
      </c>
      <c r="CI28" s="147">
        <v>23</v>
      </c>
      <c r="CJ28" s="188">
        <f t="shared" si="133"/>
        <v>0.92</v>
      </c>
      <c r="CK28" s="188">
        <f t="shared" si="111"/>
        <v>0.19550000000000001</v>
      </c>
      <c r="CL28" s="188">
        <f t="shared" si="48"/>
        <v>27.6</v>
      </c>
      <c r="CM28" s="188">
        <f t="shared" si="134"/>
        <v>1.173</v>
      </c>
      <c r="CN28" s="465">
        <f t="shared" si="112"/>
        <v>34</v>
      </c>
      <c r="CO28" s="379">
        <f t="shared" si="49"/>
        <v>30.7</v>
      </c>
      <c r="CP28" s="379">
        <f t="shared" si="50"/>
        <v>64.7</v>
      </c>
      <c r="CQ28" s="379"/>
      <c r="CR28" s="188">
        <f t="shared" si="113"/>
        <v>0.47204968944099374</v>
      </c>
      <c r="CS28" s="149">
        <f t="shared" si="114"/>
        <v>233.26341749863801</v>
      </c>
      <c r="CT28" s="149">
        <f t="shared" si="51"/>
        <v>9.9136952436921142</v>
      </c>
      <c r="CU28" s="188">
        <f t="shared" si="52"/>
        <v>7.7754472499545999</v>
      </c>
      <c r="CV28" s="188">
        <f t="shared" si="53"/>
        <v>38.877236249772999</v>
      </c>
      <c r="CW28" s="379">
        <f t="shared" si="54"/>
        <v>30</v>
      </c>
      <c r="CX28" s="188">
        <f t="shared" si="55"/>
        <v>3.5854899380804959</v>
      </c>
      <c r="CY28" s="188">
        <f t="shared" si="56"/>
        <v>0.49564125614642141</v>
      </c>
      <c r="CZ28" s="188">
        <f t="shared" si="57"/>
        <v>0.54891865501558079</v>
      </c>
      <c r="DA28" s="172">
        <f t="shared" si="58"/>
        <v>350</v>
      </c>
      <c r="DB28" s="379">
        <f t="shared" si="115"/>
        <v>350</v>
      </c>
      <c r="DD28" s="188">
        <f t="shared" si="59"/>
        <v>9.8072469146822137</v>
      </c>
      <c r="DE28" s="150">
        <f t="shared" si="60"/>
        <v>1.5014351954073746</v>
      </c>
      <c r="DF28" s="150">
        <f t="shared" si="61"/>
        <v>2.4718134248028734</v>
      </c>
      <c r="DG28" s="150"/>
      <c r="DH28" s="150">
        <f t="shared" si="62"/>
        <v>0.92784522751949461</v>
      </c>
      <c r="DI28" s="314">
        <f t="shared" si="63"/>
        <v>341.11615882978725</v>
      </c>
      <c r="DJ28" s="456">
        <f t="shared" si="64"/>
        <v>0.94395997276890675</v>
      </c>
      <c r="DL28" s="150">
        <f t="shared" si="65"/>
        <v>5.9145896578434503</v>
      </c>
      <c r="DM28" s="150">
        <f t="shared" si="66"/>
        <v>6.0606060606060606</v>
      </c>
      <c r="DN28" s="150">
        <f t="shared" si="67"/>
        <v>1.194923519331307</v>
      </c>
      <c r="DP28" s="314">
        <f t="shared" si="68"/>
        <v>920</v>
      </c>
      <c r="DQ28" s="144">
        <f t="shared" si="69"/>
        <v>341.11615882978725</v>
      </c>
      <c r="DS28">
        <f t="shared" si="116"/>
        <v>920</v>
      </c>
      <c r="DT28" s="144">
        <f t="shared" si="70"/>
        <v>341.11615882978725</v>
      </c>
      <c r="DU28" s="144"/>
      <c r="DV28" s="5">
        <f t="shared" si="117"/>
        <v>2.9315527104624426</v>
      </c>
      <c r="DW28" s="5">
        <f t="shared" si="71"/>
        <v>0.83778966131907295</v>
      </c>
      <c r="DX28" s="5">
        <f t="shared" si="118"/>
        <v>2.0937630491433694</v>
      </c>
      <c r="DY28" s="150">
        <f t="shared" si="119"/>
        <v>0.28578359117647056</v>
      </c>
      <c r="EA28" s="5">
        <f t="shared" si="72"/>
        <v>2.569221628045157</v>
      </c>
      <c r="EB28" s="5">
        <f t="shared" si="73"/>
        <v>2.7297979797979792</v>
      </c>
      <c r="EC28" s="5">
        <f t="shared" si="74"/>
        <v>0.99978996810306209</v>
      </c>
      <c r="ED28" s="5"/>
      <c r="EE28" s="150">
        <f t="shared" si="120"/>
        <v>1.8705704659522162</v>
      </c>
      <c r="EF28" s="150">
        <f t="shared" si="75"/>
        <v>2.8365750371517224</v>
      </c>
      <c r="EG28" s="150">
        <f t="shared" si="76"/>
        <v>0.569387889188263</v>
      </c>
      <c r="EH28" s="150"/>
      <c r="EI28" s="456">
        <f t="shared" si="77"/>
        <v>4.1988406417112295E-2</v>
      </c>
      <c r="EJ28" s="456">
        <f t="shared" si="78"/>
        <v>2.5414187518148936</v>
      </c>
      <c r="EK28" s="456">
        <f t="shared" si="79"/>
        <v>3.9228358265425534E-2</v>
      </c>
      <c r="EL28" s="456">
        <f t="shared" si="80"/>
        <v>0.73896047213091831</v>
      </c>
      <c r="EM28">
        <f t="shared" si="81"/>
        <v>1.5299999999999999E-2</v>
      </c>
      <c r="EN28" s="144">
        <f t="shared" si="121"/>
        <v>54.528358265425531</v>
      </c>
      <c r="EO28">
        <f t="shared" si="82"/>
        <v>3.4223760055983017</v>
      </c>
      <c r="EP28" s="144">
        <f t="shared" si="122"/>
        <v>3422.3760055983016</v>
      </c>
      <c r="EQ28" s="150">
        <f t="shared" si="83"/>
        <v>0.61695199999999994</v>
      </c>
      <c r="ER28" s="150">
        <f t="shared" si="84"/>
        <v>9.3644500000000006E-2</v>
      </c>
      <c r="ES28" s="456"/>
      <c r="EU28" s="144">
        <f t="shared" si="123"/>
        <v>710.59649999999999</v>
      </c>
      <c r="EV28" s="456">
        <f t="shared" si="85"/>
        <v>4.8986474153297682E-2</v>
      </c>
      <c r="EW28" s="456">
        <f t="shared" si="124"/>
        <v>0.11264621117949213</v>
      </c>
      <c r="EX28" s="456">
        <f t="shared" si="86"/>
        <v>1.6210128417713282E-3</v>
      </c>
      <c r="EY28" s="456">
        <f t="shared" si="87"/>
        <v>9.7166346947750757</v>
      </c>
      <c r="EZ28" s="456">
        <f t="shared" si="88"/>
        <v>10.050329557968446</v>
      </c>
      <c r="FA28" s="538">
        <f t="shared" si="89"/>
        <v>1.2529519148936172</v>
      </c>
      <c r="FB28" s="144">
        <f t="shared" si="125"/>
        <v>11303.281472862065</v>
      </c>
      <c r="FC28" s="150">
        <f t="shared" si="126"/>
        <v>15.436253978460364</v>
      </c>
      <c r="FD28" s="5">
        <f t="shared" si="127"/>
        <v>28.773000000000003</v>
      </c>
      <c r="FE28" s="150">
        <f t="shared" si="128"/>
        <v>0.65083658760717344</v>
      </c>
      <c r="FF28" s="5">
        <f t="shared" si="129"/>
        <v>65.083658760717341</v>
      </c>
      <c r="FG28">
        <f t="shared" si="130"/>
        <v>23</v>
      </c>
      <c r="FI28" s="59">
        <f t="shared" si="90"/>
        <v>-50</v>
      </c>
      <c r="FJ28">
        <f t="shared" si="91"/>
        <v>-50</v>
      </c>
      <c r="FL28">
        <f t="shared" si="92"/>
        <v>0.31151014501305191</v>
      </c>
    </row>
    <row r="29" spans="5:168">
      <c r="E29" s="147">
        <v>24</v>
      </c>
      <c r="F29" s="188">
        <f t="shared" si="131"/>
        <v>0.96</v>
      </c>
      <c r="G29" s="188">
        <f t="shared" si="93"/>
        <v>0.20399999999999999</v>
      </c>
      <c r="H29" s="188">
        <f t="shared" si="0"/>
        <v>28.799999999999997</v>
      </c>
      <c r="I29" s="188">
        <f t="shared" si="132"/>
        <v>1.224</v>
      </c>
      <c r="J29" s="465">
        <f t="shared" si="1"/>
        <v>33.906056924788807</v>
      </c>
      <c r="K29" s="379">
        <f t="shared" si="2"/>
        <v>30.770809879456465</v>
      </c>
      <c r="L29" s="149">
        <f t="shared" si="3"/>
        <v>64.676866804245265</v>
      </c>
      <c r="M29" s="379"/>
      <c r="N29" s="188">
        <f t="shared" si="4"/>
        <v>0.47576222225775366</v>
      </c>
      <c r="O29" s="149">
        <f t="shared" si="94"/>
        <v>234.44838297413591</v>
      </c>
      <c r="P29" s="149">
        <f t="shared" si="5"/>
        <v>9.9640562764007754</v>
      </c>
      <c r="Q29" s="188">
        <f t="shared" si="6"/>
        <v>7.8149460991378641</v>
      </c>
      <c r="R29" s="188">
        <f t="shared" si="7"/>
        <v>39.074730495689316</v>
      </c>
      <c r="S29" s="379">
        <f t="shared" si="8"/>
        <v>30</v>
      </c>
      <c r="T29" s="188">
        <f t="shared" si="9"/>
        <v>3.7224708554443344</v>
      </c>
      <c r="U29" s="188">
        <f t="shared" si="10"/>
        <v>0.51600258500708418</v>
      </c>
      <c r="V29" s="188">
        <f t="shared" si="11"/>
        <v>0.56857824311829308</v>
      </c>
      <c r="W29" s="172">
        <f t="shared" si="12"/>
        <v>350</v>
      </c>
      <c r="X29" s="379">
        <f t="shared" si="95"/>
        <v>350</v>
      </c>
      <c r="Z29" s="188">
        <f t="shared" si="13"/>
        <v>9.8062133681066381</v>
      </c>
      <c r="AA29" s="150">
        <f t="shared" si="14"/>
        <v>1.497822222120704</v>
      </c>
      <c r="AB29" s="150">
        <f t="shared" si="15"/>
        <v>2.4656055175839486</v>
      </c>
      <c r="AC29" s="150"/>
      <c r="AD29" s="150">
        <f t="shared" si="16"/>
        <v>0.92571006731499261</v>
      </c>
      <c r="AE29" s="314">
        <f t="shared" si="17"/>
        <v>356.76829242867097</v>
      </c>
      <c r="AF29" s="456">
        <f t="shared" si="18"/>
        <v>0.94178772926458076</v>
      </c>
      <c r="AH29" s="150">
        <f t="shared" si="19"/>
        <v>6.0417996875968658</v>
      </c>
      <c r="AI29" s="150">
        <f t="shared" si="20"/>
        <v>6.0606060606060606</v>
      </c>
      <c r="AJ29" s="150">
        <f t="shared" si="21"/>
        <v>1.2</v>
      </c>
      <c r="AL29" s="314">
        <f t="shared" si="22"/>
        <v>960</v>
      </c>
      <c r="AM29" s="144">
        <f t="shared" si="23"/>
        <v>350</v>
      </c>
      <c r="AO29">
        <f t="shared" si="96"/>
        <v>960</v>
      </c>
      <c r="AP29" s="144">
        <f t="shared" si="24"/>
        <v>350</v>
      </c>
      <c r="AQ29" s="144"/>
      <c r="AR29" s="5">
        <f t="shared" si="97"/>
        <v>2.8571428571428572</v>
      </c>
      <c r="AS29" s="5">
        <f t="shared" si="25"/>
        <v>0.84011091434295138</v>
      </c>
      <c r="AT29" s="5">
        <f t="shared" si="98"/>
        <v>2.0170319427999059</v>
      </c>
      <c r="AU29" s="150">
        <f t="shared" si="99"/>
        <v>0.29403882002003295</v>
      </c>
      <c r="AW29" s="5">
        <f t="shared" si="26"/>
        <v>2.6883549258974448</v>
      </c>
      <c r="AX29" s="5">
        <f t="shared" si="27"/>
        <v>2.8563771087660341</v>
      </c>
      <c r="AY29" s="5">
        <f t="shared" si="28"/>
        <v>1.0078109101741113</v>
      </c>
      <c r="AZ29" s="5"/>
      <c r="BA29" s="150">
        <f t="shared" si="100"/>
        <v>1.8973950535473609</v>
      </c>
      <c r="BB29" s="150">
        <f t="shared" si="29"/>
        <v>2.820134197614478</v>
      </c>
      <c r="BC29" s="150">
        <f t="shared" si="30"/>
        <v>0.56608770682115228</v>
      </c>
      <c r="BD29" s="150"/>
      <c r="BE29" s="456">
        <f t="shared" si="31"/>
        <v>4.3201295870711913E-2</v>
      </c>
      <c r="BF29" s="456">
        <f t="shared" si="32"/>
        <v>2.5037787073461613</v>
      </c>
      <c r="BG29" s="456">
        <f t="shared" si="33"/>
        <v>4.0250000000000001E-2</v>
      </c>
      <c r="BH29" s="456">
        <f t="shared" si="34"/>
        <v>0.75766346216760072</v>
      </c>
      <c r="BI29">
        <f t="shared" si="35"/>
        <v>1.5257725616154962E-2</v>
      </c>
      <c r="BJ29" s="144">
        <f t="shared" si="101"/>
        <v>55.507725616154964</v>
      </c>
      <c r="BK29">
        <f t="shared" si="36"/>
        <v>3.3507015195681489</v>
      </c>
      <c r="BL29" s="144">
        <f t="shared" si="102"/>
        <v>3350.7015195681488</v>
      </c>
      <c r="BM29" s="150">
        <f t="shared" si="37"/>
        <v>0.6437759999999999</v>
      </c>
      <c r="BN29" s="150">
        <f t="shared" si="38"/>
        <v>9.7715999999999983E-2</v>
      </c>
      <c r="BO29" s="456"/>
      <c r="BQ29" s="144">
        <f t="shared" si="103"/>
        <v>741.49199999999996</v>
      </c>
      <c r="BR29" s="456">
        <f t="shared" si="39"/>
        <v>5.0401511849163895E-2</v>
      </c>
      <c r="BS29" s="456">
        <f t="shared" si="104"/>
        <v>0.11134419649576519</v>
      </c>
      <c r="BT29" s="456">
        <f t="shared" si="40"/>
        <v>1.6022764590701544E-3</v>
      </c>
      <c r="BU29" s="456">
        <f t="shared" si="41"/>
        <v>10.361681881138685</v>
      </c>
      <c r="BV29" s="456">
        <f t="shared" si="42"/>
        <v>10.70411300537908</v>
      </c>
      <c r="BW29" s="538">
        <f t="shared" si="43"/>
        <v>1.2855831037649221</v>
      </c>
      <c r="BX29" s="144">
        <f t="shared" si="105"/>
        <v>11989.696109144003</v>
      </c>
      <c r="BY29" s="150">
        <f t="shared" si="106"/>
        <v>16.081889628712151</v>
      </c>
      <c r="BZ29" s="5">
        <f t="shared" si="107"/>
        <v>30.023999999999997</v>
      </c>
      <c r="CA29" s="150">
        <f t="shared" si="108"/>
        <v>0.65119663109813941</v>
      </c>
      <c r="CB29" s="5">
        <f t="shared" si="109"/>
        <v>65.119663109813942</v>
      </c>
      <c r="CC29">
        <f t="shared" si="110"/>
        <v>24</v>
      </c>
      <c r="CE29" s="59">
        <f t="shared" si="44"/>
        <v>-50</v>
      </c>
      <c r="CF29">
        <f t="shared" si="45"/>
        <v>-50</v>
      </c>
      <c r="CG29" s="150">
        <f t="shared" si="46"/>
        <v>0.32232706501642899</v>
      </c>
      <c r="CH29" s="150">
        <f t="shared" si="47"/>
        <v>6.8034834948422274E-2</v>
      </c>
      <c r="CI29" s="147">
        <v>24</v>
      </c>
      <c r="CJ29" s="188">
        <f t="shared" si="133"/>
        <v>0.96</v>
      </c>
      <c r="CK29" s="188">
        <f t="shared" si="111"/>
        <v>0.20399999999999999</v>
      </c>
      <c r="CL29" s="188">
        <f t="shared" si="48"/>
        <v>28.799999999999997</v>
      </c>
      <c r="CM29" s="188">
        <f t="shared" si="134"/>
        <v>1.224</v>
      </c>
      <c r="CN29" s="465">
        <f t="shared" si="112"/>
        <v>34</v>
      </c>
      <c r="CO29" s="379">
        <f t="shared" si="49"/>
        <v>30.7</v>
      </c>
      <c r="CP29" s="379">
        <f t="shared" si="50"/>
        <v>64.7</v>
      </c>
      <c r="CQ29" s="379"/>
      <c r="CR29" s="188">
        <f t="shared" si="113"/>
        <v>0.47204968944099374</v>
      </c>
      <c r="CS29" s="149">
        <f t="shared" si="114"/>
        <v>233.26341749863801</v>
      </c>
      <c r="CT29" s="149">
        <f t="shared" si="51"/>
        <v>9.9136952436921142</v>
      </c>
      <c r="CU29" s="188">
        <f t="shared" si="52"/>
        <v>7.7754472499545999</v>
      </c>
      <c r="CV29" s="188">
        <f t="shared" si="53"/>
        <v>38.877236249772999</v>
      </c>
      <c r="CW29" s="379">
        <f t="shared" si="54"/>
        <v>30</v>
      </c>
      <c r="CX29" s="188">
        <f t="shared" si="55"/>
        <v>3.7413808049535602</v>
      </c>
      <c r="CY29" s="188">
        <f t="shared" si="56"/>
        <v>0.51719087597887436</v>
      </c>
      <c r="CZ29" s="188">
        <f t="shared" si="57"/>
        <v>0.57278468349451894</v>
      </c>
      <c r="DA29" s="172">
        <f t="shared" si="58"/>
        <v>350</v>
      </c>
      <c r="DB29" s="379">
        <f t="shared" si="115"/>
        <v>350</v>
      </c>
      <c r="DD29" s="188">
        <f t="shared" si="59"/>
        <v>9.8072469146822137</v>
      </c>
      <c r="DE29" s="150">
        <f t="shared" si="60"/>
        <v>1.5014351954073746</v>
      </c>
      <c r="DF29" s="150">
        <f t="shared" si="61"/>
        <v>2.4718134248028734</v>
      </c>
      <c r="DG29" s="150"/>
      <c r="DH29" s="150">
        <f t="shared" si="62"/>
        <v>0.92784522751949461</v>
      </c>
      <c r="DI29" s="314">
        <f t="shared" si="63"/>
        <v>355.94729617021278</v>
      </c>
      <c r="DJ29" s="456">
        <f t="shared" si="64"/>
        <v>0.94395997276890675</v>
      </c>
      <c r="DL29" s="150">
        <f t="shared" si="65"/>
        <v>6.0417996875968658</v>
      </c>
      <c r="DM29" s="150">
        <f t="shared" si="66"/>
        <v>6.0606060606060606</v>
      </c>
      <c r="DN29" s="150">
        <f t="shared" si="67"/>
        <v>1.2</v>
      </c>
      <c r="DP29" s="314">
        <f t="shared" si="68"/>
        <v>960</v>
      </c>
      <c r="DQ29" s="144">
        <f t="shared" si="69"/>
        <v>350</v>
      </c>
      <c r="DS29">
        <f t="shared" si="116"/>
        <v>960</v>
      </c>
      <c r="DT29" s="144">
        <f t="shared" si="70"/>
        <v>350</v>
      </c>
      <c r="DU29" s="144"/>
      <c r="DV29" s="5">
        <f t="shared" si="117"/>
        <v>2.8571428571428572</v>
      </c>
      <c r="DW29" s="5">
        <f t="shared" si="71"/>
        <v>0.83778966131907295</v>
      </c>
      <c r="DX29" s="5">
        <f t="shared" si="118"/>
        <v>2.0193531958237845</v>
      </c>
      <c r="DY29" s="150">
        <f t="shared" si="119"/>
        <v>0.29322638146167551</v>
      </c>
      <c r="EA29" s="5">
        <f t="shared" si="72"/>
        <v>2.6809269162210332</v>
      </c>
      <c r="EB29" s="5">
        <f t="shared" si="73"/>
        <v>2.8484848484848482</v>
      </c>
      <c r="EC29" s="5">
        <f t="shared" si="74"/>
        <v>1.0061829072616779</v>
      </c>
      <c r="ED29" s="5"/>
      <c r="EE29" s="150">
        <f t="shared" si="120"/>
        <v>1.8947719591028509</v>
      </c>
      <c r="EF29" s="150">
        <f t="shared" si="75"/>
        <v>2.8217564730431945</v>
      </c>
      <c r="EG29" s="150">
        <f t="shared" si="76"/>
        <v>0.56641334741586269</v>
      </c>
      <c r="EH29" s="150"/>
      <c r="EI29" s="456">
        <f t="shared" si="77"/>
        <v>4.3081929324029468E-2</v>
      </c>
      <c r="EJ29" s="456">
        <f t="shared" si="78"/>
        <v>2.6076060606060611</v>
      </c>
      <c r="EK29" s="456">
        <f t="shared" si="79"/>
        <v>4.0250000000000001E-2</v>
      </c>
      <c r="EL29" s="456">
        <f t="shared" si="80"/>
        <v>0.75820555125</v>
      </c>
      <c r="EM29">
        <f t="shared" si="81"/>
        <v>1.5299999999999999E-2</v>
      </c>
      <c r="EN29" s="144">
        <f t="shared" si="121"/>
        <v>55.550000000000004</v>
      </c>
      <c r="EO29">
        <f t="shared" si="82"/>
        <v>3.5120256927178342</v>
      </c>
      <c r="EP29" s="144">
        <f t="shared" si="122"/>
        <v>3512.0256927178343</v>
      </c>
      <c r="EQ29" s="150">
        <f t="shared" si="83"/>
        <v>0.6437759999999999</v>
      </c>
      <c r="ER29" s="150">
        <f t="shared" si="84"/>
        <v>9.7715999999999983E-2</v>
      </c>
      <c r="ES29" s="456"/>
      <c r="EU29" s="144">
        <f t="shared" si="123"/>
        <v>741.49199999999996</v>
      </c>
      <c r="EV29" s="456">
        <f t="shared" si="85"/>
        <v>5.0262250878034383E-2</v>
      </c>
      <c r="EW29" s="456">
        <f t="shared" si="124"/>
        <v>0.11147233430425636</v>
      </c>
      <c r="EX29" s="456">
        <f t="shared" si="86"/>
        <v>1.6041204006542137E-3</v>
      </c>
      <c r="EY29" s="456">
        <f t="shared" si="87"/>
        <v>10.361681881138685</v>
      </c>
      <c r="EZ29" s="456">
        <f t="shared" si="88"/>
        <v>10.704093295527986</v>
      </c>
      <c r="FA29" s="538">
        <f t="shared" si="89"/>
        <v>1.2855831037649221</v>
      </c>
      <c r="FB29" s="144">
        <f t="shared" si="125"/>
        <v>11989.67639929291</v>
      </c>
      <c r="FC29" s="150">
        <f t="shared" si="126"/>
        <v>16.243194092010743</v>
      </c>
      <c r="FD29" s="5">
        <f t="shared" si="127"/>
        <v>30.023999999999997</v>
      </c>
      <c r="FE29" s="150">
        <f t="shared" si="128"/>
        <v>0.64892632002476325</v>
      </c>
      <c r="FF29" s="5">
        <f t="shared" si="129"/>
        <v>64.892632002476319</v>
      </c>
      <c r="FG29">
        <f t="shared" si="130"/>
        <v>24</v>
      </c>
      <c r="FI29" s="59">
        <f t="shared" si="90"/>
        <v>-50</v>
      </c>
      <c r="FJ29">
        <f t="shared" si="91"/>
        <v>-50</v>
      </c>
      <c r="FL29">
        <f t="shared" si="92"/>
        <v>0.32232706501642899</v>
      </c>
    </row>
    <row r="30" spans="5:168">
      <c r="E30" s="147">
        <v>25</v>
      </c>
      <c r="F30" s="188">
        <f t="shared" si="131"/>
        <v>1</v>
      </c>
      <c r="G30" s="188">
        <f t="shared" si="93"/>
        <v>0.21249999999999999</v>
      </c>
      <c r="H30" s="188">
        <f t="shared" si="0"/>
        <v>30</v>
      </c>
      <c r="I30" s="188">
        <f t="shared" si="132"/>
        <v>1.2749999999999999</v>
      </c>
      <c r="J30" s="465">
        <f t="shared" si="1"/>
        <v>33.90411975036028</v>
      </c>
      <c r="K30" s="379">
        <f t="shared" si="2"/>
        <v>30.772270030590136</v>
      </c>
      <c r="L30" s="149">
        <f t="shared" si="3"/>
        <v>64.676389780950416</v>
      </c>
      <c r="M30" s="379"/>
      <c r="N30" s="188">
        <f t="shared" si="4"/>
        <v>0.47578830752321466</v>
      </c>
      <c r="O30" s="149">
        <f t="shared" si="94"/>
        <v>234.44784178603754</v>
      </c>
      <c r="P30" s="149">
        <f t="shared" si="5"/>
        <v>9.9640332759065942</v>
      </c>
      <c r="Q30" s="188">
        <f t="shared" si="6"/>
        <v>7.8149280595345845</v>
      </c>
      <c r="R30" s="188">
        <f t="shared" si="7"/>
        <v>39.074640297672921</v>
      </c>
      <c r="S30" s="379">
        <f t="shared" si="8"/>
        <v>30</v>
      </c>
      <c r="T30" s="188">
        <f t="shared" si="9"/>
        <v>3.877582758559007</v>
      </c>
      <c r="U30" s="188">
        <f t="shared" si="10"/>
        <v>0.53753464473985257</v>
      </c>
      <c r="V30" s="188">
        <f t="shared" si="11"/>
        <v>0.59224226705116523</v>
      </c>
      <c r="W30" s="172">
        <f t="shared" si="12"/>
        <v>350</v>
      </c>
      <c r="X30" s="379">
        <f t="shared" si="95"/>
        <v>350</v>
      </c>
      <c r="Z30" s="188">
        <f t="shared" si="13"/>
        <v>9.806190731968579</v>
      </c>
      <c r="AA30" s="150">
        <f t="shared" si="14"/>
        <v>1.4977476927908151</v>
      </c>
      <c r="AB30" s="150">
        <f t="shared" si="15"/>
        <v>2.4654771416572734</v>
      </c>
      <c r="AC30" s="150"/>
      <c r="AD30" s="150">
        <f t="shared" si="16"/>
        <v>0.92566614216410525</v>
      </c>
      <c r="AE30" s="314">
        <f t="shared" si="17"/>
        <v>371.65127288301545</v>
      </c>
      <c r="AF30" s="456">
        <f t="shared" si="18"/>
        <v>0.94174304122501795</v>
      </c>
      <c r="AH30" s="150">
        <f t="shared" si="19"/>
        <v>6.1663859844663058</v>
      </c>
      <c r="AI30" s="150">
        <f t="shared" si="20"/>
        <v>6.1663859844663058</v>
      </c>
      <c r="AJ30" s="150">
        <f t="shared" si="21"/>
        <v>1.2783554991557371</v>
      </c>
      <c r="AL30" s="314">
        <f t="shared" si="22"/>
        <v>1000</v>
      </c>
      <c r="AM30" s="144">
        <f t="shared" si="23"/>
        <v>350</v>
      </c>
      <c r="AO30">
        <f t="shared" si="96"/>
        <v>1000</v>
      </c>
      <c r="AP30" s="144">
        <f t="shared" si="24"/>
        <v>350</v>
      </c>
      <c r="AQ30" s="144"/>
      <c r="AR30" s="5">
        <f t="shared" si="97"/>
        <v>2.8571428571428572</v>
      </c>
      <c r="AS30" s="5">
        <f t="shared" si="25"/>
        <v>0.8548227867406486</v>
      </c>
      <c r="AT30" s="5">
        <f t="shared" si="98"/>
        <v>2.0023200704022086</v>
      </c>
      <c r="AU30" s="150">
        <f t="shared" si="99"/>
        <v>0.29918797535922698</v>
      </c>
      <c r="AW30" s="5">
        <f t="shared" si="26"/>
        <v>2.8494092891354952</v>
      </c>
      <c r="AX30" s="5">
        <f t="shared" si="27"/>
        <v>3.027497369706464</v>
      </c>
      <c r="AY30" s="5">
        <f t="shared" si="28"/>
        <v>1.0422054996884513</v>
      </c>
      <c r="AZ30" s="5"/>
      <c r="BA30" s="150">
        <f t="shared" si="100"/>
        <v>1.9473416196785942</v>
      </c>
      <c r="BB30" s="150">
        <f t="shared" si="29"/>
        <v>2.8588725013164615</v>
      </c>
      <c r="BC30" s="150">
        <f t="shared" si="30"/>
        <v>0.57386367632194657</v>
      </c>
      <c r="BD30" s="150"/>
      <c r="BE30" s="456">
        <f t="shared" si="31"/>
        <v>4.550567260478941E-2</v>
      </c>
      <c r="BF30" s="456">
        <f t="shared" si="32"/>
        <v>2.5474600894218584</v>
      </c>
      <c r="BG30" s="456">
        <f t="shared" si="33"/>
        <v>4.0250000000000001E-2</v>
      </c>
      <c r="BH30" s="456">
        <f t="shared" si="34"/>
        <v>0.75765228593702161</v>
      </c>
      <c r="BI30">
        <f t="shared" si="35"/>
        <v>1.5256853887662125E-2</v>
      </c>
      <c r="BJ30" s="144">
        <f t="shared" si="101"/>
        <v>55.506853887662125</v>
      </c>
      <c r="BK30">
        <f t="shared" si="36"/>
        <v>3.3996622301059958</v>
      </c>
      <c r="BL30" s="144">
        <f t="shared" si="102"/>
        <v>3399.6622301059956</v>
      </c>
      <c r="BM30" s="150">
        <f t="shared" si="37"/>
        <v>0.67059999999999997</v>
      </c>
      <c r="BN30" s="150">
        <f t="shared" si="38"/>
        <v>0.10178749999999999</v>
      </c>
      <c r="BO30" s="456"/>
      <c r="BQ30" s="144">
        <f t="shared" si="103"/>
        <v>772.38750000000005</v>
      </c>
      <c r="BR30" s="456">
        <f t="shared" si="39"/>
        <v>5.3089951372254314E-2</v>
      </c>
      <c r="BS30" s="456">
        <f t="shared" si="104"/>
        <v>0.11442412770296817</v>
      </c>
      <c r="BT30" s="456">
        <f t="shared" si="40"/>
        <v>1.6465975950086993E-3</v>
      </c>
      <c r="BU30" s="456">
        <f t="shared" si="41"/>
        <v>10.819741374162291</v>
      </c>
      <c r="BV30" s="456">
        <f t="shared" si="42"/>
        <v>11.18080886875004</v>
      </c>
      <c r="BW30" s="538">
        <f t="shared" si="43"/>
        <v>1.3308510638297872</v>
      </c>
      <c r="BX30" s="144">
        <f t="shared" si="105"/>
        <v>12511.659932579827</v>
      </c>
      <c r="BY30" s="150">
        <f t="shared" si="106"/>
        <v>16.683709662685825</v>
      </c>
      <c r="BZ30" s="5">
        <f t="shared" si="107"/>
        <v>31.274999999999999</v>
      </c>
      <c r="CA30" s="150">
        <f t="shared" si="108"/>
        <v>0.65212346662306997</v>
      </c>
      <c r="CB30" s="5">
        <f t="shared" si="109"/>
        <v>65.212346662306999</v>
      </c>
      <c r="CC30">
        <f t="shared" si="110"/>
        <v>25</v>
      </c>
      <c r="CE30" s="59">
        <f t="shared" si="44"/>
        <v>-50</v>
      </c>
      <c r="CF30">
        <f t="shared" si="45"/>
        <v>-50</v>
      </c>
      <c r="CG30" s="150">
        <f t="shared" si="46"/>
        <v>0.32897368315797892</v>
      </c>
      <c r="CH30" s="150">
        <f t="shared" si="47"/>
        <v>6.9437762649211185E-2</v>
      </c>
      <c r="CI30" s="147">
        <v>25</v>
      </c>
      <c r="CJ30" s="188">
        <f t="shared" si="133"/>
        <v>1</v>
      </c>
      <c r="CK30" s="188">
        <f t="shared" si="111"/>
        <v>0.21249999999999999</v>
      </c>
      <c r="CL30" s="188">
        <f t="shared" si="48"/>
        <v>30</v>
      </c>
      <c r="CM30" s="188">
        <f t="shared" si="134"/>
        <v>1.2749999999999999</v>
      </c>
      <c r="CN30" s="465">
        <f t="shared" si="112"/>
        <v>34</v>
      </c>
      <c r="CO30" s="379">
        <f t="shared" si="49"/>
        <v>30.7</v>
      </c>
      <c r="CP30" s="379">
        <f t="shared" si="50"/>
        <v>64.7</v>
      </c>
      <c r="CQ30" s="379"/>
      <c r="CR30" s="188">
        <f t="shared" si="113"/>
        <v>0.47204968944099374</v>
      </c>
      <c r="CS30" s="149">
        <f t="shared" si="114"/>
        <v>233.26341749863801</v>
      </c>
      <c r="CT30" s="149">
        <f t="shared" si="51"/>
        <v>9.9136952436921142</v>
      </c>
      <c r="CU30" s="188">
        <f t="shared" si="52"/>
        <v>7.7754472499545999</v>
      </c>
      <c r="CV30" s="188">
        <f t="shared" si="53"/>
        <v>38.877236249772999</v>
      </c>
      <c r="CW30" s="379">
        <f t="shared" si="54"/>
        <v>30</v>
      </c>
      <c r="CX30" s="188">
        <f t="shared" si="55"/>
        <v>3.8972716718266254</v>
      </c>
      <c r="CY30" s="188">
        <f t="shared" si="56"/>
        <v>0.53874049581132766</v>
      </c>
      <c r="CZ30" s="188">
        <f t="shared" si="57"/>
        <v>0.59665071197345732</v>
      </c>
      <c r="DA30" s="172">
        <f t="shared" si="58"/>
        <v>350</v>
      </c>
      <c r="DB30" s="379">
        <f t="shared" si="115"/>
        <v>350</v>
      </c>
      <c r="DD30" s="188">
        <f t="shared" si="59"/>
        <v>9.8072469146822137</v>
      </c>
      <c r="DE30" s="150">
        <f t="shared" si="60"/>
        <v>1.5014351954073746</v>
      </c>
      <c r="DF30" s="150">
        <f t="shared" si="61"/>
        <v>2.4718134248028734</v>
      </c>
      <c r="DG30" s="150"/>
      <c r="DH30" s="150">
        <f t="shared" si="62"/>
        <v>0.92784522751949461</v>
      </c>
      <c r="DI30" s="314">
        <f t="shared" si="63"/>
        <v>370.77843351063825</v>
      </c>
      <c r="DJ30" s="456">
        <f t="shared" si="64"/>
        <v>0.94395997276890675</v>
      </c>
      <c r="DL30" s="150">
        <f t="shared" si="65"/>
        <v>6.1663859844663058</v>
      </c>
      <c r="DM30" s="150">
        <f t="shared" si="66"/>
        <v>6.1663859844663058</v>
      </c>
      <c r="DN30" s="150">
        <f t="shared" si="67"/>
        <v>1.2783554991557371</v>
      </c>
      <c r="DP30" s="314">
        <f t="shared" si="68"/>
        <v>1000</v>
      </c>
      <c r="DQ30" s="144">
        <f t="shared" si="69"/>
        <v>350</v>
      </c>
      <c r="DS30">
        <f t="shared" si="116"/>
        <v>1000</v>
      </c>
      <c r="DT30" s="144">
        <f t="shared" si="70"/>
        <v>350</v>
      </c>
      <c r="DU30" s="144"/>
      <c r="DV30" s="5">
        <f t="shared" si="117"/>
        <v>2.8571428571428572</v>
      </c>
      <c r="DW30" s="5">
        <f t="shared" si="71"/>
        <v>0.85241218020563647</v>
      </c>
      <c r="DX30" s="5">
        <f t="shared" si="118"/>
        <v>2.0047306769372208</v>
      </c>
      <c r="DY30" s="150">
        <f t="shared" si="119"/>
        <v>0.29834426307197276</v>
      </c>
      <c r="EA30" s="5">
        <f t="shared" si="72"/>
        <v>2.8413739340187885</v>
      </c>
      <c r="EB30" s="5">
        <f t="shared" si="73"/>
        <v>3.0189598048949624</v>
      </c>
      <c r="EC30" s="5">
        <f t="shared" si="74"/>
        <v>1.040517652389561</v>
      </c>
      <c r="ED30" s="5"/>
      <c r="EE30" s="150">
        <f t="shared" si="120"/>
        <v>1.944593922346548</v>
      </c>
      <c r="EF30" s="150">
        <f t="shared" si="75"/>
        <v>2.8605928915447882</v>
      </c>
      <c r="EG30" s="150">
        <f t="shared" si="76"/>
        <v>0.57420901157585569</v>
      </c>
      <c r="EH30" s="150"/>
      <c r="EI30" s="456">
        <f t="shared" si="77"/>
        <v>4.537734627392559E-2</v>
      </c>
      <c r="EJ30" s="456">
        <f t="shared" si="78"/>
        <v>2.6531184017465512</v>
      </c>
      <c r="EK30" s="456">
        <f t="shared" si="79"/>
        <v>4.0250000000000001E-2</v>
      </c>
      <c r="EL30" s="456">
        <f t="shared" si="80"/>
        <v>0.75820555125</v>
      </c>
      <c r="EM30">
        <f t="shared" si="81"/>
        <v>1.5299999999999999E-2</v>
      </c>
      <c r="EN30" s="144">
        <f t="shared" si="121"/>
        <v>55.550000000000004</v>
      </c>
      <c r="EO30">
        <f t="shared" si="82"/>
        <v>3.5629173371037046</v>
      </c>
      <c r="EP30" s="144">
        <f t="shared" si="122"/>
        <v>3562.9173371037045</v>
      </c>
      <c r="EQ30" s="150">
        <f t="shared" si="83"/>
        <v>0.67059999999999997</v>
      </c>
      <c r="ER30" s="150">
        <f t="shared" si="84"/>
        <v>0.10178749999999999</v>
      </c>
      <c r="ES30" s="456"/>
      <c r="EU30" s="144">
        <f t="shared" si="123"/>
        <v>772.38750000000005</v>
      </c>
      <c r="EV30" s="456">
        <f t="shared" si="85"/>
        <v>5.2940237319579857E-2</v>
      </c>
      <c r="EW30" s="456">
        <f t="shared" si="124"/>
        <v>0.11456188367619202</v>
      </c>
      <c r="EX30" s="456">
        <f t="shared" si="86"/>
        <v>1.6485799448746059E-3</v>
      </c>
      <c r="EY30" s="456">
        <f t="shared" si="87"/>
        <v>10.819741374162291</v>
      </c>
      <c r="EZ30" s="456">
        <f t="shared" si="88"/>
        <v>11.180787283818791</v>
      </c>
      <c r="FA30" s="538">
        <f t="shared" si="89"/>
        <v>1.3308510638297872</v>
      </c>
      <c r="FB30" s="144">
        <f t="shared" si="125"/>
        <v>12511.638347648577</v>
      </c>
      <c r="FC30" s="150">
        <f t="shared" si="126"/>
        <v>16.846943184752284</v>
      </c>
      <c r="FD30" s="5">
        <f t="shared" si="127"/>
        <v>31.274999999999999</v>
      </c>
      <c r="FE30" s="150">
        <f t="shared" si="128"/>
        <v>0.64991141109841266</v>
      </c>
      <c r="FF30" s="5">
        <f t="shared" si="129"/>
        <v>64.991141109841266</v>
      </c>
      <c r="FG30">
        <f t="shared" si="130"/>
        <v>25</v>
      </c>
      <c r="FI30" s="59">
        <f t="shared" si="90"/>
        <v>-50</v>
      </c>
      <c r="FJ30">
        <f t="shared" si="91"/>
        <v>-50</v>
      </c>
      <c r="FL30">
        <f t="shared" si="92"/>
        <v>0.32897368315797892</v>
      </c>
    </row>
    <row r="31" spans="5:168">
      <c r="E31" s="147">
        <v>26</v>
      </c>
      <c r="F31" s="188">
        <f t="shared" si="131"/>
        <v>1.04</v>
      </c>
      <c r="G31" s="188">
        <f t="shared" si="93"/>
        <v>0.221</v>
      </c>
      <c r="H31" s="188">
        <f t="shared" si="0"/>
        <v>31.200000000000003</v>
      </c>
      <c r="I31" s="188">
        <f t="shared" si="132"/>
        <v>1.3260000000000001</v>
      </c>
      <c r="J31" s="465">
        <f t="shared" si="1"/>
        <v>33.902220947223789</v>
      </c>
      <c r="K31" s="379">
        <f t="shared" si="2"/>
        <v>30.773701259245414</v>
      </c>
      <c r="L31" s="149">
        <f t="shared" si="3"/>
        <v>64.67592220646921</v>
      </c>
      <c r="M31" s="379"/>
      <c r="N31" s="188">
        <f t="shared" si="4"/>
        <v>0.47581387646865703</v>
      </c>
      <c r="O31" s="149">
        <f t="shared" si="94"/>
        <v>234.44731007623662</v>
      </c>
      <c r="P31" s="149">
        <f t="shared" si="5"/>
        <v>9.9640106782400544</v>
      </c>
      <c r="Q31" s="188">
        <f t="shared" si="6"/>
        <v>7.8149103358745542</v>
      </c>
      <c r="R31" s="188">
        <f t="shared" si="7"/>
        <v>39.074551679372767</v>
      </c>
      <c r="S31" s="379">
        <f t="shared" si="8"/>
        <v>30</v>
      </c>
      <c r="T31" s="188">
        <f t="shared" si="9"/>
        <v>4.0326952147461474</v>
      </c>
      <c r="U31" s="188">
        <f t="shared" si="10"/>
        <v>0.55906860906878086</v>
      </c>
      <c r="V31" s="188">
        <f t="shared" si="11"/>
        <v>0.61590470868734382</v>
      </c>
      <c r="W31" s="172">
        <f t="shared" si="12"/>
        <v>350</v>
      </c>
      <c r="X31" s="379">
        <f t="shared" si="95"/>
        <v>350</v>
      </c>
      <c r="Z31" s="188">
        <f t="shared" si="13"/>
        <v>9.8061684922768766</v>
      </c>
      <c r="AA31" s="150">
        <f t="shared" si="14"/>
        <v>1.4976746386609801</v>
      </c>
      <c r="AB31" s="150">
        <f t="shared" si="15"/>
        <v>2.4653512943222116</v>
      </c>
      <c r="AC31" s="150"/>
      <c r="AD31" s="150">
        <f t="shared" si="16"/>
        <v>0.92562309112202468</v>
      </c>
      <c r="AE31" s="314">
        <f t="shared" si="17"/>
        <v>386.53530084939638</v>
      </c>
      <c r="AF31" s="456">
        <f t="shared" si="18"/>
        <v>0.94169924247571724</v>
      </c>
      <c r="AH31" s="150">
        <f t="shared" si="19"/>
        <v>6.2885044926277498</v>
      </c>
      <c r="AI31" s="150">
        <f t="shared" si="20"/>
        <v>6.2885044926277498</v>
      </c>
      <c r="AJ31" s="150">
        <f t="shared" si="21"/>
        <v>1.3688136533493993</v>
      </c>
      <c r="AL31" s="314">
        <f t="shared" si="22"/>
        <v>1040</v>
      </c>
      <c r="AM31" s="144">
        <f t="shared" si="23"/>
        <v>350</v>
      </c>
      <c r="AO31">
        <f t="shared" si="96"/>
        <v>1040</v>
      </c>
      <c r="AP31" s="144">
        <f t="shared" si="24"/>
        <v>350</v>
      </c>
      <c r="AQ31" s="144"/>
      <c r="AR31" s="5">
        <f t="shared" si="97"/>
        <v>2.8571428571428572</v>
      </c>
      <c r="AS31" s="5">
        <f t="shared" si="25"/>
        <v>0.8718004393092933</v>
      </c>
      <c r="AT31" s="5">
        <f t="shared" si="98"/>
        <v>1.9853424178335639</v>
      </c>
      <c r="AU31" s="150">
        <f t="shared" si="99"/>
        <v>0.30513015375825264</v>
      </c>
      <c r="AW31" s="5">
        <f t="shared" si="26"/>
        <v>3.0222415229388839</v>
      </c>
      <c r="AX31" s="5">
        <f t="shared" si="27"/>
        <v>3.2111316181225638</v>
      </c>
      <c r="AY31" s="5">
        <f t="shared" si="28"/>
        <v>1.0747635875057637</v>
      </c>
      <c r="AZ31" s="5"/>
      <c r="BA31" s="150">
        <f t="shared" si="100"/>
        <v>2.0055306893572507</v>
      </c>
      <c r="BB31" s="150">
        <f t="shared" si="29"/>
        <v>2.9031028190623012</v>
      </c>
      <c r="BC31" s="150">
        <f t="shared" si="30"/>
        <v>0.58274206202639023</v>
      </c>
      <c r="BD31" s="150"/>
      <c r="BE31" s="456">
        <f t="shared" si="31"/>
        <v>4.8265840151445229E-2</v>
      </c>
      <c r="BF31" s="456">
        <f t="shared" si="32"/>
        <v>2.5978909597634345</v>
      </c>
      <c r="BG31" s="456">
        <f t="shared" si="33"/>
        <v>4.0250000000000001E-2</v>
      </c>
      <c r="BH31" s="456">
        <f t="shared" si="34"/>
        <v>0.75764133116372068</v>
      </c>
      <c r="BI31">
        <f t="shared" si="35"/>
        <v>1.5255999426250704E-2</v>
      </c>
      <c r="BJ31" s="144">
        <f t="shared" si="101"/>
        <v>55.505999426250703</v>
      </c>
      <c r="BK31">
        <f t="shared" si="36"/>
        <v>3.4564685636611734</v>
      </c>
      <c r="BL31" s="144">
        <f t="shared" si="102"/>
        <v>3456.4685636611734</v>
      </c>
      <c r="BM31" s="150">
        <f t="shared" si="37"/>
        <v>0.69742399999999993</v>
      </c>
      <c r="BN31" s="150">
        <f t="shared" si="38"/>
        <v>0.10585899999999999</v>
      </c>
      <c r="BO31" s="456"/>
      <c r="BQ31" s="144">
        <f t="shared" si="103"/>
        <v>803.28300000000002</v>
      </c>
      <c r="BR31" s="456">
        <f t="shared" si="39"/>
        <v>5.6310146843352768E-2</v>
      </c>
      <c r="BS31" s="456">
        <f t="shared" si="104"/>
        <v>0.11799208369266473</v>
      </c>
      <c r="BT31" s="456">
        <f t="shared" si="40"/>
        <v>1.6979415542738463E-3</v>
      </c>
      <c r="BU31" s="456">
        <f t="shared" si="41"/>
        <v>11.363406792063676</v>
      </c>
      <c r="BV31" s="456">
        <f t="shared" si="42"/>
        <v>11.747045568788378</v>
      </c>
      <c r="BW31" s="538">
        <f t="shared" si="43"/>
        <v>1.3840851063829787</v>
      </c>
      <c r="BX31" s="144">
        <f t="shared" si="105"/>
        <v>13131.130675171356</v>
      </c>
      <c r="BY31" s="150">
        <f t="shared" si="106"/>
        <v>17.390882238832532</v>
      </c>
      <c r="BZ31" s="5">
        <f t="shared" si="107"/>
        <v>32.526000000000003</v>
      </c>
      <c r="CA31" s="150">
        <f t="shared" si="108"/>
        <v>0.6516031959763825</v>
      </c>
      <c r="CB31" s="5">
        <f t="shared" si="109"/>
        <v>65.160319597638249</v>
      </c>
      <c r="CC31">
        <f t="shared" si="110"/>
        <v>26</v>
      </c>
      <c r="CE31" s="59">
        <f t="shared" si="44"/>
        <v>-50</v>
      </c>
      <c r="CF31">
        <f t="shared" si="45"/>
        <v>-50</v>
      </c>
      <c r="CG31" s="150">
        <f t="shared" si="46"/>
        <v>0.33548864597620498</v>
      </c>
      <c r="CH31" s="150">
        <f t="shared" si="47"/>
        <v>7.0812901345710416E-2</v>
      </c>
      <c r="CI31" s="147">
        <v>26</v>
      </c>
      <c r="CJ31" s="188">
        <f t="shared" si="133"/>
        <v>1.04</v>
      </c>
      <c r="CK31" s="188">
        <f t="shared" si="111"/>
        <v>0.221</v>
      </c>
      <c r="CL31" s="188">
        <f t="shared" si="48"/>
        <v>31.200000000000003</v>
      </c>
      <c r="CM31" s="188">
        <f t="shared" si="134"/>
        <v>1.3260000000000001</v>
      </c>
      <c r="CN31" s="465">
        <f t="shared" si="112"/>
        <v>34</v>
      </c>
      <c r="CO31" s="379">
        <f t="shared" si="49"/>
        <v>30.7</v>
      </c>
      <c r="CP31" s="379">
        <f t="shared" si="50"/>
        <v>64.7</v>
      </c>
      <c r="CQ31" s="379"/>
      <c r="CR31" s="188">
        <f t="shared" si="113"/>
        <v>0.47204968944099374</v>
      </c>
      <c r="CS31" s="149">
        <f t="shared" si="114"/>
        <v>233.26341749863801</v>
      </c>
      <c r="CT31" s="149">
        <f t="shared" si="51"/>
        <v>9.9136952436921142</v>
      </c>
      <c r="CU31" s="188">
        <f t="shared" si="52"/>
        <v>7.7754472499545999</v>
      </c>
      <c r="CV31" s="188">
        <f t="shared" si="53"/>
        <v>38.877236249772999</v>
      </c>
      <c r="CW31" s="379">
        <f t="shared" si="54"/>
        <v>30</v>
      </c>
      <c r="CX31" s="188">
        <f t="shared" si="55"/>
        <v>4.0531625386996915</v>
      </c>
      <c r="CY31" s="188">
        <f t="shared" si="56"/>
        <v>0.56029011564378084</v>
      </c>
      <c r="CZ31" s="188">
        <f t="shared" si="57"/>
        <v>0.62051674045239569</v>
      </c>
      <c r="DA31" s="172">
        <f t="shared" si="58"/>
        <v>350</v>
      </c>
      <c r="DB31" s="379">
        <f t="shared" si="115"/>
        <v>350</v>
      </c>
      <c r="DD31" s="188">
        <f t="shared" si="59"/>
        <v>9.8072469146822137</v>
      </c>
      <c r="DE31" s="150">
        <f t="shared" si="60"/>
        <v>1.5014351954073746</v>
      </c>
      <c r="DF31" s="150">
        <f t="shared" si="61"/>
        <v>2.4718134248028734</v>
      </c>
      <c r="DG31" s="150"/>
      <c r="DH31" s="150">
        <f t="shared" si="62"/>
        <v>0.92784522751949461</v>
      </c>
      <c r="DI31" s="314">
        <f t="shared" si="63"/>
        <v>385.60957085106384</v>
      </c>
      <c r="DJ31" s="456">
        <f t="shared" si="64"/>
        <v>0.94395997276890675</v>
      </c>
      <c r="DL31" s="150">
        <f t="shared" si="65"/>
        <v>6.2885044926277498</v>
      </c>
      <c r="DM31" s="150">
        <f t="shared" si="66"/>
        <v>6.2885044926277498</v>
      </c>
      <c r="DN31" s="150">
        <f t="shared" si="67"/>
        <v>1.3688136533493993</v>
      </c>
      <c r="DP31" s="314">
        <f t="shared" si="68"/>
        <v>1040</v>
      </c>
      <c r="DQ31" s="144">
        <f t="shared" si="69"/>
        <v>350</v>
      </c>
      <c r="DS31">
        <f t="shared" si="116"/>
        <v>1040</v>
      </c>
      <c r="DT31" s="144">
        <f t="shared" si="70"/>
        <v>350</v>
      </c>
      <c r="DU31" s="144"/>
      <c r="DV31" s="5">
        <f t="shared" si="117"/>
        <v>2.8571428571428572</v>
      </c>
      <c r="DW31" s="5">
        <f t="shared" si="71"/>
        <v>0.8692932680985419</v>
      </c>
      <c r="DX31" s="5">
        <f t="shared" si="118"/>
        <v>1.9878495890443153</v>
      </c>
      <c r="DY31" s="150">
        <f t="shared" si="119"/>
        <v>0.30425264383448963</v>
      </c>
      <c r="EA31" s="5">
        <f t="shared" si="72"/>
        <v>3.013549996074945</v>
      </c>
      <c r="EB31" s="5">
        <f t="shared" si="73"/>
        <v>3.2018968708296289</v>
      </c>
      <c r="EC31" s="5">
        <f t="shared" si="74"/>
        <v>1.0730260757471044</v>
      </c>
      <c r="ED31" s="5"/>
      <c r="EE31" s="150">
        <f t="shared" si="120"/>
        <v>2.002644805795724</v>
      </c>
      <c r="EF31" s="150">
        <f t="shared" si="75"/>
        <v>2.9049353189056046</v>
      </c>
      <c r="EG31" s="150">
        <f t="shared" si="76"/>
        <v>0.58310990112955197</v>
      </c>
      <c r="EH31" s="150"/>
      <c r="EI31" s="456">
        <f t="shared" si="77"/>
        <v>4.8127034618167121E-2</v>
      </c>
      <c r="EJ31" s="456">
        <f t="shared" si="78"/>
        <v>2.705660500475553</v>
      </c>
      <c r="EK31" s="456">
        <f t="shared" si="79"/>
        <v>4.0250000000000001E-2</v>
      </c>
      <c r="EL31" s="456">
        <f t="shared" si="80"/>
        <v>0.75820555125</v>
      </c>
      <c r="EM31">
        <f t="shared" si="81"/>
        <v>1.5299999999999999E-2</v>
      </c>
      <c r="EN31" s="144">
        <f t="shared" si="121"/>
        <v>55.550000000000004</v>
      </c>
      <c r="EO31">
        <f t="shared" si="82"/>
        <v>3.6219543739235482</v>
      </c>
      <c r="EP31" s="144">
        <f t="shared" si="122"/>
        <v>3621.9543739235482</v>
      </c>
      <c r="EQ31" s="150">
        <f t="shared" si="83"/>
        <v>0.69742399999999993</v>
      </c>
      <c r="ER31" s="150">
        <f t="shared" si="84"/>
        <v>0.10585899999999999</v>
      </c>
      <c r="ES31" s="456"/>
      <c r="EU31" s="144">
        <f t="shared" si="123"/>
        <v>803.28300000000002</v>
      </c>
      <c r="EV31" s="456">
        <f t="shared" si="85"/>
        <v>5.6148207054528311E-2</v>
      </c>
      <c r="EW31" s="456">
        <f t="shared" si="124"/>
        <v>0.11814108889835291</v>
      </c>
      <c r="EX31" s="456">
        <f t="shared" si="86"/>
        <v>1.7000857839765792E-3</v>
      </c>
      <c r="EY31" s="456">
        <f t="shared" si="87"/>
        <v>11.363406792063676</v>
      </c>
      <c r="EZ31" s="456">
        <f t="shared" si="88"/>
        <v>11.747021712491851</v>
      </c>
      <c r="FA31" s="538">
        <f t="shared" si="89"/>
        <v>1.3840851063829787</v>
      </c>
      <c r="FB31" s="144">
        <f t="shared" si="125"/>
        <v>13131.10681887483</v>
      </c>
      <c r="FC31" s="150">
        <f t="shared" si="126"/>
        <v>17.556344192798377</v>
      </c>
      <c r="FD31" s="5">
        <f t="shared" si="127"/>
        <v>32.526000000000003</v>
      </c>
      <c r="FE31" s="150">
        <f t="shared" si="128"/>
        <v>0.64945043057064211</v>
      </c>
      <c r="FF31" s="5">
        <f t="shared" si="129"/>
        <v>64.945043057064211</v>
      </c>
      <c r="FG31">
        <f t="shared" si="130"/>
        <v>26</v>
      </c>
      <c r="FI31" s="59">
        <f t="shared" si="90"/>
        <v>-50</v>
      </c>
      <c r="FJ31">
        <f t="shared" si="91"/>
        <v>-50</v>
      </c>
      <c r="FL31">
        <f t="shared" si="92"/>
        <v>0.33548864597620492</v>
      </c>
    </row>
    <row r="32" spans="5:168">
      <c r="E32" s="147">
        <v>27</v>
      </c>
      <c r="F32" s="188">
        <f t="shared" si="131"/>
        <v>1.08</v>
      </c>
      <c r="G32" s="188">
        <f t="shared" si="93"/>
        <v>0.22950000000000001</v>
      </c>
      <c r="H32" s="188">
        <f t="shared" si="0"/>
        <v>32.400000000000006</v>
      </c>
      <c r="I32" s="188">
        <f t="shared" si="132"/>
        <v>1.377</v>
      </c>
      <c r="J32" s="465">
        <f t="shared" si="1"/>
        <v>33.900358321708971</v>
      </c>
      <c r="K32" s="379">
        <f t="shared" si="2"/>
        <v>30.775105218908003</v>
      </c>
      <c r="L32" s="149">
        <f t="shared" si="3"/>
        <v>64.675463540616974</v>
      </c>
      <c r="M32" s="379"/>
      <c r="N32" s="188">
        <f t="shared" si="4"/>
        <v>0.47583895861188324</v>
      </c>
      <c r="O32" s="149">
        <f t="shared" si="94"/>
        <v>234.44678730283684</v>
      </c>
      <c r="P32" s="149">
        <f t="shared" si="5"/>
        <v>9.9639884603705653</v>
      </c>
      <c r="Q32" s="188">
        <f t="shared" si="6"/>
        <v>7.814892910094561</v>
      </c>
      <c r="R32" s="188">
        <f t="shared" si="7"/>
        <v>39.074464550472804</v>
      </c>
      <c r="S32" s="379">
        <f t="shared" si="8"/>
        <v>30</v>
      </c>
      <c r="T32" s="188">
        <f t="shared" si="9"/>
        <v>4.1878082148763225</v>
      </c>
      <c r="U32" s="188">
        <f t="shared" si="10"/>
        <v>0.58060444149684376</v>
      </c>
      <c r="V32" s="188">
        <f t="shared" si="11"/>
        <v>0.63956559920470413</v>
      </c>
      <c r="W32" s="172">
        <f t="shared" si="12"/>
        <v>350</v>
      </c>
      <c r="X32" s="379">
        <f t="shared" si="95"/>
        <v>350</v>
      </c>
      <c r="Z32" s="188">
        <f t="shared" si="13"/>
        <v>9.8061466263657664</v>
      </c>
      <c r="AA32" s="150">
        <f t="shared" si="14"/>
        <v>1.4976029753946192</v>
      </c>
      <c r="AB32" s="150">
        <f t="shared" si="15"/>
        <v>2.4652278310217977</v>
      </c>
      <c r="AC32" s="150"/>
      <c r="AD32" s="150">
        <f t="shared" si="16"/>
        <v>0.92558086421578167</v>
      </c>
      <c r="AE32" s="314">
        <f t="shared" si="17"/>
        <v>401.42035597808211</v>
      </c>
      <c r="AF32" s="456">
        <f t="shared" si="18"/>
        <v>0.94165628217578246</v>
      </c>
      <c r="AH32" s="150">
        <f t="shared" si="19"/>
        <v>6.4082962945057638</v>
      </c>
      <c r="AI32" s="150">
        <f t="shared" si="20"/>
        <v>6.4082962945057638</v>
      </c>
      <c r="AJ32" s="150">
        <f t="shared" si="21"/>
        <v>1.4575483214071876</v>
      </c>
      <c r="AL32" s="314">
        <f t="shared" si="22"/>
        <v>1080</v>
      </c>
      <c r="AM32" s="144">
        <f t="shared" si="23"/>
        <v>350</v>
      </c>
      <c r="AO32">
        <f t="shared" si="96"/>
        <v>1080</v>
      </c>
      <c r="AP32" s="144">
        <f t="shared" si="24"/>
        <v>350</v>
      </c>
      <c r="AQ32" s="144"/>
      <c r="AR32" s="5">
        <f t="shared" si="97"/>
        <v>2.8571428571428572</v>
      </c>
      <c r="AS32" s="5">
        <f t="shared" si="25"/>
        <v>0.88845646698930647</v>
      </c>
      <c r="AT32" s="5">
        <f t="shared" si="98"/>
        <v>1.9686863901535507</v>
      </c>
      <c r="AU32" s="150">
        <f t="shared" si="99"/>
        <v>0.31095976344625725</v>
      </c>
      <c r="AW32" s="5">
        <f t="shared" si="26"/>
        <v>3.1984432811615036</v>
      </c>
      <c r="AX32" s="5">
        <f t="shared" si="27"/>
        <v>3.3983459862340974</v>
      </c>
      <c r="AY32" s="5">
        <f t="shared" si="28"/>
        <v>1.1067979322998414</v>
      </c>
      <c r="AZ32" s="5"/>
      <c r="BA32" s="150">
        <f t="shared" si="100"/>
        <v>2.0631654425501176</v>
      </c>
      <c r="BB32" s="150">
        <f t="shared" si="29"/>
        <v>2.9459690796959768</v>
      </c>
      <c r="BC32" s="150">
        <f t="shared" si="30"/>
        <v>0.59134663949743471</v>
      </c>
      <c r="BD32" s="150"/>
      <c r="BE32" s="456">
        <f t="shared" si="31"/>
        <v>5.1079819719996269E-2</v>
      </c>
      <c r="BF32" s="456">
        <f t="shared" si="32"/>
        <v>2.6473602692908722</v>
      </c>
      <c r="BG32" s="456">
        <f t="shared" si="33"/>
        <v>4.0250000000000001E-2</v>
      </c>
      <c r="BH32" s="456">
        <f t="shared" si="34"/>
        <v>0.75763058518707949</v>
      </c>
      <c r="BI32">
        <f t="shared" si="35"/>
        <v>1.5255161244769036E-2</v>
      </c>
      <c r="BJ32" s="144">
        <f t="shared" si="101"/>
        <v>55.505161244769035</v>
      </c>
      <c r="BK32">
        <f t="shared" si="36"/>
        <v>3.5124918112831689</v>
      </c>
      <c r="BL32" s="144">
        <f t="shared" si="102"/>
        <v>3512.4918112831688</v>
      </c>
      <c r="BM32" s="150">
        <f t="shared" si="37"/>
        <v>0.724248</v>
      </c>
      <c r="BN32" s="150">
        <f t="shared" si="38"/>
        <v>0.1099305</v>
      </c>
      <c r="BO32" s="456"/>
      <c r="BQ32" s="144">
        <f t="shared" si="103"/>
        <v>834.1785000000001</v>
      </c>
      <c r="BR32" s="456">
        <f t="shared" si="39"/>
        <v>5.9593123006662314E-2</v>
      </c>
      <c r="BS32" s="456">
        <f t="shared" si="104"/>
        <v>0.12150227345934665</v>
      </c>
      <c r="BT32" s="456">
        <f t="shared" si="40"/>
        <v>1.7484542402245451E-3</v>
      </c>
      <c r="BU32" s="456">
        <f t="shared" si="41"/>
        <v>11.912326114503072</v>
      </c>
      <c r="BV32" s="456">
        <f t="shared" si="42"/>
        <v>12.31925245389824</v>
      </c>
      <c r="BW32" s="538">
        <f t="shared" si="43"/>
        <v>1.4373191489361707</v>
      </c>
      <c r="BX32" s="144">
        <f t="shared" si="105"/>
        <v>13756.57160283441</v>
      </c>
      <c r="BY32" s="150">
        <f t="shared" si="106"/>
        <v>18.103241914117582</v>
      </c>
      <c r="BZ32" s="5">
        <f t="shared" si="107"/>
        <v>33.777000000000008</v>
      </c>
      <c r="CA32" s="150">
        <f t="shared" si="108"/>
        <v>0.65105710293167796</v>
      </c>
      <c r="CB32" s="5">
        <f t="shared" si="109"/>
        <v>65.105710293167789</v>
      </c>
      <c r="CC32">
        <f t="shared" si="110"/>
        <v>27</v>
      </c>
      <c r="CE32" s="59">
        <f t="shared" si="44"/>
        <v>-50</v>
      </c>
      <c r="CF32">
        <f t="shared" si="45"/>
        <v>-50</v>
      </c>
      <c r="CG32" s="150">
        <f t="shared" si="46"/>
        <v>0.34187948014961128</v>
      </c>
      <c r="CH32" s="150">
        <f t="shared" si="47"/>
        <v>7.2161839723405355E-2</v>
      </c>
      <c r="CI32" s="147">
        <v>27</v>
      </c>
      <c r="CJ32" s="188">
        <f t="shared" si="133"/>
        <v>1.08</v>
      </c>
      <c r="CK32" s="188">
        <f t="shared" si="111"/>
        <v>0.22950000000000001</v>
      </c>
      <c r="CL32" s="188">
        <f t="shared" si="48"/>
        <v>32.400000000000006</v>
      </c>
      <c r="CM32" s="188">
        <f t="shared" si="134"/>
        <v>1.377</v>
      </c>
      <c r="CN32" s="465">
        <f t="shared" si="112"/>
        <v>34</v>
      </c>
      <c r="CO32" s="379">
        <f t="shared" si="49"/>
        <v>30.7</v>
      </c>
      <c r="CP32" s="379">
        <f t="shared" si="50"/>
        <v>64.7</v>
      </c>
      <c r="CQ32" s="379"/>
      <c r="CR32" s="188">
        <f t="shared" si="113"/>
        <v>0.47204968944099374</v>
      </c>
      <c r="CS32" s="149">
        <f t="shared" si="114"/>
        <v>233.26341749863801</v>
      </c>
      <c r="CT32" s="149">
        <f t="shared" si="51"/>
        <v>9.9136952436921142</v>
      </c>
      <c r="CU32" s="188">
        <f t="shared" si="52"/>
        <v>7.7754472499545999</v>
      </c>
      <c r="CV32" s="188">
        <f t="shared" si="53"/>
        <v>38.877236249772999</v>
      </c>
      <c r="CW32" s="379">
        <f t="shared" si="54"/>
        <v>30</v>
      </c>
      <c r="CX32" s="188">
        <f t="shared" si="55"/>
        <v>4.2090534055727566</v>
      </c>
      <c r="CY32" s="188">
        <f t="shared" si="56"/>
        <v>0.58183973547623402</v>
      </c>
      <c r="CZ32" s="188">
        <f t="shared" si="57"/>
        <v>0.64438276893133406</v>
      </c>
      <c r="DA32" s="172">
        <f t="shared" si="58"/>
        <v>350</v>
      </c>
      <c r="DB32" s="379">
        <f t="shared" si="115"/>
        <v>350</v>
      </c>
      <c r="DD32" s="188">
        <f t="shared" si="59"/>
        <v>9.8072469146822137</v>
      </c>
      <c r="DE32" s="150">
        <f t="shared" si="60"/>
        <v>1.5014351954073746</v>
      </c>
      <c r="DF32" s="150">
        <f t="shared" si="61"/>
        <v>2.4718134248028734</v>
      </c>
      <c r="DG32" s="150"/>
      <c r="DH32" s="150">
        <f t="shared" si="62"/>
        <v>0.92784522751949461</v>
      </c>
      <c r="DI32" s="314">
        <f t="shared" si="63"/>
        <v>400.44070819148942</v>
      </c>
      <c r="DJ32" s="456">
        <f t="shared" si="64"/>
        <v>0.94395997276890675</v>
      </c>
      <c r="DL32" s="150">
        <f t="shared" si="65"/>
        <v>6.4082962945057638</v>
      </c>
      <c r="DM32" s="150">
        <f t="shared" si="66"/>
        <v>6.4082962945057638</v>
      </c>
      <c r="DN32" s="150">
        <f t="shared" si="67"/>
        <v>1.4575483214071876</v>
      </c>
      <c r="DP32" s="314">
        <f t="shared" si="68"/>
        <v>1080</v>
      </c>
      <c r="DQ32" s="144">
        <f t="shared" si="69"/>
        <v>350</v>
      </c>
      <c r="DS32">
        <f t="shared" si="116"/>
        <v>1080</v>
      </c>
      <c r="DT32" s="144">
        <f t="shared" si="70"/>
        <v>350</v>
      </c>
      <c r="DU32" s="144"/>
      <c r="DV32" s="5">
        <f t="shared" si="117"/>
        <v>2.8571428571428572</v>
      </c>
      <c r="DW32" s="5">
        <f t="shared" si="71"/>
        <v>0.88585272306403195</v>
      </c>
      <c r="DX32" s="5">
        <f t="shared" si="118"/>
        <v>1.9712901340788251</v>
      </c>
      <c r="DY32" s="150">
        <f t="shared" si="119"/>
        <v>0.31004845307241119</v>
      </c>
      <c r="EA32" s="5">
        <f t="shared" si="72"/>
        <v>3.1890698030305153</v>
      </c>
      <c r="EB32" s="5">
        <f t="shared" si="73"/>
        <v>3.3883866657199224</v>
      </c>
      <c r="EC32" s="5">
        <f t="shared" si="74"/>
        <v>1.1050138467846702</v>
      </c>
      <c r="ED32" s="5"/>
      <c r="EE32" s="150">
        <f t="shared" si="120"/>
        <v>2.0601400292190366</v>
      </c>
      <c r="EF32" s="150">
        <f t="shared" si="75"/>
        <v>2.947916574884148</v>
      </c>
      <c r="EG32" s="150">
        <f t="shared" si="76"/>
        <v>0.59173756170462932</v>
      </c>
      <c r="EH32" s="150"/>
      <c r="EI32" s="456">
        <f t="shared" si="77"/>
        <v>5.0930123279887357E-2</v>
      </c>
      <c r="EJ32" s="456">
        <f t="shared" si="78"/>
        <v>2.7572015221925774</v>
      </c>
      <c r="EK32" s="456">
        <f t="shared" si="79"/>
        <v>4.0250000000000001E-2</v>
      </c>
      <c r="EL32" s="456">
        <f t="shared" si="80"/>
        <v>0.75820555125</v>
      </c>
      <c r="EM32">
        <f t="shared" si="81"/>
        <v>1.5299999999999999E-2</v>
      </c>
      <c r="EN32" s="144">
        <f t="shared" si="121"/>
        <v>55.550000000000004</v>
      </c>
      <c r="EO32">
        <f t="shared" si="82"/>
        <v>3.6801720824087854</v>
      </c>
      <c r="EP32" s="144">
        <f t="shared" si="122"/>
        <v>3680.1720824087852</v>
      </c>
      <c r="EQ32" s="150">
        <f t="shared" si="83"/>
        <v>0.724248</v>
      </c>
      <c r="ER32" s="150">
        <f t="shared" si="84"/>
        <v>0.1099305</v>
      </c>
      <c r="ES32" s="456"/>
      <c r="EU32" s="144">
        <f t="shared" si="123"/>
        <v>834.1785000000001</v>
      </c>
      <c r="EV32" s="456">
        <f t="shared" si="85"/>
        <v>5.9418477159868581E-2</v>
      </c>
      <c r="EW32" s="456">
        <f t="shared" si="124"/>
        <v>0.12166296985467361</v>
      </c>
      <c r="EX32" s="456">
        <f t="shared" si="86"/>
        <v>1.7507667096607E-3</v>
      </c>
      <c r="EY32" s="456">
        <f t="shared" si="87"/>
        <v>11.912326114503072</v>
      </c>
      <c r="EZ32" s="456">
        <f t="shared" si="88"/>
        <v>12.319226170896618</v>
      </c>
      <c r="FA32" s="538">
        <f t="shared" si="89"/>
        <v>1.4373191489361707</v>
      </c>
      <c r="FB32" s="144">
        <f t="shared" si="125"/>
        <v>13756.545319832789</v>
      </c>
      <c r="FC32" s="150">
        <f t="shared" si="126"/>
        <v>18.270895902241577</v>
      </c>
      <c r="FD32" s="5">
        <f t="shared" si="127"/>
        <v>33.777000000000008</v>
      </c>
      <c r="FE32" s="150">
        <f t="shared" si="128"/>
        <v>0.6489599514923966</v>
      </c>
      <c r="FF32" s="5">
        <f t="shared" si="129"/>
        <v>64.895995149239667</v>
      </c>
      <c r="FG32">
        <f t="shared" si="130"/>
        <v>27</v>
      </c>
      <c r="FI32" s="59">
        <f t="shared" si="90"/>
        <v>-50</v>
      </c>
      <c r="FJ32">
        <f t="shared" si="91"/>
        <v>-50</v>
      </c>
      <c r="FL32">
        <f t="shared" si="92"/>
        <v>0.34187948014961128</v>
      </c>
    </row>
    <row r="33" spans="5:168">
      <c r="E33" s="147">
        <v>28</v>
      </c>
      <c r="F33" s="188">
        <f t="shared" si="131"/>
        <v>1.1200000000000001</v>
      </c>
      <c r="G33" s="188">
        <f t="shared" si="93"/>
        <v>0.23800000000000002</v>
      </c>
      <c r="H33" s="188">
        <f t="shared" si="0"/>
        <v>33.6</v>
      </c>
      <c r="I33" s="188">
        <f t="shared" si="132"/>
        <v>1.4280000000000002</v>
      </c>
      <c r="J33" s="465">
        <f t="shared" si="1"/>
        <v>33.898529881524205</v>
      </c>
      <c r="K33" s="379">
        <f t="shared" si="2"/>
        <v>30.776483411273812</v>
      </c>
      <c r="L33" s="149">
        <f t="shared" si="3"/>
        <v>64.675013292798013</v>
      </c>
      <c r="M33" s="379"/>
      <c r="N33" s="188">
        <f t="shared" si="4"/>
        <v>0.47586358076096408</v>
      </c>
      <c r="O33" s="149">
        <f t="shared" si="94"/>
        <v>234.44627297368868</v>
      </c>
      <c r="P33" s="149">
        <f t="shared" si="5"/>
        <v>9.9639666013817685</v>
      </c>
      <c r="Q33" s="188">
        <f t="shared" si="6"/>
        <v>7.8148757657896226</v>
      </c>
      <c r="R33" s="188">
        <f t="shared" si="7"/>
        <v>39.074378828948113</v>
      </c>
      <c r="S33" s="379">
        <f t="shared" si="8"/>
        <v>30</v>
      </c>
      <c r="T33" s="188">
        <f t="shared" si="9"/>
        <v>4.3429217503324793</v>
      </c>
      <c r="U33" s="188">
        <f t="shared" si="10"/>
        <v>0.6021421075752228</v>
      </c>
      <c r="V33" s="188">
        <f t="shared" si="11"/>
        <v>0.66322496803145414</v>
      </c>
      <c r="W33" s="172">
        <f t="shared" si="12"/>
        <v>350</v>
      </c>
      <c r="X33" s="379">
        <f t="shared" si="95"/>
        <v>350</v>
      </c>
      <c r="Z33" s="188">
        <f t="shared" si="13"/>
        <v>9.806125113650241</v>
      </c>
      <c r="AA33" s="150">
        <f t="shared" si="14"/>
        <v>1.4975326263972455</v>
      </c>
      <c r="AB33" s="150">
        <f t="shared" si="15"/>
        <v>2.465106620469363</v>
      </c>
      <c r="AC33" s="150"/>
      <c r="AD33" s="150">
        <f t="shared" si="16"/>
        <v>0.92553941605992995</v>
      </c>
      <c r="AE33" s="314">
        <f t="shared" si="17"/>
        <v>416.30641906130427</v>
      </c>
      <c r="AF33" s="456">
        <f t="shared" si="18"/>
        <v>0.94161411415151641</v>
      </c>
      <c r="AH33" s="150">
        <f t="shared" si="19"/>
        <v>6.5258895211728181</v>
      </c>
      <c r="AI33" s="150">
        <f t="shared" si="20"/>
        <v>6.5258895211728181</v>
      </c>
      <c r="AJ33" s="150">
        <f t="shared" si="21"/>
        <v>1.5446544152346351</v>
      </c>
      <c r="AL33" s="314">
        <f t="shared" si="22"/>
        <v>1120</v>
      </c>
      <c r="AM33" s="144">
        <f t="shared" si="23"/>
        <v>350</v>
      </c>
      <c r="AO33">
        <f t="shared" si="96"/>
        <v>1120</v>
      </c>
      <c r="AP33" s="144">
        <f t="shared" si="24"/>
        <v>350</v>
      </c>
      <c r="AQ33" s="144"/>
      <c r="AR33" s="5">
        <f t="shared" si="97"/>
        <v>2.8571428571428572</v>
      </c>
      <c r="AS33" s="5">
        <f t="shared" si="25"/>
        <v>0.90480858186800905</v>
      </c>
      <c r="AT33" s="5">
        <f t="shared" si="98"/>
        <v>1.9523342752748483</v>
      </c>
      <c r="AU33" s="150">
        <f t="shared" si="99"/>
        <v>0.31668300365380314</v>
      </c>
      <c r="AW33" s="5">
        <f t="shared" si="26"/>
        <v>3.3779520389739011</v>
      </c>
      <c r="AX33" s="5">
        <f t="shared" si="27"/>
        <v>3.5890740414097695</v>
      </c>
      <c r="AY33" s="5">
        <f t="shared" si="28"/>
        <v>1.1383181769152588</v>
      </c>
      <c r="AZ33" s="5"/>
      <c r="BA33" s="150">
        <f t="shared" si="100"/>
        <v>2.120271460128258</v>
      </c>
      <c r="BB33" s="150">
        <f t="shared" si="29"/>
        <v>2.9875428139421407</v>
      </c>
      <c r="BC33" s="150">
        <f t="shared" si="30"/>
        <v>0.59969176715246275</v>
      </c>
      <c r="BD33" s="150"/>
      <c r="BE33" s="456">
        <f t="shared" si="31"/>
        <v>5.3946612775612982E-2</v>
      </c>
      <c r="BF33" s="456">
        <f t="shared" si="32"/>
        <v>2.6959209708926579</v>
      </c>
      <c r="BG33" s="456">
        <f t="shared" si="33"/>
        <v>4.0250000000000001E-2</v>
      </c>
      <c r="BH33" s="456">
        <f t="shared" si="34"/>
        <v>0.75762003650872467</v>
      </c>
      <c r="BI33">
        <f t="shared" si="35"/>
        <v>1.5254338446685892E-2</v>
      </c>
      <c r="BJ33" s="144">
        <f t="shared" si="101"/>
        <v>55.5043384466859</v>
      </c>
      <c r="BK33">
        <f t="shared" si="36"/>
        <v>3.5677840453993377</v>
      </c>
      <c r="BL33" s="144">
        <f t="shared" si="102"/>
        <v>3567.7840453993376</v>
      </c>
      <c r="BM33" s="150">
        <f t="shared" si="37"/>
        <v>0.75107199999999996</v>
      </c>
      <c r="BN33" s="150">
        <f t="shared" si="38"/>
        <v>0.11400200000000001</v>
      </c>
      <c r="BO33" s="456"/>
      <c r="BQ33" s="144">
        <f t="shared" si="103"/>
        <v>865.07399999999996</v>
      </c>
      <c r="BR33" s="456">
        <f t="shared" si="39"/>
        <v>6.2937714904881814E-2</v>
      </c>
      <c r="BS33" s="456">
        <f t="shared" si="104"/>
        <v>0.12495576891192255</v>
      </c>
      <c r="BT33" s="456">
        <f t="shared" si="40"/>
        <v>1.798151077952218E-3</v>
      </c>
      <c r="BU33" s="456">
        <f t="shared" si="41"/>
        <v>12.466352653255591</v>
      </c>
      <c r="BV33" s="456">
        <f t="shared" si="42"/>
        <v>12.89729093680638</v>
      </c>
      <c r="BW33" s="538">
        <f t="shared" si="43"/>
        <v>1.4905531914893619</v>
      </c>
      <c r="BX33" s="144">
        <f t="shared" si="105"/>
        <v>14387.844128295741</v>
      </c>
      <c r="BY33" s="150">
        <f t="shared" si="106"/>
        <v>18.820702173695079</v>
      </c>
      <c r="BZ33" s="5">
        <f t="shared" si="107"/>
        <v>35.027999999999999</v>
      </c>
      <c r="CA33" s="150">
        <f t="shared" si="108"/>
        <v>0.65048921489348488</v>
      </c>
      <c r="CB33" s="5">
        <f t="shared" si="109"/>
        <v>65.048921489348487</v>
      </c>
      <c r="CC33">
        <f t="shared" si="110"/>
        <v>28.000000000000004</v>
      </c>
      <c r="CE33" s="59">
        <f t="shared" si="44"/>
        <v>-50</v>
      </c>
      <c r="CF33">
        <f t="shared" si="45"/>
        <v>-50</v>
      </c>
      <c r="CG33" s="150">
        <f t="shared" si="46"/>
        <v>0.348153021408388</v>
      </c>
      <c r="CH33" s="150">
        <f t="shared" si="47"/>
        <v>7.3486020626616938E-2</v>
      </c>
      <c r="CI33" s="147">
        <v>28</v>
      </c>
      <c r="CJ33" s="188">
        <f t="shared" si="133"/>
        <v>1.1200000000000001</v>
      </c>
      <c r="CK33" s="188">
        <f t="shared" si="111"/>
        <v>0.23800000000000002</v>
      </c>
      <c r="CL33" s="188">
        <f t="shared" si="48"/>
        <v>33.6</v>
      </c>
      <c r="CM33" s="188">
        <f t="shared" si="134"/>
        <v>1.4280000000000002</v>
      </c>
      <c r="CN33" s="465">
        <f t="shared" si="112"/>
        <v>34</v>
      </c>
      <c r="CO33" s="379">
        <f t="shared" si="49"/>
        <v>30.7</v>
      </c>
      <c r="CP33" s="379">
        <f t="shared" si="50"/>
        <v>64.7</v>
      </c>
      <c r="CQ33" s="379"/>
      <c r="CR33" s="188">
        <f t="shared" si="113"/>
        <v>0.47204968944099374</v>
      </c>
      <c r="CS33" s="149">
        <f t="shared" si="114"/>
        <v>233.26341749863801</v>
      </c>
      <c r="CT33" s="149">
        <f t="shared" si="51"/>
        <v>9.9136952436921142</v>
      </c>
      <c r="CU33" s="188">
        <f t="shared" si="52"/>
        <v>7.7754472499545999</v>
      </c>
      <c r="CV33" s="188">
        <f t="shared" si="53"/>
        <v>38.877236249772999</v>
      </c>
      <c r="CW33" s="379">
        <f t="shared" si="54"/>
        <v>30</v>
      </c>
      <c r="CX33" s="188">
        <f t="shared" si="55"/>
        <v>4.3649442724458201</v>
      </c>
      <c r="CY33" s="188">
        <f t="shared" si="56"/>
        <v>0.60338935530868687</v>
      </c>
      <c r="CZ33" s="188">
        <f t="shared" si="57"/>
        <v>0.66824879741027221</v>
      </c>
      <c r="DA33" s="172">
        <f t="shared" si="58"/>
        <v>350</v>
      </c>
      <c r="DB33" s="379">
        <f t="shared" si="115"/>
        <v>350</v>
      </c>
      <c r="DD33" s="188">
        <f t="shared" si="59"/>
        <v>9.8072469146822137</v>
      </c>
      <c r="DE33" s="150">
        <f t="shared" si="60"/>
        <v>1.5014351954073746</v>
      </c>
      <c r="DF33" s="150">
        <f t="shared" si="61"/>
        <v>2.4718134248028734</v>
      </c>
      <c r="DG33" s="150"/>
      <c r="DH33" s="150">
        <f t="shared" si="62"/>
        <v>0.92784522751949461</v>
      </c>
      <c r="DI33" s="314">
        <f t="shared" si="63"/>
        <v>415.27184553191495</v>
      </c>
      <c r="DJ33" s="456">
        <f t="shared" si="64"/>
        <v>0.94395997276890675</v>
      </c>
      <c r="DL33" s="150">
        <f t="shared" si="65"/>
        <v>6.5258895211728181</v>
      </c>
      <c r="DM33" s="150">
        <f t="shared" si="66"/>
        <v>6.5258895211728181</v>
      </c>
      <c r="DN33" s="150">
        <f t="shared" si="67"/>
        <v>1.5446544152346351</v>
      </c>
      <c r="DP33" s="314">
        <f t="shared" si="68"/>
        <v>1120</v>
      </c>
      <c r="DQ33" s="144">
        <f t="shared" si="69"/>
        <v>350</v>
      </c>
      <c r="DS33">
        <f t="shared" si="116"/>
        <v>1120</v>
      </c>
      <c r="DT33" s="144">
        <f t="shared" si="70"/>
        <v>350</v>
      </c>
      <c r="DU33" s="144"/>
      <c r="DV33" s="5">
        <f t="shared" si="117"/>
        <v>2.8571428571428572</v>
      </c>
      <c r="DW33" s="5">
        <f t="shared" si="71"/>
        <v>0.90210825733859545</v>
      </c>
      <c r="DX33" s="5">
        <f t="shared" si="118"/>
        <v>1.9550345998042618</v>
      </c>
      <c r="DY33" s="150">
        <f t="shared" si="119"/>
        <v>0.31573789006850839</v>
      </c>
      <c r="EA33" s="5">
        <f t="shared" si="72"/>
        <v>3.3678708273974234</v>
      </c>
      <c r="EB33" s="5">
        <f t="shared" si="73"/>
        <v>3.5783627541097625</v>
      </c>
      <c r="EC33" s="5">
        <f t="shared" si="74"/>
        <v>1.1364907016163182</v>
      </c>
      <c r="ED33" s="5"/>
      <c r="EE33" s="150">
        <f t="shared" si="120"/>
        <v>2.1171052107732309</v>
      </c>
      <c r="EF33" s="150">
        <f t="shared" si="75"/>
        <v>2.9896081742744571</v>
      </c>
      <c r="EG33" s="150">
        <f t="shared" si="76"/>
        <v>0.60010634852070732</v>
      </c>
      <c r="EH33" s="150"/>
      <c r="EI33" s="456">
        <f t="shared" si="77"/>
        <v>5.3785613681798003E-2</v>
      </c>
      <c r="EJ33" s="456">
        <f t="shared" si="78"/>
        <v>2.8077965959322104</v>
      </c>
      <c r="EK33" s="456">
        <f t="shared" si="79"/>
        <v>4.0250000000000001E-2</v>
      </c>
      <c r="EL33" s="456">
        <f t="shared" si="80"/>
        <v>0.75820555125</v>
      </c>
      <c r="EM33">
        <f t="shared" si="81"/>
        <v>1.5299999999999999E-2</v>
      </c>
      <c r="EN33" s="144">
        <f t="shared" si="121"/>
        <v>55.550000000000004</v>
      </c>
      <c r="EO33">
        <f t="shared" si="82"/>
        <v>3.7376247087871235</v>
      </c>
      <c r="EP33" s="144">
        <f t="shared" si="122"/>
        <v>3737.6247087871234</v>
      </c>
      <c r="EQ33" s="150">
        <f t="shared" si="83"/>
        <v>0.75107199999999996</v>
      </c>
      <c r="ER33" s="150">
        <f t="shared" si="84"/>
        <v>0.11400200000000001</v>
      </c>
      <c r="ES33" s="456"/>
      <c r="EU33" s="144">
        <f t="shared" si="123"/>
        <v>865.07399999999996</v>
      </c>
      <c r="EV33" s="456">
        <f t="shared" si="85"/>
        <v>6.2749882628764339E-2</v>
      </c>
      <c r="EW33" s="456">
        <f t="shared" si="124"/>
        <v>0.12512859849964114</v>
      </c>
      <c r="EX33" s="456">
        <f t="shared" si="86"/>
        <v>1.8006381476742834E-3</v>
      </c>
      <c r="EY33" s="456">
        <f t="shared" si="87"/>
        <v>12.466352653255591</v>
      </c>
      <c r="EZ33" s="456">
        <f t="shared" si="88"/>
        <v>12.89726206593711</v>
      </c>
      <c r="FA33" s="538">
        <f t="shared" si="89"/>
        <v>1.4905531914893619</v>
      </c>
      <c r="FB33" s="144">
        <f t="shared" si="125"/>
        <v>14387.815257426471</v>
      </c>
      <c r="FC33" s="150">
        <f t="shared" si="126"/>
        <v>18.990513966213594</v>
      </c>
      <c r="FD33" s="5">
        <f t="shared" si="127"/>
        <v>35.027999999999999</v>
      </c>
      <c r="FE33" s="150">
        <f t="shared" si="128"/>
        <v>0.64844434672728324</v>
      </c>
      <c r="FF33" s="5">
        <f t="shared" si="129"/>
        <v>64.844434672728326</v>
      </c>
      <c r="FG33">
        <f t="shared" si="130"/>
        <v>28.000000000000004</v>
      </c>
      <c r="FI33" s="59">
        <f t="shared" si="90"/>
        <v>-50</v>
      </c>
      <c r="FJ33">
        <f t="shared" si="91"/>
        <v>-50</v>
      </c>
      <c r="FL33">
        <f t="shared" si="92"/>
        <v>0.348153021408388</v>
      </c>
    </row>
    <row r="34" spans="5:168">
      <c r="E34" s="147">
        <v>29</v>
      </c>
      <c r="F34" s="188">
        <f t="shared" si="131"/>
        <v>1.1599999999999999</v>
      </c>
      <c r="G34" s="188">
        <f t="shared" si="93"/>
        <v>0.24649999999999997</v>
      </c>
      <c r="H34" s="188">
        <f t="shared" si="0"/>
        <v>34.799999999999997</v>
      </c>
      <c r="I34" s="188">
        <f t="shared" si="132"/>
        <v>1.4789999999999999</v>
      </c>
      <c r="J34" s="465">
        <f t="shared" si="1"/>
        <v>33.896733810788184</v>
      </c>
      <c r="K34" s="379">
        <f t="shared" si="2"/>
        <v>30.777837205068906</v>
      </c>
      <c r="L34" s="149">
        <f t="shared" si="3"/>
        <v>64.674571015857083</v>
      </c>
      <c r="M34" s="379"/>
      <c r="N34" s="188">
        <f t="shared" si="4"/>
        <v>0.47588776735021115</v>
      </c>
      <c r="O34" s="149">
        <f t="shared" si="94"/>
        <v>234.44576664022097</v>
      </c>
      <c r="P34" s="149">
        <f t="shared" si="5"/>
        <v>9.9639450822093902</v>
      </c>
      <c r="Q34" s="188">
        <f t="shared" si="6"/>
        <v>7.8148588880073655</v>
      </c>
      <c r="R34" s="188">
        <f t="shared" si="7"/>
        <v>39.07429444003683</v>
      </c>
      <c r="S34" s="379">
        <f t="shared" si="8"/>
        <v>30</v>
      </c>
      <c r="T34" s="188">
        <f t="shared" si="9"/>
        <v>4.4980358129637441</v>
      </c>
      <c r="U34" s="188">
        <f t="shared" si="10"/>
        <v>0.62368157471860031</v>
      </c>
      <c r="V34" s="188">
        <f t="shared" si="11"/>
        <v>0.68688284300392144</v>
      </c>
      <c r="W34" s="172">
        <f t="shared" si="12"/>
        <v>350</v>
      </c>
      <c r="X34" s="379">
        <f t="shared" si="95"/>
        <v>350</v>
      </c>
      <c r="Z34" s="188">
        <f t="shared" si="13"/>
        <v>9.8061039353680268</v>
      </c>
      <c r="AA34" s="150">
        <f t="shared" si="14"/>
        <v>1.4974635218565397</v>
      </c>
      <c r="AB34" s="150">
        <f t="shared" si="15"/>
        <v>2.4649875430031738</v>
      </c>
      <c r="AC34" s="150"/>
      <c r="AD34" s="150">
        <f t="shared" si="16"/>
        <v>0.92549870528775224</v>
      </c>
      <c r="AE34" s="314">
        <f t="shared" si="17"/>
        <v>431.19347193027465</v>
      </c>
      <c r="AF34" s="456">
        <f t="shared" si="18"/>
        <v>0.9415726963177482</v>
      </c>
      <c r="AH34" s="150">
        <f t="shared" si="19"/>
        <v>6.6414009581510802</v>
      </c>
      <c r="AI34" s="150">
        <f t="shared" si="20"/>
        <v>6.6414009581510802</v>
      </c>
      <c r="AJ34" s="150">
        <f t="shared" si="21"/>
        <v>1.6302184426259405</v>
      </c>
      <c r="AL34" s="314">
        <f t="shared" si="22"/>
        <v>1160</v>
      </c>
      <c r="AM34" s="144">
        <f t="shared" si="23"/>
        <v>350</v>
      </c>
      <c r="AO34">
        <f t="shared" si="96"/>
        <v>1160</v>
      </c>
      <c r="AP34" s="144">
        <f t="shared" si="24"/>
        <v>350</v>
      </c>
      <c r="AQ34" s="144"/>
      <c r="AR34" s="5">
        <f t="shared" si="97"/>
        <v>2.8571428571428572</v>
      </c>
      <c r="AS34" s="5">
        <f t="shared" si="25"/>
        <v>0.92087292768530782</v>
      </c>
      <c r="AT34" s="5">
        <f t="shared" si="98"/>
        <v>1.9362699294575494</v>
      </c>
      <c r="AU34" s="150">
        <f t="shared" si="99"/>
        <v>0.32230552468985774</v>
      </c>
      <c r="AW34" s="5">
        <f t="shared" si="26"/>
        <v>3.5607086537165227</v>
      </c>
      <c r="AX34" s="5">
        <f t="shared" si="27"/>
        <v>3.7832529445738059</v>
      </c>
      <c r="AY34" s="5">
        <f t="shared" si="28"/>
        <v>1.1693334425540578</v>
      </c>
      <c r="AZ34" s="5"/>
      <c r="BA34" s="150">
        <f t="shared" si="100"/>
        <v>2.1768722745688516</v>
      </c>
      <c r="BB34" s="150">
        <f t="shared" si="29"/>
        <v>3.0278892220758924</v>
      </c>
      <c r="BC34" s="150">
        <f t="shared" si="30"/>
        <v>0.60779053269284933</v>
      </c>
      <c r="BD34" s="150"/>
      <c r="BE34" s="456">
        <f t="shared" si="31"/>
        <v>5.6865274797438782E-2</v>
      </c>
      <c r="BF34" s="456">
        <f t="shared" si="32"/>
        <v>2.7436213286675204</v>
      </c>
      <c r="BG34" s="456">
        <f t="shared" si="33"/>
        <v>4.0250000000000001E-2</v>
      </c>
      <c r="BH34" s="456">
        <f t="shared" si="34"/>
        <v>0.75760967464842133</v>
      </c>
      <c r="BI34">
        <f t="shared" si="35"/>
        <v>1.5253530214854682E-2</v>
      </c>
      <c r="BJ34" s="144">
        <f t="shared" si="101"/>
        <v>55.503530214854685</v>
      </c>
      <c r="BK34">
        <f t="shared" si="36"/>
        <v>3.6223927362577681</v>
      </c>
      <c r="BL34" s="144">
        <f t="shared" si="102"/>
        <v>3622.3927362577683</v>
      </c>
      <c r="BM34" s="150">
        <f t="shared" si="37"/>
        <v>0.77789599999999992</v>
      </c>
      <c r="BN34" s="150">
        <f t="shared" si="38"/>
        <v>0.11807349999999998</v>
      </c>
      <c r="BO34" s="456"/>
      <c r="BQ34" s="144">
        <f t="shared" si="103"/>
        <v>895.96949999999981</v>
      </c>
      <c r="BR34" s="456">
        <f t="shared" si="39"/>
        <v>6.6342820597011909E-2</v>
      </c>
      <c r="BS34" s="456">
        <f t="shared" si="104"/>
        <v>0.12835358397628693</v>
      </c>
      <c r="BT34" s="456">
        <f t="shared" si="40"/>
        <v>1.8470466581552878E-3</v>
      </c>
      <c r="BU34" s="456">
        <f t="shared" si="41"/>
        <v>13.025348935544372</v>
      </c>
      <c r="BV34" s="456">
        <f t="shared" si="42"/>
        <v>13.481031491511503</v>
      </c>
      <c r="BW34" s="538">
        <f t="shared" si="43"/>
        <v>1.5437872340425534</v>
      </c>
      <c r="BX34" s="144">
        <f t="shared" si="105"/>
        <v>15024.818725554056</v>
      </c>
      <c r="BY34" s="150">
        <f t="shared" si="106"/>
        <v>19.543180961811828</v>
      </c>
      <c r="BZ34" s="5">
        <f t="shared" si="107"/>
        <v>36.278999999999996</v>
      </c>
      <c r="CA34" s="150">
        <f t="shared" si="108"/>
        <v>0.64990294852181796</v>
      </c>
      <c r="CB34" s="5">
        <f t="shared" si="109"/>
        <v>64.99029485218179</v>
      </c>
      <c r="CC34">
        <f t="shared" si="110"/>
        <v>28.999999999999996</v>
      </c>
      <c r="CE34" s="59">
        <f t="shared" si="44"/>
        <v>-50</v>
      </c>
      <c r="CF34">
        <f t="shared" si="45"/>
        <v>-50</v>
      </c>
      <c r="CG34" s="150">
        <f t="shared" si="46"/>
        <v>0.354315500203153</v>
      </c>
      <c r="CH34" s="150">
        <f t="shared" si="47"/>
        <v>7.4786759140938158E-2</v>
      </c>
      <c r="CI34" s="147">
        <v>29</v>
      </c>
      <c r="CJ34" s="188">
        <f t="shared" si="133"/>
        <v>1.1599999999999999</v>
      </c>
      <c r="CK34" s="188">
        <f t="shared" si="111"/>
        <v>0.24649999999999997</v>
      </c>
      <c r="CL34" s="188">
        <f t="shared" si="48"/>
        <v>34.799999999999997</v>
      </c>
      <c r="CM34" s="188">
        <f t="shared" si="134"/>
        <v>1.4789999999999999</v>
      </c>
      <c r="CN34" s="465">
        <f t="shared" si="112"/>
        <v>34</v>
      </c>
      <c r="CO34" s="379">
        <f t="shared" si="49"/>
        <v>30.7</v>
      </c>
      <c r="CP34" s="379">
        <f t="shared" si="50"/>
        <v>64.7</v>
      </c>
      <c r="CQ34" s="379"/>
      <c r="CR34" s="188">
        <f t="shared" si="113"/>
        <v>0.47204968944099374</v>
      </c>
      <c r="CS34" s="149">
        <f t="shared" si="114"/>
        <v>233.26341749863801</v>
      </c>
      <c r="CT34" s="149">
        <f t="shared" si="51"/>
        <v>9.9136952436921142</v>
      </c>
      <c r="CU34" s="188">
        <f t="shared" si="52"/>
        <v>7.7754472499545999</v>
      </c>
      <c r="CV34" s="188">
        <f t="shared" si="53"/>
        <v>38.877236249772999</v>
      </c>
      <c r="CW34" s="379">
        <f t="shared" si="54"/>
        <v>30</v>
      </c>
      <c r="CX34" s="188">
        <f t="shared" si="55"/>
        <v>4.5208351393188853</v>
      </c>
      <c r="CY34" s="188">
        <f t="shared" si="56"/>
        <v>0.62493897514114005</v>
      </c>
      <c r="CZ34" s="188">
        <f t="shared" si="57"/>
        <v>0.69211482588921047</v>
      </c>
      <c r="DA34" s="172">
        <f t="shared" si="58"/>
        <v>350</v>
      </c>
      <c r="DB34" s="379">
        <f t="shared" si="115"/>
        <v>350</v>
      </c>
      <c r="DD34" s="188">
        <f t="shared" si="59"/>
        <v>9.8072469146822137</v>
      </c>
      <c r="DE34" s="150">
        <f t="shared" si="60"/>
        <v>1.5014351954073746</v>
      </c>
      <c r="DF34" s="150">
        <f t="shared" si="61"/>
        <v>2.4718134248028734</v>
      </c>
      <c r="DG34" s="150"/>
      <c r="DH34" s="150">
        <f t="shared" si="62"/>
        <v>0.92784522751949461</v>
      </c>
      <c r="DI34" s="314">
        <f t="shared" si="63"/>
        <v>430.10298287234042</v>
      </c>
      <c r="DJ34" s="456">
        <f t="shared" si="64"/>
        <v>0.94395997276890675</v>
      </c>
      <c r="DL34" s="150">
        <f t="shared" si="65"/>
        <v>6.6414009581510802</v>
      </c>
      <c r="DM34" s="150">
        <f t="shared" si="66"/>
        <v>6.6414009581510802</v>
      </c>
      <c r="DN34" s="150">
        <f t="shared" si="67"/>
        <v>1.6302184426259405</v>
      </c>
      <c r="DP34" s="314">
        <f t="shared" si="68"/>
        <v>1160</v>
      </c>
      <c r="DQ34" s="144">
        <f t="shared" si="69"/>
        <v>350</v>
      </c>
      <c r="DS34">
        <f t="shared" si="116"/>
        <v>1160</v>
      </c>
      <c r="DT34" s="144">
        <f t="shared" si="70"/>
        <v>350</v>
      </c>
      <c r="DU34" s="144"/>
      <c r="DV34" s="5">
        <f t="shared" si="117"/>
        <v>2.8571428571428572</v>
      </c>
      <c r="DW34" s="5">
        <f t="shared" si="71"/>
        <v>0.91807601480323753</v>
      </c>
      <c r="DX34" s="5">
        <f t="shared" si="118"/>
        <v>1.9390668423396198</v>
      </c>
      <c r="DY34" s="150">
        <f t="shared" si="119"/>
        <v>0.32132660518113315</v>
      </c>
      <c r="EA34" s="5">
        <f t="shared" si="72"/>
        <v>3.5498939239058513</v>
      </c>
      <c r="EB34" s="5">
        <f t="shared" si="73"/>
        <v>3.7717622941499669</v>
      </c>
      <c r="EC34" s="5">
        <f t="shared" si="74"/>
        <v>1.1674658497131272</v>
      </c>
      <c r="ED34" s="5"/>
      <c r="EE34" s="150">
        <f t="shared" si="120"/>
        <v>2.1735639178807236</v>
      </c>
      <c r="EF34" s="150">
        <f t="shared" si="75"/>
        <v>3.0300753032120675</v>
      </c>
      <c r="EG34" s="150">
        <f t="shared" si="76"/>
        <v>0.60822934644091453</v>
      </c>
      <c r="EH34" s="150"/>
      <c r="EI34" s="456">
        <f t="shared" si="77"/>
        <v>5.6692561261356016E-2</v>
      </c>
      <c r="EJ34" s="456">
        <f t="shared" si="78"/>
        <v>2.8574959692492934</v>
      </c>
      <c r="EK34" s="456">
        <f t="shared" si="79"/>
        <v>4.0250000000000001E-2</v>
      </c>
      <c r="EL34" s="456">
        <f t="shared" si="80"/>
        <v>0.75820555125</v>
      </c>
      <c r="EM34">
        <f t="shared" si="81"/>
        <v>1.5299999999999999E-2</v>
      </c>
      <c r="EN34" s="144">
        <f t="shared" si="121"/>
        <v>55.550000000000004</v>
      </c>
      <c r="EO34">
        <f t="shared" si="82"/>
        <v>3.7943617043097668</v>
      </c>
      <c r="EP34" s="144">
        <f t="shared" si="122"/>
        <v>3794.361704309767</v>
      </c>
      <c r="EQ34" s="150">
        <f t="shared" si="83"/>
        <v>0.77789599999999992</v>
      </c>
      <c r="ER34" s="150">
        <f t="shared" si="84"/>
        <v>0.11807349999999998</v>
      </c>
      <c r="ES34" s="456"/>
      <c r="EU34" s="144">
        <f t="shared" si="123"/>
        <v>895.96949999999981</v>
      </c>
      <c r="EV34" s="456">
        <f t="shared" si="85"/>
        <v>6.6141321471582012E-2</v>
      </c>
      <c r="EW34" s="456">
        <f t="shared" si="124"/>
        <v>0.12853898880389983</v>
      </c>
      <c r="EX34" s="456">
        <f t="shared" si="86"/>
        <v>1.8497146893597103E-3</v>
      </c>
      <c r="EY34" s="456">
        <f t="shared" si="87"/>
        <v>13.025348935544372</v>
      </c>
      <c r="EZ34" s="456">
        <f t="shared" si="88"/>
        <v>13.480999865713553</v>
      </c>
      <c r="FA34" s="538">
        <f t="shared" si="89"/>
        <v>1.5437872340425534</v>
      </c>
      <c r="FB34" s="144">
        <f t="shared" si="125"/>
        <v>15024.787099756108</v>
      </c>
      <c r="FC34" s="150">
        <f t="shared" si="126"/>
        <v>19.715118304065875</v>
      </c>
      <c r="FD34" s="5">
        <f t="shared" si="127"/>
        <v>36.278999999999996</v>
      </c>
      <c r="FE34" s="150">
        <f t="shared" si="128"/>
        <v>0.64790733560609859</v>
      </c>
      <c r="FF34" s="5">
        <f t="shared" si="129"/>
        <v>64.790733560609866</v>
      </c>
      <c r="FG34">
        <f t="shared" si="130"/>
        <v>28.999999999999996</v>
      </c>
      <c r="FI34" s="59">
        <f t="shared" si="90"/>
        <v>-50</v>
      </c>
      <c r="FJ34">
        <f t="shared" si="91"/>
        <v>-50</v>
      </c>
      <c r="FL34">
        <f t="shared" si="92"/>
        <v>0.354315500203153</v>
      </c>
    </row>
    <row r="35" spans="5:168">
      <c r="E35" s="147">
        <v>30</v>
      </c>
      <c r="F35" s="188">
        <f t="shared" si="131"/>
        <v>1.2</v>
      </c>
      <c r="G35" s="188">
        <f t="shared" si="93"/>
        <v>0.255</v>
      </c>
      <c r="H35" s="188">
        <f t="shared" si="0"/>
        <v>36</v>
      </c>
      <c r="I35" s="188">
        <f t="shared" si="132"/>
        <v>1.53</v>
      </c>
      <c r="J35" s="465">
        <f t="shared" si="1"/>
        <v>33.894968448906198</v>
      </c>
      <c r="K35" s="379">
        <f t="shared" si="2"/>
        <v>30.779167851971614</v>
      </c>
      <c r="L35" s="149">
        <f t="shared" si="3"/>
        <v>64.674136300877819</v>
      </c>
      <c r="M35" s="379"/>
      <c r="N35" s="188">
        <f t="shared" si="4"/>
        <v>0.47591154072441549</v>
      </c>
      <c r="O35" s="149">
        <f t="shared" si="94"/>
        <v>234.44526789222294</v>
      </c>
      <c r="P35" s="149">
        <f t="shared" si="5"/>
        <v>9.963923885419474</v>
      </c>
      <c r="Q35" s="188">
        <f t="shared" si="6"/>
        <v>7.8148422630740981</v>
      </c>
      <c r="R35" s="188">
        <f t="shared" si="7"/>
        <v>39.074211315370491</v>
      </c>
      <c r="S35" s="379">
        <f t="shared" si="8"/>
        <v>30</v>
      </c>
      <c r="T35" s="188">
        <f t="shared" si="9"/>
        <v>4.6531503950448423</v>
      </c>
      <c r="U35" s="188">
        <f t="shared" si="10"/>
        <v>0.64522281204296283</v>
      </c>
      <c r="V35" s="188">
        <f t="shared" si="11"/>
        <v>0.71053925050510569</v>
      </c>
      <c r="W35" s="172">
        <f t="shared" si="12"/>
        <v>350</v>
      </c>
      <c r="X35" s="379">
        <f t="shared" si="95"/>
        <v>350</v>
      </c>
      <c r="Z35" s="188">
        <f t="shared" si="13"/>
        <v>9.8060830743613394</v>
      </c>
      <c r="AA35" s="150">
        <f t="shared" si="14"/>
        <v>1.4973955979302411</v>
      </c>
      <c r="AB35" s="150">
        <f t="shared" si="15"/>
        <v>2.4648704891944466</v>
      </c>
      <c r="AC35" s="150"/>
      <c r="AD35" s="150">
        <f t="shared" si="16"/>
        <v>0.92545869407004899</v>
      </c>
      <c r="AE35" s="314">
        <f t="shared" si="17"/>
        <v>446.08149736475696</v>
      </c>
      <c r="AF35" s="456">
        <f t="shared" si="18"/>
        <v>0.94153199018826295</v>
      </c>
      <c r="AH35" s="150">
        <f t="shared" si="19"/>
        <v>6.7549374039517938</v>
      </c>
      <c r="AI35" s="150">
        <f t="shared" si="20"/>
        <v>6.7549374039517938</v>
      </c>
      <c r="AJ35" s="150">
        <f t="shared" si="21"/>
        <v>1.714319513589432</v>
      </c>
      <c r="AL35" s="314">
        <f t="shared" si="22"/>
        <v>1200</v>
      </c>
      <c r="AM35" s="144">
        <f t="shared" si="23"/>
        <v>350</v>
      </c>
      <c r="AO35">
        <f t="shared" si="96"/>
        <v>1200</v>
      </c>
      <c r="AP35" s="144">
        <f t="shared" si="24"/>
        <v>350</v>
      </c>
      <c r="AQ35" s="144"/>
      <c r="AR35" s="5">
        <f t="shared" si="97"/>
        <v>2.8571428571428572</v>
      </c>
      <c r="AS35" s="5">
        <f t="shared" si="25"/>
        <v>0.93666426763108412</v>
      </c>
      <c r="AT35" s="5">
        <f t="shared" si="98"/>
        <v>1.9204785895117731</v>
      </c>
      <c r="AU35" s="150">
        <f t="shared" si="99"/>
        <v>0.32783249367087941</v>
      </c>
      <c r="AW35" s="5">
        <f t="shared" si="26"/>
        <v>3.7466570705243369</v>
      </c>
      <c r="AX35" s="5">
        <f t="shared" si="27"/>
        <v>3.9808231374321079</v>
      </c>
      <c r="AY35" s="5">
        <f t="shared" si="28"/>
        <v>1.1998523741786833</v>
      </c>
      <c r="AZ35" s="5"/>
      <c r="BA35" s="150">
        <f t="shared" si="100"/>
        <v>2.232989598747094</v>
      </c>
      <c r="BB35" s="150">
        <f t="shared" si="29"/>
        <v>3.0670679302413983</v>
      </c>
      <c r="BC35" s="150">
        <f t="shared" si="30"/>
        <v>0.615654904920379</v>
      </c>
      <c r="BD35" s="150"/>
      <c r="BE35" s="456">
        <f t="shared" si="31"/>
        <v>5.9834910577352497E-2</v>
      </c>
      <c r="BF35" s="456">
        <f t="shared" si="32"/>
        <v>2.7905054793696986</v>
      </c>
      <c r="BG35" s="456">
        <f t="shared" si="33"/>
        <v>4.0250000000000001E-2</v>
      </c>
      <c r="BH35" s="456">
        <f t="shared" si="34"/>
        <v>0.75759949002216165</v>
      </c>
      <c r="BI35">
        <f t="shared" si="35"/>
        <v>1.5252735802007788E-2</v>
      </c>
      <c r="BJ35" s="144">
        <f t="shared" si="101"/>
        <v>55.502735802007791</v>
      </c>
      <c r="BK35">
        <f t="shared" si="36"/>
        <v>3.6763613064299152</v>
      </c>
      <c r="BL35" s="144">
        <f t="shared" si="102"/>
        <v>3676.3613064299152</v>
      </c>
      <c r="BM35" s="150">
        <f t="shared" si="37"/>
        <v>0.80471999999999999</v>
      </c>
      <c r="BN35" s="150">
        <f t="shared" si="38"/>
        <v>0.122145</v>
      </c>
      <c r="BO35" s="456"/>
      <c r="BQ35" s="144">
        <f t="shared" si="103"/>
        <v>926.86500000000001</v>
      </c>
      <c r="BR35" s="456">
        <f t="shared" si="39"/>
        <v>6.980739567357791E-2</v>
      </c>
      <c r="BS35" s="456">
        <f t="shared" si="104"/>
        <v>0.13169667964201359</v>
      </c>
      <c r="BT35" s="456">
        <f t="shared" si="40"/>
        <v>1.8951548097626044E-3</v>
      </c>
      <c r="BU35" s="456">
        <f t="shared" si="41"/>
        <v>13.589185825599449</v>
      </c>
      <c r="BV35" s="456">
        <f t="shared" si="42"/>
        <v>14.070352784877789</v>
      </c>
      <c r="BW35" s="538">
        <f t="shared" si="43"/>
        <v>1.5970212765957452</v>
      </c>
      <c r="BX35" s="144">
        <f t="shared" si="105"/>
        <v>15667.374061473534</v>
      </c>
      <c r="BY35" s="150">
        <f t="shared" si="106"/>
        <v>20.270600367903448</v>
      </c>
      <c r="BZ35" s="5">
        <f t="shared" si="107"/>
        <v>37.53</v>
      </c>
      <c r="CA35" s="150">
        <f t="shared" si="108"/>
        <v>0.64930121419362163</v>
      </c>
      <c r="CB35" s="5">
        <f t="shared" si="109"/>
        <v>64.930121419362166</v>
      </c>
      <c r="CC35">
        <f t="shared" si="110"/>
        <v>30</v>
      </c>
      <c r="CE35" s="59">
        <f t="shared" si="44"/>
        <v>-50</v>
      </c>
      <c r="CF35">
        <f t="shared" si="45"/>
        <v>-50</v>
      </c>
      <c r="CG35" s="150">
        <f t="shared" si="46"/>
        <v>0.36037261418236483</v>
      </c>
      <c r="CH35" s="150">
        <f t="shared" si="47"/>
        <v>7.6065257891325302E-2</v>
      </c>
      <c r="CI35" s="147">
        <v>30</v>
      </c>
      <c r="CJ35" s="188">
        <f t="shared" si="133"/>
        <v>1.2</v>
      </c>
      <c r="CK35" s="188">
        <f t="shared" si="111"/>
        <v>0.255</v>
      </c>
      <c r="CL35" s="188">
        <f t="shared" si="48"/>
        <v>36</v>
      </c>
      <c r="CM35" s="188">
        <f t="shared" si="134"/>
        <v>1.53</v>
      </c>
      <c r="CN35" s="465">
        <f t="shared" si="112"/>
        <v>34</v>
      </c>
      <c r="CO35" s="379">
        <f t="shared" si="49"/>
        <v>30.7</v>
      </c>
      <c r="CP35" s="379">
        <f t="shared" si="50"/>
        <v>64.7</v>
      </c>
      <c r="CQ35" s="379"/>
      <c r="CR35" s="188">
        <f t="shared" si="113"/>
        <v>0.47204968944099374</v>
      </c>
      <c r="CS35" s="149">
        <f t="shared" si="114"/>
        <v>233.26341749863801</v>
      </c>
      <c r="CT35" s="149">
        <f t="shared" si="51"/>
        <v>9.9136952436921142</v>
      </c>
      <c r="CU35" s="188">
        <f t="shared" si="52"/>
        <v>7.7754472499545999</v>
      </c>
      <c r="CV35" s="188">
        <f t="shared" si="53"/>
        <v>38.877236249772999</v>
      </c>
      <c r="CW35" s="379">
        <f t="shared" si="54"/>
        <v>30</v>
      </c>
      <c r="CX35" s="188">
        <f t="shared" si="55"/>
        <v>4.6767260061919504</v>
      </c>
      <c r="CY35" s="188">
        <f t="shared" si="56"/>
        <v>0.64648859497359312</v>
      </c>
      <c r="CZ35" s="188">
        <f t="shared" si="57"/>
        <v>0.71598085436814873</v>
      </c>
      <c r="DA35" s="172">
        <f t="shared" si="58"/>
        <v>350</v>
      </c>
      <c r="DB35" s="379">
        <f t="shared" si="115"/>
        <v>350</v>
      </c>
      <c r="DD35" s="188">
        <f t="shared" si="59"/>
        <v>9.8072469146822137</v>
      </c>
      <c r="DE35" s="150">
        <f t="shared" si="60"/>
        <v>1.5014351954073746</v>
      </c>
      <c r="DF35" s="150">
        <f t="shared" si="61"/>
        <v>2.4718134248028734</v>
      </c>
      <c r="DG35" s="150"/>
      <c r="DH35" s="150">
        <f t="shared" si="62"/>
        <v>0.92784522751949461</v>
      </c>
      <c r="DI35" s="314">
        <f t="shared" si="63"/>
        <v>444.93412021276595</v>
      </c>
      <c r="DJ35" s="456">
        <f t="shared" si="64"/>
        <v>0.94395997276890675</v>
      </c>
      <c r="DL35" s="150">
        <f t="shared" si="65"/>
        <v>6.7549374039517938</v>
      </c>
      <c r="DM35" s="150">
        <f t="shared" si="66"/>
        <v>6.7549374039517938</v>
      </c>
      <c r="DN35" s="150">
        <f t="shared" si="67"/>
        <v>1.714319513589432</v>
      </c>
      <c r="DP35" s="314">
        <f t="shared" si="68"/>
        <v>1200</v>
      </c>
      <c r="DQ35" s="144">
        <f t="shared" si="69"/>
        <v>350</v>
      </c>
      <c r="DS35">
        <f t="shared" si="116"/>
        <v>1200</v>
      </c>
      <c r="DT35" s="144">
        <f t="shared" si="70"/>
        <v>350</v>
      </c>
      <c r="DU35" s="144"/>
      <c r="DV35" s="5">
        <f t="shared" si="117"/>
        <v>2.8571428571428572</v>
      </c>
      <c r="DW35" s="5">
        <f t="shared" si="71"/>
        <v>0.93377075878157145</v>
      </c>
      <c r="DX35" s="5">
        <f t="shared" si="118"/>
        <v>1.9233720983612859</v>
      </c>
      <c r="DY35" s="150">
        <f t="shared" si="119"/>
        <v>0.32681976557355003</v>
      </c>
      <c r="EA35" s="5">
        <f t="shared" si="72"/>
        <v>3.7350830351262854</v>
      </c>
      <c r="EB35" s="5">
        <f t="shared" si="73"/>
        <v>3.9685257248216788</v>
      </c>
      <c r="EC35" s="5">
        <f t="shared" si="74"/>
        <v>1.1979480197405932</v>
      </c>
      <c r="ED35" s="5"/>
      <c r="EE35" s="150">
        <f t="shared" si="120"/>
        <v>2.2295378962445134</v>
      </c>
      <c r="EF35" s="150">
        <f t="shared" si="75"/>
        <v>3.0693775753514889</v>
      </c>
      <c r="EG35" s="150">
        <f t="shared" si="76"/>
        <v>0.61611852175997772</v>
      </c>
      <c r="EH35" s="150"/>
      <c r="EI35" s="456">
        <f t="shared" si="77"/>
        <v>5.9650070769484927E-2</v>
      </c>
      <c r="EJ35" s="456">
        <f t="shared" si="78"/>
        <v>2.9063455927372792</v>
      </c>
      <c r="EK35" s="456">
        <f t="shared" si="79"/>
        <v>4.0250000000000001E-2</v>
      </c>
      <c r="EL35" s="456">
        <f t="shared" si="80"/>
        <v>0.75820555125</v>
      </c>
      <c r="EM35">
        <f t="shared" si="81"/>
        <v>1.5299999999999999E-2</v>
      </c>
      <c r="EN35" s="144">
        <f t="shared" si="121"/>
        <v>55.550000000000004</v>
      </c>
      <c r="EO35">
        <f t="shared" si="82"/>
        <v>3.8504283028769675</v>
      </c>
      <c r="EP35" s="144">
        <f t="shared" si="122"/>
        <v>3850.4283028769673</v>
      </c>
      <c r="EQ35" s="150">
        <f t="shared" si="83"/>
        <v>0.80471999999999999</v>
      </c>
      <c r="ER35" s="150">
        <f t="shared" si="84"/>
        <v>0.122145</v>
      </c>
      <c r="ES35" s="456"/>
      <c r="EU35" s="144">
        <f t="shared" si="123"/>
        <v>926.86500000000001</v>
      </c>
      <c r="EV35" s="456">
        <f t="shared" si="85"/>
        <v>6.9591749231065744E-2</v>
      </c>
      <c r="EW35" s="456">
        <f t="shared" si="124"/>
        <v>0.13189510180098818</v>
      </c>
      <c r="EX35" s="456">
        <f t="shared" si="86"/>
        <v>1.8980101642785008E-3</v>
      </c>
      <c r="EY35" s="456">
        <f t="shared" si="87"/>
        <v>13.589185825599449</v>
      </c>
      <c r="EZ35" s="456">
        <f t="shared" si="88"/>
        <v>14.070318231116813</v>
      </c>
      <c r="FA35" s="538">
        <f t="shared" si="89"/>
        <v>1.5970212765957452</v>
      </c>
      <c r="FB35" s="144">
        <f t="shared" si="125"/>
        <v>15667.339507712559</v>
      </c>
      <c r="FC35" s="150">
        <f t="shared" si="126"/>
        <v>20.444632810589525</v>
      </c>
      <c r="FD35" s="5">
        <f t="shared" si="127"/>
        <v>37.53</v>
      </c>
      <c r="FE35" s="150">
        <f t="shared" si="128"/>
        <v>0.64735209488286483</v>
      </c>
      <c r="FF35" s="5">
        <f t="shared" si="129"/>
        <v>64.735209488286486</v>
      </c>
      <c r="FG35">
        <f t="shared" si="130"/>
        <v>30</v>
      </c>
      <c r="FI35" s="59">
        <f t="shared" si="90"/>
        <v>-50</v>
      </c>
      <c r="FJ35">
        <f t="shared" si="91"/>
        <v>-50</v>
      </c>
      <c r="FL35">
        <f t="shared" si="92"/>
        <v>0.36037261418236483</v>
      </c>
    </row>
    <row r="36" spans="5:168">
      <c r="E36" s="147">
        <v>31</v>
      </c>
      <c r="F36" s="188">
        <f t="shared" si="131"/>
        <v>1.24</v>
      </c>
      <c r="G36" s="188">
        <f t="shared" si="93"/>
        <v>0.26350000000000001</v>
      </c>
      <c r="H36" s="188">
        <f t="shared" si="0"/>
        <v>37.200000000000003</v>
      </c>
      <c r="I36" s="188">
        <f t="shared" si="132"/>
        <v>1.581</v>
      </c>
      <c r="J36" s="465">
        <f t="shared" si="1"/>
        <v>33.893232272591348</v>
      </c>
      <c r="K36" s="379">
        <f t="shared" si="2"/>
        <v>30.780476500164077</v>
      </c>
      <c r="L36" s="149">
        <f t="shared" si="3"/>
        <v>64.673708772755418</v>
      </c>
      <c r="M36" s="379"/>
      <c r="N36" s="188">
        <f t="shared" si="4"/>
        <v>0.47593492138076865</v>
      </c>
      <c r="O36" s="149">
        <f t="shared" si="94"/>
        <v>234.44477635340303</v>
      </c>
      <c r="P36" s="149">
        <f t="shared" si="5"/>
        <v>9.9639029950196267</v>
      </c>
      <c r="Q36" s="188">
        <f t="shared" si="6"/>
        <v>7.8148258784467677</v>
      </c>
      <c r="R36" s="188">
        <f t="shared" si="7"/>
        <v>39.074129392233836</v>
      </c>
      <c r="S36" s="379">
        <f t="shared" si="8"/>
        <v>30</v>
      </c>
      <c r="T36" s="188">
        <f t="shared" si="9"/>
        <v>4.8082654892402976</v>
      </c>
      <c r="U36" s="188">
        <f t="shared" si="10"/>
        <v>0.66676579022250848</v>
      </c>
      <c r="V36" s="188">
        <f t="shared" si="11"/>
        <v>0.73419421558691378</v>
      </c>
      <c r="W36" s="172">
        <f t="shared" si="12"/>
        <v>350</v>
      </c>
      <c r="X36" s="379">
        <f t="shared" si="95"/>
        <v>350</v>
      </c>
      <c r="Z36" s="188">
        <f t="shared" si="13"/>
        <v>9.8060625148911207</v>
      </c>
      <c r="AA36" s="150">
        <f t="shared" si="14"/>
        <v>1.4973287960549471</v>
      </c>
      <c r="AB36" s="150">
        <f t="shared" si="15"/>
        <v>2.4647553586625968</v>
      </c>
      <c r="AC36" s="150"/>
      <c r="AD36" s="150">
        <f t="shared" si="16"/>
        <v>0.92541934770557055</v>
      </c>
      <c r="AE36" s="314">
        <f t="shared" si="17"/>
        <v>460.97047901328648</v>
      </c>
      <c r="AF36" s="456">
        <f t="shared" si="18"/>
        <v>0.94149196045912265</v>
      </c>
      <c r="AH36" s="150">
        <f t="shared" si="19"/>
        <v>6.866596826353204</v>
      </c>
      <c r="AI36" s="150">
        <f t="shared" si="20"/>
        <v>6.866596826353204</v>
      </c>
      <c r="AJ36" s="150">
        <f t="shared" si="21"/>
        <v>1.797030196849736</v>
      </c>
      <c r="AL36" s="314">
        <f t="shared" si="22"/>
        <v>1240</v>
      </c>
      <c r="AM36" s="144">
        <f t="shared" si="23"/>
        <v>350</v>
      </c>
      <c r="AO36">
        <f t="shared" si="96"/>
        <v>1240</v>
      </c>
      <c r="AP36" s="144">
        <f t="shared" si="24"/>
        <v>350</v>
      </c>
      <c r="AQ36" s="144"/>
      <c r="AR36" s="5">
        <f t="shared" si="97"/>
        <v>2.8571428571428572</v>
      </c>
      <c r="AS36" s="5">
        <f t="shared" si="25"/>
        <v>0.95219614418299281</v>
      </c>
      <c r="AT36" s="5">
        <f t="shared" si="98"/>
        <v>1.9049467129598643</v>
      </c>
      <c r="AU36" s="150">
        <f t="shared" si="99"/>
        <v>0.33326865046404747</v>
      </c>
      <c r="AW36" s="5">
        <f t="shared" si="26"/>
        <v>3.9357440626230367</v>
      </c>
      <c r="AX36" s="5">
        <f t="shared" si="27"/>
        <v>4.1817280665369774</v>
      </c>
      <c r="AY36" s="5">
        <f t="shared" si="28"/>
        <v>1.2298831805673245</v>
      </c>
      <c r="AZ36" s="5"/>
      <c r="BA36" s="150">
        <f t="shared" si="100"/>
        <v>2.2886435224175119</v>
      </c>
      <c r="BB36" s="150">
        <f t="shared" si="29"/>
        <v>3.105133634283793</v>
      </c>
      <c r="BC36" s="150">
        <f t="shared" si="30"/>
        <v>0.62329586297411976</v>
      </c>
      <c r="BD36" s="150"/>
      <c r="BE36" s="456">
        <f t="shared" si="31"/>
        <v>6.2854670072443636E-2</v>
      </c>
      <c r="BF36" s="456">
        <f t="shared" si="32"/>
        <v>2.8366139102653665</v>
      </c>
      <c r="BG36" s="456">
        <f t="shared" si="33"/>
        <v>4.0250000000000001E-2</v>
      </c>
      <c r="BH36" s="456">
        <f t="shared" si="34"/>
        <v>0.75758947383839881</v>
      </c>
      <c r="BI36">
        <f t="shared" si="35"/>
        <v>1.5251954522666106E-2</v>
      </c>
      <c r="BJ36" s="144">
        <f t="shared" si="101"/>
        <v>55.501954522666111</v>
      </c>
      <c r="BK36">
        <f t="shared" si="36"/>
        <v>3.7297296025497073</v>
      </c>
      <c r="BL36" s="144">
        <f t="shared" si="102"/>
        <v>3729.7296025497071</v>
      </c>
      <c r="BM36" s="150">
        <f t="shared" si="37"/>
        <v>0.83154399999999995</v>
      </c>
      <c r="BN36" s="150">
        <f t="shared" si="38"/>
        <v>0.12621650000000001</v>
      </c>
      <c r="BO36" s="456"/>
      <c r="BQ36" s="144">
        <f t="shared" si="103"/>
        <v>957.76049999999998</v>
      </c>
      <c r="BR36" s="456">
        <f t="shared" si="39"/>
        <v>7.3330448417850913E-2</v>
      </c>
      <c r="BS36" s="456">
        <f t="shared" si="104"/>
        <v>0.13498596841464669</v>
      </c>
      <c r="BT36" s="456">
        <f t="shared" si="40"/>
        <v>1.9424886640032634E-3</v>
      </c>
      <c r="BU36" s="456">
        <f t="shared" si="41"/>
        <v>14.157741756599076</v>
      </c>
      <c r="BV36" s="456">
        <f t="shared" si="42"/>
        <v>14.665140917678988</v>
      </c>
      <c r="BW36" s="538">
        <f t="shared" si="43"/>
        <v>1.6502553191489362</v>
      </c>
      <c r="BX36" s="144">
        <f t="shared" si="105"/>
        <v>16315.396236827923</v>
      </c>
      <c r="BY36" s="150">
        <f t="shared" si="106"/>
        <v>21.002886339377632</v>
      </c>
      <c r="BZ36" s="5">
        <f t="shared" si="107"/>
        <v>38.781000000000006</v>
      </c>
      <c r="CA36" s="150">
        <f t="shared" si="108"/>
        <v>0.6486865002360388</v>
      </c>
      <c r="CB36" s="5">
        <f t="shared" si="109"/>
        <v>64.868650023603877</v>
      </c>
      <c r="CC36">
        <f t="shared" si="110"/>
        <v>31</v>
      </c>
      <c r="CE36" s="59">
        <f t="shared" si="44"/>
        <v>-50</v>
      </c>
      <c r="CF36">
        <f t="shared" si="45"/>
        <v>-50</v>
      </c>
      <c r="CG36" s="150">
        <f t="shared" si="46"/>
        <v>0.36632958987918607</v>
      </c>
      <c r="CH36" s="150">
        <f t="shared" si="47"/>
        <v>7.7322620062585529E-2</v>
      </c>
      <c r="CI36" s="147">
        <v>31</v>
      </c>
      <c r="CJ36" s="188">
        <f t="shared" si="133"/>
        <v>1.24</v>
      </c>
      <c r="CK36" s="188">
        <f t="shared" si="111"/>
        <v>0.26350000000000001</v>
      </c>
      <c r="CL36" s="188">
        <f t="shared" si="48"/>
        <v>37.200000000000003</v>
      </c>
      <c r="CM36" s="188">
        <f t="shared" si="134"/>
        <v>1.581</v>
      </c>
      <c r="CN36" s="465">
        <f t="shared" si="112"/>
        <v>34</v>
      </c>
      <c r="CO36" s="379">
        <f t="shared" si="49"/>
        <v>30.7</v>
      </c>
      <c r="CP36" s="379">
        <f t="shared" si="50"/>
        <v>64.7</v>
      </c>
      <c r="CQ36" s="379"/>
      <c r="CR36" s="188">
        <f t="shared" si="113"/>
        <v>0.47204968944099374</v>
      </c>
      <c r="CS36" s="149">
        <f t="shared" si="114"/>
        <v>233.26341749863801</v>
      </c>
      <c r="CT36" s="149">
        <f t="shared" si="51"/>
        <v>9.9136952436921142</v>
      </c>
      <c r="CU36" s="188">
        <f t="shared" si="52"/>
        <v>7.7754472499545999</v>
      </c>
      <c r="CV36" s="188">
        <f t="shared" si="53"/>
        <v>38.877236249772999</v>
      </c>
      <c r="CW36" s="379">
        <f t="shared" si="54"/>
        <v>30</v>
      </c>
      <c r="CX36" s="188">
        <f t="shared" si="55"/>
        <v>4.8326168730650165</v>
      </c>
      <c r="CY36" s="188">
        <f t="shared" si="56"/>
        <v>0.66803821480604642</v>
      </c>
      <c r="CZ36" s="188">
        <f t="shared" si="57"/>
        <v>0.73984688284708733</v>
      </c>
      <c r="DA36" s="172">
        <f t="shared" si="58"/>
        <v>350</v>
      </c>
      <c r="DB36" s="379">
        <f t="shared" si="115"/>
        <v>350</v>
      </c>
      <c r="DD36" s="188">
        <f t="shared" si="59"/>
        <v>9.8072469146822137</v>
      </c>
      <c r="DE36" s="150">
        <f t="shared" si="60"/>
        <v>1.5014351954073746</v>
      </c>
      <c r="DF36" s="150">
        <f t="shared" si="61"/>
        <v>2.4718134248028734</v>
      </c>
      <c r="DG36" s="150"/>
      <c r="DH36" s="150">
        <f t="shared" si="62"/>
        <v>0.92784522751949461</v>
      </c>
      <c r="DI36" s="314">
        <f t="shared" si="63"/>
        <v>459.76525755319147</v>
      </c>
      <c r="DJ36" s="456">
        <f t="shared" si="64"/>
        <v>0.94395997276890675</v>
      </c>
      <c r="DL36" s="150">
        <f t="shared" si="65"/>
        <v>6.866596826353204</v>
      </c>
      <c r="DM36" s="150">
        <f t="shared" si="66"/>
        <v>6.866596826353204</v>
      </c>
      <c r="DN36" s="150">
        <f t="shared" si="67"/>
        <v>1.797030196849736</v>
      </c>
      <c r="DP36" s="314">
        <f t="shared" si="68"/>
        <v>1240</v>
      </c>
      <c r="DQ36" s="144">
        <f t="shared" si="69"/>
        <v>350</v>
      </c>
      <c r="DS36">
        <f t="shared" si="116"/>
        <v>1240</v>
      </c>
      <c r="DT36" s="144">
        <f t="shared" si="70"/>
        <v>350</v>
      </c>
      <c r="DU36" s="144"/>
      <c r="DV36" s="5">
        <f t="shared" si="117"/>
        <v>2.8571428571428572</v>
      </c>
      <c r="DW36" s="5">
        <f t="shared" si="71"/>
        <v>0.94920603187823704</v>
      </c>
      <c r="DX36" s="5">
        <f t="shared" si="118"/>
        <v>1.9079368252646201</v>
      </c>
      <c r="DY36" s="150">
        <f t="shared" si="119"/>
        <v>0.33222211115738298</v>
      </c>
      <c r="EA36" s="5">
        <f t="shared" si="72"/>
        <v>3.9233849317633802</v>
      </c>
      <c r="EB36" s="5">
        <f t="shared" si="73"/>
        <v>4.168596489998591</v>
      </c>
      <c r="EC36" s="5">
        <f t="shared" si="74"/>
        <v>1.2279454999972987</v>
      </c>
      <c r="ED36" s="5"/>
      <c r="EE36" s="150">
        <f t="shared" si="120"/>
        <v>2.2850472665244919</v>
      </c>
      <c r="EF36" s="150">
        <f t="shared" si="75"/>
        <v>3.1075696755741298</v>
      </c>
      <c r="EG36" s="150">
        <f t="shared" si="76"/>
        <v>0.62378485141620688</v>
      </c>
      <c r="EH36" s="150"/>
      <c r="EI36" s="456">
        <f t="shared" si="77"/>
        <v>6.2657292123012631E-2</v>
      </c>
      <c r="EJ36" s="456">
        <f t="shared" si="78"/>
        <v>2.9543876175225985</v>
      </c>
      <c r="EK36" s="456">
        <f t="shared" si="79"/>
        <v>4.0250000000000001E-2</v>
      </c>
      <c r="EL36" s="456">
        <f t="shared" si="80"/>
        <v>0.75820555125</v>
      </c>
      <c r="EM36">
        <f t="shared" si="81"/>
        <v>1.5299999999999999E-2</v>
      </c>
      <c r="EN36" s="144">
        <f t="shared" si="121"/>
        <v>55.550000000000004</v>
      </c>
      <c r="EO36">
        <f t="shared" si="82"/>
        <v>3.9058660124548337</v>
      </c>
      <c r="EP36" s="144">
        <f t="shared" si="122"/>
        <v>3905.8660124548337</v>
      </c>
      <c r="EQ36" s="150">
        <f t="shared" si="83"/>
        <v>0.83154399999999995</v>
      </c>
      <c r="ER36" s="150">
        <f t="shared" si="84"/>
        <v>0.12621650000000001</v>
      </c>
      <c r="ES36" s="456"/>
      <c r="EU36" s="144">
        <f t="shared" si="123"/>
        <v>957.76049999999998</v>
      </c>
      <c r="EV36" s="456">
        <f t="shared" si="85"/>
        <v>7.3100174143514732E-2</v>
      </c>
      <c r="EW36" s="456">
        <f t="shared" si="124"/>
        <v>0.13519785003967064</v>
      </c>
      <c r="EX36" s="456">
        <f t="shared" si="86"/>
        <v>1.9455377042816966E-3</v>
      </c>
      <c r="EY36" s="456">
        <f t="shared" si="87"/>
        <v>14.157741756599076</v>
      </c>
      <c r="EZ36" s="456">
        <f t="shared" si="88"/>
        <v>14.665103256873341</v>
      </c>
      <c r="FA36" s="538">
        <f t="shared" si="89"/>
        <v>1.6502553191489362</v>
      </c>
      <c r="FB36" s="144">
        <f t="shared" si="125"/>
        <v>16315.358576022278</v>
      </c>
      <c r="FC36" s="150">
        <f t="shared" si="126"/>
        <v>21.178985088477109</v>
      </c>
      <c r="FD36" s="5">
        <f t="shared" si="127"/>
        <v>38.781000000000006</v>
      </c>
      <c r="FE36" s="150">
        <f t="shared" si="128"/>
        <v>0.64678134830711953</v>
      </c>
      <c r="FF36" s="5">
        <f t="shared" si="129"/>
        <v>64.678134830711954</v>
      </c>
      <c r="FG36">
        <f t="shared" si="130"/>
        <v>31</v>
      </c>
      <c r="FI36" s="59">
        <f t="shared" si="90"/>
        <v>-50</v>
      </c>
      <c r="FJ36">
        <f t="shared" si="91"/>
        <v>-50</v>
      </c>
      <c r="FL36">
        <f t="shared" si="92"/>
        <v>0.36632958987918601</v>
      </c>
    </row>
    <row r="37" spans="5:168">
      <c r="E37" s="147">
        <v>32</v>
      </c>
      <c r="F37" s="188">
        <f t="shared" si="131"/>
        <v>1.28</v>
      </c>
      <c r="G37" s="188">
        <f t="shared" si="93"/>
        <v>0.27200000000000002</v>
      </c>
      <c r="H37" s="188">
        <f t="shared" ref="H37:H68" si="135">F37*Vout</f>
        <v>38.4</v>
      </c>
      <c r="I37" s="188">
        <f t="shared" si="132"/>
        <v>1.6320000000000001</v>
      </c>
      <c r="J37" s="465">
        <f t="shared" ref="J37:J68" si="136">Vin-(F37/CG37/Nps+G37/CH37/(Nps/Nsec1sec2))*(Rdcr_pri+RON/1000)</f>
        <v>33.891523880476633</v>
      </c>
      <c r="K37" s="379">
        <f t="shared" ref="K37:K68" si="137">MAX((S37+Vfwd2+Rdcr_sec*F37/CG37)*Nps,(Vout2+Vfwd22+Rdcr_sec2*G37/CH37)*Nps/Nsec1sec2)</f>
        <v>30.781764205930951</v>
      </c>
      <c r="L37" s="149">
        <f t="shared" ref="L37:L68" si="138">MAX((Vout+Vfwd2+F37/CG37*Rdcr_sec)*Nps+J37, (Vout2+Vfwd22+G37/CH37*Rdcr_sec2)*Nps/Nsec1sec2+J37)</f>
        <v>64.673288086407581</v>
      </c>
      <c r="M37" s="379"/>
      <c r="N37" s="188">
        <f t="shared" ref="N37:N68" si="139">MAX((Vout+Vfwd2+F37/CG37*Rdcr_sec)*Nps/((Vout+Vfwd2+F37/CG37*Rdcr_sec)*Nps+J37), (Vout2+Vfwd22+G37/CH37*Rdcr_sec2)*Nps/Nsec1sec2/((Vout2+Vfwd22+G37/CH37*Rdcr_sec2)*Nps/Nsec1sec2+J37))</f>
        <v>0.47595792817591981</v>
      </c>
      <c r="O37" s="149">
        <f t="shared" si="94"/>
        <v>234.44429167758696</v>
      </c>
      <c r="P37" s="149">
        <f t="shared" ref="P37:P68" si="140">N37*J37*Isw_max*0.5*Efficiency*(Pout2/Pout_total)</f>
        <v>9.9638823962974445</v>
      </c>
      <c r="Q37" s="188">
        <f t="shared" si="6"/>
        <v>7.8148097225862321</v>
      </c>
      <c r="R37" s="188">
        <f t="shared" ref="R37:R68" si="141">O37/Vout2</f>
        <v>39.074048612931158</v>
      </c>
      <c r="S37" s="379">
        <f t="shared" ref="S37:S68" si="142">MIN(Vout,O37/F37)</f>
        <v>30</v>
      </c>
      <c r="T37" s="188">
        <f t="shared" ref="T37:T68" si="143">MIN(2*(Vout*F37+Vout2*G37)/(Efficiency*J37*N37), Isw_max)</f>
        <v>4.9633810885727279</v>
      </c>
      <c r="U37" s="188">
        <f t="shared" si="10"/>
        <v>0.68831048136286244</v>
      </c>
      <c r="V37" s="188">
        <f t="shared" si="11"/>
        <v>0.7578477620784666</v>
      </c>
      <c r="W37" s="172">
        <f t="shared" si="12"/>
        <v>350</v>
      </c>
      <c r="X37" s="379">
        <f t="shared" si="95"/>
        <v>350</v>
      </c>
      <c r="Z37" s="188">
        <f t="shared" si="13"/>
        <v>9.8060422424780356</v>
      </c>
      <c r="AA37" s="150">
        <f t="shared" si="14"/>
        <v>1.4972630623545147</v>
      </c>
      <c r="AB37" s="150">
        <f t="shared" ref="AB37:AB68" si="144">0.5*AA37*Z37*Nps*W37/1000*(Pout/Pout_total)</f>
        <v>2.4646420590612177</v>
      </c>
      <c r="AC37" s="150"/>
      <c r="AD37" s="150">
        <f t="shared" si="16"/>
        <v>0.92538063427047157</v>
      </c>
      <c r="AE37" s="314">
        <f t="shared" ref="AE37:AE68" si="145">MAX(10, F37/(0.5*AD37/1000000*Isw_min*Nps)/1000*Pout_total/Pout)</f>
        <v>475.86040132248246</v>
      </c>
      <c r="AF37" s="456">
        <f t="shared" ref="AF37:AF68" si="146">0.5*AD37/1000000*Isw_min*Nps*W37*1000*(Pout/Pout_total)</f>
        <v>0.94145257465203125</v>
      </c>
      <c r="AH37" s="150">
        <f t="shared" ref="AH37:AH68" si="147">SQRT((H37+I37)/(0.5*L*Fsw_DCM))</f>
        <v>6.9764693520476948</v>
      </c>
      <c r="AI37" s="150">
        <f t="shared" ref="AI37:AI68" si="148">MAX(IF(F37&gt;AB37,T37,AH37),Isw_min)</f>
        <v>6.9764693520476948</v>
      </c>
      <c r="AJ37" s="150">
        <f t="shared" ref="AJ37:AJ68" si="149">IF(F37&gt;AF37, (AI37-Isw_min)/1.08*0.8+1.2, AE37*0.2/350+1)</f>
        <v>1.8784172529197289</v>
      </c>
      <c r="AL37" s="314">
        <f t="shared" ref="AL37:AL68" si="150">F37*1000</f>
        <v>1280</v>
      </c>
      <c r="AM37" s="144">
        <f t="shared" ref="AM37:AM68" si="151">IF(F37&gt;AF37, X37, AE37)</f>
        <v>350</v>
      </c>
      <c r="AO37">
        <f t="shared" si="96"/>
        <v>1280</v>
      </c>
      <c r="AP37" s="144">
        <f t="shared" si="24"/>
        <v>350</v>
      </c>
      <c r="AQ37" s="144"/>
      <c r="AR37" s="5">
        <f t="shared" si="97"/>
        <v>2.8571428571428572</v>
      </c>
      <c r="AS37" s="5">
        <f t="shared" si="25"/>
        <v>0.96748101591007685</v>
      </c>
      <c r="AT37" s="5">
        <f t="shared" si="98"/>
        <v>1.8896618412327804</v>
      </c>
      <c r="AU37" s="150">
        <f t="shared" si="99"/>
        <v>0.33861835556852687</v>
      </c>
      <c r="AW37" s="5">
        <f t="shared" ref="AW37:AW68" si="152">F37*AS37/Vout_ripple*1000</f>
        <v>4.1279190012163269</v>
      </c>
      <c r="AX37" s="5">
        <f t="shared" ref="AX37:AX68" si="153">G37*AS37/Vout_ripple2*1000</f>
        <v>4.3859139387923491</v>
      </c>
      <c r="AY37" s="5">
        <f t="shared" si="28"/>
        <v>1.2594336698052697</v>
      </c>
      <c r="AZ37" s="5"/>
      <c r="BA37" s="150">
        <f t="shared" si="100"/>
        <v>2.3438526818407213</v>
      </c>
      <c r="BB37" s="150">
        <f t="shared" ref="BB37:BB68" si="154">AI37*Npri_sec1*SQRT((1-AU37)/3)*(Pout/Pout_total)</f>
        <v>3.1421366508964264</v>
      </c>
      <c r="BC37" s="150">
        <f t="shared" ref="BC37:BC68" si="155">AI37*Npri_sec2*SQRT((1-AU37)/3)*(Pout2/Pout_total)</f>
        <v>0.63072350696263257</v>
      </c>
      <c r="BD37" s="150"/>
      <c r="BE37" s="456">
        <f t="shared" si="31"/>
        <v>6.5923744730063294E-2</v>
      </c>
      <c r="BF37" s="456">
        <f t="shared" ref="BF37:BF68" si="156">0.5*L37*AI37*AM37*1000*Tfall</f>
        <v>2.8819838681253458</v>
      </c>
      <c r="BG37" s="456">
        <f t="shared" si="33"/>
        <v>4.0250000000000001E-2</v>
      </c>
      <c r="BH37" s="456">
        <f t="shared" si="34"/>
        <v>0.75757961800924034</v>
      </c>
      <c r="BI37">
        <f t="shared" si="35"/>
        <v>1.5251185746214485E-2</v>
      </c>
      <c r="BJ37" s="144">
        <f t="shared" si="101"/>
        <v>55.501185746214489</v>
      </c>
      <c r="BK37">
        <f t="shared" ref="BK37:BK68" si="157">(BF37+BG37*0+BH37+BI37*0+BE37*(1+RdsonTC*(Ta-25)))/(1-BE37*RdsonTC*ThetaJA)</f>
        <v>3.7825342988931454</v>
      </c>
      <c r="BL37" s="144">
        <f t="shared" si="102"/>
        <v>3782.5342988931452</v>
      </c>
      <c r="BM37" s="150">
        <f t="shared" ref="BM37:BM68" si="158">Vfwd2*F37*(1+Diode_TC/1000*(Ta-25))</f>
        <v>0.85836799999999991</v>
      </c>
      <c r="BN37" s="150">
        <f t="shared" ref="BN37:BN68" si="159">Vfwd22*G37*(1+Diode_TC/1000*(Ta-25))</f>
        <v>0.13028800000000001</v>
      </c>
      <c r="BO37" s="456"/>
      <c r="BQ37" s="144">
        <f t="shared" si="103"/>
        <v>988.65599999999995</v>
      </c>
      <c r="BR37" s="456">
        <f t="shared" si="39"/>
        <v>7.6911035518407181E-2</v>
      </c>
      <c r="BS37" s="456">
        <f t="shared" si="104"/>
        <v>0.13822231826069256</v>
      </c>
      <c r="BT37" s="456">
        <f t="shared" ref="BT37:BT68" si="160">Rdcr_sec2*BC37^2</f>
        <v>1.9890607111762103E-3</v>
      </c>
      <c r="BU37" s="456">
        <f t="shared" si="41"/>
        <v>14.73090205599058</v>
      </c>
      <c r="BV37" s="456">
        <f t="shared" ref="BV37:BV68" si="161">(BU37+(BR37+BS37+BT37)*(1+Ltc*(Ta-25)))/(1-(BR37+BS37+BT37)*Ltc*ThetaCa)</f>
        <v>15.265288758204328</v>
      </c>
      <c r="BW37" s="538">
        <f t="shared" ref="BW37:BW68" si="162">0.5*Lleak*0.000000001*AI37^2*AM37*1000</f>
        <v>1.7034893617021274</v>
      </c>
      <c r="BX37" s="144">
        <f t="shared" si="105"/>
        <v>16968.778119906456</v>
      </c>
      <c r="BY37" s="150">
        <f t="shared" si="106"/>
        <v>21.739968418799602</v>
      </c>
      <c r="BZ37" s="5">
        <f t="shared" si="107"/>
        <v>40.031999999999996</v>
      </c>
      <c r="CA37" s="150">
        <f t="shared" si="108"/>
        <v>0.64806094130904701</v>
      </c>
      <c r="CB37" s="5">
        <f t="shared" si="109"/>
        <v>64.806094130904697</v>
      </c>
      <c r="CC37">
        <f t="shared" si="110"/>
        <v>32</v>
      </c>
      <c r="CE37" s="59">
        <f t="shared" ref="CE37:CE68" si="163">IF(ABS(F37-Ioutmax_Vinnom)&lt;Iout/200, AM37, -50)</f>
        <v>-50</v>
      </c>
      <c r="CF37">
        <f t="shared" ref="CF37:CF68" si="164">IF(ABS(F37-Ioutmax_Vinnom)&lt;Iout/200, (O37+P37)*CA37, -50)</f>
        <v>-50</v>
      </c>
      <c r="CG37" s="150">
        <f t="shared" ref="CG37:CG68" si="165">MIN(SQRT(2*DT37*1000*Ls1_*(CL37+CJ37*Vfwd1))/(CW37+Vfwd1), 1-DY37)</f>
        <v>0.37219123550867461</v>
      </c>
      <c r="CH37" s="150">
        <f t="shared" ref="CH37:CH68" si="166">MIN(SQRT(2*DT37*1000*Ls2_*(CM37+CK37*Vfwd22))/(Vout2+Vfwd22), 1-DY37)</f>
        <v>7.8559860543486723E-2</v>
      </c>
      <c r="CI37" s="147">
        <v>32</v>
      </c>
      <c r="CJ37" s="188">
        <f t="shared" si="133"/>
        <v>1.28</v>
      </c>
      <c r="CK37" s="188">
        <f t="shared" si="111"/>
        <v>0.27200000000000002</v>
      </c>
      <c r="CL37" s="188">
        <f t="shared" si="48"/>
        <v>38.4</v>
      </c>
      <c r="CM37" s="188">
        <f t="shared" si="134"/>
        <v>1.6320000000000001</v>
      </c>
      <c r="CN37" s="465">
        <f t="shared" si="112"/>
        <v>34</v>
      </c>
      <c r="CO37" s="379">
        <f t="shared" ref="CO37:CO68" si="167">(CW37+Vfwd2)*Nps</f>
        <v>30.7</v>
      </c>
      <c r="CP37" s="379">
        <f t="shared" ref="CP37:CP68" si="168">(Vout+Vfwd2)*Nps+CN37</f>
        <v>64.7</v>
      </c>
      <c r="CQ37" s="379"/>
      <c r="CR37" s="188">
        <f t="shared" si="113"/>
        <v>0.47204968944099374</v>
      </c>
      <c r="CS37" s="149">
        <f t="shared" si="114"/>
        <v>233.26341749863801</v>
      </c>
      <c r="CT37" s="149">
        <f t="shared" si="51"/>
        <v>9.9136952436921142</v>
      </c>
      <c r="CU37" s="188">
        <f t="shared" si="52"/>
        <v>7.7754472499545999</v>
      </c>
      <c r="CV37" s="188">
        <f t="shared" si="53"/>
        <v>38.877236249772999</v>
      </c>
      <c r="CW37" s="379">
        <f t="shared" si="54"/>
        <v>30</v>
      </c>
      <c r="CX37" s="188">
        <f t="shared" si="55"/>
        <v>4.9885077399380799</v>
      </c>
      <c r="CY37" s="188">
        <f t="shared" si="56"/>
        <v>0.68958783463849926</v>
      </c>
      <c r="CZ37" s="188">
        <f t="shared" si="57"/>
        <v>0.76371291132602537</v>
      </c>
      <c r="DA37" s="172">
        <f t="shared" si="58"/>
        <v>350</v>
      </c>
      <c r="DB37" s="379">
        <f t="shared" si="115"/>
        <v>350</v>
      </c>
      <c r="DD37" s="188">
        <f t="shared" si="59"/>
        <v>9.8072469146822137</v>
      </c>
      <c r="DE37" s="150">
        <f t="shared" si="60"/>
        <v>1.5014351954073746</v>
      </c>
      <c r="DF37" s="150">
        <f t="shared" si="61"/>
        <v>2.4718134248028734</v>
      </c>
      <c r="DG37" s="150"/>
      <c r="DH37" s="150">
        <f t="shared" si="62"/>
        <v>0.92784522751949461</v>
      </c>
      <c r="DI37" s="314">
        <f t="shared" si="63"/>
        <v>474.59639489361706</v>
      </c>
      <c r="DJ37" s="456">
        <f t="shared" si="64"/>
        <v>0.94395997276890675</v>
      </c>
      <c r="DL37" s="150">
        <f t="shared" si="65"/>
        <v>6.9764693520476948</v>
      </c>
      <c r="DM37" s="150">
        <f t="shared" si="66"/>
        <v>6.9764693520476948</v>
      </c>
      <c r="DN37" s="150">
        <f t="shared" si="67"/>
        <v>1.8784172529197289</v>
      </c>
      <c r="DP37" s="314">
        <f t="shared" si="68"/>
        <v>1280</v>
      </c>
      <c r="DQ37" s="144">
        <f t="shared" si="69"/>
        <v>350</v>
      </c>
      <c r="DS37">
        <f t="shared" si="116"/>
        <v>1280</v>
      </c>
      <c r="DT37" s="144">
        <f t="shared" si="70"/>
        <v>350</v>
      </c>
      <c r="DU37" s="144"/>
      <c r="DV37" s="5">
        <f t="shared" si="117"/>
        <v>2.8571428571428572</v>
      </c>
      <c r="DW37" s="5">
        <f t="shared" si="71"/>
        <v>0.96439429278306366</v>
      </c>
      <c r="DX37" s="5">
        <f t="shared" si="118"/>
        <v>1.8927485643597937</v>
      </c>
      <c r="DY37" s="150">
        <f t="shared" si="119"/>
        <v>0.33753800247407229</v>
      </c>
      <c r="EA37" s="5">
        <f t="shared" si="72"/>
        <v>4.1147489825410712</v>
      </c>
      <c r="EB37" s="5">
        <f t="shared" si="73"/>
        <v>4.3719207939498892</v>
      </c>
      <c r="EC37" s="5">
        <f t="shared" si="74"/>
        <v>1.2574661742459528</v>
      </c>
      <c r="ED37" s="5"/>
      <c r="EE37" s="150">
        <f t="shared" si="120"/>
        <v>2.3401106941354972</v>
      </c>
      <c r="EF37" s="150">
        <f t="shared" si="75"/>
        <v>3.1447019110262007</v>
      </c>
      <c r="EG37" s="150">
        <f t="shared" si="76"/>
        <v>0.63123843360175913</v>
      </c>
      <c r="EH37" s="150"/>
      <c r="EI37" s="456">
        <f t="shared" si="77"/>
        <v>6.5713416729687821E-2</v>
      </c>
      <c r="EJ37" s="456">
        <f t="shared" si="78"/>
        <v>3.0016608210652818</v>
      </c>
      <c r="EK37" s="456">
        <f t="shared" si="79"/>
        <v>4.0250000000000001E-2</v>
      </c>
      <c r="EL37" s="456">
        <f t="shared" si="80"/>
        <v>0.75820555125</v>
      </c>
      <c r="EM37">
        <f t="shared" si="81"/>
        <v>1.5299999999999999E-2</v>
      </c>
      <c r="EN37" s="144">
        <f t="shared" si="121"/>
        <v>55.550000000000004</v>
      </c>
      <c r="EO37">
        <f t="shared" si="82"/>
        <v>3.9607130354945483</v>
      </c>
      <c r="EP37" s="144">
        <f t="shared" si="122"/>
        <v>3960.7130354945484</v>
      </c>
      <c r="EQ37" s="150">
        <f t="shared" si="83"/>
        <v>0.85836799999999991</v>
      </c>
      <c r="ER37" s="150">
        <f t="shared" ref="ER37:ER68" si="169">Vfwd22*CK37*(1+Diode_TC/1000*(Ta-25))</f>
        <v>0.13028800000000001</v>
      </c>
      <c r="ES37" s="456"/>
      <c r="EU37" s="144">
        <f t="shared" si="123"/>
        <v>988.65599999999995</v>
      </c>
      <c r="EV37" s="456">
        <f t="shared" si="85"/>
        <v>7.666565285130246E-2</v>
      </c>
      <c r="EW37" s="456">
        <f t="shared" si="124"/>
        <v>0.13844810152896575</v>
      </c>
      <c r="EX37" s="456">
        <f t="shared" si="86"/>
        <v>1.9923098002800127E-3</v>
      </c>
      <c r="EY37" s="456">
        <f t="shared" si="87"/>
        <v>14.73090205599058</v>
      </c>
      <c r="EZ37" s="456">
        <f t="shared" si="88"/>
        <v>15.265247805151843</v>
      </c>
      <c r="FA37" s="538">
        <f t="shared" si="89"/>
        <v>1.7034893617021274</v>
      </c>
      <c r="FB37" s="144">
        <f t="shared" si="125"/>
        <v>16968.737166853971</v>
      </c>
      <c r="FC37" s="150">
        <f t="shared" si="126"/>
        <v>21.918106202348522</v>
      </c>
      <c r="FD37" s="5">
        <f t="shared" si="127"/>
        <v>40.031999999999996</v>
      </c>
      <c r="FE37" s="150">
        <f t="shared" si="128"/>
        <v>0.64619743942396002</v>
      </c>
      <c r="FF37" s="5">
        <f t="shared" si="129"/>
        <v>64.619743942395999</v>
      </c>
      <c r="FG37">
        <f t="shared" si="130"/>
        <v>32</v>
      </c>
      <c r="FI37" s="59">
        <f t="shared" si="90"/>
        <v>-50</v>
      </c>
      <c r="FJ37">
        <f t="shared" si="91"/>
        <v>-50</v>
      </c>
      <c r="FL37">
        <f t="shared" si="92"/>
        <v>0.37219123550867461</v>
      </c>
    </row>
    <row r="38" spans="5:168">
      <c r="E38" s="147">
        <v>33</v>
      </c>
      <c r="F38" s="188">
        <f t="shared" si="131"/>
        <v>1.32</v>
      </c>
      <c r="G38" s="188">
        <f t="shared" ref="G38:G69" si="170">IF(PLOT_TYPE=1, E38/100*Iout2, min_I*EXP(Q38*rr/100))</f>
        <v>0.28050000000000003</v>
      </c>
      <c r="H38" s="188">
        <f t="shared" si="135"/>
        <v>39.6</v>
      </c>
      <c r="I38" s="188">
        <f t="shared" si="132"/>
        <v>1.6830000000000003</v>
      </c>
      <c r="J38" s="465">
        <f t="shared" si="136"/>
        <v>33.88984197987579</v>
      </c>
      <c r="K38" s="379">
        <f t="shared" si="137"/>
        <v>30.783031943638452</v>
      </c>
      <c r="L38" s="149">
        <f t="shared" si="138"/>
        <v>64.672873923514246</v>
      </c>
      <c r="M38" s="379"/>
      <c r="N38" s="188">
        <f t="shared" si="139"/>
        <v>0.4759805785041219</v>
      </c>
      <c r="O38" s="149">
        <f t="shared" ref="O38:O69" si="171">N38*J38*Isw_max*0.5*Efficiency*Pout/(Pout+Pout2)</f>
        <v>234.44381354544811</v>
      </c>
      <c r="P38" s="149">
        <f t="shared" si="140"/>
        <v>9.9638620756815435</v>
      </c>
      <c r="Q38" s="188">
        <f t="shared" si="6"/>
        <v>7.8147937848482707</v>
      </c>
      <c r="R38" s="188">
        <f t="shared" si="141"/>
        <v>39.073968924241349</v>
      </c>
      <c r="S38" s="379">
        <f t="shared" si="142"/>
        <v>30</v>
      </c>
      <c r="T38" s="188">
        <f t="shared" si="143"/>
        <v>5.1184971863946158</v>
      </c>
      <c r="U38" s="188">
        <f t="shared" si="10"/>
        <v>0.7098568588882771</v>
      </c>
      <c r="V38" s="188">
        <f t="shared" si="11"/>
        <v>0.78149991268245567</v>
      </c>
      <c r="W38" s="172">
        <f t="shared" si="12"/>
        <v>350</v>
      </c>
      <c r="X38" s="379">
        <f t="shared" si="95"/>
        <v>350</v>
      </c>
      <c r="Z38" s="188">
        <f t="shared" si="13"/>
        <v>9.8060222437656872</v>
      </c>
      <c r="AA38" s="150">
        <f t="shared" si="14"/>
        <v>1.4971983471310801</v>
      </c>
      <c r="AB38" s="150">
        <f t="shared" si="144"/>
        <v>2.464530505205663</v>
      </c>
      <c r="AC38" s="150"/>
      <c r="AD38" s="150">
        <f t="shared" si="16"/>
        <v>0.92534252431671504</v>
      </c>
      <c r="AE38" s="314">
        <f t="shared" si="145"/>
        <v>490.75124947415861</v>
      </c>
      <c r="AF38" s="456">
        <f t="shared" si="146"/>
        <v>0.94141380280750031</v>
      </c>
      <c r="AH38" s="150">
        <f t="shared" si="147"/>
        <v>7.0846381181001536</v>
      </c>
      <c r="AI38" s="150">
        <f t="shared" si="148"/>
        <v>7.0846381181001536</v>
      </c>
      <c r="AJ38" s="150">
        <f t="shared" si="149"/>
        <v>1.9585422648104394</v>
      </c>
      <c r="AL38" s="314">
        <f t="shared" si="150"/>
        <v>1320</v>
      </c>
      <c r="AM38" s="144">
        <f t="shared" si="151"/>
        <v>350</v>
      </c>
      <c r="AO38">
        <f t="shared" si="96"/>
        <v>1320</v>
      </c>
      <c r="AP38" s="144">
        <f t="shared" si="24"/>
        <v>350</v>
      </c>
      <c r="AQ38" s="144"/>
      <c r="AR38" s="5">
        <f t="shared" si="97"/>
        <v>2.8571428571428572</v>
      </c>
      <c r="AS38" s="5">
        <f t="shared" si="25"/>
        <v>0.98253037517387565</v>
      </c>
      <c r="AT38" s="5">
        <f t="shared" si="98"/>
        <v>1.8746124819689816</v>
      </c>
      <c r="AU38" s="150">
        <f t="shared" si="99"/>
        <v>0.34388563131085648</v>
      </c>
      <c r="AW38" s="5">
        <f t="shared" si="152"/>
        <v>4.3231336507650528</v>
      </c>
      <c r="AX38" s="5">
        <f t="shared" si="153"/>
        <v>4.593329503937869</v>
      </c>
      <c r="AY38" s="5">
        <f t="shared" si="28"/>
        <v>1.2885112808599304</v>
      </c>
      <c r="AZ38" s="5"/>
      <c r="BA38" s="150">
        <f t="shared" si="100"/>
        <v>2.3986344069488834</v>
      </c>
      <c r="BB38" s="150">
        <f t="shared" si="154"/>
        <v>3.1781233918922629</v>
      </c>
      <c r="BC38" s="150">
        <f t="shared" si="155"/>
        <v>0.6379471531648353</v>
      </c>
      <c r="BD38" s="150"/>
      <c r="BE38" s="456">
        <f t="shared" si="31"/>
        <v>6.904136421838826E-2</v>
      </c>
      <c r="BF38" s="456">
        <f t="shared" si="156"/>
        <v>2.9266497111083627</v>
      </c>
      <c r="BG38" s="456">
        <f t="shared" si="33"/>
        <v>4.0250000000000001E-2</v>
      </c>
      <c r="BH38" s="456">
        <f t="shared" si="34"/>
        <v>0.75756991507403604</v>
      </c>
      <c r="BI38">
        <f t="shared" si="35"/>
        <v>1.5250428890944105E-2</v>
      </c>
      <c r="BJ38" s="144">
        <f t="shared" si="101"/>
        <v>55.500428890944107</v>
      </c>
      <c r="BK38">
        <f t="shared" si="157"/>
        <v>3.8348092444525714</v>
      </c>
      <c r="BL38" s="144">
        <f t="shared" si="102"/>
        <v>3834.8092444525714</v>
      </c>
      <c r="BM38" s="150">
        <f t="shared" si="158"/>
        <v>0.88519199999999987</v>
      </c>
      <c r="BN38" s="150">
        <f t="shared" si="159"/>
        <v>0.13435950000000002</v>
      </c>
      <c r="BO38" s="456"/>
      <c r="BQ38" s="144">
        <f t="shared" si="103"/>
        <v>1019.5514999999999</v>
      </c>
      <c r="BR38" s="456">
        <f t="shared" si="39"/>
        <v>8.0548258254786301E-2</v>
      </c>
      <c r="BS38" s="456">
        <f t="shared" si="104"/>
        <v>0.14140655611729894</v>
      </c>
      <c r="BT38" s="456">
        <f t="shared" si="160"/>
        <v>2.0348828511555892E-3</v>
      </c>
      <c r="BU38" s="456">
        <f t="shared" si="41"/>
        <v>15.308558350259574</v>
      </c>
      <c r="BV38" s="456">
        <f t="shared" si="161"/>
        <v>15.870695354592185</v>
      </c>
      <c r="BW38" s="538">
        <f t="shared" si="162"/>
        <v>1.7567234042553193</v>
      </c>
      <c r="BX38" s="144">
        <f t="shared" si="105"/>
        <v>17627.418758847503</v>
      </c>
      <c r="BY38" s="150">
        <f t="shared" si="106"/>
        <v>22.481779503300075</v>
      </c>
      <c r="BZ38" s="5">
        <f t="shared" si="107"/>
        <v>41.283000000000001</v>
      </c>
      <c r="CA38" s="150">
        <f t="shared" si="108"/>
        <v>0.64742637427082206</v>
      </c>
      <c r="CB38" s="5">
        <f t="shared" si="109"/>
        <v>64.742637427082201</v>
      </c>
      <c r="CC38">
        <f t="shared" ref="CC38:CC69" si="172">F38/Iout*100</f>
        <v>33</v>
      </c>
      <c r="CE38" s="59">
        <f t="shared" si="163"/>
        <v>-50</v>
      </c>
      <c r="CF38">
        <f t="shared" si="164"/>
        <v>-50</v>
      </c>
      <c r="CG38" s="150">
        <f t="shared" si="165"/>
        <v>0.37796198639267248</v>
      </c>
      <c r="CH38" s="150">
        <f t="shared" si="166"/>
        <v>7.9777915514766429E-2</v>
      </c>
      <c r="CI38" s="147">
        <v>33</v>
      </c>
      <c r="CJ38" s="188">
        <f t="shared" si="133"/>
        <v>1.32</v>
      </c>
      <c r="CK38" s="188">
        <f t="shared" si="111"/>
        <v>0.28050000000000003</v>
      </c>
      <c r="CL38" s="188">
        <f t="shared" si="48"/>
        <v>39.6</v>
      </c>
      <c r="CM38" s="188">
        <f t="shared" si="134"/>
        <v>1.6830000000000003</v>
      </c>
      <c r="CN38" s="465">
        <f t="shared" si="112"/>
        <v>34</v>
      </c>
      <c r="CO38" s="379">
        <f t="shared" si="167"/>
        <v>30.7</v>
      </c>
      <c r="CP38" s="379">
        <f t="shared" si="168"/>
        <v>64.7</v>
      </c>
      <c r="CQ38" s="379"/>
      <c r="CR38" s="188">
        <f t="shared" si="113"/>
        <v>0.47204968944099374</v>
      </c>
      <c r="CS38" s="149">
        <f t="shared" si="114"/>
        <v>233.26341749863801</v>
      </c>
      <c r="CT38" s="149">
        <f t="shared" si="51"/>
        <v>9.9136952436921142</v>
      </c>
      <c r="CU38" s="188">
        <f t="shared" si="52"/>
        <v>7.7754472499545999</v>
      </c>
      <c r="CV38" s="188">
        <f t="shared" si="53"/>
        <v>38.877236249772999</v>
      </c>
      <c r="CW38" s="379">
        <f t="shared" si="54"/>
        <v>30</v>
      </c>
      <c r="CX38" s="188">
        <f t="shared" si="55"/>
        <v>5.144398606811146</v>
      </c>
      <c r="CY38" s="188">
        <f t="shared" si="56"/>
        <v>0.71113745447095256</v>
      </c>
      <c r="CZ38" s="188">
        <f t="shared" si="57"/>
        <v>0.78757893980496374</v>
      </c>
      <c r="DA38" s="172">
        <f t="shared" si="58"/>
        <v>350</v>
      </c>
      <c r="DB38" s="379">
        <f t="shared" si="115"/>
        <v>350</v>
      </c>
      <c r="DD38" s="188">
        <f t="shared" si="59"/>
        <v>9.8072469146822137</v>
      </c>
      <c r="DE38" s="150">
        <f t="shared" si="60"/>
        <v>1.5014351954073746</v>
      </c>
      <c r="DF38" s="150">
        <f t="shared" si="61"/>
        <v>2.4718134248028734</v>
      </c>
      <c r="DG38" s="150"/>
      <c r="DH38" s="150">
        <f t="shared" si="62"/>
        <v>0.92784522751949461</v>
      </c>
      <c r="DI38" s="314">
        <f t="shared" si="63"/>
        <v>489.42753223404264</v>
      </c>
      <c r="DJ38" s="456">
        <f t="shared" si="64"/>
        <v>0.94395997276890675</v>
      </c>
      <c r="DL38" s="150">
        <f t="shared" si="65"/>
        <v>7.0846381181001536</v>
      </c>
      <c r="DM38" s="150">
        <f t="shared" si="66"/>
        <v>7.0846381181001536</v>
      </c>
      <c r="DN38" s="150">
        <f t="shared" si="67"/>
        <v>1.9585422648104394</v>
      </c>
      <c r="DP38" s="314">
        <f t="shared" si="68"/>
        <v>1320</v>
      </c>
      <c r="DQ38" s="144">
        <f t="shared" si="69"/>
        <v>350</v>
      </c>
      <c r="DS38">
        <f t="shared" si="116"/>
        <v>1320</v>
      </c>
      <c r="DT38" s="144">
        <f t="shared" si="70"/>
        <v>350</v>
      </c>
      <c r="DU38" s="144"/>
      <c r="DV38" s="5">
        <f t="shared" si="117"/>
        <v>2.8571428571428572</v>
      </c>
      <c r="DW38" s="5">
        <f t="shared" si="71"/>
        <v>0.9793470339726682</v>
      </c>
      <c r="DX38" s="5">
        <f t="shared" si="118"/>
        <v>1.877795823170189</v>
      </c>
      <c r="DY38" s="150">
        <f t="shared" si="119"/>
        <v>0.34277146189043384</v>
      </c>
      <c r="EA38" s="5">
        <f t="shared" si="72"/>
        <v>4.3091269494797402</v>
      </c>
      <c r="EB38" s="5">
        <f t="shared" si="73"/>
        <v>4.5784473838222244</v>
      </c>
      <c r="EC38" s="5">
        <f t="shared" si="74"/>
        <v>1.2865175535906483</v>
      </c>
      <c r="ED38" s="5"/>
      <c r="EE38" s="150">
        <f t="shared" si="120"/>
        <v>2.394745536563899</v>
      </c>
      <c r="EF38" s="150">
        <f t="shared" si="75"/>
        <v>3.1808206852933409</v>
      </c>
      <c r="EG38" s="150">
        <f t="shared" si="76"/>
        <v>0.63848858294407473</v>
      </c>
      <c r="EH38" s="150"/>
      <c r="EI38" s="456">
        <f t="shared" si="77"/>
        <v>6.8817674218712599E-2</v>
      </c>
      <c r="EJ38" s="456">
        <f t="shared" si="78"/>
        <v>3.0482009735031816</v>
      </c>
      <c r="EK38" s="456">
        <f t="shared" si="79"/>
        <v>4.0250000000000001E-2</v>
      </c>
      <c r="EL38" s="456">
        <f t="shared" si="80"/>
        <v>0.75820555125</v>
      </c>
      <c r="EM38">
        <f t="shared" si="81"/>
        <v>1.5299999999999999E-2</v>
      </c>
      <c r="EN38" s="144">
        <f t="shared" si="121"/>
        <v>55.550000000000004</v>
      </c>
      <c r="EO38">
        <f t="shared" si="82"/>
        <v>4.015004630492883</v>
      </c>
      <c r="EP38" s="144">
        <f t="shared" si="122"/>
        <v>4015.0046304928828</v>
      </c>
      <c r="EQ38" s="150">
        <f t="shared" si="83"/>
        <v>0.88519199999999987</v>
      </c>
      <c r="ER38" s="150">
        <f t="shared" si="169"/>
        <v>0.13435950000000002</v>
      </c>
      <c r="ES38" s="456"/>
      <c r="EU38" s="144">
        <f t="shared" si="123"/>
        <v>1019.5514999999999</v>
      </c>
      <c r="EV38" s="456">
        <f t="shared" si="85"/>
        <v>8.0287286588498027E-2</v>
      </c>
      <c r="EW38" s="456">
        <f t="shared" si="124"/>
        <v>0.14164668324786001</v>
      </c>
      <c r="EX38" s="456">
        <f t="shared" si="86"/>
        <v>2.038338352749663E-3</v>
      </c>
      <c r="EY38" s="456">
        <f t="shared" si="87"/>
        <v>15.308558350259574</v>
      </c>
      <c r="EZ38" s="456">
        <f t="shared" si="88"/>
        <v>15.870650917897677</v>
      </c>
      <c r="FA38" s="538">
        <f t="shared" si="89"/>
        <v>1.7567234042553193</v>
      </c>
      <c r="FB38" s="144">
        <f t="shared" si="125"/>
        <v>17627.374322152995</v>
      </c>
      <c r="FC38" s="150">
        <f t="shared" si="126"/>
        <v>22.66193045264588</v>
      </c>
      <c r="FD38" s="5">
        <f t="shared" si="127"/>
        <v>41.283000000000001</v>
      </c>
      <c r="FE38" s="150">
        <f t="shared" si="128"/>
        <v>0.64560239111639872</v>
      </c>
      <c r="FF38" s="5">
        <f t="shared" si="129"/>
        <v>64.560239111639873</v>
      </c>
      <c r="FG38">
        <f t="shared" si="130"/>
        <v>33</v>
      </c>
      <c r="FI38" s="59">
        <f t="shared" si="90"/>
        <v>-50</v>
      </c>
      <c r="FJ38">
        <f t="shared" si="91"/>
        <v>-50</v>
      </c>
      <c r="FL38">
        <f t="shared" si="92"/>
        <v>0.37796198639267248</v>
      </c>
    </row>
    <row r="39" spans="5:168">
      <c r="E39" s="147">
        <v>34</v>
      </c>
      <c r="F39" s="188">
        <f t="shared" si="131"/>
        <v>1.36</v>
      </c>
      <c r="G39" s="188">
        <f t="shared" si="170"/>
        <v>0.28900000000000003</v>
      </c>
      <c r="H39" s="188">
        <f t="shared" si="135"/>
        <v>40.800000000000004</v>
      </c>
      <c r="I39" s="188">
        <f t="shared" si="132"/>
        <v>1.7340000000000002</v>
      </c>
      <c r="J39" s="465">
        <f t="shared" si="136"/>
        <v>33.888185375337009</v>
      </c>
      <c r="K39" s="379">
        <f t="shared" si="137"/>
        <v>30.784280614362018</v>
      </c>
      <c r="L39" s="149">
        <f t="shared" si="138"/>
        <v>64.67246598969902</v>
      </c>
      <c r="M39" s="379"/>
      <c r="N39" s="188">
        <f t="shared" si="139"/>
        <v>0.47600288845125088</v>
      </c>
      <c r="O39" s="149">
        <f t="shared" si="171"/>
        <v>234.44334166167948</v>
      </c>
      <c r="P39" s="149">
        <f t="shared" si="140"/>
        <v>9.9638420206213762</v>
      </c>
      <c r="Q39" s="188">
        <f t="shared" si="6"/>
        <v>7.8147780553893158</v>
      </c>
      <c r="R39" s="188">
        <f t="shared" si="141"/>
        <v>39.073890276946578</v>
      </c>
      <c r="S39" s="379">
        <f t="shared" si="142"/>
        <v>30</v>
      </c>
      <c r="T39" s="188">
        <f t="shared" si="143"/>
        <v>5.2736137763631108</v>
      </c>
      <c r="U39" s="188">
        <f t="shared" si="10"/>
        <v>0.73140489744090142</v>
      </c>
      <c r="V39" s="188">
        <f t="shared" si="11"/>
        <v>0.80515068906119014</v>
      </c>
      <c r="W39" s="172">
        <f t="shared" si="12"/>
        <v>350</v>
      </c>
      <c r="X39" s="379">
        <f t="shared" si="95"/>
        <v>350</v>
      </c>
      <c r="Z39" s="188">
        <f t="shared" si="13"/>
        <v>9.8060025064023417</v>
      </c>
      <c r="AA39" s="150">
        <f t="shared" si="14"/>
        <v>1.4971346044249978</v>
      </c>
      <c r="AB39" s="150">
        <f t="shared" si="144"/>
        <v>2.4644206183187634</v>
      </c>
      <c r="AC39" s="150"/>
      <c r="AD39" s="150">
        <f t="shared" si="16"/>
        <v>0.92530499061131988</v>
      </c>
      <c r="AE39" s="314">
        <f t="shared" si="145"/>
        <v>505.64300932916223</v>
      </c>
      <c r="AF39" s="456">
        <f t="shared" si="146"/>
        <v>0.94137561721956808</v>
      </c>
      <c r="AH39" s="150">
        <f t="shared" si="147"/>
        <v>7.1911800080942623</v>
      </c>
      <c r="AI39" s="150">
        <f t="shared" si="148"/>
        <v>7.1911800080942623</v>
      </c>
      <c r="AJ39" s="150">
        <f t="shared" si="149"/>
        <v>2.0374621833245938</v>
      </c>
      <c r="AL39" s="314">
        <f t="shared" si="150"/>
        <v>1360</v>
      </c>
      <c r="AM39" s="144">
        <f t="shared" si="151"/>
        <v>350</v>
      </c>
      <c r="AO39">
        <f t="shared" si="96"/>
        <v>1360</v>
      </c>
      <c r="AP39" s="144">
        <f t="shared" si="24"/>
        <v>350</v>
      </c>
      <c r="AQ39" s="144"/>
      <c r="AR39" s="5">
        <f t="shared" si="97"/>
        <v>2.8571428571428572</v>
      </c>
      <c r="AS39" s="5">
        <f t="shared" si="25"/>
        <v>0.99735484988938905</v>
      </c>
      <c r="AT39" s="5">
        <f t="shared" si="98"/>
        <v>1.859788007253468</v>
      </c>
      <c r="AU39" s="150">
        <f t="shared" si="99"/>
        <v>0.34907419746128615</v>
      </c>
      <c r="AW39" s="5">
        <f t="shared" si="152"/>
        <v>4.52134198616523</v>
      </c>
      <c r="AX39" s="5">
        <f t="shared" si="153"/>
        <v>4.8039258603005583</v>
      </c>
      <c r="AY39" s="5">
        <f t="shared" si="28"/>
        <v>1.3171231117782844</v>
      </c>
      <c r="AZ39" s="5"/>
      <c r="BA39" s="150">
        <f t="shared" si="100"/>
        <v>2.4530048496132824</v>
      </c>
      <c r="BB39" s="150">
        <f t="shared" si="154"/>
        <v>3.2131367743164443</v>
      </c>
      <c r="BC39" s="150">
        <f t="shared" si="155"/>
        <v>0.64497541635221223</v>
      </c>
      <c r="BD39" s="150"/>
      <c r="BE39" s="456">
        <f t="shared" si="31"/>
        <v>7.2206793506715383E-2</v>
      </c>
      <c r="BF39" s="456">
        <f t="shared" si="156"/>
        <v>2.9706432129891494</v>
      </c>
      <c r="BG39" s="456">
        <f t="shared" si="33"/>
        <v>4.0250000000000001E-2</v>
      </c>
      <c r="BH39" s="456">
        <f t="shared" si="34"/>
        <v>0.75756035813331712</v>
      </c>
      <c r="BI39">
        <f t="shared" si="35"/>
        <v>1.5249683418901655E-2</v>
      </c>
      <c r="BJ39" s="144">
        <f t="shared" si="101"/>
        <v>55.499683418901654</v>
      </c>
      <c r="BK39">
        <f t="shared" si="157"/>
        <v>3.8865857628767757</v>
      </c>
      <c r="BL39" s="144">
        <f t="shared" si="102"/>
        <v>3886.5857628767758</v>
      </c>
      <c r="BM39" s="150">
        <f t="shared" si="158"/>
        <v>0.91201599999999994</v>
      </c>
      <c r="BN39" s="150">
        <f t="shared" si="159"/>
        <v>0.138431</v>
      </c>
      <c r="BO39" s="456"/>
      <c r="BQ39" s="144">
        <f t="shared" si="103"/>
        <v>1050.4469999999999</v>
      </c>
      <c r="BR39" s="456">
        <f t="shared" si="39"/>
        <v>8.4241259091167947E-2</v>
      </c>
      <c r="BS39" s="456">
        <f t="shared" si="104"/>
        <v>0.14453947102650558</v>
      </c>
      <c r="BT39" s="456">
        <f t="shared" si="160"/>
        <v>2.0799664384935478E-3</v>
      </c>
      <c r="BU39" s="456">
        <f t="shared" si="41"/>
        <v>15.890608037655559</v>
      </c>
      <c r="BV39" s="456">
        <f t="shared" si="161"/>
        <v>16.481265414482362</v>
      </c>
      <c r="BW39" s="538">
        <f t="shared" si="162"/>
        <v>1.8099574468085111</v>
      </c>
      <c r="BX39" s="144">
        <f t="shared" si="105"/>
        <v>18291.222861290873</v>
      </c>
      <c r="BY39" s="150">
        <f t="shared" si="106"/>
        <v>23.228255624167648</v>
      </c>
      <c r="BZ39" s="5">
        <f t="shared" si="107"/>
        <v>42.534000000000006</v>
      </c>
      <c r="CA39" s="150">
        <f t="shared" si="108"/>
        <v>0.64678438408625305</v>
      </c>
      <c r="CB39" s="5">
        <f t="shared" si="109"/>
        <v>64.678438408625311</v>
      </c>
      <c r="CC39">
        <f t="shared" si="172"/>
        <v>34</v>
      </c>
      <c r="CE39" s="59">
        <f t="shared" si="163"/>
        <v>-50</v>
      </c>
      <c r="CF39">
        <f t="shared" si="164"/>
        <v>-50</v>
      </c>
      <c r="CG39" s="150">
        <f t="shared" si="165"/>
        <v>0.38364594423285098</v>
      </c>
      <c r="CH39" s="150">
        <f t="shared" si="166"/>
        <v>8.0977650738647253E-2</v>
      </c>
      <c r="CI39" s="147">
        <v>34</v>
      </c>
      <c r="CJ39" s="188">
        <f t="shared" si="133"/>
        <v>1.36</v>
      </c>
      <c r="CK39" s="188">
        <f t="shared" si="111"/>
        <v>0.28900000000000003</v>
      </c>
      <c r="CL39" s="188">
        <f t="shared" si="48"/>
        <v>40.800000000000004</v>
      </c>
      <c r="CM39" s="188">
        <f t="shared" si="134"/>
        <v>1.7340000000000002</v>
      </c>
      <c r="CN39" s="465">
        <f t="shared" si="112"/>
        <v>34</v>
      </c>
      <c r="CO39" s="379">
        <f t="shared" si="167"/>
        <v>30.7</v>
      </c>
      <c r="CP39" s="379">
        <f t="shared" si="168"/>
        <v>64.7</v>
      </c>
      <c r="CQ39" s="379"/>
      <c r="CR39" s="188">
        <f t="shared" si="113"/>
        <v>0.47204968944099374</v>
      </c>
      <c r="CS39" s="149">
        <f t="shared" si="114"/>
        <v>233.26341749863801</v>
      </c>
      <c r="CT39" s="149">
        <f t="shared" si="51"/>
        <v>9.9136952436921142</v>
      </c>
      <c r="CU39" s="188">
        <f t="shared" si="52"/>
        <v>7.7754472499545999</v>
      </c>
      <c r="CV39" s="188">
        <f t="shared" si="53"/>
        <v>38.877236249772999</v>
      </c>
      <c r="CW39" s="379">
        <f t="shared" si="54"/>
        <v>30</v>
      </c>
      <c r="CX39" s="188">
        <f t="shared" si="55"/>
        <v>5.3002894736842112</v>
      </c>
      <c r="CY39" s="188">
        <f t="shared" si="56"/>
        <v>0.73268707430340563</v>
      </c>
      <c r="CZ39" s="188">
        <f t="shared" si="57"/>
        <v>0.811444968283902</v>
      </c>
      <c r="DA39" s="172">
        <f t="shared" si="58"/>
        <v>350</v>
      </c>
      <c r="DB39" s="379">
        <f t="shared" si="115"/>
        <v>350</v>
      </c>
      <c r="DD39" s="188">
        <f t="shared" si="59"/>
        <v>9.8072469146822137</v>
      </c>
      <c r="DE39" s="150">
        <f t="shared" si="60"/>
        <v>1.5014351954073746</v>
      </c>
      <c r="DF39" s="150">
        <f t="shared" si="61"/>
        <v>2.4718134248028734</v>
      </c>
      <c r="DG39" s="150"/>
      <c r="DH39" s="150">
        <f t="shared" si="62"/>
        <v>0.92784522751949461</v>
      </c>
      <c r="DI39" s="314">
        <f t="shared" si="63"/>
        <v>504.25866957446812</v>
      </c>
      <c r="DJ39" s="456">
        <f t="shared" si="64"/>
        <v>0.94395997276890675</v>
      </c>
      <c r="DL39" s="150">
        <f t="shared" si="65"/>
        <v>7.1911800080942623</v>
      </c>
      <c r="DM39" s="150">
        <f t="shared" si="66"/>
        <v>7.1911800080942623</v>
      </c>
      <c r="DN39" s="150">
        <f t="shared" si="67"/>
        <v>2.0374621833245938</v>
      </c>
      <c r="DP39" s="314">
        <f t="shared" si="68"/>
        <v>1360</v>
      </c>
      <c r="DQ39" s="144">
        <f t="shared" si="69"/>
        <v>350</v>
      </c>
      <c r="DS39">
        <f t="shared" si="116"/>
        <v>1360</v>
      </c>
      <c r="DT39" s="144">
        <f t="shared" si="70"/>
        <v>350</v>
      </c>
      <c r="DU39" s="144"/>
      <c r="DV39" s="5">
        <f t="shared" si="117"/>
        <v>2.8571428571428572</v>
      </c>
      <c r="DW39" s="5">
        <f t="shared" si="71"/>
        <v>0.99407488347185391</v>
      </c>
      <c r="DX39" s="5">
        <f t="shared" si="118"/>
        <v>1.8630679736710034</v>
      </c>
      <c r="DY39" s="150">
        <f t="shared" si="119"/>
        <v>0.34792620921514888</v>
      </c>
      <c r="EA39" s="5">
        <f t="shared" si="72"/>
        <v>4.5064728050724048</v>
      </c>
      <c r="EB39" s="5">
        <f t="shared" si="73"/>
        <v>4.7881273553894301</v>
      </c>
      <c r="EC39" s="5">
        <f t="shared" si="74"/>
        <v>1.3151068049442376</v>
      </c>
      <c r="ED39" s="5"/>
      <c r="EE39" s="150">
        <f t="shared" si="120"/>
        <v>2.4489679717690498</v>
      </c>
      <c r="EF39" s="150">
        <f t="shared" si="75"/>
        <v>3.2159689084272363</v>
      </c>
      <c r="EG39" s="150">
        <f t="shared" si="76"/>
        <v>0.64554391281083623</v>
      </c>
      <c r="EH39" s="150"/>
      <c r="EI39" s="456">
        <f t="shared" si="77"/>
        <v>7.1969329521007361E-2</v>
      </c>
      <c r="EJ39" s="456">
        <f t="shared" si="78"/>
        <v>3.0940411543825967</v>
      </c>
      <c r="EK39" s="456">
        <f t="shared" si="79"/>
        <v>4.0250000000000001E-2</v>
      </c>
      <c r="EL39" s="456">
        <f t="shared" si="80"/>
        <v>0.75820555125</v>
      </c>
      <c r="EM39">
        <f t="shared" si="81"/>
        <v>1.5299999999999999E-2</v>
      </c>
      <c r="EN39" s="144">
        <f t="shared" si="121"/>
        <v>55.550000000000004</v>
      </c>
      <c r="EO39">
        <f t="shared" si="82"/>
        <v>4.0687734244549008</v>
      </c>
      <c r="EP39" s="144">
        <f t="shared" si="122"/>
        <v>4068.7734244549006</v>
      </c>
      <c r="EQ39" s="150">
        <f t="shared" si="83"/>
        <v>0.91201599999999994</v>
      </c>
      <c r="ER39" s="150">
        <f t="shared" si="169"/>
        <v>0.138431</v>
      </c>
      <c r="ES39" s="456"/>
      <c r="EU39" s="144">
        <f t="shared" si="123"/>
        <v>1050.4469999999999</v>
      </c>
      <c r="EV39" s="456">
        <f t="shared" si="85"/>
        <v>8.396421777450859E-2</v>
      </c>
      <c r="EW39" s="456">
        <f t="shared" si="124"/>
        <v>0.14479438427958938</v>
      </c>
      <c r="EX39" s="456">
        <f t="shared" si="86"/>
        <v>2.0836347168356226E-3</v>
      </c>
      <c r="EY39" s="456">
        <f t="shared" si="87"/>
        <v>15.890608037655559</v>
      </c>
      <c r="EZ39" s="456">
        <f t="shared" si="88"/>
        <v>16.481217296485802</v>
      </c>
      <c r="FA39" s="538">
        <f t="shared" si="89"/>
        <v>1.8099574468085111</v>
      </c>
      <c r="FB39" s="144">
        <f t="shared" si="125"/>
        <v>18291.174743294312</v>
      </c>
      <c r="FC39" s="150">
        <f t="shared" si="126"/>
        <v>23.410395167749215</v>
      </c>
      <c r="FD39" s="5">
        <f t="shared" si="127"/>
        <v>42.534000000000006</v>
      </c>
      <c r="FE39" s="150">
        <f t="shared" si="128"/>
        <v>0.6449979545919271</v>
      </c>
      <c r="FF39" s="5">
        <f t="shared" si="129"/>
        <v>64.499795459192711</v>
      </c>
      <c r="FG39">
        <f t="shared" si="130"/>
        <v>34</v>
      </c>
      <c r="FI39" s="59">
        <f t="shared" si="90"/>
        <v>-50</v>
      </c>
      <c r="FJ39">
        <f t="shared" si="91"/>
        <v>-50</v>
      </c>
      <c r="FL39">
        <f t="shared" si="92"/>
        <v>0.38364594423285098</v>
      </c>
    </row>
    <row r="40" spans="5:168">
      <c r="E40" s="147">
        <v>35</v>
      </c>
      <c r="F40" s="188">
        <f t="shared" ref="F40:F71" si="173">IF(PLOT_TYPE=1, E40/100*Iout_max, min_I*EXP(O40*rr/100))</f>
        <v>1.4</v>
      </c>
      <c r="G40" s="188">
        <f t="shared" si="170"/>
        <v>0.29749999999999999</v>
      </c>
      <c r="H40" s="188">
        <f t="shared" si="135"/>
        <v>42</v>
      </c>
      <c r="I40" s="188">
        <f t="shared" ref="I40:I71" si="174">Vout2*G40</f>
        <v>1.7849999999999999</v>
      </c>
      <c r="J40" s="465">
        <f t="shared" si="136"/>
        <v>33.886552958701586</v>
      </c>
      <c r="K40" s="379">
        <f t="shared" si="137"/>
        <v>30.785511053379658</v>
      </c>
      <c r="L40" s="149">
        <f t="shared" si="138"/>
        <v>64.67206401208125</v>
      </c>
      <c r="M40" s="379"/>
      <c r="N40" s="188">
        <f t="shared" si="139"/>
        <v>0.4760248729285752</v>
      </c>
      <c r="O40" s="149">
        <f t="shared" si="171"/>
        <v>234.44287575253773</v>
      </c>
      <c r="P40" s="149">
        <f t="shared" si="140"/>
        <v>9.9638222194828518</v>
      </c>
      <c r="Q40" s="188">
        <f t="shared" si="6"/>
        <v>7.8147625250845909</v>
      </c>
      <c r="R40" s="188">
        <f t="shared" si="141"/>
        <v>39.073812625422953</v>
      </c>
      <c r="S40" s="379">
        <f t="shared" si="142"/>
        <v>30</v>
      </c>
      <c r="T40" s="188">
        <f t="shared" si="143"/>
        <v>5.4287308524174511</v>
      </c>
      <c r="U40" s="188">
        <f t="shared" si="10"/>
        <v>0.75295457279050626</v>
      </c>
      <c r="V40" s="188">
        <f t="shared" si="11"/>
        <v>0.82880011191371661</v>
      </c>
      <c r="W40" s="172">
        <f t="shared" si="12"/>
        <v>350</v>
      </c>
      <c r="X40" s="379">
        <f t="shared" si="95"/>
        <v>350</v>
      </c>
      <c r="Z40" s="188">
        <f t="shared" si="13"/>
        <v>9.8059830189382104</v>
      </c>
      <c r="AA40" s="150">
        <f t="shared" si="14"/>
        <v>1.4970717916326419</v>
      </c>
      <c r="AB40" s="150">
        <f t="shared" si="144"/>
        <v>2.4643123253757224</v>
      </c>
      <c r="AC40" s="150"/>
      <c r="AD40" s="150">
        <f t="shared" si="16"/>
        <v>0.92526800790988961</v>
      </c>
      <c r="AE40" s="314">
        <f t="shared" si="145"/>
        <v>520.53566737704136</v>
      </c>
      <c r="AF40" s="456">
        <f t="shared" si="146"/>
        <v>0.94133799220539605</v>
      </c>
      <c r="AH40" s="150">
        <f t="shared" si="147"/>
        <v>7.296166291497987</v>
      </c>
      <c r="AI40" s="150">
        <f t="shared" si="148"/>
        <v>7.296166291497987</v>
      </c>
      <c r="AJ40" s="150">
        <f t="shared" si="149"/>
        <v>2.1152298006606864</v>
      </c>
      <c r="AL40" s="314">
        <f t="shared" si="150"/>
        <v>1400</v>
      </c>
      <c r="AM40" s="144">
        <f t="shared" si="151"/>
        <v>350</v>
      </c>
      <c r="AO40">
        <f t="shared" si="96"/>
        <v>1400</v>
      </c>
      <c r="AP40" s="144">
        <f t="shared" si="24"/>
        <v>350</v>
      </c>
      <c r="AQ40" s="144"/>
      <c r="AR40" s="5">
        <f t="shared" si="97"/>
        <v>2.8571428571428572</v>
      </c>
      <c r="AS40" s="5">
        <f t="shared" si="25"/>
        <v>1.0119642919075618</v>
      </c>
      <c r="AT40" s="5">
        <f t="shared" si="98"/>
        <v>1.8451785652352954</v>
      </c>
      <c r="AU40" s="150">
        <f t="shared" si="99"/>
        <v>0.35418750216764661</v>
      </c>
      <c r="AW40" s="5">
        <f t="shared" si="152"/>
        <v>4.7225000289019547</v>
      </c>
      <c r="AX40" s="5">
        <f t="shared" si="153"/>
        <v>5.0176562807083265</v>
      </c>
      <c r="AY40" s="5">
        <f t="shared" si="28"/>
        <v>1.3452759449575695</v>
      </c>
      <c r="AZ40" s="5"/>
      <c r="BA40" s="150">
        <f t="shared" si="100"/>
        <v>2.5069790959240903</v>
      </c>
      <c r="BB40" s="150">
        <f t="shared" si="154"/>
        <v>3.2472165767026859</v>
      </c>
      <c r="BC40" s="150">
        <f t="shared" si="155"/>
        <v>0.65181628130043523</v>
      </c>
      <c r="BD40" s="150"/>
      <c r="BE40" s="456">
        <f t="shared" si="31"/>
        <v>7.5419330248804428E-2</v>
      </c>
      <c r="BF40" s="456">
        <f t="shared" si="156"/>
        <v>3.0139938273898212</v>
      </c>
      <c r="BG40" s="456">
        <f t="shared" si="33"/>
        <v>4.0250000000000001E-2</v>
      </c>
      <c r="BH40" s="456">
        <f t="shared" si="34"/>
        <v>0.75755094079142282</v>
      </c>
      <c r="BI40">
        <f t="shared" si="35"/>
        <v>1.5248948831415712E-2</v>
      </c>
      <c r="BJ40" s="144">
        <f t="shared" si="101"/>
        <v>55.49894883141571</v>
      </c>
      <c r="BK40">
        <f t="shared" si="157"/>
        <v>3.9378929128657982</v>
      </c>
      <c r="BL40" s="144">
        <f t="shared" si="102"/>
        <v>3937.8929128657983</v>
      </c>
      <c r="BM40" s="150">
        <f t="shared" si="158"/>
        <v>0.93883999999999979</v>
      </c>
      <c r="BN40" s="150">
        <f t="shared" si="159"/>
        <v>0.14250249999999998</v>
      </c>
      <c r="BO40" s="456"/>
      <c r="BQ40" s="144">
        <f t="shared" si="103"/>
        <v>1081.3425</v>
      </c>
      <c r="BR40" s="456">
        <f t="shared" si="39"/>
        <v>8.7989218623605175E-2</v>
      </c>
      <c r="BS40" s="456">
        <f t="shared" si="104"/>
        <v>0.14762181694417795</v>
      </c>
      <c r="BT40" s="456">
        <f t="shared" si="160"/>
        <v>2.1243223228416407E-3</v>
      </c>
      <c r="BU40" s="456">
        <f t="shared" si="41"/>
        <v>16.476953819335609</v>
      </c>
      <c r="BV40" s="456">
        <f t="shared" si="161"/>
        <v>17.096908842519973</v>
      </c>
      <c r="BW40" s="538">
        <f t="shared" si="162"/>
        <v>1.8631914893617021</v>
      </c>
      <c r="BX40" s="144">
        <f t="shared" si="105"/>
        <v>18960.100331881677</v>
      </c>
      <c r="BY40" s="150">
        <f t="shared" si="106"/>
        <v>23.979335744747473</v>
      </c>
      <c r="BZ40" s="5">
        <f t="shared" si="107"/>
        <v>43.784999999999997</v>
      </c>
      <c r="CA40" s="150">
        <f t="shared" si="108"/>
        <v>0.64613634176136447</v>
      </c>
      <c r="CB40" s="5">
        <f t="shared" si="109"/>
        <v>64.613634176136443</v>
      </c>
      <c r="CC40">
        <f t="shared" si="172"/>
        <v>35</v>
      </c>
      <c r="CE40" s="59">
        <f t="shared" si="163"/>
        <v>-50</v>
      </c>
      <c r="CF40">
        <f t="shared" si="164"/>
        <v>-50</v>
      </c>
      <c r="CG40" s="150">
        <f t="shared" si="165"/>
        <v>0.38924691122054761</v>
      </c>
      <c r="CH40" s="150">
        <f t="shared" si="166"/>
        <v>8.215986875853358E-2</v>
      </c>
      <c r="CI40" s="147">
        <v>35</v>
      </c>
      <c r="CJ40" s="188">
        <f t="shared" si="133"/>
        <v>1.4</v>
      </c>
      <c r="CK40" s="188">
        <f t="shared" si="111"/>
        <v>0.29749999999999999</v>
      </c>
      <c r="CL40" s="188">
        <f t="shared" si="48"/>
        <v>42</v>
      </c>
      <c r="CM40" s="188">
        <f t="shared" si="134"/>
        <v>1.7849999999999999</v>
      </c>
      <c r="CN40" s="465">
        <f t="shared" si="112"/>
        <v>34</v>
      </c>
      <c r="CO40" s="379">
        <f t="shared" si="167"/>
        <v>30.7</v>
      </c>
      <c r="CP40" s="379">
        <f t="shared" si="168"/>
        <v>64.7</v>
      </c>
      <c r="CQ40" s="379"/>
      <c r="CR40" s="188">
        <f t="shared" si="113"/>
        <v>0.47204968944099374</v>
      </c>
      <c r="CS40" s="149">
        <f t="shared" si="114"/>
        <v>233.26341749863801</v>
      </c>
      <c r="CT40" s="149">
        <f t="shared" si="51"/>
        <v>9.9136952436921142</v>
      </c>
      <c r="CU40" s="188">
        <f t="shared" si="52"/>
        <v>7.7754472499545999</v>
      </c>
      <c r="CV40" s="188">
        <f t="shared" si="53"/>
        <v>38.877236249772999</v>
      </c>
      <c r="CW40" s="379">
        <f t="shared" si="54"/>
        <v>30</v>
      </c>
      <c r="CX40" s="188">
        <f t="shared" si="55"/>
        <v>5.4561803405572755</v>
      </c>
      <c r="CY40" s="188">
        <f t="shared" si="56"/>
        <v>0.75423669413585859</v>
      </c>
      <c r="CZ40" s="188">
        <f t="shared" si="57"/>
        <v>0.83531099676284015</v>
      </c>
      <c r="DA40" s="172">
        <f t="shared" si="58"/>
        <v>350</v>
      </c>
      <c r="DB40" s="379">
        <f t="shared" si="115"/>
        <v>350</v>
      </c>
      <c r="DD40" s="188">
        <f t="shared" si="59"/>
        <v>9.8072469146822137</v>
      </c>
      <c r="DE40" s="150">
        <f t="shared" si="60"/>
        <v>1.5014351954073746</v>
      </c>
      <c r="DF40" s="150">
        <f t="shared" si="61"/>
        <v>2.4718134248028734</v>
      </c>
      <c r="DG40" s="150"/>
      <c r="DH40" s="150">
        <f t="shared" si="62"/>
        <v>0.92784522751949461</v>
      </c>
      <c r="DI40" s="314">
        <f t="shared" si="63"/>
        <v>519.08980691489353</v>
      </c>
      <c r="DJ40" s="456">
        <f t="shared" si="64"/>
        <v>0.94395997276890675</v>
      </c>
      <c r="DL40" s="150">
        <f t="shared" si="65"/>
        <v>7.296166291497987</v>
      </c>
      <c r="DM40" s="150">
        <f t="shared" si="66"/>
        <v>7.296166291497987</v>
      </c>
      <c r="DN40" s="150">
        <f t="shared" si="67"/>
        <v>2.1152298006606864</v>
      </c>
      <c r="DP40" s="314">
        <f t="shared" si="68"/>
        <v>1400</v>
      </c>
      <c r="DQ40" s="144">
        <f t="shared" si="69"/>
        <v>350</v>
      </c>
      <c r="DS40">
        <f t="shared" si="116"/>
        <v>1400</v>
      </c>
      <c r="DT40" s="144">
        <f t="shared" si="70"/>
        <v>350</v>
      </c>
      <c r="DU40" s="144"/>
      <c r="DV40" s="5">
        <f t="shared" si="117"/>
        <v>2.8571428571428572</v>
      </c>
      <c r="DW40" s="5">
        <f t="shared" si="71"/>
        <v>1.0085876932364863</v>
      </c>
      <c r="DX40" s="5">
        <f t="shared" si="118"/>
        <v>1.8485551639063709</v>
      </c>
      <c r="DY40" s="150">
        <f t="shared" si="119"/>
        <v>0.35300569263277021</v>
      </c>
      <c r="EA40" s="5">
        <f t="shared" si="72"/>
        <v>4.7067425684369359</v>
      </c>
      <c r="EB40" s="5">
        <f t="shared" si="73"/>
        <v>5.0009139789642436</v>
      </c>
      <c r="EC40" s="5">
        <f t="shared" si="74"/>
        <v>1.3432407765409615</v>
      </c>
      <c r="ED40" s="5"/>
      <c r="EE40" s="150">
        <f t="shared" si="120"/>
        <v>2.5027931105821035</v>
      </c>
      <c r="EF40" s="150">
        <f t="shared" si="75"/>
        <v>3.2501863531254696</v>
      </c>
      <c r="EG40" s="150">
        <f t="shared" si="76"/>
        <v>0.65241240680622403</v>
      </c>
      <c r="EH40" s="150"/>
      <c r="EI40" s="456">
        <f t="shared" si="77"/>
        <v>7.5167680252526903E-2</v>
      </c>
      <c r="EJ40" s="456">
        <f t="shared" si="78"/>
        <v>3.1392120277484667</v>
      </c>
      <c r="EK40" s="456">
        <f t="shared" si="79"/>
        <v>4.0250000000000001E-2</v>
      </c>
      <c r="EL40" s="456">
        <f t="shared" si="80"/>
        <v>0.75820555125</v>
      </c>
      <c r="EM40">
        <f t="shared" si="81"/>
        <v>1.5299999999999999E-2</v>
      </c>
      <c r="EN40" s="144">
        <f t="shared" si="121"/>
        <v>55.550000000000004</v>
      </c>
      <c r="EO40">
        <f t="shared" si="82"/>
        <v>4.1220496841634446</v>
      </c>
      <c r="EP40" s="144">
        <f t="shared" si="122"/>
        <v>4122.0496841634449</v>
      </c>
      <c r="EQ40" s="150">
        <f t="shared" si="83"/>
        <v>0.93883999999999979</v>
      </c>
      <c r="ER40" s="150">
        <f t="shared" si="169"/>
        <v>0.14250249999999998</v>
      </c>
      <c r="ES40" s="456"/>
      <c r="EU40" s="144">
        <f t="shared" si="123"/>
        <v>1081.3425</v>
      </c>
      <c r="EV40" s="456">
        <f t="shared" si="85"/>
        <v>8.7695626961281387E-2</v>
      </c>
      <c r="EW40" s="456">
        <f t="shared" si="124"/>
        <v>0.14789195862060256</v>
      </c>
      <c r="EX40" s="456">
        <f t="shared" si="86"/>
        <v>2.1282097427734498E-3</v>
      </c>
      <c r="EY40" s="456">
        <f t="shared" si="87"/>
        <v>16.476953819335609</v>
      </c>
      <c r="EZ40" s="456">
        <f t="shared" si="88"/>
        <v>17.096856839225243</v>
      </c>
      <c r="FA40" s="538">
        <f t="shared" si="89"/>
        <v>1.8631914893617021</v>
      </c>
      <c r="FB40" s="144">
        <f t="shared" si="125"/>
        <v>18960.048328586945</v>
      </c>
      <c r="FC40" s="150">
        <f t="shared" si="126"/>
        <v>24.163440512750391</v>
      </c>
      <c r="FD40" s="5">
        <f t="shared" si="127"/>
        <v>43.784999999999997</v>
      </c>
      <c r="FE40" s="150">
        <f t="shared" si="128"/>
        <v>0.64438564990735636</v>
      </c>
      <c r="FF40" s="5">
        <f t="shared" si="129"/>
        <v>64.438564990735642</v>
      </c>
      <c r="FG40">
        <f t="shared" si="130"/>
        <v>35</v>
      </c>
      <c r="FI40" s="59">
        <f t="shared" si="90"/>
        <v>-50</v>
      </c>
      <c r="FJ40">
        <f t="shared" si="91"/>
        <v>-50</v>
      </c>
      <c r="FL40">
        <f t="shared" si="92"/>
        <v>0.38924691122054755</v>
      </c>
    </row>
    <row r="41" spans="5:168">
      <c r="E41" s="147">
        <v>36</v>
      </c>
      <c r="F41" s="188">
        <f t="shared" si="173"/>
        <v>1.44</v>
      </c>
      <c r="G41" s="188">
        <f t="shared" si="170"/>
        <v>0.30599999999999999</v>
      </c>
      <c r="H41" s="188">
        <f t="shared" si="135"/>
        <v>43.199999999999996</v>
      </c>
      <c r="I41" s="188">
        <f t="shared" si="174"/>
        <v>1.8359999999999999</v>
      </c>
      <c r="J41" s="465">
        <f t="shared" si="136"/>
        <v>33.884943700432338</v>
      </c>
      <c r="K41" s="379">
        <f t="shared" si="137"/>
        <v>30.786724036708161</v>
      </c>
      <c r="L41" s="149">
        <f t="shared" si="138"/>
        <v>64.671667737140496</v>
      </c>
      <c r="M41" s="379"/>
      <c r="N41" s="188">
        <f t="shared" si="139"/>
        <v>0.47604654578944089</v>
      </c>
      <c r="O41" s="149">
        <f t="shared" si="171"/>
        <v>234.44241556370164</v>
      </c>
      <c r="P41" s="149">
        <f t="shared" si="140"/>
        <v>9.9638026614573185</v>
      </c>
      <c r="Q41" s="188">
        <f t="shared" si="6"/>
        <v>7.8147471854567216</v>
      </c>
      <c r="R41" s="188">
        <f t="shared" si="141"/>
        <v>39.073735927283607</v>
      </c>
      <c r="S41" s="379">
        <f t="shared" si="142"/>
        <v>30</v>
      </c>
      <c r="T41" s="188">
        <f t="shared" si="143"/>
        <v>5.583848408758648</v>
      </c>
      <c r="U41" s="188">
        <f t="shared" si="10"/>
        <v>0.77450586175330705</v>
      </c>
      <c r="V41" s="188">
        <f t="shared" si="11"/>
        <v>0.8524482010451595</v>
      </c>
      <c r="W41" s="172">
        <f t="shared" si="12"/>
        <v>350</v>
      </c>
      <c r="X41" s="379">
        <f t="shared" si="95"/>
        <v>350</v>
      </c>
      <c r="Z41" s="188">
        <f t="shared" si="13"/>
        <v>9.8059637707358593</v>
      </c>
      <c r="AA41" s="150">
        <f t="shared" si="14"/>
        <v>1.497009869173026</v>
      </c>
      <c r="AB41" s="150">
        <f t="shared" si="144"/>
        <v>2.4642055585326874</v>
      </c>
      <c r="AC41" s="150"/>
      <c r="AD41" s="150">
        <f t="shared" si="16"/>
        <v>0.92523155275907021</v>
      </c>
      <c r="AE41" s="314">
        <f t="shared" si="145"/>
        <v>535.4292106907867</v>
      </c>
      <c r="AF41" s="456">
        <f t="shared" si="146"/>
        <v>0.94130090390429366</v>
      </c>
      <c r="AH41" s="150">
        <f t="shared" si="147"/>
        <v>7.3996631813595668</v>
      </c>
      <c r="AI41" s="150">
        <f t="shared" si="148"/>
        <v>7.3996631813595668</v>
      </c>
      <c r="AJ41" s="150">
        <f t="shared" si="149"/>
        <v>2.1918941635211158</v>
      </c>
      <c r="AL41" s="314">
        <f t="shared" si="150"/>
        <v>1440</v>
      </c>
      <c r="AM41" s="144">
        <f t="shared" si="151"/>
        <v>350</v>
      </c>
      <c r="AO41">
        <f t="shared" si="96"/>
        <v>1440</v>
      </c>
      <c r="AP41" s="144">
        <f t="shared" si="24"/>
        <v>350</v>
      </c>
      <c r="AQ41" s="144"/>
      <c r="AR41" s="5">
        <f t="shared" si="97"/>
        <v>2.8571428571428572</v>
      </c>
      <c r="AS41" s="5">
        <f t="shared" si="25"/>
        <v>1.0263678541082015</v>
      </c>
      <c r="AT41" s="5">
        <f t="shared" si="98"/>
        <v>1.8307750030346557</v>
      </c>
      <c r="AU41" s="150">
        <f t="shared" si="99"/>
        <v>0.35922874893787055</v>
      </c>
      <c r="AW41" s="5">
        <f t="shared" si="152"/>
        <v>4.9265656997193679</v>
      </c>
      <c r="AX41" s="5">
        <f t="shared" si="153"/>
        <v>5.2344760559518271</v>
      </c>
      <c r="AY41" s="5">
        <f t="shared" si="28"/>
        <v>1.3729762698686181</v>
      </c>
      <c r="AZ41" s="5"/>
      <c r="BA41" s="150">
        <f t="shared" si="100"/>
        <v>2.5605712648740826</v>
      </c>
      <c r="BB41" s="150">
        <f t="shared" si="154"/>
        <v>3.2803997498758091</v>
      </c>
      <c r="BC41" s="150">
        <f t="shared" si="155"/>
        <v>0.65847716517699406</v>
      </c>
      <c r="BD41" s="150"/>
      <c r="BE41" s="456">
        <f t="shared" si="31"/>
        <v>7.8678302429986316E-2</v>
      </c>
      <c r="BF41" s="456">
        <f t="shared" si="156"/>
        <v>3.0567289182595871</v>
      </c>
      <c r="BG41" s="456">
        <f t="shared" si="33"/>
        <v>4.0250000000000001E-2</v>
      </c>
      <c r="BH41" s="456">
        <f t="shared" si="34"/>
        <v>0.75754165710644883</v>
      </c>
      <c r="BI41">
        <f t="shared" si="35"/>
        <v>1.5248224665194552E-2</v>
      </c>
      <c r="BJ41" s="144">
        <f t="shared" si="101"/>
        <v>55.498224665194549</v>
      </c>
      <c r="BK41">
        <f t="shared" si="157"/>
        <v>3.9887577152069893</v>
      </c>
      <c r="BL41" s="144">
        <f t="shared" si="102"/>
        <v>3988.7577152069894</v>
      </c>
      <c r="BM41" s="150">
        <f t="shared" si="158"/>
        <v>0.96566399999999997</v>
      </c>
      <c r="BN41" s="150">
        <f t="shared" si="159"/>
        <v>0.14657399999999998</v>
      </c>
      <c r="BO41" s="456"/>
      <c r="BQ41" s="144">
        <f t="shared" si="103"/>
        <v>1112.2380000000001</v>
      </c>
      <c r="BR41" s="456">
        <f t="shared" si="39"/>
        <v>9.1791352834984033E-2</v>
      </c>
      <c r="BS41" s="456">
        <f t="shared" si="104"/>
        <v>0.15065431526579381</v>
      </c>
      <c r="BT41" s="456">
        <f t="shared" si="160"/>
        <v>2.1679608852976516E-3</v>
      </c>
      <c r="BU41" s="456">
        <f t="shared" si="41"/>
        <v>17.067503280961812</v>
      </c>
      <c r="BV41" s="456">
        <f t="shared" si="161"/>
        <v>17.717540327807924</v>
      </c>
      <c r="BW41" s="538">
        <f t="shared" si="162"/>
        <v>1.9164255319148937</v>
      </c>
      <c r="BX41" s="144">
        <f t="shared" si="105"/>
        <v>19633.965859722819</v>
      </c>
      <c r="BY41" s="150">
        <f t="shared" si="106"/>
        <v>24.734961574929809</v>
      </c>
      <c r="BZ41" s="5">
        <f t="shared" si="107"/>
        <v>45.035999999999994</v>
      </c>
      <c r="CA41" s="150">
        <f t="shared" si="108"/>
        <v>0.64548343585080237</v>
      </c>
      <c r="CB41" s="5">
        <f t="shared" si="109"/>
        <v>64.548343585080232</v>
      </c>
      <c r="CC41">
        <f t="shared" si="172"/>
        <v>36</v>
      </c>
      <c r="CE41" s="59">
        <f t="shared" si="163"/>
        <v>-50</v>
      </c>
      <c r="CF41">
        <f t="shared" si="164"/>
        <v>-50</v>
      </c>
      <c r="CG41" s="150">
        <f t="shared" si="165"/>
        <v>0.39476841978957472</v>
      </c>
      <c r="CH41" s="150">
        <f t="shared" si="166"/>
        <v>8.3325315179053422E-2</v>
      </c>
      <c r="CI41" s="147">
        <v>36</v>
      </c>
      <c r="CJ41" s="188">
        <f t="shared" si="133"/>
        <v>1.44</v>
      </c>
      <c r="CK41" s="188">
        <f t="shared" si="111"/>
        <v>0.30599999999999999</v>
      </c>
      <c r="CL41" s="188">
        <f t="shared" si="48"/>
        <v>43.199999999999996</v>
      </c>
      <c r="CM41" s="188">
        <f t="shared" si="134"/>
        <v>1.8359999999999999</v>
      </c>
      <c r="CN41" s="465">
        <f t="shared" si="112"/>
        <v>34</v>
      </c>
      <c r="CO41" s="379">
        <f t="shared" si="167"/>
        <v>30.7</v>
      </c>
      <c r="CP41" s="379">
        <f t="shared" si="168"/>
        <v>64.7</v>
      </c>
      <c r="CQ41" s="379"/>
      <c r="CR41" s="188">
        <f t="shared" si="113"/>
        <v>0.47204968944099374</v>
      </c>
      <c r="CS41" s="149">
        <f t="shared" si="114"/>
        <v>233.26341749863801</v>
      </c>
      <c r="CT41" s="149">
        <f t="shared" si="51"/>
        <v>9.9136952436921142</v>
      </c>
      <c r="CU41" s="188">
        <f t="shared" si="52"/>
        <v>7.7754472499545999</v>
      </c>
      <c r="CV41" s="188">
        <f t="shared" si="53"/>
        <v>38.877236249772999</v>
      </c>
      <c r="CW41" s="379">
        <f t="shared" si="54"/>
        <v>30</v>
      </c>
      <c r="CX41" s="188">
        <f t="shared" si="55"/>
        <v>5.6120712074303398</v>
      </c>
      <c r="CY41" s="188">
        <f t="shared" si="56"/>
        <v>0.77578631396831166</v>
      </c>
      <c r="CZ41" s="188">
        <f t="shared" si="57"/>
        <v>0.85917702524177841</v>
      </c>
      <c r="DA41" s="172">
        <f t="shared" si="58"/>
        <v>350</v>
      </c>
      <c r="DB41" s="379">
        <f t="shared" si="115"/>
        <v>350</v>
      </c>
      <c r="DD41" s="188">
        <f t="shared" si="59"/>
        <v>9.8072469146822137</v>
      </c>
      <c r="DE41" s="150">
        <f t="shared" si="60"/>
        <v>1.5014351954073746</v>
      </c>
      <c r="DF41" s="150">
        <f t="shared" si="61"/>
        <v>2.4718134248028734</v>
      </c>
      <c r="DG41" s="150"/>
      <c r="DH41" s="150">
        <f t="shared" si="62"/>
        <v>0.92784522751949461</v>
      </c>
      <c r="DI41" s="314">
        <f t="shared" si="63"/>
        <v>533.920944255319</v>
      </c>
      <c r="DJ41" s="456">
        <f t="shared" si="64"/>
        <v>0.94395997276890675</v>
      </c>
      <c r="DL41" s="150">
        <f t="shared" si="65"/>
        <v>7.3996631813595668</v>
      </c>
      <c r="DM41" s="150">
        <f t="shared" si="66"/>
        <v>7.3996631813595668</v>
      </c>
      <c r="DN41" s="150">
        <f t="shared" si="67"/>
        <v>2.1918941635211158</v>
      </c>
      <c r="DP41" s="314">
        <f t="shared" si="68"/>
        <v>1440</v>
      </c>
      <c r="DQ41" s="144">
        <f t="shared" si="69"/>
        <v>350</v>
      </c>
      <c r="DS41">
        <f t="shared" si="116"/>
        <v>1440</v>
      </c>
      <c r="DT41" s="144">
        <f t="shared" si="70"/>
        <v>350</v>
      </c>
      <c r="DU41" s="144"/>
      <c r="DV41" s="5">
        <f t="shared" si="117"/>
        <v>2.8571428571428572</v>
      </c>
      <c r="DW41" s="5">
        <f t="shared" si="71"/>
        <v>1.0228946162467638</v>
      </c>
      <c r="DX41" s="5">
        <f t="shared" si="118"/>
        <v>1.8342482408960934</v>
      </c>
      <c r="DY41" s="150">
        <f t="shared" si="119"/>
        <v>0.35801311568636734</v>
      </c>
      <c r="EA41" s="5">
        <f t="shared" si="72"/>
        <v>4.9098941579844659</v>
      </c>
      <c r="EB41" s="5">
        <f t="shared" si="73"/>
        <v>5.2167625428584952</v>
      </c>
      <c r="EC41" s="5">
        <f t="shared" si="74"/>
        <v>1.3709260208773568</v>
      </c>
      <c r="ED41" s="5"/>
      <c r="EE41" s="150">
        <f t="shared" si="120"/>
        <v>2.5562350954959689</v>
      </c>
      <c r="EF41" s="150">
        <f t="shared" si="75"/>
        <v>3.2835099654656767</v>
      </c>
      <c r="EG41" s="150">
        <f t="shared" si="76"/>
        <v>0.65910148114482181</v>
      </c>
      <c r="EH41" s="150"/>
      <c r="EI41" s="456">
        <f t="shared" si="77"/>
        <v>7.8412054361343436E-2</v>
      </c>
      <c r="EJ41" s="456">
        <f t="shared" si="78"/>
        <v>3.1837420820958608</v>
      </c>
      <c r="EK41" s="456">
        <f t="shared" si="79"/>
        <v>4.0250000000000001E-2</v>
      </c>
      <c r="EL41" s="456">
        <f t="shared" si="80"/>
        <v>0.75820555125</v>
      </c>
      <c r="EM41">
        <f t="shared" si="81"/>
        <v>1.5299999999999999E-2</v>
      </c>
      <c r="EN41" s="144">
        <f t="shared" si="121"/>
        <v>55.550000000000004</v>
      </c>
      <c r="EO41">
        <f t="shared" si="82"/>
        <v>4.1748615526994399</v>
      </c>
      <c r="EP41" s="144">
        <f t="shared" si="122"/>
        <v>4174.8615526994399</v>
      </c>
      <c r="EQ41" s="150">
        <f t="shared" si="83"/>
        <v>0.96566399999999997</v>
      </c>
      <c r="ER41" s="150">
        <f t="shared" si="169"/>
        <v>0.14657399999999998</v>
      </c>
      <c r="ES41" s="456"/>
      <c r="EU41" s="144">
        <f t="shared" si="123"/>
        <v>1112.2380000000001</v>
      </c>
      <c r="EV41" s="456">
        <f t="shared" si="85"/>
        <v>9.1480730088234E-2</v>
      </c>
      <c r="EW41" s="456">
        <f t="shared" si="124"/>
        <v>0.15094012770637374</v>
      </c>
      <c r="EX41" s="456">
        <f t="shared" si="86"/>
        <v>2.1720738122364895E-3</v>
      </c>
      <c r="EY41" s="456">
        <f t="shared" si="87"/>
        <v>17.067503280961812</v>
      </c>
      <c r="EZ41" s="456">
        <f t="shared" si="88"/>
        <v>17.717484228812154</v>
      </c>
      <c r="FA41" s="538">
        <f t="shared" si="89"/>
        <v>1.9164255319148937</v>
      </c>
      <c r="FB41" s="144">
        <f t="shared" si="125"/>
        <v>19633.909760727045</v>
      </c>
      <c r="FC41" s="150">
        <f t="shared" si="126"/>
        <v>24.921009313426488</v>
      </c>
      <c r="FD41" s="5">
        <f t="shared" si="127"/>
        <v>45.035999999999994</v>
      </c>
      <c r="FE41" s="150">
        <f t="shared" si="128"/>
        <v>0.64376679966729899</v>
      </c>
      <c r="FF41" s="5">
        <f t="shared" si="129"/>
        <v>64.376679966729895</v>
      </c>
      <c r="FG41">
        <f t="shared" si="130"/>
        <v>36</v>
      </c>
      <c r="FI41" s="59">
        <f t="shared" si="90"/>
        <v>-50</v>
      </c>
      <c r="FJ41">
        <f t="shared" si="91"/>
        <v>-50</v>
      </c>
      <c r="FL41">
        <f t="shared" si="92"/>
        <v>0.39476841978957472</v>
      </c>
    </row>
    <row r="42" spans="5:168">
      <c r="E42" s="147">
        <v>37</v>
      </c>
      <c r="F42" s="188">
        <f t="shared" si="173"/>
        <v>1.48</v>
      </c>
      <c r="G42" s="188">
        <f t="shared" si="170"/>
        <v>0.3145</v>
      </c>
      <c r="H42" s="188">
        <f t="shared" si="135"/>
        <v>44.4</v>
      </c>
      <c r="I42" s="188">
        <f t="shared" si="174"/>
        <v>1.887</v>
      </c>
      <c r="J42" s="465">
        <f t="shared" si="136"/>
        <v>33.88335664201918</v>
      </c>
      <c r="K42" s="379">
        <f t="shared" si="137"/>
        <v>30.78792028682744</v>
      </c>
      <c r="L42" s="149">
        <f t="shared" si="138"/>
        <v>64.671276928846623</v>
      </c>
      <c r="M42" s="379"/>
      <c r="N42" s="188">
        <f t="shared" si="139"/>
        <v>0.47606791993146014</v>
      </c>
      <c r="O42" s="149">
        <f t="shared" si="171"/>
        <v>234.44196085839542</v>
      </c>
      <c r="P42" s="149">
        <f t="shared" si="140"/>
        <v>9.9637833364818036</v>
      </c>
      <c r="Q42" s="188">
        <f t="shared" si="6"/>
        <v>7.8147320286131805</v>
      </c>
      <c r="R42" s="188">
        <f t="shared" si="141"/>
        <v>39.073660143065901</v>
      </c>
      <c r="S42" s="379">
        <f t="shared" si="142"/>
        <v>30</v>
      </c>
      <c r="T42" s="188">
        <f t="shared" si="143"/>
        <v>5.7389664398311764</v>
      </c>
      <c r="U42" s="188">
        <f t="shared" si="10"/>
        <v>0.7960587421187425</v>
      </c>
      <c r="V42" s="188">
        <f t="shared" si="11"/>
        <v>0.87609497542927384</v>
      </c>
      <c r="W42" s="172">
        <f t="shared" si="12"/>
        <v>350</v>
      </c>
      <c r="X42" s="379">
        <f t="shared" si="95"/>
        <v>350</v>
      </c>
      <c r="Z42" s="188">
        <f t="shared" si="13"/>
        <v>9.8059447518917313</v>
      </c>
      <c r="AA42" s="150">
        <f t="shared" si="14"/>
        <v>1.4969488001958282</v>
      </c>
      <c r="AB42" s="150">
        <f t="shared" si="144"/>
        <v>2.4641002546262913</v>
      </c>
      <c r="AC42" s="150"/>
      <c r="AD42" s="150">
        <f t="shared" si="16"/>
        <v>0.92519560332354367</v>
      </c>
      <c r="AE42" s="314">
        <f t="shared" si="145"/>
        <v>550.32362688600699</v>
      </c>
      <c r="AF42" s="456">
        <f t="shared" si="146"/>
        <v>0.94126433010170862</v>
      </c>
      <c r="AH42" s="150">
        <f t="shared" si="147"/>
        <v>7.5017323227335488</v>
      </c>
      <c r="AI42" s="150">
        <f t="shared" si="148"/>
        <v>7.5017323227335488</v>
      </c>
      <c r="AJ42" s="150">
        <f t="shared" si="149"/>
        <v>2.2675009349092505</v>
      </c>
      <c r="AL42" s="314">
        <f t="shared" si="150"/>
        <v>1480</v>
      </c>
      <c r="AM42" s="144">
        <f t="shared" si="151"/>
        <v>350</v>
      </c>
      <c r="AO42">
        <f t="shared" si="96"/>
        <v>1480</v>
      </c>
      <c r="AP42" s="144">
        <f t="shared" si="24"/>
        <v>350</v>
      </c>
      <c r="AQ42" s="144"/>
      <c r="AR42" s="5">
        <f t="shared" si="97"/>
        <v>2.8571428571428572</v>
      </c>
      <c r="AS42" s="5">
        <f t="shared" si="25"/>
        <v>1.040574057917379</v>
      </c>
      <c r="AT42" s="5">
        <f t="shared" si="98"/>
        <v>1.8165687992254782</v>
      </c>
      <c r="AU42" s="150">
        <f t="shared" si="99"/>
        <v>0.36420092027108264</v>
      </c>
      <c r="AW42" s="5">
        <f t="shared" si="152"/>
        <v>5.1334986857257361</v>
      </c>
      <c r="AX42" s="5">
        <f t="shared" si="153"/>
        <v>5.4543423535835949</v>
      </c>
      <c r="AY42" s="5">
        <f t="shared" si="28"/>
        <v>1.4002303035527879</v>
      </c>
      <c r="AZ42" s="5"/>
      <c r="BA42" s="150">
        <f t="shared" si="100"/>
        <v>2.6137945954238466</v>
      </c>
      <c r="BB42" s="150">
        <f t="shared" si="154"/>
        <v>3.3127206891957512</v>
      </c>
      <c r="BC42" s="150">
        <f t="shared" si="155"/>
        <v>0.66496497218894712</v>
      </c>
      <c r="BD42" s="150"/>
      <c r="BE42" s="456">
        <f t="shared" si="31"/>
        <v>8.1983066244802921E-2</v>
      </c>
      <c r="BF42" s="456">
        <f t="shared" si="156"/>
        <v>3.0988739617271994</v>
      </c>
      <c r="BG42" s="456">
        <f t="shared" si="33"/>
        <v>4.0250000000000001E-2</v>
      </c>
      <c r="BH42" s="456">
        <f t="shared" si="34"/>
        <v>0.75753250154642104</v>
      </c>
      <c r="BI42">
        <f t="shared" si="35"/>
        <v>1.5247510488908631E-2</v>
      </c>
      <c r="BJ42" s="144">
        <f t="shared" si="101"/>
        <v>55.497510488908638</v>
      </c>
      <c r="BK42">
        <f t="shared" si="157"/>
        <v>4.0392053515272845</v>
      </c>
      <c r="BL42" s="144">
        <f t="shared" si="102"/>
        <v>4039.2053515272846</v>
      </c>
      <c r="BM42" s="150">
        <f t="shared" si="158"/>
        <v>0.99248800000000004</v>
      </c>
      <c r="BN42" s="150">
        <f t="shared" si="159"/>
        <v>0.15064549999999999</v>
      </c>
      <c r="BO42" s="456"/>
      <c r="BQ42" s="144">
        <f t="shared" si="103"/>
        <v>1143.1334999999999</v>
      </c>
      <c r="BR42" s="456">
        <f t="shared" si="39"/>
        <v>9.5646910618936737E-2</v>
      </c>
      <c r="BS42" s="456">
        <f t="shared" si="104"/>
        <v>0.15363765710475802</v>
      </c>
      <c r="BT42" s="456">
        <f t="shared" si="160"/>
        <v>2.210892071191236E-3</v>
      </c>
      <c r="BU42" s="456">
        <f t="shared" si="41"/>
        <v>17.662168518066164</v>
      </c>
      <c r="BV42" s="456">
        <f t="shared" si="161"/>
        <v>18.343078974675006</v>
      </c>
      <c r="BW42" s="538">
        <f t="shared" si="162"/>
        <v>1.9696595744680854</v>
      </c>
      <c r="BX42" s="144">
        <f t="shared" si="105"/>
        <v>20312.73854914309</v>
      </c>
      <c r="BY42" s="150">
        <f t="shared" si="106"/>
        <v>25.495077400670375</v>
      </c>
      <c r="BZ42" s="5">
        <f t="shared" si="107"/>
        <v>46.286999999999999</v>
      </c>
      <c r="CA42" s="150">
        <f t="shared" si="108"/>
        <v>0.6448266987543011</v>
      </c>
      <c r="CB42" s="5">
        <f t="shared" si="109"/>
        <v>64.482669875430105</v>
      </c>
      <c r="CC42">
        <f t="shared" si="172"/>
        <v>37</v>
      </c>
      <c r="CE42" s="59">
        <f t="shared" si="163"/>
        <v>-50</v>
      </c>
      <c r="CF42">
        <f t="shared" si="164"/>
        <v>-50</v>
      </c>
      <c r="CG42" s="150">
        <f t="shared" si="165"/>
        <v>0.40021375867351056</v>
      </c>
      <c r="CH42" s="150">
        <f t="shared" si="166"/>
        <v>8.4474684166072608E-2</v>
      </c>
      <c r="CI42" s="147">
        <v>37</v>
      </c>
      <c r="CJ42" s="188">
        <f t="shared" si="133"/>
        <v>1.48</v>
      </c>
      <c r="CK42" s="188">
        <f t="shared" si="111"/>
        <v>0.3145</v>
      </c>
      <c r="CL42" s="188">
        <f t="shared" si="48"/>
        <v>44.4</v>
      </c>
      <c r="CM42" s="188">
        <f t="shared" si="134"/>
        <v>1.887</v>
      </c>
      <c r="CN42" s="465">
        <f t="shared" si="112"/>
        <v>34</v>
      </c>
      <c r="CO42" s="379">
        <f t="shared" si="167"/>
        <v>30.7</v>
      </c>
      <c r="CP42" s="379">
        <f t="shared" si="168"/>
        <v>64.7</v>
      </c>
      <c r="CQ42" s="379"/>
      <c r="CR42" s="188">
        <f t="shared" si="113"/>
        <v>0.47204968944099374</v>
      </c>
      <c r="CS42" s="149">
        <f t="shared" si="114"/>
        <v>233.26341749863801</v>
      </c>
      <c r="CT42" s="149">
        <f t="shared" si="51"/>
        <v>9.9136952436921142</v>
      </c>
      <c r="CU42" s="188">
        <f t="shared" si="52"/>
        <v>7.7754472499545999</v>
      </c>
      <c r="CV42" s="188">
        <f t="shared" si="53"/>
        <v>38.877236249772999</v>
      </c>
      <c r="CW42" s="379">
        <f t="shared" si="54"/>
        <v>30</v>
      </c>
      <c r="CX42" s="188">
        <f t="shared" si="55"/>
        <v>5.7679620743034059</v>
      </c>
      <c r="CY42" s="188">
        <f t="shared" si="56"/>
        <v>0.79733593380076495</v>
      </c>
      <c r="CZ42" s="188">
        <f t="shared" si="57"/>
        <v>0.8830430537207169</v>
      </c>
      <c r="DA42" s="172">
        <f t="shared" si="58"/>
        <v>350</v>
      </c>
      <c r="DB42" s="379">
        <f t="shared" si="115"/>
        <v>350</v>
      </c>
      <c r="DD42" s="188">
        <f t="shared" si="59"/>
        <v>9.8072469146822137</v>
      </c>
      <c r="DE42" s="150">
        <f t="shared" si="60"/>
        <v>1.5014351954073746</v>
      </c>
      <c r="DF42" s="150">
        <f t="shared" si="61"/>
        <v>2.4718134248028734</v>
      </c>
      <c r="DG42" s="150"/>
      <c r="DH42" s="150">
        <f t="shared" si="62"/>
        <v>0.92784522751949461</v>
      </c>
      <c r="DI42" s="314">
        <f t="shared" si="63"/>
        <v>548.75208159574458</v>
      </c>
      <c r="DJ42" s="456">
        <f t="shared" si="64"/>
        <v>0.94395997276890675</v>
      </c>
      <c r="DL42" s="150">
        <f t="shared" si="65"/>
        <v>7.5017323227335488</v>
      </c>
      <c r="DM42" s="150">
        <f t="shared" si="66"/>
        <v>7.5017323227335488</v>
      </c>
      <c r="DN42" s="150">
        <f t="shared" si="67"/>
        <v>2.2675009349092505</v>
      </c>
      <c r="DP42" s="314">
        <f t="shared" si="68"/>
        <v>1480</v>
      </c>
      <c r="DQ42" s="144">
        <f t="shared" si="69"/>
        <v>350</v>
      </c>
      <c r="DS42">
        <f t="shared" si="116"/>
        <v>1480</v>
      </c>
      <c r="DT42" s="144">
        <f t="shared" si="70"/>
        <v>350</v>
      </c>
      <c r="DU42" s="144"/>
      <c r="DV42" s="5">
        <f t="shared" si="117"/>
        <v>2.8571428571428572</v>
      </c>
      <c r="DW42" s="5">
        <f t="shared" si="71"/>
        <v>1.0370041740249316</v>
      </c>
      <c r="DX42" s="5">
        <f t="shared" si="118"/>
        <v>1.8201386831179256</v>
      </c>
      <c r="DY42" s="150">
        <f t="shared" si="119"/>
        <v>0.36295146090872604</v>
      </c>
      <c r="EA42" s="5">
        <f t="shared" si="72"/>
        <v>5.1158872585229958</v>
      </c>
      <c r="EB42" s="5">
        <f t="shared" si="73"/>
        <v>5.4356302121806834</v>
      </c>
      <c r="EC42" s="5">
        <f t="shared" si="74"/>
        <v>1.3981688154054652</v>
      </c>
      <c r="ED42" s="5"/>
      <c r="EE42" s="150">
        <f t="shared" si="120"/>
        <v>2.609307187825646</v>
      </c>
      <c r="EF42" s="150">
        <f t="shared" si="75"/>
        <v>3.3159741370883435</v>
      </c>
      <c r="EG42" s="150">
        <f t="shared" si="76"/>
        <v>0.66561803928707941</v>
      </c>
      <c r="EH42" s="150"/>
      <c r="EI42" s="456">
        <f t="shared" si="77"/>
        <v>8.1701808005262971E-2</v>
      </c>
      <c r="EJ42" s="456">
        <f t="shared" si="78"/>
        <v>3.2276578405177236</v>
      </c>
      <c r="EK42" s="456">
        <f t="shared" si="79"/>
        <v>4.0250000000000001E-2</v>
      </c>
      <c r="EL42" s="456">
        <f t="shared" si="80"/>
        <v>0.75820555125</v>
      </c>
      <c r="EM42">
        <f t="shared" si="81"/>
        <v>1.5299999999999999E-2</v>
      </c>
      <c r="EN42" s="144">
        <f t="shared" si="121"/>
        <v>55.550000000000004</v>
      </c>
      <c r="EO42">
        <f t="shared" si="82"/>
        <v>4.2272352564991378</v>
      </c>
      <c r="EP42" s="144">
        <f t="shared" si="122"/>
        <v>4227.2352564991379</v>
      </c>
      <c r="EQ42" s="150">
        <f t="shared" si="83"/>
        <v>0.99248800000000004</v>
      </c>
      <c r="ER42" s="150">
        <f t="shared" si="169"/>
        <v>0.15064549999999999</v>
      </c>
      <c r="ES42" s="456"/>
      <c r="EU42" s="144">
        <f t="shared" si="123"/>
        <v>1143.1334999999999</v>
      </c>
      <c r="EV42" s="456">
        <f t="shared" si="85"/>
        <v>9.5318776006140138E-2</v>
      </c>
      <c r="EW42" s="456">
        <f t="shared" si="124"/>
        <v>0.15393958268974298</v>
      </c>
      <c r="EX42" s="456">
        <f t="shared" si="86"/>
        <v>2.2152368711218801E-3</v>
      </c>
      <c r="EY42" s="456">
        <f t="shared" si="87"/>
        <v>17.662168518066164</v>
      </c>
      <c r="EZ42" s="456">
        <f t="shared" si="88"/>
        <v>18.343018563098425</v>
      </c>
      <c r="FA42" s="538">
        <f t="shared" si="89"/>
        <v>1.9696595744680854</v>
      </c>
      <c r="FB42" s="144">
        <f t="shared" si="125"/>
        <v>20312.678137566512</v>
      </c>
      <c r="FC42" s="150">
        <f t="shared" si="126"/>
        <v>25.683046894065651</v>
      </c>
      <c r="FD42" s="5">
        <f t="shared" si="127"/>
        <v>46.286999999999999</v>
      </c>
      <c r="FE42" s="150">
        <f t="shared" si="128"/>
        <v>0.64314255718258584</v>
      </c>
      <c r="FF42" s="5">
        <f t="shared" si="129"/>
        <v>64.314255718258579</v>
      </c>
      <c r="FG42">
        <f t="shared" si="130"/>
        <v>37</v>
      </c>
      <c r="FI42" s="59">
        <f t="shared" si="90"/>
        <v>-50</v>
      </c>
      <c r="FJ42">
        <f t="shared" si="91"/>
        <v>-50</v>
      </c>
      <c r="FL42">
        <f t="shared" si="92"/>
        <v>0.40021375867351061</v>
      </c>
    </row>
    <row r="43" spans="5:168">
      <c r="E43" s="147">
        <v>38</v>
      </c>
      <c r="F43" s="188">
        <f t="shared" si="173"/>
        <v>1.52</v>
      </c>
      <c r="G43" s="188">
        <f t="shared" si="170"/>
        <v>0.32300000000000001</v>
      </c>
      <c r="H43" s="188">
        <f t="shared" si="135"/>
        <v>45.6</v>
      </c>
      <c r="I43" s="188">
        <f t="shared" si="174"/>
        <v>1.9380000000000002</v>
      </c>
      <c r="J43" s="465">
        <f t="shared" si="136"/>
        <v>33.881790889302557</v>
      </c>
      <c r="K43" s="379">
        <f t="shared" si="137"/>
        <v>30.789100477712967</v>
      </c>
      <c r="L43" s="149">
        <f t="shared" si="138"/>
        <v>64.670891367015528</v>
      </c>
      <c r="M43" s="379"/>
      <c r="N43" s="188">
        <f t="shared" si="139"/>
        <v>0.47608900738635113</v>
      </c>
      <c r="O43" s="149">
        <f t="shared" si="171"/>
        <v>234.44151141573974</v>
      </c>
      <c r="P43" s="149">
        <f t="shared" si="140"/>
        <v>9.9637642351689379</v>
      </c>
      <c r="Q43" s="188">
        <f t="shared" si="6"/>
        <v>7.8147170471913245</v>
      </c>
      <c r="R43" s="188">
        <f t="shared" si="141"/>
        <v>39.073585235956621</v>
      </c>
      <c r="S43" s="379">
        <f t="shared" si="142"/>
        <v>30</v>
      </c>
      <c r="T43" s="188">
        <f t="shared" si="143"/>
        <v>5.8940849403063984</v>
      </c>
      <c r="U43" s="188">
        <f t="shared" si="10"/>
        <v>0.8176131925832304</v>
      </c>
      <c r="V43" s="188">
        <f t="shared" si="11"/>
        <v>0.89974045326503183</v>
      </c>
      <c r="W43" s="172">
        <f t="shared" si="12"/>
        <v>350</v>
      </c>
      <c r="X43" s="379">
        <f t="shared" si="95"/>
        <v>350</v>
      </c>
      <c r="Z43" s="188">
        <f t="shared" si="13"/>
        <v>9.8059259531671543</v>
      </c>
      <c r="AA43" s="150">
        <f t="shared" si="14"/>
        <v>1.4968885503247107</v>
      </c>
      <c r="AB43" s="150">
        <f t="shared" si="144"/>
        <v>2.4639963547336903</v>
      </c>
      <c r="AC43" s="150"/>
      <c r="AD43" s="150">
        <f t="shared" si="16"/>
        <v>0.92516013923393303</v>
      </c>
      <c r="AE43" s="314">
        <f t="shared" si="145"/>
        <v>565.2189040839952</v>
      </c>
      <c r="AF43" s="456">
        <f t="shared" si="146"/>
        <v>0.9412282500744904</v>
      </c>
      <c r="AH43" s="150">
        <f t="shared" si="147"/>
        <v>7.6024312220711465</v>
      </c>
      <c r="AI43" s="150">
        <f t="shared" si="148"/>
        <v>7.6024312220711465</v>
      </c>
      <c r="AJ43" s="150">
        <f t="shared" si="149"/>
        <v>2.3420927121963597</v>
      </c>
      <c r="AL43" s="314">
        <f t="shared" si="150"/>
        <v>1520</v>
      </c>
      <c r="AM43" s="144">
        <f t="shared" si="151"/>
        <v>350</v>
      </c>
      <c r="AO43">
        <f t="shared" si="96"/>
        <v>1520</v>
      </c>
      <c r="AP43" s="144">
        <f t="shared" si="24"/>
        <v>350</v>
      </c>
      <c r="AQ43" s="144"/>
      <c r="AR43" s="5">
        <f t="shared" si="97"/>
        <v>2.8571428571428572</v>
      </c>
      <c r="AS43" s="5">
        <f t="shared" si="25"/>
        <v>1.0545908526640431</v>
      </c>
      <c r="AT43" s="5">
        <f t="shared" si="98"/>
        <v>1.8025520044788141</v>
      </c>
      <c r="AU43" s="150">
        <f t="shared" si="99"/>
        <v>0.36910679843241506</v>
      </c>
      <c r="AW43" s="5">
        <f t="shared" si="152"/>
        <v>5.3432603201644842</v>
      </c>
      <c r="AX43" s="5">
        <f t="shared" si="153"/>
        <v>5.6772140901747656</v>
      </c>
      <c r="AY43" s="5">
        <f t="shared" si="28"/>
        <v>1.427044009165366</v>
      </c>
      <c r="AZ43" s="5"/>
      <c r="BA43" s="150">
        <f t="shared" si="100"/>
        <v>2.6666615235928224</v>
      </c>
      <c r="BB43" s="150">
        <f t="shared" si="154"/>
        <v>3.344211473934966</v>
      </c>
      <c r="BC43" s="150">
        <f t="shared" si="155"/>
        <v>0.67128614163333022</v>
      </c>
      <c r="BD43" s="150"/>
      <c r="BE43" s="456">
        <f t="shared" si="31"/>
        <v>8.5333004176924715E-2</v>
      </c>
      <c r="BF43" s="456">
        <f t="shared" si="156"/>
        <v>3.1404527235556325</v>
      </c>
      <c r="BG43" s="456">
        <f t="shared" si="33"/>
        <v>4.0250000000000001E-2</v>
      </c>
      <c r="BH43" s="456">
        <f t="shared" si="34"/>
        <v>0.75752346895075817</v>
      </c>
      <c r="BI43">
        <f t="shared" si="35"/>
        <v>1.524680590018615E-2</v>
      </c>
      <c r="BJ43" s="144">
        <f t="shared" si="101"/>
        <v>55.496805900186153</v>
      </c>
      <c r="BK43">
        <f t="shared" si="157"/>
        <v>4.0892593389491401</v>
      </c>
      <c r="BL43" s="144">
        <f t="shared" si="102"/>
        <v>4089.2593389491399</v>
      </c>
      <c r="BM43" s="150">
        <f t="shared" si="158"/>
        <v>1.0193119999999998</v>
      </c>
      <c r="BN43" s="150">
        <f t="shared" si="159"/>
        <v>0.15471699999999999</v>
      </c>
      <c r="BO43" s="456"/>
      <c r="BQ43" s="144">
        <f t="shared" si="103"/>
        <v>1174.0289999999998</v>
      </c>
      <c r="BR43" s="456">
        <f t="shared" si="39"/>
        <v>9.9555171539745496E-2</v>
      </c>
      <c r="BS43" s="456">
        <f t="shared" si="104"/>
        <v>0.15657250535357589</v>
      </c>
      <c r="BT43" s="456">
        <f t="shared" si="160"/>
        <v>2.2531254197448174E-3</v>
      </c>
      <c r="BU43" s="456">
        <f t="shared" si="41"/>
        <v>18.26086579954033</v>
      </c>
      <c r="BV43" s="456">
        <f t="shared" si="161"/>
        <v>18.973447971163282</v>
      </c>
      <c r="BW43" s="538">
        <f t="shared" si="162"/>
        <v>2.0228936170212766</v>
      </c>
      <c r="BX43" s="144">
        <f t="shared" si="105"/>
        <v>20996.341588184558</v>
      </c>
      <c r="BY43" s="150">
        <f t="shared" si="106"/>
        <v>26.259629927133695</v>
      </c>
      <c r="BZ43" s="5">
        <f t="shared" si="107"/>
        <v>47.538000000000004</v>
      </c>
      <c r="CA43" s="150">
        <f t="shared" si="108"/>
        <v>0.64416702876417675</v>
      </c>
      <c r="CB43" s="5">
        <f t="shared" si="109"/>
        <v>64.416702876417673</v>
      </c>
      <c r="CC43">
        <f t="shared" si="172"/>
        <v>38</v>
      </c>
      <c r="CE43" s="59">
        <f t="shared" si="163"/>
        <v>-50</v>
      </c>
      <c r="CF43">
        <f t="shared" si="164"/>
        <v>-50</v>
      </c>
      <c r="CG43" s="150">
        <f t="shared" si="165"/>
        <v>0.40558599581346494</v>
      </c>
      <c r="CH43" s="150">
        <f t="shared" si="166"/>
        <v>8.5608623281926727E-2</v>
      </c>
      <c r="CI43" s="147">
        <v>38</v>
      </c>
      <c r="CJ43" s="188">
        <f t="shared" si="133"/>
        <v>1.52</v>
      </c>
      <c r="CK43" s="188">
        <f t="shared" si="111"/>
        <v>0.32300000000000001</v>
      </c>
      <c r="CL43" s="188">
        <f t="shared" si="48"/>
        <v>45.6</v>
      </c>
      <c r="CM43" s="188">
        <f t="shared" si="134"/>
        <v>1.9380000000000002</v>
      </c>
      <c r="CN43" s="465">
        <f t="shared" si="112"/>
        <v>34</v>
      </c>
      <c r="CO43" s="379">
        <f t="shared" si="167"/>
        <v>30.7</v>
      </c>
      <c r="CP43" s="379">
        <f t="shared" si="168"/>
        <v>64.7</v>
      </c>
      <c r="CQ43" s="379"/>
      <c r="CR43" s="188">
        <f t="shared" si="113"/>
        <v>0.47204968944099374</v>
      </c>
      <c r="CS43" s="149">
        <f t="shared" si="114"/>
        <v>233.26341749863801</v>
      </c>
      <c r="CT43" s="149">
        <f t="shared" si="51"/>
        <v>9.9136952436921142</v>
      </c>
      <c r="CU43" s="188">
        <f t="shared" si="52"/>
        <v>7.7754472499545999</v>
      </c>
      <c r="CV43" s="188">
        <f t="shared" si="53"/>
        <v>38.877236249772999</v>
      </c>
      <c r="CW43" s="379">
        <f t="shared" si="54"/>
        <v>30</v>
      </c>
      <c r="CX43" s="188">
        <f t="shared" si="55"/>
        <v>5.9238529411764711</v>
      </c>
      <c r="CY43" s="188">
        <f t="shared" si="56"/>
        <v>0.81888555363321802</v>
      </c>
      <c r="CZ43" s="188">
        <f t="shared" si="57"/>
        <v>0.90690908219965516</v>
      </c>
      <c r="DA43" s="172">
        <f t="shared" si="58"/>
        <v>350</v>
      </c>
      <c r="DB43" s="379">
        <f t="shared" si="115"/>
        <v>350</v>
      </c>
      <c r="DD43" s="188">
        <f t="shared" si="59"/>
        <v>9.8072469146822137</v>
      </c>
      <c r="DE43" s="150">
        <f t="shared" si="60"/>
        <v>1.5014351954073746</v>
      </c>
      <c r="DF43" s="150">
        <f t="shared" si="61"/>
        <v>2.4718134248028734</v>
      </c>
      <c r="DG43" s="150"/>
      <c r="DH43" s="150">
        <f t="shared" si="62"/>
        <v>0.92784522751949461</v>
      </c>
      <c r="DI43" s="314">
        <f t="shared" si="63"/>
        <v>563.58321893617017</v>
      </c>
      <c r="DJ43" s="456">
        <f t="shared" si="64"/>
        <v>0.94395997276890675</v>
      </c>
      <c r="DL43" s="150">
        <f t="shared" si="65"/>
        <v>7.6024312220711465</v>
      </c>
      <c r="DM43" s="150">
        <f t="shared" si="66"/>
        <v>7.6024312220711465</v>
      </c>
      <c r="DN43" s="150">
        <f t="shared" si="67"/>
        <v>2.3420927121963597</v>
      </c>
      <c r="DP43" s="314">
        <f t="shared" si="68"/>
        <v>1520</v>
      </c>
      <c r="DQ43" s="144">
        <f t="shared" si="69"/>
        <v>350</v>
      </c>
      <c r="DS43">
        <f t="shared" si="116"/>
        <v>1520</v>
      </c>
      <c r="DT43" s="144">
        <f t="shared" si="70"/>
        <v>350</v>
      </c>
      <c r="DU43" s="144"/>
      <c r="DV43" s="5">
        <f t="shared" si="117"/>
        <v>2.8571428571428572</v>
      </c>
      <c r="DW43" s="5">
        <f t="shared" si="71"/>
        <v>1.0509243159921879</v>
      </c>
      <c r="DX43" s="5">
        <f t="shared" si="118"/>
        <v>1.8062185411506693</v>
      </c>
      <c r="DY43" s="150">
        <f t="shared" si="119"/>
        <v>0.36782351059726576</v>
      </c>
      <c r="EA43" s="5">
        <f t="shared" si="72"/>
        <v>5.3246832010270859</v>
      </c>
      <c r="EB43" s="5">
        <f t="shared" si="73"/>
        <v>5.6574759010912787</v>
      </c>
      <c r="EC43" s="5">
        <f t="shared" si="74"/>
        <v>1.4249751812538154</v>
      </c>
      <c r="ED43" s="5"/>
      <c r="EE43" s="150">
        <f t="shared" si="120"/>
        <v>2.6620218448847286</v>
      </c>
      <c r="EF43" s="150">
        <f t="shared" si="75"/>
        <v>3.347610944519265</v>
      </c>
      <c r="EG43" s="150">
        <f t="shared" si="76"/>
        <v>0.671968519978694</v>
      </c>
      <c r="EH43" s="150"/>
      <c r="EI43" s="456">
        <f t="shared" si="77"/>
        <v>8.5036323631721936E-2</v>
      </c>
      <c r="EJ43" s="456">
        <f t="shared" si="78"/>
        <v>3.2709840454522214</v>
      </c>
      <c r="EK43" s="456">
        <f t="shared" si="79"/>
        <v>4.0250000000000001E-2</v>
      </c>
      <c r="EL43" s="456">
        <f t="shared" si="80"/>
        <v>0.75820555125</v>
      </c>
      <c r="EM43">
        <f t="shared" si="81"/>
        <v>1.5299999999999999E-2</v>
      </c>
      <c r="EN43" s="144">
        <f t="shared" si="121"/>
        <v>55.550000000000004</v>
      </c>
      <c r="EO43">
        <f t="shared" si="82"/>
        <v>4.279195287310114</v>
      </c>
      <c r="EP43" s="144">
        <f t="shared" si="122"/>
        <v>4279.1952873101136</v>
      </c>
      <c r="EQ43" s="150">
        <f t="shared" si="83"/>
        <v>1.0193119999999998</v>
      </c>
      <c r="ER43" s="150">
        <f t="shared" si="169"/>
        <v>0.15471699999999999</v>
      </c>
      <c r="ES43" s="456"/>
      <c r="EU43" s="144">
        <f t="shared" si="123"/>
        <v>1174.0289999999998</v>
      </c>
      <c r="EV43" s="456">
        <f t="shared" si="85"/>
        <v>9.9209044237008923E-2</v>
      </c>
      <c r="EW43" s="456">
        <f t="shared" si="124"/>
        <v>0.15689098650211233</v>
      </c>
      <c r="EX43" s="456">
        <f t="shared" si="86"/>
        <v>2.2577084592117825E-3</v>
      </c>
      <c r="EY43" s="456">
        <f t="shared" si="87"/>
        <v>18.26086579954033</v>
      </c>
      <c r="EZ43" s="456">
        <f t="shared" si="88"/>
        <v>18.973383023579544</v>
      </c>
      <c r="FA43" s="538">
        <f t="shared" si="89"/>
        <v>2.0228936170212766</v>
      </c>
      <c r="FB43" s="144">
        <f t="shared" si="125"/>
        <v>20996.27664060082</v>
      </c>
      <c r="FC43" s="150">
        <f t="shared" si="126"/>
        <v>26.449500927910933</v>
      </c>
      <c r="FD43" s="5">
        <f t="shared" si="127"/>
        <v>47.538000000000004</v>
      </c>
      <c r="FE43" s="150">
        <f t="shared" si="128"/>
        <v>0.64251393010717084</v>
      </c>
      <c r="FF43" s="5">
        <f t="shared" si="129"/>
        <v>64.251393010717081</v>
      </c>
      <c r="FG43">
        <f t="shared" si="130"/>
        <v>38</v>
      </c>
      <c r="FI43" s="59">
        <f t="shared" si="90"/>
        <v>-50</v>
      </c>
      <c r="FJ43">
        <f t="shared" si="91"/>
        <v>-50</v>
      </c>
      <c r="FL43">
        <f t="shared" si="92"/>
        <v>0.40558599581346494</v>
      </c>
    </row>
    <row r="44" spans="5:168">
      <c r="E44" s="147">
        <v>39</v>
      </c>
      <c r="F44" s="188">
        <f t="shared" si="173"/>
        <v>1.56</v>
      </c>
      <c r="G44" s="188">
        <f t="shared" si="170"/>
        <v>0.33150000000000002</v>
      </c>
      <c r="H44" s="188">
        <f t="shared" si="135"/>
        <v>46.800000000000004</v>
      </c>
      <c r="I44" s="188">
        <f t="shared" si="174"/>
        <v>1.9890000000000001</v>
      </c>
      <c r="J44" s="465">
        <f t="shared" si="136"/>
        <v>33.880245606582804</v>
      </c>
      <c r="K44" s="379">
        <f t="shared" si="137"/>
        <v>30.790265239275918</v>
      </c>
      <c r="L44" s="149">
        <f t="shared" si="138"/>
        <v>64.670510845858729</v>
      </c>
      <c r="M44" s="379"/>
      <c r="N44" s="188">
        <f t="shared" si="139"/>
        <v>0.47610981939920177</v>
      </c>
      <c r="O44" s="149">
        <f t="shared" si="171"/>
        <v>234.44106702929639</v>
      </c>
      <c r="P44" s="149">
        <f t="shared" si="140"/>
        <v>9.9637453487450944</v>
      </c>
      <c r="Q44" s="188">
        <f t="shared" si="6"/>
        <v>7.8147022343098795</v>
      </c>
      <c r="R44" s="188">
        <f t="shared" si="141"/>
        <v>39.073511171549399</v>
      </c>
      <c r="S44" s="379">
        <f t="shared" si="142"/>
        <v>30</v>
      </c>
      <c r="T44" s="188">
        <f t="shared" si="143"/>
        <v>6.0492039050675306</v>
      </c>
      <c r="U44" s="188">
        <f t="shared" si="10"/>
        <v>0.83916919269007029</v>
      </c>
      <c r="V44" s="188">
        <f t="shared" si="11"/>
        <v>0.92338465202796027</v>
      </c>
      <c r="W44" s="172">
        <f t="shared" si="12"/>
        <v>350</v>
      </c>
      <c r="X44" s="379">
        <f t="shared" si="95"/>
        <v>350</v>
      </c>
      <c r="Z44" s="188">
        <f t="shared" si="13"/>
        <v>9.8059073659275011</v>
      </c>
      <c r="AA44" s="150">
        <f t="shared" si="14"/>
        <v>1.4968290874308519</v>
      </c>
      <c r="AB44" s="150">
        <f t="shared" si="144"/>
        <v>2.4638938037843907</v>
      </c>
      <c r="AC44" s="150"/>
      <c r="AD44" s="150">
        <f t="shared" si="16"/>
        <v>0.92512514145260893</v>
      </c>
      <c r="AE44" s="314">
        <f t="shared" si="145"/>
        <v>580.11503087822223</v>
      </c>
      <c r="AF44" s="456">
        <f t="shared" si="146"/>
        <v>0.94119264445436546</v>
      </c>
      <c r="AH44" s="150">
        <f t="shared" si="147"/>
        <v>7.7018136260688035</v>
      </c>
      <c r="AI44" s="150">
        <f t="shared" si="148"/>
        <v>7.7018136260688035</v>
      </c>
      <c r="AJ44" s="150">
        <f t="shared" si="149"/>
        <v>2.4157093077501797</v>
      </c>
      <c r="AL44" s="314">
        <f t="shared" si="150"/>
        <v>1560</v>
      </c>
      <c r="AM44" s="144">
        <f t="shared" si="151"/>
        <v>350</v>
      </c>
      <c r="AO44">
        <f t="shared" si="96"/>
        <v>1560</v>
      </c>
      <c r="AP44" s="144">
        <f t="shared" si="24"/>
        <v>350</v>
      </c>
      <c r="AQ44" s="144"/>
      <c r="AR44" s="5">
        <f t="shared" si="97"/>
        <v>2.8571428571428572</v>
      </c>
      <c r="AS44" s="5">
        <f t="shared" si="25"/>
        <v>1.0684256679500026</v>
      </c>
      <c r="AT44" s="5">
        <f t="shared" si="98"/>
        <v>1.7887171891928546</v>
      </c>
      <c r="AU44" s="150">
        <f t="shared" si="99"/>
        <v>0.37394898378250091</v>
      </c>
      <c r="AW44" s="5">
        <f t="shared" si="152"/>
        <v>5.555813473340014</v>
      </c>
      <c r="AX44" s="5">
        <f t="shared" si="153"/>
        <v>5.9030518154237646</v>
      </c>
      <c r="AY44" s="5">
        <f t="shared" si="28"/>
        <v>1.4534231127985038</v>
      </c>
      <c r="AZ44" s="5"/>
      <c r="BA44" s="150">
        <f t="shared" si="100"/>
        <v>2.7191837509507195</v>
      </c>
      <c r="BB44" s="150">
        <f t="shared" si="154"/>
        <v>3.3749020785137636</v>
      </c>
      <c r="BC44" s="150">
        <f t="shared" si="155"/>
        <v>0.6774466902985895</v>
      </c>
      <c r="BD44" s="150"/>
      <c r="BE44" s="456">
        <f t="shared" si="31"/>
        <v>8.8727523257213101E-2</v>
      </c>
      <c r="BF44" s="456">
        <f t="shared" si="156"/>
        <v>3.1814874157093085</v>
      </c>
      <c r="BG44" s="456">
        <f t="shared" si="33"/>
        <v>4.0250000000000001E-2</v>
      </c>
      <c r="BH44" s="456">
        <f t="shared" si="34"/>
        <v>0.75751455449627703</v>
      </c>
      <c r="BI44">
        <f t="shared" si="35"/>
        <v>1.5246110522962261E-2</v>
      </c>
      <c r="BJ44" s="144">
        <f t="shared" si="101"/>
        <v>55.496110522962255</v>
      </c>
      <c r="BK44">
        <f t="shared" si="157"/>
        <v>4.138941684124573</v>
      </c>
      <c r="BL44" s="144">
        <f t="shared" si="102"/>
        <v>4138.9416841245729</v>
      </c>
      <c r="BM44" s="150">
        <f t="shared" si="158"/>
        <v>1.0461359999999997</v>
      </c>
      <c r="BN44" s="150">
        <f t="shared" si="159"/>
        <v>0.1587885</v>
      </c>
      <c r="BO44" s="456"/>
      <c r="BQ44" s="144">
        <f t="shared" si="103"/>
        <v>1204.9244999999996</v>
      </c>
      <c r="BR44" s="456">
        <f t="shared" si="39"/>
        <v>0.10351544380008196</v>
      </c>
      <c r="BS44" s="456">
        <f t="shared" si="104"/>
        <v>0.1594594965537913</v>
      </c>
      <c r="BT44" s="456">
        <f t="shared" si="160"/>
        <v>2.2946700909825652E-3</v>
      </c>
      <c r="BU44" s="456">
        <f t="shared" si="41"/>
        <v>18.863515264465054</v>
      </c>
      <c r="BV44" s="456">
        <f t="shared" si="161"/>
        <v>19.608574290490061</v>
      </c>
      <c r="BW44" s="538">
        <f t="shared" si="162"/>
        <v>2.076127659574468</v>
      </c>
      <c r="BX44" s="144">
        <f t="shared" si="105"/>
        <v>21684.701950064529</v>
      </c>
      <c r="BY44" s="150">
        <f t="shared" si="106"/>
        <v>27.028568134189101</v>
      </c>
      <c r="BZ44" s="5">
        <f t="shared" si="107"/>
        <v>48.789000000000001</v>
      </c>
      <c r="CA44" s="150">
        <f t="shared" si="108"/>
        <v>0.64350520862986027</v>
      </c>
      <c r="CB44" s="5">
        <f t="shared" si="109"/>
        <v>64.350520862986031</v>
      </c>
      <c r="CC44">
        <f t="shared" si="172"/>
        <v>39</v>
      </c>
      <c r="CE44" s="59">
        <f t="shared" si="163"/>
        <v>-50</v>
      </c>
      <c r="CF44">
        <f t="shared" si="164"/>
        <v>-50</v>
      </c>
      <c r="CG44" s="150">
        <f t="shared" si="165"/>
        <v>0.41088799856946551</v>
      </c>
      <c r="CH44" s="150">
        <f t="shared" si="166"/>
        <v>8.6727737751517375E-2</v>
      </c>
      <c r="CI44" s="147">
        <v>39</v>
      </c>
      <c r="CJ44" s="188">
        <f t="shared" si="133"/>
        <v>1.56</v>
      </c>
      <c r="CK44" s="188">
        <f t="shared" si="111"/>
        <v>0.33150000000000002</v>
      </c>
      <c r="CL44" s="188">
        <f t="shared" si="48"/>
        <v>46.800000000000004</v>
      </c>
      <c r="CM44" s="188">
        <f t="shared" si="134"/>
        <v>1.9890000000000001</v>
      </c>
      <c r="CN44" s="465">
        <f t="shared" si="112"/>
        <v>34</v>
      </c>
      <c r="CO44" s="379">
        <f t="shared" si="167"/>
        <v>30.7</v>
      </c>
      <c r="CP44" s="379">
        <f t="shared" si="168"/>
        <v>64.7</v>
      </c>
      <c r="CQ44" s="379"/>
      <c r="CR44" s="188">
        <f t="shared" si="113"/>
        <v>0.47204968944099374</v>
      </c>
      <c r="CS44" s="149">
        <f t="shared" si="114"/>
        <v>233.26341749863801</v>
      </c>
      <c r="CT44" s="149">
        <f t="shared" si="51"/>
        <v>9.9136952436921142</v>
      </c>
      <c r="CU44" s="188">
        <f t="shared" si="52"/>
        <v>7.7754472499545999</v>
      </c>
      <c r="CV44" s="188">
        <f t="shared" si="53"/>
        <v>38.877236249772999</v>
      </c>
      <c r="CW44" s="379">
        <f t="shared" si="54"/>
        <v>30</v>
      </c>
      <c r="CX44" s="188">
        <f t="shared" si="55"/>
        <v>6.0797438080495363</v>
      </c>
      <c r="CY44" s="188">
        <f t="shared" si="56"/>
        <v>0.84043517346567109</v>
      </c>
      <c r="CZ44" s="188">
        <f t="shared" si="57"/>
        <v>0.93077511067859342</v>
      </c>
      <c r="DA44" s="172">
        <f t="shared" si="58"/>
        <v>350</v>
      </c>
      <c r="DB44" s="379">
        <f t="shared" si="115"/>
        <v>350</v>
      </c>
      <c r="DD44" s="188">
        <f t="shared" si="59"/>
        <v>9.8072469146822137</v>
      </c>
      <c r="DE44" s="150">
        <f t="shared" si="60"/>
        <v>1.5014351954073746</v>
      </c>
      <c r="DF44" s="150">
        <f t="shared" si="61"/>
        <v>2.4718134248028734</v>
      </c>
      <c r="DG44" s="150"/>
      <c r="DH44" s="150">
        <f t="shared" si="62"/>
        <v>0.92784522751949461</v>
      </c>
      <c r="DI44" s="314">
        <f t="shared" si="63"/>
        <v>578.41435627659564</v>
      </c>
      <c r="DJ44" s="456">
        <f t="shared" si="64"/>
        <v>0.94395997276890675</v>
      </c>
      <c r="DL44" s="150">
        <f t="shared" si="65"/>
        <v>7.7018136260688035</v>
      </c>
      <c r="DM44" s="150">
        <f t="shared" si="66"/>
        <v>7.7018136260688035</v>
      </c>
      <c r="DN44" s="150">
        <f t="shared" si="67"/>
        <v>2.4157093077501797</v>
      </c>
      <c r="DP44" s="314">
        <f t="shared" si="68"/>
        <v>1560</v>
      </c>
      <c r="DQ44" s="144">
        <f t="shared" si="69"/>
        <v>350</v>
      </c>
      <c r="DS44">
        <f t="shared" si="116"/>
        <v>1560</v>
      </c>
      <c r="DT44" s="144">
        <f t="shared" si="70"/>
        <v>350</v>
      </c>
      <c r="DU44" s="144"/>
      <c r="DV44" s="5">
        <f t="shared" si="117"/>
        <v>2.8571428571428572</v>
      </c>
      <c r="DW44" s="5">
        <f t="shared" si="71"/>
        <v>1.0646624718389226</v>
      </c>
      <c r="DX44" s="5">
        <f t="shared" si="118"/>
        <v>1.7924803853039346</v>
      </c>
      <c r="DY44" s="150">
        <f t="shared" si="119"/>
        <v>0.3726318651436229</v>
      </c>
      <c r="EA44" s="5">
        <f t="shared" si="72"/>
        <v>5.5362448535623976</v>
      </c>
      <c r="EB44" s="5">
        <f t="shared" si="73"/>
        <v>5.8822601569100472</v>
      </c>
      <c r="EC44" s="5">
        <f t="shared" si="74"/>
        <v>1.4513509002114904</v>
      </c>
      <c r="ED44" s="5"/>
      <c r="EE44" s="150">
        <f t="shared" si="120"/>
        <v>2.7143907885537968</v>
      </c>
      <c r="EF44" s="150">
        <f t="shared" si="75"/>
        <v>3.3784503603554907</v>
      </c>
      <c r="EG44" s="150">
        <f t="shared" si="76"/>
        <v>0.67815893964212692</v>
      </c>
      <c r="EH44" s="150"/>
      <c r="EI44" s="456">
        <f t="shared" si="77"/>
        <v>8.8415008235828443E-2</v>
      </c>
      <c r="EJ44" s="456">
        <f t="shared" si="78"/>
        <v>3.3137438216842336</v>
      </c>
      <c r="EK44" s="456">
        <f t="shared" si="79"/>
        <v>4.0250000000000001E-2</v>
      </c>
      <c r="EL44" s="456">
        <f t="shared" si="80"/>
        <v>0.75820555125</v>
      </c>
      <c r="EM44">
        <f t="shared" si="81"/>
        <v>1.5299999999999999E-2</v>
      </c>
      <c r="EN44" s="144">
        <f t="shared" si="121"/>
        <v>55.550000000000004</v>
      </c>
      <c r="EO44">
        <f t="shared" si="82"/>
        <v>4.3307645626651068</v>
      </c>
      <c r="EP44" s="144">
        <f t="shared" si="122"/>
        <v>4330.7645626651065</v>
      </c>
      <c r="EQ44" s="150">
        <f t="shared" si="83"/>
        <v>1.0461359999999997</v>
      </c>
      <c r="ER44" s="150">
        <f t="shared" si="169"/>
        <v>0.1587885</v>
      </c>
      <c r="ES44" s="456"/>
      <c r="EU44" s="144">
        <f t="shared" si="123"/>
        <v>1204.9244999999996</v>
      </c>
      <c r="EV44" s="456">
        <f t="shared" si="85"/>
        <v>0.10315084294179985</v>
      </c>
      <c r="EW44" s="456">
        <f t="shared" si="124"/>
        <v>0.15979497572340604</v>
      </c>
      <c r="EX44" s="456">
        <f t="shared" si="86"/>
        <v>2.2994977370826698E-3</v>
      </c>
      <c r="EY44" s="456">
        <f t="shared" si="87"/>
        <v>18.863515264465054</v>
      </c>
      <c r="EZ44" s="456">
        <f t="shared" si="88"/>
        <v>19.608504576857023</v>
      </c>
      <c r="FA44" s="538">
        <f t="shared" si="89"/>
        <v>2.076127659574468</v>
      </c>
      <c r="FB44" s="144">
        <f t="shared" si="125"/>
        <v>21684.632236431491</v>
      </c>
      <c r="FC44" s="150">
        <f t="shared" si="126"/>
        <v>27.220321299096597</v>
      </c>
      <c r="FD44" s="5">
        <f t="shared" si="127"/>
        <v>48.789000000000001</v>
      </c>
      <c r="FE44" s="150">
        <f t="shared" si="128"/>
        <v>0.64188180036518594</v>
      </c>
      <c r="FF44" s="5">
        <f t="shared" si="129"/>
        <v>64.188180036518588</v>
      </c>
      <c r="FG44">
        <f t="shared" si="130"/>
        <v>39</v>
      </c>
      <c r="FI44" s="59">
        <f t="shared" si="90"/>
        <v>-50</v>
      </c>
      <c r="FJ44">
        <f t="shared" si="91"/>
        <v>-50</v>
      </c>
      <c r="FL44">
        <f t="shared" si="92"/>
        <v>0.41088799856946551</v>
      </c>
    </row>
    <row r="45" spans="5:168">
      <c r="E45" s="147">
        <v>40</v>
      </c>
      <c r="F45" s="188">
        <f t="shared" si="173"/>
        <v>1.6</v>
      </c>
      <c r="G45" s="188">
        <f t="shared" si="170"/>
        <v>0.34</v>
      </c>
      <c r="H45" s="188">
        <f t="shared" si="135"/>
        <v>48</v>
      </c>
      <c r="I45" s="188">
        <f t="shared" si="174"/>
        <v>2.04</v>
      </c>
      <c r="J45" s="465">
        <f t="shared" si="136"/>
        <v>33.878720011405186</v>
      </c>
      <c r="K45" s="379">
        <f t="shared" si="137"/>
        <v>30.791415161293948</v>
      </c>
      <c r="L45" s="149">
        <f t="shared" si="138"/>
        <v>64.670135172699133</v>
      </c>
      <c r="M45" s="379"/>
      <c r="N45" s="188">
        <f t="shared" si="139"/>
        <v>0.47613036649864188</v>
      </c>
      <c r="O45" s="149">
        <f t="shared" si="171"/>
        <v>234.44062750578047</v>
      </c>
      <c r="P45" s="149">
        <f t="shared" si="140"/>
        <v>9.9637266689956689</v>
      </c>
      <c r="Q45" s="188">
        <f t="shared" si="6"/>
        <v>7.8146875835260152</v>
      </c>
      <c r="R45" s="188">
        <f t="shared" si="141"/>
        <v>39.073437917630081</v>
      </c>
      <c r="S45" s="379">
        <f t="shared" si="142"/>
        <v>30</v>
      </c>
      <c r="T45" s="188">
        <f t="shared" si="143"/>
        <v>6.2043233291959634</v>
      </c>
      <c r="U45" s="188">
        <f t="shared" si="10"/>
        <v>0.86072672277477658</v>
      </c>
      <c r="V45" s="188">
        <f t="shared" si="11"/>
        <v>0.94702758851683855</v>
      </c>
      <c r="W45" s="172">
        <f t="shared" si="12"/>
        <v>350</v>
      </c>
      <c r="X45" s="379">
        <f t="shared" si="95"/>
        <v>350</v>
      </c>
      <c r="Z45" s="188">
        <f t="shared" si="13"/>
        <v>9.8058889820882822</v>
      </c>
      <c r="AA45" s="150">
        <f t="shared" si="14"/>
        <v>1.4967703814324518</v>
      </c>
      <c r="AB45" s="150">
        <f t="shared" si="144"/>
        <v>2.4637925502165916</v>
      </c>
      <c r="AC45" s="150"/>
      <c r="AD45" s="150">
        <f t="shared" si="16"/>
        <v>0.9250905921548902</v>
      </c>
      <c r="AE45" s="314">
        <f t="shared" si="145"/>
        <v>595.01199630385884</v>
      </c>
      <c r="AF45" s="456">
        <f t="shared" si="146"/>
        <v>0.94115749510707536</v>
      </c>
      <c r="AH45" s="150">
        <f t="shared" si="147"/>
        <v>7.7999298570612794</v>
      </c>
      <c r="AI45" s="150">
        <f t="shared" si="148"/>
        <v>7.7999298570612794</v>
      </c>
      <c r="AJ45" s="150">
        <f t="shared" si="149"/>
        <v>2.488387997374236</v>
      </c>
      <c r="AL45" s="314">
        <f t="shared" si="150"/>
        <v>1600</v>
      </c>
      <c r="AM45" s="144">
        <f t="shared" si="151"/>
        <v>350</v>
      </c>
      <c r="AO45">
        <f t="shared" si="96"/>
        <v>1600</v>
      </c>
      <c r="AP45" s="144">
        <f t="shared" si="24"/>
        <v>350</v>
      </c>
      <c r="AQ45" s="144"/>
      <c r="AR45" s="5">
        <f t="shared" si="97"/>
        <v>2.8571428571428572</v>
      </c>
      <c r="AS45" s="5">
        <f t="shared" si="25"/>
        <v>1.0820854600128527</v>
      </c>
      <c r="AT45" s="5">
        <f t="shared" si="98"/>
        <v>1.7750573971300045</v>
      </c>
      <c r="AU45" s="150">
        <f t="shared" si="99"/>
        <v>0.37872991100449843</v>
      </c>
      <c r="AW45" s="5">
        <f t="shared" si="152"/>
        <v>5.7711224534018815</v>
      </c>
      <c r="AX45" s="5">
        <f t="shared" si="153"/>
        <v>6.1318176067394994</v>
      </c>
      <c r="AY45" s="5">
        <f t="shared" si="28"/>
        <v>1.479373118783655</v>
      </c>
      <c r="AZ45" s="5"/>
      <c r="BA45" s="150">
        <f t="shared" si="100"/>
        <v>2.7713723056640847</v>
      </c>
      <c r="BB45" s="150">
        <f t="shared" si="154"/>
        <v>3.4048205595356857</v>
      </c>
      <c r="BC45" s="150">
        <f t="shared" si="155"/>
        <v>0.68345225000833632</v>
      </c>
      <c r="BD45" s="150"/>
      <c r="BE45" s="456">
        <f t="shared" si="31"/>
        <v>9.2166053479222382E-2</v>
      </c>
      <c r="BF45" s="456">
        <f t="shared" si="156"/>
        <v>3.2219988349624171</v>
      </c>
      <c r="BG45" s="456">
        <f t="shared" si="33"/>
        <v>4.0250000000000001E-2</v>
      </c>
      <c r="BH45" s="456">
        <f t="shared" si="34"/>
        <v>0.75750575366709416</v>
      </c>
      <c r="BI45">
        <f t="shared" si="35"/>
        <v>1.5245424005132333E-2</v>
      </c>
      <c r="BJ45" s="144">
        <f t="shared" si="101"/>
        <v>55.495424005132335</v>
      </c>
      <c r="BK45">
        <f t="shared" si="157"/>
        <v>4.1882730195450666</v>
      </c>
      <c r="BL45" s="144">
        <f t="shared" si="102"/>
        <v>4188.2730195450667</v>
      </c>
      <c r="BM45" s="150">
        <f t="shared" si="158"/>
        <v>1.0729599999999999</v>
      </c>
      <c r="BN45" s="150">
        <f t="shared" si="159"/>
        <v>0.16286</v>
      </c>
      <c r="BO45" s="456"/>
      <c r="BQ45" s="144">
        <f t="shared" si="103"/>
        <v>1235.82</v>
      </c>
      <c r="BR45" s="456">
        <f t="shared" si="39"/>
        <v>0.10752706239242611</v>
      </c>
      <c r="BS45" s="456">
        <f t="shared" si="104"/>
        <v>0.16229924259691661</v>
      </c>
      <c r="BT45" s="456">
        <f t="shared" si="160"/>
        <v>2.3355348902072874E-3</v>
      </c>
      <c r="BU45" s="456">
        <f t="shared" si="41"/>
        <v>19.470040648202467</v>
      </c>
      <c r="BV45" s="456">
        <f t="shared" si="161"/>
        <v>20.24838842144317</v>
      </c>
      <c r="BW45" s="538">
        <f t="shared" si="162"/>
        <v>2.1293617021276598</v>
      </c>
      <c r="BX45" s="144">
        <f t="shared" si="105"/>
        <v>22377.75012357083</v>
      </c>
      <c r="BY45" s="150">
        <f t="shared" si="106"/>
        <v>27.801843143115896</v>
      </c>
      <c r="BZ45" s="5">
        <f t="shared" si="107"/>
        <v>50.04</v>
      </c>
      <c r="CA45" s="150">
        <f t="shared" si="108"/>
        <v>0.6428419212530605</v>
      </c>
      <c r="CB45" s="5">
        <f t="shared" si="109"/>
        <v>64.284192125306049</v>
      </c>
      <c r="CC45">
        <f t="shared" si="172"/>
        <v>40</v>
      </c>
      <c r="CE45" s="59">
        <f t="shared" si="163"/>
        <v>-50</v>
      </c>
      <c r="CF45">
        <f t="shared" si="164"/>
        <v>-50</v>
      </c>
      <c r="CG45" s="150">
        <f t="shared" si="165"/>
        <v>0.41612245161351497</v>
      </c>
      <c r="CH45" s="150">
        <f t="shared" si="166"/>
        <v>8.783259423906993E-2</v>
      </c>
      <c r="CI45" s="147">
        <v>40</v>
      </c>
      <c r="CJ45" s="188">
        <f t="shared" si="133"/>
        <v>1.6</v>
      </c>
      <c r="CK45" s="188">
        <f t="shared" si="111"/>
        <v>0.34</v>
      </c>
      <c r="CL45" s="188">
        <f t="shared" si="48"/>
        <v>48</v>
      </c>
      <c r="CM45" s="188">
        <f t="shared" si="134"/>
        <v>2.04</v>
      </c>
      <c r="CN45" s="465">
        <f t="shared" si="112"/>
        <v>34</v>
      </c>
      <c r="CO45" s="379">
        <f t="shared" si="167"/>
        <v>30.7</v>
      </c>
      <c r="CP45" s="379">
        <f t="shared" si="168"/>
        <v>64.7</v>
      </c>
      <c r="CQ45" s="379"/>
      <c r="CR45" s="188">
        <f t="shared" si="113"/>
        <v>0.47204968944099374</v>
      </c>
      <c r="CS45" s="149">
        <f t="shared" si="114"/>
        <v>233.26341749863801</v>
      </c>
      <c r="CT45" s="149">
        <f t="shared" si="51"/>
        <v>9.9136952436921142</v>
      </c>
      <c r="CU45" s="188">
        <f t="shared" si="52"/>
        <v>7.7754472499545999</v>
      </c>
      <c r="CV45" s="188">
        <f t="shared" si="53"/>
        <v>38.877236249772999</v>
      </c>
      <c r="CW45" s="379">
        <f t="shared" si="54"/>
        <v>30</v>
      </c>
      <c r="CX45" s="188">
        <f t="shared" si="55"/>
        <v>6.2356346749226006</v>
      </c>
      <c r="CY45" s="188">
        <f t="shared" si="56"/>
        <v>0.86198479329812416</v>
      </c>
      <c r="CZ45" s="188">
        <f t="shared" si="57"/>
        <v>0.95464113915753157</v>
      </c>
      <c r="DA45" s="172">
        <f t="shared" si="58"/>
        <v>350</v>
      </c>
      <c r="DB45" s="379">
        <f t="shared" si="115"/>
        <v>350</v>
      </c>
      <c r="DD45" s="188">
        <f t="shared" si="59"/>
        <v>9.8072469146822137</v>
      </c>
      <c r="DE45" s="150">
        <f t="shared" si="60"/>
        <v>1.5014351954073746</v>
      </c>
      <c r="DF45" s="150">
        <f t="shared" si="61"/>
        <v>2.4718134248028734</v>
      </c>
      <c r="DG45" s="150"/>
      <c r="DH45" s="150">
        <f t="shared" si="62"/>
        <v>0.92784522751949461</v>
      </c>
      <c r="DI45" s="314">
        <f t="shared" si="63"/>
        <v>593.24549361702134</v>
      </c>
      <c r="DJ45" s="456">
        <f t="shared" si="64"/>
        <v>0.94395997276890675</v>
      </c>
      <c r="DL45" s="150">
        <f t="shared" si="65"/>
        <v>7.7999298570612794</v>
      </c>
      <c r="DM45" s="150">
        <f t="shared" si="66"/>
        <v>7.7999298570612794</v>
      </c>
      <c r="DN45" s="150">
        <f t="shared" si="67"/>
        <v>2.488387997374236</v>
      </c>
      <c r="DP45" s="314">
        <f t="shared" si="68"/>
        <v>1600</v>
      </c>
      <c r="DQ45" s="144">
        <f t="shared" si="69"/>
        <v>350</v>
      </c>
      <c r="DS45">
        <f t="shared" si="116"/>
        <v>1600</v>
      </c>
      <c r="DT45" s="144">
        <f t="shared" si="70"/>
        <v>350</v>
      </c>
      <c r="DU45" s="144"/>
      <c r="DV45" s="5">
        <f t="shared" si="117"/>
        <v>2.8571428571428572</v>
      </c>
      <c r="DW45" s="5">
        <f t="shared" si="71"/>
        <v>1.0782255978878827</v>
      </c>
      <c r="DX45" s="5">
        <f t="shared" si="118"/>
        <v>1.7789172592549745</v>
      </c>
      <c r="DY45" s="150">
        <f t="shared" si="119"/>
        <v>0.37737895926075893</v>
      </c>
      <c r="EA45" s="5">
        <f t="shared" si="72"/>
        <v>5.7505365220687086</v>
      </c>
      <c r="EB45" s="5">
        <f t="shared" si="73"/>
        <v>6.1099450546980023</v>
      </c>
      <c r="EC45" s="5">
        <f t="shared" si="74"/>
        <v>1.4773015301771413</v>
      </c>
      <c r="ED45" s="5"/>
      <c r="EE45" s="150">
        <f t="shared" si="120"/>
        <v>2.7664250663965548</v>
      </c>
      <c r="EF45" s="150">
        <f t="shared" si="75"/>
        <v>3.4085204402561979</v>
      </c>
      <c r="EG45" s="150">
        <f t="shared" si="76"/>
        <v>0.68419492991142683</v>
      </c>
      <c r="EH45" s="150"/>
      <c r="EI45" s="456">
        <f t="shared" si="77"/>
        <v>9.1837291775846194E-2</v>
      </c>
      <c r="EJ45" s="456">
        <f t="shared" si="78"/>
        <v>3.3559588206499011</v>
      </c>
      <c r="EK45" s="456">
        <f t="shared" si="79"/>
        <v>4.0250000000000001E-2</v>
      </c>
      <c r="EL45" s="456">
        <f t="shared" si="80"/>
        <v>0.75820555125</v>
      </c>
      <c r="EM45">
        <f t="shared" si="81"/>
        <v>1.5299999999999999E-2</v>
      </c>
      <c r="EN45" s="144">
        <f t="shared" si="121"/>
        <v>55.550000000000004</v>
      </c>
      <c r="EO45">
        <f t="shared" si="82"/>
        <v>4.3819645678921537</v>
      </c>
      <c r="EP45" s="144">
        <f t="shared" si="122"/>
        <v>4381.9645678921534</v>
      </c>
      <c r="EQ45" s="150">
        <f t="shared" si="83"/>
        <v>1.0729599999999999</v>
      </c>
      <c r="ER45" s="150">
        <f t="shared" si="169"/>
        <v>0.16286</v>
      </c>
      <c r="ES45" s="456"/>
      <c r="EU45" s="144">
        <f t="shared" si="123"/>
        <v>1235.82</v>
      </c>
      <c r="EV45" s="456">
        <f t="shared" si="85"/>
        <v>0.10714350707182056</v>
      </c>
      <c r="EW45" s="456">
        <f t="shared" si="124"/>
        <v>0.16265216228302029</v>
      </c>
      <c r="EX45" s="456">
        <f t="shared" si="86"/>
        <v>2.3406135105825112E-3</v>
      </c>
      <c r="EY45" s="456">
        <f t="shared" si="87"/>
        <v>19.470040648202467</v>
      </c>
      <c r="EZ45" s="456">
        <f t="shared" si="88"/>
        <v>20.248313705034068</v>
      </c>
      <c r="FA45" s="538">
        <f t="shared" si="89"/>
        <v>2.1293617021276598</v>
      </c>
      <c r="FB45" s="144">
        <f t="shared" si="125"/>
        <v>22377.675407161729</v>
      </c>
      <c r="FC45" s="150">
        <f t="shared" si="126"/>
        <v>27.995459975053883</v>
      </c>
      <c r="FD45" s="5">
        <f t="shared" si="127"/>
        <v>50.04</v>
      </c>
      <c r="FE45" s="150">
        <f t="shared" si="128"/>
        <v>0.64124694101882174</v>
      </c>
      <c r="FF45" s="5">
        <f t="shared" si="129"/>
        <v>64.12469410188217</v>
      </c>
      <c r="FG45">
        <f t="shared" si="130"/>
        <v>40</v>
      </c>
      <c r="FI45" s="59">
        <f t="shared" si="90"/>
        <v>-50</v>
      </c>
      <c r="FJ45">
        <f t="shared" si="91"/>
        <v>-50</v>
      </c>
      <c r="FL45">
        <f t="shared" si="92"/>
        <v>0.41612245161351497</v>
      </c>
    </row>
    <row r="46" spans="5:168">
      <c r="E46" s="147">
        <v>41</v>
      </c>
      <c r="F46" s="188">
        <f t="shared" si="173"/>
        <v>1.64</v>
      </c>
      <c r="G46" s="188">
        <f t="shared" si="170"/>
        <v>0.34849999999999998</v>
      </c>
      <c r="H46" s="188">
        <f t="shared" si="135"/>
        <v>49.199999999999996</v>
      </c>
      <c r="I46" s="188">
        <f t="shared" si="174"/>
        <v>2.0909999999999997</v>
      </c>
      <c r="J46" s="465">
        <f t="shared" si="136"/>
        <v>33.877213369928164</v>
      </c>
      <c r="K46" s="379">
        <f t="shared" si="137"/>
        <v>30.792550796902347</v>
      </c>
      <c r="L46" s="149">
        <f t="shared" si="138"/>
        <v>64.669764166830504</v>
      </c>
      <c r="M46" s="379"/>
      <c r="N46" s="188">
        <f t="shared" si="139"/>
        <v>0.47615065855916672</v>
      </c>
      <c r="O46" s="149">
        <f t="shared" si="171"/>
        <v>234.44019266391544</v>
      </c>
      <c r="P46" s="149">
        <f t="shared" si="140"/>
        <v>9.9637081882164047</v>
      </c>
      <c r="Q46" s="188">
        <f t="shared" si="6"/>
        <v>7.8146730887971811</v>
      </c>
      <c r="R46" s="188">
        <f t="shared" si="141"/>
        <v>39.073365443985907</v>
      </c>
      <c r="S46" s="379">
        <f t="shared" si="142"/>
        <v>30</v>
      </c>
      <c r="T46" s="188">
        <f t="shared" si="143"/>
        <v>6.3594432079588055</v>
      </c>
      <c r="U46" s="188">
        <f t="shared" si="10"/>
        <v>0.88228576391523217</v>
      </c>
      <c r="V46" s="188">
        <f t="shared" si="11"/>
        <v>0.97066927889628374</v>
      </c>
      <c r="W46" s="172">
        <f t="shared" si="12"/>
        <v>350</v>
      </c>
      <c r="X46" s="379">
        <f t="shared" si="95"/>
        <v>350</v>
      </c>
      <c r="Z46" s="188">
        <f t="shared" si="13"/>
        <v>9.8058707940672978</v>
      </c>
      <c r="AA46" s="150">
        <f t="shared" si="14"/>
        <v>1.4967124041166668</v>
      </c>
      <c r="AB46" s="150">
        <f t="shared" si="144"/>
        <v>2.4636925456719694</v>
      </c>
      <c r="AC46" s="150"/>
      <c r="AD46" s="150">
        <f t="shared" si="16"/>
        <v>0.92505647462353091</v>
      </c>
      <c r="AE46" s="314">
        <f t="shared" si="145"/>
        <v>609.90978980998125</v>
      </c>
      <c r="AF46" s="456">
        <f t="shared" si="146"/>
        <v>0.94112278502502977</v>
      </c>
      <c r="AH46" s="150">
        <f t="shared" si="147"/>
        <v>7.8968271109004835</v>
      </c>
      <c r="AI46" s="150">
        <f t="shared" si="148"/>
        <v>7.8968271109004835</v>
      </c>
      <c r="AJ46" s="150">
        <f t="shared" si="149"/>
        <v>2.5601637409588318</v>
      </c>
      <c r="AL46" s="314">
        <f t="shared" si="150"/>
        <v>1640</v>
      </c>
      <c r="AM46" s="144">
        <f t="shared" si="151"/>
        <v>350</v>
      </c>
      <c r="AO46">
        <f t="shared" si="96"/>
        <v>1640</v>
      </c>
      <c r="AP46" s="144">
        <f t="shared" si="24"/>
        <v>350</v>
      </c>
      <c r="AQ46" s="144"/>
      <c r="AR46" s="5">
        <f t="shared" si="97"/>
        <v>2.8571428571428572</v>
      </c>
      <c r="AS46" s="5">
        <f t="shared" si="25"/>
        <v>1.0955767529031264</v>
      </c>
      <c r="AT46" s="5">
        <f t="shared" si="98"/>
        <v>1.7615661042397308</v>
      </c>
      <c r="AU46" s="150">
        <f t="shared" si="99"/>
        <v>0.38345186351609423</v>
      </c>
      <c r="AW46" s="5">
        <f t="shared" si="152"/>
        <v>5.9891529158704238</v>
      </c>
      <c r="AX46" s="5">
        <f t="shared" si="153"/>
        <v>6.363474973112325</v>
      </c>
      <c r="AY46" s="5">
        <f t="shared" si="28"/>
        <v>1.5048993236457799</v>
      </c>
      <c r="AZ46" s="5"/>
      <c r="BA46" s="150">
        <f t="shared" si="100"/>
        <v>2.8232375970728047</v>
      </c>
      <c r="BB46" s="150">
        <f t="shared" si="154"/>
        <v>3.4339932219283784</v>
      </c>
      <c r="BC46" s="150">
        <f t="shared" si="155"/>
        <v>0.68930810097093098</v>
      </c>
      <c r="BD46" s="150"/>
      <c r="BE46" s="456">
        <f t="shared" si="31"/>
        <v>9.56480463543051E-2</v>
      </c>
      <c r="BF46" s="456">
        <f t="shared" si="156"/>
        <v>3.2620064860036719</v>
      </c>
      <c r="BG46" s="456">
        <f t="shared" si="33"/>
        <v>4.0250000000000001E-2</v>
      </c>
      <c r="BH46" s="456">
        <f t="shared" si="34"/>
        <v>0.75749706222789304</v>
      </c>
      <c r="BI46">
        <f t="shared" si="35"/>
        <v>1.5244746016467673E-2</v>
      </c>
      <c r="BJ46" s="144">
        <f t="shared" si="101"/>
        <v>55.494746016467673</v>
      </c>
      <c r="BK46">
        <f t="shared" si="157"/>
        <v>4.237272724556199</v>
      </c>
      <c r="BL46" s="144">
        <f t="shared" si="102"/>
        <v>4237.2727245561991</v>
      </c>
      <c r="BM46" s="150">
        <f t="shared" si="158"/>
        <v>1.0997839999999999</v>
      </c>
      <c r="BN46" s="150">
        <f t="shared" si="159"/>
        <v>0.16693149999999998</v>
      </c>
      <c r="BO46" s="456"/>
      <c r="BQ46" s="144">
        <f t="shared" si="103"/>
        <v>1266.7154999999998</v>
      </c>
      <c r="BR46" s="456">
        <f t="shared" si="39"/>
        <v>0.11158938741335594</v>
      </c>
      <c r="BS46" s="456">
        <f t="shared" si="104"/>
        <v>0.16509233227550063</v>
      </c>
      <c r="BT46" s="456">
        <f t="shared" si="160"/>
        <v>2.3757282903207558E-3</v>
      </c>
      <c r="BU46" s="456">
        <f t="shared" si="41"/>
        <v>20.08036903426293</v>
      </c>
      <c r="BV46" s="456">
        <f t="shared" si="161"/>
        <v>20.892824124252446</v>
      </c>
      <c r="BW46" s="538">
        <f t="shared" si="162"/>
        <v>2.1825957446808508</v>
      </c>
      <c r="BX46" s="144">
        <f t="shared" si="105"/>
        <v>23075.419868933295</v>
      </c>
      <c r="BY46" s="150">
        <f t="shared" si="106"/>
        <v>28.579408093489494</v>
      </c>
      <c r="BZ46" s="5">
        <f t="shared" si="107"/>
        <v>51.290999999999997</v>
      </c>
      <c r="CA46" s="150">
        <f t="shared" si="108"/>
        <v>0.64217776300783547</v>
      </c>
      <c r="CB46" s="5">
        <f t="shared" si="109"/>
        <v>64.217776300783541</v>
      </c>
      <c r="CC46">
        <f t="shared" si="172"/>
        <v>41</v>
      </c>
      <c r="CE46" s="59">
        <f t="shared" si="163"/>
        <v>-50</v>
      </c>
      <c r="CF46">
        <f t="shared" si="164"/>
        <v>-50</v>
      </c>
      <c r="CG46" s="150">
        <f t="shared" si="165"/>
        <v>0.42129187282128189</v>
      </c>
      <c r="CH46" s="150">
        <f t="shared" si="166"/>
        <v>8.8923724202454701E-2</v>
      </c>
      <c r="CI46" s="147">
        <v>41</v>
      </c>
      <c r="CJ46" s="188">
        <f t="shared" si="133"/>
        <v>1.64</v>
      </c>
      <c r="CK46" s="188">
        <f t="shared" si="111"/>
        <v>0.34849999999999998</v>
      </c>
      <c r="CL46" s="188">
        <f t="shared" si="48"/>
        <v>49.199999999999996</v>
      </c>
      <c r="CM46" s="188">
        <f t="shared" si="134"/>
        <v>2.0909999999999997</v>
      </c>
      <c r="CN46" s="465">
        <f t="shared" si="112"/>
        <v>34</v>
      </c>
      <c r="CO46" s="379">
        <f t="shared" si="167"/>
        <v>30.7</v>
      </c>
      <c r="CP46" s="379">
        <f t="shared" si="168"/>
        <v>64.7</v>
      </c>
      <c r="CQ46" s="379"/>
      <c r="CR46" s="188">
        <f t="shared" si="113"/>
        <v>0.47204968944099374</v>
      </c>
      <c r="CS46" s="149">
        <f t="shared" si="114"/>
        <v>233.26341749863801</v>
      </c>
      <c r="CT46" s="149">
        <f t="shared" si="51"/>
        <v>9.9136952436921142</v>
      </c>
      <c r="CU46" s="188">
        <f t="shared" si="52"/>
        <v>7.7754472499545999</v>
      </c>
      <c r="CV46" s="188">
        <f t="shared" si="53"/>
        <v>38.877236249772999</v>
      </c>
      <c r="CW46" s="379">
        <f t="shared" si="54"/>
        <v>30</v>
      </c>
      <c r="CX46" s="188">
        <f t="shared" si="55"/>
        <v>6.3915255417956658</v>
      </c>
      <c r="CY46" s="188">
        <f t="shared" si="56"/>
        <v>0.88353441313057723</v>
      </c>
      <c r="CZ46" s="188">
        <f t="shared" si="57"/>
        <v>0.97850716763646994</v>
      </c>
      <c r="DA46" s="172">
        <f t="shared" si="58"/>
        <v>350</v>
      </c>
      <c r="DB46" s="379">
        <f t="shared" si="115"/>
        <v>350</v>
      </c>
      <c r="DD46" s="188">
        <f t="shared" si="59"/>
        <v>9.8072469146822137</v>
      </c>
      <c r="DE46" s="150">
        <f t="shared" si="60"/>
        <v>1.5014351954073746</v>
      </c>
      <c r="DF46" s="150">
        <f t="shared" si="61"/>
        <v>2.4718134248028734</v>
      </c>
      <c r="DG46" s="150"/>
      <c r="DH46" s="150">
        <f t="shared" si="62"/>
        <v>0.92784522751949461</v>
      </c>
      <c r="DI46" s="314">
        <f t="shared" si="63"/>
        <v>608.0766309574467</v>
      </c>
      <c r="DJ46" s="456">
        <f t="shared" si="64"/>
        <v>0.94395997276890675</v>
      </c>
      <c r="DL46" s="150">
        <f t="shared" si="65"/>
        <v>7.8968271109004835</v>
      </c>
      <c r="DM46" s="150">
        <f t="shared" si="66"/>
        <v>7.8968271109004835</v>
      </c>
      <c r="DN46" s="150">
        <f t="shared" si="67"/>
        <v>2.5601637409588318</v>
      </c>
      <c r="DP46" s="314">
        <f t="shared" si="68"/>
        <v>1640</v>
      </c>
      <c r="DQ46" s="144">
        <f t="shared" si="69"/>
        <v>350</v>
      </c>
      <c r="DS46">
        <f t="shared" si="116"/>
        <v>1640</v>
      </c>
      <c r="DT46" s="144">
        <f t="shared" si="70"/>
        <v>350</v>
      </c>
      <c r="DU46" s="144"/>
      <c r="DV46" s="5">
        <f t="shared" si="117"/>
        <v>2.8571428571428572</v>
      </c>
      <c r="DW46" s="5">
        <f t="shared" si="71"/>
        <v>1.0916202182715375</v>
      </c>
      <c r="DX46" s="5">
        <f t="shared" si="118"/>
        <v>1.7655226388713197</v>
      </c>
      <c r="DY46" s="150">
        <f t="shared" si="119"/>
        <v>0.38206707639503812</v>
      </c>
      <c r="EA46" s="5">
        <f t="shared" si="72"/>
        <v>5.9675238598844045</v>
      </c>
      <c r="EB46" s="5">
        <f t="shared" si="73"/>
        <v>6.34049410112718</v>
      </c>
      <c r="EC46" s="5">
        <f t="shared" si="74"/>
        <v>1.5028324192468669</v>
      </c>
      <c r="ED46" s="5"/>
      <c r="EE46" s="150">
        <f t="shared" si="120"/>
        <v>2.8181351062993412</v>
      </c>
      <c r="EF46" s="150">
        <f t="shared" si="75"/>
        <v>3.4378474890434267</v>
      </c>
      <c r="EG46" s="150">
        <f t="shared" si="76"/>
        <v>0.69008177097375556</v>
      </c>
      <c r="EH46" s="150"/>
      <c r="EI46" s="456">
        <f t="shared" si="77"/>
        <v>9.530262572828159E-2</v>
      </c>
      <c r="EJ46" s="456">
        <f t="shared" si="78"/>
        <v>3.3976493486004875</v>
      </c>
      <c r="EK46" s="456">
        <f t="shared" si="79"/>
        <v>4.0250000000000001E-2</v>
      </c>
      <c r="EL46" s="456">
        <f t="shared" si="80"/>
        <v>0.75820555125</v>
      </c>
      <c r="EM46">
        <f t="shared" si="81"/>
        <v>1.5299999999999999E-2</v>
      </c>
      <c r="EN46" s="144">
        <f t="shared" si="121"/>
        <v>55.550000000000004</v>
      </c>
      <c r="EO46">
        <f t="shared" si="82"/>
        <v>4.4328154821910619</v>
      </c>
      <c r="EP46" s="144">
        <f t="shared" si="122"/>
        <v>4432.8154821910621</v>
      </c>
      <c r="EQ46" s="150">
        <f t="shared" si="83"/>
        <v>1.0997839999999999</v>
      </c>
      <c r="ER46" s="150">
        <f t="shared" si="169"/>
        <v>0.16693149999999998</v>
      </c>
      <c r="ES46" s="456"/>
      <c r="EU46" s="144">
        <f t="shared" si="123"/>
        <v>1266.7154999999998</v>
      </c>
      <c r="EV46" s="456">
        <f t="shared" si="85"/>
        <v>0.11118639668299518</v>
      </c>
      <c r="EW46" s="456">
        <f t="shared" si="124"/>
        <v>0.16546313501091073</v>
      </c>
      <c r="EX46" s="456">
        <f t="shared" si="86"/>
        <v>2.381064253151374E-3</v>
      </c>
      <c r="EY46" s="456">
        <f t="shared" si="87"/>
        <v>20.08036903426293</v>
      </c>
      <c r="EZ46" s="456">
        <f t="shared" si="88"/>
        <v>20.892744161587451</v>
      </c>
      <c r="FA46" s="538">
        <f t="shared" si="89"/>
        <v>2.1825957446808508</v>
      </c>
      <c r="FB46" s="144">
        <f t="shared" si="125"/>
        <v>23075.339906268302</v>
      </c>
      <c r="FC46" s="150">
        <f t="shared" si="126"/>
        <v>28.774870888459361</v>
      </c>
      <c r="FD46" s="5">
        <f t="shared" si="127"/>
        <v>51.290999999999997</v>
      </c>
      <c r="FE46" s="150">
        <f t="shared" si="128"/>
        <v>0.64061003060160371</v>
      </c>
      <c r="FF46" s="5">
        <f t="shared" si="129"/>
        <v>64.061003060160374</v>
      </c>
      <c r="FG46">
        <f t="shared" si="130"/>
        <v>41</v>
      </c>
      <c r="FI46" s="59">
        <f t="shared" si="90"/>
        <v>-50</v>
      </c>
      <c r="FJ46">
        <f t="shared" si="91"/>
        <v>-50</v>
      </c>
      <c r="FL46">
        <f t="shared" si="92"/>
        <v>0.42129187282128189</v>
      </c>
    </row>
    <row r="47" spans="5:168">
      <c r="E47" s="147">
        <v>42</v>
      </c>
      <c r="F47" s="188">
        <f t="shared" si="173"/>
        <v>1.68</v>
      </c>
      <c r="G47" s="188">
        <f t="shared" si="170"/>
        <v>0.35699999999999998</v>
      </c>
      <c r="H47" s="188">
        <f t="shared" si="135"/>
        <v>50.4</v>
      </c>
      <c r="I47" s="188">
        <f t="shared" si="174"/>
        <v>2.1419999999999999</v>
      </c>
      <c r="J47" s="465">
        <f t="shared" si="136"/>
        <v>33.875724992797274</v>
      </c>
      <c r="K47" s="379">
        <f t="shared" si="137"/>
        <v>30.793672665704136</v>
      </c>
      <c r="L47" s="149">
        <f t="shared" si="138"/>
        <v>64.66939765850141</v>
      </c>
      <c r="M47" s="379"/>
      <c r="N47" s="188">
        <f t="shared" si="139"/>
        <v>0.47617070485665819</v>
      </c>
      <c r="O47" s="149">
        <f t="shared" si="171"/>
        <v>234.43976233341459</v>
      </c>
      <c r="P47" s="149">
        <f t="shared" si="140"/>
        <v>9.9636898991701184</v>
      </c>
      <c r="Q47" s="188">
        <f t="shared" si="6"/>
        <v>7.8146587444471534</v>
      </c>
      <c r="R47" s="188">
        <f t="shared" si="141"/>
        <v>39.073293722235768</v>
      </c>
      <c r="S47" s="379">
        <f t="shared" si="142"/>
        <v>30</v>
      </c>
      <c r="T47" s="188">
        <f t="shared" si="143"/>
        <v>6.5145635367974695</v>
      </c>
      <c r="U47" s="188">
        <f t="shared" si="10"/>
        <v>0.90384629788611948</v>
      </c>
      <c r="V47" s="188">
        <f t="shared" si="11"/>
        <v>0.99430973873567285</v>
      </c>
      <c r="W47" s="172">
        <f t="shared" si="12"/>
        <v>350</v>
      </c>
      <c r="X47" s="379">
        <f t="shared" si="95"/>
        <v>350</v>
      </c>
      <c r="Z47" s="188">
        <f t="shared" si="13"/>
        <v>9.805852794742</v>
      </c>
      <c r="AA47" s="150">
        <f t="shared" si="14"/>
        <v>1.4966551289809766</v>
      </c>
      <c r="AB47" s="150">
        <f t="shared" si="144"/>
        <v>2.463593744723775</v>
      </c>
      <c r="AC47" s="150"/>
      <c r="AD47" s="150">
        <f t="shared" si="16"/>
        <v>0.9250227731547247</v>
      </c>
      <c r="AE47" s="314">
        <f t="shared" si="145"/>
        <v>624.80840123416783</v>
      </c>
      <c r="AF47" s="456">
        <f t="shared" si="146"/>
        <v>0.94108849823167995</v>
      </c>
      <c r="AH47" s="150">
        <f t="shared" si="147"/>
        <v>7.9925497223245214</v>
      </c>
      <c r="AI47" s="150">
        <f t="shared" si="148"/>
        <v>7.9925497223245214</v>
      </c>
      <c r="AJ47" s="150">
        <f t="shared" si="149"/>
        <v>2.6310693790507118</v>
      </c>
      <c r="AL47" s="314">
        <f t="shared" si="150"/>
        <v>1680</v>
      </c>
      <c r="AM47" s="144">
        <f t="shared" si="151"/>
        <v>350</v>
      </c>
      <c r="AO47">
        <f t="shared" si="96"/>
        <v>1680</v>
      </c>
      <c r="AP47" s="144">
        <f t="shared" si="24"/>
        <v>350</v>
      </c>
      <c r="AQ47" s="144"/>
      <c r="AR47" s="5">
        <f t="shared" si="97"/>
        <v>2.8571428571428572</v>
      </c>
      <c r="AS47" s="5">
        <f t="shared" si="25"/>
        <v>1.1089056751674657</v>
      </c>
      <c r="AT47" s="5">
        <f t="shared" si="98"/>
        <v>1.7482371819753915</v>
      </c>
      <c r="AU47" s="150">
        <f t="shared" si="99"/>
        <v>0.38811698630861302</v>
      </c>
      <c r="AW47" s="5">
        <f t="shared" si="152"/>
        <v>6.2098717809378083</v>
      </c>
      <c r="AX47" s="5">
        <f t="shared" si="153"/>
        <v>6.597988767246421</v>
      </c>
      <c r="AY47" s="5">
        <f t="shared" si="28"/>
        <v>1.5300068288583031</v>
      </c>
      <c r="AZ47" s="5"/>
      <c r="BA47" s="150">
        <f t="shared" si="100"/>
        <v>2.8747894646230456</v>
      </c>
      <c r="BB47" s="150">
        <f t="shared" si="154"/>
        <v>3.4624447669746079</v>
      </c>
      <c r="BC47" s="150">
        <f t="shared" si="155"/>
        <v>0.69501920149386442</v>
      </c>
      <c r="BD47" s="150"/>
      <c r="BE47" s="456">
        <f t="shared" si="31"/>
        <v>9.9172973590891889E-2</v>
      </c>
      <c r="BF47" s="456">
        <f t="shared" si="156"/>
        <v>3.301528691105708</v>
      </c>
      <c r="BG47" s="456">
        <f t="shared" si="33"/>
        <v>4.0250000000000001E-2</v>
      </c>
      <c r="BH47" s="456">
        <f t="shared" si="34"/>
        <v>0.75748847620011239</v>
      </c>
      <c r="BI47">
        <f t="shared" si="35"/>
        <v>1.5244076246758772E-2</v>
      </c>
      <c r="BJ47" s="144">
        <f t="shared" si="101"/>
        <v>55.494076246758766</v>
      </c>
      <c r="BK47">
        <f t="shared" si="157"/>
        <v>4.2859590331222801</v>
      </c>
      <c r="BL47" s="144">
        <f t="shared" si="102"/>
        <v>4285.9590331222798</v>
      </c>
      <c r="BM47" s="150">
        <f t="shared" si="158"/>
        <v>1.1266079999999998</v>
      </c>
      <c r="BN47" s="150">
        <f t="shared" si="159"/>
        <v>0.17100299999999999</v>
      </c>
      <c r="BO47" s="456"/>
      <c r="BQ47" s="144">
        <f t="shared" si="103"/>
        <v>1297.6109999999999</v>
      </c>
      <c r="BR47" s="456">
        <f t="shared" si="39"/>
        <v>0.11570180252270722</v>
      </c>
      <c r="BS47" s="456">
        <f t="shared" si="104"/>
        <v>0.16783933270089785</v>
      </c>
      <c r="BT47" s="456">
        <f t="shared" si="160"/>
        <v>2.4152584522258449E-3</v>
      </c>
      <c r="BU47" s="456">
        <f t="shared" si="41"/>
        <v>20.694430628949142</v>
      </c>
      <c r="BV47" s="456">
        <f t="shared" si="161"/>
        <v>21.541818208967712</v>
      </c>
      <c r="BW47" s="538">
        <f t="shared" si="162"/>
        <v>2.2358297872340427</v>
      </c>
      <c r="BX47" s="144">
        <f t="shared" si="105"/>
        <v>23777.647996201755</v>
      </c>
      <c r="BY47" s="150">
        <f t="shared" si="106"/>
        <v>29.361218029324032</v>
      </c>
      <c r="BZ47" s="5">
        <f t="shared" si="107"/>
        <v>52.542000000000002</v>
      </c>
      <c r="CA47" s="150">
        <f t="shared" si="108"/>
        <v>0.64151325508587764</v>
      </c>
      <c r="CB47" s="5">
        <f t="shared" si="109"/>
        <v>64.15132550858776</v>
      </c>
      <c r="CC47">
        <f t="shared" si="172"/>
        <v>42</v>
      </c>
      <c r="CE47" s="59">
        <f t="shared" si="163"/>
        <v>-50</v>
      </c>
      <c r="CF47">
        <f t="shared" si="164"/>
        <v>-50</v>
      </c>
      <c r="CG47" s="150">
        <f t="shared" si="165"/>
        <v>0.42639862742940932</v>
      </c>
      <c r="CH47" s="150">
        <f t="shared" si="166"/>
        <v>9.0001626881425628E-2</v>
      </c>
      <c r="CI47" s="147">
        <v>42</v>
      </c>
      <c r="CJ47" s="188">
        <f t="shared" si="133"/>
        <v>1.68</v>
      </c>
      <c r="CK47" s="188">
        <f t="shared" si="111"/>
        <v>0.35699999999999998</v>
      </c>
      <c r="CL47" s="188">
        <f t="shared" si="48"/>
        <v>50.4</v>
      </c>
      <c r="CM47" s="188">
        <f t="shared" si="134"/>
        <v>2.1419999999999999</v>
      </c>
      <c r="CN47" s="465">
        <f t="shared" si="112"/>
        <v>34</v>
      </c>
      <c r="CO47" s="379">
        <f t="shared" si="167"/>
        <v>30.7</v>
      </c>
      <c r="CP47" s="379">
        <f t="shared" si="168"/>
        <v>64.7</v>
      </c>
      <c r="CQ47" s="379"/>
      <c r="CR47" s="188">
        <f t="shared" si="113"/>
        <v>0.47204968944099374</v>
      </c>
      <c r="CS47" s="149">
        <f t="shared" si="114"/>
        <v>233.26341749863801</v>
      </c>
      <c r="CT47" s="149">
        <f t="shared" si="51"/>
        <v>9.9136952436921142</v>
      </c>
      <c r="CU47" s="188">
        <f t="shared" si="52"/>
        <v>7.7754472499545999</v>
      </c>
      <c r="CV47" s="188">
        <f t="shared" si="53"/>
        <v>38.877236249772999</v>
      </c>
      <c r="CW47" s="379">
        <f t="shared" si="54"/>
        <v>30</v>
      </c>
      <c r="CX47" s="188">
        <f t="shared" si="55"/>
        <v>6.547416408668731</v>
      </c>
      <c r="CY47" s="188">
        <f t="shared" si="56"/>
        <v>0.90508403296303042</v>
      </c>
      <c r="CZ47" s="188">
        <f t="shared" si="57"/>
        <v>1.0023731961154083</v>
      </c>
      <c r="DA47" s="172">
        <f t="shared" si="58"/>
        <v>350</v>
      </c>
      <c r="DB47" s="379">
        <f t="shared" si="115"/>
        <v>350</v>
      </c>
      <c r="DD47" s="188">
        <f t="shared" si="59"/>
        <v>9.8072469146822137</v>
      </c>
      <c r="DE47" s="150">
        <f t="shared" si="60"/>
        <v>1.5014351954073746</v>
      </c>
      <c r="DF47" s="150">
        <f t="shared" si="61"/>
        <v>2.4718134248028734</v>
      </c>
      <c r="DG47" s="150"/>
      <c r="DH47" s="150">
        <f t="shared" si="62"/>
        <v>0.92784522751949461</v>
      </c>
      <c r="DI47" s="314">
        <f t="shared" si="63"/>
        <v>622.90776829787239</v>
      </c>
      <c r="DJ47" s="456">
        <f t="shared" si="64"/>
        <v>0.94395997276890675</v>
      </c>
      <c r="DL47" s="150">
        <f t="shared" si="65"/>
        <v>7.9925497223245214</v>
      </c>
      <c r="DM47" s="150">
        <f t="shared" si="66"/>
        <v>7.9925497223245214</v>
      </c>
      <c r="DN47" s="150">
        <f t="shared" si="67"/>
        <v>2.6310693790507118</v>
      </c>
      <c r="DP47" s="314">
        <f t="shared" si="68"/>
        <v>1680</v>
      </c>
      <c r="DQ47" s="144">
        <f t="shared" si="69"/>
        <v>350</v>
      </c>
      <c r="DS47">
        <f t="shared" si="116"/>
        <v>1680</v>
      </c>
      <c r="DT47" s="144">
        <f t="shared" si="70"/>
        <v>350</v>
      </c>
      <c r="DU47" s="144"/>
      <c r="DV47" s="5">
        <f t="shared" si="117"/>
        <v>2.8571428571428572</v>
      </c>
      <c r="DW47" s="5">
        <f t="shared" si="71"/>
        <v>1.1048524616154485</v>
      </c>
      <c r="DX47" s="5">
        <f t="shared" si="118"/>
        <v>1.7522903955274087</v>
      </c>
      <c r="DY47" s="150">
        <f t="shared" si="119"/>
        <v>0.38669836156540693</v>
      </c>
      <c r="EA47" s="5">
        <f t="shared" si="72"/>
        <v>6.1871737850465109</v>
      </c>
      <c r="EB47" s="5">
        <f t="shared" si="73"/>
        <v>6.5738721466119179</v>
      </c>
      <c r="EC47" s="5">
        <f t="shared" si="74"/>
        <v>1.5279487185913736</v>
      </c>
      <c r="ED47" s="5"/>
      <c r="EE47" s="150">
        <f t="shared" si="120"/>
        <v>2.8695307654613011</v>
      </c>
      <c r="EF47" s="150">
        <f t="shared" si="75"/>
        <v>3.4664562086968274</v>
      </c>
      <c r="EG47" s="150">
        <f t="shared" si="76"/>
        <v>0.69582442127648991</v>
      </c>
      <c r="EH47" s="150"/>
      <c r="EI47" s="456">
        <f t="shared" si="77"/>
        <v>9.881048176714706E-2</v>
      </c>
      <c r="EJ47" s="456">
        <f t="shared" si="78"/>
        <v>3.4388344807787372</v>
      </c>
      <c r="EK47" s="456">
        <f t="shared" si="79"/>
        <v>4.0250000000000001E-2</v>
      </c>
      <c r="EL47" s="456">
        <f t="shared" si="80"/>
        <v>0.75820555125</v>
      </c>
      <c r="EM47">
        <f t="shared" si="81"/>
        <v>1.5299999999999999E-2</v>
      </c>
      <c r="EN47" s="144">
        <f t="shared" si="121"/>
        <v>55.550000000000004</v>
      </c>
      <c r="EO47">
        <f t="shared" si="82"/>
        <v>4.4833362909066947</v>
      </c>
      <c r="EP47" s="144">
        <f t="shared" si="122"/>
        <v>4483.3362909066946</v>
      </c>
      <c r="EQ47" s="150">
        <f t="shared" si="83"/>
        <v>1.1266079999999998</v>
      </c>
      <c r="ER47" s="150">
        <f t="shared" si="169"/>
        <v>0.17100299999999999</v>
      </c>
      <c r="ES47" s="456"/>
      <c r="EU47" s="144">
        <f t="shared" si="123"/>
        <v>1297.6109999999999</v>
      </c>
      <c r="EV47" s="456">
        <f t="shared" si="85"/>
        <v>0.1152788953950049</v>
      </c>
      <c r="EW47" s="456">
        <f t="shared" si="124"/>
        <v>0.16822846105537897</v>
      </c>
      <c r="EX47" s="456">
        <f t="shared" si="86"/>
        <v>2.4208581262238106E-3</v>
      </c>
      <c r="EY47" s="456">
        <f t="shared" si="87"/>
        <v>20.694430628949142</v>
      </c>
      <c r="EZ47" s="456">
        <f t="shared" si="88"/>
        <v>21.54173274974584</v>
      </c>
      <c r="FA47" s="538">
        <f t="shared" si="89"/>
        <v>2.2358297872340427</v>
      </c>
      <c r="FB47" s="144">
        <f t="shared" si="125"/>
        <v>23777.562536979884</v>
      </c>
      <c r="FC47" s="150">
        <f t="shared" si="126"/>
        <v>29.558509827886578</v>
      </c>
      <c r="FD47" s="5">
        <f t="shared" si="127"/>
        <v>52.542000000000002</v>
      </c>
      <c r="FE47" s="150">
        <f t="shared" si="128"/>
        <v>0.63997166534224592</v>
      </c>
      <c r="FF47" s="5">
        <f t="shared" si="129"/>
        <v>63.99716653422459</v>
      </c>
      <c r="FG47">
        <f t="shared" si="130"/>
        <v>42</v>
      </c>
      <c r="FI47" s="59">
        <f t="shared" si="90"/>
        <v>-50</v>
      </c>
      <c r="FJ47">
        <f t="shared" si="91"/>
        <v>-50</v>
      </c>
      <c r="FL47">
        <f t="shared" si="92"/>
        <v>0.42639862742940932</v>
      </c>
    </row>
    <row r="48" spans="5:168">
      <c r="E48" s="147">
        <v>43</v>
      </c>
      <c r="F48" s="188">
        <f t="shared" si="173"/>
        <v>1.72</v>
      </c>
      <c r="G48" s="188">
        <f t="shared" si="170"/>
        <v>0.36549999999999999</v>
      </c>
      <c r="H48" s="188">
        <f t="shared" si="135"/>
        <v>51.6</v>
      </c>
      <c r="I48" s="188">
        <f t="shared" si="174"/>
        <v>2.1930000000000001</v>
      </c>
      <c r="J48" s="465">
        <f t="shared" si="136"/>
        <v>33.874254231458565</v>
      </c>
      <c r="K48" s="379">
        <f t="shared" si="137"/>
        <v>30.794781256548852</v>
      </c>
      <c r="L48" s="149">
        <f t="shared" si="138"/>
        <v>64.66903548800741</v>
      </c>
      <c r="M48" s="379"/>
      <c r="N48" s="188">
        <f t="shared" si="139"/>
        <v>0.47619051411799096</v>
      </c>
      <c r="O48" s="149">
        <f t="shared" si="171"/>
        <v>234.43933635407001</v>
      </c>
      <c r="P48" s="149">
        <f t="shared" si="140"/>
        <v>9.9636717950479738</v>
      </c>
      <c r="Q48" s="188">
        <f t="shared" si="6"/>
        <v>7.8146445451356668</v>
      </c>
      <c r="R48" s="188">
        <f t="shared" si="141"/>
        <v>39.073222725678335</v>
      </c>
      <c r="S48" s="379">
        <f t="shared" si="142"/>
        <v>30</v>
      </c>
      <c r="T48" s="188">
        <f t="shared" si="143"/>
        <v>6.6696843113172299</v>
      </c>
      <c r="U48" s="188">
        <f t="shared" si="10"/>
        <v>0.92540830711717814</v>
      </c>
      <c r="V48" s="188">
        <f t="shared" si="11"/>
        <v>1.0179489830448003</v>
      </c>
      <c r="W48" s="172">
        <f t="shared" si="12"/>
        <v>350</v>
      </c>
      <c r="X48" s="379">
        <f t="shared" si="95"/>
        <v>350</v>
      </c>
      <c r="Z48" s="188">
        <f t="shared" si="13"/>
        <v>9.8058349774114202</v>
      </c>
      <c r="AA48" s="150">
        <f t="shared" si="14"/>
        <v>1.4965985310914549</v>
      </c>
      <c r="AB48" s="150">
        <f t="shared" si="144"/>
        <v>2.4634961046339088</v>
      </c>
      <c r="AC48" s="150"/>
      <c r="AD48" s="150">
        <f t="shared" si="16"/>
        <v>0.9249894729741216</v>
      </c>
      <c r="AE48" s="314">
        <f t="shared" si="145"/>
        <v>639.70782077922581</v>
      </c>
      <c r="AF48" s="456">
        <f t="shared" si="146"/>
        <v>0.94105461969607607</v>
      </c>
      <c r="AH48" s="150">
        <f t="shared" si="147"/>
        <v>8.0871394020510543</v>
      </c>
      <c r="AI48" s="150">
        <f t="shared" si="148"/>
        <v>8.0871394020510543</v>
      </c>
      <c r="AJ48" s="150">
        <f t="shared" si="149"/>
        <v>2.7011358084777735</v>
      </c>
      <c r="AL48" s="314">
        <f t="shared" si="150"/>
        <v>1720</v>
      </c>
      <c r="AM48" s="144">
        <f t="shared" si="151"/>
        <v>350</v>
      </c>
      <c r="AO48">
        <f t="shared" si="96"/>
        <v>1720</v>
      </c>
      <c r="AP48" s="144">
        <f t="shared" si="24"/>
        <v>350</v>
      </c>
      <c r="AQ48" s="144"/>
      <c r="AR48" s="5">
        <f t="shared" si="97"/>
        <v>2.8571428571428572</v>
      </c>
      <c r="AS48" s="5">
        <f t="shared" si="25"/>
        <v>1.122077992623111</v>
      </c>
      <c r="AT48" s="5">
        <f t="shared" si="98"/>
        <v>1.7350648645197462</v>
      </c>
      <c r="AU48" s="150">
        <f t="shared" si="99"/>
        <v>0.39272729741808887</v>
      </c>
      <c r="AW48" s="5">
        <f t="shared" si="152"/>
        <v>6.4332471577058365</v>
      </c>
      <c r="AX48" s="5">
        <f t="shared" si="153"/>
        <v>6.8353251050624504</v>
      </c>
      <c r="AY48" s="5">
        <f t="shared" si="28"/>
        <v>1.554700552528183</v>
      </c>
      <c r="AZ48" s="5"/>
      <c r="BA48" s="150">
        <f t="shared" si="100"/>
        <v>2.9260372218604411</v>
      </c>
      <c r="BB48" s="150">
        <f t="shared" si="154"/>
        <v>3.4901984245896629</v>
      </c>
      <c r="BC48" s="150">
        <f t="shared" si="155"/>
        <v>0.70059021453590187</v>
      </c>
      <c r="BD48" s="150"/>
      <c r="BE48" s="456">
        <f t="shared" si="31"/>
        <v>0.10274032588455323</v>
      </c>
      <c r="BF48" s="456">
        <f t="shared" si="156"/>
        <v>3.3405826881089511</v>
      </c>
      <c r="BG48" s="456">
        <f t="shared" si="33"/>
        <v>4.0250000000000001E-2</v>
      </c>
      <c r="BH48" s="456">
        <f t="shared" si="34"/>
        <v>0.75747999184066706</v>
      </c>
      <c r="BI48">
        <f t="shared" si="35"/>
        <v>1.5243414404156354E-2</v>
      </c>
      <c r="BJ48" s="144">
        <f t="shared" si="101"/>
        <v>55.493414404156354</v>
      </c>
      <c r="BK48">
        <f t="shared" si="157"/>
        <v>4.3343491300709305</v>
      </c>
      <c r="BL48" s="144">
        <f t="shared" si="102"/>
        <v>4334.3491300709302</v>
      </c>
      <c r="BM48" s="150">
        <f t="shared" si="158"/>
        <v>1.153432</v>
      </c>
      <c r="BN48" s="150">
        <f t="shared" si="159"/>
        <v>0.17507449999999999</v>
      </c>
      <c r="BO48" s="456"/>
      <c r="BQ48" s="144">
        <f t="shared" si="103"/>
        <v>1328.5065</v>
      </c>
      <c r="BR48" s="456">
        <f t="shared" si="39"/>
        <v>0.11986371353197876</v>
      </c>
      <c r="BS48" s="456">
        <f t="shared" si="104"/>
        <v>0.1705407906021143</v>
      </c>
      <c r="BT48" s="456">
        <f t="shared" si="160"/>
        <v>2.4541332435173051E-3</v>
      </c>
      <c r="BU48" s="456">
        <f t="shared" si="41"/>
        <v>21.312158556191996</v>
      </c>
      <c r="BV48" s="456">
        <f t="shared" si="161"/>
        <v>22.195310333782206</v>
      </c>
      <c r="BW48" s="538">
        <f t="shared" si="162"/>
        <v>2.2890638297872337</v>
      </c>
      <c r="BX48" s="144">
        <f t="shared" si="105"/>
        <v>24484.374163569442</v>
      </c>
      <c r="BY48" s="150">
        <f t="shared" si="106"/>
        <v>30.147229793640371</v>
      </c>
      <c r="BZ48" s="5">
        <f t="shared" si="107"/>
        <v>53.792999999999999</v>
      </c>
      <c r="CA48" s="150">
        <f t="shared" si="108"/>
        <v>0.64084885319286511</v>
      </c>
      <c r="CB48" s="5">
        <f t="shared" si="109"/>
        <v>64.084885319286514</v>
      </c>
      <c r="CC48">
        <f t="shared" si="172"/>
        <v>43</v>
      </c>
      <c r="CE48" s="59">
        <f t="shared" si="163"/>
        <v>-50</v>
      </c>
      <c r="CF48">
        <f t="shared" si="164"/>
        <v>-50</v>
      </c>
      <c r="CG48" s="150">
        <f t="shared" si="165"/>
        <v>0.43144494068433026</v>
      </c>
      <c r="CH48" s="150">
        <f t="shared" si="166"/>
        <v>9.106677196745519E-2</v>
      </c>
      <c r="CI48" s="147">
        <v>43</v>
      </c>
      <c r="CJ48" s="188">
        <f t="shared" si="133"/>
        <v>1.72</v>
      </c>
      <c r="CK48" s="188">
        <f t="shared" si="111"/>
        <v>0.36549999999999999</v>
      </c>
      <c r="CL48" s="188">
        <f t="shared" si="48"/>
        <v>51.6</v>
      </c>
      <c r="CM48" s="188">
        <f t="shared" si="134"/>
        <v>2.1930000000000001</v>
      </c>
      <c r="CN48" s="465">
        <f t="shared" si="112"/>
        <v>34</v>
      </c>
      <c r="CO48" s="379">
        <f t="shared" si="167"/>
        <v>30.7</v>
      </c>
      <c r="CP48" s="379">
        <f t="shared" si="168"/>
        <v>64.7</v>
      </c>
      <c r="CQ48" s="379"/>
      <c r="CR48" s="188">
        <f t="shared" si="113"/>
        <v>0.47204968944099374</v>
      </c>
      <c r="CS48" s="149">
        <f t="shared" si="114"/>
        <v>233.26341749863801</v>
      </c>
      <c r="CT48" s="149">
        <f t="shared" si="51"/>
        <v>9.9136952436921142</v>
      </c>
      <c r="CU48" s="188">
        <f t="shared" si="52"/>
        <v>7.7754472499545999</v>
      </c>
      <c r="CV48" s="188">
        <f t="shared" si="53"/>
        <v>38.877236249772999</v>
      </c>
      <c r="CW48" s="379">
        <f t="shared" si="54"/>
        <v>30</v>
      </c>
      <c r="CX48" s="188">
        <f t="shared" si="55"/>
        <v>6.7033072755417962</v>
      </c>
      <c r="CY48" s="188">
        <f t="shared" si="56"/>
        <v>0.92663365279548349</v>
      </c>
      <c r="CZ48" s="188">
        <f t="shared" si="57"/>
        <v>1.0262392245943466</v>
      </c>
      <c r="DA48" s="172">
        <f t="shared" si="58"/>
        <v>350</v>
      </c>
      <c r="DB48" s="379">
        <f t="shared" si="115"/>
        <v>350</v>
      </c>
      <c r="DD48" s="188">
        <f t="shared" si="59"/>
        <v>9.8072469146822137</v>
      </c>
      <c r="DE48" s="150">
        <f t="shared" si="60"/>
        <v>1.5014351954073746</v>
      </c>
      <c r="DF48" s="150">
        <f t="shared" si="61"/>
        <v>2.4718134248028734</v>
      </c>
      <c r="DG48" s="150"/>
      <c r="DH48" s="150">
        <f t="shared" si="62"/>
        <v>0.92784522751949461</v>
      </c>
      <c r="DI48" s="314">
        <f t="shared" si="63"/>
        <v>637.73890563829798</v>
      </c>
      <c r="DJ48" s="456">
        <f t="shared" si="64"/>
        <v>0.94395997276890675</v>
      </c>
      <c r="DL48" s="150">
        <f t="shared" si="65"/>
        <v>8.0871394020510543</v>
      </c>
      <c r="DM48" s="150">
        <f t="shared" si="66"/>
        <v>8.0871394020510543</v>
      </c>
      <c r="DN48" s="150">
        <f t="shared" si="67"/>
        <v>2.7011358084777735</v>
      </c>
      <c r="DP48" s="314">
        <f t="shared" si="68"/>
        <v>1720</v>
      </c>
      <c r="DQ48" s="144">
        <f t="shared" si="69"/>
        <v>350</v>
      </c>
      <c r="DS48">
        <f t="shared" si="116"/>
        <v>1720</v>
      </c>
      <c r="DT48" s="144">
        <f t="shared" si="70"/>
        <v>350</v>
      </c>
      <c r="DU48" s="144"/>
      <c r="DV48" s="5">
        <f t="shared" si="117"/>
        <v>2.8571428571428572</v>
      </c>
      <c r="DW48" s="5">
        <f t="shared" si="71"/>
        <v>1.1179280938129399</v>
      </c>
      <c r="DX48" s="5">
        <f t="shared" si="118"/>
        <v>1.7392147633299173</v>
      </c>
      <c r="DY48" s="150">
        <f t="shared" si="119"/>
        <v>0.39127483283452896</v>
      </c>
      <c r="EA48" s="5">
        <f t="shared" si="72"/>
        <v>6.4094544045275219</v>
      </c>
      <c r="EB48" s="5">
        <f t="shared" si="73"/>
        <v>6.810045304810493</v>
      </c>
      <c r="EC48" s="5">
        <f t="shared" si="74"/>
        <v>1.5526553942530055</v>
      </c>
      <c r="ED48" s="5"/>
      <c r="EE48" s="150">
        <f t="shared" si="120"/>
        <v>2.9206213744396874</v>
      </c>
      <c r="EF48" s="150">
        <f t="shared" si="75"/>
        <v>3.4943698305982704</v>
      </c>
      <c r="EG48" s="150">
        <f t="shared" si="76"/>
        <v>0.70142754407278352</v>
      </c>
      <c r="EH48" s="150"/>
      <c r="EI48" s="456">
        <f t="shared" si="77"/>
        <v>0.10236035055400762</v>
      </c>
      <c r="EJ48" s="456">
        <f t="shared" si="78"/>
        <v>3.4795321634294765</v>
      </c>
      <c r="EK48" s="456">
        <f t="shared" si="79"/>
        <v>4.0250000000000001E-2</v>
      </c>
      <c r="EL48" s="456">
        <f t="shared" si="80"/>
        <v>0.75820555125</v>
      </c>
      <c r="EM48">
        <f t="shared" si="81"/>
        <v>1.5299999999999999E-2</v>
      </c>
      <c r="EN48" s="144">
        <f t="shared" si="121"/>
        <v>55.550000000000004</v>
      </c>
      <c r="EO48">
        <f t="shared" si="82"/>
        <v>4.5335448858011382</v>
      </c>
      <c r="EP48" s="144">
        <f t="shared" si="122"/>
        <v>4533.5448858011387</v>
      </c>
      <c r="EQ48" s="150">
        <f t="shared" si="83"/>
        <v>1.153432</v>
      </c>
      <c r="ER48" s="150">
        <f t="shared" si="169"/>
        <v>0.17507449999999999</v>
      </c>
      <c r="ES48" s="456"/>
      <c r="EU48" s="144">
        <f t="shared" si="123"/>
        <v>1328.5065</v>
      </c>
      <c r="EV48" s="456">
        <f t="shared" si="85"/>
        <v>0.11942040897967555</v>
      </c>
      <c r="EW48" s="456">
        <f t="shared" si="124"/>
        <v>0.1709486871819354</v>
      </c>
      <c r="EX48" s="456">
        <f t="shared" si="86"/>
        <v>2.4600029979198836E-3</v>
      </c>
      <c r="EY48" s="456">
        <f t="shared" si="87"/>
        <v>21.312158556191996</v>
      </c>
      <c r="EZ48" s="456">
        <f t="shared" si="88"/>
        <v>22.195219120813512</v>
      </c>
      <c r="FA48" s="538">
        <f t="shared" si="89"/>
        <v>2.2890638297872337</v>
      </c>
      <c r="FB48" s="144">
        <f t="shared" si="125"/>
        <v>24484.282950600747</v>
      </c>
      <c r="FC48" s="150">
        <f t="shared" si="126"/>
        <v>30.346334336401885</v>
      </c>
      <c r="FD48" s="5">
        <f t="shared" si="127"/>
        <v>53.792999999999999</v>
      </c>
      <c r="FE48" s="150">
        <f t="shared" si="128"/>
        <v>0.63933236962545226</v>
      </c>
      <c r="FF48" s="5">
        <f t="shared" si="129"/>
        <v>63.933236962545223</v>
      </c>
      <c r="FG48">
        <f t="shared" si="130"/>
        <v>43</v>
      </c>
      <c r="FI48" s="59">
        <f t="shared" si="90"/>
        <v>-50</v>
      </c>
      <c r="FJ48">
        <f t="shared" si="91"/>
        <v>-50</v>
      </c>
      <c r="FL48">
        <f t="shared" si="92"/>
        <v>0.43144494068433026</v>
      </c>
    </row>
    <row r="49" spans="5:168">
      <c r="E49" s="147">
        <v>44</v>
      </c>
      <c r="F49" s="188">
        <f t="shared" si="173"/>
        <v>1.76</v>
      </c>
      <c r="G49" s="188">
        <f t="shared" si="170"/>
        <v>0.374</v>
      </c>
      <c r="H49" s="188">
        <f t="shared" si="135"/>
        <v>52.8</v>
      </c>
      <c r="I49" s="188">
        <f t="shared" si="174"/>
        <v>2.2439999999999998</v>
      </c>
      <c r="J49" s="465">
        <f t="shared" si="136"/>
        <v>33.872800474855779</v>
      </c>
      <c r="K49" s="379">
        <f t="shared" si="137"/>
        <v>30.795877030021995</v>
      </c>
      <c r="L49" s="149">
        <f t="shared" si="138"/>
        <v>64.668677504877778</v>
      </c>
      <c r="M49" s="379"/>
      <c r="N49" s="188">
        <f t="shared" si="139"/>
        <v>0.47621009456547408</v>
      </c>
      <c r="O49" s="149">
        <f t="shared" si="171"/>
        <v>234.43891457493652</v>
      </c>
      <c r="P49" s="149">
        <f t="shared" si="140"/>
        <v>9.9636538694348022</v>
      </c>
      <c r="Q49" s="188">
        <f t="shared" si="6"/>
        <v>7.8146304858312172</v>
      </c>
      <c r="R49" s="188">
        <f t="shared" si="141"/>
        <v>39.073152429156089</v>
      </c>
      <c r="S49" s="379">
        <f t="shared" si="142"/>
        <v>30</v>
      </c>
      <c r="T49" s="188">
        <f t="shared" si="143"/>
        <v>6.8248055272776513</v>
      </c>
      <c r="U49" s="188">
        <f t="shared" si="10"/>
        <v>0.94697177465488347</v>
      </c>
      <c r="V49" s="188">
        <f t="shared" si="11"/>
        <v>1.0415870263066203</v>
      </c>
      <c r="W49" s="172">
        <f t="shared" si="12"/>
        <v>350</v>
      </c>
      <c r="X49" s="379">
        <f t="shared" si="95"/>
        <v>350</v>
      </c>
      <c r="Z49" s="188">
        <f t="shared" si="13"/>
        <v>9.8058173357620095</v>
      </c>
      <c r="AA49" s="150">
        <f t="shared" si="14"/>
        <v>1.4965425869557878</v>
      </c>
      <c r="AB49" s="150">
        <f t="shared" si="144"/>
        <v>2.4633995851352597</v>
      </c>
      <c r="AC49" s="150"/>
      <c r="AD49" s="150">
        <f t="shared" si="16"/>
        <v>0.92495656016159045</v>
      </c>
      <c r="AE49" s="314">
        <f t="shared" si="145"/>
        <v>654.60803899182201</v>
      </c>
      <c r="AF49" s="456">
        <f t="shared" si="146"/>
        <v>0.94102113525632347</v>
      </c>
      <c r="AH49" s="150">
        <f t="shared" si="147"/>
        <v>8.1806354491924154</v>
      </c>
      <c r="AI49" s="150">
        <f t="shared" si="148"/>
        <v>8.1806354491924154</v>
      </c>
      <c r="AJ49" s="150">
        <f t="shared" si="149"/>
        <v>2.7703921396935964</v>
      </c>
      <c r="AL49" s="314">
        <f t="shared" si="150"/>
        <v>1760</v>
      </c>
      <c r="AM49" s="144">
        <f t="shared" si="151"/>
        <v>350</v>
      </c>
      <c r="AO49">
        <f t="shared" si="96"/>
        <v>1760</v>
      </c>
      <c r="AP49" s="144">
        <f t="shared" si="24"/>
        <v>350</v>
      </c>
      <c r="AQ49" s="144"/>
      <c r="AR49" s="5">
        <f t="shared" si="97"/>
        <v>2.8571428571428572</v>
      </c>
      <c r="AS49" s="5">
        <f t="shared" si="25"/>
        <v>1.1350991377210022</v>
      </c>
      <c r="AT49" s="5">
        <f t="shared" si="98"/>
        <v>1.722043719421855</v>
      </c>
      <c r="AU49" s="150">
        <f t="shared" si="99"/>
        <v>0.39728469820235079</v>
      </c>
      <c r="AW49" s="5">
        <f t="shared" si="152"/>
        <v>6.6592482746298804</v>
      </c>
      <c r="AX49" s="5">
        <f t="shared" si="153"/>
        <v>7.0754512917942476</v>
      </c>
      <c r="AY49" s="5">
        <f t="shared" si="28"/>
        <v>1.578985240123786</v>
      </c>
      <c r="AZ49" s="5"/>
      <c r="BA49" s="150">
        <f t="shared" si="100"/>
        <v>2.9769896960852673</v>
      </c>
      <c r="BB49" s="150">
        <f t="shared" si="154"/>
        <v>3.5172760718473519</v>
      </c>
      <c r="BC49" s="150">
        <f t="shared" si="155"/>
        <v>0.70602553149889724</v>
      </c>
      <c r="BD49" s="150"/>
      <c r="BE49" s="456">
        <f t="shared" si="31"/>
        <v>0.10634961180717423</v>
      </c>
      <c r="BF49" s="456">
        <f t="shared" si="156"/>
        <v>3.3791847182066794</v>
      </c>
      <c r="BG49" s="456">
        <f t="shared" si="33"/>
        <v>4.0250000000000001E-2</v>
      </c>
      <c r="BH49" s="456">
        <f t="shared" si="34"/>
        <v>0.75747160562288796</v>
      </c>
      <c r="BI49">
        <f t="shared" si="35"/>
        <v>1.52427602136851E-2</v>
      </c>
      <c r="BJ49" s="144">
        <f t="shared" si="101"/>
        <v>55.492760213685102</v>
      </c>
      <c r="BK49">
        <f t="shared" si="157"/>
        <v>4.3824592372870246</v>
      </c>
      <c r="BL49" s="144">
        <f t="shared" si="102"/>
        <v>4382.4592372870247</v>
      </c>
      <c r="BM49" s="150">
        <f t="shared" si="158"/>
        <v>1.180256</v>
      </c>
      <c r="BN49" s="150">
        <f t="shared" si="159"/>
        <v>0.179146</v>
      </c>
      <c r="BO49" s="456"/>
      <c r="BQ49" s="144">
        <f t="shared" si="103"/>
        <v>1359.402</v>
      </c>
      <c r="BR49" s="456">
        <f t="shared" si="39"/>
        <v>0.12407454710836993</v>
      </c>
      <c r="BS49" s="456">
        <f t="shared" si="104"/>
        <v>0.17319723351825914</v>
      </c>
      <c r="BT49" s="456">
        <f t="shared" si="160"/>
        <v>2.4923602556415018E-3</v>
      </c>
      <c r="BU49" s="456">
        <f t="shared" si="41"/>
        <v>21.933488670340186</v>
      </c>
      <c r="BV49" s="456">
        <f t="shared" si="161"/>
        <v>22.853242821085122</v>
      </c>
      <c r="BW49" s="538">
        <f t="shared" si="162"/>
        <v>2.3422978723404255</v>
      </c>
      <c r="BX49" s="144">
        <f t="shared" si="105"/>
        <v>25195.540693425544</v>
      </c>
      <c r="BY49" s="150">
        <f t="shared" si="106"/>
        <v>30.937401930712571</v>
      </c>
      <c r="BZ49" s="5">
        <f t="shared" si="107"/>
        <v>55.043999999999997</v>
      </c>
      <c r="CA49" s="150">
        <f t="shared" si="108"/>
        <v>0.64018495586239421</v>
      </c>
      <c r="CB49" s="5">
        <f t="shared" si="109"/>
        <v>64.018495586239425</v>
      </c>
      <c r="CC49">
        <f t="shared" si="172"/>
        <v>44</v>
      </c>
      <c r="CE49" s="59">
        <f t="shared" si="163"/>
        <v>-50</v>
      </c>
      <c r="CF49">
        <f t="shared" si="164"/>
        <v>-50</v>
      </c>
      <c r="CG49" s="150">
        <f t="shared" si="165"/>
        <v>0.43643290917451028</v>
      </c>
      <c r="CH49" s="150">
        <f t="shared" si="166"/>
        <v>9.2119601995675218E-2</v>
      </c>
      <c r="CI49" s="147">
        <v>44</v>
      </c>
      <c r="CJ49" s="188">
        <f t="shared" si="133"/>
        <v>1.76</v>
      </c>
      <c r="CK49" s="188">
        <f t="shared" si="111"/>
        <v>0.374</v>
      </c>
      <c r="CL49" s="188">
        <f t="shared" si="48"/>
        <v>52.8</v>
      </c>
      <c r="CM49" s="188">
        <f t="shared" si="134"/>
        <v>2.2439999999999998</v>
      </c>
      <c r="CN49" s="465">
        <f t="shared" si="112"/>
        <v>34</v>
      </c>
      <c r="CO49" s="379">
        <f t="shared" si="167"/>
        <v>30.7</v>
      </c>
      <c r="CP49" s="379">
        <f t="shared" si="168"/>
        <v>64.7</v>
      </c>
      <c r="CQ49" s="379"/>
      <c r="CR49" s="188">
        <f t="shared" si="113"/>
        <v>0.47204968944099374</v>
      </c>
      <c r="CS49" s="149">
        <f t="shared" si="114"/>
        <v>233.26341749863801</v>
      </c>
      <c r="CT49" s="149">
        <f t="shared" si="51"/>
        <v>9.9136952436921142</v>
      </c>
      <c r="CU49" s="188">
        <f t="shared" si="52"/>
        <v>7.7754472499545999</v>
      </c>
      <c r="CV49" s="188">
        <f t="shared" si="53"/>
        <v>38.877236249772999</v>
      </c>
      <c r="CW49" s="379">
        <f t="shared" si="54"/>
        <v>30</v>
      </c>
      <c r="CX49" s="188">
        <f t="shared" si="55"/>
        <v>6.8591981424148605</v>
      </c>
      <c r="CY49" s="188">
        <f t="shared" si="56"/>
        <v>0.94818327262793656</v>
      </c>
      <c r="CZ49" s="188">
        <f t="shared" si="57"/>
        <v>1.0501052530732846</v>
      </c>
      <c r="DA49" s="172">
        <f t="shared" si="58"/>
        <v>350</v>
      </c>
      <c r="DB49" s="379">
        <f t="shared" si="115"/>
        <v>350</v>
      </c>
      <c r="DD49" s="188">
        <f t="shared" si="59"/>
        <v>9.8072469146822137</v>
      </c>
      <c r="DE49" s="150">
        <f t="shared" si="60"/>
        <v>1.5014351954073746</v>
      </c>
      <c r="DF49" s="150">
        <f t="shared" si="61"/>
        <v>2.4718134248028734</v>
      </c>
      <c r="DG49" s="150"/>
      <c r="DH49" s="150">
        <f t="shared" si="62"/>
        <v>0.92784522751949461</v>
      </c>
      <c r="DI49" s="314">
        <f t="shared" si="63"/>
        <v>652.57004297872345</v>
      </c>
      <c r="DJ49" s="456">
        <f t="shared" si="64"/>
        <v>0.94395997276890675</v>
      </c>
      <c r="DL49" s="150">
        <f t="shared" si="65"/>
        <v>8.1806354491924154</v>
      </c>
      <c r="DM49" s="150">
        <f t="shared" si="66"/>
        <v>8.1806354491924154</v>
      </c>
      <c r="DN49" s="150">
        <f t="shared" si="67"/>
        <v>2.7703921396935964</v>
      </c>
      <c r="DP49" s="314">
        <f t="shared" si="68"/>
        <v>1760</v>
      </c>
      <c r="DQ49" s="144">
        <f t="shared" si="69"/>
        <v>350</v>
      </c>
      <c r="DS49">
        <f t="shared" si="116"/>
        <v>1760</v>
      </c>
      <c r="DT49" s="144">
        <f t="shared" si="70"/>
        <v>350</v>
      </c>
      <c r="DU49" s="144"/>
      <c r="DV49" s="5">
        <f t="shared" si="117"/>
        <v>2.8571428571428572</v>
      </c>
      <c r="DW49" s="5">
        <f t="shared" si="71"/>
        <v>1.1308525473883633</v>
      </c>
      <c r="DX49" s="5">
        <f t="shared" si="118"/>
        <v>1.7262903097544939</v>
      </c>
      <c r="DY49" s="150">
        <f t="shared" si="119"/>
        <v>0.39579839158592711</v>
      </c>
      <c r="EA49" s="5">
        <f t="shared" si="72"/>
        <v>6.6343349446783977</v>
      </c>
      <c r="EB49" s="5">
        <f t="shared" si="73"/>
        <v>7.0489808787207986</v>
      </c>
      <c r="EC49" s="5">
        <f t="shared" si="74"/>
        <v>1.5769572379764232</v>
      </c>
      <c r="ED49" s="5"/>
      <c r="EE49" s="150">
        <f t="shared" si="120"/>
        <v>2.9714157768525724</v>
      </c>
      <c r="EF49" s="150">
        <f t="shared" si="75"/>
        <v>3.5216102340281634</v>
      </c>
      <c r="EG49" s="150">
        <f t="shared" si="76"/>
        <v>0.70689553120742243</v>
      </c>
      <c r="EH49" s="150"/>
      <c r="EI49" s="456">
        <f t="shared" si="77"/>
        <v>0.10595174062714052</v>
      </c>
      <c r="EJ49" s="456">
        <f t="shared" si="78"/>
        <v>3.5197593051922831</v>
      </c>
      <c r="EK49" s="456">
        <f t="shared" si="79"/>
        <v>4.0250000000000001E-2</v>
      </c>
      <c r="EL49" s="456">
        <f t="shared" si="80"/>
        <v>0.75820555125</v>
      </c>
      <c r="EM49">
        <f t="shared" si="81"/>
        <v>1.5299999999999999E-2</v>
      </c>
      <c r="EN49" s="144">
        <f t="shared" si="121"/>
        <v>55.550000000000004</v>
      </c>
      <c r="EO49">
        <f t="shared" si="82"/>
        <v>4.583458154855375</v>
      </c>
      <c r="EP49" s="144">
        <f t="shared" si="122"/>
        <v>4583.4581548553751</v>
      </c>
      <c r="EQ49" s="150">
        <f t="shared" si="83"/>
        <v>1.180256</v>
      </c>
      <c r="ER49" s="150">
        <f t="shared" si="169"/>
        <v>0.179146</v>
      </c>
      <c r="ES49" s="456"/>
      <c r="EU49" s="144">
        <f t="shared" si="123"/>
        <v>1359.402</v>
      </c>
      <c r="EV49" s="456">
        <f t="shared" si="85"/>
        <v>0.12361036406499729</v>
      </c>
      <c r="EW49" s="456">
        <f t="shared" si="124"/>
        <v>0.17362434096576654</v>
      </c>
      <c r="EX49" s="456">
        <f t="shared" si="86"/>
        <v>2.4985064602051198E-3</v>
      </c>
      <c r="EY49" s="456">
        <f t="shared" si="87"/>
        <v>21.933488670340186</v>
      </c>
      <c r="EZ49" s="456">
        <f t="shared" si="88"/>
        <v>22.853145590223249</v>
      </c>
      <c r="FA49" s="538">
        <f t="shared" si="89"/>
        <v>2.3422978723404255</v>
      </c>
      <c r="FB49" s="144">
        <f t="shared" si="125"/>
        <v>25195.443462563675</v>
      </c>
      <c r="FC49" s="150">
        <f t="shared" si="126"/>
        <v>31.138303617419048</v>
      </c>
      <c r="FD49" s="5">
        <f t="shared" si="127"/>
        <v>55.043999999999997</v>
      </c>
      <c r="FE49" s="150">
        <f t="shared" si="128"/>
        <v>0.63869260497319291</v>
      </c>
      <c r="FF49" s="5">
        <f t="shared" si="129"/>
        <v>63.869260497319289</v>
      </c>
      <c r="FG49">
        <f t="shared" si="130"/>
        <v>44</v>
      </c>
      <c r="FI49" s="59">
        <f t="shared" si="90"/>
        <v>-50</v>
      </c>
      <c r="FJ49">
        <f t="shared" si="91"/>
        <v>-50</v>
      </c>
      <c r="FL49">
        <f t="shared" si="92"/>
        <v>0.43643290917451028</v>
      </c>
    </row>
    <row r="50" spans="5:168">
      <c r="E50" s="147">
        <v>45</v>
      </c>
      <c r="F50" s="188">
        <f t="shared" si="173"/>
        <v>1.8</v>
      </c>
      <c r="G50" s="188">
        <f t="shared" si="170"/>
        <v>0.38250000000000001</v>
      </c>
      <c r="H50" s="188">
        <f t="shared" si="135"/>
        <v>54</v>
      </c>
      <c r="I50" s="188">
        <f t="shared" si="174"/>
        <v>2.2949999999999999</v>
      </c>
      <c r="J50" s="465">
        <f t="shared" si="136"/>
        <v>33.871363146463565</v>
      </c>
      <c r="K50" s="379">
        <f t="shared" si="137"/>
        <v>30.796960420681319</v>
      </c>
      <c r="L50" s="149">
        <f t="shared" si="138"/>
        <v>64.668323567144881</v>
      </c>
      <c r="M50" s="379"/>
      <c r="N50" s="188">
        <f t="shared" si="139"/>
        <v>0.47622945395677296</v>
      </c>
      <c r="O50" s="149">
        <f t="shared" si="171"/>
        <v>234.43849685359945</v>
      </c>
      <c r="P50" s="149">
        <f t="shared" si="140"/>
        <v>9.963636116277975</v>
      </c>
      <c r="Q50" s="188">
        <f t="shared" si="6"/>
        <v>7.8146165617866483</v>
      </c>
      <c r="R50" s="188">
        <f t="shared" si="141"/>
        <v>39.073082808933243</v>
      </c>
      <c r="S50" s="379">
        <f t="shared" si="142"/>
        <v>30</v>
      </c>
      <c r="T50" s="188">
        <f t="shared" si="143"/>
        <v>6.9799271805837488</v>
      </c>
      <c r="U50" s="188">
        <f t="shared" si="10"/>
        <v>0.96853668412718663</v>
      </c>
      <c r="V50" s="188">
        <f t="shared" si="11"/>
        <v>1.0652238825073588</v>
      </c>
      <c r="W50" s="172">
        <f t="shared" si="12"/>
        <v>350</v>
      </c>
      <c r="X50" s="379">
        <f t="shared" si="95"/>
        <v>350</v>
      </c>
      <c r="Z50" s="188">
        <f t="shared" si="13"/>
        <v>9.8057998638370254</v>
      </c>
      <c r="AA50" s="150">
        <f t="shared" si="14"/>
        <v>1.4964872744092201</v>
      </c>
      <c r="AB50" s="150">
        <f t="shared" si="144"/>
        <v>2.4633041482362206</v>
      </c>
      <c r="AC50" s="150"/>
      <c r="AD50" s="150">
        <f t="shared" si="16"/>
        <v>0.92492402158363118</v>
      </c>
      <c r="AE50" s="314">
        <f t="shared" si="145"/>
        <v>669.50904674282833</v>
      </c>
      <c r="AF50" s="456">
        <f t="shared" si="146"/>
        <v>0.94098803155082011</v>
      </c>
      <c r="AH50" s="150">
        <f t="shared" si="147"/>
        <v>8.2730749420611733</v>
      </c>
      <c r="AI50" s="150">
        <f t="shared" si="148"/>
        <v>8.2730749420611733</v>
      </c>
      <c r="AJ50" s="150">
        <f t="shared" si="149"/>
        <v>2.8388658381148986</v>
      </c>
      <c r="AL50" s="314">
        <f t="shared" si="150"/>
        <v>1800</v>
      </c>
      <c r="AM50" s="144">
        <f t="shared" si="151"/>
        <v>350</v>
      </c>
      <c r="AO50">
        <f t="shared" si="96"/>
        <v>1800</v>
      </c>
      <c r="AP50" s="144">
        <f t="shared" si="24"/>
        <v>350</v>
      </c>
      <c r="AQ50" s="144"/>
      <c r="AR50" s="5">
        <f t="shared" si="97"/>
        <v>2.8571428571428572</v>
      </c>
      <c r="AS50" s="5">
        <f t="shared" si="25"/>
        <v>1.1479742359216873</v>
      </c>
      <c r="AT50" s="5">
        <f t="shared" si="98"/>
        <v>1.7091686212211699</v>
      </c>
      <c r="AU50" s="150">
        <f t="shared" si="99"/>
        <v>0.40179098257259055</v>
      </c>
      <c r="AW50" s="5">
        <f t="shared" si="152"/>
        <v>6.8878454155301245</v>
      </c>
      <c r="AX50" s="5">
        <f t="shared" si="153"/>
        <v>7.3183357540007572</v>
      </c>
      <c r="AY50" s="5">
        <f t="shared" si="28"/>
        <v>1.6028654743440871</v>
      </c>
      <c r="AZ50" s="5"/>
      <c r="BA50" s="150">
        <f t="shared" si="100"/>
        <v>3.027655264186031</v>
      </c>
      <c r="BB50" s="150">
        <f t="shared" si="154"/>
        <v>3.5436983394626997</v>
      </c>
      <c r="BC50" s="150">
        <f t="shared" si="155"/>
        <v>0.71132929360214714</v>
      </c>
      <c r="BD50" s="150"/>
      <c r="BE50" s="456">
        <f t="shared" si="31"/>
        <v>0.11000035678504064</v>
      </c>
      <c r="BF50" s="456">
        <f t="shared" si="156"/>
        <v>3.417350104799477</v>
      </c>
      <c r="BG50" s="456">
        <f t="shared" si="33"/>
        <v>4.0250000000000001E-2</v>
      </c>
      <c r="BH50" s="456">
        <f t="shared" si="34"/>
        <v>0.75746331421939839</v>
      </c>
      <c r="BI50">
        <f t="shared" si="35"/>
        <v>1.5242113415908604E-2</v>
      </c>
      <c r="BJ50" s="144">
        <f t="shared" si="101"/>
        <v>55.492113415908612</v>
      </c>
      <c r="BK50">
        <f t="shared" si="157"/>
        <v>4.4303046911090487</v>
      </c>
      <c r="BL50" s="144">
        <f t="shared" si="102"/>
        <v>4430.3046911090487</v>
      </c>
      <c r="BM50" s="150">
        <f t="shared" si="158"/>
        <v>1.2070799999999999</v>
      </c>
      <c r="BN50" s="150">
        <f t="shared" si="159"/>
        <v>0.18321750000000001</v>
      </c>
      <c r="BO50" s="456"/>
      <c r="BQ50" s="144">
        <f t="shared" si="103"/>
        <v>1390.2974999999999</v>
      </c>
      <c r="BR50" s="456">
        <f t="shared" si="39"/>
        <v>0.1283337495825474</v>
      </c>
      <c r="BS50" s="456">
        <f t="shared" si="104"/>
        <v>0.17580917089554976</v>
      </c>
      <c r="BT50" s="456">
        <f t="shared" si="160"/>
        <v>2.5299468196826481E-3</v>
      </c>
      <c r="BU50" s="456">
        <f t="shared" si="41"/>
        <v>22.558359384958198</v>
      </c>
      <c r="BV50" s="456">
        <f t="shared" si="161"/>
        <v>23.515560489317313</v>
      </c>
      <c r="BW50" s="538">
        <f t="shared" si="162"/>
        <v>2.3955319148936174</v>
      </c>
      <c r="BX50" s="144">
        <f t="shared" si="105"/>
        <v>25911.092404210929</v>
      </c>
      <c r="BY50" s="150">
        <f t="shared" si="106"/>
        <v>31.731694595319979</v>
      </c>
      <c r="BZ50" s="5">
        <f t="shared" si="107"/>
        <v>56.295000000000002</v>
      </c>
      <c r="CA50" s="150">
        <f t="shared" si="108"/>
        <v>0.6395219116064933</v>
      </c>
      <c r="CB50" s="5">
        <f t="shared" si="109"/>
        <v>63.952191160649328</v>
      </c>
      <c r="CC50">
        <f t="shared" si="172"/>
        <v>45</v>
      </c>
      <c r="CE50" s="59">
        <f t="shared" si="163"/>
        <v>-50</v>
      </c>
      <c r="CF50">
        <f t="shared" si="164"/>
        <v>-50</v>
      </c>
      <c r="CG50" s="150">
        <f t="shared" si="165"/>
        <v>0.44136451100983121</v>
      </c>
      <c r="CH50" s="150">
        <f t="shared" si="166"/>
        <v>9.3160534493479261E-2</v>
      </c>
      <c r="CI50" s="147">
        <v>45</v>
      </c>
      <c r="CJ50" s="188">
        <f t="shared" si="133"/>
        <v>1.8</v>
      </c>
      <c r="CK50" s="188">
        <f t="shared" si="111"/>
        <v>0.38250000000000001</v>
      </c>
      <c r="CL50" s="188">
        <f t="shared" si="48"/>
        <v>54</v>
      </c>
      <c r="CM50" s="188">
        <f t="shared" si="134"/>
        <v>2.2949999999999999</v>
      </c>
      <c r="CN50" s="465">
        <f t="shared" si="112"/>
        <v>34</v>
      </c>
      <c r="CO50" s="379">
        <f t="shared" si="167"/>
        <v>30.7</v>
      </c>
      <c r="CP50" s="379">
        <f t="shared" si="168"/>
        <v>64.7</v>
      </c>
      <c r="CQ50" s="379"/>
      <c r="CR50" s="188">
        <f t="shared" si="113"/>
        <v>0.47204968944099374</v>
      </c>
      <c r="CS50" s="149">
        <f t="shared" si="114"/>
        <v>233.26341749863801</v>
      </c>
      <c r="CT50" s="149">
        <f t="shared" si="51"/>
        <v>9.9136952436921142</v>
      </c>
      <c r="CU50" s="188">
        <f t="shared" si="52"/>
        <v>7.7754472499545999</v>
      </c>
      <c r="CV50" s="188">
        <f t="shared" si="53"/>
        <v>38.877236249772999</v>
      </c>
      <c r="CW50" s="379">
        <f t="shared" si="54"/>
        <v>30</v>
      </c>
      <c r="CX50" s="188">
        <f t="shared" si="55"/>
        <v>7.0150890092879266</v>
      </c>
      <c r="CY50" s="188">
        <f t="shared" si="56"/>
        <v>0.96973289246038985</v>
      </c>
      <c r="CZ50" s="188">
        <f t="shared" si="57"/>
        <v>1.0739712815522233</v>
      </c>
      <c r="DA50" s="172">
        <f t="shared" si="58"/>
        <v>350</v>
      </c>
      <c r="DB50" s="379">
        <f t="shared" si="115"/>
        <v>350</v>
      </c>
      <c r="DD50" s="188">
        <f t="shared" si="59"/>
        <v>9.8072469146822137</v>
      </c>
      <c r="DE50" s="150">
        <f t="shared" si="60"/>
        <v>1.5014351954073746</v>
      </c>
      <c r="DF50" s="150">
        <f t="shared" si="61"/>
        <v>2.4718134248028734</v>
      </c>
      <c r="DG50" s="150"/>
      <c r="DH50" s="150">
        <f t="shared" si="62"/>
        <v>0.92784522751949461</v>
      </c>
      <c r="DI50" s="314">
        <f t="shared" si="63"/>
        <v>667.40118031914915</v>
      </c>
      <c r="DJ50" s="456">
        <f t="shared" si="64"/>
        <v>0.94395997276890675</v>
      </c>
      <c r="DL50" s="150">
        <f t="shared" si="65"/>
        <v>8.2730749420611733</v>
      </c>
      <c r="DM50" s="150">
        <f t="shared" si="66"/>
        <v>8.2730749420611733</v>
      </c>
      <c r="DN50" s="150">
        <f t="shared" si="67"/>
        <v>2.8388658381148986</v>
      </c>
      <c r="DP50" s="314">
        <f t="shared" si="68"/>
        <v>1800</v>
      </c>
      <c r="DQ50" s="144">
        <f t="shared" si="69"/>
        <v>350</v>
      </c>
      <c r="DS50">
        <f t="shared" si="116"/>
        <v>1800</v>
      </c>
      <c r="DT50" s="144">
        <f t="shared" si="70"/>
        <v>350</v>
      </c>
      <c r="DU50" s="144"/>
      <c r="DV50" s="5">
        <f t="shared" si="117"/>
        <v>2.8571428571428572</v>
      </c>
      <c r="DW50" s="5">
        <f t="shared" si="71"/>
        <v>1.1436309478731623</v>
      </c>
      <c r="DX50" s="5">
        <f t="shared" si="118"/>
        <v>1.7135119092696949</v>
      </c>
      <c r="DY50" s="150">
        <f t="shared" si="119"/>
        <v>0.40027083175560679</v>
      </c>
      <c r="EA50" s="5">
        <f t="shared" si="72"/>
        <v>6.8617856872389744</v>
      </c>
      <c r="EB50" s="5">
        <f t="shared" si="73"/>
        <v>7.2906472926914105</v>
      </c>
      <c r="EC50" s="5">
        <f t="shared" si="74"/>
        <v>1.6008588771723791</v>
      </c>
      <c r="ED50" s="5"/>
      <c r="EE50" s="150">
        <f t="shared" si="120"/>
        <v>3.0219223652559304</v>
      </c>
      <c r="EF50" s="150">
        <f t="shared" si="75"/>
        <v>3.5481980526212662</v>
      </c>
      <c r="EG50" s="150">
        <f t="shared" si="76"/>
        <v>0.712232524485784</v>
      </c>
      <c r="EH50" s="150"/>
      <c r="EI50" s="456">
        <f t="shared" si="77"/>
        <v>0.10958417737960796</v>
      </c>
      <c r="EJ50" s="456">
        <f t="shared" si="78"/>
        <v>3.5595318591965306</v>
      </c>
      <c r="EK50" s="456">
        <f t="shared" si="79"/>
        <v>4.0250000000000001E-2</v>
      </c>
      <c r="EL50" s="456">
        <f t="shared" si="80"/>
        <v>0.75820555125</v>
      </c>
      <c r="EM50">
        <f t="shared" si="81"/>
        <v>1.5299999999999999E-2</v>
      </c>
      <c r="EN50" s="144">
        <f t="shared" si="121"/>
        <v>55.550000000000004</v>
      </c>
      <c r="EO50">
        <f t="shared" si="82"/>
        <v>4.6330920629057877</v>
      </c>
      <c r="EP50" s="144">
        <f t="shared" si="122"/>
        <v>4633.0920629057873</v>
      </c>
      <c r="EQ50" s="150">
        <f t="shared" si="83"/>
        <v>1.2070799999999999</v>
      </c>
      <c r="ER50" s="150">
        <f t="shared" si="169"/>
        <v>0.18321750000000001</v>
      </c>
      <c r="ES50" s="456"/>
      <c r="EU50" s="144">
        <f t="shared" si="123"/>
        <v>1390.2974999999999</v>
      </c>
      <c r="EV50" s="456">
        <f t="shared" si="85"/>
        <v>0.12784820694287596</v>
      </c>
      <c r="EW50" s="456">
        <f t="shared" si="124"/>
        <v>0.17625593188875482</v>
      </c>
      <c r="EX50" s="456">
        <f t="shared" si="86"/>
        <v>2.5363758446769647E-3</v>
      </c>
      <c r="EY50" s="456">
        <f t="shared" si="87"/>
        <v>22.558359384958198</v>
      </c>
      <c r="EZ50" s="456">
        <f t="shared" si="88"/>
        <v>23.515456969392261</v>
      </c>
      <c r="FA50" s="538">
        <f t="shared" si="89"/>
        <v>2.3955319148936174</v>
      </c>
      <c r="FB50" s="144">
        <f t="shared" si="125"/>
        <v>25910.988884285878</v>
      </c>
      <c r="FC50" s="150">
        <f t="shared" si="126"/>
        <v>31.934378447191666</v>
      </c>
      <c r="FD50" s="5">
        <f t="shared" si="127"/>
        <v>56.295000000000002</v>
      </c>
      <c r="FE50" s="150">
        <f t="shared" si="128"/>
        <v>0.63805277777962033</v>
      </c>
      <c r="FF50" s="5">
        <f t="shared" si="129"/>
        <v>63.805277777962033</v>
      </c>
      <c r="FG50">
        <f t="shared" si="130"/>
        <v>45</v>
      </c>
      <c r="FI50" s="59">
        <f t="shared" si="90"/>
        <v>-50</v>
      </c>
      <c r="FJ50">
        <f t="shared" si="91"/>
        <v>-50</v>
      </c>
      <c r="FL50">
        <f t="shared" si="92"/>
        <v>0.44136451100983121</v>
      </c>
    </row>
    <row r="51" spans="5:168">
      <c r="E51" s="147">
        <v>46</v>
      </c>
      <c r="F51" s="188">
        <f t="shared" si="173"/>
        <v>1.84</v>
      </c>
      <c r="G51" s="188">
        <f t="shared" si="170"/>
        <v>0.39100000000000001</v>
      </c>
      <c r="H51" s="188">
        <f t="shared" si="135"/>
        <v>55.2</v>
      </c>
      <c r="I51" s="188">
        <f t="shared" si="174"/>
        <v>2.3460000000000001</v>
      </c>
      <c r="J51" s="465">
        <f t="shared" si="136"/>
        <v>33.869941701615801</v>
      </c>
      <c r="K51" s="379">
        <f t="shared" si="137"/>
        <v>30.798031839070571</v>
      </c>
      <c r="L51" s="149">
        <f t="shared" si="138"/>
        <v>64.667973540686376</v>
      </c>
      <c r="M51" s="379"/>
      <c r="N51" s="188">
        <f t="shared" si="139"/>
        <v>0.4762485996208578</v>
      </c>
      <c r="O51" s="149">
        <f t="shared" si="171"/>
        <v>234.43808305551372</v>
      </c>
      <c r="P51" s="149">
        <f t="shared" si="140"/>
        <v>9.9636185298593301</v>
      </c>
      <c r="Q51" s="188">
        <f t="shared" si="6"/>
        <v>7.8146027685171235</v>
      </c>
      <c r="R51" s="188">
        <f t="shared" si="141"/>
        <v>39.073013842585617</v>
      </c>
      <c r="S51" s="379">
        <f t="shared" si="142"/>
        <v>30</v>
      </c>
      <c r="T51" s="188">
        <f t="shared" si="143"/>
        <v>7.1350492672778776</v>
      </c>
      <c r="U51" s="188">
        <f t="shared" si="10"/>
        <v>0.99010301971102055</v>
      </c>
      <c r="V51" s="188">
        <f t="shared" si="11"/>
        <v>1.0888595651642798</v>
      </c>
      <c r="W51" s="172">
        <f t="shared" si="12"/>
        <v>350</v>
      </c>
      <c r="X51" s="379">
        <f t="shared" si="95"/>
        <v>350</v>
      </c>
      <c r="Z51" s="188">
        <f t="shared" si="13"/>
        <v>9.8057825560088876</v>
      </c>
      <c r="AA51" s="150">
        <f t="shared" si="14"/>
        <v>1.4964325725118348</v>
      </c>
      <c r="AB51" s="150">
        <f t="shared" si="144"/>
        <v>2.4632097580446137</v>
      </c>
      <c r="AC51" s="150"/>
      <c r="AD51" s="150">
        <f t="shared" si="16"/>
        <v>0.92489184483251397</v>
      </c>
      <c r="AE51" s="314">
        <f t="shared" si="145"/>
        <v>684.41083520920142</v>
      </c>
      <c r="AF51" s="456">
        <f t="shared" si="146"/>
        <v>0.94095529595634009</v>
      </c>
      <c r="AH51" s="150">
        <f t="shared" si="147"/>
        <v>8.3644929099938512</v>
      </c>
      <c r="AI51" s="150">
        <f t="shared" si="148"/>
        <v>8.3644929099938512</v>
      </c>
      <c r="AJ51" s="150">
        <f t="shared" si="149"/>
        <v>2.9065828513983636</v>
      </c>
      <c r="AL51" s="314">
        <f t="shared" si="150"/>
        <v>1840</v>
      </c>
      <c r="AM51" s="144">
        <f t="shared" si="151"/>
        <v>350</v>
      </c>
      <c r="AO51">
        <f t="shared" si="96"/>
        <v>1840</v>
      </c>
      <c r="AP51" s="144">
        <f t="shared" si="24"/>
        <v>350</v>
      </c>
      <c r="AQ51" s="144"/>
      <c r="AR51" s="5">
        <f t="shared" si="97"/>
        <v>2.8571428571428572</v>
      </c>
      <c r="AS51" s="5">
        <f t="shared" si="25"/>
        <v>1.1607081294472859</v>
      </c>
      <c r="AT51" s="5">
        <f t="shared" si="98"/>
        <v>1.6964347276955714</v>
      </c>
      <c r="AU51" s="150">
        <f t="shared" si="99"/>
        <v>0.40624784530655006</v>
      </c>
      <c r="AW51" s="5">
        <f t="shared" si="152"/>
        <v>7.1190098606100198</v>
      </c>
      <c r="AX51" s="5">
        <f t="shared" si="153"/>
        <v>7.5639479768981461</v>
      </c>
      <c r="AY51" s="5">
        <f t="shared" si="28"/>
        <v>1.626345684215581</v>
      </c>
      <c r="AZ51" s="5"/>
      <c r="BA51" s="150">
        <f t="shared" si="100"/>
        <v>3.0780418850963667</v>
      </c>
      <c r="BB51" s="150">
        <f t="shared" si="154"/>
        <v>3.5694847076941767</v>
      </c>
      <c r="BC51" s="150">
        <f t="shared" si="155"/>
        <v>0.71650541113291943</v>
      </c>
      <c r="BD51" s="150"/>
      <c r="BE51" s="456">
        <f t="shared" si="31"/>
        <v>0.11369210215689113</v>
      </c>
      <c r="BF51" s="456">
        <f t="shared" si="156"/>
        <v>3.4550933245050341</v>
      </c>
      <c r="BG51" s="456">
        <f t="shared" si="33"/>
        <v>4.0250000000000001E-2</v>
      </c>
      <c r="BH51" s="456">
        <f t="shared" si="34"/>
        <v>0.75745511448669567</v>
      </c>
      <c r="BI51">
        <f t="shared" si="35"/>
        <v>1.524147376572711E-2</v>
      </c>
      <c r="BJ51" s="144">
        <f t="shared" si="101"/>
        <v>55.491473765727115</v>
      </c>
      <c r="BK51">
        <f t="shared" si="157"/>
        <v>4.4779000120005623</v>
      </c>
      <c r="BL51" s="144">
        <f t="shared" si="102"/>
        <v>4477.9000120005621</v>
      </c>
      <c r="BM51" s="150">
        <f t="shared" si="158"/>
        <v>1.2339039999999999</v>
      </c>
      <c r="BN51" s="150">
        <f t="shared" si="159"/>
        <v>0.18728900000000001</v>
      </c>
      <c r="BO51" s="456"/>
      <c r="BQ51" s="144">
        <f t="shared" si="103"/>
        <v>1421.193</v>
      </c>
      <c r="BR51" s="456">
        <f t="shared" si="39"/>
        <v>0.13264078584970632</v>
      </c>
      <c r="BS51" s="456">
        <f t="shared" si="104"/>
        <v>0.17837709509847616</v>
      </c>
      <c r="BT51" s="456">
        <f t="shared" si="160"/>
        <v>2.5669000209137694E-3</v>
      </c>
      <c r="BU51" s="456">
        <f t="shared" si="41"/>
        <v>23.186711515937613</v>
      </c>
      <c r="BV51" s="456">
        <f t="shared" si="161"/>
        <v>24.182210498952298</v>
      </c>
      <c r="BW51" s="538">
        <f t="shared" si="162"/>
        <v>2.4487659574468097</v>
      </c>
      <c r="BX51" s="144">
        <f t="shared" si="105"/>
        <v>26630.976456399108</v>
      </c>
      <c r="BY51" s="150">
        <f t="shared" si="106"/>
        <v>32.530069468399674</v>
      </c>
      <c r="BZ51" s="5">
        <f t="shared" si="107"/>
        <v>57.546000000000006</v>
      </c>
      <c r="CA51" s="150">
        <f t="shared" si="108"/>
        <v>0.63886002508344553</v>
      </c>
      <c r="CB51" s="5">
        <f t="shared" si="109"/>
        <v>63.886002508344554</v>
      </c>
      <c r="CC51">
        <f t="shared" si="172"/>
        <v>46</v>
      </c>
      <c r="CE51" s="59">
        <f t="shared" si="163"/>
        <v>-50</v>
      </c>
      <c r="CF51">
        <f t="shared" si="164"/>
        <v>-50</v>
      </c>
      <c r="CG51" s="150">
        <f t="shared" si="165"/>
        <v>0.44624161498830256</v>
      </c>
      <c r="CH51" s="150">
        <f t="shared" si="166"/>
        <v>9.4189963915376179E-2</v>
      </c>
      <c r="CI51" s="147">
        <v>46</v>
      </c>
      <c r="CJ51" s="188">
        <f t="shared" si="133"/>
        <v>1.84</v>
      </c>
      <c r="CK51" s="188">
        <f t="shared" si="111"/>
        <v>0.39100000000000001</v>
      </c>
      <c r="CL51" s="188">
        <f t="shared" si="48"/>
        <v>55.2</v>
      </c>
      <c r="CM51" s="188">
        <f t="shared" si="134"/>
        <v>2.3460000000000001</v>
      </c>
      <c r="CN51" s="465">
        <f t="shared" si="112"/>
        <v>34</v>
      </c>
      <c r="CO51" s="379">
        <f t="shared" si="167"/>
        <v>30.7</v>
      </c>
      <c r="CP51" s="379">
        <f t="shared" si="168"/>
        <v>64.7</v>
      </c>
      <c r="CQ51" s="379"/>
      <c r="CR51" s="188">
        <f t="shared" si="113"/>
        <v>0.47204968944099374</v>
      </c>
      <c r="CS51" s="149">
        <f t="shared" si="114"/>
        <v>233.26341749863801</v>
      </c>
      <c r="CT51" s="149">
        <f t="shared" si="51"/>
        <v>9.9136952436921142</v>
      </c>
      <c r="CU51" s="188">
        <f t="shared" si="52"/>
        <v>7.7754472499545999</v>
      </c>
      <c r="CV51" s="188">
        <f t="shared" si="53"/>
        <v>38.877236249772999</v>
      </c>
      <c r="CW51" s="379">
        <f t="shared" si="54"/>
        <v>30</v>
      </c>
      <c r="CX51" s="188">
        <f t="shared" si="55"/>
        <v>7.1709798761609918</v>
      </c>
      <c r="CY51" s="188">
        <f t="shared" si="56"/>
        <v>0.99128251229284281</v>
      </c>
      <c r="CZ51" s="188">
        <f t="shared" si="57"/>
        <v>1.0978373100311616</v>
      </c>
      <c r="DA51" s="172">
        <f t="shared" si="58"/>
        <v>350</v>
      </c>
      <c r="DB51" s="379">
        <f t="shared" si="115"/>
        <v>350</v>
      </c>
      <c r="DD51" s="188">
        <f t="shared" si="59"/>
        <v>9.8072469146822137</v>
      </c>
      <c r="DE51" s="150">
        <f t="shared" si="60"/>
        <v>1.5014351954073746</v>
      </c>
      <c r="DF51" s="150">
        <f t="shared" si="61"/>
        <v>2.4718134248028734</v>
      </c>
      <c r="DG51" s="150"/>
      <c r="DH51" s="150">
        <f t="shared" si="62"/>
        <v>0.92784522751949461</v>
      </c>
      <c r="DI51" s="314">
        <f t="shared" si="63"/>
        <v>682.23231765957451</v>
      </c>
      <c r="DJ51" s="456">
        <f t="shared" si="64"/>
        <v>0.94395997276890675</v>
      </c>
      <c r="DL51" s="150">
        <f t="shared" si="65"/>
        <v>8.3644929099938512</v>
      </c>
      <c r="DM51" s="150">
        <f t="shared" si="66"/>
        <v>8.3644929099938512</v>
      </c>
      <c r="DN51" s="150">
        <f t="shared" si="67"/>
        <v>2.9065828513983636</v>
      </c>
      <c r="DP51" s="314">
        <f t="shared" si="68"/>
        <v>1840</v>
      </c>
      <c r="DQ51" s="144">
        <f t="shared" si="69"/>
        <v>350</v>
      </c>
      <c r="DS51">
        <f t="shared" si="116"/>
        <v>1840</v>
      </c>
      <c r="DT51" s="144">
        <f t="shared" si="70"/>
        <v>350</v>
      </c>
      <c r="DU51" s="144"/>
      <c r="DV51" s="5">
        <f t="shared" si="117"/>
        <v>2.8571428571428572</v>
      </c>
      <c r="DW51" s="5">
        <f t="shared" si="71"/>
        <v>1.1562681375579733</v>
      </c>
      <c r="DX51" s="5">
        <f t="shared" si="118"/>
        <v>1.7008747195848839</v>
      </c>
      <c r="DY51" s="150">
        <f t="shared" si="119"/>
        <v>0.40469384814529064</v>
      </c>
      <c r="EA51" s="5">
        <f t="shared" si="72"/>
        <v>7.09177791035557</v>
      </c>
      <c r="EB51" s="5">
        <f t="shared" si="73"/>
        <v>7.5350140297527926</v>
      </c>
      <c r="EC51" s="5">
        <f t="shared" si="74"/>
        <v>1.6243647841018267</v>
      </c>
      <c r="ED51" s="5"/>
      <c r="EE51" s="150">
        <f t="shared" si="120"/>
        <v>3.0721491136403678</v>
      </c>
      <c r="EF51" s="150">
        <f t="shared" si="75"/>
        <v>3.574152770244571</v>
      </c>
      <c r="EG51" s="150">
        <f t="shared" si="76"/>
        <v>0.71744243491947746</v>
      </c>
      <c r="EH51" s="150"/>
      <c r="EI51" s="456">
        <f t="shared" si="77"/>
        <v>0.11325720211729558</v>
      </c>
      <c r="EJ51" s="456">
        <f t="shared" si="78"/>
        <v>3.5988648969894053</v>
      </c>
      <c r="EK51" s="456">
        <f t="shared" si="79"/>
        <v>4.0250000000000001E-2</v>
      </c>
      <c r="EL51" s="456">
        <f t="shared" si="80"/>
        <v>0.75820555125</v>
      </c>
      <c r="EM51">
        <f t="shared" si="81"/>
        <v>1.5299999999999999E-2</v>
      </c>
      <c r="EN51" s="144">
        <f t="shared" si="121"/>
        <v>55.550000000000004</v>
      </c>
      <c r="EO51">
        <f t="shared" si="82"/>
        <v>4.6824617242328985</v>
      </c>
      <c r="EP51" s="144">
        <f t="shared" si="122"/>
        <v>4682.4617242328986</v>
      </c>
      <c r="EQ51" s="150">
        <f t="shared" si="83"/>
        <v>1.2339039999999999</v>
      </c>
      <c r="ER51" s="150">
        <f t="shared" si="169"/>
        <v>0.18728900000000001</v>
      </c>
      <c r="ES51" s="456"/>
      <c r="EU51" s="144">
        <f t="shared" si="123"/>
        <v>1421.193</v>
      </c>
      <c r="EV51" s="456">
        <f t="shared" si="85"/>
        <v>0.13213340247017816</v>
      </c>
      <c r="EW51" s="456">
        <f t="shared" si="124"/>
        <v>0.17884395235065717</v>
      </c>
      <c r="EX51" s="456">
        <f t="shared" si="86"/>
        <v>2.5736182371159434E-3</v>
      </c>
      <c r="EY51" s="456">
        <f t="shared" si="87"/>
        <v>23.186711515937613</v>
      </c>
      <c r="EZ51" s="456">
        <f t="shared" si="88"/>
        <v>24.182100411703448</v>
      </c>
      <c r="FA51" s="538">
        <f t="shared" si="89"/>
        <v>2.4487659574468097</v>
      </c>
      <c r="FB51" s="144">
        <f t="shared" si="125"/>
        <v>26630.866369150259</v>
      </c>
      <c r="FC51" s="150">
        <f t="shared" si="126"/>
        <v>32.734521093383158</v>
      </c>
      <c r="FD51" s="5">
        <f t="shared" si="127"/>
        <v>57.546000000000006</v>
      </c>
      <c r="FE51" s="150">
        <f t="shared" si="128"/>
        <v>0.63741324599219296</v>
      </c>
      <c r="FF51" s="5">
        <f t="shared" si="129"/>
        <v>63.741324599219297</v>
      </c>
      <c r="FG51">
        <f t="shared" si="130"/>
        <v>46</v>
      </c>
      <c r="FI51" s="59">
        <f t="shared" si="90"/>
        <v>-50</v>
      </c>
      <c r="FJ51">
        <f t="shared" si="91"/>
        <v>-50</v>
      </c>
      <c r="FL51">
        <f t="shared" si="92"/>
        <v>0.44624161498830256</v>
      </c>
    </row>
    <row r="52" spans="5:168">
      <c r="E52" s="147">
        <v>47</v>
      </c>
      <c r="F52" s="188">
        <f t="shared" si="173"/>
        <v>1.88</v>
      </c>
      <c r="G52" s="188">
        <f t="shared" si="170"/>
        <v>0.39949999999999997</v>
      </c>
      <c r="H52" s="188">
        <f t="shared" si="135"/>
        <v>56.4</v>
      </c>
      <c r="I52" s="188">
        <f t="shared" si="174"/>
        <v>2.3969999999999998</v>
      </c>
      <c r="J52" s="465">
        <f t="shared" si="136"/>
        <v>33.868535625093976</v>
      </c>
      <c r="K52" s="379">
        <f t="shared" si="137"/>
        <v>30.79909167353728</v>
      </c>
      <c r="L52" s="149">
        <f t="shared" si="138"/>
        <v>64.66762729863126</v>
      </c>
      <c r="M52" s="379"/>
      <c r="N52" s="188">
        <f t="shared" si="139"/>
        <v>0.47626753849045528</v>
      </c>
      <c r="O52" s="149">
        <f t="shared" si="171"/>
        <v>234.43767305340896</v>
      </c>
      <c r="P52" s="149">
        <f t="shared" si="140"/>
        <v>9.9636011047698787</v>
      </c>
      <c r="Q52" s="188">
        <f t="shared" si="6"/>
        <v>7.8145891017802986</v>
      </c>
      <c r="R52" s="188">
        <f t="shared" si="141"/>
        <v>39.072945508901491</v>
      </c>
      <c r="S52" s="379">
        <f t="shared" si="142"/>
        <v>30</v>
      </c>
      <c r="T52" s="188">
        <f t="shared" si="143"/>
        <v>7.2901717835322009</v>
      </c>
      <c r="U52" s="188">
        <f t="shared" si="10"/>
        <v>1.0116707661022846</v>
      </c>
      <c r="V52" s="188">
        <f t="shared" si="11"/>
        <v>1.1124940873513149</v>
      </c>
      <c r="W52" s="172">
        <f t="shared" si="12"/>
        <v>350</v>
      </c>
      <c r="X52" s="379">
        <f t="shared" si="95"/>
        <v>350</v>
      </c>
      <c r="Z52" s="188">
        <f t="shared" si="13"/>
        <v>9.8057654069542863</v>
      </c>
      <c r="AA52" s="150">
        <f t="shared" si="14"/>
        <v>1.496378461455842</v>
      </c>
      <c r="AB52" s="150">
        <f t="shared" si="144"/>
        <v>2.4631163806087821</v>
      </c>
      <c r="AC52" s="150"/>
      <c r="AD52" s="150">
        <f t="shared" si="16"/>
        <v>0.92486001817134089</v>
      </c>
      <c r="AE52" s="314">
        <f t="shared" si="145"/>
        <v>699.31339585725175</v>
      </c>
      <c r="AF52" s="456">
        <f t="shared" si="146"/>
        <v>0.94092291653213944</v>
      </c>
      <c r="AH52" s="150">
        <f t="shared" si="147"/>
        <v>8.4549224884509897</v>
      </c>
      <c r="AI52" s="150">
        <f t="shared" si="148"/>
        <v>8.4549224884509897</v>
      </c>
      <c r="AJ52" s="150">
        <f t="shared" si="149"/>
        <v>2.9735677243295773</v>
      </c>
      <c r="AL52" s="314">
        <f t="shared" si="150"/>
        <v>1880</v>
      </c>
      <c r="AM52" s="144">
        <f t="shared" si="151"/>
        <v>350</v>
      </c>
      <c r="AO52">
        <f t="shared" si="96"/>
        <v>1880</v>
      </c>
      <c r="AP52" s="144">
        <f t="shared" si="24"/>
        <v>350</v>
      </c>
      <c r="AQ52" s="144"/>
      <c r="AR52" s="5">
        <f t="shared" si="97"/>
        <v>2.8571428571428572</v>
      </c>
      <c r="AS52" s="5">
        <f t="shared" si="25"/>
        <v>1.1733053987216606</v>
      </c>
      <c r="AT52" s="5">
        <f t="shared" si="98"/>
        <v>1.6838374584211966</v>
      </c>
      <c r="AU52" s="150">
        <f t="shared" si="99"/>
        <v>0.41065688955258123</v>
      </c>
      <c r="AW52" s="5">
        <f t="shared" si="152"/>
        <v>7.3527138319890728</v>
      </c>
      <c r="AX52" s="5">
        <f t="shared" si="153"/>
        <v>7.8122584464883893</v>
      </c>
      <c r="AY52" s="5">
        <f t="shared" si="28"/>
        <v>1.649430153492935</v>
      </c>
      <c r="AZ52" s="5"/>
      <c r="BA52" s="150">
        <f t="shared" si="100"/>
        <v>3.1281571292597574</v>
      </c>
      <c r="BB52" s="150">
        <f t="shared" si="154"/>
        <v>3.594653592922731</v>
      </c>
      <c r="BC52" s="150">
        <f t="shared" si="155"/>
        <v>0.72155758082552812</v>
      </c>
      <c r="BD52" s="150"/>
      <c r="BE52" s="456">
        <f t="shared" si="31"/>
        <v>0.11742440430406377</v>
      </c>
      <c r="BF52" s="456">
        <f t="shared" si="156"/>
        <v>3.4924280712565485</v>
      </c>
      <c r="BG52" s="456">
        <f t="shared" si="33"/>
        <v>4.0250000000000001E-2</v>
      </c>
      <c r="BH52" s="456">
        <f t="shared" si="34"/>
        <v>0.75744700345123128</v>
      </c>
      <c r="BI52">
        <f t="shared" si="35"/>
        <v>1.524084103129229E-2</v>
      </c>
      <c r="BJ52" s="144">
        <f t="shared" si="101"/>
        <v>55.490841031292284</v>
      </c>
      <c r="BK52">
        <f t="shared" si="157"/>
        <v>4.5252589674183445</v>
      </c>
      <c r="BL52" s="144">
        <f t="shared" si="102"/>
        <v>4525.2589674183446</v>
      </c>
      <c r="BM52" s="150">
        <f t="shared" si="158"/>
        <v>1.2607279999999998</v>
      </c>
      <c r="BN52" s="150">
        <f t="shared" si="159"/>
        <v>0.19136049999999999</v>
      </c>
      <c r="BO52" s="456"/>
      <c r="BQ52" s="144">
        <f t="shared" si="103"/>
        <v>1452.0884999999998</v>
      </c>
      <c r="BR52" s="456">
        <f t="shared" si="39"/>
        <v>0.13699513835474106</v>
      </c>
      <c r="BS52" s="456">
        <f t="shared" si="104"/>
        <v>0.1809014823435722</v>
      </c>
      <c r="BT52" s="456">
        <f t="shared" si="160"/>
        <v>2.6032267122339425E-3</v>
      </c>
      <c r="BU52" s="456">
        <f t="shared" si="41"/>
        <v>23.818488137438667</v>
      </c>
      <c r="BV52" s="456">
        <f t="shared" si="161"/>
        <v>24.853142211135058</v>
      </c>
      <c r="BW52" s="538">
        <f t="shared" si="162"/>
        <v>2.5019999999999998</v>
      </c>
      <c r="BX52" s="144">
        <f t="shared" si="105"/>
        <v>27355.142211135058</v>
      </c>
      <c r="BY52" s="150">
        <f t="shared" si="106"/>
        <v>33.332489678553401</v>
      </c>
      <c r="BZ52" s="5">
        <f t="shared" si="107"/>
        <v>58.796999999999997</v>
      </c>
      <c r="CA52" s="150">
        <f t="shared" si="108"/>
        <v>0.63819956243269205</v>
      </c>
      <c r="CB52" s="5">
        <f t="shared" si="109"/>
        <v>63.819956243269203</v>
      </c>
      <c r="CC52">
        <f t="shared" si="172"/>
        <v>47</v>
      </c>
      <c r="CE52" s="59">
        <f t="shared" si="163"/>
        <v>-50</v>
      </c>
      <c r="CF52">
        <f t="shared" si="164"/>
        <v>-50</v>
      </c>
      <c r="CG52" s="150">
        <f t="shared" si="165"/>
        <v>0.45106598887057475</v>
      </c>
      <c r="CH52" s="150">
        <f t="shared" si="166"/>
        <v>9.5208263389524081E-2</v>
      </c>
      <c r="CI52" s="147">
        <v>47</v>
      </c>
      <c r="CJ52" s="188">
        <f t="shared" si="133"/>
        <v>1.88</v>
      </c>
      <c r="CK52" s="188">
        <f t="shared" si="111"/>
        <v>0.39949999999999997</v>
      </c>
      <c r="CL52" s="188">
        <f t="shared" si="48"/>
        <v>56.4</v>
      </c>
      <c r="CM52" s="188">
        <f t="shared" si="134"/>
        <v>2.3969999999999998</v>
      </c>
      <c r="CN52" s="465">
        <f t="shared" si="112"/>
        <v>34</v>
      </c>
      <c r="CO52" s="379">
        <f t="shared" si="167"/>
        <v>30.7</v>
      </c>
      <c r="CP52" s="379">
        <f t="shared" si="168"/>
        <v>64.7</v>
      </c>
      <c r="CQ52" s="379"/>
      <c r="CR52" s="188">
        <f t="shared" si="113"/>
        <v>0.47204968944099374</v>
      </c>
      <c r="CS52" s="149">
        <f t="shared" si="114"/>
        <v>233.26341749863801</v>
      </c>
      <c r="CT52" s="149">
        <f t="shared" si="51"/>
        <v>9.9136952436921142</v>
      </c>
      <c r="CU52" s="188">
        <f t="shared" si="52"/>
        <v>7.7754472499545999</v>
      </c>
      <c r="CV52" s="188">
        <f t="shared" si="53"/>
        <v>38.877236249772999</v>
      </c>
      <c r="CW52" s="379">
        <f t="shared" si="54"/>
        <v>30</v>
      </c>
      <c r="CX52" s="188">
        <f t="shared" si="55"/>
        <v>7.3268707430340561</v>
      </c>
      <c r="CY52" s="188">
        <f t="shared" si="56"/>
        <v>1.0128321321252958</v>
      </c>
      <c r="CZ52" s="188">
        <f t="shared" si="57"/>
        <v>1.1217033385100998</v>
      </c>
      <c r="DA52" s="172">
        <f t="shared" si="58"/>
        <v>350</v>
      </c>
      <c r="DB52" s="379">
        <f t="shared" si="115"/>
        <v>350</v>
      </c>
      <c r="DD52" s="188">
        <f t="shared" si="59"/>
        <v>9.8072469146822137</v>
      </c>
      <c r="DE52" s="150">
        <f t="shared" si="60"/>
        <v>1.5014351954073746</v>
      </c>
      <c r="DF52" s="150">
        <f t="shared" si="61"/>
        <v>2.4718134248028734</v>
      </c>
      <c r="DG52" s="150"/>
      <c r="DH52" s="150">
        <f t="shared" si="62"/>
        <v>0.92784522751949461</v>
      </c>
      <c r="DI52" s="314">
        <f t="shared" si="63"/>
        <v>697.06345499999986</v>
      </c>
      <c r="DJ52" s="456">
        <f t="shared" si="64"/>
        <v>0.94395997276890675</v>
      </c>
      <c r="DL52" s="150">
        <f t="shared" si="65"/>
        <v>8.4549224884509897</v>
      </c>
      <c r="DM52" s="150">
        <f t="shared" si="66"/>
        <v>8.4549224884509897</v>
      </c>
      <c r="DN52" s="150">
        <f t="shared" si="67"/>
        <v>2.9735677243295773</v>
      </c>
      <c r="DP52" s="314">
        <f t="shared" si="68"/>
        <v>1880</v>
      </c>
      <c r="DQ52" s="144">
        <f t="shared" si="69"/>
        <v>350</v>
      </c>
      <c r="DS52">
        <f t="shared" si="116"/>
        <v>1880</v>
      </c>
      <c r="DT52" s="144">
        <f t="shared" si="70"/>
        <v>350</v>
      </c>
      <c r="DU52" s="144"/>
      <c r="DV52" s="5">
        <f t="shared" si="117"/>
        <v>2.8571428571428572</v>
      </c>
      <c r="DW52" s="5">
        <f t="shared" si="71"/>
        <v>1.1687686969329312</v>
      </c>
      <c r="DX52" s="5">
        <f t="shared" si="118"/>
        <v>1.688374160209926</v>
      </c>
      <c r="DY52" s="150">
        <f t="shared" si="119"/>
        <v>0.40906904392652588</v>
      </c>
      <c r="EA52" s="5">
        <f t="shared" si="72"/>
        <v>7.3242838341130359</v>
      </c>
      <c r="EB52" s="5">
        <f t="shared" si="73"/>
        <v>7.7820515737451004</v>
      </c>
      <c r="EC52" s="5">
        <f t="shared" si="74"/>
        <v>1.6474792843570902</v>
      </c>
      <c r="ED52" s="5"/>
      <c r="EE52" s="150">
        <f t="shared" si="120"/>
        <v>3.1221036069324546</v>
      </c>
      <c r="EF52" s="150">
        <f t="shared" si="75"/>
        <v>3.5994928075542703</v>
      </c>
      <c r="EG52" s="150">
        <f t="shared" si="76"/>
        <v>0.72252896010098977</v>
      </c>
      <c r="EH52" s="150"/>
      <c r="EI52" s="456">
        <f t="shared" si="77"/>
        <v>0.11697037118904773</v>
      </c>
      <c r="EJ52" s="456">
        <f t="shared" si="78"/>
        <v>3.6377726752684802</v>
      </c>
      <c r="EK52" s="456">
        <f t="shared" si="79"/>
        <v>4.0250000000000001E-2</v>
      </c>
      <c r="EL52" s="456">
        <f t="shared" si="80"/>
        <v>0.75820555125</v>
      </c>
      <c r="EM52">
        <f t="shared" si="81"/>
        <v>1.5299999999999999E-2</v>
      </c>
      <c r="EN52" s="144">
        <f t="shared" si="121"/>
        <v>55.550000000000004</v>
      </c>
      <c r="EO52">
        <f t="shared" si="82"/>
        <v>4.7315814680623713</v>
      </c>
      <c r="EP52" s="144">
        <f t="shared" si="122"/>
        <v>4731.5814680623716</v>
      </c>
      <c r="EQ52" s="150">
        <f t="shared" si="83"/>
        <v>1.2607279999999998</v>
      </c>
      <c r="ER52" s="150">
        <f t="shared" si="169"/>
        <v>0.19136049999999999</v>
      </c>
      <c r="ES52" s="456"/>
      <c r="EU52" s="144">
        <f t="shared" si="123"/>
        <v>1452.0884999999998</v>
      </c>
      <c r="EV52" s="456">
        <f t="shared" si="85"/>
        <v>0.136465433053889</v>
      </c>
      <c r="EW52" s="456">
        <f t="shared" si="124"/>
        <v>0.18138887860288894</v>
      </c>
      <c r="EX52" s="456">
        <f t="shared" si="86"/>
        <v>2.610240490923088E-3</v>
      </c>
      <c r="EY52" s="456">
        <f t="shared" si="87"/>
        <v>23.818488137438667</v>
      </c>
      <c r="EZ52" s="456">
        <f t="shared" si="88"/>
        <v>24.853025271144443</v>
      </c>
      <c r="FA52" s="538">
        <f t="shared" si="89"/>
        <v>2.5019999999999998</v>
      </c>
      <c r="FB52" s="144">
        <f t="shared" si="125"/>
        <v>27355.025271144441</v>
      </c>
      <c r="FC52" s="150">
        <f t="shared" si="126"/>
        <v>33.538695239206817</v>
      </c>
      <c r="FD52" s="5">
        <f t="shared" si="127"/>
        <v>58.796999999999997</v>
      </c>
      <c r="FE52" s="150">
        <f t="shared" si="128"/>
        <v>0.63677432489872132</v>
      </c>
      <c r="FF52" s="5">
        <f t="shared" si="129"/>
        <v>63.677432489872132</v>
      </c>
      <c r="FG52">
        <f t="shared" si="130"/>
        <v>47</v>
      </c>
      <c r="FI52" s="59">
        <f t="shared" si="90"/>
        <v>-50</v>
      </c>
      <c r="FJ52">
        <f t="shared" si="91"/>
        <v>-50</v>
      </c>
      <c r="FL52">
        <f t="shared" si="92"/>
        <v>0.45106598887057475</v>
      </c>
    </row>
    <row r="53" spans="5:168">
      <c r="E53" s="147">
        <v>48</v>
      </c>
      <c r="F53" s="188">
        <f t="shared" si="173"/>
        <v>1.92</v>
      </c>
      <c r="G53" s="188">
        <f t="shared" si="170"/>
        <v>0.40799999999999997</v>
      </c>
      <c r="H53" s="188">
        <f t="shared" si="135"/>
        <v>57.599999999999994</v>
      </c>
      <c r="I53" s="188">
        <f t="shared" si="174"/>
        <v>2.448</v>
      </c>
      <c r="J53" s="465">
        <f t="shared" si="136"/>
        <v>33.867144428945302</v>
      </c>
      <c r="K53" s="379">
        <f t="shared" si="137"/>
        <v>30.800140291877341</v>
      </c>
      <c r="L53" s="149">
        <f t="shared" si="138"/>
        <v>64.667284720822636</v>
      </c>
      <c r="M53" s="379"/>
      <c r="N53" s="188">
        <f t="shared" si="139"/>
        <v>0.47628627713140714</v>
      </c>
      <c r="O53" s="149">
        <f t="shared" si="171"/>
        <v>234.43726672674998</v>
      </c>
      <c r="P53" s="149">
        <f t="shared" si="140"/>
        <v>9.9635838358868742</v>
      </c>
      <c r="Q53" s="188">
        <f t="shared" si="6"/>
        <v>7.8145755575583324</v>
      </c>
      <c r="R53" s="188">
        <f t="shared" si="141"/>
        <v>39.072877787791661</v>
      </c>
      <c r="S53" s="379">
        <f t="shared" si="142"/>
        <v>30</v>
      </c>
      <c r="T53" s="188">
        <f t="shared" si="143"/>
        <v>7.4452947256417739</v>
      </c>
      <c r="U53" s="188">
        <f t="shared" si="10"/>
        <v>1.033239908488089</v>
      </c>
      <c r="V53" s="188">
        <f t="shared" si="11"/>
        <v>1.1361274617227868</v>
      </c>
      <c r="W53" s="172">
        <f t="shared" si="12"/>
        <v>350</v>
      </c>
      <c r="X53" s="379">
        <f t="shared" si="95"/>
        <v>350</v>
      </c>
      <c r="Z53" s="188">
        <f t="shared" si="13"/>
        <v>9.8057484116316296</v>
      </c>
      <c r="AA53" s="150">
        <f t="shared" si="14"/>
        <v>1.4963249224816939</v>
      </c>
      <c r="AB53" s="150">
        <f t="shared" si="144"/>
        <v>2.4630239837738088</v>
      </c>
      <c r="AC53" s="150"/>
      <c r="AD53" s="150">
        <f t="shared" si="16"/>
        <v>0.92482853048434166</v>
      </c>
      <c r="AE53" s="314">
        <f t="shared" si="145"/>
        <v>714.21672042716409</v>
      </c>
      <c r="AF53" s="456">
        <f t="shared" si="146"/>
        <v>0.94089088196939052</v>
      </c>
      <c r="AH53" s="150">
        <f t="shared" si="147"/>
        <v>8.5443950593410172</v>
      </c>
      <c r="AI53" s="150">
        <f t="shared" si="148"/>
        <v>8.5443950593410172</v>
      </c>
      <c r="AJ53" s="150">
        <f t="shared" si="149"/>
        <v>3.0398437027666345</v>
      </c>
      <c r="AL53" s="314">
        <f t="shared" si="150"/>
        <v>1920</v>
      </c>
      <c r="AM53" s="144">
        <f t="shared" si="151"/>
        <v>350</v>
      </c>
      <c r="AO53">
        <f t="shared" si="96"/>
        <v>1920</v>
      </c>
      <c r="AP53" s="144">
        <f t="shared" si="24"/>
        <v>350</v>
      </c>
      <c r="AQ53" s="144"/>
      <c r="AR53" s="5">
        <f t="shared" si="97"/>
        <v>2.8571428571428572</v>
      </c>
      <c r="AS53" s="5">
        <f t="shared" si="25"/>
        <v>1.1857703817680092</v>
      </c>
      <c r="AT53" s="5">
        <f t="shared" si="98"/>
        <v>1.671372475374848</v>
      </c>
      <c r="AU53" s="150">
        <f t="shared" si="99"/>
        <v>0.41501963361880323</v>
      </c>
      <c r="AW53" s="5">
        <f t="shared" si="152"/>
        <v>7.5889304433152596</v>
      </c>
      <c r="AX53" s="5">
        <f t="shared" si="153"/>
        <v>8.0632385960224635</v>
      </c>
      <c r="AY53" s="5">
        <f t="shared" si="28"/>
        <v>1.6721230284304178</v>
      </c>
      <c r="AZ53" s="5"/>
      <c r="BA53" s="150">
        <f t="shared" si="100"/>
        <v>3.1780082054356584</v>
      </c>
      <c r="BB53" s="150">
        <f t="shared" si="154"/>
        <v>3.619222425991989</v>
      </c>
      <c r="BC53" s="150">
        <f t="shared" si="155"/>
        <v>0.72648930158662273</v>
      </c>
      <c r="BD53" s="150"/>
      <c r="BE53" s="456">
        <f t="shared" si="31"/>
        <v>0.12119683384579651</v>
      </c>
      <c r="BF53" s="456">
        <f t="shared" si="156"/>
        <v>3.5293673142945434</v>
      </c>
      <c r="BG53" s="456">
        <f t="shared" si="33"/>
        <v>4.0250000000000001E-2</v>
      </c>
      <c r="BH53" s="456">
        <f t="shared" si="34"/>
        <v>0.75743897829681883</v>
      </c>
      <c r="BI53">
        <f t="shared" si="35"/>
        <v>1.5240214993025386E-2</v>
      </c>
      <c r="BJ53" s="144">
        <f t="shared" si="101"/>
        <v>55.49021499302539</v>
      </c>
      <c r="BK53">
        <f t="shared" si="157"/>
        <v>4.5723946286717609</v>
      </c>
      <c r="BL53" s="144">
        <f t="shared" si="102"/>
        <v>4572.394628671761</v>
      </c>
      <c r="BM53" s="150">
        <f t="shared" si="158"/>
        <v>1.2875519999999998</v>
      </c>
      <c r="BN53" s="150">
        <f t="shared" si="159"/>
        <v>0.19543199999999997</v>
      </c>
      <c r="BO53" s="456"/>
      <c r="BQ53" s="144">
        <f t="shared" si="103"/>
        <v>1482.9839999999999</v>
      </c>
      <c r="BR53" s="456">
        <f t="shared" si="39"/>
        <v>0.14139630615342924</v>
      </c>
      <c r="BS53" s="456">
        <f t="shared" si="104"/>
        <v>0.18338279356324674</v>
      </c>
      <c r="BT53" s="456">
        <f t="shared" si="160"/>
        <v>2.6389335265990942E-3</v>
      </c>
      <c r="BU53" s="456">
        <f t="shared" si="41"/>
        <v>24.453634449361605</v>
      </c>
      <c r="BV53" s="456">
        <f t="shared" si="161"/>
        <v>25.528307057692064</v>
      </c>
      <c r="BW53" s="538">
        <f t="shared" si="162"/>
        <v>2.5552340425531912</v>
      </c>
      <c r="BX53" s="144">
        <f t="shared" si="105"/>
        <v>28083.541100245257</v>
      </c>
      <c r="BY53" s="150">
        <f t="shared" si="106"/>
        <v>34.138919728917017</v>
      </c>
      <c r="BZ53" s="5">
        <f t="shared" si="107"/>
        <v>60.047999999999995</v>
      </c>
      <c r="CA53" s="150">
        <f t="shared" si="108"/>
        <v>0.63754075590141857</v>
      </c>
      <c r="CB53" s="5">
        <f t="shared" si="109"/>
        <v>63.754075590141859</v>
      </c>
      <c r="CC53">
        <f t="shared" si="172"/>
        <v>48</v>
      </c>
      <c r="CE53" s="59">
        <f t="shared" si="163"/>
        <v>-50</v>
      </c>
      <c r="CF53">
        <f t="shared" si="164"/>
        <v>-50</v>
      </c>
      <c r="CG53" s="150">
        <f t="shared" si="165"/>
        <v>0.45583930686614826</v>
      </c>
      <c r="CH53" s="150">
        <f t="shared" si="166"/>
        <v>9.6215786297873807E-2</v>
      </c>
      <c r="CI53" s="147">
        <v>48</v>
      </c>
      <c r="CJ53" s="188">
        <f t="shared" si="133"/>
        <v>1.92</v>
      </c>
      <c r="CK53" s="188">
        <f t="shared" si="111"/>
        <v>0.40799999999999997</v>
      </c>
      <c r="CL53" s="188">
        <f t="shared" si="48"/>
        <v>57.599999999999994</v>
      </c>
      <c r="CM53" s="188">
        <f t="shared" si="134"/>
        <v>2.448</v>
      </c>
      <c r="CN53" s="465">
        <f t="shared" si="112"/>
        <v>34</v>
      </c>
      <c r="CO53" s="379">
        <f t="shared" si="167"/>
        <v>30.7</v>
      </c>
      <c r="CP53" s="379">
        <f t="shared" si="168"/>
        <v>64.7</v>
      </c>
      <c r="CQ53" s="379"/>
      <c r="CR53" s="188">
        <f t="shared" si="113"/>
        <v>0.47204968944099374</v>
      </c>
      <c r="CS53" s="149">
        <f t="shared" si="114"/>
        <v>233.26341749863801</v>
      </c>
      <c r="CT53" s="149">
        <f t="shared" si="51"/>
        <v>9.9136952436921142</v>
      </c>
      <c r="CU53" s="188">
        <f t="shared" si="52"/>
        <v>7.7754472499545999</v>
      </c>
      <c r="CV53" s="188">
        <f t="shared" si="53"/>
        <v>38.877236249772999</v>
      </c>
      <c r="CW53" s="379">
        <f t="shared" si="54"/>
        <v>30</v>
      </c>
      <c r="CX53" s="188">
        <f t="shared" si="55"/>
        <v>7.4827616099071204</v>
      </c>
      <c r="CY53" s="188">
        <f t="shared" si="56"/>
        <v>1.0343817519577487</v>
      </c>
      <c r="CZ53" s="188">
        <f t="shared" si="57"/>
        <v>1.1455693669890379</v>
      </c>
      <c r="DA53" s="172">
        <f t="shared" si="58"/>
        <v>350</v>
      </c>
      <c r="DB53" s="379">
        <f t="shared" si="115"/>
        <v>350</v>
      </c>
      <c r="DD53" s="188">
        <f t="shared" si="59"/>
        <v>9.8072469146822137</v>
      </c>
      <c r="DE53" s="150">
        <f t="shared" si="60"/>
        <v>1.5014351954073746</v>
      </c>
      <c r="DF53" s="150">
        <f t="shared" si="61"/>
        <v>2.4718134248028734</v>
      </c>
      <c r="DG53" s="150"/>
      <c r="DH53" s="150">
        <f t="shared" si="62"/>
        <v>0.92784522751949461</v>
      </c>
      <c r="DI53" s="314">
        <f t="shared" si="63"/>
        <v>711.89459234042556</v>
      </c>
      <c r="DJ53" s="456">
        <f t="shared" si="64"/>
        <v>0.94395997276890675</v>
      </c>
      <c r="DL53" s="150">
        <f t="shared" si="65"/>
        <v>8.5443950593410172</v>
      </c>
      <c r="DM53" s="150">
        <f t="shared" si="66"/>
        <v>8.5443950593410172</v>
      </c>
      <c r="DN53" s="150">
        <f t="shared" si="67"/>
        <v>3.0398437027666345</v>
      </c>
      <c r="DP53" s="314">
        <f t="shared" si="68"/>
        <v>1920</v>
      </c>
      <c r="DQ53" s="144">
        <f t="shared" si="69"/>
        <v>350</v>
      </c>
      <c r="DS53">
        <f t="shared" si="116"/>
        <v>1920</v>
      </c>
      <c r="DT53" s="144">
        <f t="shared" si="70"/>
        <v>350</v>
      </c>
      <c r="DU53" s="144"/>
      <c r="DV53" s="5">
        <f t="shared" si="117"/>
        <v>2.8571428571428572</v>
      </c>
      <c r="DW53" s="5">
        <f t="shared" si="71"/>
        <v>1.1811369640853759</v>
      </c>
      <c r="DX53" s="5">
        <f t="shared" si="118"/>
        <v>1.6760058930574813</v>
      </c>
      <c r="DY53" s="150">
        <f t="shared" si="119"/>
        <v>0.41339793742988157</v>
      </c>
      <c r="EA53" s="5">
        <f t="shared" si="72"/>
        <v>7.5592765701464062</v>
      </c>
      <c r="EB53" s="5">
        <f t="shared" si="73"/>
        <v>8.0317313557805559</v>
      </c>
      <c r="EC53" s="5">
        <f t="shared" si="74"/>
        <v>1.670206564707801</v>
      </c>
      <c r="ED53" s="5"/>
      <c r="EE53" s="150">
        <f t="shared" si="120"/>
        <v>3.171793067834491</v>
      </c>
      <c r="EF53" s="150">
        <f t="shared" si="75"/>
        <v>3.624235600315981</v>
      </c>
      <c r="EG53" s="150">
        <f t="shared" si="76"/>
        <v>0.7274955999249656</v>
      </c>
      <c r="EH53" s="150"/>
      <c r="EI53" s="456">
        <f t="shared" si="77"/>
        <v>0.12072325518195519</v>
      </c>
      <c r="EJ53" s="456">
        <f t="shared" si="78"/>
        <v>3.6762686962567703</v>
      </c>
      <c r="EK53" s="456">
        <f t="shared" si="79"/>
        <v>4.0250000000000001E-2</v>
      </c>
      <c r="EL53" s="456">
        <f t="shared" si="80"/>
        <v>0.75820555125</v>
      </c>
      <c r="EM53">
        <f t="shared" si="81"/>
        <v>1.5299999999999999E-2</v>
      </c>
      <c r="EN53" s="144">
        <f t="shared" si="121"/>
        <v>55.550000000000004</v>
      </c>
      <c r="EO53">
        <f t="shared" si="82"/>
        <v>4.7804648978059516</v>
      </c>
      <c r="EP53" s="144">
        <f t="shared" si="122"/>
        <v>4780.4648978059513</v>
      </c>
      <c r="EQ53" s="150">
        <f t="shared" si="83"/>
        <v>1.2875519999999998</v>
      </c>
      <c r="ER53" s="150">
        <f t="shared" si="169"/>
        <v>0.19543199999999997</v>
      </c>
      <c r="ES53" s="456"/>
      <c r="EU53" s="144">
        <f t="shared" si="123"/>
        <v>1482.9839999999999</v>
      </c>
      <c r="EV53" s="456">
        <f t="shared" si="85"/>
        <v>0.14084379771228106</v>
      </c>
      <c r="EW53" s="456">
        <f t="shared" si="124"/>
        <v>0.18389117161236834</v>
      </c>
      <c r="EX53" s="456">
        <f t="shared" si="86"/>
        <v>2.646249239550928E-3</v>
      </c>
      <c r="EY53" s="456">
        <f t="shared" si="87"/>
        <v>24.453634449361605</v>
      </c>
      <c r="EZ53" s="456">
        <f t="shared" si="88"/>
        <v>25.528182972317794</v>
      </c>
      <c r="FA53" s="538">
        <f t="shared" si="89"/>
        <v>2.5552340425531912</v>
      </c>
      <c r="FB53" s="144">
        <f t="shared" si="125"/>
        <v>28083.417014870985</v>
      </c>
      <c r="FC53" s="150">
        <f t="shared" si="126"/>
        <v>34.346865912676932</v>
      </c>
      <c r="FD53" s="5">
        <f t="shared" si="127"/>
        <v>60.047999999999995</v>
      </c>
      <c r="FE53" s="150">
        <f t="shared" si="128"/>
        <v>0.63613629215331879</v>
      </c>
      <c r="FF53" s="5">
        <f t="shared" si="129"/>
        <v>63.613629215331876</v>
      </c>
      <c r="FG53">
        <f t="shared" si="130"/>
        <v>48</v>
      </c>
      <c r="FI53" s="59">
        <f t="shared" si="90"/>
        <v>-50</v>
      </c>
      <c r="FJ53">
        <f t="shared" si="91"/>
        <v>-50</v>
      </c>
      <c r="FL53">
        <f t="shared" si="92"/>
        <v>0.45583930686614826</v>
      </c>
    </row>
    <row r="54" spans="5:168">
      <c r="E54" s="147">
        <v>49</v>
      </c>
      <c r="F54" s="188">
        <f t="shared" si="173"/>
        <v>1.96</v>
      </c>
      <c r="G54" s="188">
        <f t="shared" si="170"/>
        <v>0.41649999999999998</v>
      </c>
      <c r="H54" s="188">
        <f t="shared" si="135"/>
        <v>58.8</v>
      </c>
      <c r="I54" s="188">
        <f t="shared" si="174"/>
        <v>2.4989999999999997</v>
      </c>
      <c r="J54" s="465">
        <f t="shared" si="136"/>
        <v>33.865767650504395</v>
      </c>
      <c r="K54" s="379">
        <f t="shared" si="137"/>
        <v>30.801178042826191</v>
      </c>
      <c r="L54" s="149">
        <f t="shared" si="138"/>
        <v>64.66694569333059</v>
      </c>
      <c r="M54" s="379"/>
      <c r="N54" s="188">
        <f t="shared" si="139"/>
        <v>0.47630482176929012</v>
      </c>
      <c r="O54" s="149">
        <f t="shared" si="171"/>
        <v>234.43686396124829</v>
      </c>
      <c r="P54" s="149">
        <f t="shared" si="140"/>
        <v>9.9635667183530501</v>
      </c>
      <c r="Q54" s="188">
        <f t="shared" si="6"/>
        <v>7.8145621320416101</v>
      </c>
      <c r="R54" s="188">
        <f t="shared" si="141"/>
        <v>39.072810660208049</v>
      </c>
      <c r="S54" s="379">
        <f t="shared" si="142"/>
        <v>30</v>
      </c>
      <c r="T54" s="188">
        <f t="shared" si="143"/>
        <v>7.600418090018092</v>
      </c>
      <c r="U54" s="188">
        <f t="shared" si="10"/>
        <v>1.0548104325210237</v>
      </c>
      <c r="V54" s="188">
        <f t="shared" si="11"/>
        <v>1.1597597005353804</v>
      </c>
      <c r="W54" s="172">
        <f t="shared" si="12"/>
        <v>350</v>
      </c>
      <c r="X54" s="379">
        <f t="shared" si="95"/>
        <v>350</v>
      </c>
      <c r="Z54" s="188">
        <f t="shared" si="13"/>
        <v>9.8057315652606007</v>
      </c>
      <c r="AA54" s="150">
        <f t="shared" si="14"/>
        <v>1.4962719378020279</v>
      </c>
      <c r="AB54" s="150">
        <f t="shared" si="144"/>
        <v>2.4629325370511501</v>
      </c>
      <c r="AC54" s="150"/>
      <c r="AD54" s="150">
        <f t="shared" si="16"/>
        <v>0.92479737123180594</v>
      </c>
      <c r="AE54" s="314">
        <f t="shared" si="145"/>
        <v>729.12080091865391</v>
      </c>
      <c r="AF54" s="456">
        <f t="shared" si="146"/>
        <v>0.94085918154532977</v>
      </c>
      <c r="AH54" s="150">
        <f t="shared" si="147"/>
        <v>8.6329403782528278</v>
      </c>
      <c r="AI54" s="150">
        <f t="shared" si="148"/>
        <v>8.6329403782528278</v>
      </c>
      <c r="AJ54" s="150">
        <f t="shared" si="149"/>
        <v>3.105432827886494</v>
      </c>
      <c r="AL54" s="314">
        <f t="shared" si="150"/>
        <v>1960</v>
      </c>
      <c r="AM54" s="144">
        <f t="shared" si="151"/>
        <v>350</v>
      </c>
      <c r="AO54">
        <f t="shared" si="96"/>
        <v>1960</v>
      </c>
      <c r="AP54" s="144">
        <f t="shared" si="24"/>
        <v>350</v>
      </c>
      <c r="AQ54" s="144"/>
      <c r="AR54" s="5">
        <f t="shared" si="97"/>
        <v>2.8571428571428572</v>
      </c>
      <c r="AS54" s="5">
        <f t="shared" si="25"/>
        <v>1.1981071917967869</v>
      </c>
      <c r="AT54" s="5">
        <f t="shared" si="98"/>
        <v>1.6590356653460703</v>
      </c>
      <c r="AU54" s="150">
        <f t="shared" si="99"/>
        <v>0.4193375171288754</v>
      </c>
      <c r="AW54" s="5">
        <f t="shared" si="152"/>
        <v>7.8276336530723398</v>
      </c>
      <c r="AX54" s="5">
        <f t="shared" si="153"/>
        <v>8.316860756389362</v>
      </c>
      <c r="AY54" s="5">
        <f t="shared" si="28"/>
        <v>1.6944283249834509</v>
      </c>
      <c r="AZ54" s="5"/>
      <c r="BA54" s="150">
        <f t="shared" si="100"/>
        <v>3.227601985137134</v>
      </c>
      <c r="BB54" s="150">
        <f t="shared" si="154"/>
        <v>3.6432077232479623</v>
      </c>
      <c r="BC54" s="150">
        <f t="shared" si="155"/>
        <v>0.73130388875504282</v>
      </c>
      <c r="BD54" s="150"/>
      <c r="BE54" s="456">
        <f t="shared" si="31"/>
        <v>0.12500897489353405</v>
      </c>
      <c r="BF54" s="456">
        <f t="shared" si="156"/>
        <v>3.5659233507484358</v>
      </c>
      <c r="BG54" s="456">
        <f t="shared" si="33"/>
        <v>4.0250000000000001E-2</v>
      </c>
      <c r="BH54" s="456">
        <f t="shared" si="34"/>
        <v>0.7574310363532174</v>
      </c>
      <c r="BI54">
        <f t="shared" si="35"/>
        <v>1.5239595442726978E-2</v>
      </c>
      <c r="BJ54" s="144">
        <f t="shared" si="101"/>
        <v>55.48959544272698</v>
      </c>
      <c r="BK54">
        <f t="shared" si="157"/>
        <v>4.6193194224605643</v>
      </c>
      <c r="BL54" s="144">
        <f t="shared" si="102"/>
        <v>4619.3194224605641</v>
      </c>
      <c r="BM54" s="150">
        <f t="shared" si="158"/>
        <v>1.3143759999999998</v>
      </c>
      <c r="BN54" s="150">
        <f t="shared" si="159"/>
        <v>0.19950349999999997</v>
      </c>
      <c r="BO54" s="456"/>
      <c r="BQ54" s="144">
        <f t="shared" si="103"/>
        <v>1513.8794999999998</v>
      </c>
      <c r="BR54" s="456">
        <f t="shared" si="39"/>
        <v>0.14584380404245637</v>
      </c>
      <c r="BS54" s="456">
        <f t="shared" si="104"/>
        <v>0.18582147520627043</v>
      </c>
      <c r="BT54" s="456">
        <f t="shared" si="160"/>
        <v>2.6740268885412405E-3</v>
      </c>
      <c r="BU54" s="456">
        <f t="shared" si="41"/>
        <v>25.092097655202803</v>
      </c>
      <c r="BV54" s="456">
        <f t="shared" si="161"/>
        <v>26.207658421379953</v>
      </c>
      <c r="BW54" s="538">
        <f t="shared" si="162"/>
        <v>2.6084680851063831</v>
      </c>
      <c r="BX54" s="144">
        <f t="shared" si="105"/>
        <v>28816.126506486336</v>
      </c>
      <c r="BY54" s="150">
        <f t="shared" si="106"/>
        <v>34.949325428946899</v>
      </c>
      <c r="BZ54" s="5">
        <f t="shared" si="107"/>
        <v>61.298999999999999</v>
      </c>
      <c r="CA54" s="150">
        <f t="shared" si="108"/>
        <v>0.63688380786689702</v>
      </c>
      <c r="CB54" s="5">
        <f t="shared" si="109"/>
        <v>63.688380786689706</v>
      </c>
      <c r="CC54">
        <f t="shared" si="172"/>
        <v>49</v>
      </c>
      <c r="CE54" s="59">
        <f t="shared" si="163"/>
        <v>-50</v>
      </c>
      <c r="CF54">
        <f t="shared" si="164"/>
        <v>-50</v>
      </c>
      <c r="CG54" s="150">
        <f t="shared" si="165"/>
        <v>0.46056315642117052</v>
      </c>
      <c r="CH54" s="150">
        <f t="shared" si="166"/>
        <v>9.7212867708895673E-2</v>
      </c>
      <c r="CI54" s="147">
        <v>49</v>
      </c>
      <c r="CJ54" s="188">
        <f t="shared" si="133"/>
        <v>1.96</v>
      </c>
      <c r="CK54" s="188">
        <f t="shared" si="111"/>
        <v>0.41649999999999998</v>
      </c>
      <c r="CL54" s="188">
        <f t="shared" si="48"/>
        <v>58.8</v>
      </c>
      <c r="CM54" s="188">
        <f t="shared" si="134"/>
        <v>2.4989999999999997</v>
      </c>
      <c r="CN54" s="465">
        <f t="shared" si="112"/>
        <v>34</v>
      </c>
      <c r="CO54" s="379">
        <f t="shared" si="167"/>
        <v>30.7</v>
      </c>
      <c r="CP54" s="379">
        <f t="shared" si="168"/>
        <v>64.7</v>
      </c>
      <c r="CQ54" s="379"/>
      <c r="CR54" s="188">
        <f t="shared" si="113"/>
        <v>0.47204968944099374</v>
      </c>
      <c r="CS54" s="149">
        <f t="shared" si="114"/>
        <v>233.26341749863801</v>
      </c>
      <c r="CT54" s="149">
        <f t="shared" si="51"/>
        <v>9.9136952436921142</v>
      </c>
      <c r="CU54" s="188">
        <f t="shared" si="52"/>
        <v>7.7754472499545999</v>
      </c>
      <c r="CV54" s="188">
        <f t="shared" si="53"/>
        <v>38.877236249772999</v>
      </c>
      <c r="CW54" s="379">
        <f t="shared" si="54"/>
        <v>30</v>
      </c>
      <c r="CX54" s="188">
        <f t="shared" si="55"/>
        <v>7.6386524767801864</v>
      </c>
      <c r="CY54" s="188">
        <f t="shared" si="56"/>
        <v>1.0559313717902021</v>
      </c>
      <c r="CZ54" s="188">
        <f t="shared" si="57"/>
        <v>1.1694353954679766</v>
      </c>
      <c r="DA54" s="172">
        <f t="shared" si="58"/>
        <v>350</v>
      </c>
      <c r="DB54" s="379">
        <f t="shared" si="115"/>
        <v>350</v>
      </c>
      <c r="DD54" s="188">
        <f t="shared" si="59"/>
        <v>9.8072469146822137</v>
      </c>
      <c r="DE54" s="150">
        <f t="shared" si="60"/>
        <v>1.5014351954073746</v>
      </c>
      <c r="DF54" s="150">
        <f t="shared" si="61"/>
        <v>2.4718134248028734</v>
      </c>
      <c r="DG54" s="150"/>
      <c r="DH54" s="150">
        <f t="shared" si="62"/>
        <v>0.92784522751949461</v>
      </c>
      <c r="DI54" s="314">
        <f t="shared" si="63"/>
        <v>726.72572968085103</v>
      </c>
      <c r="DJ54" s="456">
        <f t="shared" si="64"/>
        <v>0.94395997276890675</v>
      </c>
      <c r="DL54" s="150">
        <f t="shared" si="65"/>
        <v>8.6329403782528278</v>
      </c>
      <c r="DM54" s="150">
        <f t="shared" si="66"/>
        <v>8.6329403782528278</v>
      </c>
      <c r="DN54" s="150">
        <f t="shared" si="67"/>
        <v>3.105432827886494</v>
      </c>
      <c r="DP54" s="314">
        <f t="shared" si="68"/>
        <v>1960</v>
      </c>
      <c r="DQ54" s="144">
        <f t="shared" si="69"/>
        <v>350</v>
      </c>
      <c r="DS54">
        <f t="shared" si="116"/>
        <v>1960</v>
      </c>
      <c r="DT54" s="144">
        <f t="shared" si="70"/>
        <v>350</v>
      </c>
      <c r="DU54" s="144"/>
      <c r="DV54" s="5">
        <f t="shared" si="117"/>
        <v>2.8571428571428572</v>
      </c>
      <c r="DW54" s="5">
        <f t="shared" si="71"/>
        <v>1.1933770522878908</v>
      </c>
      <c r="DX54" s="5">
        <f t="shared" si="118"/>
        <v>1.6637658048549664</v>
      </c>
      <c r="DY54" s="150">
        <f t="shared" si="119"/>
        <v>0.41768196830076176</v>
      </c>
      <c r="EA54" s="5">
        <f t="shared" si="72"/>
        <v>7.7967300749475532</v>
      </c>
      <c r="EB54" s="5">
        <f t="shared" si="73"/>
        <v>8.2840257046317749</v>
      </c>
      <c r="EC54" s="5">
        <f t="shared" si="74"/>
        <v>1.692550680371488</v>
      </c>
      <c r="ED54" s="5"/>
      <c r="EE54" s="150">
        <f t="shared" si="120"/>
        <v>3.2212243812931827</v>
      </c>
      <c r="EF54" s="150">
        <f t="shared" si="75"/>
        <v>3.6483976704263559</v>
      </c>
      <c r="EG54" s="150">
        <f t="shared" si="76"/>
        <v>0.73234567084442881</v>
      </c>
      <c r="EH54" s="150"/>
      <c r="EI54" s="456">
        <f t="shared" si="77"/>
        <v>0.12451543817565176</v>
      </c>
      <c r="EJ54" s="456">
        <f t="shared" si="78"/>
        <v>3.71436576244517</v>
      </c>
      <c r="EK54" s="456">
        <f t="shared" si="79"/>
        <v>4.0250000000000001E-2</v>
      </c>
      <c r="EL54" s="456">
        <f t="shared" si="80"/>
        <v>0.75820555125</v>
      </c>
      <c r="EM54">
        <f t="shared" si="81"/>
        <v>1.5299999999999999E-2</v>
      </c>
      <c r="EN54" s="144">
        <f t="shared" si="121"/>
        <v>55.550000000000004</v>
      </c>
      <c r="EO54">
        <f t="shared" si="82"/>
        <v>4.8291249447582132</v>
      </c>
      <c r="EP54" s="144">
        <f t="shared" si="122"/>
        <v>4829.1249447582131</v>
      </c>
      <c r="EQ54" s="150">
        <f t="shared" si="83"/>
        <v>1.3143759999999998</v>
      </c>
      <c r="ER54" s="150">
        <f t="shared" si="169"/>
        <v>0.19950349999999997</v>
      </c>
      <c r="ES54" s="456"/>
      <c r="EU54" s="144">
        <f t="shared" si="123"/>
        <v>1513.8794999999998</v>
      </c>
      <c r="EV54" s="456">
        <f t="shared" si="85"/>
        <v>0.14526801120492705</v>
      </c>
      <c r="EW54" s="456">
        <f t="shared" si="124"/>
        <v>0.18635127786201444</v>
      </c>
      <c r="EX54" s="456">
        <f t="shared" si="86"/>
        <v>2.6816509080228824E-3</v>
      </c>
      <c r="EY54" s="456">
        <f t="shared" si="87"/>
        <v>25.092097655202803</v>
      </c>
      <c r="EZ54" s="456">
        <f t="shared" si="88"/>
        <v>26.207526890689902</v>
      </c>
      <c r="FA54" s="538">
        <f t="shared" si="89"/>
        <v>2.6084680851063831</v>
      </c>
      <c r="FB54" s="144">
        <f t="shared" si="125"/>
        <v>28815.994975796286</v>
      </c>
      <c r="FC54" s="150">
        <f t="shared" si="126"/>
        <v>35.158999420554494</v>
      </c>
      <c r="FD54" s="5">
        <f t="shared" si="127"/>
        <v>61.298999999999999</v>
      </c>
      <c r="FE54" s="150">
        <f t="shared" si="128"/>
        <v>0.63549939215241102</v>
      </c>
      <c r="FF54" s="5">
        <f t="shared" si="129"/>
        <v>63.549939215241103</v>
      </c>
      <c r="FG54">
        <f t="shared" si="130"/>
        <v>49</v>
      </c>
      <c r="FI54" s="59">
        <f t="shared" si="90"/>
        <v>-50</v>
      </c>
      <c r="FJ54">
        <f t="shared" si="91"/>
        <v>-50</v>
      </c>
      <c r="FL54">
        <f t="shared" si="92"/>
        <v>0.46056315642117052</v>
      </c>
    </row>
    <row r="55" spans="5:168">
      <c r="E55" s="147">
        <v>50</v>
      </c>
      <c r="F55" s="188">
        <f t="shared" si="173"/>
        <v>2</v>
      </c>
      <c r="G55" s="188">
        <f t="shared" si="170"/>
        <v>0.42499999999999999</v>
      </c>
      <c r="H55" s="188">
        <f t="shared" si="135"/>
        <v>60</v>
      </c>
      <c r="I55" s="188">
        <f t="shared" si="174"/>
        <v>2.5499999999999998</v>
      </c>
      <c r="J55" s="465">
        <f t="shared" si="136"/>
        <v>33.864404850595797</v>
      </c>
      <c r="K55" s="379">
        <f t="shared" si="137"/>
        <v>30.802205257413689</v>
      </c>
      <c r="L55" s="149">
        <f t="shared" si="138"/>
        <v>64.666610108009479</v>
      </c>
      <c r="M55" s="379"/>
      <c r="N55" s="188">
        <f t="shared" si="139"/>
        <v>0.47632317831360377</v>
      </c>
      <c r="O55" s="149">
        <f t="shared" si="171"/>
        <v>234.43646464841811</v>
      </c>
      <c r="P55" s="149">
        <f t="shared" si="140"/>
        <v>9.963549747557769</v>
      </c>
      <c r="Q55" s="188">
        <f t="shared" si="6"/>
        <v>7.8145488216139372</v>
      </c>
      <c r="R55" s="188">
        <f t="shared" si="141"/>
        <v>39.072744108069685</v>
      </c>
      <c r="S55" s="379">
        <f t="shared" si="142"/>
        <v>30</v>
      </c>
      <c r="T55" s="188">
        <f t="shared" si="143"/>
        <v>7.7555418731831081</v>
      </c>
      <c r="U55" s="188">
        <f t="shared" si="10"/>
        <v>1.0763823242952786</v>
      </c>
      <c r="V55" s="188">
        <f t="shared" si="11"/>
        <v>1.1833908156685411</v>
      </c>
      <c r="W55" s="172">
        <f t="shared" si="12"/>
        <v>350</v>
      </c>
      <c r="X55" s="379">
        <f t="shared" si="95"/>
        <v>350</v>
      </c>
      <c r="Z55" s="188">
        <f t="shared" si="13"/>
        <v>9.8057148633035922</v>
      </c>
      <c r="AA55" s="150">
        <f t="shared" si="14"/>
        <v>1.496219490532561</v>
      </c>
      <c r="AB55" s="150">
        <f t="shared" si="144"/>
        <v>2.4628420115001832</v>
      </c>
      <c r="AC55" s="150"/>
      <c r="AD55" s="150">
        <f t="shared" si="16"/>
        <v>0.92476653040913526</v>
      </c>
      <c r="AE55" s="314">
        <f t="shared" si="145"/>
        <v>744.02562957765429</v>
      </c>
      <c r="AF55" s="456">
        <f t="shared" si="146"/>
        <v>0.94082780508159991</v>
      </c>
      <c r="AH55" s="150">
        <f t="shared" si="147"/>
        <v>8.7205866900596192</v>
      </c>
      <c r="AI55" s="150">
        <f t="shared" si="148"/>
        <v>8.7205866900596192</v>
      </c>
      <c r="AJ55" s="150">
        <f t="shared" si="149"/>
        <v>3.1703560218174509</v>
      </c>
      <c r="AL55" s="314">
        <f t="shared" si="150"/>
        <v>2000</v>
      </c>
      <c r="AM55" s="144">
        <f t="shared" si="151"/>
        <v>350</v>
      </c>
      <c r="AO55">
        <f t="shared" si="96"/>
        <v>2000</v>
      </c>
      <c r="AP55" s="144">
        <f t="shared" si="24"/>
        <v>350</v>
      </c>
      <c r="AQ55" s="144"/>
      <c r="AR55" s="5">
        <f t="shared" si="97"/>
        <v>2.8571428571428572</v>
      </c>
      <c r="AS55" s="5">
        <f t="shared" si="25"/>
        <v>1.2103197331861304</v>
      </c>
      <c r="AT55" s="5">
        <f t="shared" si="98"/>
        <v>1.6468231239567268</v>
      </c>
      <c r="AU55" s="150">
        <f t="shared" si="99"/>
        <v>0.42361190661514564</v>
      </c>
      <c r="AW55" s="5">
        <f t="shared" si="152"/>
        <v>8.0687982212408702</v>
      </c>
      <c r="AX55" s="5">
        <f t="shared" si="153"/>
        <v>8.5730981100684236</v>
      </c>
      <c r="AY55" s="5">
        <f t="shared" si="28"/>
        <v>1.716349935492903</v>
      </c>
      <c r="AZ55" s="5"/>
      <c r="BA55" s="150">
        <f t="shared" si="100"/>
        <v>3.2769450249533185</v>
      </c>
      <c r="BB55" s="150">
        <f t="shared" si="154"/>
        <v>3.6666251510927963</v>
      </c>
      <c r="BC55" s="150">
        <f t="shared" si="155"/>
        <v>0.73600448705974231</v>
      </c>
      <c r="BD55" s="150"/>
      <c r="BE55" s="456">
        <f t="shared" si="31"/>
        <v>0.12886042435879566</v>
      </c>
      <c r="BF55" s="456">
        <f t="shared" si="156"/>
        <v>3.6021078534122766</v>
      </c>
      <c r="BG55" s="456">
        <f t="shared" si="33"/>
        <v>4.0250000000000001E-2</v>
      </c>
      <c r="BH55" s="456">
        <f t="shared" si="34"/>
        <v>0.75742317508575552</v>
      </c>
      <c r="BI55">
        <f t="shared" si="35"/>
        <v>1.5238982182768108E-2</v>
      </c>
      <c r="BJ55" s="144">
        <f t="shared" si="101"/>
        <v>55.488982182768112</v>
      </c>
      <c r="BK55">
        <f t="shared" si="157"/>
        <v>4.6660451776874732</v>
      </c>
      <c r="BL55" s="144">
        <f t="shared" si="102"/>
        <v>4666.0451776874734</v>
      </c>
      <c r="BM55" s="150">
        <f t="shared" si="158"/>
        <v>1.3411999999999999</v>
      </c>
      <c r="BN55" s="150">
        <f t="shared" si="159"/>
        <v>0.20357499999999998</v>
      </c>
      <c r="BO55" s="456"/>
      <c r="BQ55" s="144">
        <f t="shared" si="103"/>
        <v>1544.7750000000001</v>
      </c>
      <c r="BR55" s="456">
        <f t="shared" si="39"/>
        <v>0.15033716175192827</v>
      </c>
      <c r="BS55" s="456">
        <f t="shared" si="104"/>
        <v>0.18821795998076779</v>
      </c>
      <c r="BT55" s="456">
        <f t="shared" si="160"/>
        <v>2.7085130248603716E-3</v>
      </c>
      <c r="BU55" s="456">
        <f t="shared" si="41"/>
        <v>25.733826849286221</v>
      </c>
      <c r="BV55" s="456">
        <f t="shared" si="161"/>
        <v>26.891151525374838</v>
      </c>
      <c r="BW55" s="538">
        <f t="shared" si="162"/>
        <v>2.6617021276595745</v>
      </c>
      <c r="BX55" s="144">
        <f t="shared" si="105"/>
        <v>29552.85365303441</v>
      </c>
      <c r="BY55" s="150">
        <f t="shared" si="106"/>
        <v>35.763673830721885</v>
      </c>
      <c r="BZ55" s="5">
        <f t="shared" si="107"/>
        <v>62.55</v>
      </c>
      <c r="CA55" s="150">
        <f t="shared" si="108"/>
        <v>0.63622889434179453</v>
      </c>
      <c r="CB55" s="5">
        <f t="shared" si="109"/>
        <v>63.622889434179456</v>
      </c>
      <c r="CC55">
        <f t="shared" si="172"/>
        <v>50</v>
      </c>
      <c r="CE55" s="59">
        <f t="shared" si="163"/>
        <v>-50</v>
      </c>
      <c r="CF55">
        <f t="shared" si="164"/>
        <v>-50</v>
      </c>
      <c r="CG55" s="150">
        <f t="shared" si="165"/>
        <v>0.46523904438584324</v>
      </c>
      <c r="CH55" s="150">
        <f t="shared" si="166"/>
        <v>9.8199825679358393E-2</v>
      </c>
      <c r="CI55" s="147">
        <v>50</v>
      </c>
      <c r="CJ55" s="188">
        <f t="shared" si="133"/>
        <v>2</v>
      </c>
      <c r="CK55" s="188">
        <f t="shared" si="111"/>
        <v>0.42499999999999999</v>
      </c>
      <c r="CL55" s="188">
        <f t="shared" si="48"/>
        <v>60</v>
      </c>
      <c r="CM55" s="188">
        <f t="shared" si="134"/>
        <v>2.5499999999999998</v>
      </c>
      <c r="CN55" s="465">
        <f t="shared" si="112"/>
        <v>34</v>
      </c>
      <c r="CO55" s="379">
        <f t="shared" si="167"/>
        <v>30.7</v>
      </c>
      <c r="CP55" s="379">
        <f t="shared" si="168"/>
        <v>64.7</v>
      </c>
      <c r="CQ55" s="379"/>
      <c r="CR55" s="188">
        <f t="shared" si="113"/>
        <v>0.47204968944099374</v>
      </c>
      <c r="CS55" s="149">
        <f t="shared" si="114"/>
        <v>233.26341749863801</v>
      </c>
      <c r="CT55" s="149">
        <f t="shared" si="51"/>
        <v>9.9136952436921142</v>
      </c>
      <c r="CU55" s="188">
        <f t="shared" si="52"/>
        <v>7.7754472499545999</v>
      </c>
      <c r="CV55" s="188">
        <f t="shared" si="53"/>
        <v>38.877236249772999</v>
      </c>
      <c r="CW55" s="379">
        <f t="shared" si="54"/>
        <v>30</v>
      </c>
      <c r="CX55" s="188">
        <f t="shared" si="55"/>
        <v>7.7945433436532507</v>
      </c>
      <c r="CY55" s="188">
        <f t="shared" si="56"/>
        <v>1.0774809916226553</v>
      </c>
      <c r="CZ55" s="188">
        <f t="shared" si="57"/>
        <v>1.1933014239469146</v>
      </c>
      <c r="DA55" s="172">
        <f t="shared" si="58"/>
        <v>350</v>
      </c>
      <c r="DB55" s="379">
        <f t="shared" si="115"/>
        <v>350</v>
      </c>
      <c r="DD55" s="188">
        <f t="shared" si="59"/>
        <v>9.8072469146822137</v>
      </c>
      <c r="DE55" s="150">
        <f t="shared" si="60"/>
        <v>1.5014351954073746</v>
      </c>
      <c r="DF55" s="150">
        <f t="shared" si="61"/>
        <v>2.4718134248028734</v>
      </c>
      <c r="DG55" s="150"/>
      <c r="DH55" s="150">
        <f t="shared" si="62"/>
        <v>0.92784522751949461</v>
      </c>
      <c r="DI55" s="314">
        <f t="shared" si="63"/>
        <v>741.5568670212765</v>
      </c>
      <c r="DJ55" s="456">
        <f t="shared" si="64"/>
        <v>0.94395997276890675</v>
      </c>
      <c r="DL55" s="150">
        <f t="shared" si="65"/>
        <v>8.7205866900596192</v>
      </c>
      <c r="DM55" s="150">
        <f t="shared" si="66"/>
        <v>8.7205866900596192</v>
      </c>
      <c r="DN55" s="150">
        <f t="shared" si="67"/>
        <v>3.1703560218174509</v>
      </c>
      <c r="DP55" s="314">
        <f t="shared" si="68"/>
        <v>2000</v>
      </c>
      <c r="DQ55" s="144">
        <f t="shared" si="69"/>
        <v>350</v>
      </c>
      <c r="DS55">
        <f t="shared" si="116"/>
        <v>2000</v>
      </c>
      <c r="DT55" s="144">
        <f t="shared" si="70"/>
        <v>350</v>
      </c>
      <c r="DU55" s="144"/>
      <c r="DV55" s="5">
        <f t="shared" si="117"/>
        <v>2.8571428571428572</v>
      </c>
      <c r="DW55" s="5">
        <f t="shared" si="71"/>
        <v>1.2054928659788295</v>
      </c>
      <c r="DX55" s="5">
        <f t="shared" si="118"/>
        <v>1.6516499911640277</v>
      </c>
      <c r="DY55" s="150">
        <f t="shared" si="119"/>
        <v>0.42192250309259033</v>
      </c>
      <c r="EA55" s="5">
        <f t="shared" si="72"/>
        <v>8.0366191065255297</v>
      </c>
      <c r="EB55" s="5">
        <f t="shared" si="73"/>
        <v>8.5389078006833756</v>
      </c>
      <c r="EC55" s="5">
        <f t="shared" si="74"/>
        <v>1.7145155617619661</v>
      </c>
      <c r="ED55" s="5"/>
      <c r="EE55" s="150">
        <f t="shared" si="120"/>
        <v>3.2704041168507443</v>
      </c>
      <c r="EF55" s="150">
        <f t="shared" si="75"/>
        <v>3.6719946904504752</v>
      </c>
      <c r="EG55" s="150">
        <f t="shared" si="76"/>
        <v>0.73708231882542408</v>
      </c>
      <c r="EH55" s="150"/>
      <c r="EI55" s="456">
        <f t="shared" si="77"/>
        <v>0.12834651705017155</v>
      </c>
      <c r="EJ55" s="456">
        <f t="shared" si="78"/>
        <v>3.7520760263316024</v>
      </c>
      <c r="EK55" s="456">
        <f t="shared" si="79"/>
        <v>4.0250000000000001E-2</v>
      </c>
      <c r="EL55" s="456">
        <f t="shared" si="80"/>
        <v>0.75820555125</v>
      </c>
      <c r="EM55">
        <f t="shared" si="81"/>
        <v>1.5299999999999999E-2</v>
      </c>
      <c r="EN55" s="144">
        <f t="shared" si="121"/>
        <v>55.550000000000004</v>
      </c>
      <c r="EO55">
        <f t="shared" si="82"/>
        <v>4.877573916870416</v>
      </c>
      <c r="EP55" s="144">
        <f t="shared" si="122"/>
        <v>4877.5739168704158</v>
      </c>
      <c r="EQ55" s="150">
        <f t="shared" si="83"/>
        <v>1.3411999999999999</v>
      </c>
      <c r="ER55" s="150">
        <f t="shared" si="169"/>
        <v>0.20357499999999998</v>
      </c>
      <c r="ES55" s="456"/>
      <c r="EU55" s="144">
        <f t="shared" si="123"/>
        <v>1544.7750000000001</v>
      </c>
      <c r="EV55" s="456">
        <f t="shared" si="85"/>
        <v>0.14973760322520016</v>
      </c>
      <c r="EW55" s="456">
        <f t="shared" si="124"/>
        <v>0.18876963009375075</v>
      </c>
      <c r="EX55" s="456">
        <f t="shared" si="86"/>
        <v>2.7164517236253206E-3</v>
      </c>
      <c r="EY55" s="456">
        <f t="shared" si="87"/>
        <v>25.733826849286221</v>
      </c>
      <c r="EZ55" s="456">
        <f t="shared" si="88"/>
        <v>26.891012242080429</v>
      </c>
      <c r="FA55" s="538">
        <f t="shared" si="89"/>
        <v>2.6617021276595745</v>
      </c>
      <c r="FB55" s="144">
        <f t="shared" si="125"/>
        <v>29552.714369740002</v>
      </c>
      <c r="FC55" s="150">
        <f t="shared" si="126"/>
        <v>35.975063286610414</v>
      </c>
      <c r="FD55" s="5">
        <f t="shared" si="127"/>
        <v>62.55</v>
      </c>
      <c r="FE55" s="150">
        <f t="shared" si="128"/>
        <v>0.63486383985404204</v>
      </c>
      <c r="FF55" s="5">
        <f t="shared" si="129"/>
        <v>63.486383985404203</v>
      </c>
      <c r="FG55">
        <f t="shared" si="130"/>
        <v>50</v>
      </c>
      <c r="FI55" s="59">
        <f t="shared" si="90"/>
        <v>-50</v>
      </c>
      <c r="FJ55">
        <f t="shared" si="91"/>
        <v>-50</v>
      </c>
      <c r="FL55">
        <f t="shared" si="92"/>
        <v>0.46523904438584324</v>
      </c>
    </row>
    <row r="56" spans="5:168">
      <c r="E56" s="147">
        <v>51</v>
      </c>
      <c r="F56" s="188">
        <f t="shared" si="173"/>
        <v>2.04</v>
      </c>
      <c r="G56" s="188">
        <f t="shared" si="170"/>
        <v>0.4335</v>
      </c>
      <c r="H56" s="188">
        <f t="shared" si="135"/>
        <v>61.2</v>
      </c>
      <c r="I56" s="188">
        <f t="shared" si="174"/>
        <v>2.601</v>
      </c>
      <c r="J56" s="465">
        <f t="shared" si="136"/>
        <v>33.86305561189743</v>
      </c>
      <c r="K56" s="379">
        <f t="shared" si="137"/>
        <v>30.803222250197614</v>
      </c>
      <c r="L56" s="149">
        <f t="shared" si="138"/>
        <v>64.666277862095043</v>
      </c>
      <c r="M56" s="379"/>
      <c r="N56" s="188">
        <f t="shared" si="139"/>
        <v>0.47634135237978975</v>
      </c>
      <c r="O56" s="149">
        <f t="shared" si="171"/>
        <v>234.4360686851719</v>
      </c>
      <c r="P56" s="149">
        <f t="shared" si="140"/>
        <v>9.963532919119805</v>
      </c>
      <c r="Q56" s="188">
        <f t="shared" si="6"/>
        <v>7.8145356228390632</v>
      </c>
      <c r="R56" s="188">
        <f t="shared" si="141"/>
        <v>39.07267811419532</v>
      </c>
      <c r="S56" s="379">
        <f t="shared" si="142"/>
        <v>30</v>
      </c>
      <c r="T56" s="188">
        <f t="shared" si="143"/>
        <v>7.9106660717637043</v>
      </c>
      <c r="U56" s="188">
        <f t="shared" si="10"/>
        <v>1.0979555703244501</v>
      </c>
      <c r="V56" s="188">
        <f t="shared" si="11"/>
        <v>1.2070208186434419</v>
      </c>
      <c r="W56" s="172">
        <f t="shared" si="12"/>
        <v>350</v>
      </c>
      <c r="X56" s="379">
        <f t="shared" si="95"/>
        <v>350</v>
      </c>
      <c r="Z56" s="188">
        <f t="shared" si="13"/>
        <v>9.8056983014487855</v>
      </c>
      <c r="AA56" s="150">
        <f t="shared" si="14"/>
        <v>1.4961675646291721</v>
      </c>
      <c r="AB56" s="150">
        <f t="shared" si="144"/>
        <v>2.4627523796203659</v>
      </c>
      <c r="AC56" s="150"/>
      <c r="AD56" s="150">
        <f t="shared" si="16"/>
        <v>0.92473599850956312</v>
      </c>
      <c r="AE56" s="314">
        <f t="shared" si="145"/>
        <v>758.93119888393994</v>
      </c>
      <c r="AF56" s="456">
        <f t="shared" si="146"/>
        <v>0.94079674290632087</v>
      </c>
      <c r="AH56" s="150">
        <f t="shared" si="147"/>
        <v>8.8073608341671736</v>
      </c>
      <c r="AI56" s="150">
        <f t="shared" si="148"/>
        <v>8.8073608341671736</v>
      </c>
      <c r="AJ56" s="150">
        <f t="shared" si="149"/>
        <v>3.2346331656008243</v>
      </c>
      <c r="AL56" s="314">
        <f t="shared" si="150"/>
        <v>2040</v>
      </c>
      <c r="AM56" s="144">
        <f t="shared" si="151"/>
        <v>350</v>
      </c>
      <c r="AO56">
        <f t="shared" si="96"/>
        <v>2040</v>
      </c>
      <c r="AP56" s="144">
        <f t="shared" si="24"/>
        <v>350</v>
      </c>
      <c r="AQ56" s="144"/>
      <c r="AR56" s="5">
        <f t="shared" si="97"/>
        <v>2.8571428571428572</v>
      </c>
      <c r="AS56" s="5">
        <f t="shared" si="25"/>
        <v>1.222411716030793</v>
      </c>
      <c r="AT56" s="5">
        <f t="shared" si="98"/>
        <v>1.6347311411120642</v>
      </c>
      <c r="AU56" s="150">
        <f t="shared" si="99"/>
        <v>0.42784410061077754</v>
      </c>
      <c r="AW56" s="5">
        <f t="shared" si="152"/>
        <v>8.3123996690093929</v>
      </c>
      <c r="AX56" s="5">
        <f t="shared" si="153"/>
        <v>8.8319246483224791</v>
      </c>
      <c r="AY56" s="5">
        <f t="shared" si="28"/>
        <v>1.7378916348989448</v>
      </c>
      <c r="AZ56" s="5"/>
      <c r="BA56" s="150">
        <f t="shared" si="100"/>
        <v>3.3260435869783067</v>
      </c>
      <c r="BB56" s="150">
        <f t="shared" si="154"/>
        <v>3.6894895847617675</v>
      </c>
      <c r="BC56" s="150">
        <f t="shared" si="155"/>
        <v>0.74059408241814084</v>
      </c>
      <c r="BD56" s="150"/>
      <c r="BE56" s="456">
        <f t="shared" si="31"/>
        <v>0.13275079130975426</v>
      </c>
      <c r="BF56" s="456">
        <f t="shared" si="156"/>
        <v>3.6379319142408462</v>
      </c>
      <c r="BG56" s="456">
        <f t="shared" si="33"/>
        <v>4.0250000000000001E-2</v>
      </c>
      <c r="BH56" s="456">
        <f t="shared" si="34"/>
        <v>0.75741539208588793</v>
      </c>
      <c r="BI56">
        <f t="shared" si="35"/>
        <v>1.5238375025353842E-2</v>
      </c>
      <c r="BJ56" s="144">
        <f t="shared" si="101"/>
        <v>55.488375025353847</v>
      </c>
      <c r="BK56">
        <f t="shared" si="157"/>
        <v>4.7125831680645689</v>
      </c>
      <c r="BL56" s="144">
        <f t="shared" si="102"/>
        <v>4712.5831680645688</v>
      </c>
      <c r="BM56" s="150">
        <f t="shared" si="158"/>
        <v>1.3680239999999999</v>
      </c>
      <c r="BN56" s="150">
        <f t="shared" si="159"/>
        <v>0.20764649999999998</v>
      </c>
      <c r="BO56" s="456"/>
      <c r="BQ56" s="144">
        <f t="shared" si="103"/>
        <v>1575.6704999999999</v>
      </c>
      <c r="BR56" s="456">
        <f t="shared" si="39"/>
        <v>0.1548759231947133</v>
      </c>
      <c r="BS56" s="456">
        <f t="shared" si="104"/>
        <v>0.19057266754491783</v>
      </c>
      <c r="BT56" s="456">
        <f t="shared" si="160"/>
        <v>2.7423979745638399E-3</v>
      </c>
      <c r="BU56" s="456">
        <f t="shared" si="41"/>
        <v>26.378772912477022</v>
      </c>
      <c r="BV56" s="456">
        <f t="shared" si="161"/>
        <v>27.578743331119213</v>
      </c>
      <c r="BW56" s="538">
        <f t="shared" si="162"/>
        <v>2.7149361702127668</v>
      </c>
      <c r="BX56" s="144">
        <f t="shared" si="105"/>
        <v>30293.679501331979</v>
      </c>
      <c r="BY56" s="150">
        <f t="shared" si="106"/>
        <v>36.581933169396549</v>
      </c>
      <c r="BZ56" s="5">
        <f t="shared" si="107"/>
        <v>63.801000000000002</v>
      </c>
      <c r="CA56" s="150">
        <f t="shared" si="108"/>
        <v>0.6355761680358113</v>
      </c>
      <c r="CB56" s="5">
        <f t="shared" si="109"/>
        <v>63.557616803581126</v>
      </c>
      <c r="CC56">
        <f t="shared" si="172"/>
        <v>51</v>
      </c>
      <c r="CE56" s="59">
        <f t="shared" si="163"/>
        <v>-50</v>
      </c>
      <c r="CF56">
        <f t="shared" si="164"/>
        <v>-50</v>
      </c>
      <c r="CG56" s="150">
        <f t="shared" si="165"/>
        <v>0.46986840262936785</v>
      </c>
      <c r="CH56" s="150">
        <f t="shared" si="166"/>
        <v>9.9176962439497529E-2</v>
      </c>
      <c r="CI56" s="147">
        <v>51</v>
      </c>
      <c r="CJ56" s="188">
        <f t="shared" si="133"/>
        <v>2.04</v>
      </c>
      <c r="CK56" s="188">
        <f t="shared" si="111"/>
        <v>0.4335</v>
      </c>
      <c r="CL56" s="188">
        <f t="shared" si="48"/>
        <v>61.2</v>
      </c>
      <c r="CM56" s="188">
        <f t="shared" si="134"/>
        <v>2.601</v>
      </c>
      <c r="CN56" s="465">
        <f t="shared" si="112"/>
        <v>34</v>
      </c>
      <c r="CO56" s="379">
        <f t="shared" si="167"/>
        <v>30.7</v>
      </c>
      <c r="CP56" s="379">
        <f t="shared" si="168"/>
        <v>64.7</v>
      </c>
      <c r="CQ56" s="379"/>
      <c r="CR56" s="188">
        <f t="shared" si="113"/>
        <v>0.47204968944099374</v>
      </c>
      <c r="CS56" s="149">
        <f t="shared" si="114"/>
        <v>233.26341749863801</v>
      </c>
      <c r="CT56" s="149">
        <f t="shared" si="51"/>
        <v>9.9136952436921142</v>
      </c>
      <c r="CU56" s="188">
        <f t="shared" si="52"/>
        <v>7.7754472499545999</v>
      </c>
      <c r="CV56" s="188">
        <f t="shared" si="53"/>
        <v>38.877236249772999</v>
      </c>
      <c r="CW56" s="379">
        <f t="shared" si="54"/>
        <v>30</v>
      </c>
      <c r="CX56" s="188">
        <f t="shared" si="55"/>
        <v>7.9504342105263168</v>
      </c>
      <c r="CY56" s="188">
        <f t="shared" si="56"/>
        <v>1.0990306114551085</v>
      </c>
      <c r="CZ56" s="188">
        <f t="shared" si="57"/>
        <v>1.2171674524258531</v>
      </c>
      <c r="DA56" s="172">
        <f t="shared" si="58"/>
        <v>350</v>
      </c>
      <c r="DB56" s="379">
        <f t="shared" si="115"/>
        <v>350</v>
      </c>
      <c r="DD56" s="188">
        <f t="shared" si="59"/>
        <v>9.8072469146822137</v>
      </c>
      <c r="DE56" s="150">
        <f t="shared" si="60"/>
        <v>1.5014351954073746</v>
      </c>
      <c r="DF56" s="150">
        <f t="shared" si="61"/>
        <v>2.4718134248028734</v>
      </c>
      <c r="DG56" s="150"/>
      <c r="DH56" s="150">
        <f t="shared" si="62"/>
        <v>0.92784522751949461</v>
      </c>
      <c r="DI56" s="314">
        <f t="shared" si="63"/>
        <v>756.3880043617022</v>
      </c>
      <c r="DJ56" s="456">
        <f t="shared" si="64"/>
        <v>0.94395997276890675</v>
      </c>
      <c r="DL56" s="150">
        <f t="shared" si="65"/>
        <v>8.8073608341671736</v>
      </c>
      <c r="DM56" s="150">
        <f t="shared" si="66"/>
        <v>8.8073608341671736</v>
      </c>
      <c r="DN56" s="150">
        <f t="shared" si="67"/>
        <v>3.2346331656008243</v>
      </c>
      <c r="DP56" s="314">
        <f t="shared" si="68"/>
        <v>2040</v>
      </c>
      <c r="DQ56" s="144">
        <f t="shared" si="69"/>
        <v>350</v>
      </c>
      <c r="DS56">
        <f t="shared" si="116"/>
        <v>2040</v>
      </c>
      <c r="DT56" s="144">
        <f t="shared" si="70"/>
        <v>350</v>
      </c>
      <c r="DU56" s="144"/>
      <c r="DV56" s="5">
        <f t="shared" si="117"/>
        <v>2.8571428571428572</v>
      </c>
      <c r="DW56" s="5">
        <f t="shared" si="71"/>
        <v>1.2174881153113446</v>
      </c>
      <c r="DX56" s="5">
        <f t="shared" si="118"/>
        <v>1.6396547418315126</v>
      </c>
      <c r="DY56" s="150">
        <f t="shared" si="119"/>
        <v>0.42612084035897058</v>
      </c>
      <c r="EA56" s="5">
        <f t="shared" si="72"/>
        <v>8.2789191841171448</v>
      </c>
      <c r="EB56" s="5">
        <f t="shared" si="73"/>
        <v>8.7963516331244644</v>
      </c>
      <c r="EC56" s="5">
        <f t="shared" si="74"/>
        <v>1.7361050207627777</v>
      </c>
      <c r="ED56" s="5"/>
      <c r="EE56" s="150">
        <f t="shared" si="120"/>
        <v>3.3193385491002774</v>
      </c>
      <c r="EF56" s="150">
        <f t="shared" si="75"/>
        <v>3.6950415423840668</v>
      </c>
      <c r="EG56" s="150">
        <f t="shared" si="76"/>
        <v>0.74170853114240165</v>
      </c>
      <c r="EH56" s="150"/>
      <c r="EI56" s="456">
        <f t="shared" si="77"/>
        <v>0.13221610084251761</v>
      </c>
      <c r="EJ56" s="456">
        <f t="shared" si="78"/>
        <v>3.7894110357045974</v>
      </c>
      <c r="EK56" s="456">
        <f t="shared" si="79"/>
        <v>4.0250000000000001E-2</v>
      </c>
      <c r="EL56" s="456">
        <f t="shared" si="80"/>
        <v>0.75820555125</v>
      </c>
      <c r="EM56">
        <f t="shared" si="81"/>
        <v>1.5299999999999999E-2</v>
      </c>
      <c r="EN56" s="144">
        <f t="shared" si="121"/>
        <v>55.550000000000004</v>
      </c>
      <c r="EO56">
        <f t="shared" si="82"/>
        <v>4.9258235431420481</v>
      </c>
      <c r="EP56" s="144">
        <f t="shared" si="122"/>
        <v>4925.823543142048</v>
      </c>
      <c r="EQ56" s="150">
        <f t="shared" si="83"/>
        <v>1.3680239999999999</v>
      </c>
      <c r="ER56" s="150">
        <f t="shared" si="169"/>
        <v>0.20764649999999998</v>
      </c>
      <c r="ES56" s="456"/>
      <c r="EU56" s="144">
        <f t="shared" si="123"/>
        <v>1575.6704999999999</v>
      </c>
      <c r="EV56" s="456">
        <f t="shared" si="85"/>
        <v>0.15425211764960389</v>
      </c>
      <c r="EW56" s="456">
        <f t="shared" si="124"/>
        <v>0.19114664799921635</v>
      </c>
      <c r="EX56" s="456">
        <f t="shared" si="86"/>
        <v>2.7506577258470948E-3</v>
      </c>
      <c r="EY56" s="456">
        <f t="shared" si="87"/>
        <v>26.378772912477022</v>
      </c>
      <c r="EZ56" s="456">
        <f t="shared" si="88"/>
        <v>27.578595980509391</v>
      </c>
      <c r="FA56" s="538">
        <f t="shared" si="89"/>
        <v>2.7149361702127668</v>
      </c>
      <c r="FB56" s="144">
        <f t="shared" si="125"/>
        <v>30293.532150722156</v>
      </c>
      <c r="FC56" s="150">
        <f t="shared" si="126"/>
        <v>36.795026193864203</v>
      </c>
      <c r="FD56" s="5">
        <f t="shared" si="127"/>
        <v>63.801000000000002</v>
      </c>
      <c r="FE56" s="150">
        <f t="shared" si="128"/>
        <v>0.63422982411895223</v>
      </c>
      <c r="FF56" s="5">
        <f t="shared" si="129"/>
        <v>63.422982411895227</v>
      </c>
      <c r="FG56">
        <f t="shared" si="130"/>
        <v>51</v>
      </c>
      <c r="FI56" s="59">
        <f t="shared" si="90"/>
        <v>-50</v>
      </c>
      <c r="FJ56">
        <f t="shared" si="91"/>
        <v>-50</v>
      </c>
      <c r="FL56">
        <f t="shared" si="92"/>
        <v>0.4698684026293678</v>
      </c>
    </row>
    <row r="57" spans="5:168">
      <c r="E57" s="147">
        <v>52</v>
      </c>
      <c r="F57" s="188">
        <f t="shared" si="173"/>
        <v>2.08</v>
      </c>
      <c r="G57" s="188">
        <f t="shared" si="170"/>
        <v>0.442</v>
      </c>
      <c r="H57" s="188">
        <f t="shared" si="135"/>
        <v>62.400000000000006</v>
      </c>
      <c r="I57" s="188">
        <f t="shared" si="174"/>
        <v>2.6520000000000001</v>
      </c>
      <c r="J57" s="465">
        <f t="shared" si="136"/>
        <v>33.861719537447883</v>
      </c>
      <c r="K57" s="379">
        <f t="shared" si="137"/>
        <v>30.804229320388835</v>
      </c>
      <c r="L57" s="149">
        <f t="shared" si="138"/>
        <v>64.665948857836725</v>
      </c>
      <c r="M57" s="379"/>
      <c r="N57" s="188">
        <f t="shared" si="139"/>
        <v>0.4763593493093195</v>
      </c>
      <c r="O57" s="149">
        <f t="shared" si="171"/>
        <v>234.43567597345177</v>
      </c>
      <c r="P57" s="149">
        <f t="shared" si="140"/>
        <v>9.963516228871697</v>
      </c>
      <c r="Q57" s="188">
        <f t="shared" si="6"/>
        <v>7.8145225324483922</v>
      </c>
      <c r="R57" s="188">
        <f t="shared" si="141"/>
        <v>39.072612662241959</v>
      </c>
      <c r="S57" s="379">
        <f t="shared" si="142"/>
        <v>30</v>
      </c>
      <c r="T57" s="188">
        <f t="shared" si="143"/>
        <v>8.0657906824865009</v>
      </c>
      <c r="U57" s="188">
        <f t="shared" si="10"/>
        <v>1.11953015752087</v>
      </c>
      <c r="V57" s="188">
        <f t="shared" si="11"/>
        <v>1.2306497206406342</v>
      </c>
      <c r="W57" s="172">
        <f t="shared" si="12"/>
        <v>350</v>
      </c>
      <c r="X57" s="379">
        <f t="shared" si="95"/>
        <v>350</v>
      </c>
      <c r="Z57" s="188">
        <f t="shared" si="13"/>
        <v>9.8056818755947397</v>
      </c>
      <c r="AA57" s="150">
        <f t="shared" si="14"/>
        <v>1.4961161448305156</v>
      </c>
      <c r="AB57" s="150">
        <f t="shared" si="144"/>
        <v>2.4626636152528736</v>
      </c>
      <c r="AC57" s="150"/>
      <c r="AD57" s="150">
        <f t="shared" si="16"/>
        <v>0.92470576649014913</v>
      </c>
      <c r="AE57" s="314">
        <f t="shared" si="145"/>
        <v>773.83750153960239</v>
      </c>
      <c r="AF57" s="456">
        <f t="shared" si="146"/>
        <v>0.94076598581949633</v>
      </c>
      <c r="AH57" s="150">
        <f t="shared" si="147"/>
        <v>8.8932883405183034</v>
      </c>
      <c r="AI57" s="150">
        <f t="shared" si="148"/>
        <v>8.8932883405183034</v>
      </c>
      <c r="AJ57" s="150">
        <f t="shared" si="149"/>
        <v>3.298283170305365</v>
      </c>
      <c r="AL57" s="314">
        <f t="shared" si="150"/>
        <v>2080</v>
      </c>
      <c r="AM57" s="144">
        <f t="shared" si="151"/>
        <v>350</v>
      </c>
      <c r="AO57">
        <f t="shared" si="96"/>
        <v>2080</v>
      </c>
      <c r="AP57" s="144">
        <f t="shared" si="24"/>
        <v>350</v>
      </c>
      <c r="AQ57" s="144"/>
      <c r="AR57" s="5">
        <f t="shared" si="97"/>
        <v>2.8571428571428572</v>
      </c>
      <c r="AS57" s="5">
        <f t="shared" si="25"/>
        <v>1.2343866694132544</v>
      </c>
      <c r="AT57" s="5">
        <f t="shared" si="98"/>
        <v>1.6227561877296028</v>
      </c>
      <c r="AU57" s="150">
        <f t="shared" si="99"/>
        <v>0.43203533429463903</v>
      </c>
      <c r="AW57" s="5">
        <f t="shared" si="152"/>
        <v>8.5584142412652309</v>
      </c>
      <c r="AX57" s="5">
        <f t="shared" si="153"/>
        <v>9.0933151313443084</v>
      </c>
      <c r="AY57" s="5">
        <f t="shared" si="28"/>
        <v>1.7590570865261925</v>
      </c>
      <c r="AZ57" s="5"/>
      <c r="BA57" s="150">
        <f t="shared" si="100"/>
        <v>3.3749036575410321</v>
      </c>
      <c r="BB57" s="150">
        <f t="shared" si="154"/>
        <v>3.7118151619428321</v>
      </c>
      <c r="BC57" s="150">
        <f t="shared" si="155"/>
        <v>0.74507551269921679</v>
      </c>
      <c r="BD57" s="150"/>
      <c r="BE57" s="456">
        <f t="shared" si="31"/>
        <v>0.13667969637220603</v>
      </c>
      <c r="BF57" s="456">
        <f t="shared" si="156"/>
        <v>3.6734060840255203</v>
      </c>
      <c r="BG57" s="456">
        <f t="shared" si="33"/>
        <v>4.0250000000000001E-2</v>
      </c>
      <c r="BH57" s="456">
        <f t="shared" si="34"/>
        <v>0.75740768506257883</v>
      </c>
      <c r="BI57">
        <f t="shared" si="35"/>
        <v>1.5237773791851547E-2</v>
      </c>
      <c r="BJ57" s="144">
        <f t="shared" si="101"/>
        <v>55.487773791851545</v>
      </c>
      <c r="BK57">
        <f t="shared" si="157"/>
        <v>4.7589441509664772</v>
      </c>
      <c r="BL57" s="144">
        <f t="shared" si="102"/>
        <v>4758.9441509664775</v>
      </c>
      <c r="BM57" s="150">
        <f t="shared" si="158"/>
        <v>1.3948479999999999</v>
      </c>
      <c r="BN57" s="150">
        <f t="shared" si="159"/>
        <v>0.21171799999999999</v>
      </c>
      <c r="BO57" s="456"/>
      <c r="BQ57" s="144">
        <f t="shared" si="103"/>
        <v>1606.566</v>
      </c>
      <c r="BR57" s="456">
        <f t="shared" si="39"/>
        <v>0.15945964576757371</v>
      </c>
      <c r="BS57" s="456">
        <f t="shared" si="104"/>
        <v>0.1928860051500017</v>
      </c>
      <c r="BT57" s="456">
        <f t="shared" si="160"/>
        <v>2.7756875981200034E-3</v>
      </c>
      <c r="BU57" s="456">
        <f t="shared" si="41"/>
        <v>27.026888415584729</v>
      </c>
      <c r="BV57" s="456">
        <f t="shared" si="161"/>
        <v>28.270392443743074</v>
      </c>
      <c r="BW57" s="538">
        <f t="shared" si="162"/>
        <v>2.7681702127659582</v>
      </c>
      <c r="BX57" s="144">
        <f t="shared" si="105"/>
        <v>31038.562656509032</v>
      </c>
      <c r="BY57" s="150">
        <f t="shared" si="106"/>
        <v>37.404072807475508</v>
      </c>
      <c r="BZ57" s="5">
        <f t="shared" si="107"/>
        <v>65.052000000000007</v>
      </c>
      <c r="CA57" s="150">
        <f t="shared" si="108"/>
        <v>0.63492576103554899</v>
      </c>
      <c r="CB57" s="5">
        <f t="shared" si="109"/>
        <v>63.492576103554896</v>
      </c>
      <c r="CC57">
        <f t="shared" si="172"/>
        <v>52</v>
      </c>
      <c r="CE57" s="59">
        <f t="shared" si="163"/>
        <v>-50</v>
      </c>
      <c r="CF57">
        <f t="shared" si="164"/>
        <v>-50</v>
      </c>
      <c r="CG57" s="150">
        <f t="shared" si="165"/>
        <v>0.47445259316173494</v>
      </c>
      <c r="CH57" s="150">
        <f t="shared" si="166"/>
        <v>0.10014456547409166</v>
      </c>
      <c r="CI57" s="147">
        <v>52</v>
      </c>
      <c r="CJ57" s="188">
        <f t="shared" si="133"/>
        <v>2.08</v>
      </c>
      <c r="CK57" s="188">
        <f t="shared" si="111"/>
        <v>0.442</v>
      </c>
      <c r="CL57" s="188">
        <f t="shared" si="48"/>
        <v>62.400000000000006</v>
      </c>
      <c r="CM57" s="188">
        <f t="shared" si="134"/>
        <v>2.6520000000000001</v>
      </c>
      <c r="CN57" s="465">
        <f t="shared" si="112"/>
        <v>34</v>
      </c>
      <c r="CO57" s="379">
        <f t="shared" si="167"/>
        <v>30.7</v>
      </c>
      <c r="CP57" s="379">
        <f t="shared" si="168"/>
        <v>64.7</v>
      </c>
      <c r="CQ57" s="379"/>
      <c r="CR57" s="188">
        <f t="shared" si="113"/>
        <v>0.47204968944099374</v>
      </c>
      <c r="CS57" s="149">
        <f t="shared" si="114"/>
        <v>233.26341749863801</v>
      </c>
      <c r="CT57" s="149">
        <f t="shared" si="51"/>
        <v>9.9136952436921142</v>
      </c>
      <c r="CU57" s="188">
        <f t="shared" si="52"/>
        <v>7.7754472499545999</v>
      </c>
      <c r="CV57" s="188">
        <f t="shared" si="53"/>
        <v>38.877236249772999</v>
      </c>
      <c r="CW57" s="379">
        <f t="shared" si="54"/>
        <v>30</v>
      </c>
      <c r="CX57" s="188">
        <f t="shared" si="55"/>
        <v>8.1063250773993829</v>
      </c>
      <c r="CY57" s="188">
        <f t="shared" si="56"/>
        <v>1.1205802312875617</v>
      </c>
      <c r="CZ57" s="188">
        <f t="shared" si="57"/>
        <v>1.2410334809047914</v>
      </c>
      <c r="DA57" s="172">
        <f t="shared" si="58"/>
        <v>350</v>
      </c>
      <c r="DB57" s="379">
        <f t="shared" si="115"/>
        <v>350</v>
      </c>
      <c r="DD57" s="188">
        <f t="shared" si="59"/>
        <v>9.8072469146822137</v>
      </c>
      <c r="DE57" s="150">
        <f t="shared" si="60"/>
        <v>1.5014351954073746</v>
      </c>
      <c r="DF57" s="150">
        <f t="shared" si="61"/>
        <v>2.4718134248028734</v>
      </c>
      <c r="DG57" s="150"/>
      <c r="DH57" s="150">
        <f t="shared" si="62"/>
        <v>0.92784522751949461</v>
      </c>
      <c r="DI57" s="314">
        <f t="shared" si="63"/>
        <v>771.21914170212767</v>
      </c>
      <c r="DJ57" s="456">
        <f t="shared" si="64"/>
        <v>0.94395997276890675</v>
      </c>
      <c r="DL57" s="150">
        <f t="shared" si="65"/>
        <v>8.8932883405183034</v>
      </c>
      <c r="DM57" s="150">
        <f t="shared" si="66"/>
        <v>8.8932883405183034</v>
      </c>
      <c r="DN57" s="150">
        <f t="shared" si="67"/>
        <v>3.298283170305365</v>
      </c>
      <c r="DP57" s="314">
        <f t="shared" si="68"/>
        <v>2080</v>
      </c>
      <c r="DQ57" s="144">
        <f t="shared" si="69"/>
        <v>350</v>
      </c>
      <c r="DS57">
        <f t="shared" si="116"/>
        <v>2080</v>
      </c>
      <c r="DT57" s="144">
        <f t="shared" si="70"/>
        <v>350</v>
      </c>
      <c r="DU57" s="144"/>
      <c r="DV57" s="5">
        <f t="shared" si="117"/>
        <v>2.8571428571428572</v>
      </c>
      <c r="DW57" s="5">
        <f t="shared" si="71"/>
        <v>1.2293663294245889</v>
      </c>
      <c r="DX57" s="5">
        <f t="shared" si="118"/>
        <v>1.6277765277182683</v>
      </c>
      <c r="DY57" s="150">
        <f t="shared" si="119"/>
        <v>0.4302782152986061</v>
      </c>
      <c r="EA57" s="5">
        <f t="shared" si="72"/>
        <v>8.523606550677151</v>
      </c>
      <c r="EB57" s="5">
        <f t="shared" si="73"/>
        <v>9.0563319600944716</v>
      </c>
      <c r="EC57" s="5">
        <f t="shared" si="74"/>
        <v>1.7573227565678191</v>
      </c>
      <c r="ED57" s="5"/>
      <c r="EE57" s="150">
        <f t="shared" si="120"/>
        <v>3.368033676440191</v>
      </c>
      <c r="EF57" s="150">
        <f t="shared" si="75"/>
        <v>3.7175523712597278</v>
      </c>
      <c r="EG57" s="150">
        <f t="shared" si="76"/>
        <v>0.74622714713863525</v>
      </c>
      <c r="EH57" s="150"/>
      <c r="EI57" s="456">
        <f t="shared" si="77"/>
        <v>0.13612381014762276</v>
      </c>
      <c r="EJ57" s="456">
        <f t="shared" si="78"/>
        <v>3.8263817749497031</v>
      </c>
      <c r="EK57" s="456">
        <f t="shared" si="79"/>
        <v>4.0250000000000001E-2</v>
      </c>
      <c r="EL57" s="456">
        <f t="shared" si="80"/>
        <v>0.75820555125</v>
      </c>
      <c r="EM57">
        <f t="shared" si="81"/>
        <v>1.5299999999999999E-2</v>
      </c>
      <c r="EN57" s="144">
        <f t="shared" si="121"/>
        <v>55.550000000000004</v>
      </c>
      <c r="EO57">
        <f t="shared" si="82"/>
        <v>4.973885014102108</v>
      </c>
      <c r="EP57" s="144">
        <f t="shared" si="122"/>
        <v>4973.8850141021085</v>
      </c>
      <c r="EQ57" s="150">
        <f t="shared" si="83"/>
        <v>1.3948479999999999</v>
      </c>
      <c r="ER57" s="150">
        <f t="shared" si="169"/>
        <v>0.21171799999999999</v>
      </c>
      <c r="ES57" s="456"/>
      <c r="EU57" s="144">
        <f t="shared" si="123"/>
        <v>1606.566</v>
      </c>
      <c r="EV57" s="456">
        <f t="shared" si="85"/>
        <v>0.15881111183889321</v>
      </c>
      <c r="EW57" s="456">
        <f t="shared" si="124"/>
        <v>0.19348273886282355</v>
      </c>
      <c r="EX57" s="456">
        <f t="shared" si="86"/>
        <v>2.7842747756333321E-3</v>
      </c>
      <c r="EY57" s="456">
        <f t="shared" si="87"/>
        <v>27.026888415584729</v>
      </c>
      <c r="EZ57" s="456">
        <f t="shared" si="88"/>
        <v>28.270236703618387</v>
      </c>
      <c r="FA57" s="538">
        <f t="shared" si="89"/>
        <v>2.7681702127659582</v>
      </c>
      <c r="FB57" s="144">
        <f t="shared" si="125"/>
        <v>31038.406916384345</v>
      </c>
      <c r="FC57" s="150">
        <f t="shared" si="126"/>
        <v>37.618857930486456</v>
      </c>
      <c r="FD57" s="5">
        <f t="shared" si="127"/>
        <v>65.052000000000007</v>
      </c>
      <c r="FE57" s="150">
        <f t="shared" si="128"/>
        <v>0.63359751063971448</v>
      </c>
      <c r="FF57" s="5">
        <f t="shared" si="129"/>
        <v>63.359751063971444</v>
      </c>
      <c r="FG57">
        <f t="shared" si="130"/>
        <v>52</v>
      </c>
      <c r="FI57" s="59">
        <f t="shared" si="90"/>
        <v>-50</v>
      </c>
      <c r="FJ57">
        <f t="shared" si="91"/>
        <v>-50</v>
      </c>
      <c r="FL57">
        <f t="shared" si="92"/>
        <v>0.47445259316173488</v>
      </c>
    </row>
    <row r="58" spans="5:168">
      <c r="E58" s="147">
        <v>53</v>
      </c>
      <c r="F58" s="188">
        <f t="shared" si="173"/>
        <v>2.12</v>
      </c>
      <c r="G58" s="188">
        <f t="shared" si="170"/>
        <v>0.45050000000000001</v>
      </c>
      <c r="H58" s="188">
        <f t="shared" si="135"/>
        <v>63.6</v>
      </c>
      <c r="I58" s="188">
        <f t="shared" si="174"/>
        <v>2.7030000000000003</v>
      </c>
      <c r="J58" s="465">
        <f t="shared" si="136"/>
        <v>33.860396249282246</v>
      </c>
      <c r="K58" s="379">
        <f t="shared" si="137"/>
        <v>30.805226752879573</v>
      </c>
      <c r="L58" s="149">
        <f t="shared" si="138"/>
        <v>64.665623002161823</v>
      </c>
      <c r="M58" s="379"/>
      <c r="N58" s="188">
        <f t="shared" si="139"/>
        <v>0.47637717418804937</v>
      </c>
      <c r="O58" s="149">
        <f t="shared" si="171"/>
        <v>234.43528641989249</v>
      </c>
      <c r="P58" s="149">
        <f t="shared" si="140"/>
        <v>9.9634996728454297</v>
      </c>
      <c r="Q58" s="188">
        <f t="shared" si="6"/>
        <v>7.8145095473297497</v>
      </c>
      <c r="R58" s="188">
        <f t="shared" si="141"/>
        <v>39.072547736648751</v>
      </c>
      <c r="S58" s="379">
        <f t="shared" si="142"/>
        <v>30</v>
      </c>
      <c r="T58" s="188">
        <f t="shared" si="143"/>
        <v>8.2209157021730359</v>
      </c>
      <c r="U58" s="188">
        <f t="shared" si="10"/>
        <v>1.1411060731763381</v>
      </c>
      <c r="V58" s="188">
        <f t="shared" si="11"/>
        <v>1.2542775325165068</v>
      </c>
      <c r="W58" s="172">
        <f t="shared" si="12"/>
        <v>350</v>
      </c>
      <c r="X58" s="379">
        <f t="shared" si="95"/>
        <v>350</v>
      </c>
      <c r="Z58" s="188">
        <f t="shared" si="13"/>
        <v>9.8056655818362923</v>
      </c>
      <c r="AA58" s="150">
        <f t="shared" si="14"/>
        <v>1.4960652166055732</v>
      </c>
      <c r="AB58" s="150">
        <f t="shared" si="144"/>
        <v>2.4625756934906975</v>
      </c>
      <c r="AC58" s="150"/>
      <c r="AD58" s="150">
        <f t="shared" si="16"/>
        <v>0.92467582574070195</v>
      </c>
      <c r="AE58" s="314">
        <f t="shared" si="145"/>
        <v>788.74453045831001</v>
      </c>
      <c r="AF58" s="456">
        <f t="shared" si="146"/>
        <v>0.94073552506139291</v>
      </c>
      <c r="AH58" s="150">
        <f t="shared" si="147"/>
        <v>8.9783935173267864</v>
      </c>
      <c r="AI58" s="150">
        <f t="shared" si="148"/>
        <v>8.9783935173267864</v>
      </c>
      <c r="AJ58" s="150">
        <f t="shared" si="149"/>
        <v>3.3613240420153527</v>
      </c>
      <c r="AL58" s="314">
        <f t="shared" si="150"/>
        <v>2120</v>
      </c>
      <c r="AM58" s="144">
        <f t="shared" si="151"/>
        <v>350</v>
      </c>
      <c r="AO58">
        <f t="shared" si="96"/>
        <v>2120</v>
      </c>
      <c r="AP58" s="144">
        <f t="shared" si="24"/>
        <v>350</v>
      </c>
      <c r="AQ58" s="144"/>
      <c r="AR58" s="5">
        <f t="shared" si="97"/>
        <v>2.8571428571428572</v>
      </c>
      <c r="AS58" s="5">
        <f t="shared" si="25"/>
        <v>1.2462479535315656</v>
      </c>
      <c r="AT58" s="5">
        <f t="shared" si="98"/>
        <v>1.6108949036112916</v>
      </c>
      <c r="AU58" s="150">
        <f t="shared" si="99"/>
        <v>0.43618678373604797</v>
      </c>
      <c r="AW58" s="5">
        <f t="shared" si="152"/>
        <v>8.8068188716230633</v>
      </c>
      <c r="AX58" s="5">
        <f t="shared" si="153"/>
        <v>9.3572450510995058</v>
      </c>
      <c r="AY58" s="5">
        <f t="shared" si="28"/>
        <v>1.7798498474774396</v>
      </c>
      <c r="AZ58" s="5"/>
      <c r="BA58" s="150">
        <f t="shared" si="100"/>
        <v>3.4235309644073322</v>
      </c>
      <c r="BB58" s="150">
        <f t="shared" si="154"/>
        <v>3.7336153317810119</v>
      </c>
      <c r="BC58" s="150">
        <f t="shared" si="155"/>
        <v>0.74945147756019614</v>
      </c>
      <c r="BD58" s="150"/>
      <c r="BE58" s="456">
        <f t="shared" si="31"/>
        <v>0.14064677117106958</v>
      </c>
      <c r="BF58" s="456">
        <f t="shared" si="156"/>
        <v>3.7085404086521936</v>
      </c>
      <c r="BG58" s="456">
        <f t="shared" si="33"/>
        <v>4.0250000000000001E-2</v>
      </c>
      <c r="BH58" s="456">
        <f t="shared" si="34"/>
        <v>0.75740005183442971</v>
      </c>
      <c r="BI58">
        <f t="shared" si="35"/>
        <v>1.523717831217701E-2</v>
      </c>
      <c r="BJ58" s="144">
        <f t="shared" si="101"/>
        <v>55.487178312177015</v>
      </c>
      <c r="BK58">
        <f t="shared" si="157"/>
        <v>4.8051384029269446</v>
      </c>
      <c r="BL58" s="144">
        <f t="shared" si="102"/>
        <v>4805.1384029269448</v>
      </c>
      <c r="BM58" s="150">
        <f t="shared" si="158"/>
        <v>1.4216719999999998</v>
      </c>
      <c r="BN58" s="150">
        <f t="shared" si="159"/>
        <v>0.2157895</v>
      </c>
      <c r="BO58" s="456"/>
      <c r="BQ58" s="144">
        <f t="shared" si="103"/>
        <v>1637.4614999999999</v>
      </c>
      <c r="BR58" s="456">
        <f t="shared" si="39"/>
        <v>0.16408789969958115</v>
      </c>
      <c r="BS58" s="456">
        <f t="shared" si="104"/>
        <v>0.19515836823994329</v>
      </c>
      <c r="BT58" s="456">
        <f t="shared" si="160"/>
        <v>2.8083875860858061E-3</v>
      </c>
      <c r="BU58" s="456">
        <f t="shared" si="41"/>
        <v>27.678127529751769</v>
      </c>
      <c r="BV58" s="456">
        <f t="shared" si="161"/>
        <v>28.966059024363563</v>
      </c>
      <c r="BW58" s="538">
        <f t="shared" si="162"/>
        <v>2.8214042553191487</v>
      </c>
      <c r="BX58" s="144">
        <f t="shared" si="105"/>
        <v>31787.46327968271</v>
      </c>
      <c r="BY58" s="150">
        <f t="shared" si="106"/>
        <v>38.230063182609662</v>
      </c>
      <c r="BZ58" s="5">
        <f t="shared" si="107"/>
        <v>66.302999999999997</v>
      </c>
      <c r="CA58" s="150">
        <f t="shared" si="108"/>
        <v>0.63427778715500527</v>
      </c>
      <c r="CB58" s="5">
        <f t="shared" si="109"/>
        <v>63.42777871550053</v>
      </c>
      <c r="CC58">
        <f t="shared" si="172"/>
        <v>53</v>
      </c>
      <c r="CE58" s="59">
        <f t="shared" si="163"/>
        <v>-50</v>
      </c>
      <c r="CF58">
        <f t="shared" si="164"/>
        <v>-50</v>
      </c>
      <c r="CG58" s="150">
        <f t="shared" si="165"/>
        <v>0.47899291281428769</v>
      </c>
      <c r="CH58" s="150">
        <f t="shared" si="166"/>
        <v>0.10110290851040715</v>
      </c>
      <c r="CI58" s="147">
        <v>53</v>
      </c>
      <c r="CJ58" s="188">
        <f t="shared" si="133"/>
        <v>2.12</v>
      </c>
      <c r="CK58" s="188">
        <f t="shared" si="111"/>
        <v>0.45050000000000001</v>
      </c>
      <c r="CL58" s="188">
        <f t="shared" si="48"/>
        <v>63.6</v>
      </c>
      <c r="CM58" s="188">
        <f t="shared" si="134"/>
        <v>2.7030000000000003</v>
      </c>
      <c r="CN58" s="465">
        <f t="shared" si="112"/>
        <v>34</v>
      </c>
      <c r="CO58" s="379">
        <f t="shared" si="167"/>
        <v>30.7</v>
      </c>
      <c r="CP58" s="379">
        <f t="shared" si="168"/>
        <v>64.7</v>
      </c>
      <c r="CQ58" s="379"/>
      <c r="CR58" s="188">
        <f t="shared" si="113"/>
        <v>0.47204968944099374</v>
      </c>
      <c r="CS58" s="149">
        <f t="shared" si="114"/>
        <v>233.26341749863801</v>
      </c>
      <c r="CT58" s="149">
        <f t="shared" si="51"/>
        <v>9.9136952436921142</v>
      </c>
      <c r="CU58" s="188">
        <f t="shared" si="52"/>
        <v>7.7754472499545999</v>
      </c>
      <c r="CV58" s="188">
        <f t="shared" si="53"/>
        <v>38.877236249772999</v>
      </c>
      <c r="CW58" s="379">
        <f t="shared" si="54"/>
        <v>30</v>
      </c>
      <c r="CX58" s="188">
        <f t="shared" si="55"/>
        <v>8.2622159442724463</v>
      </c>
      <c r="CY58" s="188">
        <f t="shared" si="56"/>
        <v>1.1421298511200146</v>
      </c>
      <c r="CZ58" s="188">
        <f t="shared" si="57"/>
        <v>1.2648995093837294</v>
      </c>
      <c r="DA58" s="172">
        <f t="shared" si="58"/>
        <v>350</v>
      </c>
      <c r="DB58" s="379">
        <f t="shared" si="115"/>
        <v>350</v>
      </c>
      <c r="DD58" s="188">
        <f t="shared" si="59"/>
        <v>9.8072469146822137</v>
      </c>
      <c r="DE58" s="150">
        <f t="shared" si="60"/>
        <v>1.5014351954073746</v>
      </c>
      <c r="DF58" s="150">
        <f t="shared" si="61"/>
        <v>2.4718134248028734</v>
      </c>
      <c r="DG58" s="150"/>
      <c r="DH58" s="150">
        <f t="shared" si="62"/>
        <v>0.92784522751949461</v>
      </c>
      <c r="DI58" s="314">
        <f t="shared" si="63"/>
        <v>786.05027904255326</v>
      </c>
      <c r="DJ58" s="456">
        <f t="shared" si="64"/>
        <v>0.94395997276890675</v>
      </c>
      <c r="DL58" s="150">
        <f t="shared" si="65"/>
        <v>8.9783935173267864</v>
      </c>
      <c r="DM58" s="150">
        <f t="shared" si="66"/>
        <v>8.9783935173267864</v>
      </c>
      <c r="DN58" s="150">
        <f t="shared" si="67"/>
        <v>3.3613240420153527</v>
      </c>
      <c r="DP58" s="314">
        <f t="shared" si="68"/>
        <v>2120</v>
      </c>
      <c r="DQ58" s="144">
        <f t="shared" si="69"/>
        <v>350</v>
      </c>
      <c r="DS58">
        <f t="shared" si="116"/>
        <v>2120</v>
      </c>
      <c r="DT58" s="144">
        <f t="shared" si="70"/>
        <v>350</v>
      </c>
      <c r="DU58" s="144"/>
      <c r="DV58" s="5">
        <f t="shared" si="117"/>
        <v>2.8571428571428572</v>
      </c>
      <c r="DW58" s="5">
        <f t="shared" si="71"/>
        <v>1.2411308685716442</v>
      </c>
      <c r="DX58" s="5">
        <f t="shared" si="118"/>
        <v>1.616011988571213</v>
      </c>
      <c r="DY58" s="150">
        <f t="shared" si="119"/>
        <v>0.43439580400007549</v>
      </c>
      <c r="EA58" s="5">
        <f t="shared" si="72"/>
        <v>8.7706581379062865</v>
      </c>
      <c r="EB58" s="5">
        <f t="shared" si="73"/>
        <v>9.318824271525429</v>
      </c>
      <c r="EC58" s="5">
        <f t="shared" si="74"/>
        <v>1.7781723611268017</v>
      </c>
      <c r="ED58" s="5"/>
      <c r="EE58" s="150">
        <f t="shared" si="120"/>
        <v>3.4164952382990319</v>
      </c>
      <c r="EF58" s="150">
        <f t="shared" si="75"/>
        <v>3.7395406341393307</v>
      </c>
      <c r="EG58" s="150">
        <f t="shared" si="76"/>
        <v>0.75064086806050634</v>
      </c>
      <c r="EH58" s="150"/>
      <c r="EI58" s="456">
        <f t="shared" si="77"/>
        <v>0.1400692765598395</v>
      </c>
      <c r="EJ58" s="456">
        <f t="shared" si="78"/>
        <v>3.8629987027974368</v>
      </c>
      <c r="EK58" s="456">
        <f t="shared" si="79"/>
        <v>4.0250000000000001E-2</v>
      </c>
      <c r="EL58" s="456">
        <f t="shared" si="80"/>
        <v>0.75820555125</v>
      </c>
      <c r="EM58">
        <f t="shared" si="81"/>
        <v>1.5299999999999999E-2</v>
      </c>
      <c r="EN58" s="144">
        <f t="shared" si="121"/>
        <v>55.550000000000004</v>
      </c>
      <c r="EO58">
        <f t="shared" si="82"/>
        <v>5.0217690187931128</v>
      </c>
      <c r="EP58" s="144">
        <f t="shared" si="122"/>
        <v>5021.769018793113</v>
      </c>
      <c r="EQ58" s="150">
        <f t="shared" si="83"/>
        <v>1.4216719999999998</v>
      </c>
      <c r="ER58" s="150">
        <f t="shared" si="169"/>
        <v>0.2157895</v>
      </c>
      <c r="ES58" s="456"/>
      <c r="EU58" s="144">
        <f t="shared" si="123"/>
        <v>1637.4614999999999</v>
      </c>
      <c r="EV58" s="456">
        <f t="shared" si="85"/>
        <v>0.16341415598647943</v>
      </c>
      <c r="EW58" s="456">
        <f t="shared" si="124"/>
        <v>0.19577829816130865</v>
      </c>
      <c r="EX58" s="456">
        <f t="shared" si="86"/>
        <v>2.8173085640131523E-3</v>
      </c>
      <c r="EY58" s="456">
        <f t="shared" si="87"/>
        <v>27.678127529751769</v>
      </c>
      <c r="EZ58" s="456">
        <f t="shared" si="88"/>
        <v>28.965894564970405</v>
      </c>
      <c r="FA58" s="538">
        <f t="shared" si="89"/>
        <v>2.8214042553191487</v>
      </c>
      <c r="FB58" s="144">
        <f t="shared" si="125"/>
        <v>31787.298820289554</v>
      </c>
      <c r="FC58" s="150">
        <f t="shared" si="126"/>
        <v>38.446529339082673</v>
      </c>
      <c r="FD58" s="5">
        <f t="shared" si="127"/>
        <v>66.302999999999997</v>
      </c>
      <c r="FE58" s="150">
        <f t="shared" si="128"/>
        <v>0.63296704451407926</v>
      </c>
      <c r="FF58" s="5">
        <f t="shared" si="129"/>
        <v>63.296704451407926</v>
      </c>
      <c r="FG58">
        <f t="shared" si="130"/>
        <v>53</v>
      </c>
      <c r="FI58" s="59">
        <f t="shared" si="90"/>
        <v>-50</v>
      </c>
      <c r="FJ58">
        <f t="shared" si="91"/>
        <v>-50</v>
      </c>
      <c r="FL58">
        <f t="shared" si="92"/>
        <v>0.47899291281428769</v>
      </c>
    </row>
    <row r="59" spans="5:168">
      <c r="E59" s="147">
        <v>54</v>
      </c>
      <c r="F59" s="188">
        <f t="shared" si="173"/>
        <v>2.16</v>
      </c>
      <c r="G59" s="188">
        <f t="shared" si="170"/>
        <v>0.45900000000000002</v>
      </c>
      <c r="H59" s="188">
        <f t="shared" si="135"/>
        <v>64.800000000000011</v>
      </c>
      <c r="I59" s="188">
        <f t="shared" si="174"/>
        <v>2.754</v>
      </c>
      <c r="J59" s="465">
        <f t="shared" si="136"/>
        <v>33.859085387183214</v>
      </c>
      <c r="K59" s="379">
        <f t="shared" si="137"/>
        <v>30.806214819184703</v>
      </c>
      <c r="L59" s="149">
        <f t="shared" si="138"/>
        <v>64.665300206367917</v>
      </c>
      <c r="M59" s="379"/>
      <c r="N59" s="188">
        <f t="shared" si="139"/>
        <v>0.47639483186302534</v>
      </c>
      <c r="O59" s="149">
        <f t="shared" si="171"/>
        <v>234.43489993551293</v>
      </c>
      <c r="P59" s="149">
        <f t="shared" si="140"/>
        <v>9.9634832472592976</v>
      </c>
      <c r="Q59" s="188">
        <f t="shared" si="6"/>
        <v>7.8144966645170975</v>
      </c>
      <c r="R59" s="188">
        <f t="shared" si="141"/>
        <v>39.072483322585491</v>
      </c>
      <c r="S59" s="379">
        <f t="shared" si="142"/>
        <v>30</v>
      </c>
      <c r="T59" s="188">
        <f t="shared" si="143"/>
        <v>8.3760411277352933</v>
      </c>
      <c r="U59" s="188">
        <f t="shared" si="10"/>
        <v>1.1626833049441359</v>
      </c>
      <c r="V59" s="188">
        <f t="shared" si="11"/>
        <v>1.277904264818658</v>
      </c>
      <c r="W59" s="172">
        <f t="shared" si="12"/>
        <v>350</v>
      </c>
      <c r="X59" s="379">
        <f t="shared" si="95"/>
        <v>350</v>
      </c>
      <c r="Z59" s="188">
        <f t="shared" si="13"/>
        <v>9.8056494164516526</v>
      </c>
      <c r="AA59" s="150">
        <f t="shared" si="14"/>
        <v>1.496014766105642</v>
      </c>
      <c r="AB59" s="150">
        <f t="shared" si="144"/>
        <v>2.4624885905963527</v>
      </c>
      <c r="AC59" s="150"/>
      <c r="AD59" s="150">
        <f t="shared" si="16"/>
        <v>0.92464616805533084</v>
      </c>
      <c r="AE59" s="314">
        <f t="shared" si="145"/>
        <v>803.65227875527535</v>
      </c>
      <c r="AF59" s="456">
        <f t="shared" si="146"/>
        <v>0.94070535228360097</v>
      </c>
      <c r="AH59" s="150">
        <f t="shared" si="147"/>
        <v>9.0626995313953014</v>
      </c>
      <c r="AI59" s="150">
        <f t="shared" si="148"/>
        <v>9.0626995313953014</v>
      </c>
      <c r="AJ59" s="150">
        <f t="shared" si="149"/>
        <v>3.4237729413253639</v>
      </c>
      <c r="AL59" s="314">
        <f t="shared" si="150"/>
        <v>2160</v>
      </c>
      <c r="AM59" s="144">
        <f t="shared" si="151"/>
        <v>350</v>
      </c>
      <c r="AO59">
        <f t="shared" si="96"/>
        <v>2160</v>
      </c>
      <c r="AP59" s="144">
        <f t="shared" si="24"/>
        <v>350</v>
      </c>
      <c r="AQ59" s="144"/>
      <c r="AR59" s="5">
        <f t="shared" si="97"/>
        <v>2.8571428571428572</v>
      </c>
      <c r="AS59" s="5">
        <f t="shared" si="25"/>
        <v>1.2579987708020435</v>
      </c>
      <c r="AT59" s="5">
        <f t="shared" si="98"/>
        <v>1.5991440863408137</v>
      </c>
      <c r="AU59" s="150">
        <f t="shared" si="99"/>
        <v>0.44029956978071522</v>
      </c>
      <c r="AW59" s="5">
        <f t="shared" si="152"/>
        <v>9.0575911497747139</v>
      </c>
      <c r="AX59" s="5">
        <f t="shared" si="153"/>
        <v>9.6236905966356314</v>
      </c>
      <c r="AY59" s="5">
        <f t="shared" si="28"/>
        <v>1.800273373669381</v>
      </c>
      <c r="AZ59" s="5"/>
      <c r="BA59" s="150">
        <f t="shared" si="100"/>
        <v>3.4719309926052602</v>
      </c>
      <c r="BB59" s="150">
        <f t="shared" si="154"/>
        <v>3.7549028997437524</v>
      </c>
      <c r="BC59" s="150">
        <f t="shared" si="155"/>
        <v>0.75372454745240935</v>
      </c>
      <c r="BD59" s="150"/>
      <c r="BE59" s="456">
        <f t="shared" si="31"/>
        <v>0.14465165780895536</v>
      </c>
      <c r="BF59" s="456">
        <f t="shared" si="156"/>
        <v>3.7433444622943646</v>
      </c>
      <c r="BG59" s="456">
        <f t="shared" si="33"/>
        <v>4.0250000000000001E-2</v>
      </c>
      <c r="BH59" s="456">
        <f t="shared" si="34"/>
        <v>0.75739249032247069</v>
      </c>
      <c r="BI59">
        <f t="shared" si="35"/>
        <v>1.5236588424232447E-2</v>
      </c>
      <c r="BJ59" s="144">
        <f t="shared" si="101"/>
        <v>55.486588424232444</v>
      </c>
      <c r="BK59">
        <f t="shared" si="157"/>
        <v>4.8511757521267844</v>
      </c>
      <c r="BL59" s="144">
        <f t="shared" si="102"/>
        <v>4851.1757521267846</v>
      </c>
      <c r="BM59" s="150">
        <f t="shared" si="158"/>
        <v>1.448496</v>
      </c>
      <c r="BN59" s="150">
        <f t="shared" si="159"/>
        <v>0.219861</v>
      </c>
      <c r="BO59" s="456"/>
      <c r="BQ59" s="144">
        <f t="shared" si="103"/>
        <v>1668.3570000000002</v>
      </c>
      <c r="BR59" s="456">
        <f t="shared" si="39"/>
        <v>0.16876026744378125</v>
      </c>
      <c r="BS59" s="456">
        <f t="shared" si="104"/>
        <v>0.19739014101105656</v>
      </c>
      <c r="BT59" s="456">
        <f t="shared" si="160"/>
        <v>2.8405034671616963E-3</v>
      </c>
      <c r="BU59" s="456">
        <f t="shared" si="41"/>
        <v>28.332445943199563</v>
      </c>
      <c r="BV59" s="456">
        <f t="shared" si="161"/>
        <v>29.665704708642917</v>
      </c>
      <c r="BW59" s="538">
        <f t="shared" si="162"/>
        <v>2.8746382978723419</v>
      </c>
      <c r="BX59" s="144">
        <f t="shared" si="105"/>
        <v>32540.343006515257</v>
      </c>
      <c r="BY59" s="150">
        <f t="shared" si="106"/>
        <v>39.059875758642043</v>
      </c>
      <c r="BZ59" s="5">
        <f t="shared" si="107"/>
        <v>67.554000000000016</v>
      </c>
      <c r="CA59" s="150">
        <f t="shared" si="108"/>
        <v>0.63363234400119006</v>
      </c>
      <c r="CB59" s="5">
        <f t="shared" si="109"/>
        <v>63.363234400119005</v>
      </c>
      <c r="CC59">
        <f t="shared" si="172"/>
        <v>54</v>
      </c>
      <c r="CE59" s="59">
        <f t="shared" si="163"/>
        <v>-50</v>
      </c>
      <c r="CF59">
        <f t="shared" si="164"/>
        <v>-50</v>
      </c>
      <c r="CG59" s="150">
        <f t="shared" si="165"/>
        <v>0.48349059752464363</v>
      </c>
      <c r="CH59" s="150">
        <f t="shared" si="166"/>
        <v>0.10205225242263341</v>
      </c>
      <c r="CI59" s="147">
        <v>54</v>
      </c>
      <c r="CJ59" s="188">
        <f t="shared" si="133"/>
        <v>2.16</v>
      </c>
      <c r="CK59" s="188">
        <f t="shared" si="111"/>
        <v>0.45900000000000002</v>
      </c>
      <c r="CL59" s="188">
        <f t="shared" si="48"/>
        <v>64.800000000000011</v>
      </c>
      <c r="CM59" s="188">
        <f t="shared" si="134"/>
        <v>2.754</v>
      </c>
      <c r="CN59" s="465">
        <f t="shared" si="112"/>
        <v>34</v>
      </c>
      <c r="CO59" s="379">
        <f t="shared" si="167"/>
        <v>30.7</v>
      </c>
      <c r="CP59" s="379">
        <f t="shared" si="168"/>
        <v>64.7</v>
      </c>
      <c r="CQ59" s="379"/>
      <c r="CR59" s="188">
        <f t="shared" si="113"/>
        <v>0.47204968944099374</v>
      </c>
      <c r="CS59" s="149">
        <f t="shared" si="114"/>
        <v>233.26341749863801</v>
      </c>
      <c r="CT59" s="149">
        <f t="shared" si="51"/>
        <v>9.9136952436921142</v>
      </c>
      <c r="CU59" s="188">
        <f t="shared" si="52"/>
        <v>7.7754472499545999</v>
      </c>
      <c r="CV59" s="188">
        <f t="shared" si="53"/>
        <v>38.877236249772999</v>
      </c>
      <c r="CW59" s="379">
        <f t="shared" si="54"/>
        <v>30</v>
      </c>
      <c r="CX59" s="188">
        <f t="shared" si="55"/>
        <v>8.4181068111455133</v>
      </c>
      <c r="CY59" s="188">
        <f t="shared" si="56"/>
        <v>1.163679470952468</v>
      </c>
      <c r="CZ59" s="188">
        <f t="shared" si="57"/>
        <v>1.2887655378626681</v>
      </c>
      <c r="DA59" s="172">
        <f t="shared" si="58"/>
        <v>350</v>
      </c>
      <c r="DB59" s="379">
        <f t="shared" si="115"/>
        <v>350</v>
      </c>
      <c r="DD59" s="188">
        <f t="shared" si="59"/>
        <v>9.8072469146822137</v>
      </c>
      <c r="DE59" s="150">
        <f t="shared" si="60"/>
        <v>1.5014351954073746</v>
      </c>
      <c r="DF59" s="150">
        <f t="shared" si="61"/>
        <v>2.4718134248028734</v>
      </c>
      <c r="DG59" s="150"/>
      <c r="DH59" s="150">
        <f t="shared" si="62"/>
        <v>0.92784522751949461</v>
      </c>
      <c r="DI59" s="314">
        <f t="shared" si="63"/>
        <v>800.88141638297884</v>
      </c>
      <c r="DJ59" s="456">
        <f t="shared" si="64"/>
        <v>0.94395997276890675</v>
      </c>
      <c r="DL59" s="150">
        <f t="shared" si="65"/>
        <v>9.0626995313953014</v>
      </c>
      <c r="DM59" s="150">
        <f t="shared" si="66"/>
        <v>9.0626995313953014</v>
      </c>
      <c r="DN59" s="150">
        <f t="shared" si="67"/>
        <v>3.4237729413253639</v>
      </c>
      <c r="DP59" s="314">
        <f t="shared" si="68"/>
        <v>2160</v>
      </c>
      <c r="DQ59" s="144">
        <f t="shared" si="69"/>
        <v>350</v>
      </c>
      <c r="DS59">
        <f t="shared" si="116"/>
        <v>2160</v>
      </c>
      <c r="DT59" s="144">
        <f t="shared" si="70"/>
        <v>350</v>
      </c>
      <c r="DU59" s="144"/>
      <c r="DV59" s="5">
        <f t="shared" si="117"/>
        <v>2.8571428571428572</v>
      </c>
      <c r="DW59" s="5">
        <f t="shared" si="71"/>
        <v>1.2527849352222915</v>
      </c>
      <c r="DX59" s="5">
        <f t="shared" si="118"/>
        <v>1.6043579219205657</v>
      </c>
      <c r="DY59" s="150">
        <f t="shared" si="119"/>
        <v>0.43847472732780202</v>
      </c>
      <c r="EA59" s="5">
        <f t="shared" si="72"/>
        <v>9.0200515336004994</v>
      </c>
      <c r="EB59" s="5">
        <f t="shared" si="73"/>
        <v>9.5838047544505311</v>
      </c>
      <c r="EC59" s="5">
        <f t="shared" si="74"/>
        <v>1.7986573242292847</v>
      </c>
      <c r="ED59" s="5"/>
      <c r="EE59" s="150">
        <f t="shared" si="120"/>
        <v>3.4647287309819408</v>
      </c>
      <c r="EF59" s="150">
        <f t="shared" si="75"/>
        <v>3.7610191449686279</v>
      </c>
      <c r="EG59" s="150">
        <f t="shared" si="76"/>
        <v>0.75495226606120247</v>
      </c>
      <c r="EH59" s="150"/>
      <c r="EI59" s="456">
        <f t="shared" si="77"/>
        <v>0.14405214215150078</v>
      </c>
      <c r="EJ59" s="456">
        <f t="shared" si="78"/>
        <v>3.8992717868804863</v>
      </c>
      <c r="EK59" s="456">
        <f t="shared" si="79"/>
        <v>4.0250000000000001E-2</v>
      </c>
      <c r="EL59" s="456">
        <f t="shared" si="80"/>
        <v>0.75820555125</v>
      </c>
      <c r="EM59">
        <f t="shared" si="81"/>
        <v>1.5299999999999999E-2</v>
      </c>
      <c r="EN59" s="144">
        <f t="shared" si="121"/>
        <v>55.550000000000004</v>
      </c>
      <c r="EO59">
        <f t="shared" si="82"/>
        <v>5.0694857786204954</v>
      </c>
      <c r="EP59" s="144">
        <f t="shared" si="122"/>
        <v>5069.4857786204957</v>
      </c>
      <c r="EQ59" s="150">
        <f t="shared" si="83"/>
        <v>1.448496</v>
      </c>
      <c r="ER59" s="150">
        <f t="shared" si="169"/>
        <v>0.219861</v>
      </c>
      <c r="ES59" s="456"/>
      <c r="EU59" s="144">
        <f t="shared" si="123"/>
        <v>1668.3570000000002</v>
      </c>
      <c r="EV59" s="456">
        <f t="shared" si="85"/>
        <v>0.16806083251008425</v>
      </c>
      <c r="EW59" s="456">
        <f t="shared" si="124"/>
        <v>0.19803371012348767</v>
      </c>
      <c r="EX59" s="456">
        <f t="shared" si="86"/>
        <v>2.8497646201547234E-3</v>
      </c>
      <c r="EY59" s="456">
        <f t="shared" si="87"/>
        <v>28.332445943199563</v>
      </c>
      <c r="EZ59" s="456">
        <f t="shared" si="88"/>
        <v>29.665531192607826</v>
      </c>
      <c r="FA59" s="538">
        <f t="shared" si="89"/>
        <v>2.8746382978723419</v>
      </c>
      <c r="FB59" s="144">
        <f t="shared" si="125"/>
        <v>32540.169490480166</v>
      </c>
      <c r="FC59" s="150">
        <f t="shared" si="126"/>
        <v>39.278012269100664</v>
      </c>
      <c r="FD59" s="5">
        <f t="shared" si="127"/>
        <v>67.554000000000016</v>
      </c>
      <c r="FE59" s="150">
        <f t="shared" si="128"/>
        <v>0.6323385525102464</v>
      </c>
      <c r="FF59" s="5">
        <f t="shared" si="129"/>
        <v>63.233855251024643</v>
      </c>
      <c r="FG59">
        <f t="shared" si="130"/>
        <v>54</v>
      </c>
      <c r="FI59" s="59">
        <f t="shared" si="90"/>
        <v>-50</v>
      </c>
      <c r="FJ59">
        <f t="shared" si="91"/>
        <v>-50</v>
      </c>
      <c r="FL59">
        <f t="shared" si="92"/>
        <v>0.48349059752464357</v>
      </c>
    </row>
    <row r="60" spans="5:168">
      <c r="E60" s="147">
        <v>55</v>
      </c>
      <c r="F60" s="188">
        <f t="shared" si="173"/>
        <v>2.2000000000000002</v>
      </c>
      <c r="G60" s="188">
        <f t="shared" si="170"/>
        <v>0.46750000000000003</v>
      </c>
      <c r="H60" s="188">
        <f t="shared" si="135"/>
        <v>66</v>
      </c>
      <c r="I60" s="188">
        <f t="shared" si="174"/>
        <v>2.8050000000000002</v>
      </c>
      <c r="J60" s="465">
        <f t="shared" si="136"/>
        <v>33.857786607535914</v>
      </c>
      <c r="K60" s="379">
        <f t="shared" si="137"/>
        <v>30.807193778304988</v>
      </c>
      <c r="L60" s="149">
        <f t="shared" si="138"/>
        <v>64.664980385840906</v>
      </c>
      <c r="M60" s="379"/>
      <c r="N60" s="188">
        <f t="shared" si="139"/>
        <v>0.47641232695789321</v>
      </c>
      <c r="O60" s="149">
        <f t="shared" si="171"/>
        <v>234.43451643543315</v>
      </c>
      <c r="P60" s="149">
        <f t="shared" si="140"/>
        <v>9.9634669485059071</v>
      </c>
      <c r="Q60" s="188">
        <f t="shared" si="6"/>
        <v>7.814483881181105</v>
      </c>
      <c r="R60" s="188">
        <f t="shared" si="141"/>
        <v>39.072419405905528</v>
      </c>
      <c r="S60" s="379">
        <f t="shared" si="142"/>
        <v>30</v>
      </c>
      <c r="T60" s="188">
        <f t="shared" si="143"/>
        <v>8.531166956171452</v>
      </c>
      <c r="U60" s="188">
        <f t="shared" si="10"/>
        <v>1.1842618408222034</v>
      </c>
      <c r="V60" s="188">
        <f t="shared" si="11"/>
        <v>1.301529927800257</v>
      </c>
      <c r="W60" s="172">
        <f t="shared" si="12"/>
        <v>350</v>
      </c>
      <c r="X60" s="379">
        <f t="shared" si="95"/>
        <v>350</v>
      </c>
      <c r="Z60" s="188">
        <f t="shared" si="13"/>
        <v>9.8056333758905652</v>
      </c>
      <c r="AA60" s="150">
        <f t="shared" si="14"/>
        <v>1.4959647801203053</v>
      </c>
      <c r="AB60" s="150">
        <f t="shared" si="144"/>
        <v>2.4624022839264081</v>
      </c>
      <c r="AC60" s="150"/>
      <c r="AD60" s="150">
        <f t="shared" si="16"/>
        <v>0.92461678560635585</v>
      </c>
      <c r="AE60" s="314">
        <f t="shared" si="145"/>
        <v>818.56073973788068</v>
      </c>
      <c r="AF60" s="456">
        <f t="shared" si="146"/>
        <v>0.94067545952248977</v>
      </c>
      <c r="AH60" s="150">
        <f t="shared" si="147"/>
        <v>9.1462284817693842</v>
      </c>
      <c r="AI60" s="150">
        <f t="shared" si="148"/>
        <v>9.1462284817693842</v>
      </c>
      <c r="AJ60" s="150">
        <f t="shared" si="149"/>
        <v>3.4856462378987576</v>
      </c>
      <c r="AL60" s="314">
        <f t="shared" si="150"/>
        <v>2200</v>
      </c>
      <c r="AM60" s="144">
        <f t="shared" si="151"/>
        <v>350</v>
      </c>
      <c r="AO60">
        <f t="shared" si="96"/>
        <v>2200</v>
      </c>
      <c r="AP60">
        <f t="shared" si="24"/>
        <v>350</v>
      </c>
      <c r="AR60" s="5">
        <f t="shared" si="97"/>
        <v>2.8571428571428572</v>
      </c>
      <c r="AS60" s="5">
        <f t="shared" si="25"/>
        <v>1.2696421760407748</v>
      </c>
      <c r="AT60" s="5">
        <f t="shared" si="98"/>
        <v>1.5875006811020824</v>
      </c>
      <c r="AU60" s="150">
        <f t="shared" si="99"/>
        <v>0.44437476161427114</v>
      </c>
      <c r="AW60" s="5">
        <f t="shared" si="152"/>
        <v>9.3107092909656828</v>
      </c>
      <c r="AX60" s="5">
        <f t="shared" si="153"/>
        <v>9.8926286216510384</v>
      </c>
      <c r="AY60" s="5">
        <f t="shared" si="28"/>
        <v>1.8203310245403146</v>
      </c>
      <c r="AZ60" s="5"/>
      <c r="BA60" s="150">
        <f t="shared" si="100"/>
        <v>3.520108999007213</v>
      </c>
      <c r="BB60" s="150">
        <f t="shared" si="154"/>
        <v>3.7756900687663322</v>
      </c>
      <c r="BC60" s="150">
        <f t="shared" si="155"/>
        <v>0.75789717188044181</v>
      </c>
      <c r="BD60" s="150"/>
      <c r="BE60" s="456">
        <f t="shared" si="31"/>
        <v>0.14869400837869876</v>
      </c>
      <c r="BF60" s="456">
        <f t="shared" si="156"/>
        <v>3.7778273778522089</v>
      </c>
      <c r="BG60" s="456">
        <f t="shared" si="33"/>
        <v>4.0250000000000001E-2</v>
      </c>
      <c r="BH60" s="456">
        <f t="shared" si="34"/>
        <v>0.75738499854355301</v>
      </c>
      <c r="BI60">
        <f t="shared" si="35"/>
        <v>1.5236003973391161E-2</v>
      </c>
      <c r="BJ60" s="144">
        <f t="shared" si="101"/>
        <v>55.486003973391163</v>
      </c>
      <c r="BK60">
        <f t="shared" si="157"/>
        <v>4.8970656081794122</v>
      </c>
      <c r="BL60" s="144">
        <f t="shared" si="102"/>
        <v>4897.0656081794123</v>
      </c>
      <c r="BM60" s="150">
        <f t="shared" si="158"/>
        <v>1.47532</v>
      </c>
      <c r="BN60" s="150">
        <f t="shared" si="159"/>
        <v>0.22393250000000001</v>
      </c>
      <c r="BO60" s="456"/>
      <c r="BQ60" s="144">
        <f t="shared" si="103"/>
        <v>1699.2525000000001</v>
      </c>
      <c r="BR60" s="456">
        <f t="shared" si="39"/>
        <v>0.1734763431084819</v>
      </c>
      <c r="BS60" s="456">
        <f t="shared" si="104"/>
        <v>0.19958169693532996</v>
      </c>
      <c r="BT60" s="456">
        <f t="shared" si="160"/>
        <v>2.87204061572186E-3</v>
      </c>
      <c r="BU60" s="456">
        <f t="shared" si="41"/>
        <v>28.98980078377112</v>
      </c>
      <c r="BV60" s="456">
        <f t="shared" si="161"/>
        <v>30.369292531050608</v>
      </c>
      <c r="BW60" s="538">
        <f t="shared" si="162"/>
        <v>2.9278723404255325</v>
      </c>
      <c r="BX60" s="144">
        <f t="shared" si="105"/>
        <v>33297.16487147614</v>
      </c>
      <c r="BY60" s="150">
        <f t="shared" si="106"/>
        <v>39.893482979655552</v>
      </c>
      <c r="BZ60" s="5">
        <f t="shared" si="107"/>
        <v>68.805000000000007</v>
      </c>
      <c r="CA60" s="150">
        <f t="shared" si="108"/>
        <v>0.63298951479274856</v>
      </c>
      <c r="CB60" s="5">
        <f t="shared" si="109"/>
        <v>63.298951479274855</v>
      </c>
      <c r="CC60">
        <f t="shared" si="172"/>
        <v>55.000000000000007</v>
      </c>
      <c r="CE60" s="59">
        <f t="shared" si="163"/>
        <v>-50</v>
      </c>
      <c r="CF60">
        <f t="shared" si="164"/>
        <v>-50</v>
      </c>
      <c r="CG60" s="150">
        <f t="shared" si="165"/>
        <v>0.48794682626609831</v>
      </c>
      <c r="CH60" s="150">
        <f t="shared" si="166"/>
        <v>0.10299284606127755</v>
      </c>
      <c r="CI60" s="147">
        <v>55</v>
      </c>
      <c r="CJ60" s="188">
        <f t="shared" si="133"/>
        <v>2.2000000000000002</v>
      </c>
      <c r="CK60" s="188">
        <f t="shared" si="111"/>
        <v>0.46750000000000003</v>
      </c>
      <c r="CL60" s="188">
        <f t="shared" si="48"/>
        <v>66</v>
      </c>
      <c r="CM60" s="188">
        <f t="shared" si="134"/>
        <v>2.8050000000000002</v>
      </c>
      <c r="CN60" s="465">
        <f t="shared" si="112"/>
        <v>34</v>
      </c>
      <c r="CO60" s="379">
        <f t="shared" si="167"/>
        <v>30.7</v>
      </c>
      <c r="CP60" s="379">
        <f t="shared" si="168"/>
        <v>64.7</v>
      </c>
      <c r="CQ60" s="379"/>
      <c r="CR60" s="188">
        <f t="shared" si="113"/>
        <v>0.47204968944099374</v>
      </c>
      <c r="CS60" s="149">
        <f t="shared" si="114"/>
        <v>233.26341749863801</v>
      </c>
      <c r="CT60" s="149">
        <f t="shared" si="51"/>
        <v>9.9136952436921142</v>
      </c>
      <c r="CU60" s="188">
        <f t="shared" si="52"/>
        <v>7.7754472499545999</v>
      </c>
      <c r="CV60" s="188">
        <f t="shared" si="53"/>
        <v>38.877236249772999</v>
      </c>
      <c r="CW60" s="379">
        <f t="shared" si="54"/>
        <v>30</v>
      </c>
      <c r="CX60" s="188">
        <f t="shared" si="55"/>
        <v>8.5739976780185767</v>
      </c>
      <c r="CY60" s="188">
        <f t="shared" si="56"/>
        <v>1.185229090784921</v>
      </c>
      <c r="CZ60" s="188">
        <f t="shared" si="57"/>
        <v>1.3126315663416064</v>
      </c>
      <c r="DA60" s="172">
        <f t="shared" si="58"/>
        <v>350</v>
      </c>
      <c r="DB60" s="379">
        <f t="shared" si="115"/>
        <v>350</v>
      </c>
      <c r="DD60" s="188">
        <f t="shared" si="59"/>
        <v>9.8072469146822137</v>
      </c>
      <c r="DE60" s="150">
        <f t="shared" si="60"/>
        <v>1.5014351954073746</v>
      </c>
      <c r="DF60" s="150">
        <f t="shared" si="61"/>
        <v>2.4718134248028734</v>
      </c>
      <c r="DG60" s="150"/>
      <c r="DH60" s="150">
        <f t="shared" si="62"/>
        <v>0.92784522751949461</v>
      </c>
      <c r="DI60" s="314">
        <f t="shared" si="63"/>
        <v>815.71255372340431</v>
      </c>
      <c r="DJ60" s="456">
        <f t="shared" si="64"/>
        <v>0.94395997276890675</v>
      </c>
      <c r="DL60" s="150">
        <f t="shared" si="65"/>
        <v>9.1462284817693842</v>
      </c>
      <c r="DM60" s="150">
        <f t="shared" si="66"/>
        <v>9.1462284817693842</v>
      </c>
      <c r="DN60" s="150">
        <f t="shared" si="67"/>
        <v>3.4856462378987576</v>
      </c>
      <c r="DP60" s="314">
        <f t="shared" si="68"/>
        <v>2200</v>
      </c>
      <c r="DQ60" s="144">
        <f t="shared" si="69"/>
        <v>350</v>
      </c>
      <c r="DS60">
        <f t="shared" si="116"/>
        <v>2200</v>
      </c>
      <c r="DT60">
        <f t="shared" si="70"/>
        <v>350</v>
      </c>
      <c r="DV60" s="5">
        <f t="shared" si="117"/>
        <v>2.8571428571428572</v>
      </c>
      <c r="DW60" s="5">
        <f t="shared" si="71"/>
        <v>1.2643315842445912</v>
      </c>
      <c r="DX60" s="5">
        <f t="shared" si="118"/>
        <v>1.592811272898266</v>
      </c>
      <c r="DY60" s="150">
        <f t="shared" si="119"/>
        <v>0.44251605448560694</v>
      </c>
      <c r="EA60" s="5">
        <f t="shared" si="72"/>
        <v>9.2717649511270039</v>
      </c>
      <c r="EB60" s="5">
        <f t="shared" si="73"/>
        <v>9.8512502605724386</v>
      </c>
      <c r="EC60" s="5">
        <f t="shared" si="74"/>
        <v>1.8187810382575353</v>
      </c>
      <c r="ED60" s="5"/>
      <c r="EE60" s="150">
        <f t="shared" si="120"/>
        <v>3.512739422272467</v>
      </c>
      <c r="EF60" s="150">
        <f t="shared" si="75"/>
        <v>3.7820001157130574</v>
      </c>
      <c r="EG60" s="150">
        <f t="shared" si="76"/>
        <v>0.75916379245794008</v>
      </c>
      <c r="EH60" s="150"/>
      <c r="EI60" s="456">
        <f t="shared" si="77"/>
        <v>0.14807205898544529</v>
      </c>
      <c r="EJ60" s="456">
        <f t="shared" si="78"/>
        <v>3.9352105354236868</v>
      </c>
      <c r="EK60" s="456">
        <f t="shared" si="79"/>
        <v>4.0250000000000001E-2</v>
      </c>
      <c r="EL60" s="456">
        <f t="shared" si="80"/>
        <v>0.75820555125</v>
      </c>
      <c r="EM60">
        <f t="shared" si="81"/>
        <v>1.5299999999999999E-2</v>
      </c>
      <c r="EN60" s="144">
        <f t="shared" si="121"/>
        <v>55.550000000000004</v>
      </c>
      <c r="EO60">
        <f t="shared" si="82"/>
        <v>5.117045078386294</v>
      </c>
      <c r="EP60" s="144">
        <f t="shared" si="122"/>
        <v>5117.0450783862943</v>
      </c>
      <c r="EQ60" s="150">
        <f t="shared" si="83"/>
        <v>1.47532</v>
      </c>
      <c r="ER60" s="150">
        <f t="shared" si="169"/>
        <v>0.22393250000000001</v>
      </c>
      <c r="ES60" s="456"/>
      <c r="EU60" s="144">
        <f t="shared" si="123"/>
        <v>1699.2525000000001</v>
      </c>
      <c r="EV60" s="456">
        <f t="shared" si="85"/>
        <v>0.1727507354830195</v>
      </c>
      <c r="EW60" s="456">
        <f t="shared" si="124"/>
        <v>0.20024934825355012</v>
      </c>
      <c r="EX60" s="456">
        <f t="shared" si="86"/>
        <v>2.8816483188956114E-3</v>
      </c>
      <c r="EY60" s="456">
        <f t="shared" si="87"/>
        <v>28.98980078377112</v>
      </c>
      <c r="EZ60" s="456">
        <f t="shared" si="88"/>
        <v>30.369109613314698</v>
      </c>
      <c r="FA60" s="538">
        <f t="shared" si="89"/>
        <v>2.9278723404255325</v>
      </c>
      <c r="FB60" s="144">
        <f t="shared" si="125"/>
        <v>33296.981953740229</v>
      </c>
      <c r="FC60" s="150">
        <f t="shared" si="126"/>
        <v>40.113279532126519</v>
      </c>
      <c r="FD60" s="5">
        <f t="shared" si="127"/>
        <v>68.805000000000007</v>
      </c>
      <c r="FE60" s="150">
        <f t="shared" si="128"/>
        <v>0.6317121450647345</v>
      </c>
      <c r="FF60" s="5">
        <f t="shared" si="129"/>
        <v>63.171214506473447</v>
      </c>
      <c r="FG60">
        <f t="shared" si="130"/>
        <v>55.000000000000007</v>
      </c>
      <c r="FI60" s="59">
        <f t="shared" si="90"/>
        <v>-50</v>
      </c>
      <c r="FJ60">
        <f t="shared" si="91"/>
        <v>-50</v>
      </c>
      <c r="FL60">
        <f t="shared" si="92"/>
        <v>0.48794682626609831</v>
      </c>
    </row>
    <row r="61" spans="5:168">
      <c r="E61" s="147">
        <v>56</v>
      </c>
      <c r="F61" s="188">
        <f t="shared" si="173"/>
        <v>2.2400000000000002</v>
      </c>
      <c r="G61" s="188">
        <f t="shared" si="170"/>
        <v>0.47600000000000003</v>
      </c>
      <c r="H61" s="188">
        <f t="shared" si="135"/>
        <v>67.2</v>
      </c>
      <c r="I61" s="188">
        <f t="shared" si="174"/>
        <v>2.8560000000000003</v>
      </c>
      <c r="J61" s="465">
        <f t="shared" si="136"/>
        <v>33.85649958227593</v>
      </c>
      <c r="K61" s="379">
        <f t="shared" si="137"/>
        <v>30.808163877519984</v>
      </c>
      <c r="L61" s="149">
        <f t="shared" si="138"/>
        <v>64.664663459795918</v>
      </c>
      <c r="M61" s="379"/>
      <c r="N61" s="188">
        <f t="shared" si="139"/>
        <v>0.47642966388705327</v>
      </c>
      <c r="O61" s="149">
        <f t="shared" si="171"/>
        <v>234.43413583861465</v>
      </c>
      <c r="P61" s="149">
        <f t="shared" si="140"/>
        <v>9.9634507731411208</v>
      </c>
      <c r="Q61" s="188">
        <f t="shared" si="6"/>
        <v>7.8144711946204888</v>
      </c>
      <c r="R61" s="188">
        <f t="shared" si="141"/>
        <v>39.072355973102439</v>
      </c>
      <c r="S61" s="379">
        <f t="shared" si="142"/>
        <v>30</v>
      </c>
      <c r="T61" s="188">
        <f t="shared" si="143"/>
        <v>8.6862931845619826</v>
      </c>
      <c r="U61" s="188">
        <f t="shared" si="10"/>
        <v>1.2058416691374005</v>
      </c>
      <c r="V61" s="188">
        <f t="shared" si="11"/>
        <v>1.3251545314334949</v>
      </c>
      <c r="W61" s="172">
        <f t="shared" si="12"/>
        <v>350</v>
      </c>
      <c r="X61" s="379">
        <f t="shared" si="95"/>
        <v>350</v>
      </c>
      <c r="Z61" s="188">
        <f t="shared" si="13"/>
        <v>9.8056174567634535</v>
      </c>
      <c r="AA61" s="150">
        <f t="shared" si="14"/>
        <v>1.4959152460369902</v>
      </c>
      <c r="AB61" s="150">
        <f t="shared" si="144"/>
        <v>2.4623167518621667</v>
      </c>
      <c r="AC61" s="150"/>
      <c r="AD61" s="150">
        <f t="shared" si="16"/>
        <v>0.92458767092034422</v>
      </c>
      <c r="AE61" s="314">
        <f t="shared" si="145"/>
        <v>833.46990689689892</v>
      </c>
      <c r="AF61" s="456">
        <f t="shared" si="146"/>
        <v>0.94064583917482891</v>
      </c>
      <c r="AH61" s="150">
        <f t="shared" si="147"/>
        <v>9.229001467391063</v>
      </c>
      <c r="AI61" s="150">
        <f t="shared" si="148"/>
        <v>9.229001467391063</v>
      </c>
      <c r="AJ61" s="150">
        <f t="shared" si="149"/>
        <v>3.5469595605814828</v>
      </c>
      <c r="AL61" s="314">
        <f t="shared" si="150"/>
        <v>2240</v>
      </c>
      <c r="AM61" s="144">
        <f t="shared" si="151"/>
        <v>350</v>
      </c>
      <c r="AO61">
        <f t="shared" si="96"/>
        <v>2240</v>
      </c>
      <c r="AP61">
        <f t="shared" si="24"/>
        <v>350</v>
      </c>
      <c r="AR61" s="5">
        <f t="shared" si="97"/>
        <v>2.8571428571428572</v>
      </c>
      <c r="AS61" s="5">
        <f t="shared" si="25"/>
        <v>1.2811810858156685</v>
      </c>
      <c r="AT61" s="5">
        <f t="shared" si="98"/>
        <v>1.5759617713271887</v>
      </c>
      <c r="AU61" s="150">
        <f t="shared" si="99"/>
        <v>0.44841338003548398</v>
      </c>
      <c r="AW61" s="5">
        <f t="shared" si="152"/>
        <v>9.5661521074236582</v>
      </c>
      <c r="AX61" s="5">
        <f t="shared" si="153"/>
        <v>10.164036614137638</v>
      </c>
      <c r="AY61" s="5">
        <f t="shared" si="28"/>
        <v>1.8400260674567916</v>
      </c>
      <c r="AZ61" s="5"/>
      <c r="BA61" s="150">
        <f t="shared" si="100"/>
        <v>3.5680700257873776</v>
      </c>
      <c r="BB61" s="150">
        <f t="shared" si="154"/>
        <v>3.7959884770471852</v>
      </c>
      <c r="BC61" s="150">
        <f t="shared" si="155"/>
        <v>0.76197168698881756</v>
      </c>
      <c r="BD61" s="150"/>
      <c r="BE61" s="456">
        <f t="shared" si="31"/>
        <v>0.15277348450706807</v>
      </c>
      <c r="BF61" s="456">
        <f t="shared" si="156"/>
        <v>3.8119978749118717</v>
      </c>
      <c r="BG61" s="456">
        <f t="shared" si="33"/>
        <v>4.0250000000000001E-2</v>
      </c>
      <c r="BH61" s="456">
        <f t="shared" si="34"/>
        <v>0.75737757460427446</v>
      </c>
      <c r="BI61">
        <f t="shared" si="35"/>
        <v>1.5235424812024168E-2</v>
      </c>
      <c r="BJ61" s="144">
        <f t="shared" si="101"/>
        <v>55.485424812024171</v>
      </c>
      <c r="BK61">
        <f t="shared" si="157"/>
        <v>4.9428169894841014</v>
      </c>
      <c r="BL61" s="144">
        <f t="shared" si="102"/>
        <v>4942.8169894841012</v>
      </c>
      <c r="BM61" s="150">
        <f t="shared" si="158"/>
        <v>1.5021439999999999</v>
      </c>
      <c r="BN61" s="150">
        <f t="shared" si="159"/>
        <v>0.22800400000000001</v>
      </c>
      <c r="BO61" s="456"/>
      <c r="BQ61" s="144">
        <f t="shared" si="103"/>
        <v>1730.1479999999999</v>
      </c>
      <c r="BR61" s="456">
        <f t="shared" si="39"/>
        <v>0.17823573192491274</v>
      </c>
      <c r="BS61" s="456">
        <f t="shared" si="104"/>
        <v>0.20173339925025013</v>
      </c>
      <c r="BT61" s="456">
        <f t="shared" si="160"/>
        <v>2.9030042588629231E-3</v>
      </c>
      <c r="BU61" s="456">
        <f t="shared" si="41"/>
        <v>29.65015054676919</v>
      </c>
      <c r="BV61" s="456">
        <f t="shared" si="161"/>
        <v>31.076786854335172</v>
      </c>
      <c r="BW61" s="538">
        <f t="shared" si="162"/>
        <v>2.9811063829787243</v>
      </c>
      <c r="BX61" s="144">
        <f t="shared" si="105"/>
        <v>34057.893237313896</v>
      </c>
      <c r="BY61" s="150">
        <f t="shared" si="106"/>
        <v>40.730858226797999</v>
      </c>
      <c r="BZ61" s="5">
        <f t="shared" si="107"/>
        <v>70.055999999999997</v>
      </c>
      <c r="CA61" s="150">
        <f t="shared" si="108"/>
        <v>0.63234936996393953</v>
      </c>
      <c r="CB61" s="5">
        <f t="shared" si="109"/>
        <v>63.234936996393955</v>
      </c>
      <c r="CC61">
        <f t="shared" si="172"/>
        <v>56.000000000000007</v>
      </c>
      <c r="CE61" s="59">
        <f t="shared" si="163"/>
        <v>-50</v>
      </c>
      <c r="CF61">
        <f t="shared" si="164"/>
        <v>-50</v>
      </c>
      <c r="CG61" s="150">
        <f t="shared" si="165"/>
        <v>0.49236272465691283</v>
      </c>
      <c r="CH61" s="150">
        <f t="shared" si="166"/>
        <v>0.10392492701499069</v>
      </c>
      <c r="CI61" s="147">
        <v>56</v>
      </c>
      <c r="CJ61" s="188">
        <f t="shared" si="133"/>
        <v>2.2400000000000002</v>
      </c>
      <c r="CK61" s="188">
        <f t="shared" si="111"/>
        <v>0.47600000000000003</v>
      </c>
      <c r="CL61" s="188">
        <f t="shared" si="48"/>
        <v>67.2</v>
      </c>
      <c r="CM61" s="188">
        <f t="shared" si="134"/>
        <v>2.8560000000000003</v>
      </c>
      <c r="CN61" s="465">
        <f t="shared" si="112"/>
        <v>34</v>
      </c>
      <c r="CO61" s="379">
        <f t="shared" si="167"/>
        <v>30.7</v>
      </c>
      <c r="CP61" s="379">
        <f t="shared" si="168"/>
        <v>64.7</v>
      </c>
      <c r="CQ61" s="379"/>
      <c r="CR61" s="188">
        <f t="shared" si="113"/>
        <v>0.47204968944099374</v>
      </c>
      <c r="CS61" s="149">
        <f t="shared" si="114"/>
        <v>233.26341749863801</v>
      </c>
      <c r="CT61" s="149">
        <f t="shared" si="51"/>
        <v>9.9136952436921142</v>
      </c>
      <c r="CU61" s="188">
        <f t="shared" si="52"/>
        <v>7.7754472499545999</v>
      </c>
      <c r="CV61" s="188">
        <f t="shared" si="53"/>
        <v>38.877236249772999</v>
      </c>
      <c r="CW61" s="379">
        <f t="shared" si="54"/>
        <v>30</v>
      </c>
      <c r="CX61" s="188">
        <f t="shared" si="55"/>
        <v>8.7298885448916401</v>
      </c>
      <c r="CY61" s="188">
        <f t="shared" si="56"/>
        <v>1.2067787106173737</v>
      </c>
      <c r="CZ61" s="188">
        <f t="shared" si="57"/>
        <v>1.3364975948205444</v>
      </c>
      <c r="DA61" s="172">
        <f t="shared" si="58"/>
        <v>350</v>
      </c>
      <c r="DB61" s="379">
        <f t="shared" si="115"/>
        <v>350</v>
      </c>
      <c r="DD61" s="188">
        <f t="shared" si="59"/>
        <v>9.8072469146822137</v>
      </c>
      <c r="DE61" s="150">
        <f t="shared" si="60"/>
        <v>1.5014351954073746</v>
      </c>
      <c r="DF61" s="150">
        <f t="shared" si="61"/>
        <v>2.4718134248028734</v>
      </c>
      <c r="DG61" s="150"/>
      <c r="DH61" s="150">
        <f t="shared" si="62"/>
        <v>0.92784522751949461</v>
      </c>
      <c r="DI61" s="314">
        <f t="shared" si="63"/>
        <v>830.5436910638299</v>
      </c>
      <c r="DJ61" s="456">
        <f t="shared" si="64"/>
        <v>0.94395997276890675</v>
      </c>
      <c r="DL61" s="150">
        <f t="shared" si="65"/>
        <v>9.229001467391063</v>
      </c>
      <c r="DM61" s="150">
        <f t="shared" si="66"/>
        <v>9.229001467391063</v>
      </c>
      <c r="DN61" s="150">
        <f t="shared" si="67"/>
        <v>3.5469595605814828</v>
      </c>
      <c r="DP61" s="314">
        <f t="shared" si="68"/>
        <v>2240</v>
      </c>
      <c r="DQ61" s="144">
        <f t="shared" si="69"/>
        <v>350</v>
      </c>
      <c r="DS61">
        <f t="shared" si="116"/>
        <v>2240</v>
      </c>
      <c r="DT61">
        <f t="shared" si="70"/>
        <v>350</v>
      </c>
      <c r="DV61" s="5">
        <f t="shared" si="117"/>
        <v>2.8571428571428572</v>
      </c>
      <c r="DW61" s="5">
        <f t="shared" si="71"/>
        <v>1.275773732257</v>
      </c>
      <c r="DX61" s="5">
        <f t="shared" si="118"/>
        <v>1.5813691248858572</v>
      </c>
      <c r="DY61" s="150">
        <f t="shared" si="119"/>
        <v>0.44652080628995</v>
      </c>
      <c r="EA61" s="5">
        <f t="shared" si="72"/>
        <v>9.5257772008522679</v>
      </c>
      <c r="EB61" s="5">
        <f t="shared" si="73"/>
        <v>10.121138275905533</v>
      </c>
      <c r="EC61" s="5">
        <f t="shared" si="74"/>
        <v>1.8385468026354603</v>
      </c>
      <c r="ED61" s="5"/>
      <c r="EE61" s="150">
        <f t="shared" si="120"/>
        <v>3.5605323649083398</v>
      </c>
      <c r="EF61" s="150">
        <f t="shared" si="75"/>
        <v>3.8024951941445244</v>
      </c>
      <c r="EG61" s="150">
        <f t="shared" si="76"/>
        <v>0.76327778531693347</v>
      </c>
      <c r="EH61" s="150"/>
      <c r="EI61" s="456">
        <f t="shared" si="77"/>
        <v>0.15212868865871729</v>
      </c>
      <c r="EJ61" s="456">
        <f t="shared" si="78"/>
        <v>3.9708240263523416</v>
      </c>
      <c r="EK61" s="456">
        <f t="shared" si="79"/>
        <v>4.0250000000000001E-2</v>
      </c>
      <c r="EL61" s="456">
        <f t="shared" si="80"/>
        <v>0.75820555125</v>
      </c>
      <c r="EM61">
        <f t="shared" si="81"/>
        <v>1.5299999999999999E-2</v>
      </c>
      <c r="EN61" s="144">
        <f t="shared" si="121"/>
        <v>55.550000000000004</v>
      </c>
      <c r="EO61">
        <f t="shared" si="82"/>
        <v>5.164456294788633</v>
      </c>
      <c r="EP61" s="144">
        <f t="shared" si="122"/>
        <v>5164.4562947886334</v>
      </c>
      <c r="EQ61" s="150">
        <f t="shared" si="83"/>
        <v>1.5021439999999999</v>
      </c>
      <c r="ER61" s="150">
        <f t="shared" si="169"/>
        <v>0.22800400000000001</v>
      </c>
      <c r="ES61" s="456"/>
      <c r="EU61" s="144">
        <f t="shared" si="123"/>
        <v>1730.1479999999999</v>
      </c>
      <c r="EV61" s="456">
        <f t="shared" si="85"/>
        <v>0.17748347010183685</v>
      </c>
      <c r="EW61" s="456">
        <f t="shared" si="124"/>
        <v>0.20242557582089088</v>
      </c>
      <c r="EX61" s="456">
        <f t="shared" si="86"/>
        <v>2.9129648877916138E-3</v>
      </c>
      <c r="EY61" s="456">
        <f t="shared" si="87"/>
        <v>29.65015054676919</v>
      </c>
      <c r="EZ61" s="456">
        <f t="shared" si="88"/>
        <v>31.076594182088609</v>
      </c>
      <c r="FA61" s="538">
        <f t="shared" si="89"/>
        <v>2.9811063829787243</v>
      </c>
      <c r="FB61" s="144">
        <f t="shared" si="125"/>
        <v>34057.700565067338</v>
      </c>
      <c r="FC61" s="150">
        <f t="shared" si="126"/>
        <v>40.952304859855964</v>
      </c>
      <c r="FD61" s="5">
        <f t="shared" si="127"/>
        <v>70.055999999999997</v>
      </c>
      <c r="FE61" s="150">
        <f t="shared" si="128"/>
        <v>0.631087918047602</v>
      </c>
      <c r="FF61" s="5">
        <f t="shared" si="129"/>
        <v>63.108791804760202</v>
      </c>
      <c r="FG61">
        <f t="shared" si="130"/>
        <v>56.000000000000007</v>
      </c>
      <c r="FI61" s="59">
        <f t="shared" si="90"/>
        <v>-50</v>
      </c>
      <c r="FJ61">
        <f t="shared" si="91"/>
        <v>-50</v>
      </c>
      <c r="FL61">
        <f t="shared" si="92"/>
        <v>0.49236272465691283</v>
      </c>
    </row>
    <row r="62" spans="5:168">
      <c r="E62" s="147">
        <v>57</v>
      </c>
      <c r="F62" s="188">
        <f t="shared" si="173"/>
        <v>2.2799999999999998</v>
      </c>
      <c r="G62" s="188">
        <f t="shared" si="170"/>
        <v>0.48449999999999993</v>
      </c>
      <c r="H62" s="188">
        <f t="shared" si="135"/>
        <v>68.399999999999991</v>
      </c>
      <c r="I62" s="188">
        <f t="shared" si="174"/>
        <v>2.9069999999999996</v>
      </c>
      <c r="J62" s="465">
        <f t="shared" si="136"/>
        <v>33.855223997921541</v>
      </c>
      <c r="K62" s="379">
        <f t="shared" si="137"/>
        <v>30.809125353117498</v>
      </c>
      <c r="L62" s="149">
        <f t="shared" si="138"/>
        <v>64.664349351039036</v>
      </c>
      <c r="M62" s="379"/>
      <c r="N62" s="188">
        <f t="shared" si="139"/>
        <v>0.47644684686868272</v>
      </c>
      <c r="O62" s="149">
        <f t="shared" si="171"/>
        <v>234.43375806762123</v>
      </c>
      <c r="P62" s="149">
        <f t="shared" si="140"/>
        <v>9.9634347178739002</v>
      </c>
      <c r="Q62" s="188">
        <f t="shared" si="6"/>
        <v>7.8144586022540405</v>
      </c>
      <c r="R62" s="188">
        <f t="shared" si="141"/>
        <v>39.072293011270204</v>
      </c>
      <c r="S62" s="379">
        <f t="shared" si="142"/>
        <v>30</v>
      </c>
      <c r="T62" s="188">
        <f t="shared" si="143"/>
        <v>8.8414198100659416</v>
      </c>
      <c r="U62" s="188">
        <f t="shared" si="10"/>
        <v>1.2274227785307541</v>
      </c>
      <c r="V62" s="188">
        <f t="shared" si="11"/>
        <v>1.3487780854221851</v>
      </c>
      <c r="W62" s="172">
        <f t="shared" si="12"/>
        <v>350</v>
      </c>
      <c r="X62" s="379">
        <f t="shared" si="95"/>
        <v>350</v>
      </c>
      <c r="Z62" s="188">
        <f t="shared" si="13"/>
        <v>9.8056016558314152</v>
      </c>
      <c r="AA62" s="150">
        <f t="shared" si="14"/>
        <v>1.4958661518037639</v>
      </c>
      <c r="AB62" s="150">
        <f t="shared" si="144"/>
        <v>2.4622319737459013</v>
      </c>
      <c r="AC62" s="150"/>
      <c r="AD62" s="150">
        <f t="shared" si="16"/>
        <v>0.92455881685606411</v>
      </c>
      <c r="AE62" s="314">
        <f t="shared" si="145"/>
        <v>848.37977389827017</v>
      </c>
      <c r="AF62" s="456">
        <f t="shared" si="146"/>
        <v>0.9406164839753578</v>
      </c>
      <c r="AH62" s="150">
        <f t="shared" si="147"/>
        <v>9.3110386493389274</v>
      </c>
      <c r="AI62" s="150">
        <f t="shared" si="148"/>
        <v>9.3110386493389274</v>
      </c>
      <c r="AJ62" s="150">
        <f t="shared" si="149"/>
        <v>3.6077278435058275</v>
      </c>
      <c r="AL62" s="314">
        <f t="shared" si="150"/>
        <v>2280</v>
      </c>
      <c r="AM62" s="144">
        <f t="shared" si="151"/>
        <v>350</v>
      </c>
      <c r="AO62">
        <f t="shared" si="96"/>
        <v>2280</v>
      </c>
      <c r="AP62">
        <f t="shared" si="24"/>
        <v>350</v>
      </c>
      <c r="AR62" s="5">
        <f t="shared" si="97"/>
        <v>2.8571428571428572</v>
      </c>
      <c r="AS62" s="5">
        <f t="shared" si="25"/>
        <v>1.2926182870501641</v>
      </c>
      <c r="AT62" s="5">
        <f t="shared" si="98"/>
        <v>1.5645245700926931</v>
      </c>
      <c r="AU62" s="150">
        <f t="shared" si="99"/>
        <v>0.45241640046755743</v>
      </c>
      <c r="AW62" s="5">
        <f t="shared" si="152"/>
        <v>9.8238989815812481</v>
      </c>
      <c r="AX62" s="5">
        <f t="shared" si="153"/>
        <v>10.437892667930075</v>
      </c>
      <c r="AY62" s="5">
        <f t="shared" si="28"/>
        <v>1.8593616818435295</v>
      </c>
      <c r="AZ62" s="5"/>
      <c r="BA62" s="150">
        <f t="shared" si="100"/>
        <v>3.6158189128596807</v>
      </c>
      <c r="BB62" s="150">
        <f t="shared" si="154"/>
        <v>3.8158092328202078</v>
      </c>
      <c r="BC62" s="150">
        <f t="shared" si="155"/>
        <v>0.76595032254187168</v>
      </c>
      <c r="BD62" s="150"/>
      <c r="BE62" s="456">
        <f t="shared" si="31"/>
        <v>0.15688975692712517</v>
      </c>
      <c r="BF62" s="456">
        <f t="shared" si="156"/>
        <v>3.8458642854675027</v>
      </c>
      <c r="BG62" s="456">
        <f t="shared" si="33"/>
        <v>4.0250000000000001E-2</v>
      </c>
      <c r="BH62" s="456">
        <f t="shared" si="34"/>
        <v>0.75737021669539739</v>
      </c>
      <c r="BI62">
        <f t="shared" si="35"/>
        <v>1.5234850799064694E-2</v>
      </c>
      <c r="BJ62" s="144">
        <f t="shared" si="101"/>
        <v>55.484850799064695</v>
      </c>
      <c r="BK62">
        <f t="shared" si="157"/>
        <v>4.9884385483857372</v>
      </c>
      <c r="BL62" s="144">
        <f t="shared" si="102"/>
        <v>4988.4385483857368</v>
      </c>
      <c r="BM62" s="150">
        <f t="shared" si="158"/>
        <v>1.5289679999999999</v>
      </c>
      <c r="BN62" s="150">
        <f t="shared" si="159"/>
        <v>0.23207549999999996</v>
      </c>
      <c r="BO62" s="456"/>
      <c r="BQ62" s="144">
        <f t="shared" si="103"/>
        <v>1761.0434999999998</v>
      </c>
      <c r="BR62" s="456">
        <f t="shared" si="39"/>
        <v>0.1830380497483127</v>
      </c>
      <c r="BS62" s="456">
        <f t="shared" si="104"/>
        <v>0.2038456014178632</v>
      </c>
      <c r="BT62" s="456">
        <f t="shared" si="160"/>
        <v>2.9333994830099863E-3</v>
      </c>
      <c r="BU62" s="456">
        <f t="shared" si="41"/>
        <v>30.313455027637836</v>
      </c>
      <c r="BV62" s="456">
        <f t="shared" si="161"/>
        <v>31.788153303759273</v>
      </c>
      <c r="BW62" s="538">
        <f t="shared" si="162"/>
        <v>3.0343404255319149</v>
      </c>
      <c r="BX62" s="144">
        <f t="shared" si="105"/>
        <v>34822.493729291185</v>
      </c>
      <c r="BY62" s="150">
        <f t="shared" si="106"/>
        <v>41.571975777676926</v>
      </c>
      <c r="BZ62" s="5">
        <f t="shared" si="107"/>
        <v>71.306999999999988</v>
      </c>
      <c r="CA62" s="150">
        <f t="shared" si="108"/>
        <v>0.63171196858167944</v>
      </c>
      <c r="CB62" s="5">
        <f t="shared" si="109"/>
        <v>63.171196858167946</v>
      </c>
      <c r="CC62">
        <f t="shared" si="172"/>
        <v>56.999999999999993</v>
      </c>
      <c r="CE62" s="59">
        <f t="shared" si="163"/>
        <v>-50</v>
      </c>
      <c r="CF62">
        <f t="shared" si="164"/>
        <v>-50</v>
      </c>
      <c r="CG62" s="150">
        <f t="shared" si="165"/>
        <v>0.49673936828079168</v>
      </c>
      <c r="CH62" s="150">
        <f t="shared" si="166"/>
        <v>0.10484872231143433</v>
      </c>
      <c r="CI62" s="147">
        <v>57</v>
      </c>
      <c r="CJ62" s="188">
        <f t="shared" si="133"/>
        <v>2.2799999999999998</v>
      </c>
      <c r="CK62" s="188">
        <f t="shared" si="111"/>
        <v>0.48449999999999993</v>
      </c>
      <c r="CL62" s="188">
        <f t="shared" si="48"/>
        <v>68.399999999999991</v>
      </c>
      <c r="CM62" s="188">
        <f t="shared" si="134"/>
        <v>2.9069999999999996</v>
      </c>
      <c r="CN62" s="465">
        <f t="shared" si="112"/>
        <v>34</v>
      </c>
      <c r="CO62" s="379">
        <f t="shared" si="167"/>
        <v>30.7</v>
      </c>
      <c r="CP62" s="379">
        <f t="shared" si="168"/>
        <v>64.7</v>
      </c>
      <c r="CQ62" s="379"/>
      <c r="CR62" s="188">
        <f t="shared" si="113"/>
        <v>0.47204968944099374</v>
      </c>
      <c r="CS62" s="149">
        <f t="shared" si="114"/>
        <v>233.26341749863801</v>
      </c>
      <c r="CT62" s="149">
        <f t="shared" si="51"/>
        <v>9.9136952436921142</v>
      </c>
      <c r="CU62" s="188">
        <f t="shared" si="52"/>
        <v>7.7754472499545999</v>
      </c>
      <c r="CV62" s="188">
        <f t="shared" si="53"/>
        <v>38.877236249772999</v>
      </c>
      <c r="CW62" s="379">
        <f t="shared" si="54"/>
        <v>30</v>
      </c>
      <c r="CX62" s="188">
        <f t="shared" si="55"/>
        <v>8.8857794117647053</v>
      </c>
      <c r="CY62" s="188">
        <f t="shared" si="56"/>
        <v>1.2283283304498269</v>
      </c>
      <c r="CZ62" s="188">
        <f t="shared" si="57"/>
        <v>1.3603636232994827</v>
      </c>
      <c r="DA62" s="172">
        <f t="shared" si="58"/>
        <v>350</v>
      </c>
      <c r="DB62" s="379">
        <f t="shared" si="115"/>
        <v>350</v>
      </c>
      <c r="DD62" s="188">
        <f t="shared" si="59"/>
        <v>9.8072469146822137</v>
      </c>
      <c r="DE62" s="150">
        <f t="shared" si="60"/>
        <v>1.5014351954073746</v>
      </c>
      <c r="DF62" s="150">
        <f t="shared" si="61"/>
        <v>2.4718134248028734</v>
      </c>
      <c r="DG62" s="150"/>
      <c r="DH62" s="150">
        <f t="shared" si="62"/>
        <v>0.92784522751949461</v>
      </c>
      <c r="DI62" s="314">
        <f t="shared" si="63"/>
        <v>845.37482840425525</v>
      </c>
      <c r="DJ62" s="456">
        <f t="shared" si="64"/>
        <v>0.94395997276890675</v>
      </c>
      <c r="DL62" s="150">
        <f t="shared" si="65"/>
        <v>9.3110386493389274</v>
      </c>
      <c r="DM62" s="150">
        <f t="shared" si="66"/>
        <v>9.3110386493389274</v>
      </c>
      <c r="DN62" s="150">
        <f t="shared" si="67"/>
        <v>3.6077278435058275</v>
      </c>
      <c r="DP62" s="314">
        <f t="shared" si="68"/>
        <v>2280</v>
      </c>
      <c r="DQ62" s="144">
        <f t="shared" si="69"/>
        <v>350</v>
      </c>
      <c r="DS62">
        <f t="shared" si="116"/>
        <v>2280</v>
      </c>
      <c r="DT62">
        <f t="shared" si="70"/>
        <v>350</v>
      </c>
      <c r="DV62" s="5">
        <f t="shared" si="117"/>
        <v>2.8571428571428572</v>
      </c>
      <c r="DW62" s="5">
        <f t="shared" si="71"/>
        <v>1.2871141662321457</v>
      </c>
      <c r="DX62" s="5">
        <f t="shared" si="118"/>
        <v>1.5700286909107115</v>
      </c>
      <c r="DY62" s="150">
        <f t="shared" si="119"/>
        <v>0.45048995818125098</v>
      </c>
      <c r="EA62" s="5">
        <f t="shared" si="72"/>
        <v>9.7820676633643071</v>
      </c>
      <c r="EB62" s="5">
        <f t="shared" si="73"/>
        <v>10.393446892324574</v>
      </c>
      <c r="EC62" s="5">
        <f t="shared" si="74"/>
        <v>1.8579578279981428</v>
      </c>
      <c r="ED62" s="5"/>
      <c r="EE62" s="150">
        <f t="shared" si="120"/>
        <v>3.608112409036524</v>
      </c>
      <c r="EF62" s="150">
        <f t="shared" si="75"/>
        <v>3.8225154986061507</v>
      </c>
      <c r="EG62" s="150">
        <f t="shared" si="76"/>
        <v>0.76729647643174992</v>
      </c>
      <c r="EH62" s="150"/>
      <c r="EI62" s="456">
        <f t="shared" si="77"/>
        <v>0.15622170187492018</v>
      </c>
      <c r="EJ62" s="456">
        <f t="shared" si="78"/>
        <v>4.0061209340713209</v>
      </c>
      <c r="EK62" s="456">
        <f t="shared" si="79"/>
        <v>4.0250000000000001E-2</v>
      </c>
      <c r="EL62" s="456">
        <f t="shared" si="80"/>
        <v>0.75820555125</v>
      </c>
      <c r="EM62">
        <f t="shared" si="81"/>
        <v>1.5299999999999999E-2</v>
      </c>
      <c r="EN62" s="144">
        <f t="shared" si="121"/>
        <v>55.550000000000004</v>
      </c>
      <c r="EO62">
        <f t="shared" si="82"/>
        <v>5.2117284226356935</v>
      </c>
      <c r="EP62" s="144">
        <f t="shared" si="122"/>
        <v>5211.7284226356933</v>
      </c>
      <c r="EQ62" s="150">
        <f t="shared" si="83"/>
        <v>1.5289679999999999</v>
      </c>
      <c r="ER62" s="150">
        <f t="shared" si="169"/>
        <v>0.23207549999999996</v>
      </c>
      <c r="ES62" s="456"/>
      <c r="EU62" s="144">
        <f t="shared" si="123"/>
        <v>1761.0434999999998</v>
      </c>
      <c r="EV62" s="456">
        <f t="shared" si="85"/>
        <v>0.18225865218740686</v>
      </c>
      <c r="EW62" s="456">
        <f t="shared" si="124"/>
        <v>0.2045627463191792</v>
      </c>
      <c r="EX62" s="456">
        <f t="shared" si="86"/>
        <v>2.9437194137228949E-3</v>
      </c>
      <c r="EY62" s="456">
        <f t="shared" si="87"/>
        <v>30.313455027637836</v>
      </c>
      <c r="EZ62" s="456">
        <f t="shared" si="88"/>
        <v>31.787950516375833</v>
      </c>
      <c r="FA62" s="538">
        <f t="shared" si="89"/>
        <v>3.0343404255319149</v>
      </c>
      <c r="FB62" s="144">
        <f t="shared" si="125"/>
        <v>34822.290941907748</v>
      </c>
      <c r="FC62" s="150">
        <f t="shared" si="126"/>
        <v>41.795062864543439</v>
      </c>
      <c r="FD62" s="5">
        <f t="shared" si="127"/>
        <v>71.306999999999988</v>
      </c>
      <c r="FE62" s="150">
        <f t="shared" si="128"/>
        <v>0.63046595432481856</v>
      </c>
      <c r="FF62" s="5">
        <f t="shared" si="129"/>
        <v>63.046595432481858</v>
      </c>
      <c r="FG62">
        <f t="shared" si="130"/>
        <v>56.999999999999993</v>
      </c>
      <c r="FI62" s="59">
        <f t="shared" si="90"/>
        <v>-50</v>
      </c>
      <c r="FJ62">
        <f t="shared" si="91"/>
        <v>-50</v>
      </c>
      <c r="FL62">
        <f t="shared" si="92"/>
        <v>0.49673936828079168</v>
      </c>
    </row>
    <row r="63" spans="5:168">
      <c r="E63" s="147">
        <v>58</v>
      </c>
      <c r="F63" s="188">
        <f t="shared" si="173"/>
        <v>2.3199999999999998</v>
      </c>
      <c r="G63" s="188">
        <f t="shared" si="170"/>
        <v>0.49299999999999994</v>
      </c>
      <c r="H63" s="188">
        <f t="shared" si="135"/>
        <v>69.599999999999994</v>
      </c>
      <c r="I63" s="188">
        <f t="shared" si="174"/>
        <v>2.9579999999999997</v>
      </c>
      <c r="J63" s="465">
        <f t="shared" si="136"/>
        <v>33.853959554682064</v>
      </c>
      <c r="K63" s="379">
        <f t="shared" si="137"/>
        <v>30.810078431065666</v>
      </c>
      <c r="L63" s="149">
        <f t="shared" si="138"/>
        <v>64.664037985747726</v>
      </c>
      <c r="M63" s="379"/>
      <c r="N63" s="188">
        <f t="shared" si="139"/>
        <v>0.47646387993673328</v>
      </c>
      <c r="O63" s="149">
        <f t="shared" si="171"/>
        <v>234.4333830483985</v>
      </c>
      <c r="P63" s="149">
        <f t="shared" si="140"/>
        <v>9.9634187795569353</v>
      </c>
      <c r="Q63" s="188">
        <f t="shared" si="6"/>
        <v>7.8144461016132833</v>
      </c>
      <c r="R63" s="188">
        <f t="shared" si="141"/>
        <v>39.072230508066419</v>
      </c>
      <c r="S63" s="379">
        <f t="shared" si="142"/>
        <v>30</v>
      </c>
      <c r="T63" s="188">
        <f t="shared" si="143"/>
        <v>8.99654682991752</v>
      </c>
      <c r="U63" s="188">
        <f t="shared" si="10"/>
        <v>1.2490051579436128</v>
      </c>
      <c r="V63" s="188">
        <f t="shared" si="11"/>
        <v>1.3724005992135939</v>
      </c>
      <c r="W63" s="172">
        <f t="shared" si="12"/>
        <v>350</v>
      </c>
      <c r="X63" s="379">
        <f t="shared" si="95"/>
        <v>350</v>
      </c>
      <c r="Z63" s="188">
        <f t="shared" si="13"/>
        <v>9.8055859699969954</v>
      </c>
      <c r="AA63" s="150">
        <f t="shared" si="14"/>
        <v>1.4958174858950475</v>
      </c>
      <c r="AB63" s="150">
        <f t="shared" si="144"/>
        <v>2.4621479298220765</v>
      </c>
      <c r="AC63" s="150"/>
      <c r="AD63" s="150">
        <f t="shared" si="16"/>
        <v>0.92453021658417245</v>
      </c>
      <c r="AE63" s="314">
        <f t="shared" si="145"/>
        <v>863.29033457538128</v>
      </c>
      <c r="AF63" s="456">
        <f t="shared" si="146"/>
        <v>0.94058738697612199</v>
      </c>
      <c r="AH63" s="150">
        <f t="shared" si="147"/>
        <v>9.3923593081749264</v>
      </c>
      <c r="AI63" s="150">
        <f t="shared" si="148"/>
        <v>9.3923593081749264</v>
      </c>
      <c r="AJ63" s="150">
        <f t="shared" si="149"/>
        <v>3.6679653685695301</v>
      </c>
      <c r="AL63" s="314">
        <f t="shared" si="150"/>
        <v>2320</v>
      </c>
      <c r="AM63" s="144">
        <f t="shared" si="151"/>
        <v>350</v>
      </c>
      <c r="AO63">
        <f t="shared" si="96"/>
        <v>2320</v>
      </c>
      <c r="AP63">
        <f t="shared" si="24"/>
        <v>350</v>
      </c>
      <c r="AR63" s="5">
        <f t="shared" si="97"/>
        <v>2.8571428571428572</v>
      </c>
      <c r="AS63" s="5">
        <f t="shared" si="25"/>
        <v>1.3039564449505272</v>
      </c>
      <c r="AT63" s="5">
        <f t="shared" si="98"/>
        <v>1.55318641219233</v>
      </c>
      <c r="AU63" s="150">
        <f t="shared" si="99"/>
        <v>0.4563847557326845</v>
      </c>
      <c r="AW63" s="5">
        <f t="shared" si="152"/>
        <v>10.083929840950743</v>
      </c>
      <c r="AX63" s="5">
        <f t="shared" si="153"/>
        <v>10.714175456010166</v>
      </c>
      <c r="AY63" s="5">
        <f t="shared" si="28"/>
        <v>1.8783409630585282</v>
      </c>
      <c r="AZ63" s="5"/>
      <c r="BA63" s="150">
        <f t="shared" si="100"/>
        <v>3.6633603093900322</v>
      </c>
      <c r="BB63" s="150">
        <f t="shared" si="154"/>
        <v>3.8351629463940604</v>
      </c>
      <c r="BC63" s="150">
        <f t="shared" si="155"/>
        <v>0.76983520835502306</v>
      </c>
      <c r="BD63" s="150"/>
      <c r="BE63" s="456">
        <f t="shared" si="31"/>
        <v>0.16104250507697079</v>
      </c>
      <c r="BF63" s="456">
        <f t="shared" si="156"/>
        <v>3.8794345776210393</v>
      </c>
      <c r="BG63" s="456">
        <f t="shared" si="33"/>
        <v>4.0250000000000001E-2</v>
      </c>
      <c r="BH63" s="456">
        <f t="shared" si="34"/>
        <v>0.75736292308670061</v>
      </c>
      <c r="BI63">
        <f t="shared" si="35"/>
        <v>1.5234281799606928E-2</v>
      </c>
      <c r="BJ63" s="144">
        <f t="shared" si="101"/>
        <v>55.484281799606933</v>
      </c>
      <c r="BK63">
        <f t="shared" si="157"/>
        <v>5.0339385943527315</v>
      </c>
      <c r="BL63" s="144">
        <f t="shared" si="102"/>
        <v>5033.9385943527313</v>
      </c>
      <c r="BM63" s="150">
        <f t="shared" si="158"/>
        <v>1.5557919999999998</v>
      </c>
      <c r="BN63" s="150">
        <f t="shared" si="159"/>
        <v>0.23614699999999997</v>
      </c>
      <c r="BO63" s="456"/>
      <c r="BQ63" s="144">
        <f t="shared" si="103"/>
        <v>1791.9389999999996</v>
      </c>
      <c r="BR63" s="456">
        <f t="shared" si="39"/>
        <v>0.18788292258979927</v>
      </c>
      <c r="BS63" s="456">
        <f t="shared" si="104"/>
        <v>0.20591864755551559</v>
      </c>
      <c r="BT63" s="456">
        <f t="shared" si="160"/>
        <v>2.963231240115109E-3</v>
      </c>
      <c r="BU63" s="456">
        <f t="shared" si="41"/>
        <v>30.979675259084964</v>
      </c>
      <c r="BV63" s="456">
        <f t="shared" si="161"/>
        <v>32.503358705701046</v>
      </c>
      <c r="BW63" s="538">
        <f t="shared" si="162"/>
        <v>3.0875744680851067</v>
      </c>
      <c r="BX63" s="144">
        <f t="shared" si="105"/>
        <v>35590.933173786158</v>
      </c>
      <c r="BY63" s="150">
        <f t="shared" si="106"/>
        <v>42.416810768138888</v>
      </c>
      <c r="BZ63" s="5">
        <f t="shared" si="107"/>
        <v>72.557999999999993</v>
      </c>
      <c r="CA63" s="150">
        <f t="shared" si="108"/>
        <v>0.63107735959941957</v>
      </c>
      <c r="CB63" s="5">
        <f t="shared" si="109"/>
        <v>63.107735959941955</v>
      </c>
      <c r="CC63">
        <f t="shared" si="172"/>
        <v>57.999999999999993</v>
      </c>
      <c r="CE63" s="59">
        <f t="shared" si="163"/>
        <v>-50</v>
      </c>
      <c r="CF63">
        <f t="shared" si="164"/>
        <v>-50</v>
      </c>
      <c r="CG63" s="150">
        <f t="shared" si="165"/>
        <v>0.50107778574630613</v>
      </c>
      <c r="CH63" s="150">
        <f t="shared" si="166"/>
        <v>0.10576444906304479</v>
      </c>
      <c r="CI63" s="147">
        <v>58</v>
      </c>
      <c r="CJ63" s="188">
        <f t="shared" si="133"/>
        <v>2.3199999999999998</v>
      </c>
      <c r="CK63" s="188">
        <f t="shared" si="111"/>
        <v>0.49299999999999994</v>
      </c>
      <c r="CL63" s="188">
        <f t="shared" si="48"/>
        <v>69.599999999999994</v>
      </c>
      <c r="CM63" s="188">
        <f t="shared" si="134"/>
        <v>2.9579999999999997</v>
      </c>
      <c r="CN63" s="465">
        <f t="shared" si="112"/>
        <v>34</v>
      </c>
      <c r="CO63" s="379">
        <f t="shared" si="167"/>
        <v>30.7</v>
      </c>
      <c r="CP63" s="379">
        <f t="shared" si="168"/>
        <v>64.7</v>
      </c>
      <c r="CQ63" s="379"/>
      <c r="CR63" s="188">
        <f t="shared" si="113"/>
        <v>0.47204968944099374</v>
      </c>
      <c r="CS63" s="149">
        <f t="shared" si="114"/>
        <v>233.26341749863801</v>
      </c>
      <c r="CT63" s="149">
        <f t="shared" si="51"/>
        <v>9.9136952436921142</v>
      </c>
      <c r="CU63" s="188">
        <f t="shared" si="52"/>
        <v>7.7754472499545999</v>
      </c>
      <c r="CV63" s="188">
        <f t="shared" si="53"/>
        <v>38.877236249772999</v>
      </c>
      <c r="CW63" s="379">
        <f t="shared" si="54"/>
        <v>30</v>
      </c>
      <c r="CX63" s="188">
        <f t="shared" si="55"/>
        <v>9.0416702786377705</v>
      </c>
      <c r="CY63" s="188">
        <f t="shared" si="56"/>
        <v>1.2498779502822801</v>
      </c>
      <c r="CZ63" s="188">
        <f t="shared" si="57"/>
        <v>1.3842296517784209</v>
      </c>
      <c r="DA63" s="172">
        <f t="shared" si="58"/>
        <v>350</v>
      </c>
      <c r="DB63" s="379">
        <f t="shared" si="115"/>
        <v>350</v>
      </c>
      <c r="DD63" s="188">
        <f t="shared" si="59"/>
        <v>9.8072469146822137</v>
      </c>
      <c r="DE63" s="150">
        <f t="shared" si="60"/>
        <v>1.5014351954073746</v>
      </c>
      <c r="DF63" s="150">
        <f t="shared" si="61"/>
        <v>2.4718134248028734</v>
      </c>
      <c r="DG63" s="150"/>
      <c r="DH63" s="150">
        <f t="shared" si="62"/>
        <v>0.92784522751949461</v>
      </c>
      <c r="DI63" s="314">
        <f t="shared" si="63"/>
        <v>860.20596574468084</v>
      </c>
      <c r="DJ63" s="456">
        <f t="shared" si="64"/>
        <v>0.94395997276890675</v>
      </c>
      <c r="DL63" s="150">
        <f t="shared" si="65"/>
        <v>9.3923593081749264</v>
      </c>
      <c r="DM63" s="150">
        <f t="shared" si="66"/>
        <v>9.3923593081749264</v>
      </c>
      <c r="DN63" s="150">
        <f t="shared" si="67"/>
        <v>3.6679653685695301</v>
      </c>
      <c r="DP63" s="314">
        <f t="shared" si="68"/>
        <v>2320</v>
      </c>
      <c r="DQ63" s="144">
        <f t="shared" si="69"/>
        <v>350</v>
      </c>
      <c r="DS63">
        <f t="shared" si="116"/>
        <v>2320</v>
      </c>
      <c r="DT63">
        <f t="shared" si="70"/>
        <v>350</v>
      </c>
      <c r="DV63" s="5">
        <f t="shared" si="117"/>
        <v>2.8571428571428572</v>
      </c>
      <c r="DW63" s="5">
        <f t="shared" si="71"/>
        <v>1.2983555514241809</v>
      </c>
      <c r="DX63" s="5">
        <f t="shared" si="118"/>
        <v>1.5587873057186763</v>
      </c>
      <c r="DY63" s="150">
        <f t="shared" si="119"/>
        <v>0.4544244429984633</v>
      </c>
      <c r="EA63" s="5">
        <f t="shared" si="72"/>
        <v>10.040616264346998</v>
      </c>
      <c r="EB63" s="5">
        <f t="shared" si="73"/>
        <v>10.668154780868685</v>
      </c>
      <c r="EC63" s="5">
        <f t="shared" si="74"/>
        <v>1.8770172401041496</v>
      </c>
      <c r="ED63" s="5"/>
      <c r="EE63" s="150">
        <f t="shared" si="120"/>
        <v>3.6554842137414392</v>
      </c>
      <c r="EF63" s="150">
        <f t="shared" si="75"/>
        <v>3.842071650044947</v>
      </c>
      <c r="EG63" s="150">
        <f t="shared" si="76"/>
        <v>0.77122199775325295</v>
      </c>
      <c r="EH63" s="150"/>
      <c r="EI63" s="456">
        <f t="shared" si="77"/>
        <v>0.16035077804295442</v>
      </c>
      <c r="EJ63" s="456">
        <f t="shared" si="78"/>
        <v>4.0411095541388038</v>
      </c>
      <c r="EK63" s="456">
        <f t="shared" si="79"/>
        <v>4.0250000000000001E-2</v>
      </c>
      <c r="EL63" s="456">
        <f t="shared" si="80"/>
        <v>0.75820555125</v>
      </c>
      <c r="EM63">
        <f t="shared" si="81"/>
        <v>1.5299999999999999E-2</v>
      </c>
      <c r="EN63" s="144">
        <f t="shared" si="121"/>
        <v>55.550000000000004</v>
      </c>
      <c r="EO63">
        <f t="shared" si="82"/>
        <v>5.2588700989947048</v>
      </c>
      <c r="EP63" s="144">
        <f t="shared" si="122"/>
        <v>5258.8700989947047</v>
      </c>
      <c r="EQ63" s="150">
        <f t="shared" si="83"/>
        <v>1.5557919999999998</v>
      </c>
      <c r="ER63" s="150">
        <f t="shared" si="169"/>
        <v>0.23614699999999997</v>
      </c>
      <c r="ES63" s="456"/>
      <c r="EU63" s="144">
        <f t="shared" si="123"/>
        <v>1791.9389999999996</v>
      </c>
      <c r="EV63" s="456">
        <f t="shared" si="85"/>
        <v>0.18707590771678015</v>
      </c>
      <c r="EW63" s="456">
        <f t="shared" si="124"/>
        <v>0.20666120389710743</v>
      </c>
      <c r="EX63" s="456">
        <f t="shared" si="86"/>
        <v>2.9739168490925927E-3</v>
      </c>
      <c r="EY63" s="456">
        <f t="shared" si="87"/>
        <v>30.979675259084964</v>
      </c>
      <c r="EZ63" s="456">
        <f t="shared" si="88"/>
        <v>32.503145434672724</v>
      </c>
      <c r="FA63" s="538">
        <f t="shared" si="89"/>
        <v>3.0875744680851067</v>
      </c>
      <c r="FB63" s="144">
        <f t="shared" si="125"/>
        <v>35590.719902757832</v>
      </c>
      <c r="FC63" s="150">
        <f t="shared" si="126"/>
        <v>42.641529001752538</v>
      </c>
      <c r="FD63" s="5">
        <f t="shared" si="127"/>
        <v>72.557999999999993</v>
      </c>
      <c r="FE63" s="150">
        <f t="shared" si="128"/>
        <v>0.62984632514336214</v>
      </c>
      <c r="FF63" s="5">
        <f t="shared" si="129"/>
        <v>62.984632514336212</v>
      </c>
      <c r="FG63">
        <f t="shared" si="130"/>
        <v>57.999999999999993</v>
      </c>
      <c r="FI63" s="59">
        <f t="shared" si="90"/>
        <v>-50</v>
      </c>
      <c r="FJ63">
        <f t="shared" si="91"/>
        <v>-50</v>
      </c>
      <c r="FL63">
        <f t="shared" si="92"/>
        <v>0.50107778574630613</v>
      </c>
    </row>
    <row r="64" spans="5:168">
      <c r="E64" s="147">
        <v>59</v>
      </c>
      <c r="F64" s="188">
        <f t="shared" si="173"/>
        <v>2.36</v>
      </c>
      <c r="G64" s="188">
        <f t="shared" si="170"/>
        <v>0.50149999999999995</v>
      </c>
      <c r="H64" s="188">
        <f t="shared" si="135"/>
        <v>70.8</v>
      </c>
      <c r="I64" s="188">
        <f t="shared" si="174"/>
        <v>3.0089999999999995</v>
      </c>
      <c r="J64" s="465">
        <f t="shared" si="136"/>
        <v>33.85270596563506</v>
      </c>
      <c r="K64" s="379">
        <f t="shared" si="137"/>
        <v>30.811023327633151</v>
      </c>
      <c r="L64" s="149">
        <f t="shared" si="138"/>
        <v>64.663729293268204</v>
      </c>
      <c r="M64" s="379"/>
      <c r="N64" s="188">
        <f t="shared" si="139"/>
        <v>0.4764807669520032</v>
      </c>
      <c r="O64" s="149">
        <f t="shared" si="171"/>
        <v>234.43301071007116</v>
      </c>
      <c r="P64" s="149">
        <f t="shared" si="140"/>
        <v>9.9634029551780241</v>
      </c>
      <c r="Q64" s="188">
        <f t="shared" si="6"/>
        <v>7.8144336903357052</v>
      </c>
      <c r="R64" s="188">
        <f t="shared" si="141"/>
        <v>39.072168451678529</v>
      </c>
      <c r="S64" s="379">
        <f t="shared" si="142"/>
        <v>30</v>
      </c>
      <c r="T64" s="188">
        <f t="shared" si="143"/>
        <v>9.1516742414227643</v>
      </c>
      <c r="U64" s="188">
        <f t="shared" si="10"/>
        <v>1.2705887966046407</v>
      </c>
      <c r="V64" s="188">
        <f t="shared" si="11"/>
        <v>1.3960220820095417</v>
      </c>
      <c r="W64" s="172">
        <f t="shared" si="12"/>
        <v>350</v>
      </c>
      <c r="X64" s="379">
        <f t="shared" si="95"/>
        <v>348.84399813742209</v>
      </c>
      <c r="Z64" s="188">
        <f t="shared" si="13"/>
        <v>9.8055703962957104</v>
      </c>
      <c r="AA64" s="150">
        <f t="shared" si="14"/>
        <v>1.4957692372799907</v>
      </c>
      <c r="AB64" s="150">
        <f t="shared" si="144"/>
        <v>2.462064601183152</v>
      </c>
      <c r="AC64" s="150"/>
      <c r="AD64" s="150">
        <f t="shared" si="16"/>
        <v>0.92450186356847097</v>
      </c>
      <c r="AE64" s="314">
        <f t="shared" si="145"/>
        <v>878.20158292181588</v>
      </c>
      <c r="AF64" s="456">
        <f t="shared" si="146"/>
        <v>0.94055854152740326</v>
      </c>
      <c r="AH64" s="150">
        <f t="shared" si="147"/>
        <v>9.4729818968599897</v>
      </c>
      <c r="AI64" s="150">
        <f t="shared" si="148"/>
        <v>9.4729818968599897</v>
      </c>
      <c r="AJ64" s="150">
        <f t="shared" si="149"/>
        <v>3.7276858046325403</v>
      </c>
      <c r="AL64" s="314">
        <f t="shared" si="150"/>
        <v>2360</v>
      </c>
      <c r="AM64" s="144">
        <f t="shared" si="151"/>
        <v>348.84399813742209</v>
      </c>
      <c r="AO64">
        <f t="shared" si="96"/>
        <v>2360</v>
      </c>
      <c r="AP64">
        <f t="shared" si="24"/>
        <v>348.84399813742209</v>
      </c>
      <c r="AR64" s="5">
        <f t="shared" si="97"/>
        <v>2.8666108786141828</v>
      </c>
      <c r="AS64" s="5">
        <f t="shared" si="25"/>
        <v>1.3151981103205945</v>
      </c>
      <c r="AT64" s="5">
        <f t="shared" si="98"/>
        <v>1.5514127682935883</v>
      </c>
      <c r="AU64" s="150">
        <f t="shared" si="99"/>
        <v>0.45879896714701857</v>
      </c>
      <c r="AW64" s="5">
        <f t="shared" si="152"/>
        <v>10.346225134522008</v>
      </c>
      <c r="AX64" s="5">
        <f t="shared" si="153"/>
        <v>10.992864205429635</v>
      </c>
      <c r="AY64" s="5">
        <f t="shared" si="28"/>
        <v>1.908614894368772</v>
      </c>
      <c r="AZ64" s="5"/>
      <c r="BA64" s="150">
        <f t="shared" si="100"/>
        <v>3.7045656524366648</v>
      </c>
      <c r="BB64" s="150">
        <f t="shared" si="154"/>
        <v>3.8594847099074041</v>
      </c>
      <c r="BC64" s="150">
        <f t="shared" si="155"/>
        <v>0.77471733465410542</v>
      </c>
      <c r="BD64" s="150"/>
      <c r="BE64" s="456">
        <f t="shared" si="31"/>
        <v>0.16468568007856191</v>
      </c>
      <c r="BF64" s="456">
        <f t="shared" si="156"/>
        <v>3.8997932133933619</v>
      </c>
      <c r="BG64" s="456">
        <f t="shared" si="33"/>
        <v>4.0117059785803544E-2</v>
      </c>
      <c r="BH64" s="456">
        <f t="shared" si="34"/>
        <v>0.7548542504344381</v>
      </c>
      <c r="BI64">
        <f t="shared" si="35"/>
        <v>1.5233717684535776E-2</v>
      </c>
      <c r="BJ64" s="144">
        <f t="shared" si="101"/>
        <v>55.350777470339317</v>
      </c>
      <c r="BK64">
        <f t="shared" si="157"/>
        <v>5.0618656251553045</v>
      </c>
      <c r="BL64" s="144">
        <f t="shared" si="102"/>
        <v>5061.8656251553048</v>
      </c>
      <c r="BM64" s="150">
        <f t="shared" si="158"/>
        <v>1.5826159999999998</v>
      </c>
      <c r="BN64" s="150">
        <f t="shared" si="159"/>
        <v>0.24021849999999997</v>
      </c>
      <c r="BO64" s="456"/>
      <c r="BQ64" s="144">
        <f t="shared" si="103"/>
        <v>1822.8344999999997</v>
      </c>
      <c r="BR64" s="456">
        <f t="shared" si="39"/>
        <v>0.19213329342498889</v>
      </c>
      <c r="BS64" s="456">
        <f t="shared" si="104"/>
        <v>0.20853871116412653</v>
      </c>
      <c r="BT64" s="456">
        <f t="shared" si="160"/>
        <v>3.0009347430678059E-3</v>
      </c>
      <c r="BU64" s="456">
        <f t="shared" si="41"/>
        <v>31.388091581046123</v>
      </c>
      <c r="BV64" s="456">
        <f t="shared" si="161"/>
        <v>32.952818927890242</v>
      </c>
      <c r="BW64" s="538">
        <f t="shared" si="162"/>
        <v>3.1304348521003029</v>
      </c>
      <c r="BX64" s="144">
        <f t="shared" si="105"/>
        <v>36083.25377999054</v>
      </c>
      <c r="BY64" s="150">
        <f t="shared" si="106"/>
        <v>42.967953905145848</v>
      </c>
      <c r="BZ64" s="5">
        <f t="shared" si="107"/>
        <v>73.808999999999997</v>
      </c>
      <c r="CA64" s="150">
        <f t="shared" si="108"/>
        <v>0.63205108141416899</v>
      </c>
      <c r="CB64" s="5">
        <f t="shared" si="109"/>
        <v>63.2051081414169</v>
      </c>
      <c r="CC64">
        <f t="shared" si="172"/>
        <v>59</v>
      </c>
      <c r="CE64" s="59">
        <f t="shared" si="163"/>
        <v>-50</v>
      </c>
      <c r="CF64">
        <f t="shared" si="164"/>
        <v>-50</v>
      </c>
      <c r="CG64" s="150">
        <f t="shared" si="165"/>
        <v>0.5053789615099169</v>
      </c>
      <c r="CH64" s="150">
        <f t="shared" si="166"/>
        <v>0.10667231506289963</v>
      </c>
      <c r="CI64" s="147">
        <v>59</v>
      </c>
      <c r="CJ64" s="188">
        <f t="shared" si="133"/>
        <v>2.36</v>
      </c>
      <c r="CK64" s="188">
        <f t="shared" si="111"/>
        <v>0.50149999999999995</v>
      </c>
      <c r="CL64" s="188">
        <f t="shared" si="48"/>
        <v>70.8</v>
      </c>
      <c r="CM64" s="188">
        <f t="shared" si="134"/>
        <v>3.0089999999999995</v>
      </c>
      <c r="CN64" s="465">
        <f t="shared" si="112"/>
        <v>34</v>
      </c>
      <c r="CO64" s="379">
        <f t="shared" si="167"/>
        <v>30.7</v>
      </c>
      <c r="CP64" s="379">
        <f t="shared" si="168"/>
        <v>64.7</v>
      </c>
      <c r="CQ64" s="379"/>
      <c r="CR64" s="188">
        <f t="shared" si="113"/>
        <v>0.47204968944099374</v>
      </c>
      <c r="CS64" s="149">
        <f t="shared" si="114"/>
        <v>233.26341749863801</v>
      </c>
      <c r="CT64" s="149">
        <f t="shared" si="51"/>
        <v>9.9136952436921142</v>
      </c>
      <c r="CU64" s="188">
        <f t="shared" si="52"/>
        <v>7.7754472499545999</v>
      </c>
      <c r="CV64" s="188">
        <f t="shared" si="53"/>
        <v>38.877236249772999</v>
      </c>
      <c r="CW64" s="379">
        <f t="shared" si="54"/>
        <v>30</v>
      </c>
      <c r="CX64" s="188">
        <f t="shared" si="55"/>
        <v>9.1975611455108357</v>
      </c>
      <c r="CY64" s="188">
        <f t="shared" si="56"/>
        <v>1.2714275701147333</v>
      </c>
      <c r="CZ64" s="188">
        <f t="shared" si="57"/>
        <v>1.4080956802573592</v>
      </c>
      <c r="DA64" s="172">
        <f t="shared" si="58"/>
        <v>350</v>
      </c>
      <c r="DB64" s="379">
        <f t="shared" si="115"/>
        <v>350</v>
      </c>
      <c r="DD64" s="188">
        <f t="shared" si="59"/>
        <v>9.8072469146822137</v>
      </c>
      <c r="DE64" s="150">
        <f t="shared" si="60"/>
        <v>1.5014351954073746</v>
      </c>
      <c r="DF64" s="150">
        <f t="shared" si="61"/>
        <v>2.4718134248028734</v>
      </c>
      <c r="DG64" s="150"/>
      <c r="DH64" s="150">
        <f t="shared" si="62"/>
        <v>0.92784522751949461</v>
      </c>
      <c r="DI64" s="314">
        <f t="shared" si="63"/>
        <v>875.03710308510631</v>
      </c>
      <c r="DJ64" s="456">
        <f t="shared" si="64"/>
        <v>0.94395997276890675</v>
      </c>
      <c r="DL64" s="150">
        <f t="shared" si="65"/>
        <v>9.4729818968599897</v>
      </c>
      <c r="DM64" s="150">
        <f t="shared" si="66"/>
        <v>9.4729818968599897</v>
      </c>
      <c r="DN64" s="150">
        <f t="shared" si="67"/>
        <v>3.7276858046325403</v>
      </c>
      <c r="DP64" s="314">
        <f t="shared" si="68"/>
        <v>2360</v>
      </c>
      <c r="DQ64" s="144">
        <f t="shared" si="69"/>
        <v>350</v>
      </c>
      <c r="DS64">
        <f t="shared" si="116"/>
        <v>2360</v>
      </c>
      <c r="DT64">
        <f t="shared" si="70"/>
        <v>350</v>
      </c>
      <c r="DV64" s="5">
        <f t="shared" si="117"/>
        <v>2.8571428571428572</v>
      </c>
      <c r="DW64" s="5">
        <f t="shared" si="71"/>
        <v>1.3095004386835867</v>
      </c>
      <c r="DX64" s="5">
        <f t="shared" si="118"/>
        <v>1.5476424184592705</v>
      </c>
      <c r="DY64" s="150">
        <f t="shared" si="119"/>
        <v>0.45832515353925535</v>
      </c>
      <c r="EA64" s="5">
        <f t="shared" si="72"/>
        <v>10.301403450977547</v>
      </c>
      <c r="EB64" s="5">
        <f t="shared" si="73"/>
        <v>10.945241166663644</v>
      </c>
      <c r="EC64" s="5">
        <f t="shared" si="74"/>
        <v>1.8957280835106631</v>
      </c>
      <c r="ED64" s="5"/>
      <c r="EE64" s="150">
        <f t="shared" si="120"/>
        <v>3.7026522577300334</v>
      </c>
      <c r="EF64" s="150">
        <f t="shared" si="75"/>
        <v>3.8611738015699864</v>
      </c>
      <c r="EG64" s="150">
        <f t="shared" si="76"/>
        <v>0.77505638732283688</v>
      </c>
      <c r="EH64" s="150"/>
      <c r="EI64" s="456">
        <f t="shared" si="77"/>
        <v>0.16451560490007977</v>
      </c>
      <c r="EJ64" s="456">
        <f t="shared" si="78"/>
        <v>4.0757978260334946</v>
      </c>
      <c r="EK64" s="456">
        <f t="shared" si="79"/>
        <v>4.0250000000000001E-2</v>
      </c>
      <c r="EL64" s="456">
        <f t="shared" si="80"/>
        <v>0.75820555125</v>
      </c>
      <c r="EM64">
        <f t="shared" si="81"/>
        <v>1.5299999999999999E-2</v>
      </c>
      <c r="EN64" s="144">
        <f t="shared" si="121"/>
        <v>55.550000000000004</v>
      </c>
      <c r="EO64">
        <f t="shared" si="82"/>
        <v>5.3058896254717647</v>
      </c>
      <c r="EP64" s="144">
        <f t="shared" si="122"/>
        <v>5305.8896254717647</v>
      </c>
      <c r="EQ64" s="150">
        <f t="shared" si="83"/>
        <v>1.5826159999999998</v>
      </c>
      <c r="ER64" s="150">
        <f t="shared" si="169"/>
        <v>0.24021849999999997</v>
      </c>
      <c r="ES64" s="456"/>
      <c r="EU64" s="144">
        <f t="shared" si="123"/>
        <v>1822.8344999999997</v>
      </c>
      <c r="EV64" s="456">
        <f t="shared" si="85"/>
        <v>0.19193487238342638</v>
      </c>
      <c r="EW64" s="456">
        <f t="shared" si="124"/>
        <v>0.2087212837630259</v>
      </c>
      <c r="EX64" s="456">
        <f t="shared" si="86"/>
        <v>3.0035620176496369E-3</v>
      </c>
      <c r="EY64" s="456">
        <f t="shared" si="87"/>
        <v>31.648773452279233</v>
      </c>
      <c r="EZ64" s="456">
        <f t="shared" si="88"/>
        <v>33.222146899131502</v>
      </c>
      <c r="FA64" s="538">
        <f t="shared" si="89"/>
        <v>3.1408085106382981</v>
      </c>
      <c r="FB64" s="144">
        <f t="shared" si="125"/>
        <v>36362.955409769806</v>
      </c>
      <c r="FC64" s="150">
        <f t="shared" si="126"/>
        <v>43.491679535241566</v>
      </c>
      <c r="FD64" s="5">
        <f t="shared" si="127"/>
        <v>73.808999999999997</v>
      </c>
      <c r="FE64" s="150">
        <f t="shared" si="128"/>
        <v>0.62922909136110317</v>
      </c>
      <c r="FF64" s="5">
        <f t="shared" si="129"/>
        <v>62.92290913611032</v>
      </c>
      <c r="FG64">
        <f t="shared" si="130"/>
        <v>59</v>
      </c>
      <c r="FI64" s="59">
        <f t="shared" si="90"/>
        <v>-50</v>
      </c>
      <c r="FJ64">
        <f t="shared" si="91"/>
        <v>-50</v>
      </c>
      <c r="FL64">
        <f t="shared" si="92"/>
        <v>0.5053789615099169</v>
      </c>
    </row>
    <row r="65" spans="5:168">
      <c r="E65" s="147">
        <v>60</v>
      </c>
      <c r="F65" s="188">
        <f t="shared" si="173"/>
        <v>2.4</v>
      </c>
      <c r="G65" s="188">
        <f t="shared" si="170"/>
        <v>0.51</v>
      </c>
      <c r="H65" s="188">
        <f t="shared" si="135"/>
        <v>72</v>
      </c>
      <c r="I65" s="188">
        <f t="shared" si="174"/>
        <v>3.06</v>
      </c>
      <c r="J65" s="465">
        <f t="shared" si="136"/>
        <v>33.85146295596607</v>
      </c>
      <c r="K65" s="379">
        <f t="shared" si="137"/>
        <v>30.811960249962201</v>
      </c>
      <c r="L65" s="149">
        <f t="shared" si="138"/>
        <v>64.663423205928268</v>
      </c>
      <c r="M65" s="379"/>
      <c r="N65" s="188">
        <f t="shared" si="139"/>
        <v>0.47649751161236692</v>
      </c>
      <c r="O65" s="149">
        <f t="shared" si="171"/>
        <v>234.43264098475478</v>
      </c>
      <c r="P65" s="149">
        <f t="shared" si="140"/>
        <v>9.963387241852077</v>
      </c>
      <c r="Q65" s="188">
        <f t="shared" si="6"/>
        <v>7.8144213661584931</v>
      </c>
      <c r="R65" s="188">
        <f t="shared" si="141"/>
        <v>39.072106830792464</v>
      </c>
      <c r="S65" s="379">
        <f t="shared" si="142"/>
        <v>30</v>
      </c>
      <c r="T65" s="188">
        <f t="shared" si="143"/>
        <v>9.3068020419565478</v>
      </c>
      <c r="U65" s="188">
        <f t="shared" si="10"/>
        <v>1.2921736840175935</v>
      </c>
      <c r="V65" s="188">
        <f t="shared" si="11"/>
        <v>1.4196425427768569</v>
      </c>
      <c r="W65" s="172">
        <f t="shared" si="12"/>
        <v>350</v>
      </c>
      <c r="X65" s="379">
        <f t="shared" si="95"/>
        <v>343.42826679720656</v>
      </c>
      <c r="Z65" s="188">
        <f t="shared" si="13"/>
        <v>9.8055549318881763</v>
      </c>
      <c r="AA65" s="150">
        <f t="shared" si="14"/>
        <v>1.4957213953932373</v>
      </c>
      <c r="AB65" s="150">
        <f t="shared" si="144"/>
        <v>2.4619819697194667</v>
      </c>
      <c r="AC65" s="150"/>
      <c r="AD65" s="150">
        <f t="shared" si="16"/>
        <v>0.92447375154858658</v>
      </c>
      <c r="AE65" s="314">
        <f t="shared" si="145"/>
        <v>893.11351308453754</v>
      </c>
      <c r="AF65" s="456">
        <f t="shared" si="146"/>
        <v>0.94052994126009826</v>
      </c>
      <c r="AH65" s="150">
        <f t="shared" si="147"/>
        <v>9.5529240896499328</v>
      </c>
      <c r="AI65" s="150">
        <f t="shared" si="148"/>
        <v>9.5529240896499328</v>
      </c>
      <c r="AJ65" s="150">
        <f t="shared" si="149"/>
        <v>3.7869022437362014</v>
      </c>
      <c r="AL65" s="314">
        <f t="shared" si="150"/>
        <v>2400</v>
      </c>
      <c r="AM65" s="144">
        <f t="shared" si="151"/>
        <v>343.42826679720656</v>
      </c>
      <c r="AO65">
        <f t="shared" si="96"/>
        <v>2400</v>
      </c>
      <c r="AP65">
        <f t="shared" si="24"/>
        <v>343.42826679720656</v>
      </c>
      <c r="AR65" s="5">
        <f t="shared" si="97"/>
        <v>2.9118162267944512</v>
      </c>
      <c r="AS65" s="5">
        <f t="shared" si="25"/>
        <v>1.3263457263208651</v>
      </c>
      <c r="AT65" s="5">
        <f t="shared" si="98"/>
        <v>1.5854705004735861</v>
      </c>
      <c r="AU65" s="150">
        <f t="shared" si="99"/>
        <v>0.45550461396425673</v>
      </c>
      <c r="AW65" s="5">
        <f t="shared" si="152"/>
        <v>10.610765810566921</v>
      </c>
      <c r="AX65" s="5">
        <f t="shared" si="153"/>
        <v>11.273938673727354</v>
      </c>
      <c r="AY65" s="5">
        <f t="shared" si="28"/>
        <v>1.9836465836331776</v>
      </c>
      <c r="AZ65" s="5"/>
      <c r="BA65" s="150">
        <f t="shared" si="100"/>
        <v>3.7223918580049964</v>
      </c>
      <c r="BB65" s="150">
        <f t="shared" si="154"/>
        <v>3.9038825001316817</v>
      </c>
      <c r="BC65" s="150">
        <f t="shared" si="155"/>
        <v>0.78362933723797101</v>
      </c>
      <c r="BD65" s="150"/>
      <c r="BE65" s="456">
        <f t="shared" si="31"/>
        <v>0.16627441373450269</v>
      </c>
      <c r="BF65" s="456">
        <f t="shared" si="156"/>
        <v>3.8716307053701047</v>
      </c>
      <c r="BG65" s="456">
        <f t="shared" si="33"/>
        <v>3.9494250681678757E-2</v>
      </c>
      <c r="BH65" s="456">
        <f t="shared" si="34"/>
        <v>0.74312825813153494</v>
      </c>
      <c r="BI65">
        <f t="shared" si="35"/>
        <v>1.5233158330184732E-2</v>
      </c>
      <c r="BJ65" s="144">
        <f t="shared" si="101"/>
        <v>54.727409011863486</v>
      </c>
      <c r="BK65">
        <f t="shared" si="157"/>
        <v>5.024426484724958</v>
      </c>
      <c r="BL65" s="144">
        <f t="shared" si="102"/>
        <v>5024.4264847249578</v>
      </c>
      <c r="BM65" s="150">
        <f t="shared" si="158"/>
        <v>1.60944</v>
      </c>
      <c r="BN65" s="150">
        <f t="shared" si="159"/>
        <v>0.24429000000000001</v>
      </c>
      <c r="BO65" s="456"/>
      <c r="BQ65" s="144">
        <f t="shared" si="103"/>
        <v>1853.73</v>
      </c>
      <c r="BR65" s="456">
        <f t="shared" si="39"/>
        <v>0.19398681602358647</v>
      </c>
      <c r="BS65" s="456">
        <f t="shared" si="104"/>
        <v>0.21336418004768146</v>
      </c>
      <c r="BT65" s="456">
        <f t="shared" si="160"/>
        <v>3.0703746909001087E-3</v>
      </c>
      <c r="BU65" s="456">
        <f t="shared" si="41"/>
        <v>30.824846057783692</v>
      </c>
      <c r="BV65" s="456">
        <f t="shared" si="161"/>
        <v>32.397498620992231</v>
      </c>
      <c r="BW65" s="538">
        <f t="shared" si="162"/>
        <v>3.1340699946259369</v>
      </c>
      <c r="BX65" s="144">
        <f t="shared" si="105"/>
        <v>35531.568615618169</v>
      </c>
      <c r="BY65" s="150">
        <f t="shared" si="106"/>
        <v>42.409725100343131</v>
      </c>
      <c r="BZ65" s="5">
        <f t="shared" si="107"/>
        <v>75.06</v>
      </c>
      <c r="CA65" s="150">
        <f t="shared" si="108"/>
        <v>0.63897314764194291</v>
      </c>
      <c r="CB65" s="5">
        <f t="shared" si="109"/>
        <v>63.897314764194292</v>
      </c>
      <c r="CC65">
        <f t="shared" si="172"/>
        <v>60</v>
      </c>
      <c r="CE65" s="59">
        <f t="shared" si="163"/>
        <v>-50</v>
      </c>
      <c r="CF65">
        <f t="shared" si="164"/>
        <v>-50</v>
      </c>
      <c r="CG65" s="150">
        <f t="shared" si="165"/>
        <v>0.5096438384845472</v>
      </c>
      <c r="CH65" s="150">
        <f t="shared" si="166"/>
        <v>0.10757251933531933</v>
      </c>
      <c r="CI65" s="147">
        <v>60</v>
      </c>
      <c r="CJ65" s="188">
        <f t="shared" si="133"/>
        <v>2.4</v>
      </c>
      <c r="CK65" s="188">
        <f t="shared" si="111"/>
        <v>0.51</v>
      </c>
      <c r="CL65" s="188">
        <f t="shared" si="48"/>
        <v>72</v>
      </c>
      <c r="CM65" s="188">
        <f t="shared" si="134"/>
        <v>3.06</v>
      </c>
      <c r="CN65" s="465">
        <f t="shared" si="112"/>
        <v>34</v>
      </c>
      <c r="CO65" s="379">
        <f t="shared" si="167"/>
        <v>30.7</v>
      </c>
      <c r="CP65" s="379">
        <f t="shared" si="168"/>
        <v>64.7</v>
      </c>
      <c r="CQ65" s="379"/>
      <c r="CR65" s="188">
        <f t="shared" si="113"/>
        <v>0.47204968944099374</v>
      </c>
      <c r="CS65" s="149">
        <f t="shared" si="114"/>
        <v>233.26341749863801</v>
      </c>
      <c r="CT65" s="149">
        <f t="shared" si="51"/>
        <v>9.9136952436921142</v>
      </c>
      <c r="CU65" s="188">
        <f t="shared" si="52"/>
        <v>7.7754472499545999</v>
      </c>
      <c r="CV65" s="188">
        <f t="shared" si="53"/>
        <v>38.877236249772999</v>
      </c>
      <c r="CW65" s="379">
        <f t="shared" si="54"/>
        <v>30</v>
      </c>
      <c r="CX65" s="188">
        <f t="shared" si="55"/>
        <v>9.3534520123839009</v>
      </c>
      <c r="CY65" s="188">
        <f t="shared" si="56"/>
        <v>1.2929771899471862</v>
      </c>
      <c r="CZ65" s="188">
        <f t="shared" si="57"/>
        <v>1.4319617087362975</v>
      </c>
      <c r="DA65" s="172">
        <f t="shared" si="58"/>
        <v>350</v>
      </c>
      <c r="DB65" s="379">
        <f t="shared" si="115"/>
        <v>350</v>
      </c>
      <c r="DD65" s="188">
        <f t="shared" si="59"/>
        <v>9.8072469146822137</v>
      </c>
      <c r="DE65" s="150">
        <f t="shared" si="60"/>
        <v>1.5014351954073746</v>
      </c>
      <c r="DF65" s="150">
        <f t="shared" si="61"/>
        <v>2.4718134248028734</v>
      </c>
      <c r="DG65" s="150"/>
      <c r="DH65" s="150">
        <f t="shared" si="62"/>
        <v>0.92784522751949461</v>
      </c>
      <c r="DI65" s="314">
        <f t="shared" si="63"/>
        <v>889.86824042553189</v>
      </c>
      <c r="DJ65" s="456">
        <f t="shared" si="64"/>
        <v>0.94395997276890675</v>
      </c>
      <c r="DL65" s="150">
        <f t="shared" si="65"/>
        <v>9.5529240896499328</v>
      </c>
      <c r="DM65" s="150">
        <f t="shared" si="66"/>
        <v>9.5529240896499328</v>
      </c>
      <c r="DN65" s="150">
        <f t="shared" si="67"/>
        <v>3.7869022437362014</v>
      </c>
      <c r="DP65" s="314">
        <f t="shared" si="68"/>
        <v>2400</v>
      </c>
      <c r="DQ65" s="144">
        <f t="shared" si="69"/>
        <v>350</v>
      </c>
      <c r="DS65">
        <f t="shared" si="116"/>
        <v>2400</v>
      </c>
      <c r="DT65">
        <f t="shared" si="70"/>
        <v>350</v>
      </c>
      <c r="DV65" s="5">
        <f t="shared" si="117"/>
        <v>2.8571428571428572</v>
      </c>
      <c r="DW65" s="5">
        <f t="shared" si="71"/>
        <v>1.3205512712163141</v>
      </c>
      <c r="DX65" s="5">
        <f t="shared" si="118"/>
        <v>1.5365915859265431</v>
      </c>
      <c r="DY65" s="150">
        <f t="shared" si="119"/>
        <v>0.46219294492570995</v>
      </c>
      <c r="EA65" s="5">
        <f t="shared" si="72"/>
        <v>10.564410169730513</v>
      </c>
      <c r="EB65" s="5">
        <f t="shared" si="73"/>
        <v>11.224685805338671</v>
      </c>
      <c r="EC65" s="5">
        <f t="shared" si="74"/>
        <v>1.9140933250296037</v>
      </c>
      <c r="ED65" s="5"/>
      <c r="EE65" s="150">
        <f t="shared" si="120"/>
        <v>3.7496208492486383</v>
      </c>
      <c r="EF65" s="150">
        <f t="shared" si="75"/>
        <v>3.8798316657654195</v>
      </c>
      <c r="EG65" s="150">
        <f t="shared" si="76"/>
        <v>0.77880159475498933</v>
      </c>
      <c r="EH65" s="150"/>
      <c r="EI65" s="456">
        <f t="shared" si="77"/>
        <v>0.16871587815744093</v>
      </c>
      <c r="EJ65" s="456">
        <f t="shared" si="78"/>
        <v>4.1101933541923321</v>
      </c>
      <c r="EK65" s="456">
        <f t="shared" si="79"/>
        <v>4.0250000000000001E-2</v>
      </c>
      <c r="EL65" s="456">
        <f t="shared" si="80"/>
        <v>0.75820555125</v>
      </c>
      <c r="EM65">
        <f t="shared" si="81"/>
        <v>1.5299999999999999E-2</v>
      </c>
      <c r="EN65" s="144">
        <f t="shared" si="121"/>
        <v>55.550000000000004</v>
      </c>
      <c r="EO65">
        <f t="shared" si="82"/>
        <v>5.3527949887967479</v>
      </c>
      <c r="EP65" s="144">
        <f t="shared" si="122"/>
        <v>5352.7949887967479</v>
      </c>
      <c r="EQ65" s="150">
        <f t="shared" si="83"/>
        <v>1.60944</v>
      </c>
      <c r="ER65" s="150">
        <f t="shared" si="169"/>
        <v>0.24429000000000001</v>
      </c>
      <c r="ES65" s="456"/>
      <c r="EU65" s="144">
        <f t="shared" si="123"/>
        <v>1853.73</v>
      </c>
      <c r="EV65" s="456">
        <f t="shared" si="85"/>
        <v>0.19683519118368109</v>
      </c>
      <c r="EW65" s="456">
        <f t="shared" si="124"/>
        <v>0.21074331256546497</v>
      </c>
      <c r="EX65" s="456">
        <f t="shared" si="86"/>
        <v>3.0326596199645732E-3</v>
      </c>
      <c r="EY65" s="456">
        <f t="shared" si="87"/>
        <v>32.320712941794</v>
      </c>
      <c r="EZ65" s="456">
        <f t="shared" si="88"/>
        <v>33.944923961847721</v>
      </c>
      <c r="FA65" s="538">
        <f t="shared" si="89"/>
        <v>3.1940425531914904</v>
      </c>
      <c r="FB65" s="144">
        <f t="shared" si="125"/>
        <v>37138.966515039217</v>
      </c>
      <c r="FC65" s="150">
        <f t="shared" si="126"/>
        <v>44.345491503835959</v>
      </c>
      <c r="FD65" s="5">
        <f t="shared" si="127"/>
        <v>75.06</v>
      </c>
      <c r="FE65" s="150">
        <f t="shared" si="128"/>
        <v>0.62861430454049649</v>
      </c>
      <c r="FF65" s="5">
        <f t="shared" si="129"/>
        <v>62.861430454049646</v>
      </c>
      <c r="FG65">
        <f t="shared" si="130"/>
        <v>60</v>
      </c>
      <c r="FI65" s="59">
        <f t="shared" si="90"/>
        <v>-50</v>
      </c>
      <c r="FJ65">
        <f t="shared" si="91"/>
        <v>-50</v>
      </c>
      <c r="FL65">
        <f t="shared" si="92"/>
        <v>0.5096438384845472</v>
      </c>
    </row>
    <row r="66" spans="5:168">
      <c r="E66" s="147">
        <v>61</v>
      </c>
      <c r="F66" s="188">
        <f t="shared" si="173"/>
        <v>2.44</v>
      </c>
      <c r="G66" s="188">
        <f t="shared" si="170"/>
        <v>0.51849999999999996</v>
      </c>
      <c r="H66" s="188">
        <f t="shared" si="135"/>
        <v>73.2</v>
      </c>
      <c r="I66" s="188">
        <f t="shared" si="174"/>
        <v>3.1109999999999998</v>
      </c>
      <c r="J66" s="465">
        <f t="shared" si="136"/>
        <v>33.850230262265114</v>
      </c>
      <c r="K66" s="379">
        <f t="shared" si="137"/>
        <v>30.812889396598877</v>
      </c>
      <c r="L66" s="149">
        <f t="shared" si="138"/>
        <v>64.663119658863991</v>
      </c>
      <c r="M66" s="379"/>
      <c r="N66" s="188">
        <f t="shared" si="139"/>
        <v>0.47651411746224126</v>
      </c>
      <c r="O66" s="149">
        <f t="shared" si="171"/>
        <v>234.43227380738193</v>
      </c>
      <c r="P66" s="149">
        <f t="shared" si="140"/>
        <v>9.9633716368137311</v>
      </c>
      <c r="Q66" s="188">
        <f t="shared" si="6"/>
        <v>7.8144091269127314</v>
      </c>
      <c r="R66" s="188">
        <f t="shared" si="141"/>
        <v>39.072045634563658</v>
      </c>
      <c r="S66" s="379">
        <f t="shared" si="142"/>
        <v>30</v>
      </c>
      <c r="T66" s="188">
        <f t="shared" si="143"/>
        <v>9.4619302289596749</v>
      </c>
      <c r="U66" s="188">
        <f t="shared" si="10"/>
        <v>1.3137598099498025</v>
      </c>
      <c r="V66" s="188">
        <f t="shared" si="11"/>
        <v>1.4432619902572064</v>
      </c>
      <c r="W66" s="172">
        <f t="shared" si="12"/>
        <v>350</v>
      </c>
      <c r="X66" s="379">
        <f t="shared" si="95"/>
        <v>338.17809524772326</v>
      </c>
      <c r="Z66" s="188">
        <f t="shared" si="13"/>
        <v>9.8055395740528333</v>
      </c>
      <c r="AA66" s="150">
        <f t="shared" si="14"/>
        <v>1.4956739501078822</v>
      </c>
      <c r="AB66" s="150">
        <f t="shared" si="144"/>
        <v>2.4619000180728858</v>
      </c>
      <c r="AC66" s="150"/>
      <c r="AD66" s="150">
        <f t="shared" si="16"/>
        <v>0.92444587452394633</v>
      </c>
      <c r="AE66" s="314">
        <f t="shared" si="145"/>
        <v>908.02611935746825</v>
      </c>
      <c r="AF66" s="456">
        <f t="shared" si="146"/>
        <v>0.9405015800694172</v>
      </c>
      <c r="AH66" s="150">
        <f t="shared" si="147"/>
        <v>9.6322028273386611</v>
      </c>
      <c r="AI66" s="150">
        <f t="shared" si="148"/>
        <v>9.6322028273386611</v>
      </c>
      <c r="AJ66" s="150">
        <f t="shared" si="149"/>
        <v>3.8456272346167415</v>
      </c>
      <c r="AL66" s="314">
        <f t="shared" si="150"/>
        <v>2440</v>
      </c>
      <c r="AM66" s="144">
        <f t="shared" si="151"/>
        <v>338.17809524772326</v>
      </c>
      <c r="AO66">
        <f t="shared" si="96"/>
        <v>2440</v>
      </c>
      <c r="AP66">
        <f t="shared" si="24"/>
        <v>338.17809524772326</v>
      </c>
      <c r="AR66" s="5">
        <f t="shared" si="97"/>
        <v>2.9570218002070088</v>
      </c>
      <c r="AS66" s="5">
        <f t="shared" si="25"/>
        <v>1.3374016347226567</v>
      </c>
      <c r="AT66" s="5">
        <f t="shared" si="98"/>
        <v>1.6196201654843521</v>
      </c>
      <c r="AU66" s="150">
        <f t="shared" si="99"/>
        <v>0.45227993741169942</v>
      </c>
      <c r="AW66" s="5">
        <f t="shared" si="152"/>
        <v>10.877533295744275</v>
      </c>
      <c r="AX66" s="5">
        <f t="shared" si="153"/>
        <v>11.557379126728293</v>
      </c>
      <c r="AY66" s="5">
        <f t="shared" si="28"/>
        <v>2.0602205169637964</v>
      </c>
      <c r="AZ66" s="5"/>
      <c r="BA66" s="150">
        <f t="shared" si="100"/>
        <v>3.7399746058240004</v>
      </c>
      <c r="BB66" s="150">
        <f t="shared" si="154"/>
        <v>3.9479191725567757</v>
      </c>
      <c r="BC66" s="150">
        <f t="shared" si="155"/>
        <v>0.7924688523682234</v>
      </c>
      <c r="BD66" s="150"/>
      <c r="BE66" s="456">
        <f t="shared" si="31"/>
        <v>0.16784892062650064</v>
      </c>
      <c r="BF66" s="456">
        <f t="shared" si="156"/>
        <v>3.8440640451999948</v>
      </c>
      <c r="BG66" s="456">
        <f t="shared" si="33"/>
        <v>3.8890480953488175E-2</v>
      </c>
      <c r="BH66" s="456">
        <f t="shared" si="34"/>
        <v>0.73176078888802587</v>
      </c>
      <c r="BI66">
        <f t="shared" si="35"/>
        <v>1.5232603618019301E-2</v>
      </c>
      <c r="BJ66" s="144">
        <f t="shared" si="101"/>
        <v>54.123084571507476</v>
      </c>
      <c r="BK66">
        <f t="shared" si="157"/>
        <v>4.9879155418793042</v>
      </c>
      <c r="BL66" s="144">
        <f t="shared" si="102"/>
        <v>4987.9155418793043</v>
      </c>
      <c r="BM66" s="150">
        <f t="shared" si="158"/>
        <v>1.6362639999999999</v>
      </c>
      <c r="BN66" s="150">
        <f t="shared" si="159"/>
        <v>0.24836149999999999</v>
      </c>
      <c r="BO66" s="456"/>
      <c r="BQ66" s="144">
        <f t="shared" si="103"/>
        <v>1884.6254999999999</v>
      </c>
      <c r="BR66" s="456">
        <f t="shared" si="39"/>
        <v>0.19582374073091743</v>
      </c>
      <c r="BS66" s="456">
        <f t="shared" si="104"/>
        <v>0.21820492110257927</v>
      </c>
      <c r="BT66" s="456">
        <f t="shared" si="160"/>
        <v>3.1400344098690453E-3</v>
      </c>
      <c r="BU66" s="456">
        <f t="shared" si="41"/>
        <v>30.279432838010973</v>
      </c>
      <c r="BV66" s="456">
        <f t="shared" si="161"/>
        <v>31.860001649383531</v>
      </c>
      <c r="BW66" s="538">
        <f t="shared" si="162"/>
        <v>3.1375937539755645</v>
      </c>
      <c r="BX66" s="144">
        <f t="shared" si="105"/>
        <v>34997.59540335909</v>
      </c>
      <c r="BY66" s="150">
        <f t="shared" si="106"/>
        <v>41.870136445238401</v>
      </c>
      <c r="BZ66" s="5">
        <f t="shared" si="107"/>
        <v>76.311000000000007</v>
      </c>
      <c r="CA66" s="150">
        <f t="shared" si="108"/>
        <v>0.64571218635522454</v>
      </c>
      <c r="CB66" s="5">
        <f t="shared" si="109"/>
        <v>64.571218635522456</v>
      </c>
      <c r="CC66">
        <f t="shared" si="172"/>
        <v>61</v>
      </c>
      <c r="CE66" s="59">
        <f t="shared" si="163"/>
        <v>-50</v>
      </c>
      <c r="CF66">
        <f t="shared" si="164"/>
        <v>-50</v>
      </c>
      <c r="CG66" s="150">
        <f t="shared" si="165"/>
        <v>0.51387332045328471</v>
      </c>
      <c r="CH66" s="150">
        <f t="shared" si="166"/>
        <v>0.10846525264533696</v>
      </c>
      <c r="CI66" s="147">
        <v>61</v>
      </c>
      <c r="CJ66" s="188">
        <f t="shared" si="133"/>
        <v>2.44</v>
      </c>
      <c r="CK66" s="188">
        <f t="shared" si="111"/>
        <v>0.51849999999999996</v>
      </c>
      <c r="CL66" s="188">
        <f t="shared" si="48"/>
        <v>73.2</v>
      </c>
      <c r="CM66" s="188">
        <f t="shared" si="134"/>
        <v>3.1109999999999998</v>
      </c>
      <c r="CN66" s="465">
        <f t="shared" si="112"/>
        <v>34</v>
      </c>
      <c r="CO66" s="379">
        <f t="shared" si="167"/>
        <v>30.7</v>
      </c>
      <c r="CP66" s="379">
        <f t="shared" si="168"/>
        <v>64.7</v>
      </c>
      <c r="CQ66" s="379"/>
      <c r="CR66" s="188">
        <f t="shared" si="113"/>
        <v>0.47204968944099374</v>
      </c>
      <c r="CS66" s="149">
        <f t="shared" si="114"/>
        <v>233.26341749863801</v>
      </c>
      <c r="CT66" s="149">
        <f t="shared" si="51"/>
        <v>9.9136952436921142</v>
      </c>
      <c r="CU66" s="188">
        <f t="shared" si="52"/>
        <v>7.7754472499545999</v>
      </c>
      <c r="CV66" s="188">
        <f t="shared" si="53"/>
        <v>38.877236249772999</v>
      </c>
      <c r="CW66" s="379">
        <f t="shared" si="54"/>
        <v>30</v>
      </c>
      <c r="CX66" s="188">
        <f t="shared" si="55"/>
        <v>9.5093428792569679</v>
      </c>
      <c r="CY66" s="188">
        <f t="shared" si="56"/>
        <v>1.3145268097796396</v>
      </c>
      <c r="CZ66" s="188">
        <f t="shared" si="57"/>
        <v>1.455827737215236</v>
      </c>
      <c r="DA66" s="172">
        <f t="shared" si="58"/>
        <v>350</v>
      </c>
      <c r="DB66" s="379">
        <f t="shared" si="115"/>
        <v>350</v>
      </c>
      <c r="DD66" s="188">
        <f t="shared" si="59"/>
        <v>9.8072469146822137</v>
      </c>
      <c r="DE66" s="150">
        <f t="shared" si="60"/>
        <v>1.5014351954073746</v>
      </c>
      <c r="DF66" s="150">
        <f t="shared" si="61"/>
        <v>2.4718134248028734</v>
      </c>
      <c r="DG66" s="150"/>
      <c r="DH66" s="150">
        <f t="shared" si="62"/>
        <v>0.92784522751949461</v>
      </c>
      <c r="DI66" s="314">
        <f t="shared" si="63"/>
        <v>904.69937776595748</v>
      </c>
      <c r="DJ66" s="456">
        <f t="shared" si="64"/>
        <v>0.94395997276890675</v>
      </c>
      <c r="DL66" s="150">
        <f t="shared" si="65"/>
        <v>9.6322028273386611</v>
      </c>
      <c r="DM66" s="150">
        <f t="shared" si="66"/>
        <v>9.6322028273386611</v>
      </c>
      <c r="DN66" s="150">
        <f t="shared" si="67"/>
        <v>3.8456272346167415</v>
      </c>
      <c r="DP66" s="314">
        <f t="shared" si="68"/>
        <v>2440</v>
      </c>
      <c r="DQ66" s="144">
        <f t="shared" si="69"/>
        <v>350</v>
      </c>
      <c r="DS66">
        <f t="shared" si="116"/>
        <v>2440</v>
      </c>
      <c r="DT66">
        <f t="shared" si="70"/>
        <v>350</v>
      </c>
      <c r="DV66" s="5">
        <f t="shared" si="117"/>
        <v>2.8571428571428572</v>
      </c>
      <c r="DW66" s="5">
        <f t="shared" si="71"/>
        <v>1.3315103908379913</v>
      </c>
      <c r="DX66" s="5">
        <f t="shared" si="118"/>
        <v>1.5256324663048659</v>
      </c>
      <c r="DY66" s="150">
        <f t="shared" si="119"/>
        <v>0.46602863679329692</v>
      </c>
      <c r="EA66" s="5">
        <f t="shared" si="72"/>
        <v>10.829617845482328</v>
      </c>
      <c r="EB66" s="5">
        <f t="shared" si="73"/>
        <v>11.506468960824973</v>
      </c>
      <c r="EC66" s="5">
        <f t="shared" si="74"/>
        <v>1.9321158569812487</v>
      </c>
      <c r="ED66" s="5"/>
      <c r="EE66" s="150">
        <f t="shared" si="120"/>
        <v>3.7963941352986792</v>
      </c>
      <c r="EF66" s="150">
        <f t="shared" si="75"/>
        <v>3.8980545399629589</v>
      </c>
      <c r="EG66" s="150">
        <f t="shared" si="76"/>
        <v>0.78245948631025708</v>
      </c>
      <c r="EH66" s="150"/>
      <c r="EI66" s="456">
        <f t="shared" si="77"/>
        <v>0.17295130116636248</v>
      </c>
      <c r="EJ66" s="456">
        <f t="shared" si="78"/>
        <v>4.1443034274765962</v>
      </c>
      <c r="EK66" s="456">
        <f t="shared" si="79"/>
        <v>4.0250000000000001E-2</v>
      </c>
      <c r="EL66" s="456">
        <f t="shared" si="80"/>
        <v>0.75820555125</v>
      </c>
      <c r="EM66">
        <f t="shared" si="81"/>
        <v>1.5299999999999999E-2</v>
      </c>
      <c r="EN66" s="144">
        <f t="shared" si="121"/>
        <v>55.550000000000004</v>
      </c>
      <c r="EO66">
        <f t="shared" si="82"/>
        <v>5.3995938798687471</v>
      </c>
      <c r="EP66" s="144">
        <f t="shared" si="122"/>
        <v>5399.5938798687466</v>
      </c>
      <c r="EQ66" s="150">
        <f t="shared" si="83"/>
        <v>1.6362639999999999</v>
      </c>
      <c r="ER66" s="150">
        <f t="shared" si="169"/>
        <v>0.24836149999999999</v>
      </c>
      <c r="ES66" s="456"/>
      <c r="EU66" s="144">
        <f t="shared" si="123"/>
        <v>1884.6254999999999</v>
      </c>
      <c r="EV66" s="456">
        <f t="shared" si="85"/>
        <v>0.20177651802742289</v>
      </c>
      <c r="EW66" s="456">
        <f t="shared" si="124"/>
        <v>0.21272760875136171</v>
      </c>
      <c r="EX66" s="456">
        <f t="shared" si="86"/>
        <v>3.0612142385845571E-3</v>
      </c>
      <c r="EY66" s="456">
        <f t="shared" si="87"/>
        <v>32.995458133999868</v>
      </c>
      <c r="EZ66" s="456">
        <f t="shared" si="88"/>
        <v>34.67144671453503</v>
      </c>
      <c r="FA66" s="538">
        <f t="shared" si="89"/>
        <v>3.2472765957446819</v>
      </c>
      <c r="FB66" s="144">
        <f t="shared" si="125"/>
        <v>37918.723310279711</v>
      </c>
      <c r="FC66" s="150">
        <f t="shared" si="126"/>
        <v>45.202942690148454</v>
      </c>
      <c r="FD66" s="5">
        <f t="shared" si="127"/>
        <v>76.311000000000007</v>
      </c>
      <c r="FE66" s="150">
        <f t="shared" si="128"/>
        <v>0.62800200792255911</v>
      </c>
      <c r="FF66" s="5">
        <f t="shared" si="129"/>
        <v>62.800200792255914</v>
      </c>
      <c r="FG66">
        <f t="shared" si="130"/>
        <v>61</v>
      </c>
      <c r="FI66" s="59">
        <f t="shared" si="90"/>
        <v>-50</v>
      </c>
      <c r="FJ66">
        <f t="shared" si="91"/>
        <v>-50</v>
      </c>
      <c r="FL66">
        <f t="shared" si="92"/>
        <v>0.51387332045328471</v>
      </c>
    </row>
    <row r="67" spans="5:168">
      <c r="E67" s="147">
        <v>62</v>
      </c>
      <c r="F67" s="188">
        <f t="shared" si="173"/>
        <v>2.48</v>
      </c>
      <c r="G67" s="188">
        <f t="shared" si="170"/>
        <v>0.52700000000000002</v>
      </c>
      <c r="H67" s="188">
        <f t="shared" si="135"/>
        <v>74.400000000000006</v>
      </c>
      <c r="I67" s="188">
        <f t="shared" si="174"/>
        <v>3.1619999999999999</v>
      </c>
      <c r="J67" s="465">
        <f t="shared" si="136"/>
        <v>33.849007631874933</v>
      </c>
      <c r="K67" s="379">
        <f t="shared" si="137"/>
        <v>30.813810957984362</v>
      </c>
      <c r="L67" s="149">
        <f t="shared" si="138"/>
        <v>64.662818589859299</v>
      </c>
      <c r="M67" s="379"/>
      <c r="N67" s="188">
        <f t="shared" si="139"/>
        <v>0.47653058790135566</v>
      </c>
      <c r="O67" s="149">
        <f t="shared" si="171"/>
        <v>234.43190911554157</v>
      </c>
      <c r="P67" s="149">
        <f t="shared" si="140"/>
        <v>9.963356137410516</v>
      </c>
      <c r="Q67" s="188">
        <f t="shared" si="6"/>
        <v>7.814396970518052</v>
      </c>
      <c r="R67" s="188">
        <f t="shared" si="141"/>
        <v>39.071984852590262</v>
      </c>
      <c r="S67" s="379">
        <f t="shared" si="142"/>
        <v>30</v>
      </c>
      <c r="T67" s="188">
        <f t="shared" si="143"/>
        <v>9.617058799936169</v>
      </c>
      <c r="U67" s="188">
        <f t="shared" si="10"/>
        <v>1.3353471644213253</v>
      </c>
      <c r="V67" s="188">
        <f t="shared" si="11"/>
        <v>1.4668804329763661</v>
      </c>
      <c r="W67" s="172">
        <f t="shared" si="12"/>
        <v>350</v>
      </c>
      <c r="X67" s="379">
        <f t="shared" si="95"/>
        <v>333.08600615982357</v>
      </c>
      <c r="Z67" s="188">
        <f t="shared" si="13"/>
        <v>9.8055243201792326</v>
      </c>
      <c r="AA67" s="150">
        <f t="shared" si="14"/>
        <v>1.4956268917104125</v>
      </c>
      <c r="AB67" s="150">
        <f t="shared" si="144"/>
        <v>2.461818729593853</v>
      </c>
      <c r="AC67" s="150"/>
      <c r="AD67" s="150">
        <f t="shared" si="16"/>
        <v>0.92441822673892904</v>
      </c>
      <c r="AE67" s="314">
        <f t="shared" si="145"/>
        <v>922.93939617544186</v>
      </c>
      <c r="AF67" s="456">
        <f t="shared" si="146"/>
        <v>0.94047345209977529</v>
      </c>
      <c r="AH67" s="150">
        <f t="shared" si="147"/>
        <v>9.7108343591767543</v>
      </c>
      <c r="AI67" s="150">
        <f t="shared" si="148"/>
        <v>9.617058799936169</v>
      </c>
      <c r="AJ67" s="150">
        <f t="shared" si="149"/>
        <v>3.8344094365408212</v>
      </c>
      <c r="AL67" s="314">
        <f t="shared" si="150"/>
        <v>2480</v>
      </c>
      <c r="AM67" s="144">
        <f t="shared" si="151"/>
        <v>333.08600615982357</v>
      </c>
      <c r="AO67">
        <f t="shared" si="96"/>
        <v>2480</v>
      </c>
      <c r="AP67">
        <f t="shared" si="24"/>
        <v>333.08600615982357</v>
      </c>
      <c r="AR67" s="5">
        <f t="shared" si="97"/>
        <v>3.0022275973976922</v>
      </c>
      <c r="AS67" s="5">
        <f t="shared" si="25"/>
        <v>1.3353471644213253</v>
      </c>
      <c r="AT67" s="5">
        <f t="shared" si="98"/>
        <v>1.6668804329763669</v>
      </c>
      <c r="AU67" s="150">
        <f t="shared" si="99"/>
        <v>0.44478545383394447</v>
      </c>
      <c r="AW67" s="5">
        <f t="shared" si="152"/>
        <v>11.038869892549622</v>
      </c>
      <c r="AX67" s="5">
        <f t="shared" si="153"/>
        <v>11.728799260833974</v>
      </c>
      <c r="AY67" s="5">
        <f t="shared" si="28"/>
        <v>2.1551749074488011</v>
      </c>
      <c r="AZ67" s="5"/>
      <c r="BA67" s="150">
        <f t="shared" si="100"/>
        <v>3.7030274540190606</v>
      </c>
      <c r="BB67" s="150">
        <f t="shared" si="154"/>
        <v>3.9685878483677106</v>
      </c>
      <c r="BC67" s="150">
        <f t="shared" si="155"/>
        <v>0.79661769156273399</v>
      </c>
      <c r="BD67" s="150"/>
      <c r="BE67" s="456">
        <f t="shared" si="31"/>
        <v>0.16454894790262664</v>
      </c>
      <c r="BF67" s="456">
        <f t="shared" si="156"/>
        <v>3.7802120185169947</v>
      </c>
      <c r="BG67" s="456">
        <f t="shared" si="33"/>
        <v>3.830489070837971E-2</v>
      </c>
      <c r="BH67" s="456">
        <f t="shared" si="34"/>
        <v>0.72073564900870313</v>
      </c>
      <c r="BI67">
        <f t="shared" si="35"/>
        <v>1.523205343434372E-2</v>
      </c>
      <c r="BJ67" s="144">
        <f t="shared" si="101"/>
        <v>53.536944142723435</v>
      </c>
      <c r="BK67">
        <f t="shared" si="157"/>
        <v>4.9015603013030136</v>
      </c>
      <c r="BL67" s="144">
        <f t="shared" si="102"/>
        <v>4901.5603013030131</v>
      </c>
      <c r="BM67" s="150">
        <f t="shared" si="158"/>
        <v>1.6630879999999999</v>
      </c>
      <c r="BN67" s="150">
        <f t="shared" si="159"/>
        <v>0.25243300000000002</v>
      </c>
      <c r="BO67" s="456"/>
      <c r="BQ67" s="144">
        <f t="shared" si="103"/>
        <v>1915.521</v>
      </c>
      <c r="BR67" s="456">
        <f t="shared" si="39"/>
        <v>0.19197377255306441</v>
      </c>
      <c r="BS67" s="456">
        <f t="shared" si="104"/>
        <v>0.22049565314296599</v>
      </c>
      <c r="BT67" s="456">
        <f t="shared" si="160"/>
        <v>3.1729987325536959E-3</v>
      </c>
      <c r="BU67" s="456">
        <f t="shared" si="41"/>
        <v>29.037996648644889</v>
      </c>
      <c r="BV67" s="456">
        <f t="shared" si="161"/>
        <v>30.569884528531592</v>
      </c>
      <c r="BW67" s="538">
        <f t="shared" si="162"/>
        <v>3.0806398569381432</v>
      </c>
      <c r="BX67" s="144">
        <f t="shared" si="105"/>
        <v>33650.52438546974</v>
      </c>
      <c r="BY67" s="150">
        <f t="shared" si="106"/>
        <v>40.46760568677275</v>
      </c>
      <c r="BZ67" s="5">
        <f t="shared" si="107"/>
        <v>77.562000000000012</v>
      </c>
      <c r="CA67" s="150">
        <f t="shared" si="108"/>
        <v>0.65714021112494636</v>
      </c>
      <c r="CB67" s="5">
        <f t="shared" si="109"/>
        <v>65.714021112494635</v>
      </c>
      <c r="CC67">
        <f t="shared" si="172"/>
        <v>62</v>
      </c>
      <c r="CE67" s="59">
        <f t="shared" si="163"/>
        <v>-50</v>
      </c>
      <c r="CF67">
        <f t="shared" si="164"/>
        <v>-50</v>
      </c>
      <c r="CG67" s="150">
        <f t="shared" si="165"/>
        <v>0.51806827430571867</v>
      </c>
      <c r="CH67" s="150">
        <f t="shared" si="166"/>
        <v>0.10935069797073041</v>
      </c>
      <c r="CI67" s="147">
        <v>62</v>
      </c>
      <c r="CJ67" s="188">
        <f t="shared" si="133"/>
        <v>2.48</v>
      </c>
      <c r="CK67" s="188">
        <f t="shared" si="111"/>
        <v>0.52700000000000002</v>
      </c>
      <c r="CL67" s="188">
        <f t="shared" si="48"/>
        <v>74.400000000000006</v>
      </c>
      <c r="CM67" s="188">
        <f t="shared" si="134"/>
        <v>3.1619999999999999</v>
      </c>
      <c r="CN67" s="465">
        <f t="shared" si="112"/>
        <v>34</v>
      </c>
      <c r="CO67" s="379">
        <f t="shared" si="167"/>
        <v>30.7</v>
      </c>
      <c r="CP67" s="379">
        <f t="shared" si="168"/>
        <v>64.7</v>
      </c>
      <c r="CQ67" s="379"/>
      <c r="CR67" s="188">
        <f t="shared" si="113"/>
        <v>0.47204968944099374</v>
      </c>
      <c r="CS67" s="149">
        <f t="shared" si="114"/>
        <v>233.26341749863801</v>
      </c>
      <c r="CT67" s="149">
        <f t="shared" si="51"/>
        <v>9.9136952436921142</v>
      </c>
      <c r="CU67" s="188">
        <f t="shared" si="52"/>
        <v>7.7754472499545999</v>
      </c>
      <c r="CV67" s="188">
        <f t="shared" si="53"/>
        <v>38.877236249772999</v>
      </c>
      <c r="CW67" s="379">
        <f t="shared" si="54"/>
        <v>30</v>
      </c>
      <c r="CX67" s="188">
        <f t="shared" si="55"/>
        <v>9.6652337461300331</v>
      </c>
      <c r="CY67" s="188">
        <f t="shared" si="56"/>
        <v>1.3360764296120928</v>
      </c>
      <c r="CZ67" s="188">
        <f t="shared" si="57"/>
        <v>1.4796937656941747</v>
      </c>
      <c r="DA67" s="172">
        <f t="shared" si="58"/>
        <v>350</v>
      </c>
      <c r="DB67" s="379">
        <f t="shared" si="115"/>
        <v>350</v>
      </c>
      <c r="DD67" s="188">
        <f t="shared" si="59"/>
        <v>9.8072469146822137</v>
      </c>
      <c r="DE67" s="150">
        <f t="shared" si="60"/>
        <v>1.5014351954073746</v>
      </c>
      <c r="DF67" s="150">
        <f t="shared" si="61"/>
        <v>2.4718134248028734</v>
      </c>
      <c r="DG67" s="150"/>
      <c r="DH67" s="150">
        <f t="shared" si="62"/>
        <v>0.92784522751949461</v>
      </c>
      <c r="DI67" s="314">
        <f t="shared" si="63"/>
        <v>919.53051510638295</v>
      </c>
      <c r="DJ67" s="456">
        <f t="shared" si="64"/>
        <v>0.94395997276890675</v>
      </c>
      <c r="DL67" s="150">
        <f t="shared" si="65"/>
        <v>9.7108343591767543</v>
      </c>
      <c r="DM67" s="150">
        <f t="shared" si="66"/>
        <v>9.6652337461300331</v>
      </c>
      <c r="DN67" s="150">
        <f t="shared" si="67"/>
        <v>3.8700945818696093</v>
      </c>
      <c r="DP67" s="314">
        <f t="shared" si="68"/>
        <v>2480</v>
      </c>
      <c r="DQ67" s="144">
        <f t="shared" si="69"/>
        <v>350</v>
      </c>
      <c r="DS67">
        <f t="shared" si="116"/>
        <v>2480</v>
      </c>
      <c r="DT67">
        <f t="shared" si="70"/>
        <v>350</v>
      </c>
      <c r="DV67" s="5">
        <f t="shared" si="117"/>
        <v>2.8571428571428572</v>
      </c>
      <c r="DW67" s="5">
        <f t="shared" si="71"/>
        <v>1.3360764296120928</v>
      </c>
      <c r="DX67" s="5">
        <f t="shared" si="118"/>
        <v>1.5210664275307644</v>
      </c>
      <c r="DY67" s="150">
        <f t="shared" si="119"/>
        <v>0.46762675036423246</v>
      </c>
      <c r="EA67" s="5">
        <f t="shared" si="72"/>
        <v>11.044898484793302</v>
      </c>
      <c r="EB67" s="5">
        <f t="shared" si="73"/>
        <v>11.735204640092885</v>
      </c>
      <c r="EC67" s="5">
        <f t="shared" si="74"/>
        <v>1.9579124949530948</v>
      </c>
      <c r="ED67" s="5"/>
      <c r="EE67" s="150">
        <f t="shared" si="120"/>
        <v>3.8159388591570473</v>
      </c>
      <c r="EF67" s="150">
        <f t="shared" si="75"/>
        <v>3.9055642178295522</v>
      </c>
      <c r="EG67" s="150">
        <f t="shared" si="76"/>
        <v>0.78396690972509342</v>
      </c>
      <c r="EH67" s="150"/>
      <c r="EI67" s="456">
        <f t="shared" si="77"/>
        <v>0.17473667252189745</v>
      </c>
      <c r="EJ67" s="456">
        <f t="shared" si="78"/>
        <v>4.1585151454411777</v>
      </c>
      <c r="EK67" s="456">
        <f t="shared" si="79"/>
        <v>4.0250000000000001E-2</v>
      </c>
      <c r="EL67" s="456">
        <f t="shared" si="80"/>
        <v>0.75820555125</v>
      </c>
      <c r="EM67">
        <f t="shared" si="81"/>
        <v>1.5299999999999999E-2</v>
      </c>
      <c r="EN67" s="144">
        <f t="shared" si="121"/>
        <v>55.550000000000004</v>
      </c>
      <c r="EO67">
        <f t="shared" si="82"/>
        <v>5.4191765732072881</v>
      </c>
      <c r="EP67" s="144">
        <f t="shared" si="122"/>
        <v>5419.1765732072881</v>
      </c>
      <c r="EQ67" s="150">
        <f t="shared" si="83"/>
        <v>1.6630879999999999</v>
      </c>
      <c r="ER67" s="150">
        <f t="shared" si="169"/>
        <v>0.25243300000000002</v>
      </c>
      <c r="ES67" s="456"/>
      <c r="EU67" s="144">
        <f t="shared" si="123"/>
        <v>1915.521</v>
      </c>
      <c r="EV67" s="456">
        <f t="shared" si="85"/>
        <v>0.20385945127554705</v>
      </c>
      <c r="EW67" s="456">
        <f t="shared" si="124"/>
        <v>0.21354804603426786</v>
      </c>
      <c r="EX67" s="456">
        <f t="shared" si="86"/>
        <v>3.0730205777195641E-3</v>
      </c>
      <c r="EY67" s="456">
        <f t="shared" si="87"/>
        <v>33.279057579216023</v>
      </c>
      <c r="EZ67" s="456">
        <f t="shared" si="88"/>
        <v>34.977026064083915</v>
      </c>
      <c r="FA67" s="538">
        <f t="shared" si="89"/>
        <v>3.2695860178565783</v>
      </c>
      <c r="FB67" s="144">
        <f t="shared" si="125"/>
        <v>38246.61208194049</v>
      </c>
      <c r="FC67" s="150">
        <f t="shared" si="126"/>
        <v>45.581309655147777</v>
      </c>
      <c r="FD67" s="5">
        <f t="shared" si="127"/>
        <v>77.562000000000012</v>
      </c>
      <c r="FE67" s="150">
        <f t="shared" si="128"/>
        <v>0.62985151379482729</v>
      </c>
      <c r="FF67" s="5">
        <f t="shared" si="129"/>
        <v>62.98515137948273</v>
      </c>
      <c r="FG67">
        <f t="shared" si="130"/>
        <v>62</v>
      </c>
      <c r="FI67" s="59">
        <f t="shared" si="90"/>
        <v>-50</v>
      </c>
      <c r="FJ67">
        <f t="shared" si="91"/>
        <v>-50</v>
      </c>
      <c r="FL67">
        <f t="shared" si="92"/>
        <v>0.51806827430571856</v>
      </c>
    </row>
    <row r="68" spans="5:168">
      <c r="E68" s="147">
        <v>63</v>
      </c>
      <c r="F68" s="188">
        <f t="shared" si="173"/>
        <v>2.52</v>
      </c>
      <c r="G68" s="188">
        <f t="shared" si="170"/>
        <v>0.53549999999999998</v>
      </c>
      <c r="H68" s="188">
        <f t="shared" si="135"/>
        <v>75.599999999999994</v>
      </c>
      <c r="I68" s="188">
        <f t="shared" si="174"/>
        <v>3.2130000000000001</v>
      </c>
      <c r="J68" s="465">
        <f t="shared" si="136"/>
        <v>33.847687171747339</v>
      </c>
      <c r="K68" s="379">
        <f t="shared" si="137"/>
        <v>30.814806258832796</v>
      </c>
      <c r="L68" s="149">
        <f t="shared" si="138"/>
        <v>64.662493430580128</v>
      </c>
      <c r="M68" s="379"/>
      <c r="N68" s="188">
        <f t="shared" si="139"/>
        <v>0.47654837640795161</v>
      </c>
      <c r="O68" s="149">
        <f t="shared" si="171"/>
        <v>234.43151466987058</v>
      </c>
      <c r="P68" s="149">
        <f t="shared" si="140"/>
        <v>9.9633393734694984</v>
      </c>
      <c r="Q68" s="188">
        <f t="shared" si="6"/>
        <v>7.8143838223290194</v>
      </c>
      <c r="R68" s="188">
        <f t="shared" si="141"/>
        <v>39.071919111645094</v>
      </c>
      <c r="S68" s="379">
        <f t="shared" si="142"/>
        <v>30</v>
      </c>
      <c r="T68" s="188">
        <f t="shared" si="143"/>
        <v>9.7721890938391009</v>
      </c>
      <c r="U68" s="188">
        <f t="shared" si="10"/>
        <v>1.3569402396090726</v>
      </c>
      <c r="V68" s="188">
        <f t="shared" si="11"/>
        <v>1.4904941590498735</v>
      </c>
      <c r="W68" s="172">
        <f t="shared" si="12"/>
        <v>350</v>
      </c>
      <c r="X68" s="379">
        <f t="shared" si="95"/>
        <v>328.14488162240997</v>
      </c>
      <c r="Z68" s="188">
        <f t="shared" si="13"/>
        <v>9.8055078217996616</v>
      </c>
      <c r="AA68" s="150">
        <f t="shared" si="14"/>
        <v>1.4955760674058527</v>
      </c>
      <c r="AB68" s="150">
        <f t="shared" si="144"/>
        <v>2.4617309301993111</v>
      </c>
      <c r="AC68" s="150"/>
      <c r="AD68" s="150">
        <f t="shared" si="16"/>
        <v>0.92438836855200246</v>
      </c>
      <c r="AE68" s="314">
        <f t="shared" si="145"/>
        <v>937.85580768180034</v>
      </c>
      <c r="AF68" s="456">
        <f t="shared" si="146"/>
        <v>0.94044307533813198</v>
      </c>
      <c r="AH68" s="150">
        <f t="shared" si="147"/>
        <v>9.7888342817592253</v>
      </c>
      <c r="AI68" s="150">
        <f t="shared" si="148"/>
        <v>9.7721890938391009</v>
      </c>
      <c r="AJ68" s="150">
        <f t="shared" si="149"/>
        <v>3.9493207653578075</v>
      </c>
      <c r="AL68" s="314">
        <f t="shared" si="150"/>
        <v>2520</v>
      </c>
      <c r="AM68" s="144">
        <f t="shared" si="151"/>
        <v>328.14488162240997</v>
      </c>
      <c r="AO68">
        <f t="shared" si="96"/>
        <v>2520</v>
      </c>
      <c r="AP68">
        <f t="shared" si="24"/>
        <v>328.14488162240997</v>
      </c>
      <c r="AR68" s="5">
        <f t="shared" si="97"/>
        <v>3.0474343986589458</v>
      </c>
      <c r="AS68" s="5">
        <f t="shared" si="25"/>
        <v>1.3569402396090726</v>
      </c>
      <c r="AT68" s="5">
        <f t="shared" si="98"/>
        <v>1.6904941590498732</v>
      </c>
      <c r="AU68" s="150">
        <f t="shared" si="99"/>
        <v>0.44527299429520378</v>
      </c>
      <c r="AW68" s="5">
        <f t="shared" si="152"/>
        <v>11.398298012716209</v>
      </c>
      <c r="AX68" s="5">
        <f t="shared" si="153"/>
        <v>12.110691638510973</v>
      </c>
      <c r="AY68" s="5">
        <f t="shared" si="28"/>
        <v>2.2210459840230135</v>
      </c>
      <c r="AZ68" s="5"/>
      <c r="BA68" s="150">
        <f t="shared" si="100"/>
        <v>3.764821697235635</v>
      </c>
      <c r="BB68" s="150">
        <f t="shared" si="154"/>
        <v>4.0308331873466763</v>
      </c>
      <c r="BC68" s="150">
        <f t="shared" si="155"/>
        <v>0.80911224633701173</v>
      </c>
      <c r="BD68" s="150"/>
      <c r="BE68" s="456">
        <f t="shared" si="31"/>
        <v>0.17008658894371448</v>
      </c>
      <c r="BF68" s="456">
        <f t="shared" si="156"/>
        <v>3.7841889455717661</v>
      </c>
      <c r="BG68" s="456">
        <f t="shared" si="33"/>
        <v>3.773666138657715E-2</v>
      </c>
      <c r="BH68" s="456">
        <f t="shared" si="34"/>
        <v>0.71003684124378652</v>
      </c>
      <c r="BI68">
        <f t="shared" si="35"/>
        <v>1.5231459227286302E-2</v>
      </c>
      <c r="BJ68" s="144">
        <f t="shared" si="101"/>
        <v>52.968120613863455</v>
      </c>
      <c r="BK68">
        <f t="shared" si="157"/>
        <v>4.9086051201361629</v>
      </c>
      <c r="BL68" s="144">
        <f t="shared" si="102"/>
        <v>4908.6051201361634</v>
      </c>
      <c r="BM68" s="150">
        <f t="shared" si="158"/>
        <v>1.6899119999999996</v>
      </c>
      <c r="BN68" s="150">
        <f t="shared" si="159"/>
        <v>0.25650449999999997</v>
      </c>
      <c r="BO68" s="456"/>
      <c r="BQ68" s="144">
        <f t="shared" si="103"/>
        <v>1946.4164999999996</v>
      </c>
      <c r="BR68" s="456">
        <f t="shared" si="39"/>
        <v>0.19843435376766691</v>
      </c>
      <c r="BS68" s="456">
        <f t="shared" si="104"/>
        <v>0.22746662657901515</v>
      </c>
      <c r="BT68" s="456">
        <f t="shared" si="160"/>
        <v>3.2733131358626258E-3</v>
      </c>
      <c r="BU68" s="456">
        <f t="shared" si="41"/>
        <v>29.11479562679904</v>
      </c>
      <c r="BV68" s="456">
        <f t="shared" si="161"/>
        <v>30.701060216938981</v>
      </c>
      <c r="BW68" s="538">
        <f t="shared" si="162"/>
        <v>3.1336418505931318</v>
      </c>
      <c r="BX68" s="144">
        <f t="shared" si="105"/>
        <v>33834.702067532111</v>
      </c>
      <c r="BY68" s="150">
        <f t="shared" si="106"/>
        <v>40.68972368766827</v>
      </c>
      <c r="BZ68" s="5">
        <f t="shared" si="107"/>
        <v>78.812999999999988</v>
      </c>
      <c r="CA68" s="150">
        <f t="shared" si="108"/>
        <v>0.65950798080540207</v>
      </c>
      <c r="CB68" s="5">
        <f t="shared" si="109"/>
        <v>65.95079808054021</v>
      </c>
      <c r="CC68">
        <f t="shared" si="172"/>
        <v>63</v>
      </c>
      <c r="CE68" s="59">
        <f t="shared" si="163"/>
        <v>-50</v>
      </c>
      <c r="CF68">
        <f t="shared" si="164"/>
        <v>-50</v>
      </c>
      <c r="CG68" s="150">
        <f t="shared" si="165"/>
        <v>0.52186043457008313</v>
      </c>
      <c r="CH68" s="150">
        <f t="shared" si="166"/>
        <v>0.11015112407727182</v>
      </c>
      <c r="CI68" s="147">
        <v>63</v>
      </c>
      <c r="CJ68" s="188">
        <f t="shared" si="133"/>
        <v>2.52</v>
      </c>
      <c r="CK68" s="188">
        <f t="shared" si="111"/>
        <v>0.53549999999999998</v>
      </c>
      <c r="CL68" s="188">
        <f t="shared" si="48"/>
        <v>75.599999999999994</v>
      </c>
      <c r="CM68" s="188">
        <f t="shared" si="134"/>
        <v>3.2130000000000001</v>
      </c>
      <c r="CN68" s="465">
        <f t="shared" si="112"/>
        <v>34</v>
      </c>
      <c r="CO68" s="379">
        <f t="shared" si="167"/>
        <v>30.7</v>
      </c>
      <c r="CP68" s="379">
        <f t="shared" si="168"/>
        <v>64.7</v>
      </c>
      <c r="CQ68" s="379"/>
      <c r="CR68" s="188">
        <f t="shared" si="113"/>
        <v>0.47204968944099374</v>
      </c>
      <c r="CS68" s="149">
        <f t="shared" si="114"/>
        <v>233.26341749863801</v>
      </c>
      <c r="CT68" s="149">
        <f t="shared" si="51"/>
        <v>9.9136952436921142</v>
      </c>
      <c r="CU68" s="188">
        <f t="shared" si="52"/>
        <v>7.7754472499545999</v>
      </c>
      <c r="CV68" s="188">
        <f t="shared" si="53"/>
        <v>38.877236249772999</v>
      </c>
      <c r="CW68" s="379">
        <f t="shared" si="54"/>
        <v>30</v>
      </c>
      <c r="CX68" s="188">
        <f t="shared" si="55"/>
        <v>9.8211246130030947</v>
      </c>
      <c r="CY68" s="188">
        <f t="shared" si="56"/>
        <v>1.3576260494445453</v>
      </c>
      <c r="CZ68" s="188">
        <f t="shared" si="57"/>
        <v>1.5035597941731123</v>
      </c>
      <c r="DA68" s="172">
        <f t="shared" si="58"/>
        <v>350</v>
      </c>
      <c r="DB68" s="379">
        <f t="shared" si="115"/>
        <v>349.50543399012804</v>
      </c>
      <c r="DD68" s="188">
        <f t="shared" si="59"/>
        <v>9.8072469146822137</v>
      </c>
      <c r="DE68" s="150">
        <f t="shared" si="60"/>
        <v>1.5014351954073746</v>
      </c>
      <c r="DF68" s="150">
        <f t="shared" si="61"/>
        <v>2.4718134248028734</v>
      </c>
      <c r="DG68" s="150"/>
      <c r="DH68" s="150">
        <f t="shared" si="62"/>
        <v>0.92784522751949461</v>
      </c>
      <c r="DI68" s="314">
        <f t="shared" si="63"/>
        <v>934.36165244680865</v>
      </c>
      <c r="DJ68" s="456">
        <f t="shared" si="64"/>
        <v>0.94395997276890675</v>
      </c>
      <c r="DL68" s="150">
        <f t="shared" si="65"/>
        <v>9.7888342817592253</v>
      </c>
      <c r="DM68" s="150">
        <f t="shared" si="66"/>
        <v>9.8211246130030947</v>
      </c>
      <c r="DN68" s="150">
        <f t="shared" si="67"/>
        <v>3.9855692980718773</v>
      </c>
      <c r="DP68" s="314">
        <f t="shared" si="68"/>
        <v>2520</v>
      </c>
      <c r="DQ68" s="144">
        <f t="shared" si="69"/>
        <v>349.50543399012804</v>
      </c>
      <c r="DS68">
        <f t="shared" si="116"/>
        <v>2520</v>
      </c>
      <c r="DT68">
        <f t="shared" si="70"/>
        <v>349.50543399012804</v>
      </c>
      <c r="DV68" s="5">
        <f t="shared" si="117"/>
        <v>2.8611858436176574</v>
      </c>
      <c r="DW68" s="5">
        <f t="shared" si="71"/>
        <v>1.3576260494445453</v>
      </c>
      <c r="DX68" s="5">
        <f t="shared" si="118"/>
        <v>1.503559794173112</v>
      </c>
      <c r="DY68" s="150">
        <f t="shared" si="119"/>
        <v>0.47449768160741884</v>
      </c>
      <c r="EA68" s="5">
        <f t="shared" si="72"/>
        <v>11.404058815334182</v>
      </c>
      <c r="EB68" s="5">
        <f t="shared" si="73"/>
        <v>12.116812491292567</v>
      </c>
      <c r="EC68" s="5">
        <f t="shared" si="74"/>
        <v>1.9665937792298831</v>
      </c>
      <c r="ED68" s="5"/>
      <c r="EE68" s="150">
        <f t="shared" si="120"/>
        <v>3.9058687148000426</v>
      </c>
      <c r="EF68" s="150">
        <f t="shared" si="75"/>
        <v>3.9428644662487731</v>
      </c>
      <c r="EG68" s="150">
        <f t="shared" si="76"/>
        <v>0.79145421728278254</v>
      </c>
      <c r="EH68" s="150"/>
      <c r="EI68" s="456">
        <f t="shared" si="77"/>
        <v>0.18306972500704483</v>
      </c>
      <c r="EJ68" s="456">
        <f t="shared" si="78"/>
        <v>4.219617021276596</v>
      </c>
      <c r="EK68" s="456">
        <f t="shared" si="79"/>
        <v>4.019312490886473E-2</v>
      </c>
      <c r="EL68" s="456">
        <f t="shared" si="80"/>
        <v>0.75713417212387302</v>
      </c>
      <c r="EM68">
        <f t="shared" si="81"/>
        <v>1.5299999999999999E-2</v>
      </c>
      <c r="EN68" s="144">
        <f t="shared" si="121"/>
        <v>55.493124908864729</v>
      </c>
      <c r="EO68">
        <f t="shared" si="82"/>
        <v>5.5041593045003978</v>
      </c>
      <c r="EP68" s="144">
        <f t="shared" si="122"/>
        <v>5504.1593045003974</v>
      </c>
      <c r="EQ68" s="150">
        <f t="shared" si="83"/>
        <v>1.6899119999999996</v>
      </c>
      <c r="ER68" s="150">
        <f t="shared" si="169"/>
        <v>0.25650449999999997</v>
      </c>
      <c r="ES68" s="456"/>
      <c r="EU68" s="144">
        <f t="shared" si="123"/>
        <v>1946.4164999999996</v>
      </c>
      <c r="EV68" s="456">
        <f t="shared" si="85"/>
        <v>0.21358134584155231</v>
      </c>
      <c r="EW68" s="456">
        <f t="shared" si="124"/>
        <v>0.21764652278890112</v>
      </c>
      <c r="EX68" s="456">
        <f t="shared" si="86"/>
        <v>3.1319988902735098E-3</v>
      </c>
      <c r="EY68" s="456">
        <f t="shared" si="87"/>
        <v>34.515000905941108</v>
      </c>
      <c r="EZ68" s="456">
        <f t="shared" si="88"/>
        <v>36.315527768090249</v>
      </c>
      <c r="FA68" s="538">
        <f t="shared" si="89"/>
        <v>3.3711367920854456</v>
      </c>
      <c r="FB68" s="144">
        <f t="shared" si="125"/>
        <v>39686.66456017569</v>
      </c>
      <c r="FC68" s="150">
        <f t="shared" si="126"/>
        <v>47.137240364676089</v>
      </c>
      <c r="FD68" s="5">
        <f t="shared" si="127"/>
        <v>78.812999999999988</v>
      </c>
      <c r="FE68" s="150">
        <f t="shared" si="128"/>
        <v>0.62574711863832089</v>
      </c>
      <c r="FF68" s="5">
        <f t="shared" si="129"/>
        <v>62.574711863832086</v>
      </c>
      <c r="FG68">
        <f t="shared" si="130"/>
        <v>63</v>
      </c>
      <c r="FI68" s="59">
        <f t="shared" si="90"/>
        <v>-50</v>
      </c>
      <c r="FJ68">
        <f t="shared" si="91"/>
        <v>-50</v>
      </c>
      <c r="FL68">
        <f t="shared" si="92"/>
        <v>0.52186043457008324</v>
      </c>
    </row>
    <row r="69" spans="5:168">
      <c r="E69" s="147">
        <v>64</v>
      </c>
      <c r="F69" s="188">
        <f t="shared" si="173"/>
        <v>2.56</v>
      </c>
      <c r="G69" s="188">
        <f t="shared" si="170"/>
        <v>0.54400000000000004</v>
      </c>
      <c r="H69" s="188">
        <f t="shared" ref="H69:H105" si="175">F69*Vout</f>
        <v>76.8</v>
      </c>
      <c r="I69" s="188">
        <f t="shared" si="174"/>
        <v>3.2640000000000002</v>
      </c>
      <c r="J69" s="465">
        <f t="shared" ref="J69:J105" si="176">Vin-(F69/CG69/Nps+G69/CH69/(Nps/Nsec1sec2))*(Rdcr_pri+RON/1000)</f>
        <v>33.845269507806819</v>
      </c>
      <c r="K69" s="379">
        <f t="shared" ref="K69:K105" si="177">MAX((S69+Vfwd2+Rdcr_sec*F69/CG69)*Nps,(Vout2+Vfwd22+Rdcr_sec2*G69/CH69)*Nps/Nsec1sec2)</f>
        <v>30.816628580401566</v>
      </c>
      <c r="L69" s="149">
        <f t="shared" ref="L69:L105" si="178">MAX((Vout+Vfwd2+F69/CG69*Rdcr_sec)*Nps+J69, (Vout2+Vfwd22+G69/CH69*Rdcr_sec2)*Nps/Nsec1sec2+J69)</f>
        <v>64.661898088208389</v>
      </c>
      <c r="M69" s="379"/>
      <c r="N69" s="188">
        <f t="shared" ref="N69:N105" si="179">MAX((Vout+Vfwd2+F69/CG69*Rdcr_sec)*Nps/((Vout+Vfwd2+F69/CG69*Rdcr_sec)*Nps+J69), (Vout2+Vfwd22+G69/CH69*Rdcr_sec2)*Nps/Nsec1sec2/((Vout2+Vfwd22+G69/CH69*Rdcr_sec2)*Nps/Nsec1sec2+J69))</f>
        <v>0.47658094629952136</v>
      </c>
      <c r="O69" s="149">
        <f t="shared" si="171"/>
        <v>234.43079092788184</v>
      </c>
      <c r="P69" s="149">
        <f t="shared" ref="P69:P105" si="180">N69*J69*Isw_max*0.5*Efficiency*(Pout2/Pout_total)</f>
        <v>9.9633086144349772</v>
      </c>
      <c r="Q69" s="188">
        <f t="shared" ref="Q69:Q105" si="181">O69/Vout</f>
        <v>7.8143596975960614</v>
      </c>
      <c r="R69" s="188">
        <f t="shared" ref="R69:R105" si="182">O69/Vout2</f>
        <v>39.07179848798031</v>
      </c>
      <c r="S69" s="379">
        <f t="shared" ref="S69:S105" si="183">MIN(Vout,O69/F69)</f>
        <v>30</v>
      </c>
      <c r="T69" s="188">
        <f t="shared" ref="T69:T105" si="184">MIN(2*(Vout*F69+Vout2*G69)/(Efficiency*J69*N69), Isw_max)</f>
        <v>9.9273338543172365</v>
      </c>
      <c r="U69" s="188">
        <f t="shared" ref="U69:U105" si="185">L*T69/J69*1000000</f>
        <v>1.3785816982349239</v>
      </c>
      <c r="V69" s="188">
        <f t="shared" ref="V69:V105" si="186">L*T69/K69*1000000</f>
        <v>1.5140679323034181</v>
      </c>
      <c r="W69" s="172">
        <f t="shared" ref="W69:W105" si="187">IF(1/((350000*L)*(1/J69+1/K69))&gt;Isw_min, 350, 0.001/((Isw_min*L)*(1/J69+1/K69)))</f>
        <v>350</v>
      </c>
      <c r="X69" s="379">
        <f t="shared" si="95"/>
        <v>323.34732978657155</v>
      </c>
      <c r="Z69" s="188">
        <f t="shared" ref="Z69:Z105" si="188">1/((W69*1000*L)*(1/J69+1/K69))</f>
        <v>9.8054775500260849</v>
      </c>
      <c r="AA69" s="150">
        <f t="shared" ref="AA69:AA105" si="189">L*Z69/K69*1000000</f>
        <v>1.4954830105727959</v>
      </c>
      <c r="AB69" s="150">
        <f t="shared" ref="AB69:AB100" si="190">0.5*AA69*Z69*Nps*W69/1000*(Pout/Pout_total)</f>
        <v>2.4615701584249114</v>
      </c>
      <c r="AC69" s="150"/>
      <c r="AD69" s="150">
        <f t="shared" ref="AD69:AD105" si="191">L*Isw_min/K69*1000000</f>
        <v>0.92433370543862714</v>
      </c>
      <c r="AE69" s="314">
        <f t="shared" ref="AE69:AE100" si="192">MAX(10, F69/(0.5*AD69/1000000*Isw_min*Nps)/1000*Pout_total/Pout)</f>
        <v>952.79875094685281</v>
      </c>
      <c r="AF69" s="456">
        <f t="shared" ref="AF69:AF105" si="193">0.5*AD69/1000000*Isw_min*Nps*W69*1000*(Pout/Pout_total)</f>
        <v>0.94038746283996655</v>
      </c>
      <c r="AH69" s="150">
        <f t="shared" ref="AH69:AH105" si="194">SQRT((H69+I69)/(0.5*L*Fsw_DCM))</f>
        <v>9.8662175751460897</v>
      </c>
      <c r="AI69" s="150">
        <f t="shared" ref="AI69:AI100" si="195">MAX(IF(F69&gt;AB69,T69,AH69),Isw_min)</f>
        <v>9.9273338543172365</v>
      </c>
      <c r="AJ69" s="150">
        <f t="shared" ref="AJ69:AJ100" si="196">IF(F69&gt;AF69, (AI69-Isw_min)/1.08*0.8+1.2, AE69*0.2/350+1)</f>
        <v>4.0642428101564265</v>
      </c>
      <c r="AL69" s="314">
        <f t="shared" ref="AL69:AL105" si="197">F69*1000</f>
        <v>2560</v>
      </c>
      <c r="AM69" s="144">
        <f t="shared" ref="AM69:AM105" si="198">IF(F69&gt;AF69, X69, AE69)</f>
        <v>323.34732978657155</v>
      </c>
      <c r="AO69">
        <f t="shared" si="96"/>
        <v>2560</v>
      </c>
      <c r="AP69">
        <f t="shared" ref="AP69:AP105" si="199">IF(H69&gt;O69, "",AM69)</f>
        <v>323.34732978657155</v>
      </c>
      <c r="AR69" s="5">
        <f t="shared" si="97"/>
        <v>3.0926496305383422</v>
      </c>
      <c r="AS69" s="5">
        <f t="shared" ref="AS69:AS105" si="200">L*AI69/J69*1000000</f>
        <v>1.3785816982349239</v>
      </c>
      <c r="AT69" s="5">
        <f t="shared" si="98"/>
        <v>1.7140679323034183</v>
      </c>
      <c r="AU69" s="150">
        <f t="shared" si="99"/>
        <v>0.44576071101689979</v>
      </c>
      <c r="AW69" s="5">
        <f t="shared" ref="AW69:AW105" si="201">F69*AS69/Vout_ripple*1000</f>
        <v>11.763897158271352</v>
      </c>
      <c r="AX69" s="5">
        <f t="shared" ref="AX69:AX105" si="202">G69*AS69/Vout_ripple2*1000</f>
        <v>12.49914073066331</v>
      </c>
      <c r="AY69" s="5">
        <f t="shared" ref="AY69:AY105" si="203">H69/Efficiency/J69*AT69/Vinripple1</f>
        <v>2.2879279927755105</v>
      </c>
      <c r="AZ69" s="5"/>
      <c r="BA69" s="150">
        <f t="shared" si="100"/>
        <v>3.8266865835986033</v>
      </c>
      <c r="BB69" s="150">
        <f t="shared" ref="BB69:BB105" si="204">AI69*Npri_sec1*SQRT((1-AU69)/3)*(Pout/Pout_total)</f>
        <v>4.0930268235057117</v>
      </c>
      <c r="BC69" s="150">
        <f t="shared" ref="BC69:BC105" si="205">AI69*Npri_sec2*SQRT((1-AU69)/3)*(Pout2/Pout_total)</f>
        <v>0.82159642276447342</v>
      </c>
      <c r="BD69" s="150"/>
      <c r="BE69" s="456">
        <f t="shared" ref="BE69:BE105" si="206">Rdson*BA69^2</f>
        <v>0.1757223625091226</v>
      </c>
      <c r="BF69" s="456">
        <f t="shared" ref="BF69:BF105" si="207">0.5*L69*AI69*AM69*1000*Tfall</f>
        <v>3.7880283774703876</v>
      </c>
      <c r="BG69" s="456">
        <f t="shared" ref="BG69:BG105" si="208">Qg*Vdd*AM69*1000</f>
        <v>3.7184942925455731E-2</v>
      </c>
      <c r="BH69" s="456">
        <f t="shared" ref="BH69:BH105" si="209">0.5*(Coss+Csw)*L69^2*AM69*1000</f>
        <v>0.69964305993328724</v>
      </c>
      <c r="BI69">
        <f t="shared" ref="BI69:BI105" si="210">J69*IQ</f>
        <v>1.5230371278513068E-2</v>
      </c>
      <c r="BJ69" s="144">
        <f t="shared" si="101"/>
        <v>52.415314203968798</v>
      </c>
      <c r="BK69">
        <f t="shared" ref="BK69:BK105" si="211">(BF69+BG69*0+BH69+BI69*0+BE69*(1+RdsonTC*(Ta-25)))/(1-BE69*RdsonTC*ThetaJA)</f>
        <v>4.9160937828378541</v>
      </c>
      <c r="BL69" s="144">
        <f t="shared" si="102"/>
        <v>4916.0937828378537</v>
      </c>
      <c r="BM69" s="150">
        <f t="shared" ref="BM69:BM105" si="212">Vfwd2*F69*(1+Diode_TC/1000*(Ta-25))</f>
        <v>1.7167359999999998</v>
      </c>
      <c r="BN69" s="150">
        <f t="shared" ref="BN69:BN105" si="213">Vfwd22*G69*(1+Diode_TC/1000*(Ta-25))</f>
        <v>0.26057600000000003</v>
      </c>
      <c r="BO69" s="456"/>
      <c r="BQ69" s="144">
        <f t="shared" si="103"/>
        <v>1977.3119999999999</v>
      </c>
      <c r="BR69" s="456">
        <f t="shared" ref="BR69:BR105" si="214">Rdcr_pri*BA69^2</f>
        <v>0.2050094229273097</v>
      </c>
      <c r="BS69" s="456">
        <f t="shared" ref="BS69:BS105" si="215">Rdcr_sec*BB69^2</f>
        <v>0.23454016009112161</v>
      </c>
      <c r="BT69" s="456">
        <f t="shared" ref="BT69:BT105" si="216">Rdcr_sec2*BC69^2</f>
        <v>3.3751034094968969E-3</v>
      </c>
      <c r="BU69" s="456">
        <f t="shared" ref="BU69:BU105" si="217">AI69^2.5*AM69^2.5*k_core</f>
        <v>29.189373247663884</v>
      </c>
      <c r="BV69" s="456">
        <f t="shared" ref="BV69:BV100" si="218">(BU69+(BR69+BS69+BT69)*(1+Ltc*(Ta-25)))/(1-(BR69+BS69+BT69)*Ltc*ThetaCa)</f>
        <v>30.83106711766078</v>
      </c>
      <c r="BW69" s="538">
        <f t="shared" ref="BW69:BW105" si="219">0.5*Lleak*0.000000001*AI69^2*AM69*1000</f>
        <v>3.1866512288337701</v>
      </c>
      <c r="BX69" s="144">
        <f t="shared" si="105"/>
        <v>34017.718346494548</v>
      </c>
      <c r="BY69" s="150">
        <f t="shared" si="106"/>
        <v>40.9111241293324</v>
      </c>
      <c r="BZ69" s="5">
        <f t="shared" si="107"/>
        <v>80.063999999999993</v>
      </c>
      <c r="CA69" s="150">
        <f t="shared" si="108"/>
        <v>0.6618220115600375</v>
      </c>
      <c r="CB69" s="5">
        <f t="shared" si="109"/>
        <v>66.182201156003757</v>
      </c>
      <c r="CC69">
        <f t="shared" si="172"/>
        <v>64</v>
      </c>
      <c r="CE69" s="59">
        <f t="shared" ref="CE69:CE105" si="220">IF(ABS(F69-Ioutmax_Vinnom)&lt;Iout/200, AM69, -50)</f>
        <v>-50</v>
      </c>
      <c r="CF69">
        <f t="shared" ref="CF69:CF105" si="221">IF(ABS(F69-Ioutmax_Vinnom)&lt;Iout/200, (O69+P69)*CA69, -50)</f>
        <v>-50</v>
      </c>
      <c r="CG69" s="150">
        <f t="shared" ref="CG69:CG105" si="222">MIN(SQRT(2*DT69*1000*Ls1_*(CL69+CJ69*Vfwd1))/(CW69+Vfwd1), 1-DY69)</f>
        <v>0.52186043457008324</v>
      </c>
      <c r="CH69" s="150">
        <f t="shared" ref="CH69:CH105" si="223">MIN(SQRT(2*DT69*1000*Ls2_*(CM69+CK69*Vfwd22))/(Vout2+Vfwd22), 1-DY69)</f>
        <v>0.11015112407727182</v>
      </c>
      <c r="CI69" s="147">
        <v>64</v>
      </c>
      <c r="CJ69" s="188">
        <f t="shared" si="133"/>
        <v>2.56</v>
      </c>
      <c r="CK69" s="188">
        <f t="shared" si="111"/>
        <v>0.54400000000000004</v>
      </c>
      <c r="CL69" s="188">
        <f t="shared" ref="CL69:CL105" si="224">CJ69*Vout</f>
        <v>76.8</v>
      </c>
      <c r="CM69" s="188">
        <f t="shared" si="134"/>
        <v>3.2640000000000002</v>
      </c>
      <c r="CN69" s="465">
        <f t="shared" si="112"/>
        <v>34</v>
      </c>
      <c r="CO69" s="379">
        <f t="shared" ref="CO69:CO105" si="225">(CW69+Vfwd2)*Nps</f>
        <v>30.7</v>
      </c>
      <c r="CP69" s="379">
        <f t="shared" ref="CP69:CP105" si="226">(Vout+Vfwd2)*Nps+CN69</f>
        <v>64.7</v>
      </c>
      <c r="CQ69" s="379"/>
      <c r="CR69" s="188">
        <f t="shared" ref="CR69:CR105" si="227">(Vout+Vfwd1)*Nps/((Vout+Vfwd1)*Nps+CN69)</f>
        <v>0.47204968944099374</v>
      </c>
      <c r="CS69" s="149">
        <f t="shared" si="114"/>
        <v>233.26341749863801</v>
      </c>
      <c r="CT69" s="149">
        <f t="shared" ref="CT69:CT105" si="228">CR69*CN69*Isw_max*0.5*Efficiency*(Pout2/Pout_total)</f>
        <v>9.9136952436921142</v>
      </c>
      <c r="CU69" s="188">
        <f t="shared" ref="CU69:CU105" si="229">CS69/Vout</f>
        <v>7.7754472499545999</v>
      </c>
      <c r="CV69" s="188">
        <f t="shared" ref="CV69:CV105" si="230">CS69/Vout2</f>
        <v>38.877236249772999</v>
      </c>
      <c r="CW69" s="379">
        <f t="shared" ref="CW69:CW105" si="231">MIN(Vout,CS69/CJ69)</f>
        <v>30</v>
      </c>
      <c r="CX69" s="188">
        <f t="shared" ref="CX69:CX105" si="232">MIN(2*(Vout*CJ69+Vout2*CK69)/(Efficiency*CN69*CR69), Isw_max)</f>
        <v>9.9770154798761599</v>
      </c>
      <c r="CY69" s="188">
        <f t="shared" ref="CY69:CY105" si="233">L*CX69/CN69*1000000</f>
        <v>1.3791756692769985</v>
      </c>
      <c r="CZ69" s="188">
        <f t="shared" ref="CZ69:CZ105" si="234">L*CX69/CO69*1000000</f>
        <v>1.5274258226520507</v>
      </c>
      <c r="DA69" s="172">
        <f t="shared" ref="DA69:DA105" si="235">IF(1/((350000*L)*(1/CN69+1/CO69))&gt;Isw_min, 350, 0.001/((Isw_min*L)*(1/CN69+1/CO69)))</f>
        <v>350</v>
      </c>
      <c r="DB69" s="379">
        <f t="shared" si="115"/>
        <v>344.04441158403228</v>
      </c>
      <c r="DD69" s="188">
        <f t="shared" ref="DD69:DD105" si="236">1/((DA69*1000*L)*(1/CN69+1/CO69))</f>
        <v>9.8072469146822137</v>
      </c>
      <c r="DE69" s="150">
        <f t="shared" ref="DE69:DE105" si="237">L*DD69/CO69*1000000</f>
        <v>1.5014351954073746</v>
      </c>
      <c r="DF69" s="150">
        <f t="shared" ref="DF69:DF105" si="238">0.5*DE69*DD69*Nps*DA69/1000*(Pout/Pout_total)</f>
        <v>2.4718134248028734</v>
      </c>
      <c r="DG69" s="150"/>
      <c r="DH69" s="150">
        <f t="shared" ref="DH69:DH105" si="239">L*Isw_min/CO69*1000000</f>
        <v>0.92784522751949461</v>
      </c>
      <c r="DI69" s="314">
        <f t="shared" ref="DI69:DI105" si="240">MAX(10, CJ69/(0.5*DH69/1000000*Isw_min*Nps)/1000*Pout_total/Pout)</f>
        <v>949.19278978723412</v>
      </c>
      <c r="DJ69" s="456">
        <f t="shared" ref="DJ69:DJ105" si="241">0.5*DH69/1000000*Isw_min*Nps*DA69*1000*(Pout/Pout_total)</f>
        <v>0.94395997276890675</v>
      </c>
      <c r="DL69" s="150">
        <f t="shared" ref="DL69:DL105" si="242">SQRT((CL69+CM69)/(0.5*L*Fsw_DCM))</f>
        <v>9.8662175751460897</v>
      </c>
      <c r="DM69" s="150">
        <f t="shared" ref="DM69:DM105" si="243">MAX(IF(CJ69&gt;DF69,CX69,DL69),Isw_min)</f>
        <v>9.9770154798761599</v>
      </c>
      <c r="DN69" s="150">
        <f t="shared" ref="DN69:DN105" si="244">IF(CJ69&gt;DJ69, (DM69-Isw_min)/1.08*0.8+1.2, DI69*0.2/350+1)</f>
        <v>4.1010440142741471</v>
      </c>
      <c r="DP69" s="314">
        <f t="shared" ref="DP69:DP105" si="245">CJ69*1000</f>
        <v>2560</v>
      </c>
      <c r="DQ69" s="144">
        <f t="shared" ref="DQ69:DQ105" si="246">IF(CJ69&gt;DJ69, DB69, DI69)</f>
        <v>344.04441158403228</v>
      </c>
      <c r="DS69">
        <f t="shared" si="116"/>
        <v>2560</v>
      </c>
      <c r="DT69">
        <f t="shared" ref="DT69:DT90" si="247">IF(CL69&gt;CS69, "",DQ69)</f>
        <v>344.04441158403228</v>
      </c>
      <c r="DV69" s="5">
        <f t="shared" si="117"/>
        <v>2.9066014919290493</v>
      </c>
      <c r="DW69" s="5">
        <f t="shared" ref="DW69:DW105" si="248">L*DM69/CN69*1000000</f>
        <v>1.3791756692769985</v>
      </c>
      <c r="DX69" s="5">
        <f t="shared" si="118"/>
        <v>1.5274258226520507</v>
      </c>
      <c r="DY69" s="150">
        <f t="shared" si="119"/>
        <v>0.47449768160741884</v>
      </c>
      <c r="EA69" s="5">
        <f t="shared" ref="EA69:EA105" si="249">CJ69*DW69/Vout_ripple*1000</f>
        <v>11.768965711163721</v>
      </c>
      <c r="EB69" s="5">
        <f t="shared" ref="EB69:EB105" si="250">CK69*DW69/Vout_ripple2*1000</f>
        <v>12.504526068111455</v>
      </c>
      <c r="EC69" s="5">
        <f t="shared" ref="EC69:EC105" si="251">CL69/Efficiency/CN69*DX69/Vinripple1</f>
        <v>2.0295208162573961</v>
      </c>
      <c r="ED69" s="5"/>
      <c r="EE69" s="150">
        <f t="shared" si="120"/>
        <v>3.96786663090798</v>
      </c>
      <c r="EF69" s="150">
        <f t="shared" ref="EF69:EF105" si="252">DM69*Npri_sec1*SQRT((1-DY69)/3)*(Pout/Pout_total)</f>
        <v>4.0054496165066915</v>
      </c>
      <c r="EG69" s="150">
        <f t="shared" ref="EG69:EG105" si="253">DM69*Npri_sec2*SQRT((1-DY69)/3)*(Pout2/Pout_total)</f>
        <v>0.80401698263647758</v>
      </c>
      <c r="EH69" s="150"/>
      <c r="EI69" s="456">
        <f t="shared" ref="EI69:EI105" si="254">Rdson*EE69^2</f>
        <v>0.18892758720807651</v>
      </c>
      <c r="EJ69" s="456">
        <f t="shared" ref="EJ69:EJ105" si="255">0.5*CP69*DM69*DQ69*1000*Trise</f>
        <v>4.219617021276596</v>
      </c>
      <c r="EK69" s="456">
        <f t="shared" ref="EK69:EK105" si="256">Qg*Vdd*DQ69*1000</f>
        <v>3.9565107332163715E-2</v>
      </c>
      <c r="EL69" s="456">
        <f t="shared" ref="EL69:EL105" si="257">0.5*(Coss+Csw)*CP69^2*DQ69*1000</f>
        <v>0.74530395068443744</v>
      </c>
      <c r="EM69">
        <f t="shared" ref="EM69:EM105" si="258">CN69*IQ</f>
        <v>1.5299999999999999E-2</v>
      </c>
      <c r="EN69" s="144">
        <f t="shared" si="121"/>
        <v>54.865107332163717</v>
      </c>
      <c r="EO69">
        <f t="shared" ref="EO69:EO105" si="259">(EJ69+EK69+EL69+EM69+EI69*(1+RdsonTC*(Ta-25)))/(1-EI69*RdsonTC*ThetaJA)</f>
        <v>5.5069255692370005</v>
      </c>
      <c r="EP69" s="144">
        <f t="shared" si="122"/>
        <v>5506.9255692370007</v>
      </c>
      <c r="EQ69" s="150">
        <f t="shared" ref="EQ69:EQ105" si="260">Vfwd2*CJ69*(1+Diode_TC/1000*(Ta-25))</f>
        <v>1.7167359999999998</v>
      </c>
      <c r="ER69" s="150">
        <f t="shared" ref="ER69:ER105" si="261">Vfwd22*CK69*(1+Diode_TC/1000*(Ta-25))</f>
        <v>0.26057600000000003</v>
      </c>
      <c r="ES69" s="456"/>
      <c r="EU69" s="144">
        <f t="shared" si="123"/>
        <v>1977.3119999999999</v>
      </c>
      <c r="EV69" s="456">
        <f t="shared" ref="EV69:EV105" si="262">Rdcr_pri*EE69^2</f>
        <v>0.22041551840942261</v>
      </c>
      <c r="EW69" s="456">
        <f t="shared" si="124"/>
        <v>0.22461077282523043</v>
      </c>
      <c r="EX69" s="456">
        <f t="shared" ref="EX69:EX105" si="263">Rdcr_sec2*EG69^2</f>
        <v>3.2322165418393295E-3</v>
      </c>
      <c r="EY69" s="456">
        <f t="shared" ref="EY69:EY105" si="264">DM69^2.5*DQ69^2.5*k_core</f>
        <v>34.515000905941172</v>
      </c>
      <c r="EZ69" s="456">
        <f t="shared" ref="EZ69:EZ105" si="265">(EY69+(EV69+EW69+EX69)*(1+Ltc*(Ta-25)))/(1-(EV69+EW69+EX69)*Ltc*ThetaCa)</f>
        <v>36.375283893839942</v>
      </c>
      <c r="FA69" s="538">
        <f t="shared" ref="FA69:FA105" si="266">0.5*Lleak*0.000000001*DM69^2*DQ69*1000</f>
        <v>3.424646899896326</v>
      </c>
      <c r="FB69" s="144">
        <f t="shared" si="125"/>
        <v>39799.930793736268</v>
      </c>
      <c r="FC69" s="150">
        <f t="shared" si="126"/>
        <v>47.284168362973269</v>
      </c>
      <c r="FD69" s="5">
        <f t="shared" si="127"/>
        <v>80.063999999999993</v>
      </c>
      <c r="FE69" s="150">
        <f t="shared" si="128"/>
        <v>0.62870162193301526</v>
      </c>
      <c r="FF69" s="5">
        <f t="shared" si="129"/>
        <v>62.870162193301525</v>
      </c>
      <c r="FG69">
        <f t="shared" si="130"/>
        <v>64</v>
      </c>
      <c r="FI69" s="59">
        <f t="shared" ref="FI69:FI105" si="267">IF(ABS(CJ69-Ioutmax_Vinnom)&lt;Iout/200, DQ69, -50)</f>
        <v>-50</v>
      </c>
      <c r="FJ69">
        <f t="shared" ref="FJ69:FJ105" si="268">IF(ABS(CJ69-Ioutmax_Vinnom)&lt;Iout/200, (CS69+CT69)*FE69, -50)</f>
        <v>-50</v>
      </c>
      <c r="FL69">
        <f t="shared" ref="FL69:FL105" si="269">MIN(SQRT(2*DQ69*1000*L*CJ69*(Vout+Vfwd1))/(Nps*(Vout+Vfwd1)),1-DY69)</f>
        <v>0.52186043457008324</v>
      </c>
    </row>
    <row r="70" spans="5:168">
      <c r="E70" s="147">
        <v>65</v>
      </c>
      <c r="F70" s="188">
        <f t="shared" si="173"/>
        <v>2.6</v>
      </c>
      <c r="G70" s="188">
        <f t="shared" ref="G70:G105" si="270">IF(PLOT_TYPE=1, E70/100*Iout2, min_I*EXP(Q70*rr/100))</f>
        <v>0.55249999999999999</v>
      </c>
      <c r="H70" s="188">
        <f t="shared" si="175"/>
        <v>78</v>
      </c>
      <c r="I70" s="188">
        <f t="shared" si="174"/>
        <v>3.3149999999999999</v>
      </c>
      <c r="J70" s="465">
        <f t="shared" si="176"/>
        <v>33.842851843866306</v>
      </c>
      <c r="K70" s="379">
        <f t="shared" si="177"/>
        <v>30.818450901970341</v>
      </c>
      <c r="L70" s="149">
        <f t="shared" si="178"/>
        <v>64.66130274583665</v>
      </c>
      <c r="M70" s="379"/>
      <c r="N70" s="188">
        <f t="shared" si="179"/>
        <v>0.47661351679083902</v>
      </c>
      <c r="O70" s="149">
        <f t="shared" ref="O70:O101" si="271">N70*J70*Isw_max*0.5*Efficiency*Pout/(Pout+Pout2)</f>
        <v>234.43006519201299</v>
      </c>
      <c r="P70" s="149">
        <f t="shared" si="180"/>
        <v>9.9632777706605502</v>
      </c>
      <c r="Q70" s="188">
        <f t="shared" si="181"/>
        <v>7.8143355064004334</v>
      </c>
      <c r="R70" s="188">
        <f t="shared" si="182"/>
        <v>39.071677532002163</v>
      </c>
      <c r="S70" s="379">
        <f t="shared" si="183"/>
        <v>30</v>
      </c>
      <c r="T70" s="188">
        <f t="shared" si="184"/>
        <v>10.082479658487475</v>
      </c>
      <c r="U70" s="188">
        <f t="shared" si="185"/>
        <v>1.4002263938486523</v>
      </c>
      <c r="V70" s="188">
        <f t="shared" si="186"/>
        <v>1.5376390768512462</v>
      </c>
      <c r="W70" s="172">
        <f t="shared" si="187"/>
        <v>350</v>
      </c>
      <c r="X70" s="379">
        <f t="shared" ref="X70:X105" si="272">MIN(1/(U70+V70+0.2)*1000, 350)</f>
        <v>318.68797733286846</v>
      </c>
      <c r="Z70" s="188">
        <f t="shared" si="188"/>
        <v>9.8054471948549846</v>
      </c>
      <c r="AA70" s="150">
        <f t="shared" si="189"/>
        <v>1.495389952026174</v>
      </c>
      <c r="AB70" s="150">
        <f t="shared" si="190"/>
        <v>2.4614093638409025</v>
      </c>
      <c r="AC70" s="150"/>
      <c r="AD70" s="150">
        <f t="shared" si="191"/>
        <v>0.92427904878980593</v>
      </c>
      <c r="AE70" s="314">
        <f t="shared" si="192"/>
        <v>967.74345493512749</v>
      </c>
      <c r="AF70" s="456">
        <f t="shared" si="193"/>
        <v>0.94033185691863097</v>
      </c>
      <c r="AH70" s="150">
        <f t="shared" si="194"/>
        <v>9.9429986364526108</v>
      </c>
      <c r="AI70" s="150">
        <f t="shared" si="195"/>
        <v>10.082479658487475</v>
      </c>
      <c r="AJ70" s="150">
        <f t="shared" si="196"/>
        <v>4.1791656280603071</v>
      </c>
      <c r="AL70" s="314">
        <f t="shared" si="197"/>
        <v>2600</v>
      </c>
      <c r="AM70" s="144">
        <f t="shared" si="198"/>
        <v>318.68797733286846</v>
      </c>
      <c r="AO70">
        <f t="shared" ref="AO70:AO105" si="273">IF(H70&gt;O70, "",AL70)</f>
        <v>2600</v>
      </c>
      <c r="AP70">
        <f t="shared" si="199"/>
        <v>318.68797733286846</v>
      </c>
      <c r="AR70" s="5">
        <f t="shared" ref="AR70:AR133" si="274">1/AM70*1000</f>
        <v>3.1378654706998987</v>
      </c>
      <c r="AS70" s="5">
        <f t="shared" si="200"/>
        <v>1.4002263938486523</v>
      </c>
      <c r="AT70" s="5">
        <f t="shared" ref="AT70:AT105" si="275">AR70-AS70</f>
        <v>1.7376390768512464</v>
      </c>
      <c r="AU70" s="150">
        <f t="shared" ref="AU70:AU105" si="276">AS70/AR70</f>
        <v>0.44623531726372351</v>
      </c>
      <c r="AW70" s="5">
        <f t="shared" si="201"/>
        <v>12.135295413354987</v>
      </c>
      <c r="AX70" s="5">
        <f t="shared" si="202"/>
        <v>12.893751376689673</v>
      </c>
      <c r="AY70" s="5">
        <f t="shared" si="203"/>
        <v>2.3557993805099113</v>
      </c>
      <c r="AZ70" s="5"/>
      <c r="BA70" s="150">
        <f t="shared" ref="BA70:BA105" si="277">AI70*SQRT(AU70/3)</f>
        <v>3.8885590368593972</v>
      </c>
      <c r="BB70" s="150">
        <f t="shared" si="204"/>
        <v>4.1552129969367693</v>
      </c>
      <c r="BC70" s="150">
        <f t="shared" si="205"/>
        <v>0.83407910119280759</v>
      </c>
      <c r="BD70" s="150"/>
      <c r="BE70" s="456">
        <f t="shared" si="206"/>
        <v>0.18145069659769059</v>
      </c>
      <c r="BF70" s="456">
        <f t="shared" si="207"/>
        <v>3.7917557434430984</v>
      </c>
      <c r="BG70" s="456">
        <f t="shared" si="208"/>
        <v>3.6649117393279876E-2</v>
      </c>
      <c r="BH70" s="456">
        <f t="shared" si="209"/>
        <v>0.6895486845666331</v>
      </c>
      <c r="BI70">
        <f t="shared" si="210"/>
        <v>1.5229283329739838E-2</v>
      </c>
      <c r="BJ70" s="144">
        <f t="shared" ref="BJ70:BJ105" si="278">(BG70+BI70)*1000</f>
        <v>51.878400723019709</v>
      </c>
      <c r="BK70">
        <f t="shared" si="211"/>
        <v>4.9240351934313091</v>
      </c>
      <c r="BL70" s="144">
        <f t="shared" ref="BL70:BL105" si="279">BK70*1000</f>
        <v>4924.0351934313094</v>
      </c>
      <c r="BM70" s="150">
        <f t="shared" si="212"/>
        <v>1.7435599999999998</v>
      </c>
      <c r="BN70" s="150">
        <f t="shared" si="213"/>
        <v>0.26464749999999998</v>
      </c>
      <c r="BO70" s="456"/>
      <c r="BQ70" s="144">
        <f t="shared" ref="BQ70:BQ105" si="280">SUM(BM70:BP70)*1000</f>
        <v>2008.2074999999998</v>
      </c>
      <c r="BR70" s="456">
        <f t="shared" si="214"/>
        <v>0.21169247936397237</v>
      </c>
      <c r="BS70" s="456">
        <f t="shared" si="215"/>
        <v>0.24172113069877149</v>
      </c>
      <c r="BT70" s="456">
        <f t="shared" si="216"/>
        <v>3.4784397352330089E-3</v>
      </c>
      <c r="BU70" s="456">
        <f t="shared" si="217"/>
        <v>29.261904597963433</v>
      </c>
      <c r="BV70" s="456">
        <f t="shared" si="218"/>
        <v>30.960084040445466</v>
      </c>
      <c r="BW70" s="538">
        <f t="shared" si="219"/>
        <v>3.2396671244525765</v>
      </c>
      <c r="BX70" s="144">
        <f t="shared" ref="BX70:BX105" si="281">(BV70+BW70)*1000</f>
        <v>34199.751164898036</v>
      </c>
      <c r="BY70" s="150">
        <f t="shared" ref="BY70:BY104" si="282">SUM(BK70,BM70:BP70,BV70:BW70)</f>
        <v>41.131993858329345</v>
      </c>
      <c r="BZ70" s="5">
        <f t="shared" ref="BZ70:BZ105" si="283">MIN(H70+I70,O70+P70)</f>
        <v>81.314999999999998</v>
      </c>
      <c r="CA70" s="150">
        <f t="shared" ref="CA70:CA105" si="284">BZ70/(BZ70+BY70)</f>
        <v>0.66408326932126338</v>
      </c>
      <c r="CB70" s="5">
        <f t="shared" ref="CB70:CB105" si="285">CA70*100</f>
        <v>66.408326932126343</v>
      </c>
      <c r="CC70">
        <f t="shared" ref="CC70:CC105" si="286">F70/Iout*100</f>
        <v>65</v>
      </c>
      <c r="CE70" s="59">
        <f t="shared" si="220"/>
        <v>-50</v>
      </c>
      <c r="CF70">
        <f t="shared" si="221"/>
        <v>-50</v>
      </c>
      <c r="CG70" s="150">
        <f t="shared" si="222"/>
        <v>0.52186043457008313</v>
      </c>
      <c r="CH70" s="150">
        <f t="shared" si="223"/>
        <v>0.11015112407727178</v>
      </c>
      <c r="CI70" s="147">
        <v>65</v>
      </c>
      <c r="CJ70" s="188">
        <f t="shared" si="133"/>
        <v>2.6</v>
      </c>
      <c r="CK70" s="188">
        <f t="shared" ref="CK70:CK105" si="287">IF(PLOT_TYPE=1, CI70/100*Iout2, min_I*EXP(CU70*rr/100))</f>
        <v>0.55249999999999999</v>
      </c>
      <c r="CL70" s="188">
        <f t="shared" si="224"/>
        <v>78</v>
      </c>
      <c r="CM70" s="188">
        <f t="shared" si="134"/>
        <v>3.3149999999999999</v>
      </c>
      <c r="CN70" s="465">
        <f t="shared" ref="CN70:CN105" si="288">Vin</f>
        <v>34</v>
      </c>
      <c r="CO70" s="379">
        <f t="shared" si="225"/>
        <v>30.7</v>
      </c>
      <c r="CP70" s="379">
        <f t="shared" si="226"/>
        <v>64.7</v>
      </c>
      <c r="CQ70" s="379"/>
      <c r="CR70" s="188">
        <f t="shared" si="227"/>
        <v>0.47204968944099374</v>
      </c>
      <c r="CS70" s="149">
        <f t="shared" ref="CS70:CS105" si="289">CR70*CN70*Isw_max*0.5*Efficiency*Pout/(Pout+Pout2)</f>
        <v>233.26341749863801</v>
      </c>
      <c r="CT70" s="149">
        <f t="shared" si="228"/>
        <v>9.9136952436921142</v>
      </c>
      <c r="CU70" s="188">
        <f t="shared" si="229"/>
        <v>7.7754472499545999</v>
      </c>
      <c r="CV70" s="188">
        <f t="shared" si="230"/>
        <v>38.877236249772999</v>
      </c>
      <c r="CW70" s="379">
        <f t="shared" si="231"/>
        <v>30</v>
      </c>
      <c r="CX70" s="188">
        <f t="shared" si="232"/>
        <v>10.132906346749227</v>
      </c>
      <c r="CY70" s="188">
        <f t="shared" si="233"/>
        <v>1.4007252891094519</v>
      </c>
      <c r="CZ70" s="188">
        <f t="shared" si="234"/>
        <v>1.551291851130989</v>
      </c>
      <c r="DA70" s="172">
        <f t="shared" si="235"/>
        <v>350</v>
      </c>
      <c r="DB70" s="379">
        <f t="shared" ref="DB70:DB105" si="290">MIN(1/(CY70+CZ70)*1000, 350)</f>
        <v>338.75142063658552</v>
      </c>
      <c r="DD70" s="188">
        <f t="shared" si="236"/>
        <v>9.8072469146822137</v>
      </c>
      <c r="DE70" s="150">
        <f t="shared" si="237"/>
        <v>1.5014351954073746</v>
      </c>
      <c r="DF70" s="150">
        <f t="shared" si="238"/>
        <v>2.4718134248028734</v>
      </c>
      <c r="DG70" s="150"/>
      <c r="DH70" s="150">
        <f t="shared" si="239"/>
        <v>0.92784522751949461</v>
      </c>
      <c r="DI70" s="314">
        <f t="shared" si="240"/>
        <v>964.0239271276597</v>
      </c>
      <c r="DJ70" s="456">
        <f t="shared" si="241"/>
        <v>0.94395997276890675</v>
      </c>
      <c r="DL70" s="150">
        <f t="shared" si="242"/>
        <v>9.9429986364526108</v>
      </c>
      <c r="DM70" s="150">
        <f t="shared" si="243"/>
        <v>10.132906346749227</v>
      </c>
      <c r="DN70" s="150">
        <f t="shared" si="244"/>
        <v>4.2165187304764196</v>
      </c>
      <c r="DP70" s="314">
        <f t="shared" si="245"/>
        <v>2600</v>
      </c>
      <c r="DQ70" s="144">
        <f t="shared" si="246"/>
        <v>338.75142063658552</v>
      </c>
      <c r="DS70">
        <f t="shared" ref="DS70:DS90" si="291">IF(CL70&gt;CS70, "",DP70)</f>
        <v>2600</v>
      </c>
      <c r="DT70">
        <f t="shared" si="247"/>
        <v>338.75142063658552</v>
      </c>
      <c r="DV70" s="5">
        <f t="shared" ref="DV70:DV105" si="292">1/DQ70*1000</f>
        <v>2.9520171402404412</v>
      </c>
      <c r="DW70" s="5">
        <f t="shared" si="248"/>
        <v>1.4007252891094519</v>
      </c>
      <c r="DX70" s="5">
        <f t="shared" ref="DX70:DX105" si="293">DV70-DW70</f>
        <v>1.5512918511309892</v>
      </c>
      <c r="DY70" s="150">
        <f t="shared" ref="DY70:DY105" si="294">DW70/DV70</f>
        <v>0.47449768160741884</v>
      </c>
      <c r="EA70" s="5">
        <f t="shared" si="249"/>
        <v>12.139619172281916</v>
      </c>
      <c r="EB70" s="5">
        <f t="shared" si="250"/>
        <v>12.898345370549535</v>
      </c>
      <c r="EC70" s="5">
        <f t="shared" si="251"/>
        <v>2.0934388302459714</v>
      </c>
      <c r="ED70" s="5"/>
      <c r="EE70" s="150">
        <f t="shared" ref="EE70:EE105" si="295">DM70*SQRT(DY70/3)</f>
        <v>4.0298645470159178</v>
      </c>
      <c r="EF70" s="150">
        <f t="shared" si="252"/>
        <v>4.0680347667646091</v>
      </c>
      <c r="EG70" s="150">
        <f t="shared" si="253"/>
        <v>0.81657974799017274</v>
      </c>
      <c r="EH70" s="150"/>
      <c r="EI70" s="456">
        <f t="shared" si="254"/>
        <v>0.19487769920754969</v>
      </c>
      <c r="EJ70" s="456">
        <f t="shared" si="255"/>
        <v>4.219617021276596</v>
      </c>
      <c r="EK70" s="456">
        <f t="shared" si="256"/>
        <v>3.8956413373207335E-2</v>
      </c>
      <c r="EL70" s="456">
        <f t="shared" si="257"/>
        <v>0.73383773605852287</v>
      </c>
      <c r="EM70">
        <f t="shared" si="258"/>
        <v>1.5299999999999999E-2</v>
      </c>
      <c r="EN70" s="144">
        <f t="shared" ref="EN70:EN105" si="296">(EK70+EM70)*1000</f>
        <v>54.256413373207337</v>
      </c>
      <c r="EO70">
        <f t="shared" si="259"/>
        <v>5.5103513227147047</v>
      </c>
      <c r="EP70" s="144">
        <f t="shared" ref="EP70:EP105" si="297">EO70*1000</f>
        <v>5510.351322714705</v>
      </c>
      <c r="EQ70" s="150">
        <f t="shared" si="260"/>
        <v>1.7435599999999998</v>
      </c>
      <c r="ER70" s="150">
        <f t="shared" si="261"/>
        <v>0.26464749999999998</v>
      </c>
      <c r="ES70" s="456"/>
      <c r="EU70" s="144">
        <f t="shared" ref="EU70:EU105" si="298">SUM(EQ70:ET70)*1000</f>
        <v>2008.2074999999998</v>
      </c>
      <c r="EV70" s="456">
        <f t="shared" si="262"/>
        <v>0.2273573157421413</v>
      </c>
      <c r="EW70" s="456">
        <f t="shared" ref="EW70:EW105" si="299">Rdcr_sec*EF70^2</f>
        <v>0.23168469609047823</v>
      </c>
      <c r="EX70" s="456">
        <f t="shared" si="263"/>
        <v>3.3340124241384699E-3</v>
      </c>
      <c r="EY70" s="456">
        <f t="shared" si="264"/>
        <v>34.515000905941143</v>
      </c>
      <c r="EZ70" s="456">
        <f t="shared" si="265"/>
        <v>36.436122326471256</v>
      </c>
      <c r="FA70" s="538">
        <f t="shared" si="266"/>
        <v>3.4781570077072064</v>
      </c>
      <c r="FB70" s="144">
        <f t="shared" ref="FB70:FB105" si="300">(EZ70+FA70)*1000</f>
        <v>39914.279334178456</v>
      </c>
      <c r="FC70" s="150">
        <f t="shared" ref="FC70:FC105" si="301">SUM(EO70,EQ70:ET70,EZ70:FA70)</f>
        <v>47.432838156893162</v>
      </c>
      <c r="FD70" s="5">
        <f t="shared" ref="FD70:FD105" si="302">MIN(CL70+CM70,CS70+CT70)</f>
        <v>81.314999999999998</v>
      </c>
      <c r="FE70" s="150">
        <f t="shared" ref="FE70:FE105" si="303">FD70/(FD70+FC70)</f>
        <v>0.63158342046030225</v>
      </c>
      <c r="FF70" s="5">
        <f t="shared" ref="FF70:FF105" si="304">FE70*100</f>
        <v>63.158342046030228</v>
      </c>
      <c r="FG70">
        <f t="shared" ref="FG70:FG105" si="305">CJ70/Iout*100</f>
        <v>65</v>
      </c>
      <c r="FI70" s="59">
        <f t="shared" si="267"/>
        <v>-50</v>
      </c>
      <c r="FJ70">
        <f t="shared" si="268"/>
        <v>-50</v>
      </c>
      <c r="FL70">
        <f t="shared" si="269"/>
        <v>0.52186043457008313</v>
      </c>
    </row>
    <row r="71" spans="5:168">
      <c r="E71" s="147">
        <v>66</v>
      </c>
      <c r="F71" s="188">
        <f t="shared" si="173"/>
        <v>2.64</v>
      </c>
      <c r="G71" s="188">
        <f t="shared" si="270"/>
        <v>0.56100000000000005</v>
      </c>
      <c r="H71" s="188">
        <f t="shared" si="175"/>
        <v>79.2</v>
      </c>
      <c r="I71" s="188">
        <f t="shared" si="174"/>
        <v>3.3660000000000005</v>
      </c>
      <c r="J71" s="465">
        <f t="shared" si="176"/>
        <v>33.840434179925786</v>
      </c>
      <c r="K71" s="379">
        <f t="shared" si="177"/>
        <v>30.820273223539115</v>
      </c>
      <c r="L71" s="149">
        <f t="shared" si="178"/>
        <v>64.660707403464897</v>
      </c>
      <c r="M71" s="379"/>
      <c r="N71" s="188">
        <f t="shared" si="179"/>
        <v>0.47664608788192109</v>
      </c>
      <c r="O71" s="149">
        <f t="shared" si="271"/>
        <v>234.42933746220876</v>
      </c>
      <c r="P71" s="149">
        <f t="shared" si="180"/>
        <v>9.9632468421438709</v>
      </c>
      <c r="Q71" s="188">
        <f t="shared" si="181"/>
        <v>7.8143112487402924</v>
      </c>
      <c r="R71" s="188">
        <f t="shared" si="182"/>
        <v>39.071556243701458</v>
      </c>
      <c r="S71" s="379">
        <f t="shared" si="183"/>
        <v>30</v>
      </c>
      <c r="T71" s="188">
        <f t="shared" si="184"/>
        <v>10.23762651032059</v>
      </c>
      <c r="U71" s="188">
        <f t="shared" si="185"/>
        <v>1.4218743276955288</v>
      </c>
      <c r="V71" s="188">
        <f t="shared" si="186"/>
        <v>1.5612075937651755</v>
      </c>
      <c r="W71" s="172">
        <f t="shared" si="187"/>
        <v>350</v>
      </c>
      <c r="X71" s="379">
        <f t="shared" si="272"/>
        <v>314.16093731609135</v>
      </c>
      <c r="Z71" s="188">
        <f t="shared" si="188"/>
        <v>9.8054167562840568</v>
      </c>
      <c r="AA71" s="150">
        <f t="shared" si="189"/>
        <v>1.4952968917659402</v>
      </c>
      <c r="AB71" s="150">
        <f t="shared" si="190"/>
        <v>2.4612485464505638</v>
      </c>
      <c r="AC71" s="150"/>
      <c r="AD71" s="150">
        <f t="shared" si="191"/>
        <v>0.92422439860439198</v>
      </c>
      <c r="AE71" s="314">
        <f t="shared" si="192"/>
        <v>982.68991964662484</v>
      </c>
      <c r="AF71" s="456">
        <f t="shared" si="193"/>
        <v>0.94027625757295907</v>
      </c>
      <c r="AH71" s="150">
        <f t="shared" si="194"/>
        <v>10.019191311122638</v>
      </c>
      <c r="AI71" s="150">
        <f t="shared" si="195"/>
        <v>10.23762651032059</v>
      </c>
      <c r="AJ71" s="150">
        <f t="shared" si="196"/>
        <v>4.2940892220107623</v>
      </c>
      <c r="AL71" s="314">
        <f t="shared" si="197"/>
        <v>2640</v>
      </c>
      <c r="AM71" s="144">
        <f t="shared" si="198"/>
        <v>314.16093731609135</v>
      </c>
      <c r="AO71">
        <f t="shared" si="273"/>
        <v>2640</v>
      </c>
      <c r="AP71">
        <f t="shared" si="199"/>
        <v>314.16093731609135</v>
      </c>
      <c r="AR71" s="5">
        <f t="shared" si="274"/>
        <v>3.1830819214607047</v>
      </c>
      <c r="AS71" s="5">
        <f t="shared" si="200"/>
        <v>1.4218743276955288</v>
      </c>
      <c r="AT71" s="5">
        <f t="shared" si="275"/>
        <v>1.7612075937651759</v>
      </c>
      <c r="AU71" s="150">
        <f t="shared" si="276"/>
        <v>0.44669737153451455</v>
      </c>
      <c r="AW71" s="5">
        <f t="shared" si="201"/>
        <v>12.512494083720654</v>
      </c>
      <c r="AX71" s="5">
        <f t="shared" si="202"/>
        <v>13.294524963953195</v>
      </c>
      <c r="AY71" s="5">
        <f t="shared" si="203"/>
        <v>2.4246601962569359</v>
      </c>
      <c r="AZ71" s="5"/>
      <c r="BA71" s="150">
        <f t="shared" si="277"/>
        <v>3.9504389325185363</v>
      </c>
      <c r="BB71" s="150">
        <f t="shared" si="204"/>
        <v>4.2173918769094429</v>
      </c>
      <c r="BC71" s="150">
        <f t="shared" si="205"/>
        <v>0.84656031559962996</v>
      </c>
      <c r="BD71" s="150"/>
      <c r="BE71" s="456">
        <f t="shared" si="206"/>
        <v>0.18727161311469831</v>
      </c>
      <c r="BF71" s="456">
        <f t="shared" si="207"/>
        <v>3.7953758157580935</v>
      </c>
      <c r="BG71" s="456">
        <f t="shared" si="208"/>
        <v>3.612850779135051E-2</v>
      </c>
      <c r="BH71" s="456">
        <f t="shared" si="209"/>
        <v>0.67974096120620364</v>
      </c>
      <c r="BI71">
        <f t="shared" si="210"/>
        <v>1.5228195380966604E-2</v>
      </c>
      <c r="BJ71" s="144">
        <f t="shared" si="278"/>
        <v>51.356703172317118</v>
      </c>
      <c r="BK71">
        <f t="shared" si="211"/>
        <v>4.9324235376192398</v>
      </c>
      <c r="BL71" s="144">
        <f t="shared" si="279"/>
        <v>4932.4235376192401</v>
      </c>
      <c r="BM71" s="150">
        <f t="shared" si="212"/>
        <v>1.7703839999999997</v>
      </c>
      <c r="BN71" s="150">
        <f t="shared" si="213"/>
        <v>0.26871900000000004</v>
      </c>
      <c r="BO71" s="456"/>
      <c r="BQ71" s="144">
        <f t="shared" si="280"/>
        <v>2039.1029999999998</v>
      </c>
      <c r="BR71" s="456">
        <f t="shared" si="214"/>
        <v>0.21848354863381469</v>
      </c>
      <c r="BS71" s="456">
        <f t="shared" si="215"/>
        <v>0.24900951940790456</v>
      </c>
      <c r="BT71" s="456">
        <f t="shared" si="216"/>
        <v>3.5833218397407257E-3</v>
      </c>
      <c r="BU71" s="456">
        <f t="shared" si="217"/>
        <v>29.332472232244605</v>
      </c>
      <c r="BV71" s="456">
        <f t="shared" si="218"/>
        <v>31.088200330048899</v>
      </c>
      <c r="BW71" s="538">
        <f t="shared" si="219"/>
        <v>3.2926892599962523</v>
      </c>
      <c r="BX71" s="144">
        <f t="shared" si="281"/>
        <v>34380.889590045153</v>
      </c>
      <c r="BY71" s="150">
        <f t="shared" si="282"/>
        <v>41.352416127664391</v>
      </c>
      <c r="BZ71" s="5">
        <f t="shared" si="283"/>
        <v>82.566000000000003</v>
      </c>
      <c r="CA71" s="150">
        <f t="shared" si="284"/>
        <v>0.6662932159731455</v>
      </c>
      <c r="CB71" s="5">
        <f t="shared" si="285"/>
        <v>66.629321597314544</v>
      </c>
      <c r="CC71">
        <f t="shared" si="286"/>
        <v>66</v>
      </c>
      <c r="CE71" s="59">
        <f t="shared" si="220"/>
        <v>-50</v>
      </c>
      <c r="CF71">
        <f t="shared" si="221"/>
        <v>-50</v>
      </c>
      <c r="CG71" s="150">
        <f t="shared" si="222"/>
        <v>0.52186043457008313</v>
      </c>
      <c r="CH71" s="150">
        <f t="shared" si="223"/>
        <v>0.1101511240772718</v>
      </c>
      <c r="CI71" s="147">
        <v>66</v>
      </c>
      <c r="CJ71" s="188">
        <f t="shared" si="133"/>
        <v>2.64</v>
      </c>
      <c r="CK71" s="188">
        <f t="shared" si="287"/>
        <v>0.56100000000000005</v>
      </c>
      <c r="CL71" s="188">
        <f t="shared" si="224"/>
        <v>79.2</v>
      </c>
      <c r="CM71" s="188">
        <f t="shared" si="134"/>
        <v>3.3660000000000005</v>
      </c>
      <c r="CN71" s="465">
        <f t="shared" si="288"/>
        <v>34</v>
      </c>
      <c r="CO71" s="379">
        <f t="shared" si="225"/>
        <v>30.7</v>
      </c>
      <c r="CP71" s="379">
        <f t="shared" si="226"/>
        <v>64.7</v>
      </c>
      <c r="CQ71" s="379"/>
      <c r="CR71" s="188">
        <f t="shared" si="227"/>
        <v>0.47204968944099374</v>
      </c>
      <c r="CS71" s="149">
        <f t="shared" si="289"/>
        <v>233.26341749863801</v>
      </c>
      <c r="CT71" s="149">
        <f t="shared" si="228"/>
        <v>9.9136952436921142</v>
      </c>
      <c r="CU71" s="188">
        <f t="shared" si="229"/>
        <v>7.7754472499545999</v>
      </c>
      <c r="CV71" s="188">
        <f t="shared" si="230"/>
        <v>38.877236249772999</v>
      </c>
      <c r="CW71" s="379">
        <f t="shared" si="231"/>
        <v>30</v>
      </c>
      <c r="CX71" s="188">
        <f t="shared" si="232"/>
        <v>10.288797213622292</v>
      </c>
      <c r="CY71" s="188">
        <f t="shared" si="233"/>
        <v>1.4222749089419051</v>
      </c>
      <c r="CZ71" s="188">
        <f t="shared" si="234"/>
        <v>1.5751578796099275</v>
      </c>
      <c r="DA71" s="172">
        <f t="shared" si="235"/>
        <v>350</v>
      </c>
      <c r="DB71" s="379">
        <f t="shared" si="290"/>
        <v>333.61882335421302</v>
      </c>
      <c r="DD71" s="188">
        <f t="shared" si="236"/>
        <v>9.8072469146822137</v>
      </c>
      <c r="DE71" s="150">
        <f t="shared" si="237"/>
        <v>1.5014351954073746</v>
      </c>
      <c r="DF71" s="150">
        <f t="shared" si="238"/>
        <v>2.4718134248028734</v>
      </c>
      <c r="DG71" s="150"/>
      <c r="DH71" s="150">
        <f t="shared" si="239"/>
        <v>0.92784522751949461</v>
      </c>
      <c r="DI71" s="314">
        <f t="shared" si="240"/>
        <v>978.85506446808529</v>
      </c>
      <c r="DJ71" s="456">
        <f t="shared" si="241"/>
        <v>0.94395997276890675</v>
      </c>
      <c r="DL71" s="150">
        <f t="shared" si="242"/>
        <v>10.019191311122638</v>
      </c>
      <c r="DM71" s="150">
        <f t="shared" si="243"/>
        <v>10.288797213622292</v>
      </c>
      <c r="DN71" s="150">
        <f t="shared" si="244"/>
        <v>4.3319934466786902</v>
      </c>
      <c r="DP71" s="314">
        <f t="shared" si="245"/>
        <v>2640</v>
      </c>
      <c r="DQ71" s="144">
        <f t="shared" si="246"/>
        <v>333.61882335421302</v>
      </c>
      <c r="DS71">
        <f t="shared" si="291"/>
        <v>2640</v>
      </c>
      <c r="DT71">
        <f t="shared" si="247"/>
        <v>333.61882335421302</v>
      </c>
      <c r="DV71" s="5">
        <f t="shared" si="292"/>
        <v>2.9974327885518326</v>
      </c>
      <c r="DW71" s="5">
        <f t="shared" si="248"/>
        <v>1.4222749089419051</v>
      </c>
      <c r="DX71" s="5">
        <f t="shared" si="293"/>
        <v>1.5751578796099275</v>
      </c>
      <c r="DY71" s="150">
        <f t="shared" si="294"/>
        <v>0.47449768160741884</v>
      </c>
      <c r="EA71" s="5">
        <f t="shared" si="249"/>
        <v>12.516019198688767</v>
      </c>
      <c r="EB71" s="5">
        <f t="shared" si="250"/>
        <v>13.298270398606814</v>
      </c>
      <c r="EC71" s="5">
        <f t="shared" si="251"/>
        <v>2.1583478211956098</v>
      </c>
      <c r="ED71" s="5"/>
      <c r="EE71" s="150">
        <f t="shared" si="295"/>
        <v>4.0918624631238547</v>
      </c>
      <c r="EF71" s="150">
        <f t="shared" si="252"/>
        <v>4.1306199170225257</v>
      </c>
      <c r="EG71" s="150">
        <f t="shared" si="253"/>
        <v>0.82914251334386757</v>
      </c>
      <c r="EH71" s="150"/>
      <c r="EI71" s="456">
        <f t="shared" si="254"/>
        <v>0.20092006100546422</v>
      </c>
      <c r="EJ71" s="456">
        <f t="shared" si="255"/>
        <v>4.219617021276596</v>
      </c>
      <c r="EK71" s="456">
        <f t="shared" si="256"/>
        <v>3.8366164685734505E-2</v>
      </c>
      <c r="EL71" s="456">
        <f t="shared" si="257"/>
        <v>0.72271898248187849</v>
      </c>
      <c r="EM71">
        <f t="shared" si="258"/>
        <v>1.5299999999999999E-2</v>
      </c>
      <c r="EN71" s="144">
        <f t="shared" si="296"/>
        <v>53.666164685734508</v>
      </c>
      <c r="EO71">
        <f t="shared" si="259"/>
        <v>5.5144214411470989</v>
      </c>
      <c r="EP71" s="144">
        <f t="shared" si="297"/>
        <v>5514.4214411470984</v>
      </c>
      <c r="EQ71" s="150">
        <f t="shared" si="260"/>
        <v>1.7703839999999997</v>
      </c>
      <c r="ER71" s="150">
        <f t="shared" si="261"/>
        <v>0.26871900000000004</v>
      </c>
      <c r="ES71" s="456"/>
      <c r="EU71" s="144">
        <f t="shared" si="298"/>
        <v>2039.1029999999998</v>
      </c>
      <c r="EV71" s="456">
        <f t="shared" si="262"/>
        <v>0.23440673783970825</v>
      </c>
      <c r="EW71" s="456">
        <f t="shared" si="299"/>
        <v>0.23886829258464451</v>
      </c>
      <c r="EX71" s="456">
        <f t="shared" si="263"/>
        <v>3.4373865371709277E-3</v>
      </c>
      <c r="EY71" s="456">
        <f t="shared" si="264"/>
        <v>34.515000905941179</v>
      </c>
      <c r="EZ71" s="456">
        <f t="shared" si="265"/>
        <v>36.498050201030779</v>
      </c>
      <c r="FA71" s="538">
        <f t="shared" si="266"/>
        <v>3.5316671155180863</v>
      </c>
      <c r="FB71" s="144">
        <f t="shared" si="300"/>
        <v>40029.717316548871</v>
      </c>
      <c r="FC71" s="150">
        <f t="shared" si="301"/>
        <v>47.583241757695959</v>
      </c>
      <c r="FD71" s="5">
        <f t="shared" si="302"/>
        <v>82.566000000000003</v>
      </c>
      <c r="FE71" s="150">
        <f t="shared" si="303"/>
        <v>0.63439478313455278</v>
      </c>
      <c r="FF71" s="5">
        <f t="shared" si="304"/>
        <v>63.439478313455275</v>
      </c>
      <c r="FG71">
        <f t="shared" si="305"/>
        <v>66</v>
      </c>
      <c r="FI71" s="59">
        <f t="shared" si="267"/>
        <v>-50</v>
      </c>
      <c r="FJ71">
        <f t="shared" si="268"/>
        <v>-50</v>
      </c>
      <c r="FL71">
        <f t="shared" si="269"/>
        <v>0.52186043457008313</v>
      </c>
    </row>
    <row r="72" spans="5:168">
      <c r="E72" s="147">
        <v>67</v>
      </c>
      <c r="F72" s="188">
        <f t="shared" ref="F72:F103" si="306">IF(PLOT_TYPE=1, E72/100*Iout_max, min_I*EXP(O72*rr/100))</f>
        <v>2.68</v>
      </c>
      <c r="G72" s="188">
        <f t="shared" si="270"/>
        <v>0.56950000000000001</v>
      </c>
      <c r="H72" s="188">
        <f t="shared" si="175"/>
        <v>80.400000000000006</v>
      </c>
      <c r="I72" s="188">
        <f t="shared" ref="I72:I105" si="307">Vout2*G72</f>
        <v>3.4169999999999998</v>
      </c>
      <c r="J72" s="465">
        <f t="shared" si="176"/>
        <v>33.838016515985267</v>
      </c>
      <c r="K72" s="379">
        <f t="shared" si="177"/>
        <v>30.822095545107889</v>
      </c>
      <c r="L72" s="149">
        <f t="shared" si="178"/>
        <v>64.660112061093159</v>
      </c>
      <c r="M72" s="379"/>
      <c r="N72" s="188">
        <f t="shared" si="179"/>
        <v>0.47667865957278399</v>
      </c>
      <c r="O72" s="149">
        <f t="shared" si="271"/>
        <v>234.42860773841412</v>
      </c>
      <c r="P72" s="149">
        <f t="shared" si="180"/>
        <v>9.963215828882598</v>
      </c>
      <c r="Q72" s="188">
        <f t="shared" si="181"/>
        <v>7.8142869246138043</v>
      </c>
      <c r="R72" s="188">
        <f t="shared" si="182"/>
        <v>39.071434623069017</v>
      </c>
      <c r="S72" s="379">
        <f t="shared" si="183"/>
        <v>30</v>
      </c>
      <c r="T72" s="188">
        <f t="shared" si="184"/>
        <v>10.392774413787587</v>
      </c>
      <c r="U72" s="188">
        <f t="shared" si="185"/>
        <v>1.4435255010212114</v>
      </c>
      <c r="V72" s="188">
        <f t="shared" si="186"/>
        <v>1.5847734841168042</v>
      </c>
      <c r="W72" s="172">
        <f t="shared" si="187"/>
        <v>350</v>
      </c>
      <c r="X72" s="379">
        <f t="shared" si="272"/>
        <v>309.76065246857803</v>
      </c>
      <c r="Z72" s="188">
        <f t="shared" si="188"/>
        <v>9.8053862343109923</v>
      </c>
      <c r="AA72" s="150">
        <f t="shared" si="189"/>
        <v>1.4952038297920458</v>
      </c>
      <c r="AB72" s="150">
        <f t="shared" si="190"/>
        <v>2.4610877062571705</v>
      </c>
      <c r="AC72" s="150"/>
      <c r="AD72" s="150">
        <f t="shared" si="191"/>
        <v>0.92416975488123898</v>
      </c>
      <c r="AE72" s="314">
        <f t="shared" si="192"/>
        <v>997.63814508134442</v>
      </c>
      <c r="AF72" s="456">
        <f t="shared" si="193"/>
        <v>0.94022066480178357</v>
      </c>
      <c r="AH72" s="150">
        <f t="shared" si="194"/>
        <v>10.094808922077341</v>
      </c>
      <c r="AI72" s="150">
        <f t="shared" si="195"/>
        <v>10.392774413787587</v>
      </c>
      <c r="AJ72" s="150">
        <f t="shared" si="196"/>
        <v>4.4090135949492781</v>
      </c>
      <c r="AL72" s="314">
        <f t="shared" si="197"/>
        <v>2680</v>
      </c>
      <c r="AM72" s="144">
        <f t="shared" si="198"/>
        <v>309.76065246857803</v>
      </c>
      <c r="AO72">
        <f t="shared" si="273"/>
        <v>2680</v>
      </c>
      <c r="AP72">
        <f t="shared" si="199"/>
        <v>309.76065246857803</v>
      </c>
      <c r="AR72" s="5">
        <f t="shared" si="274"/>
        <v>3.2282989851380157</v>
      </c>
      <c r="AS72" s="5">
        <f t="shared" si="200"/>
        <v>1.4435255010212114</v>
      </c>
      <c r="AT72" s="5">
        <f t="shared" si="275"/>
        <v>1.7847734841168044</v>
      </c>
      <c r="AU72" s="150">
        <f t="shared" si="276"/>
        <v>0.44714740105136142</v>
      </c>
      <c r="AW72" s="5">
        <f t="shared" si="201"/>
        <v>12.895494475789489</v>
      </c>
      <c r="AX72" s="5">
        <f t="shared" si="202"/>
        <v>13.701462880526332</v>
      </c>
      <c r="AY72" s="5">
        <f t="shared" si="203"/>
        <v>2.4945104891504437</v>
      </c>
      <c r="AZ72" s="5"/>
      <c r="BA72" s="150">
        <f t="shared" si="277"/>
        <v>4.0123261532134142</v>
      </c>
      <c r="BB72" s="150">
        <f t="shared" si="204"/>
        <v>4.2795636234277357</v>
      </c>
      <c r="BC72" s="150">
        <f t="shared" si="205"/>
        <v>0.85904009810266746</v>
      </c>
      <c r="BD72" s="150"/>
      <c r="BE72" s="456">
        <f t="shared" si="206"/>
        <v>0.19318513391712425</v>
      </c>
      <c r="BF72" s="456">
        <f t="shared" si="207"/>
        <v>3.7988930994295727</v>
      </c>
      <c r="BG72" s="456">
        <f t="shared" si="208"/>
        <v>3.5622475033886478E-2</v>
      </c>
      <c r="BH72" s="456">
        <f t="shared" si="209"/>
        <v>0.67020785015355167</v>
      </c>
      <c r="BI72">
        <f t="shared" si="210"/>
        <v>1.522710743219337E-2</v>
      </c>
      <c r="BJ72" s="144">
        <f t="shared" si="278"/>
        <v>50.849582466079845</v>
      </c>
      <c r="BK72">
        <f t="shared" si="211"/>
        <v>4.9412534980293703</v>
      </c>
      <c r="BL72" s="144">
        <f t="shared" si="279"/>
        <v>4941.2534980293703</v>
      </c>
      <c r="BM72" s="150">
        <f t="shared" si="212"/>
        <v>1.7972079999999999</v>
      </c>
      <c r="BN72" s="150">
        <f t="shared" si="213"/>
        <v>0.27279049999999999</v>
      </c>
      <c r="BO72" s="456"/>
      <c r="BQ72" s="144">
        <f t="shared" si="280"/>
        <v>2069.9985000000001</v>
      </c>
      <c r="BR72" s="456">
        <f t="shared" si="214"/>
        <v>0.22538265623664497</v>
      </c>
      <c r="BS72" s="456">
        <f t="shared" si="215"/>
        <v>0.25640530729752303</v>
      </c>
      <c r="BT72" s="456">
        <f t="shared" si="216"/>
        <v>3.6897494507412026E-3</v>
      </c>
      <c r="BU72" s="456">
        <f t="shared" si="217"/>
        <v>29.40115433193872</v>
      </c>
      <c r="BV72" s="456">
        <f t="shared" si="218"/>
        <v>31.215501102847057</v>
      </c>
      <c r="BW72" s="538">
        <f t="shared" si="219"/>
        <v>3.3457173735492876</v>
      </c>
      <c r="BX72" s="144">
        <f t="shared" si="281"/>
        <v>34561.218476396338</v>
      </c>
      <c r="BY72" s="150">
        <f t="shared" si="282"/>
        <v>41.572470474425714</v>
      </c>
      <c r="BZ72" s="5">
        <f t="shared" si="283"/>
        <v>83.817000000000007</v>
      </c>
      <c r="CA72" s="150">
        <f t="shared" si="284"/>
        <v>0.66845325754123208</v>
      </c>
      <c r="CB72" s="5">
        <f t="shared" si="285"/>
        <v>66.845325754123209</v>
      </c>
      <c r="CC72">
        <f t="shared" si="286"/>
        <v>67</v>
      </c>
      <c r="CE72" s="59">
        <f t="shared" si="220"/>
        <v>-50</v>
      </c>
      <c r="CF72">
        <f t="shared" si="221"/>
        <v>-50</v>
      </c>
      <c r="CG72" s="150">
        <f t="shared" si="222"/>
        <v>0.52186043457008313</v>
      </c>
      <c r="CH72" s="150">
        <f t="shared" si="223"/>
        <v>0.11015112407727176</v>
      </c>
      <c r="CI72" s="147">
        <v>67</v>
      </c>
      <c r="CJ72" s="188">
        <f t="shared" ref="CJ72:CJ105" si="308">IF(PLOT_TYPE=1, CI72/100*Iout_max, min_I*EXP(CS72*rr/100))</f>
        <v>2.68</v>
      </c>
      <c r="CK72" s="188">
        <f t="shared" si="287"/>
        <v>0.56950000000000001</v>
      </c>
      <c r="CL72" s="188">
        <f t="shared" si="224"/>
        <v>80.400000000000006</v>
      </c>
      <c r="CM72" s="188">
        <f t="shared" ref="CM72:CM105" si="309">Vout2*CK72</f>
        <v>3.4169999999999998</v>
      </c>
      <c r="CN72" s="465">
        <f t="shared" si="288"/>
        <v>34</v>
      </c>
      <c r="CO72" s="379">
        <f t="shared" si="225"/>
        <v>30.7</v>
      </c>
      <c r="CP72" s="379">
        <f t="shared" si="226"/>
        <v>64.7</v>
      </c>
      <c r="CQ72" s="379"/>
      <c r="CR72" s="188">
        <f t="shared" si="227"/>
        <v>0.47204968944099374</v>
      </c>
      <c r="CS72" s="149">
        <f t="shared" si="289"/>
        <v>233.26341749863801</v>
      </c>
      <c r="CT72" s="149">
        <f t="shared" si="228"/>
        <v>9.9136952436921142</v>
      </c>
      <c r="CU72" s="188">
        <f t="shared" si="229"/>
        <v>7.7754472499545999</v>
      </c>
      <c r="CV72" s="188">
        <f t="shared" si="230"/>
        <v>38.877236249772999</v>
      </c>
      <c r="CW72" s="379">
        <f t="shared" si="231"/>
        <v>30</v>
      </c>
      <c r="CX72" s="188">
        <f t="shared" si="232"/>
        <v>10.444688080495357</v>
      </c>
      <c r="CY72" s="188">
        <f t="shared" si="233"/>
        <v>1.4438245287743583</v>
      </c>
      <c r="CZ72" s="188">
        <f t="shared" si="234"/>
        <v>1.5990239080888657</v>
      </c>
      <c r="DA72" s="172">
        <f t="shared" si="235"/>
        <v>350</v>
      </c>
      <c r="DB72" s="379">
        <f t="shared" si="290"/>
        <v>328.63943793101578</v>
      </c>
      <c r="DD72" s="188">
        <f t="shared" si="236"/>
        <v>9.8072469146822137</v>
      </c>
      <c r="DE72" s="150">
        <f t="shared" si="237"/>
        <v>1.5014351954073746</v>
      </c>
      <c r="DF72" s="150">
        <f t="shared" si="238"/>
        <v>2.4718134248028734</v>
      </c>
      <c r="DG72" s="150"/>
      <c r="DH72" s="150">
        <f t="shared" si="239"/>
        <v>0.92784522751949461</v>
      </c>
      <c r="DI72" s="314">
        <f t="shared" si="240"/>
        <v>993.68620180851065</v>
      </c>
      <c r="DJ72" s="456">
        <f t="shared" si="241"/>
        <v>0.94395997276890675</v>
      </c>
      <c r="DL72" s="150">
        <f t="shared" si="242"/>
        <v>10.094808922077341</v>
      </c>
      <c r="DM72" s="150">
        <f t="shared" si="243"/>
        <v>10.444688080495357</v>
      </c>
      <c r="DN72" s="150">
        <f t="shared" si="244"/>
        <v>4.4474681628809609</v>
      </c>
      <c r="DP72" s="314">
        <f t="shared" si="245"/>
        <v>2680</v>
      </c>
      <c r="DQ72" s="144">
        <f t="shared" si="246"/>
        <v>328.63943793101578</v>
      </c>
      <c r="DS72">
        <f t="shared" si="291"/>
        <v>2680</v>
      </c>
      <c r="DT72">
        <f t="shared" si="247"/>
        <v>328.63943793101578</v>
      </c>
      <c r="DV72" s="5">
        <f t="shared" si="292"/>
        <v>3.0428484368632245</v>
      </c>
      <c r="DW72" s="5">
        <f t="shared" si="248"/>
        <v>1.4438245287743583</v>
      </c>
      <c r="DX72" s="5">
        <f t="shared" si="293"/>
        <v>1.5990239080888662</v>
      </c>
      <c r="DY72" s="150">
        <f t="shared" si="294"/>
        <v>0.47449768160741879</v>
      </c>
      <c r="EA72" s="5">
        <f t="shared" si="249"/>
        <v>12.898165790384269</v>
      </c>
      <c r="EB72" s="5">
        <f t="shared" si="250"/>
        <v>13.704301152283284</v>
      </c>
      <c r="EC72" s="5">
        <f t="shared" si="251"/>
        <v>2.2242477891063119</v>
      </c>
      <c r="ED72" s="5"/>
      <c r="EE72" s="150">
        <f t="shared" si="295"/>
        <v>4.1538603792317925</v>
      </c>
      <c r="EF72" s="150">
        <f t="shared" si="252"/>
        <v>4.1932050672804433</v>
      </c>
      <c r="EG72" s="150">
        <f t="shared" si="253"/>
        <v>0.84170527869756273</v>
      </c>
      <c r="EH72" s="150"/>
      <c r="EI72" s="456">
        <f t="shared" si="254"/>
        <v>0.20705467260182031</v>
      </c>
      <c r="EJ72" s="456">
        <f t="shared" si="255"/>
        <v>4.219617021276596</v>
      </c>
      <c r="EK72" s="456">
        <f t="shared" si="256"/>
        <v>3.7793535362066824E-2</v>
      </c>
      <c r="EL72" s="456">
        <f t="shared" si="257"/>
        <v>0.71193213199707428</v>
      </c>
      <c r="EM72">
        <f t="shared" si="258"/>
        <v>1.5299999999999999E-2</v>
      </c>
      <c r="EN72" s="144">
        <f t="shared" si="296"/>
        <v>53.093535362066824</v>
      </c>
      <c r="EO72">
        <f t="shared" si="259"/>
        <v>5.5191218932958703</v>
      </c>
      <c r="EP72" s="144">
        <f t="shared" si="297"/>
        <v>5519.12189329587</v>
      </c>
      <c r="EQ72" s="150">
        <f t="shared" si="260"/>
        <v>1.7972079999999999</v>
      </c>
      <c r="ER72" s="150">
        <f t="shared" si="261"/>
        <v>0.27279049999999999</v>
      </c>
      <c r="ES72" s="456"/>
      <c r="EU72" s="144">
        <f t="shared" si="298"/>
        <v>2069.9985000000001</v>
      </c>
      <c r="EV72" s="456">
        <f t="shared" si="262"/>
        <v>0.2415637847021237</v>
      </c>
      <c r="EW72" s="456">
        <f t="shared" si="299"/>
        <v>0.24616156230772943</v>
      </c>
      <c r="EX72" s="456">
        <f t="shared" si="263"/>
        <v>3.5423388809367089E-3</v>
      </c>
      <c r="EY72" s="456">
        <f t="shared" si="264"/>
        <v>34.515000905941179</v>
      </c>
      <c r="EZ72" s="456">
        <f t="shared" si="265"/>
        <v>36.561074805516654</v>
      </c>
      <c r="FA72" s="538">
        <f t="shared" si="266"/>
        <v>3.5851772233289663</v>
      </c>
      <c r="FB72" s="144">
        <f t="shared" si="300"/>
        <v>40146.252028845622</v>
      </c>
      <c r="FC72" s="150">
        <f t="shared" si="301"/>
        <v>47.735372422141495</v>
      </c>
      <c r="FD72" s="5">
        <f t="shared" si="302"/>
        <v>83.817000000000007</v>
      </c>
      <c r="FE72" s="150">
        <f t="shared" si="303"/>
        <v>0.63713788247799641</v>
      </c>
      <c r="FF72" s="5">
        <f t="shared" si="304"/>
        <v>63.713788247799641</v>
      </c>
      <c r="FG72">
        <f t="shared" si="305"/>
        <v>67</v>
      </c>
      <c r="FI72" s="59">
        <f t="shared" si="267"/>
        <v>-50</v>
      </c>
      <c r="FJ72">
        <f t="shared" si="268"/>
        <v>-50</v>
      </c>
      <c r="FL72">
        <f t="shared" si="269"/>
        <v>0.52186043457008313</v>
      </c>
    </row>
    <row r="73" spans="5:168">
      <c r="E73" s="147">
        <v>68</v>
      </c>
      <c r="F73" s="188">
        <f t="shared" si="306"/>
        <v>2.72</v>
      </c>
      <c r="G73" s="188">
        <f t="shared" si="270"/>
        <v>0.57800000000000007</v>
      </c>
      <c r="H73" s="188">
        <f t="shared" si="175"/>
        <v>81.600000000000009</v>
      </c>
      <c r="I73" s="188">
        <f t="shared" si="307"/>
        <v>3.4680000000000004</v>
      </c>
      <c r="J73" s="465">
        <f t="shared" si="176"/>
        <v>33.835598852044747</v>
      </c>
      <c r="K73" s="379">
        <f t="shared" si="177"/>
        <v>30.823917866676663</v>
      </c>
      <c r="L73" s="149">
        <f t="shared" si="178"/>
        <v>64.659516718721406</v>
      </c>
      <c r="M73" s="379"/>
      <c r="N73" s="188">
        <f t="shared" si="179"/>
        <v>0.47671123186344444</v>
      </c>
      <c r="O73" s="149">
        <f t="shared" si="271"/>
        <v>234.42787602057408</v>
      </c>
      <c r="P73" s="149">
        <f t="shared" si="180"/>
        <v>9.9631847308743975</v>
      </c>
      <c r="Q73" s="188">
        <f t="shared" si="181"/>
        <v>7.8142625340191358</v>
      </c>
      <c r="R73" s="188">
        <f t="shared" si="182"/>
        <v>39.071312670095679</v>
      </c>
      <c r="S73" s="379">
        <f t="shared" si="183"/>
        <v>30</v>
      </c>
      <c r="T73" s="188">
        <f t="shared" si="184"/>
        <v>10.547923372859717</v>
      </c>
      <c r="U73" s="188">
        <f t="shared" si="185"/>
        <v>1.4651799150717484</v>
      </c>
      <c r="V73" s="188">
        <f t="shared" si="186"/>
        <v>1.6083367489775147</v>
      </c>
      <c r="W73" s="172">
        <f t="shared" si="187"/>
        <v>350</v>
      </c>
      <c r="X73" s="379">
        <f t="shared" si="272"/>
        <v>305.48187244082129</v>
      </c>
      <c r="Z73" s="188">
        <f t="shared" si="188"/>
        <v>9.8053556289334924</v>
      </c>
      <c r="AA73" s="150">
        <f t="shared" si="189"/>
        <v>1.4951107661044443</v>
      </c>
      <c r="AB73" s="150">
        <f t="shared" si="190"/>
        <v>2.4609268432640041</v>
      </c>
      <c r="AC73" s="150"/>
      <c r="AD73" s="150">
        <f t="shared" si="191"/>
        <v>0.92411511761920062</v>
      </c>
      <c r="AE73" s="314">
        <f t="shared" si="192"/>
        <v>1012.5881312392867</v>
      </c>
      <c r="AF73" s="456">
        <f t="shared" si="193"/>
        <v>0.9401650786039395</v>
      </c>
      <c r="AH73" s="150">
        <f t="shared" si="194"/>
        <v>10.16986429691317</v>
      </c>
      <c r="AI73" s="150">
        <f t="shared" si="195"/>
        <v>10.547923372859717</v>
      </c>
      <c r="AJ73" s="150">
        <f t="shared" si="196"/>
        <v>4.5239387498175239</v>
      </c>
      <c r="AL73" s="314">
        <f t="shared" si="197"/>
        <v>2720</v>
      </c>
      <c r="AM73" s="144">
        <f t="shared" si="198"/>
        <v>305.48187244082129</v>
      </c>
      <c r="AO73">
        <f t="shared" si="273"/>
        <v>2720</v>
      </c>
      <c r="AP73">
        <f t="shared" si="199"/>
        <v>305.48187244082129</v>
      </c>
      <c r="AR73" s="5">
        <f t="shared" si="274"/>
        <v>3.2735166640492639</v>
      </c>
      <c r="AS73" s="5">
        <f t="shared" si="200"/>
        <v>1.4651799150717484</v>
      </c>
      <c r="AT73" s="5">
        <f t="shared" si="275"/>
        <v>1.8083367489775155</v>
      </c>
      <c r="AU73" s="150">
        <f t="shared" si="276"/>
        <v>0.44758590391880115</v>
      </c>
      <c r="AW73" s="5">
        <f t="shared" si="201"/>
        <v>13.28429789665052</v>
      </c>
      <c r="AX73" s="5">
        <f t="shared" si="202"/>
        <v>14.114566515191179</v>
      </c>
      <c r="AY73" s="5">
        <f t="shared" si="203"/>
        <v>2.5653503084274583</v>
      </c>
      <c r="AZ73" s="5"/>
      <c r="BA73" s="150">
        <f t="shared" si="277"/>
        <v>4.0742205882201166</v>
      </c>
      <c r="BB73" s="150">
        <f t="shared" si="204"/>
        <v>4.3417283878602317</v>
      </c>
      <c r="BC73" s="150">
        <f t="shared" si="205"/>
        <v>0.87151847908625191</v>
      </c>
      <c r="BD73" s="150"/>
      <c r="BE73" s="456">
        <f t="shared" si="206"/>
        <v>0.19919128081772008</v>
      </c>
      <c r="BF73" s="456">
        <f t="shared" si="207"/>
        <v>3.8023118506676896</v>
      </c>
      <c r="BG73" s="456">
        <f t="shared" si="208"/>
        <v>3.5130415330694449E-2</v>
      </c>
      <c r="BH73" s="456">
        <f t="shared" si="209"/>
        <v>0.66093797664167686</v>
      </c>
      <c r="BI73">
        <f t="shared" si="210"/>
        <v>1.5226019483420136E-2</v>
      </c>
      <c r="BJ73" s="144">
        <f t="shared" si="278"/>
        <v>50.356434814114586</v>
      </c>
      <c r="BK73">
        <f t="shared" si="211"/>
        <v>4.950520224236989</v>
      </c>
      <c r="BL73" s="144">
        <f t="shared" si="279"/>
        <v>4950.5202242369887</v>
      </c>
      <c r="BM73" s="150">
        <f t="shared" si="212"/>
        <v>1.8240319999999999</v>
      </c>
      <c r="BN73" s="150">
        <f t="shared" si="213"/>
        <v>0.276862</v>
      </c>
      <c r="BO73" s="456"/>
      <c r="BQ73" s="144">
        <f t="shared" si="280"/>
        <v>2100.8939999999998</v>
      </c>
      <c r="BR73" s="456">
        <f t="shared" si="214"/>
        <v>0.23238982762067342</v>
      </c>
      <c r="BS73" s="456">
        <f t="shared" si="215"/>
        <v>0.26390847551531971</v>
      </c>
      <c r="BT73" s="456">
        <f t="shared" si="216"/>
        <v>3.7977222969440682E-3</v>
      </c>
      <c r="BU73" s="456">
        <f t="shared" si="217"/>
        <v>29.468024990428709</v>
      </c>
      <c r="BV73" s="456">
        <f t="shared" si="218"/>
        <v>31.342067534181126</v>
      </c>
      <c r="BW73" s="538">
        <f t="shared" si="219"/>
        <v>3.3987512176613119</v>
      </c>
      <c r="BX73" s="144">
        <f t="shared" si="281"/>
        <v>34740.818751842438</v>
      </c>
      <c r="BY73" s="150">
        <f t="shared" si="282"/>
        <v>41.792232976079433</v>
      </c>
      <c r="BZ73" s="5">
        <f t="shared" si="283"/>
        <v>85.068000000000012</v>
      </c>
      <c r="CA73" s="150">
        <f t="shared" si="284"/>
        <v>0.67056474676378919</v>
      </c>
      <c r="CB73" s="5">
        <f t="shared" si="285"/>
        <v>67.056474676378912</v>
      </c>
      <c r="CC73">
        <f t="shared" si="286"/>
        <v>68</v>
      </c>
      <c r="CE73" s="59">
        <f t="shared" si="220"/>
        <v>-50</v>
      </c>
      <c r="CF73">
        <f t="shared" si="221"/>
        <v>-50</v>
      </c>
      <c r="CG73" s="150">
        <f t="shared" si="222"/>
        <v>0.52186043457008313</v>
      </c>
      <c r="CH73" s="150">
        <f t="shared" si="223"/>
        <v>0.1101511240772718</v>
      </c>
      <c r="CI73" s="147">
        <v>68</v>
      </c>
      <c r="CJ73" s="188">
        <f t="shared" si="308"/>
        <v>2.72</v>
      </c>
      <c r="CK73" s="188">
        <f t="shared" si="287"/>
        <v>0.57800000000000007</v>
      </c>
      <c r="CL73" s="188">
        <f t="shared" si="224"/>
        <v>81.600000000000009</v>
      </c>
      <c r="CM73" s="188">
        <f t="shared" si="309"/>
        <v>3.4680000000000004</v>
      </c>
      <c r="CN73" s="465">
        <f t="shared" si="288"/>
        <v>34</v>
      </c>
      <c r="CO73" s="379">
        <f t="shared" si="225"/>
        <v>30.7</v>
      </c>
      <c r="CP73" s="379">
        <f t="shared" si="226"/>
        <v>64.7</v>
      </c>
      <c r="CQ73" s="379"/>
      <c r="CR73" s="188">
        <f t="shared" si="227"/>
        <v>0.47204968944099374</v>
      </c>
      <c r="CS73" s="149">
        <f t="shared" si="289"/>
        <v>233.26341749863801</v>
      </c>
      <c r="CT73" s="149">
        <f t="shared" si="228"/>
        <v>9.9136952436921142</v>
      </c>
      <c r="CU73" s="188">
        <f t="shared" si="229"/>
        <v>7.7754472499545999</v>
      </c>
      <c r="CV73" s="188">
        <f t="shared" si="230"/>
        <v>38.877236249772999</v>
      </c>
      <c r="CW73" s="379">
        <f t="shared" si="231"/>
        <v>30</v>
      </c>
      <c r="CX73" s="188">
        <f t="shared" si="232"/>
        <v>10.600578947368422</v>
      </c>
      <c r="CY73" s="188">
        <f t="shared" si="233"/>
        <v>1.4653741486068113</v>
      </c>
      <c r="CZ73" s="188">
        <f t="shared" si="234"/>
        <v>1.622889936567804</v>
      </c>
      <c r="DA73" s="172">
        <f t="shared" si="235"/>
        <v>350</v>
      </c>
      <c r="DB73" s="379">
        <f t="shared" si="290"/>
        <v>323.8065050202656</v>
      </c>
      <c r="DD73" s="188">
        <f t="shared" si="236"/>
        <v>9.8072469146822137</v>
      </c>
      <c r="DE73" s="150">
        <f t="shared" si="237"/>
        <v>1.5014351954073746</v>
      </c>
      <c r="DF73" s="150">
        <f t="shared" si="238"/>
        <v>2.4718134248028734</v>
      </c>
      <c r="DG73" s="150"/>
      <c r="DH73" s="150">
        <f t="shared" si="239"/>
        <v>0.92784522751949461</v>
      </c>
      <c r="DI73" s="314">
        <f t="shared" si="240"/>
        <v>1008.5173391489362</v>
      </c>
      <c r="DJ73" s="456">
        <f t="shared" si="241"/>
        <v>0.94395997276890675</v>
      </c>
      <c r="DL73" s="150">
        <f t="shared" si="242"/>
        <v>10.16986429691317</v>
      </c>
      <c r="DM73" s="150">
        <f t="shared" si="243"/>
        <v>10.600578947368422</v>
      </c>
      <c r="DN73" s="150">
        <f t="shared" si="244"/>
        <v>4.5629428790832307</v>
      </c>
      <c r="DP73" s="314">
        <f t="shared" si="245"/>
        <v>2720</v>
      </c>
      <c r="DQ73" s="144">
        <f t="shared" si="246"/>
        <v>323.8065050202656</v>
      </c>
      <c r="DS73">
        <f t="shared" si="291"/>
        <v>2720</v>
      </c>
      <c r="DT73">
        <f t="shared" si="247"/>
        <v>323.8065050202656</v>
      </c>
      <c r="DV73" s="5">
        <f t="shared" si="292"/>
        <v>3.088264085174615</v>
      </c>
      <c r="DW73" s="5">
        <f t="shared" si="248"/>
        <v>1.4653741486068113</v>
      </c>
      <c r="DX73" s="5">
        <f t="shared" si="293"/>
        <v>1.6228899365678038</v>
      </c>
      <c r="DY73" s="150">
        <f t="shared" si="294"/>
        <v>0.4744976816074189</v>
      </c>
      <c r="EA73" s="5">
        <f t="shared" si="249"/>
        <v>13.286058947368423</v>
      </c>
      <c r="EB73" s="5">
        <f t="shared" si="250"/>
        <v>14.11643763157895</v>
      </c>
      <c r="EC73" s="5">
        <f t="shared" si="251"/>
        <v>2.2911387339780762</v>
      </c>
      <c r="ED73" s="5"/>
      <c r="EE73" s="150">
        <f t="shared" si="295"/>
        <v>4.2158582953397294</v>
      </c>
      <c r="EF73" s="150">
        <f t="shared" si="252"/>
        <v>4.25579021753836</v>
      </c>
      <c r="EG73" s="150">
        <f t="shared" si="253"/>
        <v>0.85426804405125756</v>
      </c>
      <c r="EH73" s="150"/>
      <c r="EI73" s="456">
        <f t="shared" si="254"/>
        <v>0.21328153399661773</v>
      </c>
      <c r="EJ73" s="456">
        <f t="shared" si="255"/>
        <v>4.2196170212765969</v>
      </c>
      <c r="EK73" s="456">
        <f t="shared" si="256"/>
        <v>3.7237748077330546E-2</v>
      </c>
      <c r="EL73" s="456">
        <f t="shared" si="257"/>
        <v>0.70146254182064682</v>
      </c>
      <c r="EM73">
        <f t="shared" si="258"/>
        <v>1.5299999999999999E-2</v>
      </c>
      <c r="EN73" s="144">
        <f t="shared" si="296"/>
        <v>52.537748077330548</v>
      </c>
      <c r="EO73">
        <f t="shared" si="259"/>
        <v>5.5244396649208438</v>
      </c>
      <c r="EP73" s="144">
        <f t="shared" si="297"/>
        <v>5524.4396649208438</v>
      </c>
      <c r="EQ73" s="150">
        <f t="shared" si="260"/>
        <v>1.8240319999999999</v>
      </c>
      <c r="ER73" s="150">
        <f t="shared" si="261"/>
        <v>0.276862</v>
      </c>
      <c r="ES73" s="456"/>
      <c r="EU73" s="144">
        <f t="shared" si="298"/>
        <v>2100.8939999999998</v>
      </c>
      <c r="EV73" s="456">
        <f t="shared" si="262"/>
        <v>0.24882845632938733</v>
      </c>
      <c r="EW73" s="456">
        <f t="shared" si="299"/>
        <v>0.25356450525973284</v>
      </c>
      <c r="EX73" s="456">
        <f t="shared" si="263"/>
        <v>3.6488694554358066E-3</v>
      </c>
      <c r="EY73" s="456">
        <f t="shared" si="264"/>
        <v>34.515000905941115</v>
      </c>
      <c r="EZ73" s="456">
        <f t="shared" si="265"/>
        <v>36.625203583123017</v>
      </c>
      <c r="FA73" s="538">
        <f t="shared" si="266"/>
        <v>3.6386873311398475</v>
      </c>
      <c r="FB73" s="144">
        <f t="shared" si="300"/>
        <v>40263.890914262869</v>
      </c>
      <c r="FC73" s="150">
        <f t="shared" si="301"/>
        <v>47.889224579183711</v>
      </c>
      <c r="FD73" s="5">
        <f t="shared" si="302"/>
        <v>85.068000000000012</v>
      </c>
      <c r="FE73" s="150">
        <f t="shared" si="303"/>
        <v>0.63981479960374088</v>
      </c>
      <c r="FF73" s="5">
        <f t="shared" si="304"/>
        <v>63.981479960374088</v>
      </c>
      <c r="FG73">
        <f t="shared" si="305"/>
        <v>68</v>
      </c>
      <c r="FI73" s="59">
        <f t="shared" si="267"/>
        <v>-50</v>
      </c>
      <c r="FJ73">
        <f t="shared" si="268"/>
        <v>-50</v>
      </c>
      <c r="FL73">
        <f t="shared" si="269"/>
        <v>0.52186043457008313</v>
      </c>
    </row>
    <row r="74" spans="5:168">
      <c r="E74" s="147">
        <v>69</v>
      </c>
      <c r="F74" s="188">
        <f t="shared" si="306"/>
        <v>2.76</v>
      </c>
      <c r="G74" s="188">
        <f t="shared" si="270"/>
        <v>0.58649999999999991</v>
      </c>
      <c r="H74" s="188">
        <f t="shared" si="175"/>
        <v>82.8</v>
      </c>
      <c r="I74" s="188">
        <f t="shared" si="307"/>
        <v>3.5189999999999992</v>
      </c>
      <c r="J74" s="465">
        <f t="shared" si="176"/>
        <v>33.833181188104227</v>
      </c>
      <c r="K74" s="379">
        <f t="shared" si="177"/>
        <v>30.825740188245437</v>
      </c>
      <c r="L74" s="149">
        <f t="shared" si="178"/>
        <v>64.658921376349667</v>
      </c>
      <c r="M74" s="379"/>
      <c r="N74" s="188">
        <f t="shared" si="179"/>
        <v>0.47674380475391887</v>
      </c>
      <c r="O74" s="149">
        <f t="shared" si="271"/>
        <v>234.42714230863342</v>
      </c>
      <c r="P74" s="149">
        <f t="shared" si="180"/>
        <v>9.9631535481169209</v>
      </c>
      <c r="Q74" s="188">
        <f t="shared" si="181"/>
        <v>7.8142380769544477</v>
      </c>
      <c r="R74" s="188">
        <f t="shared" si="182"/>
        <v>39.071190384772237</v>
      </c>
      <c r="S74" s="379">
        <f t="shared" si="183"/>
        <v>30</v>
      </c>
      <c r="T74" s="188">
        <f t="shared" si="184"/>
        <v>10.703073391508491</v>
      </c>
      <c r="U74" s="188">
        <f t="shared" si="185"/>
        <v>1.4868375710935806</v>
      </c>
      <c r="V74" s="188">
        <f t="shared" si="186"/>
        <v>1.6318973894184754</v>
      </c>
      <c r="W74" s="172">
        <f t="shared" si="187"/>
        <v>350</v>
      </c>
      <c r="X74" s="379">
        <f t="shared" si="272"/>
        <v>301.31963290184143</v>
      </c>
      <c r="Z74" s="188">
        <f t="shared" si="188"/>
        <v>9.805324940149255</v>
      </c>
      <c r="AA74" s="150">
        <f t="shared" si="189"/>
        <v>1.4950177007030889</v>
      </c>
      <c r="AB74" s="150">
        <f t="shared" si="190"/>
        <v>2.4607659574743441</v>
      </c>
      <c r="AC74" s="150"/>
      <c r="AD74" s="150">
        <f t="shared" si="191"/>
        <v>0.92406048681713115</v>
      </c>
      <c r="AE74" s="314">
        <f t="shared" si="192"/>
        <v>1027.5398781204515</v>
      </c>
      <c r="AF74" s="456">
        <f t="shared" si="193"/>
        <v>0.94010949897826002</v>
      </c>
      <c r="AH74" s="150">
        <f t="shared" si="194"/>
        <v>10.244369793306277</v>
      </c>
      <c r="AI74" s="150">
        <f t="shared" si="195"/>
        <v>10.703073391508491</v>
      </c>
      <c r="AJ74" s="150">
        <f t="shared" si="196"/>
        <v>4.638864689557356</v>
      </c>
      <c r="AL74" s="314">
        <f t="shared" si="197"/>
        <v>2760</v>
      </c>
      <c r="AM74" s="144">
        <f t="shared" si="198"/>
        <v>301.31963290184143</v>
      </c>
      <c r="AO74">
        <f t="shared" si="273"/>
        <v>2760</v>
      </c>
      <c r="AP74">
        <f t="shared" si="199"/>
        <v>301.31963290184143</v>
      </c>
      <c r="AR74" s="5">
        <f t="shared" si="274"/>
        <v>3.3187349605120566</v>
      </c>
      <c r="AS74" s="5">
        <f t="shared" si="200"/>
        <v>1.4868375710935806</v>
      </c>
      <c r="AT74" s="5">
        <f t="shared" si="275"/>
        <v>1.831897389418476</v>
      </c>
      <c r="AU74" s="150">
        <f t="shared" si="276"/>
        <v>0.44801335110658319</v>
      </c>
      <c r="AW74" s="5">
        <f t="shared" si="201"/>
        <v>13.678905654060941</v>
      </c>
      <c r="AX74" s="5">
        <f t="shared" si="202"/>
        <v>14.53383725743975</v>
      </c>
      <c r="AY74" s="5">
        <f t="shared" si="203"/>
        <v>2.6371797034281732</v>
      </c>
      <c r="AZ74" s="5"/>
      <c r="BA74" s="150">
        <f t="shared" si="277"/>
        <v>4.136122132996416</v>
      </c>
      <c r="BB74" s="150">
        <f t="shared" si="204"/>
        <v>4.4038863135195161</v>
      </c>
      <c r="BC74" s="150">
        <f t="shared" si="205"/>
        <v>0.883995487317629</v>
      </c>
      <c r="BD74" s="150"/>
      <c r="BE74" s="456">
        <f t="shared" si="206"/>
        <v>0.2052900755887539</v>
      </c>
      <c r="BF74" s="456">
        <f t="shared" si="207"/>
        <v>3.8056360938209033</v>
      </c>
      <c r="BG74" s="456">
        <f t="shared" si="208"/>
        <v>3.4651757783711767E-2</v>
      </c>
      <c r="BH74" s="456">
        <f t="shared" si="209"/>
        <v>0.65192058555644383</v>
      </c>
      <c r="BI74">
        <f t="shared" si="210"/>
        <v>1.5224931534646902E-2</v>
      </c>
      <c r="BJ74" s="144">
        <f t="shared" si="278"/>
        <v>49.876689318358665</v>
      </c>
      <c r="BK74">
        <f t="shared" si="211"/>
        <v>4.9602193053353361</v>
      </c>
      <c r="BL74" s="144">
        <f t="shared" si="279"/>
        <v>4960.2193053353358</v>
      </c>
      <c r="BM74" s="150">
        <f t="shared" si="212"/>
        <v>1.8508559999999996</v>
      </c>
      <c r="BN74" s="150">
        <f t="shared" si="213"/>
        <v>0.28093349999999995</v>
      </c>
      <c r="BO74" s="456"/>
      <c r="BQ74" s="144">
        <f t="shared" si="280"/>
        <v>2131.7894999999994</v>
      </c>
      <c r="BR74" s="456">
        <f t="shared" si="214"/>
        <v>0.23950508818687954</v>
      </c>
      <c r="BS74" s="456">
        <f t="shared" si="215"/>
        <v>0.27151900527366324</v>
      </c>
      <c r="BT74" s="456">
        <f t="shared" si="216"/>
        <v>3.9072401079896617E-3</v>
      </c>
      <c r="BU74" s="456">
        <f t="shared" si="217"/>
        <v>29.533154476163809</v>
      </c>
      <c r="BV74" s="456">
        <f t="shared" si="218"/>
        <v>31.467977123793514</v>
      </c>
      <c r="BW74" s="538">
        <f t="shared" si="219"/>
        <v>3.4517905583620929</v>
      </c>
      <c r="BX74" s="144">
        <f t="shared" si="281"/>
        <v>34919.767682155609</v>
      </c>
      <c r="BY74" s="150">
        <f t="shared" si="282"/>
        <v>42.011776487490941</v>
      </c>
      <c r="BZ74" s="5">
        <f t="shared" si="283"/>
        <v>86.319000000000003</v>
      </c>
      <c r="CA74" s="150">
        <f t="shared" si="284"/>
        <v>0.6726289855217541</v>
      </c>
      <c r="CB74" s="5">
        <f t="shared" si="285"/>
        <v>67.262898552175415</v>
      </c>
      <c r="CC74">
        <f t="shared" si="286"/>
        <v>69</v>
      </c>
      <c r="CE74" s="59">
        <f t="shared" si="220"/>
        <v>-50</v>
      </c>
      <c r="CF74">
        <f t="shared" si="221"/>
        <v>-50</v>
      </c>
      <c r="CG74" s="150">
        <f t="shared" si="222"/>
        <v>0.52186043457008313</v>
      </c>
      <c r="CH74" s="150">
        <f t="shared" si="223"/>
        <v>0.11015112407727178</v>
      </c>
      <c r="CI74" s="147">
        <v>69</v>
      </c>
      <c r="CJ74" s="188">
        <f t="shared" si="308"/>
        <v>2.76</v>
      </c>
      <c r="CK74" s="188">
        <f t="shared" si="287"/>
        <v>0.58649999999999991</v>
      </c>
      <c r="CL74" s="188">
        <f t="shared" si="224"/>
        <v>82.8</v>
      </c>
      <c r="CM74" s="188">
        <f t="shared" si="309"/>
        <v>3.5189999999999992</v>
      </c>
      <c r="CN74" s="465">
        <f t="shared" si="288"/>
        <v>34</v>
      </c>
      <c r="CO74" s="379">
        <f t="shared" si="225"/>
        <v>30.7</v>
      </c>
      <c r="CP74" s="379">
        <f t="shared" si="226"/>
        <v>64.7</v>
      </c>
      <c r="CQ74" s="379"/>
      <c r="CR74" s="188">
        <f t="shared" si="227"/>
        <v>0.47204968944099374</v>
      </c>
      <c r="CS74" s="149">
        <f t="shared" si="289"/>
        <v>233.26341749863801</v>
      </c>
      <c r="CT74" s="149">
        <f t="shared" si="228"/>
        <v>9.9136952436921142</v>
      </c>
      <c r="CU74" s="188">
        <f t="shared" si="229"/>
        <v>7.7754472499545999</v>
      </c>
      <c r="CV74" s="188">
        <f t="shared" si="230"/>
        <v>38.877236249772999</v>
      </c>
      <c r="CW74" s="379">
        <f t="shared" si="231"/>
        <v>30</v>
      </c>
      <c r="CX74" s="188">
        <f t="shared" si="232"/>
        <v>10.756469814241488</v>
      </c>
      <c r="CY74" s="188">
        <f t="shared" si="233"/>
        <v>1.4869237684392644</v>
      </c>
      <c r="CZ74" s="188">
        <f t="shared" si="234"/>
        <v>1.6467559650467423</v>
      </c>
      <c r="DA74" s="172">
        <f t="shared" si="235"/>
        <v>350</v>
      </c>
      <c r="DB74" s="379">
        <f t="shared" si="290"/>
        <v>319.11365712142117</v>
      </c>
      <c r="DD74" s="188">
        <f t="shared" si="236"/>
        <v>9.8072469146822137</v>
      </c>
      <c r="DE74" s="150">
        <f t="shared" si="237"/>
        <v>1.5014351954073746</v>
      </c>
      <c r="DF74" s="150">
        <f t="shared" si="238"/>
        <v>2.4718134248028734</v>
      </c>
      <c r="DG74" s="150"/>
      <c r="DH74" s="150">
        <f t="shared" si="239"/>
        <v>0.92784522751949461</v>
      </c>
      <c r="DI74" s="314">
        <f t="shared" si="240"/>
        <v>1023.3484764893616</v>
      </c>
      <c r="DJ74" s="456">
        <f t="shared" si="241"/>
        <v>0.94395997276890675</v>
      </c>
      <c r="DL74" s="150">
        <f t="shared" si="242"/>
        <v>10.244369793306277</v>
      </c>
      <c r="DM74" s="150">
        <f t="shared" si="243"/>
        <v>10.756469814241488</v>
      </c>
      <c r="DN74" s="150">
        <f t="shared" si="244"/>
        <v>4.6784175952855014</v>
      </c>
      <c r="DP74" s="314">
        <f t="shared" si="245"/>
        <v>2760</v>
      </c>
      <c r="DQ74" s="144">
        <f t="shared" si="246"/>
        <v>319.11365712142117</v>
      </c>
      <c r="DS74">
        <f t="shared" si="291"/>
        <v>2760</v>
      </c>
      <c r="DT74">
        <f t="shared" si="247"/>
        <v>319.11365712142117</v>
      </c>
      <c r="DV74" s="5">
        <f t="shared" si="292"/>
        <v>3.1336797334860065</v>
      </c>
      <c r="DW74" s="5">
        <f t="shared" si="248"/>
        <v>1.4869237684392644</v>
      </c>
      <c r="DX74" s="5">
        <f t="shared" si="293"/>
        <v>1.646755965046742</v>
      </c>
      <c r="DY74" s="150">
        <f t="shared" si="294"/>
        <v>0.4744976816074189</v>
      </c>
      <c r="EA74" s="5">
        <f t="shared" si="249"/>
        <v>13.679698669641231</v>
      </c>
      <c r="EB74" s="5">
        <f t="shared" si="250"/>
        <v>14.534679836493808</v>
      </c>
      <c r="EC74" s="5">
        <f t="shared" si="251"/>
        <v>2.3590206558109035</v>
      </c>
      <c r="ED74" s="5"/>
      <c r="EE74" s="150">
        <f t="shared" si="295"/>
        <v>4.2778562114476664</v>
      </c>
      <c r="EF74" s="150">
        <f t="shared" si="252"/>
        <v>4.3183753677962766</v>
      </c>
      <c r="EG74" s="150">
        <f t="shared" si="253"/>
        <v>0.86683080940495261</v>
      </c>
      <c r="EH74" s="150"/>
      <c r="EI74" s="456">
        <f t="shared" si="254"/>
        <v>0.21960064518985659</v>
      </c>
      <c r="EJ74" s="456">
        <f t="shared" si="255"/>
        <v>4.2196170212765969</v>
      </c>
      <c r="EK74" s="456">
        <f t="shared" si="256"/>
        <v>3.6698070568963438E-2</v>
      </c>
      <c r="EL74" s="456">
        <f t="shared" si="257"/>
        <v>0.69129641802614472</v>
      </c>
      <c r="EM74">
        <f t="shared" si="258"/>
        <v>1.5299999999999999E-2</v>
      </c>
      <c r="EN74" s="144">
        <f t="shared" si="296"/>
        <v>51.998070568963442</v>
      </c>
      <c r="EO74">
        <f t="shared" si="259"/>
        <v>5.5303626899082765</v>
      </c>
      <c r="EP74" s="144">
        <f t="shared" si="297"/>
        <v>5530.3626899082765</v>
      </c>
      <c r="EQ74" s="150">
        <f t="shared" si="260"/>
        <v>1.8508559999999996</v>
      </c>
      <c r="ER74" s="150">
        <f t="shared" si="261"/>
        <v>0.28093349999999995</v>
      </c>
      <c r="ES74" s="456"/>
      <c r="EU74" s="144">
        <f t="shared" si="298"/>
        <v>2131.7894999999994</v>
      </c>
      <c r="EV74" s="456">
        <f t="shared" si="262"/>
        <v>0.25620075272149934</v>
      </c>
      <c r="EW74" s="456">
        <f t="shared" si="299"/>
        <v>0.26107712144065481</v>
      </c>
      <c r="EX74" s="456">
        <f t="shared" si="263"/>
        <v>3.7569782606682264E-3</v>
      </c>
      <c r="EY74" s="456">
        <f t="shared" si="264"/>
        <v>34.515000905941115</v>
      </c>
      <c r="EZ74" s="456">
        <f t="shared" si="265"/>
        <v>36.690444134542965</v>
      </c>
      <c r="FA74" s="538">
        <f t="shared" si="266"/>
        <v>3.6921974389507275</v>
      </c>
      <c r="FB74" s="144">
        <f t="shared" si="300"/>
        <v>40382.641573493696</v>
      </c>
      <c r="FC74" s="150">
        <f t="shared" si="301"/>
        <v>48.044793763401969</v>
      </c>
      <c r="FD74" s="5">
        <f t="shared" si="302"/>
        <v>86.319000000000003</v>
      </c>
      <c r="FE74" s="150">
        <f t="shared" si="303"/>
        <v>0.64242752889217369</v>
      </c>
      <c r="FF74" s="5">
        <f t="shared" si="304"/>
        <v>64.242752889217371</v>
      </c>
      <c r="FG74">
        <f t="shared" si="305"/>
        <v>69</v>
      </c>
      <c r="FI74" s="59">
        <f t="shared" si="267"/>
        <v>-50</v>
      </c>
      <c r="FJ74">
        <f t="shared" si="268"/>
        <v>-50</v>
      </c>
      <c r="FL74">
        <f t="shared" si="269"/>
        <v>0.52186043457008313</v>
      </c>
    </row>
    <row r="75" spans="5:168">
      <c r="E75" s="147">
        <v>70</v>
      </c>
      <c r="F75" s="188">
        <f t="shared" si="306"/>
        <v>2.8</v>
      </c>
      <c r="G75" s="188">
        <f t="shared" si="270"/>
        <v>0.59499999999999997</v>
      </c>
      <c r="H75" s="188">
        <f t="shared" si="175"/>
        <v>84</v>
      </c>
      <c r="I75" s="188">
        <f t="shared" si="307"/>
        <v>3.57</v>
      </c>
      <c r="J75" s="465">
        <f t="shared" si="176"/>
        <v>33.830763524163714</v>
      </c>
      <c r="K75" s="379">
        <f t="shared" si="177"/>
        <v>30.827562509814214</v>
      </c>
      <c r="L75" s="149">
        <f t="shared" si="178"/>
        <v>64.658326033977929</v>
      </c>
      <c r="M75" s="379"/>
      <c r="N75" s="188">
        <f t="shared" si="179"/>
        <v>0.47677637824422398</v>
      </c>
      <c r="O75" s="149">
        <f t="shared" si="271"/>
        <v>234.42640660253727</v>
      </c>
      <c r="P75" s="149">
        <f t="shared" si="180"/>
        <v>9.9631222806078323</v>
      </c>
      <c r="Q75" s="188">
        <f t="shared" si="181"/>
        <v>7.8142135534179094</v>
      </c>
      <c r="R75" s="188">
        <f t="shared" si="182"/>
        <v>39.071067767089545</v>
      </c>
      <c r="S75" s="379">
        <f t="shared" si="183"/>
        <v>30</v>
      </c>
      <c r="T75" s="188">
        <f t="shared" si="184"/>
        <v>10.858224473705665</v>
      </c>
      <c r="U75" s="188">
        <f t="shared" si="185"/>
        <v>1.5084984703335382</v>
      </c>
      <c r="V75" s="188">
        <f t="shared" si="186"/>
        <v>1.655455406510639</v>
      </c>
      <c r="W75" s="172">
        <f t="shared" si="187"/>
        <v>350</v>
      </c>
      <c r="X75" s="379">
        <f t="shared" si="272"/>
        <v>297.26923632440793</v>
      </c>
      <c r="Z75" s="188">
        <f t="shared" si="188"/>
        <v>9.8052941679559709</v>
      </c>
      <c r="AA75" s="150">
        <f t="shared" si="189"/>
        <v>1.4949246335879314</v>
      </c>
      <c r="AB75" s="150">
        <f t="shared" si="190"/>
        <v>2.4606050488914684</v>
      </c>
      <c r="AC75" s="150"/>
      <c r="AD75" s="150">
        <f t="shared" si="191"/>
        <v>0.92400586247388494</v>
      </c>
      <c r="AE75" s="314">
        <f t="shared" si="192"/>
        <v>1042.4933857248386</v>
      </c>
      <c r="AF75" s="456">
        <f t="shared" si="193"/>
        <v>0.94005392592358028</v>
      </c>
      <c r="AH75" s="150">
        <f t="shared" si="194"/>
        <v>10.318337322765862</v>
      </c>
      <c r="AI75" s="150">
        <f t="shared" si="195"/>
        <v>10.858224473705665</v>
      </c>
      <c r="AJ75" s="150">
        <f t="shared" si="196"/>
        <v>4.7537914171108175</v>
      </c>
      <c r="AL75" s="314">
        <f t="shared" si="197"/>
        <v>2800</v>
      </c>
      <c r="AM75" s="144">
        <f t="shared" si="198"/>
        <v>297.26923632440793</v>
      </c>
      <c r="AO75">
        <f t="shared" si="273"/>
        <v>2800</v>
      </c>
      <c r="AP75">
        <f t="shared" si="199"/>
        <v>297.26923632440793</v>
      </c>
      <c r="AR75" s="5">
        <f t="shared" si="274"/>
        <v>3.3639538768441772</v>
      </c>
      <c r="AS75" s="5">
        <f t="shared" si="200"/>
        <v>1.5084984703335382</v>
      </c>
      <c r="AT75" s="5">
        <f t="shared" si="275"/>
        <v>1.855455406510639</v>
      </c>
      <c r="AU75" s="150">
        <f t="shared" si="276"/>
        <v>0.44843018827258846</v>
      </c>
      <c r="AW75" s="5">
        <f t="shared" si="201"/>
        <v>14.079319056446357</v>
      </c>
      <c r="AX75" s="5">
        <f t="shared" si="202"/>
        <v>14.959276497474253</v>
      </c>
      <c r="AY75" s="5">
        <f t="shared" si="203"/>
        <v>2.7099987235959762</v>
      </c>
      <c r="AZ75" s="5"/>
      <c r="BA75" s="150">
        <f t="shared" si="277"/>
        <v>4.1980306887619925</v>
      </c>
      <c r="BB75" s="150">
        <f t="shared" si="204"/>
        <v>4.466037536195552</v>
      </c>
      <c r="BC75" s="150">
        <f t="shared" si="205"/>
        <v>0.89647115005402256</v>
      </c>
      <c r="BD75" s="150"/>
      <c r="BE75" s="456">
        <f t="shared" si="206"/>
        <v>0.21148153996544986</v>
      </c>
      <c r="BF75" s="456">
        <f t="shared" si="207"/>
        <v>3.8088696369524815</v>
      </c>
      <c r="BG75" s="456">
        <f t="shared" si="208"/>
        <v>3.4185962177306919E-2</v>
      </c>
      <c r="BH75" s="456">
        <f t="shared" si="209"/>
        <v>0.64314549980818425</v>
      </c>
      <c r="BI75">
        <f t="shared" si="210"/>
        <v>1.5223843585873672E-2</v>
      </c>
      <c r="BJ75" s="144">
        <f t="shared" si="278"/>
        <v>49.409805763180586</v>
      </c>
      <c r="BK75">
        <f t="shared" si="211"/>
        <v>4.9703467448172649</v>
      </c>
      <c r="BL75" s="144">
        <f t="shared" si="279"/>
        <v>4970.3467448172651</v>
      </c>
      <c r="BM75" s="150">
        <f t="shared" si="212"/>
        <v>1.8776799999999996</v>
      </c>
      <c r="BN75" s="150">
        <f t="shared" si="213"/>
        <v>0.28500499999999995</v>
      </c>
      <c r="BO75" s="456"/>
      <c r="BQ75" s="144">
        <f t="shared" si="280"/>
        <v>2162.6849999999999</v>
      </c>
      <c r="BR75" s="456">
        <f t="shared" si="214"/>
        <v>0.24672846329302484</v>
      </c>
      <c r="BS75" s="456">
        <f t="shared" si="215"/>
        <v>0.27923687784590689</v>
      </c>
      <c r="BT75" s="456">
        <f t="shared" si="216"/>
        <v>4.0183026143959097E-3</v>
      </c>
      <c r="BU75" s="456">
        <f t="shared" si="217"/>
        <v>29.596609475763273</v>
      </c>
      <c r="BV75" s="456">
        <f t="shared" si="218"/>
        <v>31.593303941298668</v>
      </c>
      <c r="BW75" s="538">
        <f t="shared" si="219"/>
        <v>3.5048351742559278</v>
      </c>
      <c r="BX75" s="144">
        <f t="shared" si="281"/>
        <v>35098.139115554593</v>
      </c>
      <c r="BY75" s="150">
        <f t="shared" si="282"/>
        <v>42.231170860371861</v>
      </c>
      <c r="BZ75" s="5">
        <f t="shared" si="283"/>
        <v>87.57</v>
      </c>
      <c r="CA75" s="150">
        <f t="shared" si="284"/>
        <v>0.67464722713633862</v>
      </c>
      <c r="CB75" s="5">
        <f t="shared" si="285"/>
        <v>67.464722713633861</v>
      </c>
      <c r="CC75">
        <f t="shared" si="286"/>
        <v>70</v>
      </c>
      <c r="CE75" s="59">
        <f t="shared" si="220"/>
        <v>-50</v>
      </c>
      <c r="CF75">
        <f t="shared" si="221"/>
        <v>-50</v>
      </c>
      <c r="CG75" s="150">
        <f t="shared" si="222"/>
        <v>0.52186043457008313</v>
      </c>
      <c r="CH75" s="150">
        <f t="shared" si="223"/>
        <v>0.11015112407727178</v>
      </c>
      <c r="CI75" s="147">
        <v>70</v>
      </c>
      <c r="CJ75" s="188">
        <f t="shared" si="308"/>
        <v>2.8</v>
      </c>
      <c r="CK75" s="188">
        <f t="shared" si="287"/>
        <v>0.59499999999999997</v>
      </c>
      <c r="CL75" s="188">
        <f t="shared" si="224"/>
        <v>84</v>
      </c>
      <c r="CM75" s="188">
        <f t="shared" si="309"/>
        <v>3.57</v>
      </c>
      <c r="CN75" s="465">
        <f t="shared" si="288"/>
        <v>34</v>
      </c>
      <c r="CO75" s="379">
        <f t="shared" si="225"/>
        <v>30.7</v>
      </c>
      <c r="CP75" s="379">
        <f t="shared" si="226"/>
        <v>64.7</v>
      </c>
      <c r="CQ75" s="379"/>
      <c r="CR75" s="188">
        <f t="shared" si="227"/>
        <v>0.47204968944099374</v>
      </c>
      <c r="CS75" s="149">
        <f t="shared" si="289"/>
        <v>233.26341749863801</v>
      </c>
      <c r="CT75" s="149">
        <f t="shared" si="228"/>
        <v>9.9136952436921142</v>
      </c>
      <c r="CU75" s="188">
        <f t="shared" si="229"/>
        <v>7.7754472499545999</v>
      </c>
      <c r="CV75" s="188">
        <f t="shared" si="230"/>
        <v>38.877236249772999</v>
      </c>
      <c r="CW75" s="379">
        <f t="shared" si="231"/>
        <v>30</v>
      </c>
      <c r="CX75" s="188">
        <f t="shared" si="232"/>
        <v>10.912360681114551</v>
      </c>
      <c r="CY75" s="188">
        <f t="shared" si="233"/>
        <v>1.5084733882717172</v>
      </c>
      <c r="CZ75" s="188">
        <f t="shared" si="234"/>
        <v>1.6706219935256803</v>
      </c>
      <c r="DA75" s="172">
        <f t="shared" si="235"/>
        <v>350</v>
      </c>
      <c r="DB75" s="379">
        <f t="shared" si="290"/>
        <v>314.55489059111517</v>
      </c>
      <c r="DD75" s="188">
        <f t="shared" si="236"/>
        <v>9.8072469146822137</v>
      </c>
      <c r="DE75" s="150">
        <f t="shared" si="237"/>
        <v>1.5014351954073746</v>
      </c>
      <c r="DF75" s="150">
        <f t="shared" si="238"/>
        <v>2.4718134248028734</v>
      </c>
      <c r="DG75" s="150"/>
      <c r="DH75" s="150">
        <f t="shared" si="239"/>
        <v>0.92784522751949461</v>
      </c>
      <c r="DI75" s="314">
        <f t="shared" si="240"/>
        <v>1038.1796138297871</v>
      </c>
      <c r="DJ75" s="456">
        <f t="shared" si="241"/>
        <v>0.94395997276890675</v>
      </c>
      <c r="DL75" s="150">
        <f t="shared" si="242"/>
        <v>10.318337322765862</v>
      </c>
      <c r="DM75" s="150">
        <f t="shared" si="243"/>
        <v>10.912360681114551</v>
      </c>
      <c r="DN75" s="150">
        <f t="shared" si="244"/>
        <v>4.7938923114877703</v>
      </c>
      <c r="DP75" s="314">
        <f t="shared" si="245"/>
        <v>2800</v>
      </c>
      <c r="DQ75" s="144">
        <f t="shared" si="246"/>
        <v>314.55489059111517</v>
      </c>
      <c r="DS75">
        <f t="shared" si="291"/>
        <v>2800</v>
      </c>
      <c r="DT75">
        <f t="shared" si="247"/>
        <v>314.55489059111517</v>
      </c>
      <c r="DV75" s="5">
        <f t="shared" si="292"/>
        <v>3.1790953817973979</v>
      </c>
      <c r="DW75" s="5">
        <f t="shared" si="248"/>
        <v>1.5084733882717172</v>
      </c>
      <c r="DX75" s="5">
        <f t="shared" si="293"/>
        <v>1.6706219935256807</v>
      </c>
      <c r="DY75" s="150">
        <f t="shared" si="294"/>
        <v>0.47449768160741879</v>
      </c>
      <c r="EA75" s="5">
        <f t="shared" si="249"/>
        <v>14.079084957202692</v>
      </c>
      <c r="EB75" s="5">
        <f t="shared" si="250"/>
        <v>14.959027767027861</v>
      </c>
      <c r="EC75" s="5">
        <f t="shared" si="251"/>
        <v>2.4278935546047951</v>
      </c>
      <c r="ED75" s="5"/>
      <c r="EE75" s="150">
        <f t="shared" si="295"/>
        <v>4.3398541275556033</v>
      </c>
      <c r="EF75" s="150">
        <f t="shared" si="252"/>
        <v>4.3809605180541942</v>
      </c>
      <c r="EG75" s="150">
        <f t="shared" si="253"/>
        <v>0.87939357475864743</v>
      </c>
      <c r="EH75" s="150"/>
      <c r="EI75" s="456">
        <f t="shared" si="254"/>
        <v>0.22601200618153686</v>
      </c>
      <c r="EJ75" s="456">
        <f t="shared" si="255"/>
        <v>4.219617021276596</v>
      </c>
      <c r="EK75" s="456">
        <f t="shared" si="256"/>
        <v>3.6173812417978249E-2</v>
      </c>
      <c r="EL75" s="456">
        <f t="shared" si="257"/>
        <v>0.68142075491148546</v>
      </c>
      <c r="EM75">
        <f t="shared" si="258"/>
        <v>1.5299999999999999E-2</v>
      </c>
      <c r="EN75" s="144">
        <f t="shared" si="296"/>
        <v>51.473812417978252</v>
      </c>
      <c r="EO75">
        <f t="shared" si="259"/>
        <v>5.5368797874130511</v>
      </c>
      <c r="EP75" s="144">
        <f t="shared" si="297"/>
        <v>5536.8797874130514</v>
      </c>
      <c r="EQ75" s="150">
        <f t="shared" si="260"/>
        <v>1.8776799999999996</v>
      </c>
      <c r="ER75" s="150">
        <f t="shared" si="261"/>
        <v>0.28500499999999995</v>
      </c>
      <c r="ES75" s="456"/>
      <c r="EU75" s="144">
        <f t="shared" si="298"/>
        <v>2162.6849999999999</v>
      </c>
      <c r="EV75" s="456">
        <f t="shared" si="262"/>
        <v>0.26368067387845967</v>
      </c>
      <c r="EW75" s="456">
        <f t="shared" si="299"/>
        <v>0.26869941085049542</v>
      </c>
      <c r="EX75" s="456">
        <f t="shared" si="263"/>
        <v>3.8666652966339644E-3</v>
      </c>
      <c r="EY75" s="456">
        <f t="shared" si="264"/>
        <v>34.515000905941172</v>
      </c>
      <c r="EZ75" s="456">
        <f t="shared" si="265"/>
        <v>36.756804220331261</v>
      </c>
      <c r="FA75" s="538">
        <f t="shared" si="266"/>
        <v>3.7457075467616061</v>
      </c>
      <c r="FB75" s="144">
        <f t="shared" si="300"/>
        <v>40502.511767092867</v>
      </c>
      <c r="FC75" s="150">
        <f t="shared" si="301"/>
        <v>48.202076554505922</v>
      </c>
      <c r="FD75" s="5">
        <f t="shared" si="302"/>
        <v>87.57</v>
      </c>
      <c r="FE75" s="150">
        <f t="shared" si="303"/>
        <v>0.64497798238244419</v>
      </c>
      <c r="FF75" s="5">
        <f t="shared" si="304"/>
        <v>64.497798238244414</v>
      </c>
      <c r="FG75">
        <f t="shared" si="305"/>
        <v>70</v>
      </c>
      <c r="FI75" s="59">
        <f t="shared" si="267"/>
        <v>-50</v>
      </c>
      <c r="FJ75">
        <f t="shared" si="268"/>
        <v>-50</v>
      </c>
      <c r="FL75">
        <f t="shared" si="269"/>
        <v>0.52186043457008313</v>
      </c>
    </row>
    <row r="76" spans="5:168">
      <c r="E76" s="147">
        <v>71</v>
      </c>
      <c r="F76" s="188">
        <f t="shared" si="306"/>
        <v>2.84</v>
      </c>
      <c r="G76" s="188">
        <f t="shared" si="270"/>
        <v>0.60349999999999993</v>
      </c>
      <c r="H76" s="188">
        <f t="shared" si="175"/>
        <v>85.199999999999989</v>
      </c>
      <c r="I76" s="188">
        <f t="shared" si="307"/>
        <v>3.6209999999999996</v>
      </c>
      <c r="J76" s="465">
        <f t="shared" si="176"/>
        <v>33.828345860223195</v>
      </c>
      <c r="K76" s="379">
        <f t="shared" si="177"/>
        <v>30.829384831382988</v>
      </c>
      <c r="L76" s="149">
        <f t="shared" si="178"/>
        <v>64.65773069160619</v>
      </c>
      <c r="M76" s="379"/>
      <c r="N76" s="188">
        <f t="shared" si="179"/>
        <v>0.4768089523343762</v>
      </c>
      <c r="O76" s="149">
        <f t="shared" si="271"/>
        <v>234.42566890223029</v>
      </c>
      <c r="P76" s="149">
        <f t="shared" si="180"/>
        <v>9.9630909283447853</v>
      </c>
      <c r="Q76" s="188">
        <f t="shared" si="181"/>
        <v>7.814188963407676</v>
      </c>
      <c r="R76" s="188">
        <f t="shared" si="182"/>
        <v>39.070944817038381</v>
      </c>
      <c r="S76" s="379">
        <f t="shared" si="183"/>
        <v>30</v>
      </c>
      <c r="T76" s="188">
        <f t="shared" si="184"/>
        <v>11.01337662342325</v>
      </c>
      <c r="U76" s="188">
        <f t="shared" si="185"/>
        <v>1.5301626140388453</v>
      </c>
      <c r="V76" s="188">
        <f t="shared" si="186"/>
        <v>1.6790108013247445</v>
      </c>
      <c r="W76" s="172">
        <f t="shared" si="187"/>
        <v>350</v>
      </c>
      <c r="X76" s="379">
        <f t="shared" si="272"/>
        <v>293.32623429874707</v>
      </c>
      <c r="Z76" s="188">
        <f t="shared" si="188"/>
        <v>9.8052633123513395</v>
      </c>
      <c r="AA76" s="150">
        <f t="shared" si="189"/>
        <v>1.4948315647589248</v>
      </c>
      <c r="AB76" s="150">
        <f t="shared" si="190"/>
        <v>2.4604441175186569</v>
      </c>
      <c r="AC76" s="150"/>
      <c r="AD76" s="150">
        <f t="shared" si="191"/>
        <v>0.92395124458831657</v>
      </c>
      <c r="AE76" s="314">
        <f t="shared" si="192"/>
        <v>1057.4486540524483</v>
      </c>
      <c r="AF76" s="456">
        <f t="shared" si="193"/>
        <v>0.939998359438735</v>
      </c>
      <c r="AH76" s="150">
        <f t="shared" si="194"/>
        <v>10.391778372865726</v>
      </c>
      <c r="AI76" s="150">
        <f t="shared" si="195"/>
        <v>11.01337662342325</v>
      </c>
      <c r="AJ76" s="150">
        <f t="shared" si="196"/>
        <v>4.8687189354201399</v>
      </c>
      <c r="AL76" s="314">
        <f t="shared" si="197"/>
        <v>2840</v>
      </c>
      <c r="AM76" s="144">
        <f t="shared" si="198"/>
        <v>293.32623429874707</v>
      </c>
      <c r="AO76">
        <f t="shared" si="273"/>
        <v>2840</v>
      </c>
      <c r="AP76">
        <f t="shared" si="199"/>
        <v>293.32623429874707</v>
      </c>
      <c r="AR76" s="5">
        <f t="shared" si="274"/>
        <v>3.4091734153635898</v>
      </c>
      <c r="AS76" s="5">
        <f t="shared" si="200"/>
        <v>1.5301626140388453</v>
      </c>
      <c r="AT76" s="5">
        <f t="shared" si="275"/>
        <v>1.8790108013247444</v>
      </c>
      <c r="AU76" s="150">
        <f t="shared" si="276"/>
        <v>0.4488368374407416</v>
      </c>
      <c r="AW76" s="5">
        <f t="shared" si="201"/>
        <v>14.485539412901067</v>
      </c>
      <c r="AX76" s="5">
        <f t="shared" si="202"/>
        <v>15.390885626207385</v>
      </c>
      <c r="AY76" s="5">
        <f t="shared" si="203"/>
        <v>2.7838074184774628</v>
      </c>
      <c r="AZ76" s="5"/>
      <c r="BA76" s="150">
        <f t="shared" si="277"/>
        <v>4.259946162112425</v>
      </c>
      <c r="BB76" s="150">
        <f t="shared" si="204"/>
        <v>4.5281821846472186</v>
      </c>
      <c r="BC76" s="150">
        <f t="shared" si="205"/>
        <v>0.90894549314130135</v>
      </c>
      <c r="BD76" s="150"/>
      <c r="BE76" s="456">
        <f t="shared" si="206"/>
        <v>0.21776569564915657</v>
      </c>
      <c r="BF76" s="456">
        <f t="shared" si="207"/>
        <v>3.8120160861779437</v>
      </c>
      <c r="BG76" s="456">
        <f t="shared" si="208"/>
        <v>3.3732516944355917E-2</v>
      </c>
      <c r="BH76" s="456">
        <f t="shared" si="209"/>
        <v>0.63460308201473425</v>
      </c>
      <c r="BI76">
        <f t="shared" si="210"/>
        <v>1.5222755637100438E-2</v>
      </c>
      <c r="BJ76" s="144">
        <f t="shared" si="278"/>
        <v>48.955272581456356</v>
      </c>
      <c r="BK76">
        <f t="shared" si="211"/>
        <v>4.9808989375569332</v>
      </c>
      <c r="BL76" s="144">
        <f t="shared" si="279"/>
        <v>4980.8989375569336</v>
      </c>
      <c r="BM76" s="150">
        <f t="shared" si="212"/>
        <v>1.9045039999999998</v>
      </c>
      <c r="BN76" s="150">
        <f t="shared" si="213"/>
        <v>0.28907649999999996</v>
      </c>
      <c r="BO76" s="456"/>
      <c r="BQ76" s="144">
        <f t="shared" si="280"/>
        <v>2193.5804999999996</v>
      </c>
      <c r="BR76" s="456">
        <f t="shared" si="214"/>
        <v>0.25405997825734933</v>
      </c>
      <c r="BS76" s="456">
        <f t="shared" si="215"/>
        <v>0.28706207456299038</v>
      </c>
      <c r="BT76" s="456">
        <f t="shared" si="216"/>
        <v>4.1309095475094175E-3</v>
      </c>
      <c r="BU76" s="456">
        <f t="shared" si="217"/>
        <v>29.658453318857109</v>
      </c>
      <c r="BV76" s="456">
        <f t="shared" si="218"/>
        <v>31.718118853439098</v>
      </c>
      <c r="BW76" s="538">
        <f t="shared" si="219"/>
        <v>3.5578848556880942</v>
      </c>
      <c r="BX76" s="144">
        <f t="shared" si="281"/>
        <v>35276.003709127195</v>
      </c>
      <c r="BY76" s="150">
        <f t="shared" si="282"/>
        <v>42.450483146684128</v>
      </c>
      <c r="BZ76" s="5">
        <f t="shared" si="283"/>
        <v>88.820999999999984</v>
      </c>
      <c r="CA76" s="150">
        <f t="shared" si="284"/>
        <v>0.6766206785425779</v>
      </c>
      <c r="CB76" s="5">
        <f t="shared" si="285"/>
        <v>67.662067854257785</v>
      </c>
      <c r="CC76">
        <f t="shared" si="286"/>
        <v>71</v>
      </c>
      <c r="CE76" s="59">
        <f t="shared" si="220"/>
        <v>-50</v>
      </c>
      <c r="CF76">
        <f t="shared" si="221"/>
        <v>-50</v>
      </c>
      <c r="CG76" s="150">
        <f t="shared" si="222"/>
        <v>0.52186043457008313</v>
      </c>
      <c r="CH76" s="150">
        <f t="shared" si="223"/>
        <v>0.11015112407727182</v>
      </c>
      <c r="CI76" s="147">
        <v>71</v>
      </c>
      <c r="CJ76" s="188">
        <f t="shared" si="308"/>
        <v>2.84</v>
      </c>
      <c r="CK76" s="188">
        <f t="shared" si="287"/>
        <v>0.60349999999999993</v>
      </c>
      <c r="CL76" s="188">
        <f t="shared" si="224"/>
        <v>85.199999999999989</v>
      </c>
      <c r="CM76" s="188">
        <f t="shared" si="309"/>
        <v>3.6209999999999996</v>
      </c>
      <c r="CN76" s="465">
        <f t="shared" si="288"/>
        <v>34</v>
      </c>
      <c r="CO76" s="379">
        <f t="shared" si="225"/>
        <v>30.7</v>
      </c>
      <c r="CP76" s="379">
        <f t="shared" si="226"/>
        <v>64.7</v>
      </c>
      <c r="CQ76" s="379"/>
      <c r="CR76" s="188">
        <f t="shared" si="227"/>
        <v>0.47204968944099374</v>
      </c>
      <c r="CS76" s="149">
        <f t="shared" si="289"/>
        <v>233.26341749863801</v>
      </c>
      <c r="CT76" s="149">
        <f t="shared" si="228"/>
        <v>9.9136952436921142</v>
      </c>
      <c r="CU76" s="188">
        <f t="shared" si="229"/>
        <v>7.7754472499545999</v>
      </c>
      <c r="CV76" s="188">
        <f t="shared" si="230"/>
        <v>38.877236249772999</v>
      </c>
      <c r="CW76" s="379">
        <f t="shared" si="231"/>
        <v>30</v>
      </c>
      <c r="CX76" s="188">
        <f t="shared" si="232"/>
        <v>11.068251547987614</v>
      </c>
      <c r="CY76" s="188">
        <f t="shared" si="233"/>
        <v>1.5300230081041701</v>
      </c>
      <c r="CZ76" s="188">
        <f t="shared" si="234"/>
        <v>1.6944880220046186</v>
      </c>
      <c r="DA76" s="172">
        <f t="shared" si="235"/>
        <v>350</v>
      </c>
      <c r="DB76" s="379">
        <f t="shared" si="290"/>
        <v>310.12454001940938</v>
      </c>
      <c r="DD76" s="188">
        <f t="shared" si="236"/>
        <v>9.8072469146822137</v>
      </c>
      <c r="DE76" s="150">
        <f t="shared" si="237"/>
        <v>1.5014351954073746</v>
      </c>
      <c r="DF76" s="150">
        <f t="shared" si="238"/>
        <v>2.4718134248028734</v>
      </c>
      <c r="DG76" s="150"/>
      <c r="DH76" s="150">
        <f t="shared" si="239"/>
        <v>0.92784522751949461</v>
      </c>
      <c r="DI76" s="314">
        <f t="shared" si="240"/>
        <v>1053.0107511702126</v>
      </c>
      <c r="DJ76" s="456">
        <f t="shared" si="241"/>
        <v>0.94395997276890675</v>
      </c>
      <c r="DL76" s="150">
        <f t="shared" si="242"/>
        <v>10.391778372865726</v>
      </c>
      <c r="DM76" s="150">
        <f t="shared" si="243"/>
        <v>11.068251547987614</v>
      </c>
      <c r="DN76" s="150">
        <f t="shared" si="244"/>
        <v>4.9093670276900401</v>
      </c>
      <c r="DP76" s="314">
        <f t="shared" si="245"/>
        <v>2840</v>
      </c>
      <c r="DQ76" s="144">
        <f t="shared" si="246"/>
        <v>310.12454001940938</v>
      </c>
      <c r="DS76">
        <f t="shared" si="291"/>
        <v>2840</v>
      </c>
      <c r="DT76">
        <f t="shared" si="247"/>
        <v>310.12454001940938</v>
      </c>
      <c r="DV76" s="5">
        <f t="shared" si="292"/>
        <v>3.2245110301087885</v>
      </c>
      <c r="DW76" s="5">
        <f t="shared" si="248"/>
        <v>1.5300230081041701</v>
      </c>
      <c r="DX76" s="5">
        <f t="shared" si="293"/>
        <v>1.6944880220046183</v>
      </c>
      <c r="DY76" s="150">
        <f t="shared" si="294"/>
        <v>0.47449768160741884</v>
      </c>
      <c r="EA76" s="5">
        <f t="shared" si="249"/>
        <v>14.484217810052808</v>
      </c>
      <c r="EB76" s="5">
        <f t="shared" si="250"/>
        <v>15.38948142318111</v>
      </c>
      <c r="EC76" s="5">
        <f t="shared" si="251"/>
        <v>2.4977574303597478</v>
      </c>
      <c r="ED76" s="5"/>
      <c r="EE76" s="150">
        <f t="shared" si="295"/>
        <v>4.4018520436635402</v>
      </c>
      <c r="EF76" s="150">
        <f t="shared" si="252"/>
        <v>4.44354566831211</v>
      </c>
      <c r="EG76" s="150">
        <f t="shared" si="253"/>
        <v>0.89195634011234215</v>
      </c>
      <c r="EH76" s="150"/>
      <c r="EI76" s="456">
        <f t="shared" si="254"/>
        <v>0.23251561697165865</v>
      </c>
      <c r="EJ76" s="456">
        <f t="shared" si="255"/>
        <v>4.219617021276596</v>
      </c>
      <c r="EK76" s="456">
        <f t="shared" si="256"/>
        <v>3.5664322102232082E-2</v>
      </c>
      <c r="EL76" s="456">
        <f t="shared" si="257"/>
        <v>0.67182327949019716</v>
      </c>
      <c r="EM76">
        <f t="shared" si="258"/>
        <v>1.5299999999999999E-2</v>
      </c>
      <c r="EN76" s="144">
        <f t="shared" si="296"/>
        <v>50.964322102232082</v>
      </c>
      <c r="EO76">
        <f t="shared" si="259"/>
        <v>5.5439806044253599</v>
      </c>
      <c r="EP76" s="144">
        <f t="shared" si="297"/>
        <v>5543.9806044253601</v>
      </c>
      <c r="EQ76" s="150">
        <f t="shared" si="260"/>
        <v>1.9045039999999998</v>
      </c>
      <c r="ER76" s="150">
        <f t="shared" si="261"/>
        <v>0.28907649999999996</v>
      </c>
      <c r="ES76" s="456"/>
      <c r="EU76" s="144">
        <f t="shared" si="298"/>
        <v>2193.5804999999996</v>
      </c>
      <c r="EV76" s="456">
        <f t="shared" si="262"/>
        <v>0.27126821980026844</v>
      </c>
      <c r="EW76" s="456">
        <f t="shared" si="299"/>
        <v>0.27643137348925445</v>
      </c>
      <c r="EX76" s="456">
        <f t="shared" si="263"/>
        <v>3.977930563333021E-3</v>
      </c>
      <c r="EY76" s="456">
        <f t="shared" si="264"/>
        <v>34.515000905941115</v>
      </c>
      <c r="EZ76" s="456">
        <f t="shared" si="265"/>
        <v>36.824291763328937</v>
      </c>
      <c r="FA76" s="538">
        <f t="shared" si="266"/>
        <v>3.7992176545724861</v>
      </c>
      <c r="FB76" s="144">
        <f t="shared" si="300"/>
        <v>40623.509417901427</v>
      </c>
      <c r="FC76" s="150">
        <f t="shared" si="301"/>
        <v>48.361070522326784</v>
      </c>
      <c r="FD76" s="5">
        <f t="shared" si="302"/>
        <v>88.820999999999984</v>
      </c>
      <c r="FE76" s="150">
        <f t="shared" si="303"/>
        <v>0.64746799389898491</v>
      </c>
      <c r="FF76" s="5">
        <f t="shared" si="304"/>
        <v>64.746799389898484</v>
      </c>
      <c r="FG76">
        <f t="shared" si="305"/>
        <v>71</v>
      </c>
      <c r="FI76" s="59">
        <f t="shared" si="267"/>
        <v>-50</v>
      </c>
      <c r="FJ76">
        <f t="shared" si="268"/>
        <v>-50</v>
      </c>
      <c r="FL76">
        <f t="shared" si="269"/>
        <v>0.52186043457008324</v>
      </c>
    </row>
    <row r="77" spans="5:168">
      <c r="E77" s="147">
        <v>72</v>
      </c>
      <c r="F77" s="188">
        <f t="shared" si="306"/>
        <v>2.88</v>
      </c>
      <c r="G77" s="188">
        <f t="shared" si="270"/>
        <v>0.61199999999999999</v>
      </c>
      <c r="H77" s="188">
        <f t="shared" si="175"/>
        <v>86.399999999999991</v>
      </c>
      <c r="I77" s="188">
        <f t="shared" si="307"/>
        <v>3.6719999999999997</v>
      </c>
      <c r="J77" s="465">
        <f t="shared" si="176"/>
        <v>33.825928196282675</v>
      </c>
      <c r="K77" s="379">
        <f t="shared" si="177"/>
        <v>30.831207152951762</v>
      </c>
      <c r="L77" s="149">
        <f t="shared" si="178"/>
        <v>64.657135349234437</v>
      </c>
      <c r="M77" s="379"/>
      <c r="N77" s="188">
        <f t="shared" si="179"/>
        <v>0.47684152702439231</v>
      </c>
      <c r="O77" s="149">
        <f t="shared" si="271"/>
        <v>234.42492920765758</v>
      </c>
      <c r="P77" s="149">
        <f t="shared" si="180"/>
        <v>9.9630594913254455</v>
      </c>
      <c r="Q77" s="188">
        <f t="shared" si="181"/>
        <v>7.8141643069219198</v>
      </c>
      <c r="R77" s="188">
        <f t="shared" si="182"/>
        <v>39.0708215346096</v>
      </c>
      <c r="S77" s="379">
        <f t="shared" si="183"/>
        <v>30</v>
      </c>
      <c r="T77" s="188">
        <f t="shared" si="184"/>
        <v>11.168529844633495</v>
      </c>
      <c r="U77" s="188">
        <f t="shared" si="185"/>
        <v>1.5518300034571135</v>
      </c>
      <c r="V77" s="188">
        <f t="shared" si="186"/>
        <v>1.7025635749313133</v>
      </c>
      <c r="W77" s="172">
        <f t="shared" si="187"/>
        <v>350</v>
      </c>
      <c r="X77" s="379">
        <f t="shared" si="272"/>
        <v>289.48641123474079</v>
      </c>
      <c r="Z77" s="188">
        <f t="shared" si="188"/>
        <v>9.8052323733330571</v>
      </c>
      <c r="AA77" s="150">
        <f t="shared" si="189"/>
        <v>1.494738494216022</v>
      </c>
      <c r="AB77" s="150">
        <f t="shared" si="190"/>
        <v>2.4602831633591924</v>
      </c>
      <c r="AC77" s="150"/>
      <c r="AD77" s="150">
        <f t="shared" si="191"/>
        <v>0.92389663315928128</v>
      </c>
      <c r="AE77" s="314">
        <f t="shared" si="192"/>
        <v>1072.4056831032806</v>
      </c>
      <c r="AF77" s="456">
        <f t="shared" si="193"/>
        <v>0.93994279952255921</v>
      </c>
      <c r="AH77" s="150">
        <f t="shared" si="194"/>
        <v>10.464704028071543</v>
      </c>
      <c r="AI77" s="150">
        <f t="shared" si="195"/>
        <v>11.168529844633495</v>
      </c>
      <c r="AJ77" s="150">
        <f t="shared" si="196"/>
        <v>4.9836472474277294</v>
      </c>
      <c r="AL77" s="314">
        <f t="shared" si="197"/>
        <v>2880</v>
      </c>
      <c r="AM77" s="144">
        <f t="shared" si="198"/>
        <v>289.48641123474079</v>
      </c>
      <c r="AO77">
        <f t="shared" si="273"/>
        <v>2880</v>
      </c>
      <c r="AP77">
        <f t="shared" si="199"/>
        <v>289.48641123474079</v>
      </c>
      <c r="AR77" s="5">
        <f t="shared" si="274"/>
        <v>3.454393578388427</v>
      </c>
      <c r="AS77" s="5">
        <f t="shared" si="200"/>
        <v>1.5518300034571135</v>
      </c>
      <c r="AT77" s="5">
        <f t="shared" si="275"/>
        <v>1.9025635749313135</v>
      </c>
      <c r="AU77" s="150">
        <f t="shared" si="276"/>
        <v>0.44923369854719519</v>
      </c>
      <c r="AW77" s="5">
        <f t="shared" si="201"/>
        <v>14.897568033188287</v>
      </c>
      <c r="AX77" s="5">
        <f t="shared" si="202"/>
        <v>15.828666035262559</v>
      </c>
      <c r="AY77" s="5">
        <f t="shared" si="203"/>
        <v>2.8586058377224415</v>
      </c>
      <c r="AZ77" s="5"/>
      <c r="BA77" s="150">
        <f t="shared" si="277"/>
        <v>4.3218684646637957</v>
      </c>
      <c r="BB77" s="150">
        <f t="shared" si="204"/>
        <v>4.590320381055796</v>
      </c>
      <c r="BC77" s="150">
        <f t="shared" si="205"/>
        <v>0.92141854110500754</v>
      </c>
      <c r="BD77" s="150"/>
      <c r="BE77" s="456">
        <f t="shared" si="206"/>
        <v>0.22414256431026475</v>
      </c>
      <c r="BF77" s="456">
        <f t="shared" si="207"/>
        <v>3.8150788588769222</v>
      </c>
      <c r="BG77" s="456">
        <f t="shared" si="208"/>
        <v>3.3290937291995192E-2</v>
      </c>
      <c r="BH77" s="456">
        <f t="shared" si="209"/>
        <v>0.6262841991926047</v>
      </c>
      <c r="BI77">
        <f t="shared" si="210"/>
        <v>1.5221667688327204E-2</v>
      </c>
      <c r="BJ77" s="144">
        <f t="shared" si="278"/>
        <v>48.512604980322394</v>
      </c>
      <c r="BK77">
        <f t="shared" si="211"/>
        <v>4.9918726487024099</v>
      </c>
      <c r="BL77" s="144">
        <f t="shared" si="279"/>
        <v>4991.8726487024096</v>
      </c>
      <c r="BM77" s="150">
        <f t="shared" si="212"/>
        <v>1.9313279999999999</v>
      </c>
      <c r="BN77" s="150">
        <f t="shared" si="213"/>
        <v>0.29314799999999996</v>
      </c>
      <c r="BO77" s="456"/>
      <c r="BQ77" s="144">
        <f t="shared" si="280"/>
        <v>2224.4760000000001</v>
      </c>
      <c r="BR77" s="456">
        <f t="shared" si="214"/>
        <v>0.26149965836197553</v>
      </c>
      <c r="BS77" s="456">
        <f t="shared" si="215"/>
        <v>0.29499457681030722</v>
      </c>
      <c r="BT77" s="456">
        <f t="shared" si="216"/>
        <v>4.2450606394604023E-3</v>
      </c>
      <c r="BU77" s="456">
        <f t="shared" si="217"/>
        <v>29.718746186241237</v>
      </c>
      <c r="BV77" s="456">
        <f t="shared" si="218"/>
        <v>31.842489734706351</v>
      </c>
      <c r="BW77" s="538">
        <f t="shared" si="219"/>
        <v>3.610939403976718</v>
      </c>
      <c r="BX77" s="144">
        <f t="shared" si="281"/>
        <v>35453.429138683074</v>
      </c>
      <c r="BY77" s="150">
        <f t="shared" si="282"/>
        <v>42.669777787385478</v>
      </c>
      <c r="BZ77" s="5">
        <f t="shared" si="283"/>
        <v>90.071999999999989</v>
      </c>
      <c r="CA77" s="150">
        <f t="shared" si="284"/>
        <v>0.67855050234651582</v>
      </c>
      <c r="CB77" s="5">
        <f t="shared" si="285"/>
        <v>67.855050234651586</v>
      </c>
      <c r="CC77">
        <f t="shared" si="286"/>
        <v>72</v>
      </c>
      <c r="CE77" s="59">
        <f t="shared" si="220"/>
        <v>-50</v>
      </c>
      <c r="CF77">
        <f t="shared" si="221"/>
        <v>-50</v>
      </c>
      <c r="CG77" s="150">
        <f t="shared" si="222"/>
        <v>0.52186043457008324</v>
      </c>
      <c r="CH77" s="150">
        <f t="shared" si="223"/>
        <v>0.11015112407727182</v>
      </c>
      <c r="CI77" s="147">
        <v>72</v>
      </c>
      <c r="CJ77" s="188">
        <f t="shared" si="308"/>
        <v>2.88</v>
      </c>
      <c r="CK77" s="188">
        <f t="shared" si="287"/>
        <v>0.61199999999999999</v>
      </c>
      <c r="CL77" s="188">
        <f t="shared" si="224"/>
        <v>86.399999999999991</v>
      </c>
      <c r="CM77" s="188">
        <f t="shared" si="309"/>
        <v>3.6719999999999997</v>
      </c>
      <c r="CN77" s="465">
        <f t="shared" si="288"/>
        <v>34</v>
      </c>
      <c r="CO77" s="379">
        <f t="shared" si="225"/>
        <v>30.7</v>
      </c>
      <c r="CP77" s="379">
        <f t="shared" si="226"/>
        <v>64.7</v>
      </c>
      <c r="CQ77" s="379"/>
      <c r="CR77" s="188">
        <f t="shared" si="227"/>
        <v>0.47204968944099374</v>
      </c>
      <c r="CS77" s="149">
        <f t="shared" si="289"/>
        <v>233.26341749863801</v>
      </c>
      <c r="CT77" s="149">
        <f t="shared" si="228"/>
        <v>9.9136952436921142</v>
      </c>
      <c r="CU77" s="188">
        <f t="shared" si="229"/>
        <v>7.7754472499545999</v>
      </c>
      <c r="CV77" s="188">
        <f t="shared" si="230"/>
        <v>38.877236249772999</v>
      </c>
      <c r="CW77" s="379">
        <f t="shared" si="231"/>
        <v>30</v>
      </c>
      <c r="CX77" s="188">
        <f t="shared" si="232"/>
        <v>11.22414241486068</v>
      </c>
      <c r="CY77" s="188">
        <f t="shared" si="233"/>
        <v>1.5515726279366233</v>
      </c>
      <c r="CZ77" s="188">
        <f t="shared" si="234"/>
        <v>1.7183540504835568</v>
      </c>
      <c r="DA77" s="172">
        <f t="shared" si="235"/>
        <v>350</v>
      </c>
      <c r="DB77" s="379">
        <f t="shared" si="290"/>
        <v>305.81725474136204</v>
      </c>
      <c r="DD77" s="188">
        <f t="shared" si="236"/>
        <v>9.8072469146822137</v>
      </c>
      <c r="DE77" s="150">
        <f t="shared" si="237"/>
        <v>1.5014351954073746</v>
      </c>
      <c r="DF77" s="150">
        <f t="shared" si="238"/>
        <v>2.4718134248028734</v>
      </c>
      <c r="DG77" s="150"/>
      <c r="DH77" s="150">
        <f t="shared" si="239"/>
        <v>0.92784522751949461</v>
      </c>
      <c r="DI77" s="314">
        <f t="shared" si="240"/>
        <v>1067.841888510638</v>
      </c>
      <c r="DJ77" s="456">
        <f t="shared" si="241"/>
        <v>0.94395997276890675</v>
      </c>
      <c r="DL77" s="150">
        <f t="shared" si="242"/>
        <v>10.464704028071543</v>
      </c>
      <c r="DM77" s="150">
        <f t="shared" si="243"/>
        <v>11.22414241486068</v>
      </c>
      <c r="DN77" s="150">
        <f t="shared" si="244"/>
        <v>5.0248417438923099</v>
      </c>
      <c r="DP77" s="314">
        <f t="shared" si="245"/>
        <v>2880</v>
      </c>
      <c r="DQ77" s="144">
        <f t="shared" si="246"/>
        <v>305.81725474136204</v>
      </c>
      <c r="DS77">
        <f t="shared" si="291"/>
        <v>2880</v>
      </c>
      <c r="DT77">
        <f t="shared" si="247"/>
        <v>305.81725474136204</v>
      </c>
      <c r="DV77" s="5">
        <f t="shared" si="292"/>
        <v>3.2699266784201799</v>
      </c>
      <c r="DW77" s="5">
        <f t="shared" si="248"/>
        <v>1.5515726279366233</v>
      </c>
      <c r="DX77" s="5">
        <f t="shared" si="293"/>
        <v>1.7183540504835566</v>
      </c>
      <c r="DY77" s="150">
        <f t="shared" si="294"/>
        <v>0.4744976816074189</v>
      </c>
      <c r="EA77" s="5">
        <f t="shared" si="249"/>
        <v>14.895097228191583</v>
      </c>
      <c r="EB77" s="5">
        <f t="shared" si="250"/>
        <v>15.826040804953559</v>
      </c>
      <c r="EC77" s="5">
        <f t="shared" si="251"/>
        <v>2.5686122830757658</v>
      </c>
      <c r="ED77" s="5"/>
      <c r="EE77" s="150">
        <f t="shared" si="295"/>
        <v>4.4638499597714771</v>
      </c>
      <c r="EF77" s="150">
        <f t="shared" si="252"/>
        <v>4.5061308185700275</v>
      </c>
      <c r="EG77" s="150">
        <f t="shared" si="253"/>
        <v>0.9045191054660372</v>
      </c>
      <c r="EH77" s="150"/>
      <c r="EI77" s="456">
        <f t="shared" si="254"/>
        <v>0.2391114775602218</v>
      </c>
      <c r="EJ77" s="456">
        <f t="shared" si="255"/>
        <v>4.2196170212765969</v>
      </c>
      <c r="EK77" s="456">
        <f t="shared" si="256"/>
        <v>3.5168984295256632E-2</v>
      </c>
      <c r="EL77" s="456">
        <f t="shared" si="257"/>
        <v>0.66249240060838888</v>
      </c>
      <c r="EM77">
        <f t="shared" si="258"/>
        <v>1.5299999999999999E-2</v>
      </c>
      <c r="EN77" s="144">
        <f t="shared" si="296"/>
        <v>50.468984295256632</v>
      </c>
      <c r="EO77">
        <f t="shared" si="259"/>
        <v>5.5516555632381186</v>
      </c>
      <c r="EP77" s="144">
        <f t="shared" si="297"/>
        <v>5551.6555632381187</v>
      </c>
      <c r="EQ77" s="150">
        <f t="shared" si="260"/>
        <v>1.9313279999999999</v>
      </c>
      <c r="ER77" s="150">
        <f t="shared" si="261"/>
        <v>0.29314799999999996</v>
      </c>
      <c r="ES77" s="456"/>
      <c r="EU77" s="144">
        <f t="shared" si="298"/>
        <v>2224.4760000000001</v>
      </c>
      <c r="EV77" s="456">
        <f t="shared" si="262"/>
        <v>0.27896339048692542</v>
      </c>
      <c r="EW77" s="456">
        <f t="shared" si="299"/>
        <v>0.28427300935693217</v>
      </c>
      <c r="EX77" s="456">
        <f t="shared" si="263"/>
        <v>4.0907740607654007E-3</v>
      </c>
      <c r="EY77" s="456">
        <f t="shared" si="264"/>
        <v>34.515000905941115</v>
      </c>
      <c r="EZ77" s="456">
        <f t="shared" si="265"/>
        <v>36.89291485115146</v>
      </c>
      <c r="FA77" s="538">
        <f t="shared" si="266"/>
        <v>3.8527277623833664</v>
      </c>
      <c r="FB77" s="144">
        <f t="shared" si="300"/>
        <v>40745.64261353483</v>
      </c>
      <c r="FC77" s="150">
        <f t="shared" si="301"/>
        <v>48.521774176772944</v>
      </c>
      <c r="FD77" s="5">
        <f t="shared" si="302"/>
        <v>90.071999999999989</v>
      </c>
      <c r="FE77" s="150">
        <f t="shared" si="303"/>
        <v>0.64989932293145702</v>
      </c>
      <c r="FF77" s="5">
        <f t="shared" si="304"/>
        <v>64.989932293145699</v>
      </c>
      <c r="FG77">
        <f t="shared" si="305"/>
        <v>72</v>
      </c>
      <c r="FI77" s="59">
        <f t="shared" si="267"/>
        <v>-50</v>
      </c>
      <c r="FJ77">
        <f t="shared" si="268"/>
        <v>-50</v>
      </c>
      <c r="FL77">
        <f t="shared" si="269"/>
        <v>0.52186043457008324</v>
      </c>
    </row>
    <row r="78" spans="5:168">
      <c r="E78" s="147">
        <v>73</v>
      </c>
      <c r="F78" s="188">
        <f t="shared" si="306"/>
        <v>2.92</v>
      </c>
      <c r="G78" s="188">
        <f t="shared" si="270"/>
        <v>0.62049999999999994</v>
      </c>
      <c r="H78" s="188">
        <f t="shared" si="175"/>
        <v>87.6</v>
      </c>
      <c r="I78" s="188">
        <f t="shared" si="307"/>
        <v>3.7229999999999999</v>
      </c>
      <c r="J78" s="465">
        <f t="shared" si="176"/>
        <v>33.823510532342155</v>
      </c>
      <c r="K78" s="379">
        <f t="shared" si="177"/>
        <v>30.833029474520536</v>
      </c>
      <c r="L78" s="149">
        <f t="shared" si="178"/>
        <v>64.656540006862684</v>
      </c>
      <c r="M78" s="379"/>
      <c r="N78" s="188">
        <f t="shared" si="179"/>
        <v>0.47687410231428873</v>
      </c>
      <c r="O78" s="149">
        <f t="shared" si="271"/>
        <v>234.424187518764</v>
      </c>
      <c r="P78" s="149">
        <f t="shared" si="180"/>
        <v>9.9630279695474684</v>
      </c>
      <c r="Q78" s="188">
        <f t="shared" si="181"/>
        <v>7.8141395839588004</v>
      </c>
      <c r="R78" s="188">
        <f t="shared" si="182"/>
        <v>39.070697919794</v>
      </c>
      <c r="S78" s="379">
        <f t="shared" si="183"/>
        <v>30</v>
      </c>
      <c r="T78" s="188">
        <f t="shared" si="184"/>
        <v>11.323684141308913</v>
      </c>
      <c r="U78" s="188">
        <f t="shared" si="185"/>
        <v>1.5735006398363496</v>
      </c>
      <c r="V78" s="188">
        <f t="shared" si="186"/>
        <v>1.7261137284006538</v>
      </c>
      <c r="W78" s="172">
        <f t="shared" si="187"/>
        <v>350</v>
      </c>
      <c r="X78" s="379">
        <f t="shared" si="272"/>
        <v>285.74576932708408</v>
      </c>
      <c r="Z78" s="188">
        <f t="shared" si="188"/>
        <v>9.8052013508988161</v>
      </c>
      <c r="AA78" s="150">
        <f t="shared" si="189"/>
        <v>1.4946454219591752</v>
      </c>
      <c r="AB78" s="150">
        <f t="shared" si="190"/>
        <v>2.4601221864163514</v>
      </c>
      <c r="AC78" s="150"/>
      <c r="AD78" s="150">
        <f t="shared" si="191"/>
        <v>0.92384202818563388</v>
      </c>
      <c r="AE78" s="314">
        <f t="shared" si="192"/>
        <v>1087.3644728773352</v>
      </c>
      <c r="AF78" s="456">
        <f t="shared" si="193"/>
        <v>0.93988724617388819</v>
      </c>
      <c r="AH78" s="150">
        <f t="shared" si="194"/>
        <v>10.53712498927073</v>
      </c>
      <c r="AI78" s="150">
        <f t="shared" si="195"/>
        <v>11.323684141308913</v>
      </c>
      <c r="AJ78" s="150">
        <f t="shared" si="196"/>
        <v>5.0985763560761868</v>
      </c>
      <c r="AL78" s="314">
        <f t="shared" si="197"/>
        <v>2920</v>
      </c>
      <c r="AM78" s="144">
        <f t="shared" si="198"/>
        <v>285.74576932708408</v>
      </c>
      <c r="AO78">
        <f t="shared" si="273"/>
        <v>2920</v>
      </c>
      <c r="AP78">
        <f t="shared" si="199"/>
        <v>285.74576932708408</v>
      </c>
      <c r="AR78" s="5">
        <f t="shared" si="274"/>
        <v>3.4996143682370042</v>
      </c>
      <c r="AS78" s="5">
        <f t="shared" si="200"/>
        <v>1.5735006398363496</v>
      </c>
      <c r="AT78" s="5">
        <f t="shared" si="275"/>
        <v>1.9261137284006546</v>
      </c>
      <c r="AU78" s="150">
        <f t="shared" si="276"/>
        <v>0.44962115086669674</v>
      </c>
      <c r="AW78" s="5">
        <f t="shared" si="201"/>
        <v>15.315406227740469</v>
      </c>
      <c r="AX78" s="5">
        <f t="shared" si="202"/>
        <v>16.272619116974244</v>
      </c>
      <c r="AY78" s="5">
        <f t="shared" si="203"/>
        <v>2.9343940310839574</v>
      </c>
      <c r="AZ78" s="5"/>
      <c r="BA78" s="150">
        <f t="shared" si="277"/>
        <v>4.3837975127251463</v>
      </c>
      <c r="BB78" s="150">
        <f t="shared" si="204"/>
        <v>4.6524522414438056</v>
      </c>
      <c r="BC78" s="150">
        <f t="shared" si="205"/>
        <v>0.93389031723443161</v>
      </c>
      <c r="BD78" s="150"/>
      <c r="BE78" s="456">
        <f t="shared" si="206"/>
        <v>0.23061216759090214</v>
      </c>
      <c r="BF78" s="456">
        <f t="shared" si="207"/>
        <v>3.8180611958811976</v>
      </c>
      <c r="BG78" s="456">
        <f t="shared" si="208"/>
        <v>3.2860763472614671E-2</v>
      </c>
      <c r="BH78" s="456">
        <f t="shared" si="209"/>
        <v>0.6181801901843258</v>
      </c>
      <c r="BI78">
        <f t="shared" si="210"/>
        <v>1.522057973955397E-2</v>
      </c>
      <c r="BJ78" s="144">
        <f t="shared" si="278"/>
        <v>48.08134321216864</v>
      </c>
      <c r="BK78">
        <f t="shared" si="211"/>
        <v>5.0032649943097516</v>
      </c>
      <c r="BL78" s="144">
        <f t="shared" si="279"/>
        <v>5003.2649943097513</v>
      </c>
      <c r="BM78" s="150">
        <f t="shared" si="212"/>
        <v>1.9581519999999999</v>
      </c>
      <c r="BN78" s="150">
        <f t="shared" si="213"/>
        <v>0.29721949999999997</v>
      </c>
      <c r="BO78" s="456"/>
      <c r="BQ78" s="144">
        <f t="shared" si="280"/>
        <v>2255.3714999999997</v>
      </c>
      <c r="BR78" s="456">
        <f t="shared" si="214"/>
        <v>0.26904752885605249</v>
      </c>
      <c r="BS78" s="456">
        <f t="shared" si="215"/>
        <v>0.30303436602481687</v>
      </c>
      <c r="BT78" s="456">
        <f t="shared" si="216"/>
        <v>4.3607556231211363E-3</v>
      </c>
      <c r="BU78" s="456">
        <f t="shared" si="217"/>
        <v>29.777545302768999</v>
      </c>
      <c r="BV78" s="456">
        <f t="shared" si="218"/>
        <v>31.966481662751018</v>
      </c>
      <c r="BW78" s="538">
        <f t="shared" si="219"/>
        <v>3.6639986307041914</v>
      </c>
      <c r="BX78" s="144">
        <f t="shared" si="281"/>
        <v>35630.480293455206</v>
      </c>
      <c r="BY78" s="150">
        <f t="shared" si="282"/>
        <v>42.889116787764962</v>
      </c>
      <c r="BZ78" s="5">
        <f t="shared" si="283"/>
        <v>91.322999999999993</v>
      </c>
      <c r="CA78" s="150">
        <f t="shared" si="284"/>
        <v>0.6804378187731942</v>
      </c>
      <c r="CB78" s="5">
        <f t="shared" si="285"/>
        <v>68.043781877319418</v>
      </c>
      <c r="CC78">
        <f t="shared" si="286"/>
        <v>73</v>
      </c>
      <c r="CE78" s="59">
        <f t="shared" si="220"/>
        <v>-50</v>
      </c>
      <c r="CF78">
        <f t="shared" si="221"/>
        <v>-50</v>
      </c>
      <c r="CG78" s="150">
        <f t="shared" si="222"/>
        <v>0.52186043457008324</v>
      </c>
      <c r="CH78" s="150">
        <f t="shared" si="223"/>
        <v>0.11015112407727182</v>
      </c>
      <c r="CI78" s="147">
        <v>73</v>
      </c>
      <c r="CJ78" s="188">
        <f t="shared" si="308"/>
        <v>2.92</v>
      </c>
      <c r="CK78" s="188">
        <f t="shared" si="287"/>
        <v>0.62049999999999994</v>
      </c>
      <c r="CL78" s="188">
        <f t="shared" si="224"/>
        <v>87.6</v>
      </c>
      <c r="CM78" s="188">
        <f t="shared" si="309"/>
        <v>3.7229999999999999</v>
      </c>
      <c r="CN78" s="465">
        <f t="shared" si="288"/>
        <v>34</v>
      </c>
      <c r="CO78" s="379">
        <f t="shared" si="225"/>
        <v>30.7</v>
      </c>
      <c r="CP78" s="379">
        <f t="shared" si="226"/>
        <v>64.7</v>
      </c>
      <c r="CQ78" s="379"/>
      <c r="CR78" s="188">
        <f t="shared" si="227"/>
        <v>0.47204968944099374</v>
      </c>
      <c r="CS78" s="149">
        <f t="shared" si="289"/>
        <v>233.26341749863801</v>
      </c>
      <c r="CT78" s="149">
        <f t="shared" si="228"/>
        <v>9.9136952436921142</v>
      </c>
      <c r="CU78" s="188">
        <f t="shared" si="229"/>
        <v>7.7754472499545999</v>
      </c>
      <c r="CV78" s="188">
        <f t="shared" si="230"/>
        <v>38.877236249772999</v>
      </c>
      <c r="CW78" s="379">
        <f t="shared" si="231"/>
        <v>30</v>
      </c>
      <c r="CX78" s="188">
        <f t="shared" si="232"/>
        <v>11.380033281733747</v>
      </c>
      <c r="CY78" s="188">
        <f t="shared" si="233"/>
        <v>1.5731222477690767</v>
      </c>
      <c r="CZ78" s="188">
        <f t="shared" si="234"/>
        <v>1.7422200789624953</v>
      </c>
      <c r="DA78" s="172">
        <f t="shared" si="235"/>
        <v>350</v>
      </c>
      <c r="DB78" s="379">
        <f t="shared" si="290"/>
        <v>301.62797727915159</v>
      </c>
      <c r="DD78" s="188">
        <f t="shared" si="236"/>
        <v>9.8072469146822137</v>
      </c>
      <c r="DE78" s="150">
        <f t="shared" si="237"/>
        <v>1.5014351954073746</v>
      </c>
      <c r="DF78" s="150">
        <f t="shared" si="238"/>
        <v>2.4718134248028734</v>
      </c>
      <c r="DG78" s="150"/>
      <c r="DH78" s="150">
        <f t="shared" si="239"/>
        <v>0.92784522751949461</v>
      </c>
      <c r="DI78" s="314">
        <f t="shared" si="240"/>
        <v>1082.6730258510636</v>
      </c>
      <c r="DJ78" s="456">
        <f t="shared" si="241"/>
        <v>0.94395997276890675</v>
      </c>
      <c r="DL78" s="150">
        <f t="shared" si="242"/>
        <v>10.53712498927073</v>
      </c>
      <c r="DM78" s="150">
        <f t="shared" si="243"/>
        <v>11.380033281733747</v>
      </c>
      <c r="DN78" s="150">
        <f t="shared" si="244"/>
        <v>5.1403164600945823</v>
      </c>
      <c r="DP78" s="314">
        <f t="shared" si="245"/>
        <v>2920</v>
      </c>
      <c r="DQ78" s="144">
        <f t="shared" si="246"/>
        <v>301.62797727915159</v>
      </c>
      <c r="DS78">
        <f t="shared" si="291"/>
        <v>2920</v>
      </c>
      <c r="DT78">
        <f t="shared" si="247"/>
        <v>301.62797727915159</v>
      </c>
      <c r="DV78" s="5">
        <f t="shared" si="292"/>
        <v>3.3153423267315714</v>
      </c>
      <c r="DW78" s="5">
        <f t="shared" si="248"/>
        <v>1.5731222477690767</v>
      </c>
      <c r="DX78" s="5">
        <f t="shared" si="293"/>
        <v>1.7422200789624946</v>
      </c>
      <c r="DY78" s="150">
        <f t="shared" si="294"/>
        <v>0.47449768160741895</v>
      </c>
      <c r="EA78" s="5">
        <f t="shared" si="249"/>
        <v>15.311723211619013</v>
      </c>
      <c r="EB78" s="5">
        <f t="shared" si="250"/>
        <v>16.268705912345201</v>
      </c>
      <c r="EC78" s="5">
        <f t="shared" si="251"/>
        <v>2.6404581127528464</v>
      </c>
      <c r="ED78" s="5"/>
      <c r="EE78" s="150">
        <f t="shared" si="295"/>
        <v>4.5258478758794158</v>
      </c>
      <c r="EF78" s="150">
        <f t="shared" si="252"/>
        <v>4.5687159688279451</v>
      </c>
      <c r="EG78" s="150">
        <f t="shared" si="253"/>
        <v>0.91708187081973247</v>
      </c>
      <c r="EH78" s="150"/>
      <c r="EI78" s="456">
        <f t="shared" si="254"/>
        <v>0.24579958794722664</v>
      </c>
      <c r="EJ78" s="456">
        <f t="shared" si="255"/>
        <v>4.2196170212765969</v>
      </c>
      <c r="EK78" s="456">
        <f t="shared" si="256"/>
        <v>3.4687217387102433E-2</v>
      </c>
      <c r="EL78" s="456">
        <f t="shared" si="257"/>
        <v>0.65341716224389046</v>
      </c>
      <c r="EM78">
        <f t="shared" si="258"/>
        <v>1.5299999999999999E-2</v>
      </c>
      <c r="EN78" s="144">
        <f t="shared" si="296"/>
        <v>49.987217387102433</v>
      </c>
      <c r="EO78">
        <f t="shared" si="259"/>
        <v>5.5598958133488425</v>
      </c>
      <c r="EP78" s="144">
        <f t="shared" si="297"/>
        <v>5559.8958133488422</v>
      </c>
      <c r="EQ78" s="150">
        <f t="shared" si="260"/>
        <v>1.9581519999999999</v>
      </c>
      <c r="ER78" s="150">
        <f t="shared" si="261"/>
        <v>0.29721949999999997</v>
      </c>
      <c r="ES78" s="456"/>
      <c r="EU78" s="144">
        <f t="shared" si="298"/>
        <v>2255.3714999999997</v>
      </c>
      <c r="EV78" s="456">
        <f t="shared" si="262"/>
        <v>0.28676618593843106</v>
      </c>
      <c r="EW78" s="456">
        <f t="shared" si="299"/>
        <v>0.29222431845352859</v>
      </c>
      <c r="EX78" s="456">
        <f t="shared" si="263"/>
        <v>4.2051957889311029E-3</v>
      </c>
      <c r="EY78" s="456">
        <f t="shared" si="264"/>
        <v>34.51500090594115</v>
      </c>
      <c r="EZ78" s="456">
        <f t="shared" si="265"/>
        <v>36.962681738740514</v>
      </c>
      <c r="FA78" s="538">
        <f t="shared" si="266"/>
        <v>3.9062378701942473</v>
      </c>
      <c r="FB78" s="144">
        <f t="shared" si="300"/>
        <v>40868.919608934761</v>
      </c>
      <c r="FC78" s="150">
        <f t="shared" si="301"/>
        <v>48.684186922283601</v>
      </c>
      <c r="FD78" s="5">
        <f t="shared" si="302"/>
        <v>91.322999999999993</v>
      </c>
      <c r="FE78" s="150">
        <f t="shared" si="303"/>
        <v>0.65227365828507322</v>
      </c>
      <c r="FF78" s="5">
        <f t="shared" si="304"/>
        <v>65.227365828507317</v>
      </c>
      <c r="FG78">
        <f t="shared" si="305"/>
        <v>73</v>
      </c>
      <c r="FI78" s="59">
        <f t="shared" si="267"/>
        <v>-50</v>
      </c>
      <c r="FJ78">
        <f t="shared" si="268"/>
        <v>-50</v>
      </c>
      <c r="FL78">
        <f t="shared" si="269"/>
        <v>0.52186043457008324</v>
      </c>
    </row>
    <row r="79" spans="5:168">
      <c r="E79" s="147">
        <v>74</v>
      </c>
      <c r="F79" s="188">
        <f t="shared" si="306"/>
        <v>2.96</v>
      </c>
      <c r="G79" s="188">
        <f t="shared" si="270"/>
        <v>0.629</v>
      </c>
      <c r="H79" s="188">
        <f t="shared" si="175"/>
        <v>88.8</v>
      </c>
      <c r="I79" s="188">
        <f t="shared" si="307"/>
        <v>3.774</v>
      </c>
      <c r="J79" s="465">
        <f t="shared" si="176"/>
        <v>33.821092868401635</v>
      </c>
      <c r="K79" s="379">
        <f t="shared" si="177"/>
        <v>30.83485179608931</v>
      </c>
      <c r="L79" s="149">
        <f t="shared" si="178"/>
        <v>64.655944664490946</v>
      </c>
      <c r="M79" s="379"/>
      <c r="N79" s="188">
        <f t="shared" si="179"/>
        <v>0.47690667820408189</v>
      </c>
      <c r="O79" s="149">
        <f t="shared" si="271"/>
        <v>234.42344383549434</v>
      </c>
      <c r="P79" s="149">
        <f t="shared" si="180"/>
        <v>9.962996363008509</v>
      </c>
      <c r="Q79" s="188">
        <f t="shared" si="181"/>
        <v>7.8141147945164784</v>
      </c>
      <c r="R79" s="188">
        <f t="shared" si="182"/>
        <v>39.070573972582388</v>
      </c>
      <c r="S79" s="379">
        <f t="shared" si="183"/>
        <v>30</v>
      </c>
      <c r="T79" s="188">
        <f t="shared" si="184"/>
        <v>11.478839517422264</v>
      </c>
      <c r="U79" s="188">
        <f t="shared" si="185"/>
        <v>1.5951745244249498</v>
      </c>
      <c r="V79" s="188">
        <f t="shared" si="186"/>
        <v>1.7496612628028594</v>
      </c>
      <c r="W79" s="172">
        <f t="shared" si="187"/>
        <v>350</v>
      </c>
      <c r="X79" s="379">
        <f t="shared" si="272"/>
        <v>282.10051467067717</v>
      </c>
      <c r="Z79" s="188">
        <f t="shared" si="188"/>
        <v>9.8051702450463143</v>
      </c>
      <c r="AA79" s="150">
        <f t="shared" si="189"/>
        <v>1.4945523479883371</v>
      </c>
      <c r="AB79" s="150">
        <f t="shared" si="190"/>
        <v>2.4599611866934157</v>
      </c>
      <c r="AC79" s="150"/>
      <c r="AD79" s="150">
        <f t="shared" si="191"/>
        <v>0.92378742966623018</v>
      </c>
      <c r="AE79" s="314">
        <f t="shared" si="192"/>
        <v>1102.3250233746119</v>
      </c>
      <c r="AF79" s="456">
        <f t="shared" si="193"/>
        <v>0.93983169939155753</v>
      </c>
      <c r="AH79" s="150">
        <f t="shared" si="194"/>
        <v>10.609051592102405</v>
      </c>
      <c r="AI79" s="150">
        <f t="shared" si="195"/>
        <v>11.478839517422264</v>
      </c>
      <c r="AJ79" s="150">
        <f t="shared" si="196"/>
        <v>5.2135062643082986</v>
      </c>
      <c r="AL79" s="314">
        <f t="shared" si="197"/>
        <v>2960</v>
      </c>
      <c r="AM79" s="144">
        <f t="shared" si="198"/>
        <v>282.10051467067717</v>
      </c>
      <c r="AO79">
        <f t="shared" si="273"/>
        <v>2960</v>
      </c>
      <c r="AP79">
        <f t="shared" si="199"/>
        <v>282.10051467067717</v>
      </c>
      <c r="AR79" s="5">
        <f t="shared" si="274"/>
        <v>3.5448357872278091</v>
      </c>
      <c r="AS79" s="5">
        <f t="shared" si="200"/>
        <v>1.5951745244249498</v>
      </c>
      <c r="AT79" s="5">
        <f t="shared" si="275"/>
        <v>1.9496612628028593</v>
      </c>
      <c r="AU79" s="150">
        <f t="shared" si="276"/>
        <v>0.44999955432983102</v>
      </c>
      <c r="AW79" s="5">
        <f t="shared" si="201"/>
        <v>15.739055307659504</v>
      </c>
      <c r="AX79" s="5">
        <f t="shared" si="202"/>
        <v>16.722746264388224</v>
      </c>
      <c r="AY79" s="5">
        <f t="shared" si="203"/>
        <v>3.0111720484183007</v>
      </c>
      <c r="AZ79" s="5"/>
      <c r="BA79" s="150">
        <f t="shared" si="277"/>
        <v>4.4457332269962349</v>
      </c>
      <c r="BB79" s="150">
        <f t="shared" si="204"/>
        <v>4.7145778760622346</v>
      </c>
      <c r="BC79" s="150">
        <f t="shared" si="205"/>
        <v>0.94636084366033835</v>
      </c>
      <c r="BD79" s="150"/>
      <c r="BE79" s="456">
        <f t="shared" si="206"/>
        <v>0.23717452710742026</v>
      </c>
      <c r="BF79" s="456">
        <f t="shared" si="207"/>
        <v>3.8209661727302948</v>
      </c>
      <c r="BG79" s="456">
        <f t="shared" si="208"/>
        <v>3.2441559187127877E-2</v>
      </c>
      <c r="BH79" s="456">
        <f t="shared" si="209"/>
        <v>0.61028283557774854</v>
      </c>
      <c r="BI79">
        <f t="shared" si="210"/>
        <v>1.5219491790780736E-2</v>
      </c>
      <c r="BJ79" s="144">
        <f t="shared" si="278"/>
        <v>47.661050977908609</v>
      </c>
      <c r="BK79">
        <f t="shared" si="211"/>
        <v>5.0150734235665357</v>
      </c>
      <c r="BL79" s="144">
        <f t="shared" si="279"/>
        <v>5015.0734235665359</v>
      </c>
      <c r="BM79" s="150">
        <f t="shared" si="212"/>
        <v>1.9849760000000001</v>
      </c>
      <c r="BN79" s="150">
        <f t="shared" si="213"/>
        <v>0.30129099999999998</v>
      </c>
      <c r="BO79" s="456"/>
      <c r="BQ79" s="144">
        <f t="shared" si="280"/>
        <v>2286.2669999999998</v>
      </c>
      <c r="BR79" s="456">
        <f t="shared" si="214"/>
        <v>0.27670361495865697</v>
      </c>
      <c r="BS79" s="456">
        <f t="shared" si="215"/>
        <v>0.31118142369237689</v>
      </c>
      <c r="BT79" s="456">
        <f t="shared" si="216"/>
        <v>4.477994232067537E-3</v>
      </c>
      <c r="BU79" s="456">
        <f t="shared" si="217"/>
        <v>29.834905116267535</v>
      </c>
      <c r="BV79" s="456">
        <f t="shared" si="218"/>
        <v>32.090157099872641</v>
      </c>
      <c r="BW79" s="538">
        <f t="shared" si="219"/>
        <v>3.7170623570627814</v>
      </c>
      <c r="BX79" s="144">
        <f t="shared" si="281"/>
        <v>35807.219456935418</v>
      </c>
      <c r="BY79" s="150">
        <f t="shared" si="282"/>
        <v>43.108559880501957</v>
      </c>
      <c r="BZ79" s="5">
        <f t="shared" si="283"/>
        <v>92.573999999999998</v>
      </c>
      <c r="CA79" s="150">
        <f t="shared" si="284"/>
        <v>0.68228370751208967</v>
      </c>
      <c r="CB79" s="5">
        <f t="shared" si="285"/>
        <v>68.228370751208971</v>
      </c>
      <c r="CC79">
        <f t="shared" si="286"/>
        <v>74</v>
      </c>
      <c r="CE79" s="59">
        <f t="shared" si="220"/>
        <v>-50</v>
      </c>
      <c r="CF79">
        <f t="shared" si="221"/>
        <v>-50</v>
      </c>
      <c r="CG79" s="150">
        <f t="shared" si="222"/>
        <v>0.52186043457008313</v>
      </c>
      <c r="CH79" s="150">
        <f t="shared" si="223"/>
        <v>0.1101511240772718</v>
      </c>
      <c r="CI79" s="147">
        <v>74</v>
      </c>
      <c r="CJ79" s="188">
        <f t="shared" si="308"/>
        <v>2.96</v>
      </c>
      <c r="CK79" s="188">
        <f t="shared" si="287"/>
        <v>0.629</v>
      </c>
      <c r="CL79" s="188">
        <f t="shared" si="224"/>
        <v>88.8</v>
      </c>
      <c r="CM79" s="188">
        <f t="shared" si="309"/>
        <v>3.774</v>
      </c>
      <c r="CN79" s="465">
        <f t="shared" si="288"/>
        <v>34</v>
      </c>
      <c r="CO79" s="379">
        <f t="shared" si="225"/>
        <v>30.7</v>
      </c>
      <c r="CP79" s="379">
        <f t="shared" si="226"/>
        <v>64.7</v>
      </c>
      <c r="CQ79" s="379"/>
      <c r="CR79" s="188">
        <f t="shared" si="227"/>
        <v>0.47204968944099374</v>
      </c>
      <c r="CS79" s="149">
        <f t="shared" si="289"/>
        <v>233.26341749863801</v>
      </c>
      <c r="CT79" s="149">
        <f t="shared" si="228"/>
        <v>9.9136952436921142</v>
      </c>
      <c r="CU79" s="188">
        <f t="shared" si="229"/>
        <v>7.7754472499545999</v>
      </c>
      <c r="CV79" s="188">
        <f t="shared" si="230"/>
        <v>38.877236249772999</v>
      </c>
      <c r="CW79" s="379">
        <f t="shared" si="231"/>
        <v>30</v>
      </c>
      <c r="CX79" s="188">
        <f t="shared" si="232"/>
        <v>11.535924148606812</v>
      </c>
      <c r="CY79" s="188">
        <f t="shared" si="233"/>
        <v>1.5946718676015299</v>
      </c>
      <c r="CZ79" s="188">
        <f t="shared" si="234"/>
        <v>1.7660861074414338</v>
      </c>
      <c r="DA79" s="172">
        <f t="shared" si="235"/>
        <v>350</v>
      </c>
      <c r="DB79" s="379">
        <f t="shared" si="290"/>
        <v>297.55192353213596</v>
      </c>
      <c r="DD79" s="188">
        <f t="shared" si="236"/>
        <v>9.8072469146822137</v>
      </c>
      <c r="DE79" s="150">
        <f t="shared" si="237"/>
        <v>1.5014351954073746</v>
      </c>
      <c r="DF79" s="150">
        <f t="shared" si="238"/>
        <v>2.4718134248028734</v>
      </c>
      <c r="DG79" s="150"/>
      <c r="DH79" s="150">
        <f t="shared" si="239"/>
        <v>0.92784522751949461</v>
      </c>
      <c r="DI79" s="314">
        <f t="shared" si="240"/>
        <v>1097.5041631914892</v>
      </c>
      <c r="DJ79" s="456">
        <f t="shared" si="241"/>
        <v>0.94395997276890675</v>
      </c>
      <c r="DL79" s="150">
        <f t="shared" si="242"/>
        <v>10.609051592102405</v>
      </c>
      <c r="DM79" s="150">
        <f t="shared" si="243"/>
        <v>11.535924148606812</v>
      </c>
      <c r="DN79" s="150">
        <f t="shared" si="244"/>
        <v>5.255791176296853</v>
      </c>
      <c r="DP79" s="314">
        <f t="shared" si="245"/>
        <v>2960</v>
      </c>
      <c r="DQ79" s="144">
        <f t="shared" si="246"/>
        <v>297.55192353213596</v>
      </c>
      <c r="DS79">
        <f t="shared" si="291"/>
        <v>2960</v>
      </c>
      <c r="DT79">
        <f t="shared" si="247"/>
        <v>297.55192353213596</v>
      </c>
      <c r="DV79" s="5">
        <f t="shared" si="292"/>
        <v>3.3607579750429637</v>
      </c>
      <c r="DW79" s="5">
        <f t="shared" si="248"/>
        <v>1.5946718676015299</v>
      </c>
      <c r="DX79" s="5">
        <f t="shared" si="293"/>
        <v>1.7660861074414338</v>
      </c>
      <c r="DY79" s="150">
        <f t="shared" si="294"/>
        <v>0.47449768160741884</v>
      </c>
      <c r="EA79" s="5">
        <f t="shared" si="249"/>
        <v>15.734095760335096</v>
      </c>
      <c r="EB79" s="5">
        <f t="shared" si="250"/>
        <v>16.717476745356038</v>
      </c>
      <c r="EC79" s="5">
        <f t="shared" si="251"/>
        <v>2.7132949193909912</v>
      </c>
      <c r="ED79" s="5"/>
      <c r="EE79" s="150">
        <f t="shared" si="295"/>
        <v>4.5878457919873528</v>
      </c>
      <c r="EF79" s="150">
        <f t="shared" si="252"/>
        <v>4.6313011190858617</v>
      </c>
      <c r="EG79" s="150">
        <f t="shared" si="253"/>
        <v>0.92964463617342741</v>
      </c>
      <c r="EH79" s="150"/>
      <c r="EI79" s="456">
        <f t="shared" si="254"/>
        <v>0.25257994813267276</v>
      </c>
      <c r="EJ79" s="456">
        <f t="shared" si="255"/>
        <v>4.219617021276596</v>
      </c>
      <c r="EK79" s="456">
        <f t="shared" si="256"/>
        <v>3.4218471206195644E-2</v>
      </c>
      <c r="EL79" s="456">
        <f t="shared" si="257"/>
        <v>0.64458720059194574</v>
      </c>
      <c r="EM79">
        <f t="shared" si="258"/>
        <v>1.5299999999999999E-2</v>
      </c>
      <c r="EN79" s="144">
        <f t="shared" si="296"/>
        <v>49.518471206195642</v>
      </c>
      <c r="EO79">
        <f t="shared" si="259"/>
        <v>5.5686931873802523</v>
      </c>
      <c r="EP79" s="144">
        <f t="shared" si="297"/>
        <v>5568.6931873802523</v>
      </c>
      <c r="EQ79" s="150">
        <f t="shared" si="260"/>
        <v>1.9849760000000001</v>
      </c>
      <c r="ER79" s="150">
        <f t="shared" si="261"/>
        <v>0.30129099999999998</v>
      </c>
      <c r="ES79" s="456"/>
      <c r="EU79" s="144">
        <f t="shared" si="298"/>
        <v>2286.2669999999998</v>
      </c>
      <c r="EV79" s="456">
        <f t="shared" si="262"/>
        <v>0.29467660615478486</v>
      </c>
      <c r="EW79" s="456">
        <f t="shared" si="299"/>
        <v>0.30028530077904336</v>
      </c>
      <c r="EX79" s="456">
        <f t="shared" si="263"/>
        <v>4.3211957478301215E-3</v>
      </c>
      <c r="EY79" s="456">
        <f t="shared" si="264"/>
        <v>34.515000905941235</v>
      </c>
      <c r="EZ79" s="456">
        <f t="shared" si="265"/>
        <v>37.033600850982566</v>
      </c>
      <c r="FA79" s="538">
        <f t="shared" si="266"/>
        <v>3.9597479780051277</v>
      </c>
      <c r="FB79" s="144">
        <f t="shared" si="300"/>
        <v>40993.348828987691</v>
      </c>
      <c r="FC79" s="150">
        <f t="shared" si="301"/>
        <v>48.848309016367942</v>
      </c>
      <c r="FD79" s="5">
        <f t="shared" si="302"/>
        <v>92.573999999999998</v>
      </c>
      <c r="FE79" s="150">
        <f t="shared" si="303"/>
        <v>0.65459262151691833</v>
      </c>
      <c r="FF79" s="5">
        <f t="shared" si="304"/>
        <v>65.459262151691831</v>
      </c>
      <c r="FG79">
        <f t="shared" si="305"/>
        <v>74</v>
      </c>
      <c r="FI79" s="59">
        <f t="shared" si="267"/>
        <v>-50</v>
      </c>
      <c r="FJ79">
        <f t="shared" si="268"/>
        <v>-50</v>
      </c>
      <c r="FL79">
        <f t="shared" si="269"/>
        <v>0.52186043457008313</v>
      </c>
    </row>
    <row r="80" spans="5:168">
      <c r="E80" s="147">
        <v>75</v>
      </c>
      <c r="F80" s="188">
        <f t="shared" si="306"/>
        <v>3</v>
      </c>
      <c r="G80" s="188">
        <f t="shared" si="270"/>
        <v>0.63749999999999996</v>
      </c>
      <c r="H80" s="188">
        <f t="shared" si="175"/>
        <v>90</v>
      </c>
      <c r="I80" s="188">
        <f t="shared" si="307"/>
        <v>3.8249999999999997</v>
      </c>
      <c r="J80" s="465">
        <f t="shared" si="176"/>
        <v>33.818675204461115</v>
      </c>
      <c r="K80" s="379">
        <f t="shared" si="177"/>
        <v>30.836674117658085</v>
      </c>
      <c r="L80" s="149">
        <f t="shared" si="178"/>
        <v>64.655349322119207</v>
      </c>
      <c r="M80" s="379"/>
      <c r="N80" s="188">
        <f t="shared" si="179"/>
        <v>0.47693925469378862</v>
      </c>
      <c r="O80" s="149">
        <f t="shared" si="271"/>
        <v>234.42269815779369</v>
      </c>
      <c r="P80" s="149">
        <f t="shared" si="180"/>
        <v>9.9629646717062297</v>
      </c>
      <c r="Q80" s="188">
        <f t="shared" si="181"/>
        <v>7.8140899385931233</v>
      </c>
      <c r="R80" s="188">
        <f t="shared" si="182"/>
        <v>39.070449692965617</v>
      </c>
      <c r="S80" s="379">
        <f t="shared" si="183"/>
        <v>30</v>
      </c>
      <c r="T80" s="188">
        <f t="shared" si="184"/>
        <v>11.633995976946553</v>
      </c>
      <c r="U80" s="188">
        <f t="shared" si="185"/>
        <v>1.6168516584717023</v>
      </c>
      <c r="V80" s="188">
        <f t="shared" si="186"/>
        <v>1.773206179207808</v>
      </c>
      <c r="W80" s="172">
        <f t="shared" si="187"/>
        <v>350</v>
      </c>
      <c r="X80" s="379">
        <f t="shared" si="272"/>
        <v>278.54704442487912</v>
      </c>
      <c r="Z80" s="188">
        <f t="shared" si="188"/>
        <v>9.8051390557732496</v>
      </c>
      <c r="AA80" s="150">
        <f t="shared" si="189"/>
        <v>1.4944592723034609</v>
      </c>
      <c r="AB80" s="150">
        <f t="shared" si="190"/>
        <v>2.459800164193668</v>
      </c>
      <c r="AC80" s="150"/>
      <c r="AD80" s="150">
        <f t="shared" si="191"/>
        <v>0.92373283759992553</v>
      </c>
      <c r="AE80" s="314">
        <f t="shared" si="192"/>
        <v>1117.2873345951118</v>
      </c>
      <c r="AF80" s="456">
        <f t="shared" si="193"/>
        <v>0.93977615917440271</v>
      </c>
      <c r="AH80" s="150">
        <f t="shared" si="194"/>
        <v>10.680493824176272</v>
      </c>
      <c r="AI80" s="150">
        <f t="shared" si="195"/>
        <v>11.633995976946553</v>
      </c>
      <c r="AJ80" s="150">
        <f t="shared" si="196"/>
        <v>5.3284369750670315</v>
      </c>
      <c r="AL80" s="314">
        <f t="shared" si="197"/>
        <v>3000</v>
      </c>
      <c r="AM80" s="144">
        <f t="shared" si="198"/>
        <v>278.54704442487912</v>
      </c>
      <c r="AO80">
        <f t="shared" si="273"/>
        <v>3000</v>
      </c>
      <c r="AP80">
        <f t="shared" si="199"/>
        <v>278.54704442487912</v>
      </c>
      <c r="AR80" s="5">
        <f t="shared" si="274"/>
        <v>3.59005783767951</v>
      </c>
      <c r="AS80" s="5">
        <f t="shared" si="200"/>
        <v>1.6168516584717023</v>
      </c>
      <c r="AT80" s="5">
        <f t="shared" si="275"/>
        <v>1.9732061792078077</v>
      </c>
      <c r="AU80" s="150">
        <f t="shared" si="276"/>
        <v>0.45036925074075679</v>
      </c>
      <c r="AW80" s="5">
        <f t="shared" si="201"/>
        <v>16.168516584717022</v>
      </c>
      <c r="AX80" s="5">
        <f t="shared" si="202"/>
        <v>17.179048871261834</v>
      </c>
      <c r="AY80" s="5">
        <f t="shared" si="203"/>
        <v>3.0889399396850292</v>
      </c>
      <c r="AZ80" s="5"/>
      <c r="BA80" s="150">
        <f t="shared" si="277"/>
        <v>4.5076755322883537</v>
      </c>
      <c r="BB80" s="150">
        <f t="shared" si="204"/>
        <v>4.7766973897488896</v>
      </c>
      <c r="BC80" s="150">
        <f t="shared" si="205"/>
        <v>0.95883014142690204</v>
      </c>
      <c r="BD80" s="150"/>
      <c r="BE80" s="456">
        <f t="shared" si="206"/>
        <v>0.24382966445269313</v>
      </c>
      <c r="BF80" s="456">
        <f t="shared" si="207"/>
        <v>3.823796710076806</v>
      </c>
      <c r="BG80" s="456">
        <f t="shared" si="208"/>
        <v>3.2032910108861105E-2</v>
      </c>
      <c r="BH80" s="456">
        <f t="shared" si="209"/>
        <v>0.60258432989768007</v>
      </c>
      <c r="BI80">
        <f t="shared" si="210"/>
        <v>1.5218403842007502E-2</v>
      </c>
      <c r="BJ80" s="144">
        <f t="shared" si="278"/>
        <v>47.251313950868607</v>
      </c>
      <c r="BK80">
        <f t="shared" si="211"/>
        <v>5.0272957024681846</v>
      </c>
      <c r="BL80" s="144">
        <f t="shared" si="279"/>
        <v>5027.2957024681846</v>
      </c>
      <c r="BM80" s="150">
        <f t="shared" si="212"/>
        <v>2.0117999999999996</v>
      </c>
      <c r="BN80" s="150">
        <f t="shared" si="213"/>
        <v>0.30536249999999998</v>
      </c>
      <c r="BO80" s="456"/>
      <c r="BQ80" s="144">
        <f t="shared" si="280"/>
        <v>2317.1624999999995</v>
      </c>
      <c r="BR80" s="456">
        <f t="shared" si="214"/>
        <v>0.28446794186147534</v>
      </c>
      <c r="BS80" s="456">
        <f t="shared" si="215"/>
        <v>0.31943573134527398</v>
      </c>
      <c r="BT80" s="456">
        <f t="shared" si="216"/>
        <v>4.5967762005436645E-3</v>
      </c>
      <c r="BU80" s="456">
        <f t="shared" si="217"/>
        <v>29.890877463641516</v>
      </c>
      <c r="BV80" s="456">
        <f t="shared" si="218"/>
        <v>32.213576061754026</v>
      </c>
      <c r="BW80" s="538">
        <f t="shared" si="219"/>
        <v>3.7701304132496674</v>
      </c>
      <c r="BX80" s="144">
        <f t="shared" si="281"/>
        <v>35983.706475003695</v>
      </c>
      <c r="BY80" s="150">
        <f t="shared" si="282"/>
        <v>43.328164677471875</v>
      </c>
      <c r="BZ80" s="5">
        <f t="shared" si="283"/>
        <v>93.825000000000003</v>
      </c>
      <c r="CA80" s="150">
        <f t="shared" si="284"/>
        <v>0.68408920946620533</v>
      </c>
      <c r="CB80" s="5">
        <f t="shared" si="285"/>
        <v>68.408920946620526</v>
      </c>
      <c r="CC80">
        <f t="shared" si="286"/>
        <v>75</v>
      </c>
      <c r="CE80" s="59">
        <f t="shared" si="220"/>
        <v>-50</v>
      </c>
      <c r="CF80">
        <f t="shared" si="221"/>
        <v>-50</v>
      </c>
      <c r="CG80" s="150">
        <f t="shared" si="222"/>
        <v>0.52186043457008313</v>
      </c>
      <c r="CH80" s="150">
        <f t="shared" si="223"/>
        <v>0.11015112407727178</v>
      </c>
      <c r="CI80" s="147">
        <v>75</v>
      </c>
      <c r="CJ80" s="188">
        <f t="shared" si="308"/>
        <v>3</v>
      </c>
      <c r="CK80" s="188">
        <f t="shared" si="287"/>
        <v>0.63749999999999996</v>
      </c>
      <c r="CL80" s="188">
        <f t="shared" si="224"/>
        <v>90</v>
      </c>
      <c r="CM80" s="188">
        <f t="shared" si="309"/>
        <v>3.8249999999999997</v>
      </c>
      <c r="CN80" s="465">
        <f t="shared" si="288"/>
        <v>34</v>
      </c>
      <c r="CO80" s="379">
        <f t="shared" si="225"/>
        <v>30.7</v>
      </c>
      <c r="CP80" s="379">
        <f t="shared" si="226"/>
        <v>64.7</v>
      </c>
      <c r="CQ80" s="379"/>
      <c r="CR80" s="188">
        <f t="shared" si="227"/>
        <v>0.47204968944099374</v>
      </c>
      <c r="CS80" s="149">
        <f t="shared" si="289"/>
        <v>233.26341749863801</v>
      </c>
      <c r="CT80" s="149">
        <f t="shared" si="228"/>
        <v>9.9136952436921142</v>
      </c>
      <c r="CU80" s="188">
        <f t="shared" si="229"/>
        <v>7.7754472499545999</v>
      </c>
      <c r="CV80" s="188">
        <f t="shared" si="230"/>
        <v>38.877236249772999</v>
      </c>
      <c r="CW80" s="379">
        <f t="shared" si="231"/>
        <v>30</v>
      </c>
      <c r="CX80" s="188">
        <f t="shared" si="232"/>
        <v>11.691815015479877</v>
      </c>
      <c r="CY80" s="188">
        <f t="shared" si="233"/>
        <v>1.6162214874339829</v>
      </c>
      <c r="CZ80" s="188">
        <f t="shared" si="234"/>
        <v>1.7899521359203718</v>
      </c>
      <c r="DA80" s="172">
        <f t="shared" si="235"/>
        <v>350</v>
      </c>
      <c r="DB80" s="379">
        <f t="shared" si="290"/>
        <v>293.5845645517075</v>
      </c>
      <c r="DD80" s="188">
        <f t="shared" si="236"/>
        <v>9.8072469146822137</v>
      </c>
      <c r="DE80" s="150">
        <f t="shared" si="237"/>
        <v>1.5014351954073746</v>
      </c>
      <c r="DF80" s="150">
        <f t="shared" si="238"/>
        <v>2.4718134248028734</v>
      </c>
      <c r="DG80" s="150"/>
      <c r="DH80" s="150">
        <f t="shared" si="239"/>
        <v>0.92784522751949461</v>
      </c>
      <c r="DI80" s="314">
        <f t="shared" si="240"/>
        <v>1112.335300531915</v>
      </c>
      <c r="DJ80" s="456">
        <f t="shared" si="241"/>
        <v>0.94395997276890675</v>
      </c>
      <c r="DL80" s="150">
        <f t="shared" si="242"/>
        <v>10.680493824176272</v>
      </c>
      <c r="DM80" s="150">
        <f t="shared" si="243"/>
        <v>11.691815015479877</v>
      </c>
      <c r="DN80" s="150">
        <f t="shared" si="244"/>
        <v>5.3712658924991237</v>
      </c>
      <c r="DP80" s="314">
        <f t="shared" si="245"/>
        <v>3000</v>
      </c>
      <c r="DQ80" s="144">
        <f t="shared" si="246"/>
        <v>293.5845645517075</v>
      </c>
      <c r="DS80">
        <f t="shared" si="291"/>
        <v>3000</v>
      </c>
      <c r="DT80">
        <f t="shared" si="247"/>
        <v>293.5845645517075</v>
      </c>
      <c r="DV80" s="5">
        <f t="shared" si="292"/>
        <v>3.4061736233543547</v>
      </c>
      <c r="DW80" s="5">
        <f t="shared" si="248"/>
        <v>1.6162214874339829</v>
      </c>
      <c r="DX80" s="5">
        <f t="shared" si="293"/>
        <v>1.7899521359203718</v>
      </c>
      <c r="DY80" s="150">
        <f t="shared" si="294"/>
        <v>0.47449768160741884</v>
      </c>
      <c r="EA80" s="5">
        <f t="shared" si="249"/>
        <v>16.162214874339831</v>
      </c>
      <c r="EB80" s="5">
        <f t="shared" si="250"/>
        <v>17.172353303986068</v>
      </c>
      <c r="EC80" s="5">
        <f t="shared" si="251"/>
        <v>2.7871227029901977</v>
      </c>
      <c r="ED80" s="5"/>
      <c r="EE80" s="150">
        <f t="shared" si="295"/>
        <v>4.6498437080952897</v>
      </c>
      <c r="EF80" s="150">
        <f t="shared" si="252"/>
        <v>4.6938862693437793</v>
      </c>
      <c r="EG80" s="150">
        <f t="shared" si="253"/>
        <v>0.94220740152712235</v>
      </c>
      <c r="EH80" s="150"/>
      <c r="EI80" s="456">
        <f t="shared" si="254"/>
        <v>0.25945255811656021</v>
      </c>
      <c r="EJ80" s="456">
        <f t="shared" si="255"/>
        <v>4.2196170212765969</v>
      </c>
      <c r="EK80" s="456">
        <f t="shared" si="256"/>
        <v>3.3762224923446361E-2</v>
      </c>
      <c r="EL80" s="456">
        <f t="shared" si="257"/>
        <v>0.6359927045840531</v>
      </c>
      <c r="EM80">
        <f t="shared" si="258"/>
        <v>1.5299999999999999E-2</v>
      </c>
      <c r="EN80" s="144">
        <f t="shared" si="296"/>
        <v>49.062224923446365</v>
      </c>
      <c r="EO80">
        <f t="shared" si="259"/>
        <v>5.5780401606483396</v>
      </c>
      <c r="EP80" s="144">
        <f t="shared" si="297"/>
        <v>5578.0401606483392</v>
      </c>
      <c r="EQ80" s="150">
        <f t="shared" si="260"/>
        <v>2.0117999999999996</v>
      </c>
      <c r="ER80" s="150">
        <f t="shared" si="261"/>
        <v>0.30536249999999998</v>
      </c>
      <c r="ES80" s="456"/>
      <c r="EU80" s="144">
        <f t="shared" si="298"/>
        <v>2317.1624999999995</v>
      </c>
      <c r="EV80" s="456">
        <f t="shared" si="262"/>
        <v>0.30269465113598693</v>
      </c>
      <c r="EW80" s="456">
        <f t="shared" si="299"/>
        <v>0.30845595633347689</v>
      </c>
      <c r="EX80" s="456">
        <f t="shared" si="263"/>
        <v>4.4387739374624601E-3</v>
      </c>
      <c r="EY80" s="456">
        <f t="shared" si="264"/>
        <v>34.515000905941179</v>
      </c>
      <c r="EZ80" s="456">
        <f t="shared" si="265"/>
        <v>37.105680785394895</v>
      </c>
      <c r="FA80" s="538">
        <f t="shared" si="266"/>
        <v>4.0132580858160072</v>
      </c>
      <c r="FB80" s="144">
        <f t="shared" si="300"/>
        <v>41118.938871210899</v>
      </c>
      <c r="FC80" s="150">
        <f t="shared" si="301"/>
        <v>49.014141531859238</v>
      </c>
      <c r="FD80" s="5">
        <f t="shared" si="302"/>
        <v>93.825000000000003</v>
      </c>
      <c r="FE80" s="150">
        <f t="shared" si="303"/>
        <v>0.65685777017270164</v>
      </c>
      <c r="FF80" s="5">
        <f t="shared" si="304"/>
        <v>65.685777017270169</v>
      </c>
      <c r="FG80">
        <f t="shared" si="305"/>
        <v>75</v>
      </c>
      <c r="FI80" s="59">
        <f t="shared" si="267"/>
        <v>-50</v>
      </c>
      <c r="FJ80">
        <f t="shared" si="268"/>
        <v>-50</v>
      </c>
      <c r="FL80">
        <f t="shared" si="269"/>
        <v>0.52186043457008313</v>
      </c>
    </row>
    <row r="81" spans="5:168">
      <c r="E81" s="147">
        <v>76</v>
      </c>
      <c r="F81" s="188">
        <f t="shared" si="306"/>
        <v>3.04</v>
      </c>
      <c r="G81" s="188">
        <f t="shared" si="270"/>
        <v>0.64600000000000002</v>
      </c>
      <c r="H81" s="188">
        <f t="shared" si="175"/>
        <v>91.2</v>
      </c>
      <c r="I81" s="188">
        <f t="shared" si="307"/>
        <v>3.8760000000000003</v>
      </c>
      <c r="J81" s="465">
        <f t="shared" si="176"/>
        <v>33.816257540520603</v>
      </c>
      <c r="K81" s="379">
        <f t="shared" si="177"/>
        <v>30.838496439226862</v>
      </c>
      <c r="L81" s="149">
        <f t="shared" si="178"/>
        <v>64.654753979747468</v>
      </c>
      <c r="M81" s="379"/>
      <c r="N81" s="188">
        <f t="shared" si="179"/>
        <v>0.47697183178342539</v>
      </c>
      <c r="O81" s="149">
        <f t="shared" si="271"/>
        <v>234.42195048560694</v>
      </c>
      <c r="P81" s="149">
        <f t="shared" si="180"/>
        <v>9.9629328956382945</v>
      </c>
      <c r="Q81" s="188">
        <f t="shared" si="181"/>
        <v>7.8140650161868983</v>
      </c>
      <c r="R81" s="188">
        <f t="shared" si="182"/>
        <v>39.070325080934488</v>
      </c>
      <c r="S81" s="379">
        <f t="shared" si="183"/>
        <v>30</v>
      </c>
      <c r="T81" s="188">
        <f t="shared" si="184"/>
        <v>11.789153523855036</v>
      </c>
      <c r="U81" s="188">
        <f t="shared" si="185"/>
        <v>1.6385320432257875</v>
      </c>
      <c r="V81" s="188">
        <f t="shared" si="186"/>
        <v>1.7967484786851629</v>
      </c>
      <c r="W81" s="172">
        <f t="shared" si="187"/>
        <v>350</v>
      </c>
      <c r="X81" s="379">
        <f t="shared" si="272"/>
        <v>275.08193493533531</v>
      </c>
      <c r="Z81" s="188">
        <f t="shared" si="188"/>
        <v>9.8051077830773163</v>
      </c>
      <c r="AA81" s="150">
        <f t="shared" si="189"/>
        <v>1.4943661949044991</v>
      </c>
      <c r="AB81" s="150">
        <f t="shared" si="190"/>
        <v>2.4596391189203874</v>
      </c>
      <c r="AC81" s="150"/>
      <c r="AD81" s="150">
        <f t="shared" si="191"/>
        <v>0.92367825198557607</v>
      </c>
      <c r="AE81" s="314">
        <f t="shared" si="192"/>
        <v>1132.2514065388341</v>
      </c>
      <c r="AF81" s="456">
        <f t="shared" si="193"/>
        <v>0.93972062552126046</v>
      </c>
      <c r="AH81" s="150">
        <f t="shared" si="194"/>
        <v>10.751461341261679</v>
      </c>
      <c r="AI81" s="150">
        <f t="shared" si="195"/>
        <v>11.789153523855036</v>
      </c>
      <c r="AJ81" s="150">
        <f t="shared" si="196"/>
        <v>5.4433684912955371</v>
      </c>
      <c r="AL81" s="314">
        <f t="shared" si="197"/>
        <v>3040</v>
      </c>
      <c r="AM81" s="144">
        <f t="shared" si="198"/>
        <v>275.08193493533531</v>
      </c>
      <c r="AO81">
        <f t="shared" si="273"/>
        <v>3040</v>
      </c>
      <c r="AP81">
        <f t="shared" si="199"/>
        <v>275.08193493533531</v>
      </c>
      <c r="AR81" s="5">
        <f t="shared" si="274"/>
        <v>3.6352805219109507</v>
      </c>
      <c r="AS81" s="5">
        <f t="shared" si="200"/>
        <v>1.6385320432257875</v>
      </c>
      <c r="AT81" s="5">
        <f t="shared" si="275"/>
        <v>1.9967484786851633</v>
      </c>
      <c r="AU81" s="150">
        <f t="shared" si="276"/>
        <v>0.45073056490409813</v>
      </c>
      <c r="AW81" s="5">
        <f t="shared" si="201"/>
        <v>16.603791371354646</v>
      </c>
      <c r="AX81" s="5">
        <f t="shared" si="202"/>
        <v>17.641528332064315</v>
      </c>
      <c r="AY81" s="5">
        <f t="shared" si="203"/>
        <v>3.1676977549469747</v>
      </c>
      <c r="AZ81" s="5"/>
      <c r="BA81" s="150">
        <f t="shared" si="277"/>
        <v>4.5696243572662123</v>
      </c>
      <c r="BB81" s="150">
        <f t="shared" si="204"/>
        <v>4.838810882260403</v>
      </c>
      <c r="BC81" s="150">
        <f t="shared" si="205"/>
        <v>0.97129823055834774</v>
      </c>
      <c r="BD81" s="150"/>
      <c r="BE81" s="456">
        <f t="shared" si="206"/>
        <v>0.25057760119824773</v>
      </c>
      <c r="BF81" s="456">
        <f t="shared" si="207"/>
        <v>3.8265555833154759</v>
      </c>
      <c r="BG81" s="456">
        <f t="shared" si="208"/>
        <v>3.1634422517563564E-2</v>
      </c>
      <c r="BH81" s="456">
        <f t="shared" si="209"/>
        <v>0.59507725587208637</v>
      </c>
      <c r="BI81">
        <f t="shared" si="210"/>
        <v>1.5217315893234272E-2</v>
      </c>
      <c r="BJ81" s="144">
        <f t="shared" si="278"/>
        <v>46.851738410797836</v>
      </c>
      <c r="BK81">
        <f t="shared" si="211"/>
        <v>5.0399298988242549</v>
      </c>
      <c r="BL81" s="144">
        <f t="shared" si="279"/>
        <v>5039.9298988242554</v>
      </c>
      <c r="BM81" s="150">
        <f t="shared" si="212"/>
        <v>2.0386239999999995</v>
      </c>
      <c r="BN81" s="150">
        <f t="shared" si="213"/>
        <v>0.30943399999999999</v>
      </c>
      <c r="BO81" s="456"/>
      <c r="BQ81" s="144">
        <f t="shared" si="280"/>
        <v>2348.0579999999995</v>
      </c>
      <c r="BR81" s="456">
        <f t="shared" si="214"/>
        <v>0.29234053473128901</v>
      </c>
      <c r="BS81" s="456">
        <f t="shared" si="215"/>
        <v>0.32779727055994379</v>
      </c>
      <c r="BT81" s="456">
        <f t="shared" si="216"/>
        <v>4.7171012634288859E-3</v>
      </c>
      <c r="BU81" s="456">
        <f t="shared" si="217"/>
        <v>29.945511725221738</v>
      </c>
      <c r="BV81" s="456">
        <f t="shared" si="218"/>
        <v>32.336796274499896</v>
      </c>
      <c r="BW81" s="538">
        <f t="shared" si="219"/>
        <v>3.8232026379071318</v>
      </c>
      <c r="BX81" s="144">
        <f t="shared" si="281"/>
        <v>36159.998912407027</v>
      </c>
      <c r="BY81" s="150">
        <f t="shared" si="282"/>
        <v>43.547986811231283</v>
      </c>
      <c r="BZ81" s="5">
        <f t="shared" si="283"/>
        <v>95.076000000000008</v>
      </c>
      <c r="CA81" s="150">
        <f t="shared" si="284"/>
        <v>0.68585532841057317</v>
      </c>
      <c r="CB81" s="5">
        <f t="shared" si="285"/>
        <v>68.585532841057315</v>
      </c>
      <c r="CC81">
        <f t="shared" si="286"/>
        <v>76</v>
      </c>
      <c r="CE81" s="59">
        <f t="shared" si="220"/>
        <v>-50</v>
      </c>
      <c r="CF81">
        <f t="shared" si="221"/>
        <v>-50</v>
      </c>
      <c r="CG81" s="150">
        <f t="shared" si="222"/>
        <v>0.52186043457008313</v>
      </c>
      <c r="CH81" s="150">
        <f t="shared" si="223"/>
        <v>0.1101511240772718</v>
      </c>
      <c r="CI81" s="147">
        <v>76</v>
      </c>
      <c r="CJ81" s="188">
        <f t="shared" si="308"/>
        <v>3.04</v>
      </c>
      <c r="CK81" s="188">
        <f t="shared" si="287"/>
        <v>0.64600000000000002</v>
      </c>
      <c r="CL81" s="188">
        <f t="shared" si="224"/>
        <v>91.2</v>
      </c>
      <c r="CM81" s="188">
        <f t="shared" si="309"/>
        <v>3.8760000000000003</v>
      </c>
      <c r="CN81" s="465">
        <f t="shared" si="288"/>
        <v>34</v>
      </c>
      <c r="CO81" s="379">
        <f t="shared" si="225"/>
        <v>30.7</v>
      </c>
      <c r="CP81" s="379">
        <f t="shared" si="226"/>
        <v>64.7</v>
      </c>
      <c r="CQ81" s="379"/>
      <c r="CR81" s="188">
        <f t="shared" si="227"/>
        <v>0.47204968944099374</v>
      </c>
      <c r="CS81" s="149">
        <f t="shared" si="289"/>
        <v>233.26341749863801</v>
      </c>
      <c r="CT81" s="149">
        <f t="shared" si="228"/>
        <v>9.9136952436921142</v>
      </c>
      <c r="CU81" s="188">
        <f t="shared" si="229"/>
        <v>7.7754472499545999</v>
      </c>
      <c r="CV81" s="188">
        <f t="shared" si="230"/>
        <v>38.877236249772999</v>
      </c>
      <c r="CW81" s="379">
        <f t="shared" si="231"/>
        <v>30</v>
      </c>
      <c r="CX81" s="188">
        <f t="shared" si="232"/>
        <v>11.847705882352942</v>
      </c>
      <c r="CY81" s="188">
        <f t="shared" si="233"/>
        <v>1.637771107266436</v>
      </c>
      <c r="CZ81" s="188">
        <f t="shared" si="234"/>
        <v>1.8138181643993103</v>
      </c>
      <c r="DA81" s="172">
        <f t="shared" si="235"/>
        <v>350</v>
      </c>
      <c r="DB81" s="379">
        <f t="shared" si="290"/>
        <v>289.72160975497451</v>
      </c>
      <c r="DD81" s="188">
        <f t="shared" si="236"/>
        <v>9.8072469146822137</v>
      </c>
      <c r="DE81" s="150">
        <f t="shared" si="237"/>
        <v>1.5014351954073746</v>
      </c>
      <c r="DF81" s="150">
        <f t="shared" si="238"/>
        <v>2.4718134248028734</v>
      </c>
      <c r="DG81" s="150"/>
      <c r="DH81" s="150">
        <f t="shared" si="239"/>
        <v>0.92784522751949461</v>
      </c>
      <c r="DI81" s="314">
        <f t="shared" si="240"/>
        <v>1127.1664378723403</v>
      </c>
      <c r="DJ81" s="456">
        <f t="shared" si="241"/>
        <v>0.94395997276890675</v>
      </c>
      <c r="DL81" s="150">
        <f t="shared" si="242"/>
        <v>10.751461341261679</v>
      </c>
      <c r="DM81" s="150">
        <f t="shared" si="243"/>
        <v>11.847705882352942</v>
      </c>
      <c r="DN81" s="150">
        <f t="shared" si="244"/>
        <v>5.4867406087013935</v>
      </c>
      <c r="DP81" s="314">
        <f t="shared" si="245"/>
        <v>3040</v>
      </c>
      <c r="DQ81" s="144">
        <f t="shared" si="246"/>
        <v>289.72160975497451</v>
      </c>
      <c r="DS81">
        <f t="shared" si="291"/>
        <v>3040</v>
      </c>
      <c r="DT81">
        <f t="shared" si="247"/>
        <v>289.72160975497451</v>
      </c>
      <c r="DV81" s="5">
        <f t="shared" si="292"/>
        <v>3.4515892716657461</v>
      </c>
      <c r="DW81" s="5">
        <f t="shared" si="248"/>
        <v>1.637771107266436</v>
      </c>
      <c r="DX81" s="5">
        <f t="shared" si="293"/>
        <v>1.8138181643993101</v>
      </c>
      <c r="DY81" s="150">
        <f t="shared" si="294"/>
        <v>0.4744976816074189</v>
      </c>
      <c r="EA81" s="5">
        <f t="shared" si="249"/>
        <v>16.596080553633218</v>
      </c>
      <c r="EB81" s="5">
        <f t="shared" si="250"/>
        <v>17.633335588235298</v>
      </c>
      <c r="EC81" s="5">
        <f t="shared" si="251"/>
        <v>2.8619414635504685</v>
      </c>
      <c r="ED81" s="5"/>
      <c r="EE81" s="150">
        <f t="shared" si="295"/>
        <v>4.7118416242032266</v>
      </c>
      <c r="EF81" s="150">
        <f t="shared" si="252"/>
        <v>4.7564714196016959</v>
      </c>
      <c r="EG81" s="150">
        <f t="shared" si="253"/>
        <v>0.95477016688081739</v>
      </c>
      <c r="EH81" s="150"/>
      <c r="EI81" s="456">
        <f t="shared" si="254"/>
        <v>0.26641741789888923</v>
      </c>
      <c r="EJ81" s="456">
        <f t="shared" si="255"/>
        <v>4.219617021276596</v>
      </c>
      <c r="EK81" s="456">
        <f t="shared" si="256"/>
        <v>3.3317985121822068E-2</v>
      </c>
      <c r="EL81" s="456">
        <f t="shared" si="257"/>
        <v>0.62762437952373673</v>
      </c>
      <c r="EM81">
        <f t="shared" si="258"/>
        <v>1.5299999999999999E-2</v>
      </c>
      <c r="EN81" s="144">
        <f t="shared" si="296"/>
        <v>48.617985121822066</v>
      </c>
      <c r="EO81">
        <f t="shared" si="259"/>
        <v>5.5879298140458387</v>
      </c>
      <c r="EP81" s="144">
        <f t="shared" si="297"/>
        <v>5587.9298140458386</v>
      </c>
      <c r="EQ81" s="150">
        <f t="shared" si="260"/>
        <v>2.0386239999999995</v>
      </c>
      <c r="ER81" s="150">
        <f t="shared" si="261"/>
        <v>0.30943399999999999</v>
      </c>
      <c r="ES81" s="456"/>
      <c r="EU81" s="144">
        <f t="shared" si="298"/>
        <v>2348.0579999999995</v>
      </c>
      <c r="EV81" s="456">
        <f t="shared" si="262"/>
        <v>0.31082032088203743</v>
      </c>
      <c r="EW81" s="456">
        <f t="shared" si="299"/>
        <v>0.31673628511682883</v>
      </c>
      <c r="EX81" s="456">
        <f t="shared" si="263"/>
        <v>4.5579303578281195E-3</v>
      </c>
      <c r="EY81" s="456">
        <f t="shared" si="264"/>
        <v>34.515000905941136</v>
      </c>
      <c r="EZ81" s="456">
        <f t="shared" si="265"/>
        <v>37.178930314881782</v>
      </c>
      <c r="FA81" s="538">
        <f t="shared" si="266"/>
        <v>4.0667681936268876</v>
      </c>
      <c r="FB81" s="144">
        <f t="shared" si="300"/>
        <v>41245.698508508664</v>
      </c>
      <c r="FC81" s="150">
        <f t="shared" si="301"/>
        <v>49.181686322554505</v>
      </c>
      <c r="FD81" s="5">
        <f t="shared" si="302"/>
        <v>95.076000000000008</v>
      </c>
      <c r="FE81" s="150">
        <f t="shared" si="303"/>
        <v>0.6590706008372671</v>
      </c>
      <c r="FF81" s="5">
        <f t="shared" si="304"/>
        <v>65.907060083726705</v>
      </c>
      <c r="FG81">
        <f t="shared" si="305"/>
        <v>76</v>
      </c>
      <c r="FI81" s="59">
        <f t="shared" si="267"/>
        <v>-50</v>
      </c>
      <c r="FJ81">
        <f t="shared" si="268"/>
        <v>-50</v>
      </c>
      <c r="FL81">
        <f t="shared" si="269"/>
        <v>0.52186043457008313</v>
      </c>
    </row>
    <row r="82" spans="5:168">
      <c r="E82" s="147">
        <v>77</v>
      </c>
      <c r="F82" s="188">
        <f t="shared" si="306"/>
        <v>3.08</v>
      </c>
      <c r="G82" s="188">
        <f t="shared" si="270"/>
        <v>0.65449999999999997</v>
      </c>
      <c r="H82" s="188">
        <f t="shared" si="175"/>
        <v>92.4</v>
      </c>
      <c r="I82" s="188">
        <f t="shared" si="307"/>
        <v>3.9269999999999996</v>
      </c>
      <c r="J82" s="465">
        <f t="shared" si="176"/>
        <v>33.813839876580083</v>
      </c>
      <c r="K82" s="379">
        <f t="shared" si="177"/>
        <v>30.840318760795636</v>
      </c>
      <c r="L82" s="149">
        <f t="shared" si="178"/>
        <v>64.654158637375716</v>
      </c>
      <c r="M82" s="379"/>
      <c r="N82" s="188">
        <f t="shared" si="179"/>
        <v>0.47700440947300882</v>
      </c>
      <c r="O82" s="149">
        <f t="shared" si="271"/>
        <v>234.42120081887887</v>
      </c>
      <c r="P82" s="149">
        <f t="shared" si="180"/>
        <v>9.9629010348023517</v>
      </c>
      <c r="Q82" s="188">
        <f t="shared" si="181"/>
        <v>7.8140400272959623</v>
      </c>
      <c r="R82" s="188">
        <f t="shared" si="182"/>
        <v>39.070200136479812</v>
      </c>
      <c r="S82" s="379">
        <f t="shared" si="183"/>
        <v>30</v>
      </c>
      <c r="T82" s="188">
        <f t="shared" si="184"/>
        <v>11.944312162121239</v>
      </c>
      <c r="U82" s="188">
        <f t="shared" si="185"/>
        <v>1.6602156799367807</v>
      </c>
      <c r="V82" s="188">
        <f t="shared" si="186"/>
        <v>1.820288162304375</v>
      </c>
      <c r="W82" s="172">
        <f t="shared" si="187"/>
        <v>350</v>
      </c>
      <c r="X82" s="379">
        <f t="shared" si="272"/>
        <v>271.70193073105821</v>
      </c>
      <c r="Z82" s="188">
        <f t="shared" si="188"/>
        <v>9.805076426956207</v>
      </c>
      <c r="AA82" s="150">
        <f t="shared" si="189"/>
        <v>1.4942731157914038</v>
      </c>
      <c r="AB82" s="150">
        <f t="shared" si="190"/>
        <v>2.4594780508768554</v>
      </c>
      <c r="AC82" s="150"/>
      <c r="AD82" s="150">
        <f t="shared" si="191"/>
        <v>0.92362367282203839</v>
      </c>
      <c r="AE82" s="314">
        <f t="shared" si="192"/>
        <v>1147.217239205778</v>
      </c>
      <c r="AF82" s="456">
        <f t="shared" si="193"/>
        <v>0.93966509843096702</v>
      </c>
      <c r="AH82" s="150">
        <f t="shared" si="194"/>
        <v>10.821963482521149</v>
      </c>
      <c r="AI82" s="150">
        <f t="shared" si="195"/>
        <v>11.944312162121239</v>
      </c>
      <c r="AJ82" s="150">
        <f t="shared" si="196"/>
        <v>5.5583008159371694</v>
      </c>
      <c r="AL82" s="314">
        <f t="shared" si="197"/>
        <v>3080</v>
      </c>
      <c r="AM82" s="144">
        <f t="shared" si="198"/>
        <v>271.70193073105821</v>
      </c>
      <c r="AO82">
        <f t="shared" si="273"/>
        <v>3080</v>
      </c>
      <c r="AP82">
        <f t="shared" si="199"/>
        <v>271.70193073105821</v>
      </c>
      <c r="AR82" s="5">
        <f t="shared" si="274"/>
        <v>3.6805038422411553</v>
      </c>
      <c r="AS82" s="5">
        <f t="shared" si="200"/>
        <v>1.6602156799367807</v>
      </c>
      <c r="AT82" s="5">
        <f t="shared" si="275"/>
        <v>2.0202881623043747</v>
      </c>
      <c r="AU82" s="150">
        <f t="shared" si="276"/>
        <v>0.45108380566879991</v>
      </c>
      <c r="AW82" s="5">
        <f t="shared" si="201"/>
        <v>17.044880980684283</v>
      </c>
      <c r="AX82" s="5">
        <f t="shared" si="202"/>
        <v>18.110186041977052</v>
      </c>
      <c r="AY82" s="5">
        <f t="shared" si="203"/>
        <v>3.2474455443702639</v>
      </c>
      <c r="AZ82" s="5"/>
      <c r="BA82" s="150">
        <f t="shared" si="277"/>
        <v>4.6315796342090083</v>
      </c>
      <c r="BB82" s="150">
        <f t="shared" si="204"/>
        <v>4.9009184485800672</v>
      </c>
      <c r="BC82" s="150">
        <f t="shared" si="205"/>
        <v>0.98376513012074496</v>
      </c>
      <c r="BD82" s="150"/>
      <c r="BE82" s="456">
        <f t="shared" si="206"/>
        <v>0.25741835889623582</v>
      </c>
      <c r="BF82" s="456">
        <f t="shared" si="207"/>
        <v>3.829245431502744</v>
      </c>
      <c r="BG82" s="456">
        <f t="shared" si="208"/>
        <v>3.1245722034071693E-2</v>
      </c>
      <c r="BH82" s="456">
        <f t="shared" si="209"/>
        <v>0.58775456059450681</v>
      </c>
      <c r="BI82">
        <f t="shared" si="210"/>
        <v>1.5216227944461038E-2</v>
      </c>
      <c r="BJ82" s="144">
        <f t="shared" si="278"/>
        <v>46.461949978532729</v>
      </c>
      <c r="BK82">
        <f t="shared" si="211"/>
        <v>5.0529743684838859</v>
      </c>
      <c r="BL82" s="144">
        <f t="shared" si="279"/>
        <v>5052.9743684838859</v>
      </c>
      <c r="BM82" s="150">
        <f t="shared" si="212"/>
        <v>2.0654479999999995</v>
      </c>
      <c r="BN82" s="150">
        <f t="shared" si="213"/>
        <v>0.31350549999999999</v>
      </c>
      <c r="BO82" s="456"/>
      <c r="BQ82" s="144">
        <f t="shared" si="280"/>
        <v>2378.9534999999996</v>
      </c>
      <c r="BR82" s="456">
        <f t="shared" si="214"/>
        <v>0.30032141871227513</v>
      </c>
      <c r="BS82" s="456">
        <f t="shared" si="215"/>
        <v>0.33626602295485436</v>
      </c>
      <c r="BT82" s="456">
        <f t="shared" si="216"/>
        <v>4.8389691562074309E-3</v>
      </c>
      <c r="BU82" s="456">
        <f t="shared" si="217"/>
        <v>29.99885496831314</v>
      </c>
      <c r="BV82" s="456">
        <f t="shared" si="218"/>
        <v>32.459873320936346</v>
      </c>
      <c r="BW82" s="538">
        <f t="shared" si="219"/>
        <v>3.8762788776039945</v>
      </c>
      <c r="BX82" s="144">
        <f t="shared" si="281"/>
        <v>36336.152198540338</v>
      </c>
      <c r="BY82" s="150">
        <f t="shared" si="282"/>
        <v>43.768080067024229</v>
      </c>
      <c r="BZ82" s="5">
        <f t="shared" si="283"/>
        <v>96.326999999999998</v>
      </c>
      <c r="CA82" s="150">
        <f t="shared" si="284"/>
        <v>0.68758303256556386</v>
      </c>
      <c r="CB82" s="5">
        <f t="shared" si="285"/>
        <v>68.758303256556388</v>
      </c>
      <c r="CC82">
        <f t="shared" si="286"/>
        <v>77</v>
      </c>
      <c r="CE82" s="59">
        <f t="shared" si="220"/>
        <v>-50</v>
      </c>
      <c r="CF82">
        <f t="shared" si="221"/>
        <v>-50</v>
      </c>
      <c r="CG82" s="150">
        <f t="shared" si="222"/>
        <v>0.52186043457008313</v>
      </c>
      <c r="CH82" s="150">
        <f t="shared" si="223"/>
        <v>0.11015112407727178</v>
      </c>
      <c r="CI82" s="147">
        <v>77</v>
      </c>
      <c r="CJ82" s="188">
        <f t="shared" si="308"/>
        <v>3.08</v>
      </c>
      <c r="CK82" s="188">
        <f t="shared" si="287"/>
        <v>0.65449999999999997</v>
      </c>
      <c r="CL82" s="188">
        <f t="shared" si="224"/>
        <v>92.4</v>
      </c>
      <c r="CM82" s="188">
        <f t="shared" si="309"/>
        <v>3.9269999999999996</v>
      </c>
      <c r="CN82" s="465">
        <f t="shared" si="288"/>
        <v>34</v>
      </c>
      <c r="CO82" s="379">
        <f t="shared" si="225"/>
        <v>30.7</v>
      </c>
      <c r="CP82" s="379">
        <f t="shared" si="226"/>
        <v>64.7</v>
      </c>
      <c r="CQ82" s="379"/>
      <c r="CR82" s="188">
        <f t="shared" si="227"/>
        <v>0.47204968944099374</v>
      </c>
      <c r="CS82" s="149">
        <f t="shared" si="289"/>
        <v>233.26341749863801</v>
      </c>
      <c r="CT82" s="149">
        <f t="shared" si="228"/>
        <v>9.9136952436921142</v>
      </c>
      <c r="CU82" s="188">
        <f t="shared" si="229"/>
        <v>7.7754472499545999</v>
      </c>
      <c r="CV82" s="188">
        <f t="shared" si="230"/>
        <v>38.877236249772999</v>
      </c>
      <c r="CW82" s="379">
        <f t="shared" si="231"/>
        <v>30</v>
      </c>
      <c r="CX82" s="188">
        <f t="shared" si="232"/>
        <v>12.003596749226007</v>
      </c>
      <c r="CY82" s="188">
        <f t="shared" si="233"/>
        <v>1.6593207270988892</v>
      </c>
      <c r="CZ82" s="188">
        <f t="shared" si="234"/>
        <v>1.8376841928782488</v>
      </c>
      <c r="DA82" s="172">
        <f t="shared" si="235"/>
        <v>350</v>
      </c>
      <c r="DB82" s="379">
        <f t="shared" si="290"/>
        <v>285.9589914464683</v>
      </c>
      <c r="DD82" s="188">
        <f t="shared" si="236"/>
        <v>9.8072469146822137</v>
      </c>
      <c r="DE82" s="150">
        <f t="shared" si="237"/>
        <v>1.5014351954073746</v>
      </c>
      <c r="DF82" s="150">
        <f t="shared" si="238"/>
        <v>2.4718134248028734</v>
      </c>
      <c r="DG82" s="150"/>
      <c r="DH82" s="150">
        <f t="shared" si="239"/>
        <v>0.92784522751949461</v>
      </c>
      <c r="DI82" s="314">
        <f t="shared" si="240"/>
        <v>1141.9975752127659</v>
      </c>
      <c r="DJ82" s="456">
        <f t="shared" si="241"/>
        <v>0.94395997276890675</v>
      </c>
      <c r="DL82" s="150">
        <f t="shared" si="242"/>
        <v>10.821963482521149</v>
      </c>
      <c r="DM82" s="150">
        <f t="shared" si="243"/>
        <v>12.003596749226007</v>
      </c>
      <c r="DN82" s="150">
        <f t="shared" si="244"/>
        <v>5.6022153249036641</v>
      </c>
      <c r="DP82" s="314">
        <f t="shared" si="245"/>
        <v>3080</v>
      </c>
      <c r="DQ82" s="144">
        <f t="shared" si="246"/>
        <v>285.9589914464683</v>
      </c>
      <c r="DS82">
        <f t="shared" si="291"/>
        <v>3080</v>
      </c>
      <c r="DT82">
        <f t="shared" si="247"/>
        <v>285.9589914464683</v>
      </c>
      <c r="DV82" s="5">
        <f t="shared" si="292"/>
        <v>3.497004919977138</v>
      </c>
      <c r="DW82" s="5">
        <f t="shared" si="248"/>
        <v>1.6593207270988892</v>
      </c>
      <c r="DX82" s="5">
        <f t="shared" si="293"/>
        <v>1.8376841928782488</v>
      </c>
      <c r="DY82" s="150">
        <f t="shared" si="294"/>
        <v>0.47449768160741884</v>
      </c>
      <c r="EA82" s="5">
        <f t="shared" si="249"/>
        <v>17.035692798215262</v>
      </c>
      <c r="EB82" s="5">
        <f t="shared" si="250"/>
        <v>18.100423598103717</v>
      </c>
      <c r="EC82" s="5">
        <f t="shared" si="251"/>
        <v>2.9377512010718023</v>
      </c>
      <c r="ED82" s="5"/>
      <c r="EE82" s="150">
        <f t="shared" si="295"/>
        <v>4.7738395403111644</v>
      </c>
      <c r="EF82" s="150">
        <f t="shared" si="252"/>
        <v>4.8190565698596135</v>
      </c>
      <c r="EG82" s="150">
        <f t="shared" si="253"/>
        <v>0.96733293223451233</v>
      </c>
      <c r="EH82" s="150"/>
      <c r="EI82" s="456">
        <f t="shared" si="254"/>
        <v>0.27347452747965972</v>
      </c>
      <c r="EJ82" s="456">
        <f t="shared" si="255"/>
        <v>4.219617021276596</v>
      </c>
      <c r="EK82" s="456">
        <f t="shared" si="256"/>
        <v>3.2885284016343858E-2</v>
      </c>
      <c r="EL82" s="456">
        <f t="shared" si="257"/>
        <v>0.6194734135558958</v>
      </c>
      <c r="EM82">
        <f t="shared" si="258"/>
        <v>1.5299999999999999E-2</v>
      </c>
      <c r="EN82" s="144">
        <f t="shared" si="296"/>
        <v>48.185284016343857</v>
      </c>
      <c r="EO82">
        <f t="shared" si="259"/>
        <v>5.5983557999437057</v>
      </c>
      <c r="EP82" s="144">
        <f t="shared" si="297"/>
        <v>5598.3557999437053</v>
      </c>
      <c r="EQ82" s="150">
        <f t="shared" si="260"/>
        <v>2.0654479999999995</v>
      </c>
      <c r="ER82" s="150">
        <f t="shared" si="261"/>
        <v>0.31350549999999999</v>
      </c>
      <c r="ES82" s="456"/>
      <c r="EU82" s="144">
        <f t="shared" si="298"/>
        <v>2378.9534999999996</v>
      </c>
      <c r="EV82" s="456">
        <f t="shared" si="262"/>
        <v>0.31905361539293631</v>
      </c>
      <c r="EW82" s="456">
        <f t="shared" si="299"/>
        <v>0.32512628712909947</v>
      </c>
      <c r="EX82" s="456">
        <f t="shared" si="263"/>
        <v>4.678665008927098E-3</v>
      </c>
      <c r="EY82" s="456">
        <f t="shared" si="264"/>
        <v>34.51500090594115</v>
      </c>
      <c r="EZ82" s="456">
        <f t="shared" si="265"/>
        <v>37.253358390560898</v>
      </c>
      <c r="FA82" s="538">
        <f t="shared" si="266"/>
        <v>4.1202783014377671</v>
      </c>
      <c r="FB82" s="144">
        <f t="shared" si="300"/>
        <v>41373.636691998661</v>
      </c>
      <c r="FC82" s="150">
        <f t="shared" si="301"/>
        <v>49.350945991942368</v>
      </c>
      <c r="FD82" s="5">
        <f t="shared" si="302"/>
        <v>96.326999999999998</v>
      </c>
      <c r="FE82" s="150">
        <f t="shared" si="303"/>
        <v>0.66123255201118758</v>
      </c>
      <c r="FF82" s="5">
        <f t="shared" si="304"/>
        <v>66.123255201118752</v>
      </c>
      <c r="FG82">
        <f t="shared" si="305"/>
        <v>77</v>
      </c>
      <c r="FI82" s="59">
        <f t="shared" si="267"/>
        <v>-50</v>
      </c>
      <c r="FJ82">
        <f t="shared" si="268"/>
        <v>-50</v>
      </c>
      <c r="FL82">
        <f t="shared" si="269"/>
        <v>0.52186043457008313</v>
      </c>
    </row>
    <row r="83" spans="5:168">
      <c r="E83" s="147">
        <v>78</v>
      </c>
      <c r="F83" s="188">
        <f t="shared" si="306"/>
        <v>3.12</v>
      </c>
      <c r="G83" s="188">
        <f t="shared" si="270"/>
        <v>0.66300000000000003</v>
      </c>
      <c r="H83" s="188">
        <f t="shared" si="175"/>
        <v>93.600000000000009</v>
      </c>
      <c r="I83" s="188">
        <f t="shared" si="307"/>
        <v>3.9780000000000002</v>
      </c>
      <c r="J83" s="465">
        <f t="shared" si="176"/>
        <v>33.811422212639563</v>
      </c>
      <c r="K83" s="379">
        <f t="shared" si="177"/>
        <v>30.84214108236441</v>
      </c>
      <c r="L83" s="149">
        <f t="shared" si="178"/>
        <v>64.653563295003977</v>
      </c>
      <c r="M83" s="379"/>
      <c r="N83" s="188">
        <f t="shared" si="179"/>
        <v>0.47703698776255538</v>
      </c>
      <c r="O83" s="149">
        <f t="shared" si="271"/>
        <v>234.42044915755443</v>
      </c>
      <c r="P83" s="149">
        <f t="shared" si="180"/>
        <v>9.9628690891960616</v>
      </c>
      <c r="Q83" s="188">
        <f t="shared" si="181"/>
        <v>7.814014971918481</v>
      </c>
      <c r="R83" s="188">
        <f t="shared" si="182"/>
        <v>39.070074859592403</v>
      </c>
      <c r="S83" s="379">
        <f t="shared" si="183"/>
        <v>30</v>
      </c>
      <c r="T83" s="188">
        <f t="shared" si="184"/>
        <v>12.099471895718924</v>
      </c>
      <c r="U83" s="188">
        <f t="shared" si="185"/>
        <v>1.6819025698546459</v>
      </c>
      <c r="V83" s="188">
        <f t="shared" si="186"/>
        <v>1.843825231134679</v>
      </c>
      <c r="W83" s="172">
        <f t="shared" si="187"/>
        <v>350</v>
      </c>
      <c r="X83" s="379">
        <f t="shared" si="272"/>
        <v>268.40393432243258</v>
      </c>
      <c r="Z83" s="188">
        <f t="shared" si="188"/>
        <v>9.8050449874076175</v>
      </c>
      <c r="AA83" s="150">
        <f t="shared" si="189"/>
        <v>1.4941800349641274</v>
      </c>
      <c r="AB83" s="150">
        <f t="shared" si="190"/>
        <v>2.4593169600663525</v>
      </c>
      <c r="AC83" s="150"/>
      <c r="AD83" s="150">
        <f t="shared" si="191"/>
        <v>0.92356910010816884</v>
      </c>
      <c r="AE83" s="314">
        <f t="shared" si="192"/>
        <v>1162.184832595945</v>
      </c>
      <c r="AF83" s="456">
        <f t="shared" si="193"/>
        <v>0.93960957790235922</v>
      </c>
      <c r="AH83" s="150">
        <f t="shared" si="194"/>
        <v>10.892009284856407</v>
      </c>
      <c r="AI83" s="150">
        <f t="shared" si="195"/>
        <v>12.099471895718924</v>
      </c>
      <c r="AJ83" s="150">
        <f t="shared" si="196"/>
        <v>5.6732339519354547</v>
      </c>
      <c r="AL83" s="314">
        <f t="shared" si="197"/>
        <v>3120</v>
      </c>
      <c r="AM83" s="144">
        <f t="shared" si="198"/>
        <v>268.40393432243258</v>
      </c>
      <c r="AO83">
        <f t="shared" si="273"/>
        <v>3120</v>
      </c>
      <c r="AP83">
        <f t="shared" si="199"/>
        <v>268.40393432243258</v>
      </c>
      <c r="AR83" s="5">
        <f t="shared" si="274"/>
        <v>3.7257278009893251</v>
      </c>
      <c r="AS83" s="5">
        <f t="shared" si="200"/>
        <v>1.6819025698546459</v>
      </c>
      <c r="AT83" s="5">
        <f t="shared" si="275"/>
        <v>2.0438252311346794</v>
      </c>
      <c r="AU83" s="150">
        <f t="shared" si="276"/>
        <v>0.45142926689599699</v>
      </c>
      <c r="AW83" s="5">
        <f t="shared" si="201"/>
        <v>17.491786726488318</v>
      </c>
      <c r="AX83" s="5">
        <f t="shared" si="202"/>
        <v>18.585023396893835</v>
      </c>
      <c r="AY83" s="5">
        <f t="shared" si="203"/>
        <v>3.3281833582243325</v>
      </c>
      <c r="AZ83" s="5"/>
      <c r="BA83" s="150">
        <f t="shared" si="277"/>
        <v>4.6935412987890563</v>
      </c>
      <c r="BB83" s="150">
        <f t="shared" si="204"/>
        <v>4.9630201792035669</v>
      </c>
      <c r="BC83" s="150">
        <f t="shared" si="205"/>
        <v>0.99623085827936209</v>
      </c>
      <c r="BD83" s="150"/>
      <c r="BE83" s="456">
        <f t="shared" si="206"/>
        <v>0.26435195908126152</v>
      </c>
      <c r="BF83" s="456">
        <f t="shared" si="207"/>
        <v>3.8318687656270183</v>
      </c>
      <c r="BG83" s="456">
        <f t="shared" si="208"/>
        <v>3.0866452447079747E-2</v>
      </c>
      <c r="BH83" s="456">
        <f t="shared" si="209"/>
        <v>0.580609533421658</v>
      </c>
      <c r="BI83">
        <f t="shared" si="210"/>
        <v>1.5215139995687804E-2</v>
      </c>
      <c r="BJ83" s="144">
        <f t="shared" si="278"/>
        <v>46.081592442767551</v>
      </c>
      <c r="BK83">
        <f t="shared" si="211"/>
        <v>5.066427742680613</v>
      </c>
      <c r="BL83" s="144">
        <f t="shared" si="279"/>
        <v>5066.4277426806129</v>
      </c>
      <c r="BM83" s="150">
        <f t="shared" si="212"/>
        <v>2.0922719999999995</v>
      </c>
      <c r="BN83" s="150">
        <f t="shared" si="213"/>
        <v>0.317577</v>
      </c>
      <c r="BO83" s="456"/>
      <c r="BQ83" s="144">
        <f t="shared" si="280"/>
        <v>2409.8489999999993</v>
      </c>
      <c r="BR83" s="456">
        <f t="shared" si="214"/>
        <v>0.30841061892813848</v>
      </c>
      <c r="BS83" s="456">
        <f t="shared" si="215"/>
        <v>0.34484197018854529</v>
      </c>
      <c r="BT83" s="456">
        <f t="shared" si="216"/>
        <v>4.962379614940172E-3</v>
      </c>
      <c r="BU83" s="456">
        <f t="shared" si="217"/>
        <v>30.050952080814461</v>
      </c>
      <c r="BV83" s="456">
        <f t="shared" si="218"/>
        <v>32.582860777045674</v>
      </c>
      <c r="BW83" s="538">
        <f t="shared" si="219"/>
        <v>3.9293589863547731</v>
      </c>
      <c r="BX83" s="144">
        <f t="shared" si="281"/>
        <v>36512.219763400448</v>
      </c>
      <c r="BY83" s="150">
        <f t="shared" si="282"/>
        <v>43.988496506081056</v>
      </c>
      <c r="BZ83" s="5">
        <f t="shared" si="283"/>
        <v>97.578000000000003</v>
      </c>
      <c r="CA83" s="150">
        <f t="shared" si="284"/>
        <v>0.68927325608999934</v>
      </c>
      <c r="CB83" s="5">
        <f t="shared" si="285"/>
        <v>68.927325608999936</v>
      </c>
      <c r="CC83">
        <f t="shared" si="286"/>
        <v>78</v>
      </c>
      <c r="CE83" s="59">
        <f t="shared" si="220"/>
        <v>-50</v>
      </c>
      <c r="CF83">
        <f t="shared" si="221"/>
        <v>-50</v>
      </c>
      <c r="CG83" s="150">
        <f t="shared" si="222"/>
        <v>0.52186043457008313</v>
      </c>
      <c r="CH83" s="150">
        <f t="shared" si="223"/>
        <v>0.1101511240772718</v>
      </c>
      <c r="CI83" s="147">
        <v>78</v>
      </c>
      <c r="CJ83" s="188">
        <f t="shared" si="308"/>
        <v>3.12</v>
      </c>
      <c r="CK83" s="188">
        <f t="shared" si="287"/>
        <v>0.66300000000000003</v>
      </c>
      <c r="CL83" s="188">
        <f t="shared" si="224"/>
        <v>93.600000000000009</v>
      </c>
      <c r="CM83" s="188">
        <f t="shared" si="309"/>
        <v>3.9780000000000002</v>
      </c>
      <c r="CN83" s="465">
        <f t="shared" si="288"/>
        <v>34</v>
      </c>
      <c r="CO83" s="379">
        <f t="shared" si="225"/>
        <v>30.7</v>
      </c>
      <c r="CP83" s="379">
        <f t="shared" si="226"/>
        <v>64.7</v>
      </c>
      <c r="CQ83" s="379"/>
      <c r="CR83" s="188">
        <f t="shared" si="227"/>
        <v>0.47204968944099374</v>
      </c>
      <c r="CS83" s="149">
        <f t="shared" si="289"/>
        <v>233.26341749863801</v>
      </c>
      <c r="CT83" s="149">
        <f t="shared" si="228"/>
        <v>9.9136952436921142</v>
      </c>
      <c r="CU83" s="188">
        <f t="shared" si="229"/>
        <v>7.7754472499545999</v>
      </c>
      <c r="CV83" s="188">
        <f t="shared" si="230"/>
        <v>38.877236249772999</v>
      </c>
      <c r="CW83" s="379">
        <f t="shared" si="231"/>
        <v>30</v>
      </c>
      <c r="CX83" s="188">
        <f t="shared" si="232"/>
        <v>12.159487616099073</v>
      </c>
      <c r="CY83" s="188">
        <f t="shared" si="233"/>
        <v>1.6808703469313422</v>
      </c>
      <c r="CZ83" s="188">
        <f t="shared" si="234"/>
        <v>1.8615502213571868</v>
      </c>
      <c r="DA83" s="172">
        <f t="shared" si="235"/>
        <v>350</v>
      </c>
      <c r="DB83" s="379">
        <f t="shared" si="290"/>
        <v>282.29285053048795</v>
      </c>
      <c r="DD83" s="188">
        <f t="shared" si="236"/>
        <v>9.8072469146822137</v>
      </c>
      <c r="DE83" s="150">
        <f t="shared" si="237"/>
        <v>1.5014351954073746</v>
      </c>
      <c r="DF83" s="150">
        <f t="shared" si="238"/>
        <v>2.4718134248028734</v>
      </c>
      <c r="DG83" s="150"/>
      <c r="DH83" s="150">
        <f t="shared" si="239"/>
        <v>0.92784522751949461</v>
      </c>
      <c r="DI83" s="314">
        <f t="shared" si="240"/>
        <v>1156.8287125531913</v>
      </c>
      <c r="DJ83" s="456">
        <f t="shared" si="241"/>
        <v>0.94395997276890675</v>
      </c>
      <c r="DL83" s="150">
        <f t="shared" si="242"/>
        <v>10.892009284856407</v>
      </c>
      <c r="DM83" s="150">
        <f t="shared" si="243"/>
        <v>12.159487616099073</v>
      </c>
      <c r="DN83" s="150">
        <f t="shared" si="244"/>
        <v>5.7176900411059348</v>
      </c>
      <c r="DP83" s="314">
        <f t="shared" si="245"/>
        <v>3120</v>
      </c>
      <c r="DQ83" s="144">
        <f t="shared" si="246"/>
        <v>282.29285053048795</v>
      </c>
      <c r="DS83">
        <f t="shared" si="291"/>
        <v>3120</v>
      </c>
      <c r="DT83">
        <f t="shared" si="247"/>
        <v>282.29285053048795</v>
      </c>
      <c r="DV83" s="5">
        <f t="shared" si="292"/>
        <v>3.542420568288529</v>
      </c>
      <c r="DW83" s="5">
        <f t="shared" si="248"/>
        <v>1.6808703469313422</v>
      </c>
      <c r="DX83" s="5">
        <f t="shared" si="293"/>
        <v>1.8615502213571868</v>
      </c>
      <c r="DY83" s="150">
        <f t="shared" si="294"/>
        <v>0.47449768160741884</v>
      </c>
      <c r="EA83" s="5">
        <f t="shared" si="249"/>
        <v>17.481051608085959</v>
      </c>
      <c r="EB83" s="5">
        <f t="shared" si="250"/>
        <v>18.573617333591333</v>
      </c>
      <c r="EC83" s="5">
        <f t="shared" si="251"/>
        <v>3.0145519155541987</v>
      </c>
      <c r="ED83" s="5"/>
      <c r="EE83" s="150">
        <f t="shared" si="295"/>
        <v>4.8358374564191013</v>
      </c>
      <c r="EF83" s="150">
        <f t="shared" si="252"/>
        <v>4.8816417201175302</v>
      </c>
      <c r="EG83" s="150">
        <f t="shared" si="253"/>
        <v>0.97989569758820727</v>
      </c>
      <c r="EH83" s="150"/>
      <c r="EI83" s="456">
        <f t="shared" si="254"/>
        <v>0.28062388685887157</v>
      </c>
      <c r="EJ83" s="456">
        <f t="shared" si="255"/>
        <v>4.219617021276596</v>
      </c>
      <c r="EK83" s="456">
        <f t="shared" si="256"/>
        <v>3.246367781100612E-2</v>
      </c>
      <c r="EL83" s="456">
        <f t="shared" si="257"/>
        <v>0.61153144671543569</v>
      </c>
      <c r="EM83">
        <f t="shared" si="258"/>
        <v>1.5299999999999999E-2</v>
      </c>
      <c r="EN83" s="144">
        <f t="shared" si="296"/>
        <v>47.763677811006119</v>
      </c>
      <c r="EO83">
        <f t="shared" si="259"/>
        <v>5.6093123108437783</v>
      </c>
      <c r="EP83" s="144">
        <f t="shared" si="297"/>
        <v>5609.3123108437785</v>
      </c>
      <c r="EQ83" s="150">
        <f t="shared" si="260"/>
        <v>2.0922719999999995</v>
      </c>
      <c r="ER83" s="150">
        <f t="shared" si="261"/>
        <v>0.317577</v>
      </c>
      <c r="ES83" s="456"/>
      <c r="EU83" s="144">
        <f t="shared" si="298"/>
        <v>2409.8489999999993</v>
      </c>
      <c r="EV83" s="456">
        <f t="shared" si="262"/>
        <v>0.32739453466868351</v>
      </c>
      <c r="EW83" s="456">
        <f t="shared" si="299"/>
        <v>0.33362596237028852</v>
      </c>
      <c r="EX83" s="456">
        <f t="shared" si="263"/>
        <v>4.8009778907593973E-3</v>
      </c>
      <c r="EY83" s="456">
        <f t="shared" si="264"/>
        <v>34.515000905941143</v>
      </c>
      <c r="EZ83" s="456">
        <f t="shared" si="265"/>
        <v>37.328974144663079</v>
      </c>
      <c r="FA83" s="538">
        <f t="shared" si="266"/>
        <v>4.1737884092486475</v>
      </c>
      <c r="FB83" s="144">
        <f t="shared" si="300"/>
        <v>41502.762553911722</v>
      </c>
      <c r="FC83" s="150">
        <f t="shared" si="301"/>
        <v>49.521923864755507</v>
      </c>
      <c r="FD83" s="5">
        <f t="shared" si="302"/>
        <v>97.578000000000003</v>
      </c>
      <c r="FE83" s="150">
        <f t="shared" si="303"/>
        <v>0.6633450068248421</v>
      </c>
      <c r="FF83" s="5">
        <f t="shared" si="304"/>
        <v>66.334500682484205</v>
      </c>
      <c r="FG83">
        <f t="shared" si="305"/>
        <v>78</v>
      </c>
      <c r="FI83" s="59">
        <f t="shared" si="267"/>
        <v>-50</v>
      </c>
      <c r="FJ83">
        <f t="shared" si="268"/>
        <v>-50</v>
      </c>
      <c r="FL83">
        <f t="shared" si="269"/>
        <v>0.52186043457008313</v>
      </c>
    </row>
    <row r="84" spans="5:168">
      <c r="E84" s="147">
        <v>79</v>
      </c>
      <c r="F84" s="188">
        <f t="shared" si="306"/>
        <v>3.16</v>
      </c>
      <c r="G84" s="188">
        <f t="shared" si="270"/>
        <v>0.67149999999999999</v>
      </c>
      <c r="H84" s="188">
        <f t="shared" si="175"/>
        <v>94.800000000000011</v>
      </c>
      <c r="I84" s="188">
        <f t="shared" si="307"/>
        <v>4.0289999999999999</v>
      </c>
      <c r="J84" s="465">
        <f t="shared" si="176"/>
        <v>33.809004548699043</v>
      </c>
      <c r="K84" s="379">
        <f t="shared" si="177"/>
        <v>30.843963403933184</v>
      </c>
      <c r="L84" s="149">
        <f t="shared" si="178"/>
        <v>64.652967952632224</v>
      </c>
      <c r="M84" s="379"/>
      <c r="N84" s="188">
        <f t="shared" si="179"/>
        <v>0.47706956665208178</v>
      </c>
      <c r="O84" s="149">
        <f t="shared" si="271"/>
        <v>234.41969550157859</v>
      </c>
      <c r="P84" s="149">
        <f t="shared" si="180"/>
        <v>9.9628370588170885</v>
      </c>
      <c r="Q84" s="188">
        <f t="shared" si="181"/>
        <v>7.8139898500526197</v>
      </c>
      <c r="R84" s="188">
        <f t="shared" si="182"/>
        <v>39.0699492502631</v>
      </c>
      <c r="S84" s="379">
        <f t="shared" si="183"/>
        <v>30</v>
      </c>
      <c r="T84" s="188">
        <f t="shared" si="184"/>
        <v>12.254632728622106</v>
      </c>
      <c r="U84" s="188">
        <f t="shared" si="185"/>
        <v>1.703592714229742</v>
      </c>
      <c r="V84" s="188">
        <f t="shared" si="186"/>
        <v>1.8673596862450961</v>
      </c>
      <c r="W84" s="172">
        <f t="shared" si="187"/>
        <v>350</v>
      </c>
      <c r="X84" s="379">
        <f t="shared" si="272"/>
        <v>265.18499673294207</v>
      </c>
      <c r="Z84" s="188">
        <f t="shared" si="188"/>
        <v>9.8050134644292477</v>
      </c>
      <c r="AA84" s="150">
        <f t="shared" si="189"/>
        <v>1.4940869524226237</v>
      </c>
      <c r="AB84" s="150">
        <f t="shared" si="190"/>
        <v>2.459155846492163</v>
      </c>
      <c r="AC84" s="150"/>
      <c r="AD84" s="150">
        <f t="shared" si="191"/>
        <v>0.92351453384282411</v>
      </c>
      <c r="AE84" s="314">
        <f t="shared" si="192"/>
        <v>1177.1541867093351</v>
      </c>
      <c r="AF84" s="456">
        <f t="shared" si="193"/>
        <v>0.93955406393427354</v>
      </c>
      <c r="AH84" s="150">
        <f t="shared" si="194"/>
        <v>10.961607496429302</v>
      </c>
      <c r="AI84" s="150">
        <f t="shared" si="195"/>
        <v>12.254632728622106</v>
      </c>
      <c r="AJ84" s="150">
        <f t="shared" si="196"/>
        <v>5.7881679022341075</v>
      </c>
      <c r="AL84" s="314">
        <f t="shared" si="197"/>
        <v>3160</v>
      </c>
      <c r="AM84" s="144">
        <f t="shared" si="198"/>
        <v>265.18499673294207</v>
      </c>
      <c r="AO84">
        <f t="shared" si="273"/>
        <v>3160</v>
      </c>
      <c r="AP84">
        <f t="shared" si="199"/>
        <v>265.18499673294207</v>
      </c>
      <c r="AR84" s="5">
        <f t="shared" si="274"/>
        <v>3.7709524004748385</v>
      </c>
      <c r="AS84" s="5">
        <f t="shared" si="200"/>
        <v>1.703592714229742</v>
      </c>
      <c r="AT84" s="5">
        <f t="shared" si="275"/>
        <v>2.0673596862450965</v>
      </c>
      <c r="AU84" s="150">
        <f t="shared" si="276"/>
        <v>0.45176722835727801</v>
      </c>
      <c r="AW84" s="5">
        <f t="shared" si="201"/>
        <v>17.94450992321995</v>
      </c>
      <c r="AX84" s="5">
        <f t="shared" si="202"/>
        <v>19.066041793421196</v>
      </c>
      <c r="AY84" s="5">
        <f t="shared" si="203"/>
        <v>3.4099112468819319</v>
      </c>
      <c r="AZ84" s="5"/>
      <c r="BA84" s="150">
        <f t="shared" si="277"/>
        <v>4.7555092898665068</v>
      </c>
      <c r="BB84" s="150">
        <f t="shared" si="204"/>
        <v>5.0251161604044183</v>
      </c>
      <c r="BC84" s="150">
        <f t="shared" si="205"/>
        <v>1.0086954323519484</v>
      </c>
      <c r="BD84" s="150"/>
      <c r="BE84" s="456">
        <f t="shared" si="206"/>
        <v>0.27137842327207978</v>
      </c>
      <c r="BF84" s="456">
        <f t="shared" si="207"/>
        <v>3.834427976284156</v>
      </c>
      <c r="BG84" s="456">
        <f t="shared" si="208"/>
        <v>3.049627462428834E-2</v>
      </c>
      <c r="BH84" s="456">
        <f t="shared" si="209"/>
        <v>0.57363578546062588</v>
      </c>
      <c r="BI84">
        <f t="shared" si="210"/>
        <v>1.521405204691457E-2</v>
      </c>
      <c r="BJ84" s="144">
        <f t="shared" si="278"/>
        <v>45.710326671202907</v>
      </c>
      <c r="BK84">
        <f t="shared" si="211"/>
        <v>5.0802889164063991</v>
      </c>
      <c r="BL84" s="144">
        <f t="shared" si="279"/>
        <v>5080.288916406399</v>
      </c>
      <c r="BM84" s="150">
        <f t="shared" si="212"/>
        <v>2.1190959999999999</v>
      </c>
      <c r="BN84" s="150">
        <f t="shared" si="213"/>
        <v>0.3216485</v>
      </c>
      <c r="BO84" s="456"/>
      <c r="BQ84" s="144">
        <f t="shared" si="280"/>
        <v>2440.7445000000002</v>
      </c>
      <c r="BR84" s="456">
        <f t="shared" si="214"/>
        <v>0.31660816048409307</v>
      </c>
      <c r="BS84" s="456">
        <f t="shared" si="215"/>
        <v>0.35352509395780701</v>
      </c>
      <c r="BT84" s="456">
        <f t="shared" si="216"/>
        <v>5.0873323762384206E-3</v>
      </c>
      <c r="BU84" s="456">
        <f t="shared" si="217"/>
        <v>30.101845895697295</v>
      </c>
      <c r="BV84" s="456">
        <f t="shared" si="218"/>
        <v>32.705810339326405</v>
      </c>
      <c r="BW84" s="538">
        <f t="shared" si="219"/>
        <v>3.9824428251734481</v>
      </c>
      <c r="BX84" s="144">
        <f t="shared" si="281"/>
        <v>36688.253164499853</v>
      </c>
      <c r="BY84" s="150">
        <f t="shared" si="282"/>
        <v>44.209286580906252</v>
      </c>
      <c r="BZ84" s="5">
        <f t="shared" si="283"/>
        <v>98.829000000000008</v>
      </c>
      <c r="CA84" s="150">
        <f t="shared" si="284"/>
        <v>0.69092690049876748</v>
      </c>
      <c r="CB84" s="5">
        <f t="shared" si="285"/>
        <v>69.092690049876751</v>
      </c>
      <c r="CC84">
        <f t="shared" si="286"/>
        <v>79</v>
      </c>
      <c r="CE84" s="59">
        <f t="shared" si="220"/>
        <v>-50</v>
      </c>
      <c r="CF84">
        <f t="shared" si="221"/>
        <v>-50</v>
      </c>
      <c r="CG84" s="150">
        <f t="shared" si="222"/>
        <v>0.52186043457008313</v>
      </c>
      <c r="CH84" s="150">
        <f t="shared" si="223"/>
        <v>0.11015112407727178</v>
      </c>
      <c r="CI84" s="147">
        <v>79</v>
      </c>
      <c r="CJ84" s="188">
        <f t="shared" si="308"/>
        <v>3.16</v>
      </c>
      <c r="CK84" s="188">
        <f t="shared" si="287"/>
        <v>0.67149999999999999</v>
      </c>
      <c r="CL84" s="188">
        <f t="shared" si="224"/>
        <v>94.800000000000011</v>
      </c>
      <c r="CM84" s="188">
        <f t="shared" si="309"/>
        <v>4.0289999999999999</v>
      </c>
      <c r="CN84" s="465">
        <f t="shared" si="288"/>
        <v>34</v>
      </c>
      <c r="CO84" s="379">
        <f t="shared" si="225"/>
        <v>30.7</v>
      </c>
      <c r="CP84" s="379">
        <f t="shared" si="226"/>
        <v>64.7</v>
      </c>
      <c r="CQ84" s="379"/>
      <c r="CR84" s="188">
        <f t="shared" si="227"/>
        <v>0.47204968944099374</v>
      </c>
      <c r="CS84" s="149">
        <f t="shared" si="289"/>
        <v>233.26341749863801</v>
      </c>
      <c r="CT84" s="149">
        <f t="shared" si="228"/>
        <v>9.9136952436921142</v>
      </c>
      <c r="CU84" s="188">
        <f t="shared" si="229"/>
        <v>7.7754472499545999</v>
      </c>
      <c r="CV84" s="188">
        <f t="shared" si="230"/>
        <v>38.877236249772999</v>
      </c>
      <c r="CW84" s="379">
        <f t="shared" si="231"/>
        <v>30</v>
      </c>
      <c r="CX84" s="188">
        <f t="shared" si="232"/>
        <v>12.315378482972138</v>
      </c>
      <c r="CY84" s="188">
        <f t="shared" si="233"/>
        <v>1.7024199667637954</v>
      </c>
      <c r="CZ84" s="188">
        <f t="shared" si="234"/>
        <v>1.8854162498361255</v>
      </c>
      <c r="DA84" s="172">
        <f t="shared" si="235"/>
        <v>350</v>
      </c>
      <c r="DB84" s="379">
        <f t="shared" si="290"/>
        <v>278.71952330858301</v>
      </c>
      <c r="DD84" s="188">
        <f t="shared" si="236"/>
        <v>9.8072469146822137</v>
      </c>
      <c r="DE84" s="150">
        <f t="shared" si="237"/>
        <v>1.5014351954073746</v>
      </c>
      <c r="DF84" s="150">
        <f t="shared" si="238"/>
        <v>2.4718134248028734</v>
      </c>
      <c r="DG84" s="150"/>
      <c r="DH84" s="150">
        <f t="shared" si="239"/>
        <v>0.92784522751949461</v>
      </c>
      <c r="DI84" s="314">
        <f t="shared" si="240"/>
        <v>1171.6598498936173</v>
      </c>
      <c r="DJ84" s="456">
        <f t="shared" si="241"/>
        <v>0.94395997276890675</v>
      </c>
      <c r="DL84" s="150">
        <f t="shared" si="242"/>
        <v>10.961607496429302</v>
      </c>
      <c r="DM84" s="150">
        <f t="shared" si="243"/>
        <v>12.315378482972138</v>
      </c>
      <c r="DN84" s="150">
        <f t="shared" si="244"/>
        <v>5.8331647573082055</v>
      </c>
      <c r="DP84" s="314">
        <f t="shared" si="245"/>
        <v>3160</v>
      </c>
      <c r="DQ84" s="144">
        <f t="shared" si="246"/>
        <v>278.71952330858301</v>
      </c>
      <c r="DS84">
        <f t="shared" si="291"/>
        <v>3160</v>
      </c>
      <c r="DT84">
        <f t="shared" si="247"/>
        <v>278.71952330858301</v>
      </c>
      <c r="DV84" s="5">
        <f t="shared" si="292"/>
        <v>3.5878362165999214</v>
      </c>
      <c r="DW84" s="5">
        <f t="shared" si="248"/>
        <v>1.7024199667637954</v>
      </c>
      <c r="DX84" s="5">
        <f t="shared" si="293"/>
        <v>1.885416249836126</v>
      </c>
      <c r="DY84" s="150">
        <f t="shared" si="294"/>
        <v>0.47449768160741873</v>
      </c>
      <c r="EA84" s="5">
        <f t="shared" si="249"/>
        <v>17.932156983245314</v>
      </c>
      <c r="EB84" s="5">
        <f t="shared" si="250"/>
        <v>19.052916794698142</v>
      </c>
      <c r="EC84" s="5">
        <f t="shared" si="251"/>
        <v>3.0923436069976598</v>
      </c>
      <c r="ED84" s="5"/>
      <c r="EE84" s="150">
        <f t="shared" si="295"/>
        <v>4.8978353725270383</v>
      </c>
      <c r="EF84" s="150">
        <f t="shared" si="252"/>
        <v>4.9442268703754486</v>
      </c>
      <c r="EG84" s="150">
        <f t="shared" si="253"/>
        <v>0.99245846294190254</v>
      </c>
      <c r="EH84" s="150"/>
      <c r="EI84" s="456">
        <f t="shared" si="254"/>
        <v>0.28786549603652489</v>
      </c>
      <c r="EJ84" s="456">
        <f t="shared" si="255"/>
        <v>4.219617021276596</v>
      </c>
      <c r="EK84" s="456">
        <f t="shared" si="256"/>
        <v>3.2052745180487049E-2</v>
      </c>
      <c r="EL84" s="456">
        <f t="shared" si="257"/>
        <v>0.60379054232663254</v>
      </c>
      <c r="EM84">
        <f t="shared" si="258"/>
        <v>1.5299999999999999E-2</v>
      </c>
      <c r="EN84" s="144">
        <f t="shared" si="296"/>
        <v>47.352745180487048</v>
      </c>
      <c r="EO84">
        <f t="shared" si="259"/>
        <v>5.6207940505430471</v>
      </c>
      <c r="EP84" s="144">
        <f t="shared" si="297"/>
        <v>5620.794050543047</v>
      </c>
      <c r="EQ84" s="150">
        <f t="shared" si="260"/>
        <v>2.1190959999999999</v>
      </c>
      <c r="ER84" s="150">
        <f t="shared" si="261"/>
        <v>0.3216485</v>
      </c>
      <c r="ES84" s="456"/>
      <c r="EU84" s="144">
        <f t="shared" si="298"/>
        <v>2440.7445000000002</v>
      </c>
      <c r="EV84" s="456">
        <f t="shared" si="262"/>
        <v>0.33584307870927904</v>
      </c>
      <c r="EW84" s="456">
        <f t="shared" si="299"/>
        <v>0.34223531084039643</v>
      </c>
      <c r="EX84" s="456">
        <f t="shared" si="263"/>
        <v>4.9248690033250183E-3</v>
      </c>
      <c r="EY84" s="456">
        <f t="shared" si="264"/>
        <v>34.515000905941172</v>
      </c>
      <c r="EZ84" s="456">
        <f t="shared" si="265"/>
        <v>37.405786893507255</v>
      </c>
      <c r="FA84" s="538">
        <f t="shared" si="266"/>
        <v>4.2272985170595279</v>
      </c>
      <c r="FB84" s="144">
        <f t="shared" si="300"/>
        <v>41633.085410566782</v>
      </c>
      <c r="FC84" s="150">
        <f t="shared" si="301"/>
        <v>49.694623961109833</v>
      </c>
      <c r="FD84" s="5">
        <f t="shared" si="302"/>
        <v>98.829000000000008</v>
      </c>
      <c r="FE84" s="150">
        <f t="shared" si="303"/>
        <v>0.6654092956005293</v>
      </c>
      <c r="FF84" s="5">
        <f t="shared" si="304"/>
        <v>66.54092956005293</v>
      </c>
      <c r="FG84">
        <f t="shared" si="305"/>
        <v>79</v>
      </c>
      <c r="FI84" s="59">
        <f t="shared" si="267"/>
        <v>-50</v>
      </c>
      <c r="FJ84">
        <f t="shared" si="268"/>
        <v>-50</v>
      </c>
      <c r="FL84">
        <f t="shared" si="269"/>
        <v>0.52186043457008313</v>
      </c>
    </row>
    <row r="85" spans="5:168">
      <c r="E85" s="147">
        <v>80</v>
      </c>
      <c r="F85" s="188">
        <f t="shared" si="306"/>
        <v>3.2</v>
      </c>
      <c r="G85" s="188">
        <f t="shared" si="270"/>
        <v>0.68</v>
      </c>
      <c r="H85" s="188">
        <f t="shared" si="175"/>
        <v>96</v>
      </c>
      <c r="I85" s="188">
        <f t="shared" si="307"/>
        <v>4.08</v>
      </c>
      <c r="J85" s="465">
        <f t="shared" si="176"/>
        <v>33.806586884758524</v>
      </c>
      <c r="K85" s="379">
        <f t="shared" si="177"/>
        <v>30.845785725501958</v>
      </c>
      <c r="L85" s="149">
        <f t="shared" si="178"/>
        <v>64.652372610260485</v>
      </c>
      <c r="M85" s="379"/>
      <c r="N85" s="188">
        <f t="shared" si="179"/>
        <v>0.4771021461416044</v>
      </c>
      <c r="O85" s="149">
        <f t="shared" si="271"/>
        <v>234.41893985089612</v>
      </c>
      <c r="P85" s="149">
        <f t="shared" si="180"/>
        <v>9.9628049436630839</v>
      </c>
      <c r="Q85" s="188">
        <f t="shared" si="181"/>
        <v>7.813964661696537</v>
      </c>
      <c r="R85" s="188">
        <f t="shared" si="182"/>
        <v>39.06982330848269</v>
      </c>
      <c r="S85" s="379">
        <f t="shared" si="183"/>
        <v>30</v>
      </c>
      <c r="T85" s="188">
        <f t="shared" si="184"/>
        <v>12.409794664805061</v>
      </c>
      <c r="U85" s="188">
        <f t="shared" si="185"/>
        <v>1.7252861143128204</v>
      </c>
      <c r="V85" s="188">
        <f t="shared" si="186"/>
        <v>1.8908915287044332</v>
      </c>
      <c r="W85" s="172">
        <f t="shared" si="187"/>
        <v>350</v>
      </c>
      <c r="X85" s="379">
        <f t="shared" si="272"/>
        <v>262.0423087037824</v>
      </c>
      <c r="Z85" s="188">
        <f t="shared" si="188"/>
        <v>9.80498185801879</v>
      </c>
      <c r="AA85" s="150">
        <f t="shared" si="189"/>
        <v>1.4939938681668445</v>
      </c>
      <c r="AB85" s="150">
        <f t="shared" si="190"/>
        <v>2.458994710157568</v>
      </c>
      <c r="AC85" s="150"/>
      <c r="AD85" s="150">
        <f t="shared" si="191"/>
        <v>0.92345997402486146</v>
      </c>
      <c r="AE85" s="314">
        <f t="shared" si="192"/>
        <v>1192.1253015459467</v>
      </c>
      <c r="AF85" s="456">
        <f t="shared" si="193"/>
        <v>0.93949855652554759</v>
      </c>
      <c r="AH85" s="150">
        <f t="shared" si="194"/>
        <v>11.030766589414897</v>
      </c>
      <c r="AI85" s="150">
        <f t="shared" si="195"/>
        <v>12.409794664805061</v>
      </c>
      <c r="AJ85" s="150">
        <f t="shared" si="196"/>
        <v>5.903102669777037</v>
      </c>
      <c r="AL85" s="314">
        <f t="shared" si="197"/>
        <v>3200</v>
      </c>
      <c r="AM85" s="144">
        <f t="shared" si="198"/>
        <v>262.0423087037824</v>
      </c>
      <c r="AO85">
        <f t="shared" si="273"/>
        <v>3200</v>
      </c>
      <c r="AP85">
        <f t="shared" si="199"/>
        <v>262.0423087037824</v>
      </c>
      <c r="AR85" s="5">
        <f t="shared" si="274"/>
        <v>3.8161776430172543</v>
      </c>
      <c r="AS85" s="5">
        <f t="shared" si="200"/>
        <v>1.7252861143128204</v>
      </c>
      <c r="AT85" s="5">
        <f t="shared" si="275"/>
        <v>2.0908915287044341</v>
      </c>
      <c r="AU85" s="150">
        <f t="shared" si="276"/>
        <v>0.45209795656910928</v>
      </c>
      <c r="AW85" s="5">
        <f t="shared" si="201"/>
        <v>18.403051886003421</v>
      </c>
      <c r="AX85" s="5">
        <f t="shared" si="202"/>
        <v>19.553242628878632</v>
      </c>
      <c r="AY85" s="5">
        <f t="shared" si="203"/>
        <v>3.4926292608191556</v>
      </c>
      <c r="AZ85" s="5"/>
      <c r="BA85" s="150">
        <f t="shared" si="277"/>
        <v>4.8174835492987942</v>
      </c>
      <c r="BB85" s="150">
        <f t="shared" si="204"/>
        <v>5.0872064744807988</v>
      </c>
      <c r="BC85" s="150">
        <f t="shared" si="205"/>
        <v>1.0211588688582802</v>
      </c>
      <c r="BD85" s="150"/>
      <c r="BE85" s="456">
        <f t="shared" si="206"/>
        <v>0.27849777297317407</v>
      </c>
      <c r="BF85" s="456">
        <f t="shared" si="207"/>
        <v>3.8369253408074737</v>
      </c>
      <c r="BG85" s="456">
        <f t="shared" si="208"/>
        <v>3.0134865500934978E-2</v>
      </c>
      <c r="BH85" s="456">
        <f t="shared" si="209"/>
        <v>0.56682723051385464</v>
      </c>
      <c r="BI85">
        <f t="shared" si="210"/>
        <v>1.5212964098141336E-2</v>
      </c>
      <c r="BJ85" s="144">
        <f t="shared" si="278"/>
        <v>45.347829599076313</v>
      </c>
      <c r="BK85">
        <f t="shared" si="211"/>
        <v>5.0945570377334111</v>
      </c>
      <c r="BL85" s="144">
        <f t="shared" si="279"/>
        <v>5094.5570377334107</v>
      </c>
      <c r="BM85" s="150">
        <f t="shared" si="212"/>
        <v>2.1459199999999998</v>
      </c>
      <c r="BN85" s="150">
        <f t="shared" si="213"/>
        <v>0.32572000000000001</v>
      </c>
      <c r="BO85" s="456"/>
      <c r="BQ85" s="144">
        <f t="shared" si="280"/>
        <v>2471.64</v>
      </c>
      <c r="BR85" s="456">
        <f t="shared" si="214"/>
        <v>0.32491406846870308</v>
      </c>
      <c r="BS85" s="456">
        <f t="shared" si="215"/>
        <v>0.36231537599599101</v>
      </c>
      <c r="BT85" s="456">
        <f t="shared" si="216"/>
        <v>5.2138271772396117E-3</v>
      </c>
      <c r="BU85" s="456">
        <f t="shared" si="217"/>
        <v>30.15157730706704</v>
      </c>
      <c r="BV85" s="456">
        <f t="shared" si="218"/>
        <v>32.828771943803368</v>
      </c>
      <c r="BW85" s="538">
        <f t="shared" si="219"/>
        <v>4.0355302616589395</v>
      </c>
      <c r="BX85" s="144">
        <f t="shared" si="281"/>
        <v>36864.302205462307</v>
      </c>
      <c r="BY85" s="150">
        <f t="shared" si="282"/>
        <v>44.430499243195719</v>
      </c>
      <c r="BZ85" s="5">
        <f t="shared" si="283"/>
        <v>100.08</v>
      </c>
      <c r="CA85" s="150">
        <f t="shared" si="284"/>
        <v>0.69254483600929273</v>
      </c>
      <c r="CB85" s="5">
        <f t="shared" si="285"/>
        <v>69.254483600929277</v>
      </c>
      <c r="CC85">
        <f t="shared" si="286"/>
        <v>80</v>
      </c>
      <c r="CE85" s="59">
        <f t="shared" si="220"/>
        <v>-50</v>
      </c>
      <c r="CF85">
        <f t="shared" si="221"/>
        <v>-50</v>
      </c>
      <c r="CG85" s="150">
        <f t="shared" si="222"/>
        <v>0.52186043457008324</v>
      </c>
      <c r="CH85" s="150">
        <f t="shared" si="223"/>
        <v>0.11015112407727182</v>
      </c>
      <c r="CI85" s="147">
        <v>80</v>
      </c>
      <c r="CJ85" s="188">
        <f t="shared" si="308"/>
        <v>3.2</v>
      </c>
      <c r="CK85" s="188">
        <f t="shared" si="287"/>
        <v>0.68</v>
      </c>
      <c r="CL85" s="188">
        <f t="shared" si="224"/>
        <v>96</v>
      </c>
      <c r="CM85" s="188">
        <f t="shared" si="309"/>
        <v>4.08</v>
      </c>
      <c r="CN85" s="465">
        <f t="shared" si="288"/>
        <v>34</v>
      </c>
      <c r="CO85" s="379">
        <f t="shared" si="225"/>
        <v>30.7</v>
      </c>
      <c r="CP85" s="379">
        <f t="shared" si="226"/>
        <v>64.7</v>
      </c>
      <c r="CQ85" s="379"/>
      <c r="CR85" s="188">
        <f t="shared" si="227"/>
        <v>0.47204968944099374</v>
      </c>
      <c r="CS85" s="149">
        <f t="shared" si="289"/>
        <v>233.26341749863801</v>
      </c>
      <c r="CT85" s="149">
        <f t="shared" si="228"/>
        <v>9.9136952436921142</v>
      </c>
      <c r="CU85" s="188">
        <f t="shared" si="229"/>
        <v>7.7754472499545999</v>
      </c>
      <c r="CV85" s="188">
        <f t="shared" si="230"/>
        <v>38.877236249772999</v>
      </c>
      <c r="CW85" s="379">
        <f t="shared" si="231"/>
        <v>30</v>
      </c>
      <c r="CX85" s="188">
        <f t="shared" si="232"/>
        <v>12.471269349845201</v>
      </c>
      <c r="CY85" s="188">
        <f t="shared" si="233"/>
        <v>1.7239695865962483</v>
      </c>
      <c r="CZ85" s="188">
        <f t="shared" si="234"/>
        <v>1.9092822783150631</v>
      </c>
      <c r="DA85" s="172">
        <f t="shared" si="235"/>
        <v>350</v>
      </c>
      <c r="DB85" s="379">
        <f t="shared" si="290"/>
        <v>275.23552926722584</v>
      </c>
      <c r="DD85" s="188">
        <f t="shared" si="236"/>
        <v>9.8072469146822137</v>
      </c>
      <c r="DE85" s="150">
        <f t="shared" si="237"/>
        <v>1.5014351954073746</v>
      </c>
      <c r="DF85" s="150">
        <f t="shared" si="238"/>
        <v>2.4718134248028734</v>
      </c>
      <c r="DG85" s="150"/>
      <c r="DH85" s="150">
        <f t="shared" si="239"/>
        <v>0.92784522751949461</v>
      </c>
      <c r="DI85" s="314">
        <f t="shared" si="240"/>
        <v>1186.4909872340427</v>
      </c>
      <c r="DJ85" s="456">
        <f t="shared" si="241"/>
        <v>0.94395997276890675</v>
      </c>
      <c r="DL85" s="150">
        <f t="shared" si="242"/>
        <v>11.030766589414897</v>
      </c>
      <c r="DM85" s="150">
        <f t="shared" si="243"/>
        <v>12.471269349845201</v>
      </c>
      <c r="DN85" s="150">
        <f t="shared" si="244"/>
        <v>5.9486394735104753</v>
      </c>
      <c r="DP85" s="314">
        <f t="shared" si="245"/>
        <v>3200</v>
      </c>
      <c r="DQ85" s="144">
        <f t="shared" si="246"/>
        <v>275.23552926722584</v>
      </c>
      <c r="DS85">
        <f t="shared" si="291"/>
        <v>3200</v>
      </c>
      <c r="DT85">
        <f t="shared" si="247"/>
        <v>275.23552926722584</v>
      </c>
      <c r="DV85" s="5">
        <f t="shared" si="292"/>
        <v>3.633251864911311</v>
      </c>
      <c r="DW85" s="5">
        <f t="shared" si="248"/>
        <v>1.7239695865962483</v>
      </c>
      <c r="DX85" s="5">
        <f t="shared" si="293"/>
        <v>1.9092822783150627</v>
      </c>
      <c r="DY85" s="150">
        <f t="shared" si="294"/>
        <v>0.47449768160741895</v>
      </c>
      <c r="EA85" s="5">
        <f t="shared" si="249"/>
        <v>18.389008923693318</v>
      </c>
      <c r="EB85" s="5">
        <f t="shared" si="250"/>
        <v>19.538321981424147</v>
      </c>
      <c r="EC85" s="5">
        <f t="shared" si="251"/>
        <v>3.1711262754021803</v>
      </c>
      <c r="ED85" s="5"/>
      <c r="EE85" s="150">
        <f t="shared" si="295"/>
        <v>4.9598332886349761</v>
      </c>
      <c r="EF85" s="150">
        <f t="shared" si="252"/>
        <v>5.0068120206333644</v>
      </c>
      <c r="EG85" s="150">
        <f t="shared" si="253"/>
        <v>1.005021228295597</v>
      </c>
      <c r="EH85" s="150"/>
      <c r="EI85" s="456">
        <f t="shared" si="254"/>
        <v>0.29519935501261968</v>
      </c>
      <c r="EJ85" s="456">
        <f t="shared" si="255"/>
        <v>4.2196170212765978</v>
      </c>
      <c r="EK85" s="456">
        <f t="shared" si="256"/>
        <v>3.1652085865730976E-2</v>
      </c>
      <c r="EL85" s="456">
        <f t="shared" si="257"/>
        <v>0.59624316054755</v>
      </c>
      <c r="EM85">
        <f t="shared" si="258"/>
        <v>1.5299999999999999E-2</v>
      </c>
      <c r="EN85" s="144">
        <f t="shared" si="296"/>
        <v>46.952085865730979</v>
      </c>
      <c r="EO85">
        <f t="shared" si="259"/>
        <v>5.6327962075939713</v>
      </c>
      <c r="EP85" s="144">
        <f t="shared" si="297"/>
        <v>5632.7962075939713</v>
      </c>
      <c r="EQ85" s="150">
        <f t="shared" si="260"/>
        <v>2.1459199999999998</v>
      </c>
      <c r="ER85" s="150">
        <f t="shared" si="261"/>
        <v>0.32572000000000001</v>
      </c>
      <c r="ES85" s="456"/>
      <c r="EU85" s="144">
        <f t="shared" si="298"/>
        <v>2471.64</v>
      </c>
      <c r="EV85" s="456">
        <f t="shared" si="262"/>
        <v>0.34439924751472301</v>
      </c>
      <c r="EW85" s="456">
        <f t="shared" si="299"/>
        <v>0.35095433253942254</v>
      </c>
      <c r="EX85" s="456">
        <f t="shared" si="263"/>
        <v>5.0503383466239523E-3</v>
      </c>
      <c r="EY85" s="456">
        <f t="shared" si="264"/>
        <v>34.515000905941179</v>
      </c>
      <c r="EZ85" s="456">
        <f t="shared" si="265"/>
        <v>37.483806140551494</v>
      </c>
      <c r="FA85" s="538">
        <f t="shared" si="266"/>
        <v>4.2808086248704083</v>
      </c>
      <c r="FB85" s="144">
        <f t="shared" si="300"/>
        <v>41764.614765421902</v>
      </c>
      <c r="FC85" s="150">
        <f t="shared" si="301"/>
        <v>49.869050973015874</v>
      </c>
      <c r="FD85" s="5">
        <f t="shared" si="302"/>
        <v>100.08</v>
      </c>
      <c r="FE85" s="150">
        <f t="shared" si="303"/>
        <v>0.66742669827240142</v>
      </c>
      <c r="FF85" s="5">
        <f t="shared" si="304"/>
        <v>66.742669827240135</v>
      </c>
      <c r="FG85">
        <f t="shared" si="305"/>
        <v>80</v>
      </c>
      <c r="FI85" s="59">
        <f t="shared" si="267"/>
        <v>-50</v>
      </c>
      <c r="FJ85">
        <f t="shared" si="268"/>
        <v>-50</v>
      </c>
      <c r="FL85">
        <f t="shared" si="269"/>
        <v>0.52186043457008324</v>
      </c>
    </row>
    <row r="86" spans="5:168">
      <c r="E86" s="147">
        <v>81</v>
      </c>
      <c r="F86" s="188">
        <f t="shared" si="306"/>
        <v>3.24</v>
      </c>
      <c r="G86" s="188">
        <f t="shared" si="270"/>
        <v>0.6885</v>
      </c>
      <c r="H86" s="188">
        <f t="shared" si="175"/>
        <v>97.2</v>
      </c>
      <c r="I86" s="188">
        <f t="shared" si="307"/>
        <v>4.1310000000000002</v>
      </c>
      <c r="J86" s="465">
        <f t="shared" si="176"/>
        <v>33.804169220818011</v>
      </c>
      <c r="K86" s="379">
        <f t="shared" si="177"/>
        <v>30.847608047070736</v>
      </c>
      <c r="L86" s="149">
        <f t="shared" si="178"/>
        <v>64.651777267888747</v>
      </c>
      <c r="M86" s="379"/>
      <c r="N86" s="188">
        <f t="shared" si="179"/>
        <v>0.47713472623113995</v>
      </c>
      <c r="O86" s="149">
        <f t="shared" si="271"/>
        <v>234.4181822054521</v>
      </c>
      <c r="P86" s="149">
        <f t="shared" si="180"/>
        <v>9.9627727437317137</v>
      </c>
      <c r="Q86" s="188">
        <f t="shared" si="181"/>
        <v>7.8139394068484034</v>
      </c>
      <c r="R86" s="188">
        <f t="shared" si="182"/>
        <v>39.069697034242019</v>
      </c>
      <c r="S86" s="379">
        <f t="shared" si="183"/>
        <v>30</v>
      </c>
      <c r="T86" s="188">
        <f t="shared" si="184"/>
        <v>12.564957708242311</v>
      </c>
      <c r="U86" s="188">
        <f t="shared" si="185"/>
        <v>1.7469827713550243</v>
      </c>
      <c r="V86" s="188">
        <f t="shared" si="186"/>
        <v>1.914420759581283</v>
      </c>
      <c r="W86" s="172">
        <f t="shared" si="187"/>
        <v>350</v>
      </c>
      <c r="X86" s="379">
        <f t="shared" si="272"/>
        <v>258.9731925162252</v>
      </c>
      <c r="Z86" s="188">
        <f t="shared" si="188"/>
        <v>9.8049501681739404</v>
      </c>
      <c r="AA86" s="150">
        <f t="shared" si="189"/>
        <v>1.4939007821967432</v>
      </c>
      <c r="AB86" s="150">
        <f t="shared" si="190"/>
        <v>2.4588335510658506</v>
      </c>
      <c r="AC86" s="150"/>
      <c r="AD86" s="150">
        <f t="shared" si="191"/>
        <v>0.92340542065313824</v>
      </c>
      <c r="AE86" s="314">
        <f t="shared" si="192"/>
        <v>1207.0981771057809</v>
      </c>
      <c r="AF86" s="456">
        <f t="shared" si="193"/>
        <v>0.93944305567501885</v>
      </c>
      <c r="AH86" s="150">
        <f t="shared" si="194"/>
        <v>11.099494772039352</v>
      </c>
      <c r="AI86" s="150">
        <f t="shared" si="195"/>
        <v>12.564957708242311</v>
      </c>
      <c r="AJ86" s="150">
        <f t="shared" si="196"/>
        <v>6.0180382575083335</v>
      </c>
      <c r="AL86" s="314">
        <f t="shared" si="197"/>
        <v>3240</v>
      </c>
      <c r="AM86" s="144">
        <f t="shared" si="198"/>
        <v>258.9731925162252</v>
      </c>
      <c r="AO86">
        <f t="shared" si="273"/>
        <v>3240</v>
      </c>
      <c r="AP86">
        <f t="shared" si="199"/>
        <v>258.9731925162252</v>
      </c>
      <c r="AR86" s="5">
        <f t="shared" si="274"/>
        <v>3.8614035309363075</v>
      </c>
      <c r="AS86" s="5">
        <f t="shared" si="200"/>
        <v>1.7469827713550243</v>
      </c>
      <c r="AT86" s="5">
        <f t="shared" si="275"/>
        <v>2.1144207595812832</v>
      </c>
      <c r="AU86" s="150">
        <f t="shared" si="276"/>
        <v>0.4524217055686533</v>
      </c>
      <c r="AW86" s="5">
        <f t="shared" si="201"/>
        <v>18.867413930634264</v>
      </c>
      <c r="AX86" s="5">
        <f t="shared" si="202"/>
        <v>20.046627301298905</v>
      </c>
      <c r="AY86" s="5">
        <f t="shared" si="203"/>
        <v>3.5763374506154446</v>
      </c>
      <c r="AZ86" s="5"/>
      <c r="BA86" s="150">
        <f t="shared" si="277"/>
        <v>4.8794640217635772</v>
      </c>
      <c r="BB86" s="150">
        <f t="shared" si="204"/>
        <v>5.1492911999852371</v>
      </c>
      <c r="BC86" s="150">
        <f t="shared" si="205"/>
        <v>1.0336211835662672</v>
      </c>
      <c r="BD86" s="150"/>
      <c r="BE86" s="456">
        <f t="shared" si="206"/>
        <v>0.28571002967622222</v>
      </c>
      <c r="BF86" s="456">
        <f t="shared" si="207"/>
        <v>3.8393630298969645</v>
      </c>
      <c r="BG86" s="456">
        <f t="shared" si="208"/>
        <v>2.9781917139365902E-2</v>
      </c>
      <c r="BH86" s="456">
        <f t="shared" si="209"/>
        <v>0.56017806736247566</v>
      </c>
      <c r="BI86">
        <f t="shared" si="210"/>
        <v>1.5211876149368104E-2</v>
      </c>
      <c r="BJ86" s="144">
        <f t="shared" si="278"/>
        <v>44.993793288734004</v>
      </c>
      <c r="BK86">
        <f t="shared" si="211"/>
        <v>5.109231498009815</v>
      </c>
      <c r="BL86" s="144">
        <f t="shared" si="279"/>
        <v>5109.2314980098154</v>
      </c>
      <c r="BM86" s="150">
        <f t="shared" si="212"/>
        <v>2.1727439999999998</v>
      </c>
      <c r="BN86" s="150">
        <f t="shared" si="213"/>
        <v>0.32979150000000002</v>
      </c>
      <c r="BO86" s="456"/>
      <c r="BQ86" s="144">
        <f t="shared" si="280"/>
        <v>2502.5354999999995</v>
      </c>
      <c r="BR86" s="456">
        <f t="shared" si="214"/>
        <v>0.33332836795559262</v>
      </c>
      <c r="BS86" s="456">
        <f t="shared" si="215"/>
        <v>0.37121279807143565</v>
      </c>
      <c r="BT86" s="456">
        <f t="shared" si="216"/>
        <v>5.3418637555846553E-3</v>
      </c>
      <c r="BU86" s="456">
        <f t="shared" si="217"/>
        <v>30.200185378458968</v>
      </c>
      <c r="BV86" s="456">
        <f t="shared" si="218"/>
        <v>32.951793877343043</v>
      </c>
      <c r="BW86" s="538">
        <f t="shared" si="219"/>
        <v>4.0886211696096897</v>
      </c>
      <c r="BX86" s="144">
        <f t="shared" si="281"/>
        <v>37040.41504695273</v>
      </c>
      <c r="BY86" s="150">
        <f t="shared" si="282"/>
        <v>44.652182044962544</v>
      </c>
      <c r="BZ86" s="5">
        <f t="shared" si="283"/>
        <v>101.331</v>
      </c>
      <c r="CA86" s="150">
        <f t="shared" si="284"/>
        <v>0.69412790282095815</v>
      </c>
      <c r="CB86" s="5">
        <f t="shared" si="285"/>
        <v>69.412790282095813</v>
      </c>
      <c r="CC86">
        <f t="shared" si="286"/>
        <v>81</v>
      </c>
      <c r="CE86" s="59">
        <f t="shared" si="220"/>
        <v>-50</v>
      </c>
      <c r="CF86">
        <f t="shared" si="221"/>
        <v>-50</v>
      </c>
      <c r="CG86" s="150">
        <f t="shared" si="222"/>
        <v>0.52186043457008324</v>
      </c>
      <c r="CH86" s="150">
        <f t="shared" si="223"/>
        <v>0.11015112407727182</v>
      </c>
      <c r="CI86" s="147">
        <v>81</v>
      </c>
      <c r="CJ86" s="188">
        <f t="shared" si="308"/>
        <v>3.24</v>
      </c>
      <c r="CK86" s="188">
        <f t="shared" si="287"/>
        <v>0.6885</v>
      </c>
      <c r="CL86" s="188">
        <f t="shared" si="224"/>
        <v>97.2</v>
      </c>
      <c r="CM86" s="188">
        <f t="shared" si="309"/>
        <v>4.1310000000000002</v>
      </c>
      <c r="CN86" s="465">
        <f t="shared" si="288"/>
        <v>34</v>
      </c>
      <c r="CO86" s="379">
        <f t="shared" si="225"/>
        <v>30.7</v>
      </c>
      <c r="CP86" s="379">
        <f t="shared" si="226"/>
        <v>64.7</v>
      </c>
      <c r="CQ86" s="379"/>
      <c r="CR86" s="188">
        <f t="shared" si="227"/>
        <v>0.47204968944099374</v>
      </c>
      <c r="CS86" s="149">
        <f t="shared" si="289"/>
        <v>233.26341749863801</v>
      </c>
      <c r="CT86" s="149">
        <f t="shared" si="228"/>
        <v>9.9136952436921142</v>
      </c>
      <c r="CU86" s="188">
        <f t="shared" si="229"/>
        <v>7.7754472499545999</v>
      </c>
      <c r="CV86" s="188">
        <f t="shared" si="230"/>
        <v>38.877236249772999</v>
      </c>
      <c r="CW86" s="379">
        <f t="shared" si="231"/>
        <v>30</v>
      </c>
      <c r="CX86" s="188">
        <f t="shared" si="232"/>
        <v>12.627160216718266</v>
      </c>
      <c r="CY86" s="188">
        <f t="shared" si="233"/>
        <v>1.7455192064287015</v>
      </c>
      <c r="CZ86" s="188">
        <f t="shared" si="234"/>
        <v>1.9331483067940018</v>
      </c>
      <c r="DA86" s="172">
        <f t="shared" si="235"/>
        <v>350</v>
      </c>
      <c r="DB86" s="379">
        <f t="shared" si="290"/>
        <v>271.83755977009957</v>
      </c>
      <c r="DD86" s="188">
        <f t="shared" si="236"/>
        <v>9.8072469146822137</v>
      </c>
      <c r="DE86" s="150">
        <f t="shared" si="237"/>
        <v>1.5014351954073746</v>
      </c>
      <c r="DF86" s="150">
        <f t="shared" si="238"/>
        <v>2.4718134248028734</v>
      </c>
      <c r="DG86" s="150"/>
      <c r="DH86" s="150">
        <f t="shared" si="239"/>
        <v>0.92784522751949461</v>
      </c>
      <c r="DI86" s="314">
        <f t="shared" si="240"/>
        <v>1201.3221245744683</v>
      </c>
      <c r="DJ86" s="456">
        <f t="shared" si="241"/>
        <v>0.94395997276890675</v>
      </c>
      <c r="DL86" s="150">
        <f t="shared" si="242"/>
        <v>11.099494772039352</v>
      </c>
      <c r="DM86" s="150">
        <f t="shared" si="243"/>
        <v>12.627160216718266</v>
      </c>
      <c r="DN86" s="150">
        <f t="shared" si="244"/>
        <v>6.0641141897127451</v>
      </c>
      <c r="DP86" s="314">
        <f t="shared" si="245"/>
        <v>3240</v>
      </c>
      <c r="DQ86" s="144">
        <f t="shared" si="246"/>
        <v>271.83755977009957</v>
      </c>
      <c r="DS86">
        <f t="shared" si="291"/>
        <v>3240</v>
      </c>
      <c r="DT86">
        <f t="shared" si="247"/>
        <v>271.83755977009957</v>
      </c>
      <c r="DV86" s="5">
        <f t="shared" si="292"/>
        <v>3.6786675132227025</v>
      </c>
      <c r="DW86" s="5">
        <f t="shared" si="248"/>
        <v>1.7455192064287015</v>
      </c>
      <c r="DX86" s="5">
        <f t="shared" si="293"/>
        <v>1.933148306794001</v>
      </c>
      <c r="DY86" s="150">
        <f t="shared" si="294"/>
        <v>0.47449768160741895</v>
      </c>
      <c r="EA86" s="5">
        <f t="shared" si="249"/>
        <v>18.851607429429976</v>
      </c>
      <c r="EB86" s="5">
        <f t="shared" si="250"/>
        <v>20.029832893769353</v>
      </c>
      <c r="EC86" s="5">
        <f t="shared" si="251"/>
        <v>3.250899920767766</v>
      </c>
      <c r="ED86" s="5"/>
      <c r="EE86" s="150">
        <f t="shared" si="295"/>
        <v>5.021831204742913</v>
      </c>
      <c r="EF86" s="150">
        <f t="shared" si="252"/>
        <v>5.0693971708912811</v>
      </c>
      <c r="EG86" s="150">
        <f t="shared" si="253"/>
        <v>1.0175839936492921</v>
      </c>
      <c r="EH86" s="150"/>
      <c r="EI86" s="456">
        <f t="shared" si="254"/>
        <v>0.30262546378715588</v>
      </c>
      <c r="EJ86" s="456">
        <f t="shared" si="255"/>
        <v>4.2196170212765969</v>
      </c>
      <c r="EK86" s="456">
        <f t="shared" si="256"/>
        <v>3.1261319373561455E-2</v>
      </c>
      <c r="EL86" s="456">
        <f t="shared" si="257"/>
        <v>0.58888213387412336</v>
      </c>
      <c r="EM86">
        <f t="shared" si="258"/>
        <v>1.5299999999999999E-2</v>
      </c>
      <c r="EN86" s="144">
        <f t="shared" si="296"/>
        <v>46.561319373561453</v>
      </c>
      <c r="EO86">
        <f t="shared" si="259"/>
        <v>5.6453144308667849</v>
      </c>
      <c r="EP86" s="144">
        <f t="shared" si="297"/>
        <v>5645.3144308667852</v>
      </c>
      <c r="EQ86" s="150">
        <f t="shared" si="260"/>
        <v>2.1727439999999998</v>
      </c>
      <c r="ER86" s="150">
        <f t="shared" si="261"/>
        <v>0.32979150000000002</v>
      </c>
      <c r="ES86" s="456"/>
      <c r="EU86" s="144">
        <f t="shared" si="298"/>
        <v>2502.5354999999995</v>
      </c>
      <c r="EV86" s="456">
        <f t="shared" si="262"/>
        <v>0.35306304108501518</v>
      </c>
      <c r="EW86" s="456">
        <f t="shared" si="299"/>
        <v>0.35978302746736734</v>
      </c>
      <c r="EX86" s="456">
        <f t="shared" si="263"/>
        <v>5.1773859206562124E-3</v>
      </c>
      <c r="EY86" s="456">
        <f t="shared" si="264"/>
        <v>34.515000905941172</v>
      </c>
      <c r="EZ86" s="456">
        <f t="shared" si="265"/>
        <v>37.563041579523237</v>
      </c>
      <c r="FA86" s="538">
        <f t="shared" si="266"/>
        <v>4.3343187326812878</v>
      </c>
      <c r="FB86" s="144">
        <f t="shared" si="300"/>
        <v>41897.360312204524</v>
      </c>
      <c r="FC86" s="150">
        <f t="shared" si="301"/>
        <v>50.04521024307131</v>
      </c>
      <c r="FD86" s="5">
        <f t="shared" si="302"/>
        <v>101.331</v>
      </c>
      <c r="FE86" s="150">
        <f t="shared" si="303"/>
        <v>0.66939844667328141</v>
      </c>
      <c r="FF86" s="5">
        <f t="shared" si="304"/>
        <v>66.939844667328146</v>
      </c>
      <c r="FG86">
        <f t="shared" si="305"/>
        <v>81</v>
      </c>
      <c r="FI86" s="59">
        <f t="shared" si="267"/>
        <v>-50</v>
      </c>
      <c r="FJ86">
        <f t="shared" si="268"/>
        <v>-50</v>
      </c>
      <c r="FL86">
        <f t="shared" si="269"/>
        <v>0.52186043457008324</v>
      </c>
    </row>
    <row r="87" spans="5:168">
      <c r="E87" s="147">
        <v>82</v>
      </c>
      <c r="F87" s="188">
        <f t="shared" si="306"/>
        <v>3.28</v>
      </c>
      <c r="G87" s="188">
        <f t="shared" si="270"/>
        <v>0.69699999999999995</v>
      </c>
      <c r="H87" s="188">
        <f t="shared" si="175"/>
        <v>98.399999999999991</v>
      </c>
      <c r="I87" s="188">
        <f t="shared" si="307"/>
        <v>4.1819999999999995</v>
      </c>
      <c r="J87" s="465">
        <f t="shared" si="176"/>
        <v>33.801751556877491</v>
      </c>
      <c r="K87" s="379">
        <f t="shared" si="177"/>
        <v>30.84943036863951</v>
      </c>
      <c r="L87" s="149">
        <f t="shared" si="178"/>
        <v>64.651181925516994</v>
      </c>
      <c r="M87" s="379"/>
      <c r="N87" s="188">
        <f t="shared" si="179"/>
        <v>0.47716730692070508</v>
      </c>
      <c r="O87" s="149">
        <f t="shared" si="271"/>
        <v>234.41742256519126</v>
      </c>
      <c r="P87" s="149">
        <f t="shared" si="180"/>
        <v>9.9627404590206261</v>
      </c>
      <c r="Q87" s="188">
        <f t="shared" si="181"/>
        <v>7.8139140855063749</v>
      </c>
      <c r="R87" s="188">
        <f t="shared" si="182"/>
        <v>39.069570427531879</v>
      </c>
      <c r="S87" s="379">
        <f t="shared" si="183"/>
        <v>30</v>
      </c>
      <c r="T87" s="188">
        <f t="shared" si="184"/>
        <v>12.720121862908638</v>
      </c>
      <c r="U87" s="188">
        <f t="shared" si="185"/>
        <v>1.7686826866078926</v>
      </c>
      <c r="V87" s="188">
        <f t="shared" si="186"/>
        <v>1.9379473799440257</v>
      </c>
      <c r="W87" s="172">
        <f t="shared" si="187"/>
        <v>350</v>
      </c>
      <c r="X87" s="379">
        <f t="shared" si="272"/>
        <v>255.97509438169635</v>
      </c>
      <c r="Z87" s="188">
        <f t="shared" si="188"/>
        <v>9.8049183948923915</v>
      </c>
      <c r="AA87" s="150">
        <f t="shared" si="189"/>
        <v>1.4938076945122716</v>
      </c>
      <c r="AB87" s="150">
        <f t="shared" si="190"/>
        <v>2.4586723692202916</v>
      </c>
      <c r="AC87" s="150"/>
      <c r="AD87" s="150">
        <f t="shared" si="191"/>
        <v>0.92335087372651192</v>
      </c>
      <c r="AE87" s="314">
        <f t="shared" si="192"/>
        <v>1222.0728133888379</v>
      </c>
      <c r="AF87" s="456">
        <f t="shared" si="193"/>
        <v>0.93938756138152502</v>
      </c>
      <c r="AH87" s="150">
        <f t="shared" si="194"/>
        <v>11.16779999995101</v>
      </c>
      <c r="AI87" s="150">
        <f t="shared" si="195"/>
        <v>12.720121862908638</v>
      </c>
      <c r="AJ87" s="150">
        <f t="shared" si="196"/>
        <v>6.1329746683722792</v>
      </c>
      <c r="AL87" s="314">
        <f t="shared" si="197"/>
        <v>3280</v>
      </c>
      <c r="AM87" s="144">
        <f t="shared" si="198"/>
        <v>255.97509438169635</v>
      </c>
      <c r="AO87">
        <f t="shared" si="273"/>
        <v>3280</v>
      </c>
      <c r="AP87">
        <f t="shared" si="199"/>
        <v>255.97509438169635</v>
      </c>
      <c r="AR87" s="5">
        <f t="shared" si="274"/>
        <v>3.906630066551918</v>
      </c>
      <c r="AS87" s="5">
        <f t="shared" si="200"/>
        <v>1.7686826866078926</v>
      </c>
      <c r="AT87" s="5">
        <f t="shared" si="275"/>
        <v>2.1379473799440252</v>
      </c>
      <c r="AU87" s="150">
        <f t="shared" si="276"/>
        <v>0.45273871763572765</v>
      </c>
      <c r="AW87" s="5">
        <f t="shared" si="201"/>
        <v>19.337597373579623</v>
      </c>
      <c r="AX87" s="5">
        <f t="shared" si="202"/>
        <v>20.546197209428353</v>
      </c>
      <c r="AY87" s="5">
        <f t="shared" si="203"/>
        <v>3.6610358669536112</v>
      </c>
      <c r="AZ87" s="5"/>
      <c r="BA87" s="150">
        <f t="shared" si="277"/>
        <v>4.9414506545941084</v>
      </c>
      <c r="BB87" s="150">
        <f t="shared" si="204"/>
        <v>5.211370411938578</v>
      </c>
      <c r="BC87" s="150">
        <f t="shared" si="205"/>
        <v>1.0460823915349013</v>
      </c>
      <c r="BD87" s="150"/>
      <c r="BE87" s="456">
        <f t="shared" si="206"/>
        <v>0.29301521486146254</v>
      </c>
      <c r="BF87" s="456">
        <f t="shared" si="207"/>
        <v>3.8417431137882994</v>
      </c>
      <c r="BG87" s="456">
        <f t="shared" si="208"/>
        <v>2.9437135853895083E-2</v>
      </c>
      <c r="BH87" s="456">
        <f t="shared" si="209"/>
        <v>0.55368276327958055</v>
      </c>
      <c r="BI87">
        <f t="shared" si="210"/>
        <v>1.521078820059487E-2</v>
      </c>
      <c r="BJ87" s="144">
        <f t="shared" si="278"/>
        <v>44.647924054489955</v>
      </c>
      <c r="BK87">
        <f t="shared" si="211"/>
        <v>5.1243119228628657</v>
      </c>
      <c r="BL87" s="144">
        <f t="shared" si="279"/>
        <v>5124.3119228628657</v>
      </c>
      <c r="BM87" s="150">
        <f t="shared" si="212"/>
        <v>2.1995679999999997</v>
      </c>
      <c r="BN87" s="150">
        <f t="shared" si="213"/>
        <v>0.33386299999999997</v>
      </c>
      <c r="BO87" s="456"/>
      <c r="BQ87" s="144">
        <f t="shared" si="280"/>
        <v>2533.4309999999996</v>
      </c>
      <c r="BR87" s="456">
        <f t="shared" si="214"/>
        <v>0.34185108400503961</v>
      </c>
      <c r="BS87" s="456">
        <f t="shared" si="215"/>
        <v>0.3802173419860041</v>
      </c>
      <c r="BT87" s="456">
        <f t="shared" si="216"/>
        <v>5.4714418493968927E-3</v>
      </c>
      <c r="BU87" s="456">
        <f t="shared" si="217"/>
        <v>30.247707443968093</v>
      </c>
      <c r="BV87" s="456">
        <f t="shared" si="218"/>
        <v>33.074922881875224</v>
      </c>
      <c r="BW87" s="538">
        <f t="shared" si="219"/>
        <v>4.1417154286649938</v>
      </c>
      <c r="BX87" s="144">
        <f t="shared" si="281"/>
        <v>37216.63831054022</v>
      </c>
      <c r="BY87" s="150">
        <f t="shared" si="282"/>
        <v>44.874381233403085</v>
      </c>
      <c r="BZ87" s="5">
        <f t="shared" si="283"/>
        <v>102.58199999999999</v>
      </c>
      <c r="CA87" s="150">
        <f t="shared" si="284"/>
        <v>0.69567691233129381</v>
      </c>
      <c r="CB87" s="5">
        <f t="shared" si="285"/>
        <v>69.567691233129381</v>
      </c>
      <c r="CC87">
        <f t="shared" si="286"/>
        <v>82</v>
      </c>
      <c r="CE87" s="59">
        <f t="shared" si="220"/>
        <v>-50</v>
      </c>
      <c r="CF87">
        <f t="shared" si="221"/>
        <v>-50</v>
      </c>
      <c r="CG87" s="150">
        <f t="shared" si="222"/>
        <v>0.52186043457008313</v>
      </c>
      <c r="CH87" s="150">
        <f t="shared" si="223"/>
        <v>0.11015112407727178</v>
      </c>
      <c r="CI87" s="147">
        <v>82</v>
      </c>
      <c r="CJ87" s="188">
        <f t="shared" si="308"/>
        <v>3.28</v>
      </c>
      <c r="CK87" s="188">
        <f t="shared" si="287"/>
        <v>0.69699999999999995</v>
      </c>
      <c r="CL87" s="188">
        <f t="shared" si="224"/>
        <v>98.399999999999991</v>
      </c>
      <c r="CM87" s="188">
        <f t="shared" si="309"/>
        <v>4.1819999999999995</v>
      </c>
      <c r="CN87" s="465">
        <f t="shared" si="288"/>
        <v>34</v>
      </c>
      <c r="CO87" s="379">
        <f t="shared" si="225"/>
        <v>30.7</v>
      </c>
      <c r="CP87" s="379">
        <f t="shared" si="226"/>
        <v>64.7</v>
      </c>
      <c r="CQ87" s="379"/>
      <c r="CR87" s="188">
        <f t="shared" si="227"/>
        <v>0.47204968944099374</v>
      </c>
      <c r="CS87" s="149">
        <f t="shared" si="289"/>
        <v>233.26341749863801</v>
      </c>
      <c r="CT87" s="149">
        <f t="shared" si="228"/>
        <v>9.9136952436921142</v>
      </c>
      <c r="CU87" s="188">
        <f t="shared" si="229"/>
        <v>7.7754472499545999</v>
      </c>
      <c r="CV87" s="188">
        <f t="shared" si="230"/>
        <v>38.877236249772999</v>
      </c>
      <c r="CW87" s="379">
        <f t="shared" si="231"/>
        <v>30</v>
      </c>
      <c r="CX87" s="188">
        <f t="shared" si="232"/>
        <v>12.783051083591332</v>
      </c>
      <c r="CY87" s="188">
        <f t="shared" si="233"/>
        <v>1.7670688262611545</v>
      </c>
      <c r="CZ87" s="188">
        <f t="shared" si="234"/>
        <v>1.9570143352729399</v>
      </c>
      <c r="DA87" s="172">
        <f t="shared" si="235"/>
        <v>350</v>
      </c>
      <c r="DB87" s="379">
        <f t="shared" si="290"/>
        <v>268.52246757778124</v>
      </c>
      <c r="DD87" s="188">
        <f t="shared" si="236"/>
        <v>9.8072469146822137</v>
      </c>
      <c r="DE87" s="150">
        <f t="shared" si="237"/>
        <v>1.5014351954073746</v>
      </c>
      <c r="DF87" s="150">
        <f t="shared" si="238"/>
        <v>2.4718134248028734</v>
      </c>
      <c r="DG87" s="150"/>
      <c r="DH87" s="150">
        <f t="shared" si="239"/>
        <v>0.92784522751949461</v>
      </c>
      <c r="DI87" s="314">
        <f t="shared" si="240"/>
        <v>1216.1532619148934</v>
      </c>
      <c r="DJ87" s="456">
        <f t="shared" si="241"/>
        <v>0.94395997276890675</v>
      </c>
      <c r="DL87" s="150">
        <f t="shared" si="242"/>
        <v>11.16779999995101</v>
      </c>
      <c r="DM87" s="150">
        <f t="shared" si="243"/>
        <v>12.783051083591332</v>
      </c>
      <c r="DN87" s="150">
        <f t="shared" si="244"/>
        <v>6.1795889059150158</v>
      </c>
      <c r="DP87" s="314">
        <f t="shared" si="245"/>
        <v>3280</v>
      </c>
      <c r="DQ87" s="144">
        <f t="shared" si="246"/>
        <v>268.52246757778124</v>
      </c>
      <c r="DS87">
        <f t="shared" si="291"/>
        <v>3280</v>
      </c>
      <c r="DT87">
        <f t="shared" si="247"/>
        <v>268.52246757778124</v>
      </c>
      <c r="DV87" s="5">
        <f t="shared" si="292"/>
        <v>3.7240831615340948</v>
      </c>
      <c r="DW87" s="5">
        <f t="shared" si="248"/>
        <v>1.7670688262611545</v>
      </c>
      <c r="DX87" s="5">
        <f t="shared" si="293"/>
        <v>1.9570143352729403</v>
      </c>
      <c r="DY87" s="150">
        <f t="shared" si="294"/>
        <v>0.47449768160741879</v>
      </c>
      <c r="EA87" s="5">
        <f t="shared" si="249"/>
        <v>19.31995250045529</v>
      </c>
      <c r="EB87" s="5">
        <f t="shared" si="250"/>
        <v>20.527449531733744</v>
      </c>
      <c r="EC87" s="5">
        <f t="shared" si="251"/>
        <v>3.3316645430944174</v>
      </c>
      <c r="ED87" s="5"/>
      <c r="EE87" s="150">
        <f t="shared" si="295"/>
        <v>5.0838291208508499</v>
      </c>
      <c r="EF87" s="150">
        <f t="shared" si="252"/>
        <v>5.1319823211491986</v>
      </c>
      <c r="EG87" s="150">
        <f t="shared" si="253"/>
        <v>1.0301467590029871</v>
      </c>
      <c r="EH87" s="150"/>
      <c r="EI87" s="456">
        <f t="shared" si="254"/>
        <v>0.31014382236013355</v>
      </c>
      <c r="EJ87" s="456">
        <f t="shared" si="255"/>
        <v>4.2196170212765969</v>
      </c>
      <c r="EK87" s="456">
        <f t="shared" si="256"/>
        <v>3.0880083771444848E-2</v>
      </c>
      <c r="EL87" s="456">
        <f t="shared" si="257"/>
        <v>0.58170064443663405</v>
      </c>
      <c r="EM87">
        <f t="shared" si="258"/>
        <v>1.5299999999999999E-2</v>
      </c>
      <c r="EN87" s="144">
        <f t="shared" si="296"/>
        <v>46.180083771444849</v>
      </c>
      <c r="EO87">
        <f t="shared" si="259"/>
        <v>5.6583448070387865</v>
      </c>
      <c r="EP87" s="144">
        <f t="shared" si="297"/>
        <v>5658.3448070387867</v>
      </c>
      <c r="EQ87" s="150">
        <f t="shared" si="260"/>
        <v>2.1995679999999997</v>
      </c>
      <c r="ER87" s="150">
        <f t="shared" si="261"/>
        <v>0.33386299999999997</v>
      </c>
      <c r="ES87" s="456"/>
      <c r="EU87" s="144">
        <f t="shared" si="298"/>
        <v>2533.4309999999996</v>
      </c>
      <c r="EV87" s="456">
        <f t="shared" si="262"/>
        <v>0.3618344594201558</v>
      </c>
      <c r="EW87" s="456">
        <f t="shared" si="299"/>
        <v>0.36872139562423084</v>
      </c>
      <c r="EX87" s="456">
        <f t="shared" si="263"/>
        <v>5.3060117254217923E-3</v>
      </c>
      <c r="EY87" s="456">
        <f t="shared" si="264"/>
        <v>34.515000905941108</v>
      </c>
      <c r="EZ87" s="456">
        <f t="shared" si="265"/>
        <v>37.643503097629832</v>
      </c>
      <c r="FA87" s="538">
        <f t="shared" si="266"/>
        <v>4.3878288404921681</v>
      </c>
      <c r="FB87" s="144">
        <f t="shared" si="300"/>
        <v>42031.331938121999</v>
      </c>
      <c r="FC87" s="150">
        <f t="shared" si="301"/>
        <v>50.223107745160789</v>
      </c>
      <c r="FD87" s="5">
        <f t="shared" si="302"/>
        <v>102.58199999999999</v>
      </c>
      <c r="FE87" s="150">
        <f t="shared" si="303"/>
        <v>0.67132572669678103</v>
      </c>
      <c r="FF87" s="5">
        <f t="shared" si="304"/>
        <v>67.132572669678098</v>
      </c>
      <c r="FG87">
        <f t="shared" si="305"/>
        <v>82</v>
      </c>
      <c r="FI87" s="59">
        <f t="shared" si="267"/>
        <v>-50</v>
      </c>
      <c r="FJ87">
        <f t="shared" si="268"/>
        <v>-50</v>
      </c>
      <c r="FL87">
        <f t="shared" si="269"/>
        <v>0.52186043457008313</v>
      </c>
    </row>
    <row r="88" spans="5:168">
      <c r="E88" s="147">
        <v>83</v>
      </c>
      <c r="F88" s="188">
        <f t="shared" si="306"/>
        <v>3.32</v>
      </c>
      <c r="G88" s="188">
        <f t="shared" si="270"/>
        <v>0.7054999999999999</v>
      </c>
      <c r="H88" s="188">
        <f t="shared" si="175"/>
        <v>99.6</v>
      </c>
      <c r="I88" s="188">
        <f t="shared" si="307"/>
        <v>4.2329999999999997</v>
      </c>
      <c r="J88" s="465">
        <f t="shared" si="176"/>
        <v>33.799333892936971</v>
      </c>
      <c r="K88" s="379">
        <f t="shared" si="177"/>
        <v>30.851252690208284</v>
      </c>
      <c r="L88" s="149">
        <f t="shared" si="178"/>
        <v>64.650586583145255</v>
      </c>
      <c r="M88" s="379"/>
      <c r="N88" s="188">
        <f t="shared" si="179"/>
        <v>0.47719988821031617</v>
      </c>
      <c r="O88" s="149">
        <f t="shared" si="271"/>
        <v>234.4166609300585</v>
      </c>
      <c r="P88" s="149">
        <f t="shared" si="180"/>
        <v>9.9627080895274851</v>
      </c>
      <c r="Q88" s="188">
        <f t="shared" si="181"/>
        <v>7.8138886976686166</v>
      </c>
      <c r="R88" s="188">
        <f t="shared" si="182"/>
        <v>39.069443488343083</v>
      </c>
      <c r="S88" s="379">
        <f t="shared" si="183"/>
        <v>30</v>
      </c>
      <c r="T88" s="188">
        <f t="shared" si="184"/>
        <v>12.875287132779079</v>
      </c>
      <c r="U88" s="188">
        <f t="shared" si="185"/>
        <v>1.7903858613233563</v>
      </c>
      <c r="V88" s="188">
        <f t="shared" si="186"/>
        <v>1.9614713908608268</v>
      </c>
      <c r="W88" s="172">
        <f t="shared" si="187"/>
        <v>350</v>
      </c>
      <c r="X88" s="379">
        <f t="shared" si="272"/>
        <v>253.04557735411674</v>
      </c>
      <c r="Z88" s="188">
        <f t="shared" si="188"/>
        <v>9.8048865381718393</v>
      </c>
      <c r="AA88" s="150">
        <f t="shared" si="189"/>
        <v>1.4937146051133825</v>
      </c>
      <c r="AB88" s="150">
        <f t="shared" si="190"/>
        <v>2.4585111646241748</v>
      </c>
      <c r="AC88" s="150"/>
      <c r="AD88" s="150">
        <f t="shared" si="191"/>
        <v>0.92329633324384064</v>
      </c>
      <c r="AE88" s="314">
        <f t="shared" si="192"/>
        <v>1237.0492103951169</v>
      </c>
      <c r="AF88" s="456">
        <f t="shared" si="193"/>
        <v>0.93933207364390436</v>
      </c>
      <c r="AH88" s="150">
        <f t="shared" si="194"/>
        <v>11.235689986969321</v>
      </c>
      <c r="AI88" s="150">
        <f t="shared" si="195"/>
        <v>12.875287132779079</v>
      </c>
      <c r="AJ88" s="150">
        <f t="shared" si="196"/>
        <v>6.2479119053133472</v>
      </c>
      <c r="AL88" s="314">
        <f t="shared" si="197"/>
        <v>3320</v>
      </c>
      <c r="AM88" s="144">
        <f t="shared" si="198"/>
        <v>253.04557735411674</v>
      </c>
      <c r="AO88">
        <f t="shared" si="273"/>
        <v>3320</v>
      </c>
      <c r="AP88">
        <f t="shared" si="199"/>
        <v>253.04557735411674</v>
      </c>
      <c r="AR88" s="5">
        <f t="shared" si="274"/>
        <v>3.9518572521841837</v>
      </c>
      <c r="AS88" s="5">
        <f t="shared" si="200"/>
        <v>1.7903858613233563</v>
      </c>
      <c r="AT88" s="5">
        <f t="shared" si="275"/>
        <v>2.1614713908608274</v>
      </c>
      <c r="AU88" s="150">
        <f t="shared" si="276"/>
        <v>0.45304922396521624</v>
      </c>
      <c r="AW88" s="5">
        <f t="shared" si="201"/>
        <v>19.813603531978472</v>
      </c>
      <c r="AX88" s="5">
        <f t="shared" si="202"/>
        <v>21.05195375272713</v>
      </c>
      <c r="AY88" s="5">
        <f t="shared" si="203"/>
        <v>3.7467245606198496</v>
      </c>
      <c r="AZ88" s="5"/>
      <c r="BA88" s="150">
        <f t="shared" si="277"/>
        <v>5.003443397625988</v>
      </c>
      <c r="BB88" s="150">
        <f t="shared" si="204"/>
        <v>5.2734441820294311</v>
      </c>
      <c r="BC88" s="150">
        <f t="shared" si="205"/>
        <v>1.0585425071542922</v>
      </c>
      <c r="BD88" s="150"/>
      <c r="BE88" s="456">
        <f t="shared" si="206"/>
        <v>0.30041334999896507</v>
      </c>
      <c r="BF88" s="456">
        <f t="shared" si="207"/>
        <v>3.8440675679984695</v>
      </c>
      <c r="BG88" s="456">
        <f t="shared" si="208"/>
        <v>2.9100241395723429E-2</v>
      </c>
      <c r="BH88" s="456">
        <f t="shared" si="209"/>
        <v>0.54733603867496283</v>
      </c>
      <c r="BI88">
        <f t="shared" si="210"/>
        <v>1.5209700251821636E-2</v>
      </c>
      <c r="BJ88" s="144">
        <f t="shared" si="278"/>
        <v>44.309941647545067</v>
      </c>
      <c r="BK88">
        <f t="shared" si="211"/>
        <v>5.1397981639488117</v>
      </c>
      <c r="BL88" s="144">
        <f t="shared" si="279"/>
        <v>5139.7981639488116</v>
      </c>
      <c r="BM88" s="150">
        <f t="shared" si="212"/>
        <v>2.2263919999999997</v>
      </c>
      <c r="BN88" s="150">
        <f t="shared" si="213"/>
        <v>0.33793449999999992</v>
      </c>
      <c r="BO88" s="456"/>
      <c r="BQ88" s="144">
        <f t="shared" si="280"/>
        <v>2564.3264999999997</v>
      </c>
      <c r="BR88" s="456">
        <f t="shared" si="214"/>
        <v>0.35048224166545927</v>
      </c>
      <c r="BS88" s="456">
        <f t="shared" si="215"/>
        <v>0.38932898957372081</v>
      </c>
      <c r="BT88" s="456">
        <f t="shared" si="216"/>
        <v>5.6025611972624735E-3</v>
      </c>
      <c r="BU88" s="456">
        <f t="shared" si="217"/>
        <v>30.294179202761136</v>
      </c>
      <c r="BV88" s="456">
        <f t="shared" si="218"/>
        <v>33.198204252071626</v>
      </c>
      <c r="BW88" s="538">
        <f t="shared" si="219"/>
        <v>4.1948129239709786</v>
      </c>
      <c r="BX88" s="144">
        <f t="shared" si="281"/>
        <v>37393.017176042602</v>
      </c>
      <c r="BY88" s="150">
        <f t="shared" si="282"/>
        <v>45.097141839991416</v>
      </c>
      <c r="BZ88" s="5">
        <f t="shared" si="283"/>
        <v>103.833</v>
      </c>
      <c r="CA88" s="150">
        <f t="shared" si="284"/>
        <v>0.69719264829249139</v>
      </c>
      <c r="CB88" s="5">
        <f t="shared" si="285"/>
        <v>69.719264829249141</v>
      </c>
      <c r="CC88">
        <f t="shared" si="286"/>
        <v>83</v>
      </c>
      <c r="CE88" s="59">
        <f t="shared" si="220"/>
        <v>-50</v>
      </c>
      <c r="CF88">
        <f t="shared" si="221"/>
        <v>-50</v>
      </c>
      <c r="CG88" s="150">
        <f t="shared" si="222"/>
        <v>0.52186043457008313</v>
      </c>
      <c r="CH88" s="150">
        <f t="shared" si="223"/>
        <v>0.1101511240772718</v>
      </c>
      <c r="CI88" s="147">
        <v>83</v>
      </c>
      <c r="CJ88" s="188">
        <f t="shared" si="308"/>
        <v>3.32</v>
      </c>
      <c r="CK88" s="188">
        <f t="shared" si="287"/>
        <v>0.7054999999999999</v>
      </c>
      <c r="CL88" s="188">
        <f t="shared" si="224"/>
        <v>99.6</v>
      </c>
      <c r="CM88" s="188">
        <f t="shared" si="309"/>
        <v>4.2329999999999997</v>
      </c>
      <c r="CN88" s="465">
        <f t="shared" si="288"/>
        <v>34</v>
      </c>
      <c r="CO88" s="379">
        <f t="shared" si="225"/>
        <v>30.7</v>
      </c>
      <c r="CP88" s="379">
        <f t="shared" si="226"/>
        <v>64.7</v>
      </c>
      <c r="CQ88" s="379"/>
      <c r="CR88" s="188">
        <f t="shared" si="227"/>
        <v>0.47204968944099374</v>
      </c>
      <c r="CS88" s="149">
        <f t="shared" si="289"/>
        <v>233.26341749863801</v>
      </c>
      <c r="CT88" s="149">
        <f t="shared" si="228"/>
        <v>9.9136952436921142</v>
      </c>
      <c r="CU88" s="188">
        <f t="shared" si="229"/>
        <v>7.7754472499545999</v>
      </c>
      <c r="CV88" s="188">
        <f t="shared" si="230"/>
        <v>38.877236249772999</v>
      </c>
      <c r="CW88" s="379">
        <f t="shared" si="231"/>
        <v>30</v>
      </c>
      <c r="CX88" s="188">
        <f t="shared" si="232"/>
        <v>12.938941950464397</v>
      </c>
      <c r="CY88" s="188">
        <f t="shared" si="233"/>
        <v>1.7886184460936077</v>
      </c>
      <c r="CZ88" s="188">
        <f t="shared" si="234"/>
        <v>1.9808803637518786</v>
      </c>
      <c r="DA88" s="172">
        <f t="shared" si="235"/>
        <v>350</v>
      </c>
      <c r="DB88" s="379">
        <f t="shared" si="290"/>
        <v>265.28725712503689</v>
      </c>
      <c r="DD88" s="188">
        <f t="shared" si="236"/>
        <v>9.8072469146822137</v>
      </c>
      <c r="DE88" s="150">
        <f t="shared" si="237"/>
        <v>1.5014351954073746</v>
      </c>
      <c r="DF88" s="150">
        <f t="shared" si="238"/>
        <v>2.4718134248028734</v>
      </c>
      <c r="DG88" s="150"/>
      <c r="DH88" s="150">
        <f t="shared" si="239"/>
        <v>0.92784522751949461</v>
      </c>
      <c r="DI88" s="314">
        <f t="shared" si="240"/>
        <v>1230.984399255319</v>
      </c>
      <c r="DJ88" s="456">
        <f t="shared" si="241"/>
        <v>0.94395997276890675</v>
      </c>
      <c r="DL88" s="150">
        <f t="shared" si="242"/>
        <v>11.235689986969321</v>
      </c>
      <c r="DM88" s="150">
        <f t="shared" si="243"/>
        <v>12.938941950464397</v>
      </c>
      <c r="DN88" s="150">
        <f t="shared" si="244"/>
        <v>6.2950636221172864</v>
      </c>
      <c r="DP88" s="314">
        <f t="shared" si="245"/>
        <v>3320</v>
      </c>
      <c r="DQ88" s="144">
        <f t="shared" si="246"/>
        <v>265.28725712503689</v>
      </c>
      <c r="DS88">
        <f t="shared" si="291"/>
        <v>3320</v>
      </c>
      <c r="DT88">
        <f t="shared" si="247"/>
        <v>265.28725712503689</v>
      </c>
      <c r="DV88" s="5">
        <f t="shared" si="292"/>
        <v>3.7694988098454862</v>
      </c>
      <c r="DW88" s="5">
        <f t="shared" si="248"/>
        <v>1.7886184460936077</v>
      </c>
      <c r="DX88" s="5">
        <f t="shared" si="293"/>
        <v>1.9808803637518786</v>
      </c>
      <c r="DY88" s="150">
        <f t="shared" si="294"/>
        <v>0.47449768160741879</v>
      </c>
      <c r="EA88" s="5">
        <f t="shared" si="249"/>
        <v>19.794044136769255</v>
      </c>
      <c r="EB88" s="5">
        <f t="shared" si="250"/>
        <v>21.031171895317335</v>
      </c>
      <c r="EC88" s="5">
        <f t="shared" si="251"/>
        <v>3.4134201423821291</v>
      </c>
      <c r="ED88" s="5"/>
      <c r="EE88" s="150">
        <f t="shared" si="295"/>
        <v>5.1458270369587868</v>
      </c>
      <c r="EF88" s="150">
        <f t="shared" si="252"/>
        <v>5.1945674714071162</v>
      </c>
      <c r="EG88" s="150">
        <f t="shared" si="253"/>
        <v>1.0427095243566822</v>
      </c>
      <c r="EH88" s="150"/>
      <c r="EI88" s="456">
        <f t="shared" si="254"/>
        <v>0.31775443073155257</v>
      </c>
      <c r="EJ88" s="456">
        <f t="shared" si="255"/>
        <v>4.219617021276596</v>
      </c>
      <c r="EK88" s="456">
        <f t="shared" si="256"/>
        <v>3.0508034569379245E-2</v>
      </c>
      <c r="EL88" s="456">
        <f t="shared" si="257"/>
        <v>0.57469220293739753</v>
      </c>
      <c r="EM88">
        <f t="shared" si="258"/>
        <v>1.5299999999999999E-2</v>
      </c>
      <c r="EN88" s="144">
        <f t="shared" si="296"/>
        <v>45.808034569379245</v>
      </c>
      <c r="EO88">
        <f t="shared" si="259"/>
        <v>5.671883839852633</v>
      </c>
      <c r="EP88" s="144">
        <f t="shared" si="297"/>
        <v>5671.8838398526332</v>
      </c>
      <c r="EQ88" s="150">
        <f t="shared" si="260"/>
        <v>2.2263919999999997</v>
      </c>
      <c r="ER88" s="150">
        <f t="shared" si="261"/>
        <v>0.33793449999999992</v>
      </c>
      <c r="ES88" s="456"/>
      <c r="EU88" s="144">
        <f t="shared" si="298"/>
        <v>2564.3264999999997</v>
      </c>
      <c r="EV88" s="456">
        <f t="shared" si="262"/>
        <v>0.37071350252014468</v>
      </c>
      <c r="EW88" s="456">
        <f t="shared" si="299"/>
        <v>0.37776943701001287</v>
      </c>
      <c r="EX88" s="456">
        <f t="shared" si="263"/>
        <v>5.4362157609206922E-3</v>
      </c>
      <c r="EY88" s="456">
        <f t="shared" si="264"/>
        <v>34.515000905941172</v>
      </c>
      <c r="EZ88" s="456">
        <f t="shared" si="265"/>
        <v>37.725200778852411</v>
      </c>
      <c r="FA88" s="538">
        <f t="shared" si="266"/>
        <v>4.4413389483030477</v>
      </c>
      <c r="FB88" s="144">
        <f t="shared" si="300"/>
        <v>42166.539727155461</v>
      </c>
      <c r="FC88" s="150">
        <f t="shared" si="301"/>
        <v>50.402750067008093</v>
      </c>
      <c r="FD88" s="5">
        <f t="shared" si="302"/>
        <v>103.833</v>
      </c>
      <c r="FE88" s="150">
        <f t="shared" si="303"/>
        <v>0.67320968034252437</v>
      </c>
      <c r="FF88" s="5">
        <f t="shared" si="304"/>
        <v>67.320968034252431</v>
      </c>
      <c r="FG88">
        <f t="shared" si="305"/>
        <v>83</v>
      </c>
      <c r="FI88" s="59">
        <f t="shared" si="267"/>
        <v>-50</v>
      </c>
      <c r="FJ88">
        <f t="shared" si="268"/>
        <v>-50</v>
      </c>
      <c r="FL88">
        <f t="shared" si="269"/>
        <v>0.52186043457008313</v>
      </c>
    </row>
    <row r="89" spans="5:168">
      <c r="E89" s="147">
        <v>84</v>
      </c>
      <c r="F89" s="188">
        <f t="shared" si="306"/>
        <v>3.36</v>
      </c>
      <c r="G89" s="188">
        <f t="shared" si="270"/>
        <v>0.71399999999999997</v>
      </c>
      <c r="H89" s="188">
        <f t="shared" si="175"/>
        <v>100.8</v>
      </c>
      <c r="I89" s="188">
        <f t="shared" si="307"/>
        <v>4.2839999999999998</v>
      </c>
      <c r="J89" s="465">
        <f t="shared" si="176"/>
        <v>33.796916228996452</v>
      </c>
      <c r="K89" s="379">
        <f t="shared" si="177"/>
        <v>30.853075011777058</v>
      </c>
      <c r="L89" s="149">
        <f t="shared" si="178"/>
        <v>64.649991240773517</v>
      </c>
      <c r="M89" s="379"/>
      <c r="N89" s="188">
        <f t="shared" si="179"/>
        <v>0.47723247009998992</v>
      </c>
      <c r="O89" s="149">
        <f t="shared" si="271"/>
        <v>234.41589729999876</v>
      </c>
      <c r="P89" s="149">
        <f t="shared" si="180"/>
        <v>9.9626756352499459</v>
      </c>
      <c r="Q89" s="188">
        <f t="shared" si="181"/>
        <v>7.8138632433332917</v>
      </c>
      <c r="R89" s="188">
        <f t="shared" si="182"/>
        <v>39.069316216666458</v>
      </c>
      <c r="S89" s="379">
        <f t="shared" si="183"/>
        <v>30</v>
      </c>
      <c r="T89" s="188">
        <f t="shared" si="184"/>
        <v>13.030453521828919</v>
      </c>
      <c r="U89" s="188">
        <f t="shared" si="185"/>
        <v>1.8120922967537396</v>
      </c>
      <c r="V89" s="188">
        <f t="shared" si="186"/>
        <v>1.9849927933996383</v>
      </c>
      <c r="W89" s="172">
        <f t="shared" si="187"/>
        <v>350</v>
      </c>
      <c r="X89" s="379">
        <f t="shared" si="272"/>
        <v>250.18231472315927</v>
      </c>
      <c r="Z89" s="188">
        <f t="shared" si="188"/>
        <v>9.8048545980099782</v>
      </c>
      <c r="AA89" s="150">
        <f t="shared" si="189"/>
        <v>1.4936215140000284</v>
      </c>
      <c r="AB89" s="150">
        <f t="shared" si="190"/>
        <v>2.4583499372807824</v>
      </c>
      <c r="AC89" s="150"/>
      <c r="AD89" s="150">
        <f t="shared" si="191"/>
        <v>0.92324179920398253</v>
      </c>
      <c r="AE89" s="314">
        <f t="shared" si="192"/>
        <v>1252.0273681246185</v>
      </c>
      <c r="AF89" s="456">
        <f t="shared" si="193"/>
        <v>0.93927659246099515</v>
      </c>
      <c r="AH89" s="150">
        <f t="shared" si="194"/>
        <v>11.303172215252653</v>
      </c>
      <c r="AI89" s="150">
        <f t="shared" si="195"/>
        <v>13.030453521828919</v>
      </c>
      <c r="AJ89" s="150">
        <f t="shared" si="196"/>
        <v>6.3628499712761917</v>
      </c>
      <c r="AL89" s="314">
        <f t="shared" si="197"/>
        <v>3360</v>
      </c>
      <c r="AM89" s="144">
        <f t="shared" si="198"/>
        <v>250.18231472315927</v>
      </c>
      <c r="AO89">
        <f t="shared" si="273"/>
        <v>3360</v>
      </c>
      <c r="AP89">
        <f t="shared" si="199"/>
        <v>250.18231472315927</v>
      </c>
      <c r="AR89" s="5">
        <f t="shared" si="274"/>
        <v>3.9970850901533788</v>
      </c>
      <c r="AS89" s="5">
        <f t="shared" si="200"/>
        <v>1.8120922967537396</v>
      </c>
      <c r="AT89" s="5">
        <f t="shared" si="275"/>
        <v>2.1849927933996391</v>
      </c>
      <c r="AU89" s="150">
        <f t="shared" si="276"/>
        <v>0.45335344529385657</v>
      </c>
      <c r="AW89" s="5">
        <f t="shared" si="201"/>
        <v>20.295433723641885</v>
      </c>
      <c r="AX89" s="5">
        <f t="shared" si="202"/>
        <v>21.563898331369504</v>
      </c>
      <c r="AY89" s="5">
        <f t="shared" si="203"/>
        <v>3.8334035825037427</v>
      </c>
      <c r="AZ89" s="5"/>
      <c r="BA89" s="150">
        <f t="shared" si="277"/>
        <v>5.0654422030544213</v>
      </c>
      <c r="BB89" s="150">
        <f t="shared" si="204"/>
        <v>5.3355125788002482</v>
      </c>
      <c r="BC89" s="150">
        <f t="shared" si="205"/>
        <v>1.071001544183019</v>
      </c>
      <c r="BD89" s="150"/>
      <c r="BE89" s="456">
        <f t="shared" si="206"/>
        <v>0.30790445654981796</v>
      </c>
      <c r="BF89" s="456">
        <f t="shared" si="207"/>
        <v>3.8463382786815457</v>
      </c>
      <c r="BG89" s="456">
        <f t="shared" si="208"/>
        <v>2.8770966193163321E-2</v>
      </c>
      <c r="BH89" s="456">
        <f t="shared" si="209"/>
        <v>0.54113285278175294</v>
      </c>
      <c r="BI89">
        <f t="shared" si="210"/>
        <v>1.5208612303048402E-2</v>
      </c>
      <c r="BJ89" s="144">
        <f t="shared" si="278"/>
        <v>43.979578496211722</v>
      </c>
      <c r="BK89">
        <f t="shared" si="211"/>
        <v>5.1556902913946718</v>
      </c>
      <c r="BL89" s="144">
        <f t="shared" si="279"/>
        <v>5155.6902913946715</v>
      </c>
      <c r="BM89" s="150">
        <f t="shared" si="212"/>
        <v>2.2532159999999997</v>
      </c>
      <c r="BN89" s="150">
        <f t="shared" si="213"/>
        <v>0.34200599999999998</v>
      </c>
      <c r="BO89" s="456"/>
      <c r="BQ89" s="144">
        <f t="shared" si="280"/>
        <v>2595.2219999999998</v>
      </c>
      <c r="BR89" s="456">
        <f t="shared" si="214"/>
        <v>0.35922186597478761</v>
      </c>
      <c r="BS89" s="456">
        <f t="shared" si="215"/>
        <v>0.39854772269949945</v>
      </c>
      <c r="BT89" s="456">
        <f t="shared" si="216"/>
        <v>5.7352215382120552E-3</v>
      </c>
      <c r="BU89" s="456">
        <f t="shared" si="217"/>
        <v>30.339634807465266</v>
      </c>
      <c r="BV89" s="456">
        <f t="shared" si="218"/>
        <v>33.321681926978272</v>
      </c>
      <c r="BW89" s="538">
        <f t="shared" si="219"/>
        <v>4.2479135458692046</v>
      </c>
      <c r="BX89" s="144">
        <f t="shared" si="281"/>
        <v>37569.595472847475</v>
      </c>
      <c r="BY89" s="150">
        <f t="shared" si="282"/>
        <v>45.320507764242144</v>
      </c>
      <c r="BZ89" s="5">
        <f t="shared" si="283"/>
        <v>105.084</v>
      </c>
      <c r="CA89" s="150">
        <f t="shared" si="284"/>
        <v>0.69867586791160763</v>
      </c>
      <c r="CB89" s="5">
        <f t="shared" si="285"/>
        <v>69.867586791160761</v>
      </c>
      <c r="CC89">
        <f t="shared" si="286"/>
        <v>84</v>
      </c>
      <c r="CE89" s="59">
        <f t="shared" si="220"/>
        <v>-50</v>
      </c>
      <c r="CF89">
        <f t="shared" si="221"/>
        <v>-50</v>
      </c>
      <c r="CG89" s="150">
        <f t="shared" si="222"/>
        <v>0.52186043457008313</v>
      </c>
      <c r="CH89" s="150">
        <f t="shared" si="223"/>
        <v>0.1101511240772718</v>
      </c>
      <c r="CI89" s="147">
        <v>84</v>
      </c>
      <c r="CJ89" s="188">
        <f t="shared" si="308"/>
        <v>3.36</v>
      </c>
      <c r="CK89" s="188">
        <f t="shared" si="287"/>
        <v>0.71399999999999997</v>
      </c>
      <c r="CL89" s="188">
        <f t="shared" si="224"/>
        <v>100.8</v>
      </c>
      <c r="CM89" s="188">
        <f t="shared" si="309"/>
        <v>4.2839999999999998</v>
      </c>
      <c r="CN89" s="465">
        <f t="shared" si="288"/>
        <v>34</v>
      </c>
      <c r="CO89" s="379">
        <f t="shared" si="225"/>
        <v>30.7</v>
      </c>
      <c r="CP89" s="379">
        <f t="shared" si="226"/>
        <v>64.7</v>
      </c>
      <c r="CQ89" s="379"/>
      <c r="CR89" s="188">
        <f t="shared" si="227"/>
        <v>0.47204968944099374</v>
      </c>
      <c r="CS89" s="149">
        <f t="shared" si="289"/>
        <v>233.26341749863801</v>
      </c>
      <c r="CT89" s="149">
        <f t="shared" si="228"/>
        <v>9.9136952436921142</v>
      </c>
      <c r="CU89" s="188">
        <f t="shared" si="229"/>
        <v>7.7754472499545999</v>
      </c>
      <c r="CV89" s="188">
        <f t="shared" si="230"/>
        <v>38.877236249772999</v>
      </c>
      <c r="CW89" s="379">
        <f t="shared" si="231"/>
        <v>30</v>
      </c>
      <c r="CX89" s="188">
        <f t="shared" si="232"/>
        <v>13.094832817337462</v>
      </c>
      <c r="CY89" s="188">
        <f t="shared" si="233"/>
        <v>1.8101680659260608</v>
      </c>
      <c r="CZ89" s="188">
        <f t="shared" si="234"/>
        <v>2.0047463922308166</v>
      </c>
      <c r="DA89" s="172">
        <f t="shared" si="235"/>
        <v>350</v>
      </c>
      <c r="DB89" s="379">
        <f t="shared" si="290"/>
        <v>262.12907549259597</v>
      </c>
      <c r="DD89" s="188">
        <f t="shared" si="236"/>
        <v>9.8072469146822137</v>
      </c>
      <c r="DE89" s="150">
        <f t="shared" si="237"/>
        <v>1.5014351954073746</v>
      </c>
      <c r="DF89" s="150">
        <f t="shared" si="238"/>
        <v>2.4718134248028734</v>
      </c>
      <c r="DG89" s="150"/>
      <c r="DH89" s="150">
        <f t="shared" si="239"/>
        <v>0.92784522751949461</v>
      </c>
      <c r="DI89" s="314">
        <f t="shared" si="240"/>
        <v>1245.8155365957448</v>
      </c>
      <c r="DJ89" s="456">
        <f t="shared" si="241"/>
        <v>0.94395997276890675</v>
      </c>
      <c r="DL89" s="150">
        <f t="shared" si="242"/>
        <v>11.303172215252653</v>
      </c>
      <c r="DM89" s="150">
        <f t="shared" si="243"/>
        <v>13.094832817337462</v>
      </c>
      <c r="DN89" s="150">
        <f t="shared" si="244"/>
        <v>6.4105383383195571</v>
      </c>
      <c r="DP89" s="314">
        <f t="shared" si="245"/>
        <v>3360</v>
      </c>
      <c r="DQ89" s="144">
        <f t="shared" si="246"/>
        <v>262.12907549259597</v>
      </c>
      <c r="DS89">
        <f t="shared" si="291"/>
        <v>3360</v>
      </c>
      <c r="DT89">
        <f t="shared" si="247"/>
        <v>262.12907549259597</v>
      </c>
      <c r="DV89" s="5">
        <f t="shared" si="292"/>
        <v>3.8149144581568772</v>
      </c>
      <c r="DW89" s="5">
        <f t="shared" si="248"/>
        <v>1.8101680659260608</v>
      </c>
      <c r="DX89" s="5">
        <f t="shared" si="293"/>
        <v>2.0047463922308166</v>
      </c>
      <c r="DY89" s="150">
        <f t="shared" si="294"/>
        <v>0.4744976816074189</v>
      </c>
      <c r="EA89" s="5">
        <f t="shared" si="249"/>
        <v>20.27388233837188</v>
      </c>
      <c r="EB89" s="5">
        <f t="shared" si="250"/>
        <v>21.540999984520123</v>
      </c>
      <c r="EC89" s="5">
        <f t="shared" si="251"/>
        <v>3.4961667186309051</v>
      </c>
      <c r="ED89" s="5"/>
      <c r="EE89" s="150">
        <f t="shared" si="295"/>
        <v>5.2078249530667247</v>
      </c>
      <c r="EF89" s="150">
        <f t="shared" si="252"/>
        <v>5.2571526216650319</v>
      </c>
      <c r="EG89" s="150">
        <f t="shared" si="253"/>
        <v>1.055272289710377</v>
      </c>
      <c r="EH89" s="150"/>
      <c r="EI89" s="456">
        <f t="shared" si="254"/>
        <v>0.32545728890141318</v>
      </c>
      <c r="EJ89" s="456">
        <f t="shared" si="255"/>
        <v>4.219617021276596</v>
      </c>
      <c r="EK89" s="456">
        <f t="shared" si="256"/>
        <v>3.0144843681648537E-2</v>
      </c>
      <c r="EL89" s="456">
        <f t="shared" si="257"/>
        <v>0.56785062909290451</v>
      </c>
      <c r="EM89">
        <f t="shared" si="258"/>
        <v>1.5299999999999999E-2</v>
      </c>
      <c r="EN89" s="144">
        <f t="shared" si="296"/>
        <v>45.444843681648535</v>
      </c>
      <c r="EO89">
        <f t="shared" si="259"/>
        <v>5.6859284310008897</v>
      </c>
      <c r="EP89" s="144">
        <f t="shared" si="297"/>
        <v>5685.9284310008898</v>
      </c>
      <c r="EQ89" s="150">
        <f t="shared" si="260"/>
        <v>2.2532159999999997</v>
      </c>
      <c r="ER89" s="150">
        <f t="shared" si="261"/>
        <v>0.34200599999999998</v>
      </c>
      <c r="ES89" s="456"/>
      <c r="EU89" s="144">
        <f t="shared" si="298"/>
        <v>2595.2219999999998</v>
      </c>
      <c r="EV89" s="456">
        <f t="shared" si="262"/>
        <v>0.37970017038498205</v>
      </c>
      <c r="EW89" s="456">
        <f t="shared" si="299"/>
        <v>0.38692715162471325</v>
      </c>
      <c r="EX89" s="456">
        <f t="shared" si="263"/>
        <v>5.5679980271529095E-3</v>
      </c>
      <c r="EY89" s="456">
        <f t="shared" si="264"/>
        <v>34.515000905941179</v>
      </c>
      <c r="EZ89" s="456">
        <f t="shared" si="265"/>
        <v>37.808144907323701</v>
      </c>
      <c r="FA89" s="538">
        <f t="shared" si="266"/>
        <v>4.494849056113928</v>
      </c>
      <c r="FB89" s="144">
        <f t="shared" si="300"/>
        <v>42302.993963437628</v>
      </c>
      <c r="FC89" s="150">
        <f t="shared" si="301"/>
        <v>50.584144394438518</v>
      </c>
      <c r="FD89" s="5">
        <f t="shared" si="302"/>
        <v>105.084</v>
      </c>
      <c r="FE89" s="150">
        <f t="shared" si="303"/>
        <v>0.67505140765173977</v>
      </c>
      <c r="FF89" s="5">
        <f t="shared" si="304"/>
        <v>67.505140765173977</v>
      </c>
      <c r="FG89">
        <f t="shared" si="305"/>
        <v>84</v>
      </c>
      <c r="FI89" s="59">
        <f t="shared" si="267"/>
        <v>-50</v>
      </c>
      <c r="FJ89">
        <f t="shared" si="268"/>
        <v>-50</v>
      </c>
      <c r="FL89">
        <f t="shared" si="269"/>
        <v>0.52186043457008313</v>
      </c>
    </row>
    <row r="90" spans="5:168">
      <c r="E90" s="147">
        <v>85</v>
      </c>
      <c r="F90" s="188">
        <f t="shared" si="306"/>
        <v>3.4</v>
      </c>
      <c r="G90" s="188">
        <f t="shared" si="270"/>
        <v>0.72249999999999992</v>
      </c>
      <c r="H90" s="188">
        <f t="shared" si="175"/>
        <v>102</v>
      </c>
      <c r="I90" s="188">
        <f t="shared" si="307"/>
        <v>4.3349999999999991</v>
      </c>
      <c r="J90" s="465">
        <f t="shared" si="176"/>
        <v>33.794498565055932</v>
      </c>
      <c r="K90" s="379">
        <f t="shared" si="177"/>
        <v>30.854897333345832</v>
      </c>
      <c r="L90" s="149">
        <f t="shared" si="178"/>
        <v>64.649395898401764</v>
      </c>
      <c r="M90" s="379"/>
      <c r="N90" s="188">
        <f t="shared" si="179"/>
        <v>0.477265052589743</v>
      </c>
      <c r="O90" s="149">
        <f t="shared" si="271"/>
        <v>234.41513167495697</v>
      </c>
      <c r="P90" s="149">
        <f t="shared" si="180"/>
        <v>9.9626430961856691</v>
      </c>
      <c r="Q90" s="188">
        <f t="shared" si="181"/>
        <v>7.8138377224985653</v>
      </c>
      <c r="R90" s="188">
        <f t="shared" si="182"/>
        <v>39.06918861249283</v>
      </c>
      <c r="S90" s="379">
        <f t="shared" si="183"/>
        <v>30</v>
      </c>
      <c r="T90" s="188">
        <f t="shared" si="184"/>
        <v>13.185621034033696</v>
      </c>
      <c r="U90" s="188">
        <f t="shared" si="185"/>
        <v>1.83380199415176</v>
      </c>
      <c r="V90" s="188">
        <f t="shared" si="186"/>
        <v>2.0085115886281972</v>
      </c>
      <c r="W90" s="172">
        <f t="shared" si="187"/>
        <v>350</v>
      </c>
      <c r="X90" s="379">
        <f t="shared" si="272"/>
        <v>247.38308385077971</v>
      </c>
      <c r="Z90" s="188">
        <f t="shared" si="188"/>
        <v>9.8048225744045077</v>
      </c>
      <c r="AA90" s="150">
        <f t="shared" si="189"/>
        <v>1.4935284211721631</v>
      </c>
      <c r="AB90" s="150">
        <f t="shared" si="190"/>
        <v>2.458188687193402</v>
      </c>
      <c r="AC90" s="150"/>
      <c r="AD90" s="150">
        <f t="shared" si="191"/>
        <v>0.92318727160579572</v>
      </c>
      <c r="AE90" s="314">
        <f t="shared" si="192"/>
        <v>1267.0072865773432</v>
      </c>
      <c r="AF90" s="456">
        <f t="shared" si="193"/>
        <v>0.93922111783163575</v>
      </c>
      <c r="AH90" s="150">
        <f t="shared" si="194"/>
        <v>11.370253944922975</v>
      </c>
      <c r="AI90" s="150">
        <f t="shared" si="195"/>
        <v>13.185621034033696</v>
      </c>
      <c r="AJ90" s="150">
        <f t="shared" si="196"/>
        <v>6.4777888692056562</v>
      </c>
      <c r="AL90" s="314">
        <f t="shared" si="197"/>
        <v>3400</v>
      </c>
      <c r="AM90" s="144">
        <f t="shared" si="198"/>
        <v>247.38308385077971</v>
      </c>
      <c r="AO90">
        <f t="shared" si="273"/>
        <v>3400</v>
      </c>
      <c r="AP90">
        <f t="shared" si="199"/>
        <v>247.38308385077971</v>
      </c>
      <c r="AR90" s="5">
        <f t="shared" si="274"/>
        <v>4.0423135827799577</v>
      </c>
      <c r="AS90" s="5">
        <f t="shared" si="200"/>
        <v>1.83380199415176</v>
      </c>
      <c r="AT90" s="5">
        <f t="shared" si="275"/>
        <v>2.2085115886281974</v>
      </c>
      <c r="AU90" s="150">
        <f t="shared" si="276"/>
        <v>0.45365159248497189</v>
      </c>
      <c r="AW90" s="5">
        <f t="shared" si="201"/>
        <v>20.783089267053281</v>
      </c>
      <c r="AX90" s="5">
        <f t="shared" si="202"/>
        <v>22.082032346244109</v>
      </c>
      <c r="AY90" s="5">
        <f t="shared" si="203"/>
        <v>3.9210729835982852</v>
      </c>
      <c r="AZ90" s="5"/>
      <c r="BA90" s="150">
        <f t="shared" si="277"/>
        <v>5.1274470253011328</v>
      </c>
      <c r="BB90" s="150">
        <f t="shared" si="204"/>
        <v>5.3975756678210809</v>
      </c>
      <c r="BC90" s="150">
        <f t="shared" si="205"/>
        <v>1.0834595157830085</v>
      </c>
      <c r="BD90" s="150"/>
      <c r="BE90" s="456">
        <f t="shared" si="206"/>
        <v>0.31548855596723324</v>
      </c>
      <c r="BF90" s="456">
        <f t="shared" si="207"/>
        <v>3.8485570476251239</v>
      </c>
      <c r="BG90" s="456">
        <f t="shared" si="208"/>
        <v>2.8449054642839668E-2</v>
      </c>
      <c r="BH90" s="456">
        <f t="shared" si="209"/>
        <v>0.53506839030339926</v>
      </c>
      <c r="BI90">
        <f t="shared" si="210"/>
        <v>1.5207524354275168E-2</v>
      </c>
      <c r="BJ90" s="144">
        <f t="shared" si="278"/>
        <v>43.656578997114835</v>
      </c>
      <c r="BK90">
        <f t="shared" si="211"/>
        <v>5.1719885868821711</v>
      </c>
      <c r="BL90" s="144">
        <f t="shared" si="279"/>
        <v>5171.9885868821711</v>
      </c>
      <c r="BM90" s="150">
        <f t="shared" si="212"/>
        <v>2.2800399999999996</v>
      </c>
      <c r="BN90" s="150">
        <f t="shared" si="213"/>
        <v>0.34607749999999993</v>
      </c>
      <c r="BO90" s="456"/>
      <c r="BQ90" s="144">
        <f t="shared" si="280"/>
        <v>2626.1174999999994</v>
      </c>
      <c r="BR90" s="456">
        <f t="shared" si="214"/>
        <v>0.3680699819617721</v>
      </c>
      <c r="BS90" s="456">
        <f t="shared" si="215"/>
        <v>0.40787352325795861</v>
      </c>
      <c r="BT90" s="456">
        <f t="shared" si="216"/>
        <v>5.8694226117037562E-3</v>
      </c>
      <c r="BU90" s="456">
        <f t="shared" si="217"/>
        <v>30.384106946895788</v>
      </c>
      <c r="BV90" s="456">
        <f t="shared" si="218"/>
        <v>33.44539857606626</v>
      </c>
      <c r="BW90" s="538">
        <f t="shared" si="219"/>
        <v>4.3010171896061911</v>
      </c>
      <c r="BX90" s="144">
        <f t="shared" si="281"/>
        <v>37746.415765672449</v>
      </c>
      <c r="BY90" s="150">
        <f t="shared" si="282"/>
        <v>45.544521852554624</v>
      </c>
      <c r="BZ90" s="5">
        <f t="shared" si="283"/>
        <v>106.33499999999999</v>
      </c>
      <c r="CA90" s="150">
        <f t="shared" si="284"/>
        <v>0.70012730289755942</v>
      </c>
      <c r="CB90" s="5">
        <f t="shared" si="285"/>
        <v>70.012730289755936</v>
      </c>
      <c r="CC90">
        <f t="shared" si="286"/>
        <v>85</v>
      </c>
      <c r="CE90" s="59">
        <f t="shared" si="220"/>
        <v>-50</v>
      </c>
      <c r="CF90">
        <f t="shared" si="221"/>
        <v>-50</v>
      </c>
      <c r="CG90" s="150">
        <f t="shared" si="222"/>
        <v>0.52186043457008313</v>
      </c>
      <c r="CH90" s="150">
        <f t="shared" si="223"/>
        <v>0.11015112407727178</v>
      </c>
      <c r="CI90" s="147">
        <v>85</v>
      </c>
      <c r="CJ90" s="188">
        <f t="shared" si="308"/>
        <v>3.4</v>
      </c>
      <c r="CK90" s="188">
        <f t="shared" si="287"/>
        <v>0.72249999999999992</v>
      </c>
      <c r="CL90" s="188">
        <f t="shared" si="224"/>
        <v>102</v>
      </c>
      <c r="CM90" s="188">
        <f t="shared" si="309"/>
        <v>4.3349999999999991</v>
      </c>
      <c r="CN90" s="465">
        <f t="shared" si="288"/>
        <v>34</v>
      </c>
      <c r="CO90" s="379">
        <f t="shared" si="225"/>
        <v>30.7</v>
      </c>
      <c r="CP90" s="379">
        <f t="shared" si="226"/>
        <v>64.7</v>
      </c>
      <c r="CQ90" s="379"/>
      <c r="CR90" s="188">
        <f t="shared" si="227"/>
        <v>0.47204968944099374</v>
      </c>
      <c r="CS90" s="149">
        <f t="shared" si="289"/>
        <v>233.26341749863801</v>
      </c>
      <c r="CT90" s="149">
        <f t="shared" si="228"/>
        <v>9.9136952436921142</v>
      </c>
      <c r="CU90" s="188">
        <f t="shared" si="229"/>
        <v>7.7754472499545999</v>
      </c>
      <c r="CV90" s="188">
        <f t="shared" si="230"/>
        <v>38.877236249772999</v>
      </c>
      <c r="CW90" s="379">
        <f t="shared" si="231"/>
        <v>30</v>
      </c>
      <c r="CX90" s="188">
        <f t="shared" si="232"/>
        <v>13.250723684210525</v>
      </c>
      <c r="CY90" s="188">
        <f t="shared" si="233"/>
        <v>1.8317176857585138</v>
      </c>
      <c r="CZ90" s="188">
        <f t="shared" si="234"/>
        <v>2.0286124207097549</v>
      </c>
      <c r="DA90" s="172">
        <f t="shared" si="235"/>
        <v>350</v>
      </c>
      <c r="DB90" s="379">
        <f t="shared" si="290"/>
        <v>259.04520401621249</v>
      </c>
      <c r="DD90" s="188">
        <f t="shared" si="236"/>
        <v>9.8072469146822137</v>
      </c>
      <c r="DE90" s="150">
        <f t="shared" si="237"/>
        <v>1.5014351954073746</v>
      </c>
      <c r="DF90" s="150">
        <f t="shared" si="238"/>
        <v>2.4718134248028734</v>
      </c>
      <c r="DG90" s="150"/>
      <c r="DH90" s="150">
        <f t="shared" si="239"/>
        <v>0.92784522751949461</v>
      </c>
      <c r="DI90" s="314">
        <f t="shared" si="240"/>
        <v>1260.6466739361701</v>
      </c>
      <c r="DJ90" s="456">
        <f t="shared" si="241"/>
        <v>0.94395997276890675</v>
      </c>
      <c r="DL90" s="150">
        <f t="shared" si="242"/>
        <v>11.370253944922975</v>
      </c>
      <c r="DM90" s="150">
        <f t="shared" si="243"/>
        <v>13.250723684210525</v>
      </c>
      <c r="DN90" s="150">
        <f t="shared" si="244"/>
        <v>6.526013054521826</v>
      </c>
      <c r="DP90" s="314">
        <f t="shared" si="245"/>
        <v>3400</v>
      </c>
      <c r="DQ90" s="144">
        <f t="shared" si="246"/>
        <v>259.04520401621249</v>
      </c>
      <c r="DS90">
        <f t="shared" si="291"/>
        <v>3400</v>
      </c>
      <c r="DT90">
        <f t="shared" si="247"/>
        <v>259.04520401621249</v>
      </c>
      <c r="DV90" s="5">
        <f t="shared" si="292"/>
        <v>3.8603301064682691</v>
      </c>
      <c r="DW90" s="5">
        <f t="shared" si="248"/>
        <v>1.8317176857585138</v>
      </c>
      <c r="DX90" s="5">
        <f t="shared" si="293"/>
        <v>2.0286124207097553</v>
      </c>
      <c r="DY90" s="150">
        <f t="shared" si="294"/>
        <v>0.47449768160741879</v>
      </c>
      <c r="EA90" s="5">
        <f t="shared" si="249"/>
        <v>20.759467105263155</v>
      </c>
      <c r="EB90" s="5">
        <f t="shared" si="250"/>
        <v>22.056933799342101</v>
      </c>
      <c r="EC90" s="5">
        <f t="shared" si="251"/>
        <v>3.5799042718407441</v>
      </c>
      <c r="ED90" s="5"/>
      <c r="EE90" s="150">
        <f t="shared" si="295"/>
        <v>5.2698228691746607</v>
      </c>
      <c r="EF90" s="150">
        <f t="shared" si="252"/>
        <v>5.3197377719229504</v>
      </c>
      <c r="EG90" s="150">
        <f t="shared" si="253"/>
        <v>1.0678350550640721</v>
      </c>
      <c r="EH90" s="150"/>
      <c r="EI90" s="456">
        <f t="shared" si="254"/>
        <v>0.33325239686971503</v>
      </c>
      <c r="EJ90" s="456">
        <f t="shared" si="255"/>
        <v>4.219617021276596</v>
      </c>
      <c r="EK90" s="456">
        <f t="shared" si="256"/>
        <v>2.9790198461864439E-2</v>
      </c>
      <c r="EL90" s="456">
        <f t="shared" si="257"/>
        <v>0.5611700334565175</v>
      </c>
      <c r="EM90">
        <f t="shared" si="258"/>
        <v>1.5299999999999999E-2</v>
      </c>
      <c r="EN90" s="144">
        <f t="shared" si="296"/>
        <v>45.090198461864439</v>
      </c>
      <c r="EO90">
        <f t="shared" si="259"/>
        <v>5.7004758625076377</v>
      </c>
      <c r="EP90" s="144">
        <f t="shared" si="297"/>
        <v>5700.4758625076374</v>
      </c>
      <c r="EQ90" s="150">
        <f t="shared" si="260"/>
        <v>2.2800399999999996</v>
      </c>
      <c r="ER90" s="150">
        <f t="shared" si="261"/>
        <v>0.34607749999999993</v>
      </c>
      <c r="ES90" s="456"/>
      <c r="EU90" s="144">
        <f t="shared" si="298"/>
        <v>2626.1174999999994</v>
      </c>
      <c r="EV90" s="456">
        <f t="shared" si="262"/>
        <v>0.38879446301466758</v>
      </c>
      <c r="EW90" s="456">
        <f t="shared" si="299"/>
        <v>0.39619453946833261</v>
      </c>
      <c r="EX90" s="456">
        <f t="shared" si="263"/>
        <v>5.7013585241184493E-3</v>
      </c>
      <c r="EY90" s="456">
        <f t="shared" si="264"/>
        <v>34.515000905941115</v>
      </c>
      <c r="EZ90" s="456">
        <f t="shared" si="265"/>
        <v>37.89234597079426</v>
      </c>
      <c r="FA90" s="538">
        <f t="shared" si="266"/>
        <v>4.5483591639248067</v>
      </c>
      <c r="FB90" s="144">
        <f t="shared" si="300"/>
        <v>42440.705134719065</v>
      </c>
      <c r="FC90" s="150">
        <f t="shared" si="301"/>
        <v>50.767298497226705</v>
      </c>
      <c r="FD90" s="5">
        <f t="shared" si="302"/>
        <v>106.33499999999999</v>
      </c>
      <c r="FE90" s="150">
        <f t="shared" si="303"/>
        <v>0.67685196853995822</v>
      </c>
      <c r="FF90" s="5">
        <f t="shared" si="304"/>
        <v>67.685196853995819</v>
      </c>
      <c r="FG90">
        <f t="shared" si="305"/>
        <v>85</v>
      </c>
      <c r="FI90" s="59">
        <f t="shared" si="267"/>
        <v>-50</v>
      </c>
      <c r="FJ90">
        <f t="shared" si="268"/>
        <v>-50</v>
      </c>
      <c r="FL90">
        <f t="shared" si="269"/>
        <v>0.52186043457008313</v>
      </c>
    </row>
    <row r="91" spans="5:168">
      <c r="E91" s="147">
        <v>86</v>
      </c>
      <c r="F91" s="188">
        <f t="shared" si="306"/>
        <v>3.44</v>
      </c>
      <c r="G91" s="188">
        <f t="shared" si="270"/>
        <v>0.73099999999999998</v>
      </c>
      <c r="H91" s="188">
        <f t="shared" si="175"/>
        <v>103.2</v>
      </c>
      <c r="I91" s="188">
        <f t="shared" si="307"/>
        <v>4.3860000000000001</v>
      </c>
      <c r="J91" s="465">
        <f t="shared" si="176"/>
        <v>33.792080901115419</v>
      </c>
      <c r="K91" s="379">
        <f t="shared" si="177"/>
        <v>30.856719654914606</v>
      </c>
      <c r="L91" s="149">
        <f t="shared" si="178"/>
        <v>64.648800556030025</v>
      </c>
      <c r="M91" s="379"/>
      <c r="N91" s="188">
        <f t="shared" si="179"/>
        <v>0.47729763567959171</v>
      </c>
      <c r="O91" s="149">
        <f t="shared" si="271"/>
        <v>234.41436405487795</v>
      </c>
      <c r="P91" s="149">
        <f t="shared" si="180"/>
        <v>9.9626104723323117</v>
      </c>
      <c r="Q91" s="188">
        <f t="shared" si="181"/>
        <v>7.813812135162598</v>
      </c>
      <c r="R91" s="188">
        <f t="shared" si="182"/>
        <v>39.069060675812992</v>
      </c>
      <c r="S91" s="379">
        <f t="shared" si="183"/>
        <v>30</v>
      </c>
      <c r="T91" s="188">
        <f t="shared" si="184"/>
        <v>13.340789673369216</v>
      </c>
      <c r="U91" s="188">
        <f t="shared" si="185"/>
        <v>1.8555149547705312</v>
      </c>
      <c r="V91" s="188">
        <f t="shared" si="186"/>
        <v>2.0320277776140308</v>
      </c>
      <c r="W91" s="172">
        <f t="shared" si="187"/>
        <v>350</v>
      </c>
      <c r="X91" s="379">
        <f t="shared" si="272"/>
        <v>244.64576041670566</v>
      </c>
      <c r="Z91" s="188">
        <f t="shared" si="188"/>
        <v>9.8047904673531168</v>
      </c>
      <c r="AA91" s="150">
        <f t="shared" si="189"/>
        <v>1.4934353266297378</v>
      </c>
      <c r="AB91" s="150">
        <f t="shared" si="190"/>
        <v>2.4580274143653114</v>
      </c>
      <c r="AC91" s="150"/>
      <c r="AD91" s="150">
        <f t="shared" si="191"/>
        <v>0.92313275044813936</v>
      </c>
      <c r="AE91" s="314">
        <f t="shared" si="192"/>
        <v>1281.9889657532899</v>
      </c>
      <c r="AF91" s="456">
        <f t="shared" si="193"/>
        <v>0.93916564975466554</v>
      </c>
      <c r="AH91" s="150">
        <f t="shared" si="194"/>
        <v>11.436942223182443</v>
      </c>
      <c r="AI91" s="150">
        <f t="shared" si="195"/>
        <v>13.340789673369216</v>
      </c>
      <c r="AJ91" s="150">
        <f t="shared" si="196"/>
        <v>6.5927286020467815</v>
      </c>
      <c r="AL91" s="314">
        <f t="shared" si="197"/>
        <v>3440</v>
      </c>
      <c r="AM91" s="144">
        <f t="shared" si="198"/>
        <v>244.64576041670566</v>
      </c>
      <c r="AO91">
        <f t="shared" si="273"/>
        <v>3440</v>
      </c>
      <c r="AP91">
        <f t="shared" si="199"/>
        <v>244.64576041670566</v>
      </c>
      <c r="AR91" s="5">
        <f t="shared" si="274"/>
        <v>4.0875427323845619</v>
      </c>
      <c r="AS91" s="5">
        <f t="shared" si="200"/>
        <v>1.8555149547705312</v>
      </c>
      <c r="AT91" s="5">
        <f t="shared" si="275"/>
        <v>2.2320277776140305</v>
      </c>
      <c r="AU91" s="150">
        <f t="shared" si="276"/>
        <v>0.45394386707440582</v>
      </c>
      <c r="AW91" s="5">
        <f t="shared" si="201"/>
        <v>21.276571481368755</v>
      </c>
      <c r="AX91" s="5">
        <f t="shared" si="202"/>
        <v>22.606357198954306</v>
      </c>
      <c r="AY91" s="5">
        <f t="shared" si="203"/>
        <v>4.0097328149999054</v>
      </c>
      <c r="AZ91" s="5"/>
      <c r="BA91" s="150">
        <f t="shared" si="277"/>
        <v>5.1894578208901976</v>
      </c>
      <c r="BB91" s="150">
        <f t="shared" si="204"/>
        <v>5.4596335118519415</v>
      </c>
      <c r="BC91" s="150">
        <f t="shared" si="205"/>
        <v>1.095916434552126</v>
      </c>
      <c r="BD91" s="150"/>
      <c r="BE91" s="456">
        <f t="shared" si="206"/>
        <v>0.32316566969758126</v>
      </c>
      <c r="BF91" s="456">
        <f t="shared" si="207"/>
        <v>3.8507255969152272</v>
      </c>
      <c r="BG91" s="456">
        <f t="shared" si="208"/>
        <v>2.8134262447921152E-2</v>
      </c>
      <c r="BH91" s="456">
        <f t="shared" si="209"/>
        <v>0.52913804894664562</v>
      </c>
      <c r="BI91">
        <f t="shared" si="210"/>
        <v>1.5206436405501938E-2</v>
      </c>
      <c r="BJ91" s="144">
        <f t="shared" si="278"/>
        <v>43.340698853423092</v>
      </c>
      <c r="BK91">
        <f t="shared" si="211"/>
        <v>5.1886935373284748</v>
      </c>
      <c r="BL91" s="144">
        <f t="shared" si="279"/>
        <v>5188.693537328475</v>
      </c>
      <c r="BM91" s="150">
        <f t="shared" si="212"/>
        <v>2.306864</v>
      </c>
      <c r="BN91" s="150">
        <f t="shared" si="213"/>
        <v>0.35014899999999999</v>
      </c>
      <c r="BO91" s="456"/>
      <c r="BQ91" s="144">
        <f t="shared" si="280"/>
        <v>2657.0129999999999</v>
      </c>
      <c r="BR91" s="456">
        <f t="shared" si="214"/>
        <v>0.37702661464717813</v>
      </c>
      <c r="BS91" s="456">
        <f t="shared" si="215"/>
        <v>0.41730637317231473</v>
      </c>
      <c r="BT91" s="456">
        <f t="shared" si="216"/>
        <v>6.005164157607221E-3</v>
      </c>
      <c r="BU91" s="456">
        <f t="shared" si="217"/>
        <v>30.427626923535723</v>
      </c>
      <c r="BV91" s="456">
        <f t="shared" si="218"/>
        <v>33.569395680116315</v>
      </c>
      <c r="BW91" s="538">
        <f t="shared" si="219"/>
        <v>4.3541237550621981</v>
      </c>
      <c r="BX91" s="144">
        <f t="shared" si="281"/>
        <v>37923.51943517851</v>
      </c>
      <c r="BY91" s="150">
        <f t="shared" si="282"/>
        <v>45.769225972506987</v>
      </c>
      <c r="BZ91" s="5">
        <f t="shared" si="283"/>
        <v>107.586</v>
      </c>
      <c r="CA91" s="150">
        <f t="shared" si="284"/>
        <v>0.70154766045786832</v>
      </c>
      <c r="CB91" s="5">
        <f t="shared" si="285"/>
        <v>70.154766045786829</v>
      </c>
      <c r="CC91">
        <f t="shared" si="286"/>
        <v>86</v>
      </c>
      <c r="CE91" s="59">
        <f t="shared" si="220"/>
        <v>-50</v>
      </c>
      <c r="CF91">
        <f t="shared" si="221"/>
        <v>-50</v>
      </c>
      <c r="CG91" s="150">
        <f t="shared" si="222"/>
        <v>0.52186043457008324</v>
      </c>
      <c r="CH91" s="150">
        <f t="shared" si="223"/>
        <v>0.1101511240772718</v>
      </c>
      <c r="CI91" s="147">
        <v>86</v>
      </c>
      <c r="CJ91" s="188">
        <f t="shared" si="308"/>
        <v>3.44</v>
      </c>
      <c r="CK91" s="188">
        <f t="shared" si="287"/>
        <v>0.73099999999999998</v>
      </c>
      <c r="CL91" s="188">
        <f t="shared" si="224"/>
        <v>103.2</v>
      </c>
      <c r="CM91" s="188">
        <f t="shared" si="309"/>
        <v>4.3860000000000001</v>
      </c>
      <c r="CN91" s="465">
        <f t="shared" si="288"/>
        <v>34</v>
      </c>
      <c r="CO91" s="379">
        <f t="shared" si="225"/>
        <v>30.7</v>
      </c>
      <c r="CP91" s="379">
        <f t="shared" si="226"/>
        <v>64.7</v>
      </c>
      <c r="CQ91" s="379"/>
      <c r="CR91" s="188">
        <f t="shared" si="227"/>
        <v>0.47204968944099374</v>
      </c>
      <c r="CS91" s="149">
        <f t="shared" si="289"/>
        <v>233.26341749863801</v>
      </c>
      <c r="CT91" s="149">
        <f t="shared" si="228"/>
        <v>9.9136952436921142</v>
      </c>
      <c r="CU91" s="188">
        <f t="shared" si="229"/>
        <v>7.7754472499545999</v>
      </c>
      <c r="CV91" s="188">
        <f t="shared" si="230"/>
        <v>38.877236249772999</v>
      </c>
      <c r="CW91" s="379">
        <f t="shared" si="231"/>
        <v>30</v>
      </c>
      <c r="CX91" s="188">
        <f t="shared" si="232"/>
        <v>13.406614551083592</v>
      </c>
      <c r="CY91" s="188">
        <f t="shared" si="233"/>
        <v>1.853267305590967</v>
      </c>
      <c r="CZ91" s="188">
        <f t="shared" si="234"/>
        <v>2.0524784491886932</v>
      </c>
      <c r="DA91" s="172">
        <f t="shared" si="235"/>
        <v>350</v>
      </c>
      <c r="DB91" s="379">
        <f t="shared" si="290"/>
        <v>256.03305048114026</v>
      </c>
      <c r="DD91" s="188">
        <f t="shared" si="236"/>
        <v>9.8072469146822137</v>
      </c>
      <c r="DE91" s="150">
        <f t="shared" si="237"/>
        <v>1.5014351954073746</v>
      </c>
      <c r="DF91" s="150">
        <f t="shared" si="238"/>
        <v>2.4718134248028734</v>
      </c>
      <c r="DG91" s="150"/>
      <c r="DH91" s="150">
        <f t="shared" si="239"/>
        <v>0.92784522751949461</v>
      </c>
      <c r="DI91" s="314">
        <f t="shared" si="240"/>
        <v>1275.477811276596</v>
      </c>
      <c r="DJ91" s="456">
        <f t="shared" si="241"/>
        <v>0.94395997276890675</v>
      </c>
      <c r="DL91" s="150">
        <f t="shared" si="242"/>
        <v>11.436942223182443</v>
      </c>
      <c r="DM91" s="150">
        <f t="shared" si="243"/>
        <v>13.406614551083592</v>
      </c>
      <c r="DN91" s="150">
        <f t="shared" si="244"/>
        <v>6.6414877707240985</v>
      </c>
      <c r="DP91" s="314">
        <f t="shared" si="245"/>
        <v>3440</v>
      </c>
      <c r="DQ91" s="144">
        <f t="shared" si="246"/>
        <v>256.03305048114026</v>
      </c>
      <c r="DS91">
        <f>IF(CL91&gt;CS91, "",DP91)</f>
        <v>3440</v>
      </c>
      <c r="DT91">
        <f>IF(CL91&gt;CS91, "",DQ91)</f>
        <v>256.03305048114026</v>
      </c>
      <c r="DV91" s="5">
        <f t="shared" si="292"/>
        <v>3.9057457547796601</v>
      </c>
      <c r="DW91" s="5">
        <f t="shared" si="248"/>
        <v>1.853267305590967</v>
      </c>
      <c r="DX91" s="5">
        <f t="shared" si="293"/>
        <v>2.0524784491886932</v>
      </c>
      <c r="DY91" s="150">
        <f t="shared" si="294"/>
        <v>0.47449768160741884</v>
      </c>
      <c r="EA91" s="5">
        <f t="shared" si="249"/>
        <v>21.250798437443091</v>
      </c>
      <c r="EB91" s="5">
        <f t="shared" si="250"/>
        <v>22.578973339783278</v>
      </c>
      <c r="EC91" s="5">
        <f t="shared" si="251"/>
        <v>3.6646328020116452</v>
      </c>
      <c r="ED91" s="5"/>
      <c r="EE91" s="150">
        <f t="shared" si="295"/>
        <v>5.3318207852825985</v>
      </c>
      <c r="EF91" s="150">
        <f t="shared" si="252"/>
        <v>5.3823229221808671</v>
      </c>
      <c r="EG91" s="150">
        <f t="shared" si="253"/>
        <v>1.0803978204177669</v>
      </c>
      <c r="EH91" s="150"/>
      <c r="EI91" s="456">
        <f t="shared" si="254"/>
        <v>0.34113975463645857</v>
      </c>
      <c r="EJ91" s="456">
        <f t="shared" si="255"/>
        <v>4.219617021276596</v>
      </c>
      <c r="EK91" s="456">
        <f t="shared" si="256"/>
        <v>2.9443800805331134E-2</v>
      </c>
      <c r="EL91" s="456">
        <f t="shared" si="257"/>
        <v>0.55464480050934872</v>
      </c>
      <c r="EM91">
        <f t="shared" si="258"/>
        <v>1.5299999999999999E-2</v>
      </c>
      <c r="EN91" s="144">
        <f t="shared" si="296"/>
        <v>44.743800805331134</v>
      </c>
      <c r="EO91">
        <f t="shared" si="259"/>
        <v>5.7155237804902139</v>
      </c>
      <c r="EP91" s="144">
        <f t="shared" si="297"/>
        <v>5715.5237804902135</v>
      </c>
      <c r="EQ91" s="150">
        <f t="shared" si="260"/>
        <v>2.306864</v>
      </c>
      <c r="ER91" s="150">
        <f t="shared" si="261"/>
        <v>0.35014899999999999</v>
      </c>
      <c r="ES91" s="456"/>
      <c r="EU91" s="144">
        <f t="shared" si="298"/>
        <v>2657.0129999999999</v>
      </c>
      <c r="EV91" s="456">
        <f t="shared" si="262"/>
        <v>0.39799638040920166</v>
      </c>
      <c r="EW91" s="456">
        <f t="shared" si="299"/>
        <v>0.40557160054087021</v>
      </c>
      <c r="EX91" s="456">
        <f t="shared" si="263"/>
        <v>5.8362972518173064E-3</v>
      </c>
      <c r="EY91" s="456">
        <f t="shared" si="264"/>
        <v>34.515000905941172</v>
      </c>
      <c r="EZ91" s="456">
        <f t="shared" si="265"/>
        <v>37.977814664187669</v>
      </c>
      <c r="FA91" s="538">
        <f t="shared" si="266"/>
        <v>4.6018692717356888</v>
      </c>
      <c r="FB91" s="144">
        <f t="shared" si="300"/>
        <v>42579.683935923356</v>
      </c>
      <c r="FC91" s="150">
        <f t="shared" si="301"/>
        <v>50.952220716413571</v>
      </c>
      <c r="FD91" s="5">
        <f t="shared" si="302"/>
        <v>107.586</v>
      </c>
      <c r="FE91" s="150">
        <f t="shared" si="303"/>
        <v>0.67861238453309791</v>
      </c>
      <c r="FF91" s="5">
        <f t="shared" si="304"/>
        <v>67.861238453309795</v>
      </c>
      <c r="FG91">
        <f t="shared" si="305"/>
        <v>86</v>
      </c>
      <c r="FI91" s="59">
        <f t="shared" si="267"/>
        <v>-50</v>
      </c>
      <c r="FJ91">
        <f t="shared" si="268"/>
        <v>-50</v>
      </c>
      <c r="FL91">
        <f t="shared" si="269"/>
        <v>0.52186043457008313</v>
      </c>
    </row>
    <row r="92" spans="5:168">
      <c r="E92" s="147">
        <v>87</v>
      </c>
      <c r="F92" s="188">
        <f t="shared" si="306"/>
        <v>3.48</v>
      </c>
      <c r="G92" s="188">
        <f t="shared" si="270"/>
        <v>0.73949999999999994</v>
      </c>
      <c r="H92" s="188">
        <f t="shared" si="175"/>
        <v>104.4</v>
      </c>
      <c r="I92" s="188">
        <f t="shared" si="307"/>
        <v>4.4369999999999994</v>
      </c>
      <c r="J92" s="465">
        <f t="shared" si="176"/>
        <v>33.789663237174899</v>
      </c>
      <c r="K92" s="379">
        <f t="shared" si="177"/>
        <v>30.858541976483384</v>
      </c>
      <c r="L92" s="149">
        <f t="shared" si="178"/>
        <v>64.648205213658287</v>
      </c>
      <c r="M92" s="379"/>
      <c r="N92" s="188">
        <f t="shared" si="179"/>
        <v>0.47733021936955289</v>
      </c>
      <c r="O92" s="149">
        <f t="shared" si="271"/>
        <v>234.4135944397066</v>
      </c>
      <c r="P92" s="149">
        <f t="shared" si="180"/>
        <v>9.9625777636875306</v>
      </c>
      <c r="Q92" s="188">
        <f t="shared" si="181"/>
        <v>7.8137864813235529</v>
      </c>
      <c r="R92" s="188">
        <f t="shared" si="182"/>
        <v>39.068932406617769</v>
      </c>
      <c r="S92" s="379">
        <f t="shared" si="183"/>
        <v>30</v>
      </c>
      <c r="T92" s="188">
        <f t="shared" si="184"/>
        <v>13.495959443811529</v>
      </c>
      <c r="U92" s="188">
        <f t="shared" si="185"/>
        <v>1.8772311798635597</v>
      </c>
      <c r="V92" s="188">
        <f t="shared" si="186"/>
        <v>2.0555413614244498</v>
      </c>
      <c r="W92" s="172">
        <f t="shared" si="187"/>
        <v>350</v>
      </c>
      <c r="X92" s="379">
        <f t="shared" si="272"/>
        <v>241.96831304157439</v>
      </c>
      <c r="Z92" s="188">
        <f t="shared" si="188"/>
        <v>9.8047582768535033</v>
      </c>
      <c r="AA92" s="150">
        <f t="shared" si="189"/>
        <v>1.4933422303727057</v>
      </c>
      <c r="AB92" s="150">
        <f t="shared" si="190"/>
        <v>2.457866118799799</v>
      </c>
      <c r="AC92" s="150"/>
      <c r="AD92" s="150">
        <f t="shared" si="191"/>
        <v>0.92307823572987213</v>
      </c>
      <c r="AE92" s="314">
        <f t="shared" si="192"/>
        <v>1296.972405652459</v>
      </c>
      <c r="AF92" s="456">
        <f t="shared" si="193"/>
        <v>0.939110188228923</v>
      </c>
      <c r="AH92" s="150">
        <f t="shared" si="194"/>
        <v>11.503243892954295</v>
      </c>
      <c r="AI92" s="150">
        <f t="shared" si="195"/>
        <v>13.495959443811529</v>
      </c>
      <c r="AJ92" s="150">
        <f t="shared" si="196"/>
        <v>6.707669172744791</v>
      </c>
      <c r="AL92" s="314">
        <f t="shared" si="197"/>
        <v>3480</v>
      </c>
      <c r="AM92" s="144">
        <f t="shared" si="198"/>
        <v>241.96831304157439</v>
      </c>
      <c r="AO92">
        <f t="shared" si="273"/>
        <v>3480</v>
      </c>
      <c r="AP92">
        <f t="shared" si="199"/>
        <v>241.96831304157439</v>
      </c>
      <c r="AR92" s="5">
        <f t="shared" si="274"/>
        <v>4.1327725412880101</v>
      </c>
      <c r="AS92" s="5">
        <f t="shared" si="200"/>
        <v>1.8772311798635597</v>
      </c>
      <c r="AT92" s="5">
        <f t="shared" si="275"/>
        <v>2.2555413614244504</v>
      </c>
      <c r="AU92" s="150">
        <f t="shared" si="276"/>
        <v>0.45423046178062981</v>
      </c>
      <c r="AW92" s="5">
        <f t="shared" si="201"/>
        <v>21.775881686417293</v>
      </c>
      <c r="AX92" s="5">
        <f t="shared" si="202"/>
        <v>23.136874291818373</v>
      </c>
      <c r="AY92" s="5">
        <f t="shared" si="203"/>
        <v>4.09938312790847</v>
      </c>
      <c r="AZ92" s="5"/>
      <c r="BA92" s="150">
        <f t="shared" si="277"/>
        <v>5.2514745483320828</v>
      </c>
      <c r="BB92" s="150">
        <f t="shared" si="204"/>
        <v>5.521686170994621</v>
      </c>
      <c r="BC92" s="150">
        <f t="shared" si="205"/>
        <v>1.108372312554651</v>
      </c>
      <c r="BD92" s="150"/>
      <c r="BE92" s="456">
        <f t="shared" si="206"/>
        <v>0.33093581918135584</v>
      </c>
      <c r="BF92" s="456">
        <f t="shared" si="207"/>
        <v>3.8528455732950779</v>
      </c>
      <c r="BG92" s="456">
        <f t="shared" si="208"/>
        <v>2.7826355999781057E-2</v>
      </c>
      <c r="BH92" s="456">
        <f t="shared" si="209"/>
        <v>0.52333742777267656</v>
      </c>
      <c r="BI92">
        <f t="shared" si="210"/>
        <v>1.5205348456728704E-2</v>
      </c>
      <c r="BJ92" s="144">
        <f t="shared" si="278"/>
        <v>43.031704456509765</v>
      </c>
      <c r="BK92">
        <f t="shared" si="211"/>
        <v>5.2058058291226841</v>
      </c>
      <c r="BL92" s="144">
        <f t="shared" si="279"/>
        <v>5205.8058291226844</v>
      </c>
      <c r="BM92" s="150">
        <f t="shared" si="212"/>
        <v>2.333688</v>
      </c>
      <c r="BN92" s="150">
        <f t="shared" si="213"/>
        <v>0.35422049999999994</v>
      </c>
      <c r="BO92" s="456"/>
      <c r="BQ92" s="144">
        <f t="shared" si="280"/>
        <v>2687.9085</v>
      </c>
      <c r="BR92" s="456">
        <f t="shared" si="214"/>
        <v>0.38609178904491515</v>
      </c>
      <c r="BS92" s="456">
        <f t="shared" si="215"/>
        <v>0.42684625439334539</v>
      </c>
      <c r="BT92" s="456">
        <f t="shared" si="216"/>
        <v>6.1424459161887246E-3</v>
      </c>
      <c r="BU92" s="456">
        <f t="shared" si="217"/>
        <v>30.47022472615485</v>
      </c>
      <c r="BV92" s="456">
        <f t="shared" si="218"/>
        <v>33.693713607327012</v>
      </c>
      <c r="BW92" s="538">
        <f t="shared" si="219"/>
        <v>4.4072331464978234</v>
      </c>
      <c r="BX92" s="144">
        <f t="shared" si="281"/>
        <v>38100.946753824835</v>
      </c>
      <c r="BY92" s="150">
        <f t="shared" si="282"/>
        <v>45.994661082947523</v>
      </c>
      <c r="BZ92" s="5">
        <f t="shared" si="283"/>
        <v>108.837</v>
      </c>
      <c r="CA92" s="150">
        <f t="shared" si="284"/>
        <v>0.70293762424787953</v>
      </c>
      <c r="CB92" s="5">
        <f t="shared" si="285"/>
        <v>70.293762424787957</v>
      </c>
      <c r="CC92">
        <f t="shared" si="286"/>
        <v>87</v>
      </c>
      <c r="CE92" s="59">
        <f t="shared" si="220"/>
        <v>-50</v>
      </c>
      <c r="CF92">
        <f t="shared" si="221"/>
        <v>-50</v>
      </c>
      <c r="CG92" s="150">
        <f t="shared" si="222"/>
        <v>0.52186043457008313</v>
      </c>
      <c r="CH92" s="150">
        <f t="shared" si="223"/>
        <v>0.11015112407727176</v>
      </c>
      <c r="CI92" s="147">
        <v>87</v>
      </c>
      <c r="CJ92" s="188">
        <f t="shared" si="308"/>
        <v>3.48</v>
      </c>
      <c r="CK92" s="188">
        <f t="shared" si="287"/>
        <v>0.73949999999999994</v>
      </c>
      <c r="CL92" s="188">
        <f t="shared" si="224"/>
        <v>104.4</v>
      </c>
      <c r="CM92" s="188">
        <f t="shared" si="309"/>
        <v>4.4369999999999994</v>
      </c>
      <c r="CN92" s="465">
        <f t="shared" si="288"/>
        <v>34</v>
      </c>
      <c r="CO92" s="379">
        <f t="shared" si="225"/>
        <v>30.7</v>
      </c>
      <c r="CP92" s="379">
        <f t="shared" si="226"/>
        <v>64.7</v>
      </c>
      <c r="CQ92" s="379"/>
      <c r="CR92" s="188">
        <f t="shared" si="227"/>
        <v>0.47204968944099374</v>
      </c>
      <c r="CS92" s="149">
        <f t="shared" si="289"/>
        <v>233.26341749863801</v>
      </c>
      <c r="CT92" s="149">
        <f t="shared" si="228"/>
        <v>9.9136952436921142</v>
      </c>
      <c r="CU92" s="188">
        <f t="shared" si="229"/>
        <v>7.7754472499545999</v>
      </c>
      <c r="CV92" s="188">
        <f t="shared" si="230"/>
        <v>38.877236249772999</v>
      </c>
      <c r="CW92" s="379">
        <f t="shared" si="231"/>
        <v>30</v>
      </c>
      <c r="CX92" s="188">
        <f t="shared" si="232"/>
        <v>13.562505417956658</v>
      </c>
      <c r="CY92" s="188">
        <f t="shared" si="233"/>
        <v>1.8748169254234202</v>
      </c>
      <c r="CZ92" s="188">
        <f t="shared" si="234"/>
        <v>2.0763444776676314</v>
      </c>
      <c r="DA92" s="172">
        <f t="shared" si="235"/>
        <v>350</v>
      </c>
      <c r="DB92" s="379">
        <f t="shared" si="290"/>
        <v>253.09014185492023</v>
      </c>
      <c r="DD92" s="188">
        <f t="shared" si="236"/>
        <v>9.8072469146822137</v>
      </c>
      <c r="DE92" s="150">
        <f t="shared" si="237"/>
        <v>1.5014351954073746</v>
      </c>
      <c r="DF92" s="150">
        <f t="shared" si="238"/>
        <v>2.4718134248028734</v>
      </c>
      <c r="DG92" s="150"/>
      <c r="DH92" s="150">
        <f t="shared" si="239"/>
        <v>0.92784522751949461</v>
      </c>
      <c r="DI92" s="314">
        <f t="shared" si="240"/>
        <v>1290.3089486170211</v>
      </c>
      <c r="DJ92" s="456">
        <f t="shared" si="241"/>
        <v>0.94395997276890675</v>
      </c>
      <c r="DL92" s="150">
        <f t="shared" si="242"/>
        <v>11.503243892954295</v>
      </c>
      <c r="DM92" s="150">
        <f t="shared" si="243"/>
        <v>13.562505417956658</v>
      </c>
      <c r="DN92" s="150">
        <f t="shared" si="244"/>
        <v>6.7569624869263682</v>
      </c>
      <c r="DP92" s="314">
        <f t="shared" si="245"/>
        <v>3480</v>
      </c>
      <c r="DQ92" s="144">
        <f t="shared" si="246"/>
        <v>253.09014185492023</v>
      </c>
      <c r="DS92">
        <f>IF(CL92&gt;CS92, "",DP92)</f>
        <v>3480</v>
      </c>
      <c r="DT92">
        <f>IF(CL92&gt;CS92, "",DQ92)</f>
        <v>253.09014185492023</v>
      </c>
      <c r="DV92" s="5">
        <f t="shared" si="292"/>
        <v>3.9511614030910516</v>
      </c>
      <c r="DW92" s="5">
        <f t="shared" si="248"/>
        <v>1.8748169254234202</v>
      </c>
      <c r="DX92" s="5">
        <f t="shared" si="293"/>
        <v>2.0763444776676314</v>
      </c>
      <c r="DY92" s="150">
        <f t="shared" si="294"/>
        <v>0.47449768160741884</v>
      </c>
      <c r="EA92" s="5">
        <f t="shared" si="249"/>
        <v>21.747876334911673</v>
      </c>
      <c r="EB92" s="5">
        <f t="shared" si="250"/>
        <v>23.107118605843649</v>
      </c>
      <c r="EC92" s="5">
        <f t="shared" si="251"/>
        <v>3.7503523091436111</v>
      </c>
      <c r="ED92" s="5"/>
      <c r="EE92" s="150">
        <f t="shared" si="295"/>
        <v>5.3938187013905363</v>
      </c>
      <c r="EF92" s="150">
        <f t="shared" si="252"/>
        <v>5.4449080724387837</v>
      </c>
      <c r="EG92" s="150">
        <f t="shared" si="253"/>
        <v>1.0929605857714619</v>
      </c>
      <c r="EH92" s="150"/>
      <c r="EI92" s="456">
        <f t="shared" si="254"/>
        <v>0.34911936220164352</v>
      </c>
      <c r="EJ92" s="456">
        <f t="shared" si="255"/>
        <v>4.219617021276596</v>
      </c>
      <c r="EK92" s="456">
        <f t="shared" si="256"/>
        <v>2.9105366313315829E-2</v>
      </c>
      <c r="EL92" s="456">
        <f t="shared" si="257"/>
        <v>0.54826957291728717</v>
      </c>
      <c r="EM92">
        <f t="shared" si="258"/>
        <v>1.5299999999999999E-2</v>
      </c>
      <c r="EN92" s="144">
        <f t="shared" si="296"/>
        <v>44.405366313315824</v>
      </c>
      <c r="EO92">
        <f t="shared" si="259"/>
        <v>5.731070180194993</v>
      </c>
      <c r="EP92" s="144">
        <f t="shared" si="297"/>
        <v>5731.0701801949926</v>
      </c>
      <c r="EQ92" s="150">
        <f t="shared" si="260"/>
        <v>2.333688</v>
      </c>
      <c r="ER92" s="150">
        <f t="shared" si="261"/>
        <v>0.35422049999999994</v>
      </c>
      <c r="ES92" s="456"/>
      <c r="EU92" s="144">
        <f t="shared" si="298"/>
        <v>2687.9085</v>
      </c>
      <c r="EV92" s="456">
        <f t="shared" si="262"/>
        <v>0.40730592256858411</v>
      </c>
      <c r="EW92" s="456">
        <f t="shared" si="299"/>
        <v>0.41505833484232646</v>
      </c>
      <c r="EX92" s="456">
        <f t="shared" si="263"/>
        <v>5.9728142102494861E-3</v>
      </c>
      <c r="EY92" s="456">
        <f t="shared" si="264"/>
        <v>34.515000905941143</v>
      </c>
      <c r="EZ92" s="456">
        <f t="shared" si="265"/>
        <v>38.064561893246946</v>
      </c>
      <c r="FA92" s="538">
        <f t="shared" si="266"/>
        <v>4.6553793795465692</v>
      </c>
      <c r="FB92" s="144">
        <f t="shared" si="300"/>
        <v>42719.941272793512</v>
      </c>
      <c r="FC92" s="150">
        <f t="shared" si="301"/>
        <v>51.138919952988509</v>
      </c>
      <c r="FD92" s="5">
        <f t="shared" si="302"/>
        <v>108.837</v>
      </c>
      <c r="FE92" s="150">
        <f t="shared" si="303"/>
        <v>0.68033364041277899</v>
      </c>
      <c r="FF92" s="5">
        <f t="shared" si="304"/>
        <v>68.033364041277906</v>
      </c>
      <c r="FG92">
        <f t="shared" si="305"/>
        <v>87</v>
      </c>
      <c r="FI92" s="59">
        <f t="shared" si="267"/>
        <v>-50</v>
      </c>
      <c r="FJ92">
        <f t="shared" si="268"/>
        <v>-50</v>
      </c>
      <c r="FL92">
        <f t="shared" si="269"/>
        <v>0.52186043457008313</v>
      </c>
    </row>
    <row r="93" spans="5:168">
      <c r="E93" s="147">
        <v>88</v>
      </c>
      <c r="F93" s="188">
        <f t="shared" si="306"/>
        <v>3.52</v>
      </c>
      <c r="G93" s="188">
        <f t="shared" si="270"/>
        <v>0.748</v>
      </c>
      <c r="H93" s="188">
        <f t="shared" si="175"/>
        <v>105.6</v>
      </c>
      <c r="I93" s="188">
        <f t="shared" si="307"/>
        <v>4.4879999999999995</v>
      </c>
      <c r="J93" s="465">
        <f t="shared" si="176"/>
        <v>33.787245573234379</v>
      </c>
      <c r="K93" s="379">
        <f t="shared" si="177"/>
        <v>30.860364298052158</v>
      </c>
      <c r="L93" s="149">
        <f t="shared" si="178"/>
        <v>64.647609871286534</v>
      </c>
      <c r="M93" s="379"/>
      <c r="N93" s="188">
        <f t="shared" si="179"/>
        <v>0.47736280365964306</v>
      </c>
      <c r="O93" s="149">
        <f t="shared" si="271"/>
        <v>234.41282282938781</v>
      </c>
      <c r="P93" s="149">
        <f t="shared" si="180"/>
        <v>9.962544970248981</v>
      </c>
      <c r="Q93" s="188">
        <f t="shared" si="181"/>
        <v>7.8137607609795934</v>
      </c>
      <c r="R93" s="188">
        <f t="shared" si="182"/>
        <v>39.068803804897968</v>
      </c>
      <c r="S93" s="379">
        <f t="shared" si="183"/>
        <v>30</v>
      </c>
      <c r="T93" s="188">
        <f t="shared" si="184"/>
        <v>13.651130349336944</v>
      </c>
      <c r="U93" s="188">
        <f t="shared" si="185"/>
        <v>1.8989506706847459</v>
      </c>
      <c r="V93" s="188">
        <f t="shared" si="186"/>
        <v>2.0790523411265531</v>
      </c>
      <c r="W93" s="172">
        <f t="shared" si="187"/>
        <v>350</v>
      </c>
      <c r="X93" s="379">
        <f t="shared" si="272"/>
        <v>239.34879825911563</v>
      </c>
      <c r="Z93" s="188">
        <f t="shared" si="188"/>
        <v>9.8047260029033598</v>
      </c>
      <c r="AA93" s="150">
        <f t="shared" si="189"/>
        <v>1.4932491324010198</v>
      </c>
      <c r="AB93" s="150">
        <f t="shared" si="190"/>
        <v>2.4577048005001467</v>
      </c>
      <c r="AC93" s="150"/>
      <c r="AD93" s="150">
        <f t="shared" si="191"/>
        <v>0.9230237274498535</v>
      </c>
      <c r="AE93" s="314">
        <f t="shared" si="192"/>
        <v>1311.9576062748504</v>
      </c>
      <c r="AF93" s="456">
        <f t="shared" si="193"/>
        <v>0.93905473325324829</v>
      </c>
      <c r="AH93" s="150">
        <f t="shared" si="194"/>
        <v>11.56916560107803</v>
      </c>
      <c r="AI93" s="150">
        <f t="shared" si="195"/>
        <v>13.651130349336944</v>
      </c>
      <c r="AJ93" s="150">
        <f t="shared" si="196"/>
        <v>6.8226105842450986</v>
      </c>
      <c r="AL93" s="314">
        <f t="shared" si="197"/>
        <v>3520</v>
      </c>
      <c r="AM93" s="144">
        <f t="shared" si="198"/>
        <v>239.34879825911563</v>
      </c>
      <c r="AO93">
        <f t="shared" si="273"/>
        <v>3520</v>
      </c>
      <c r="AP93">
        <f t="shared" si="199"/>
        <v>239.34879825911563</v>
      </c>
      <c r="AR93" s="5">
        <f t="shared" si="274"/>
        <v>4.178003011811299</v>
      </c>
      <c r="AS93" s="5">
        <f t="shared" si="200"/>
        <v>1.8989506706847459</v>
      </c>
      <c r="AT93" s="5">
        <f t="shared" si="275"/>
        <v>2.2790523411265529</v>
      </c>
      <c r="AU93" s="150">
        <f t="shared" si="276"/>
        <v>0.45451156098173551</v>
      </c>
      <c r="AW93" s="5">
        <f t="shared" si="201"/>
        <v>22.281021202701016</v>
      </c>
      <c r="AX93" s="5">
        <f t="shared" si="202"/>
        <v>23.673585027869834</v>
      </c>
      <c r="AY93" s="5">
        <f t="shared" si="203"/>
        <v>4.1900239736272926</v>
      </c>
      <c r="AZ93" s="5"/>
      <c r="BA93" s="150">
        <f t="shared" si="277"/>
        <v>5.3134971680152896</v>
      </c>
      <c r="BB93" s="150">
        <f t="shared" si="204"/>
        <v>5.5837337028347891</v>
      </c>
      <c r="BC93" s="150">
        <f t="shared" si="205"/>
        <v>1.1208271613497984</v>
      </c>
      <c r="BD93" s="150"/>
      <c r="BE93" s="456">
        <f t="shared" si="206"/>
        <v>0.33879902585407801</v>
      </c>
      <c r="BF93" s="456">
        <f t="shared" si="207"/>
        <v>3.8549185522409068</v>
      </c>
      <c r="BG93" s="456">
        <f t="shared" si="208"/>
        <v>2.7525111799798298E-2</v>
      </c>
      <c r="BH93" s="456">
        <f t="shared" si="209"/>
        <v>0.51766231630446269</v>
      </c>
      <c r="BI93">
        <f t="shared" si="210"/>
        <v>1.520426050795547E-2</v>
      </c>
      <c r="BJ93" s="144">
        <f t="shared" si="278"/>
        <v>42.729372307753771</v>
      </c>
      <c r="BK93">
        <f t="shared" si="211"/>
        <v>5.2233263428806174</v>
      </c>
      <c r="BL93" s="144">
        <f t="shared" si="279"/>
        <v>5223.3263428806176</v>
      </c>
      <c r="BM93" s="150">
        <f t="shared" si="212"/>
        <v>2.3605119999999999</v>
      </c>
      <c r="BN93" s="150">
        <f t="shared" si="213"/>
        <v>0.358292</v>
      </c>
      <c r="BO93" s="456"/>
      <c r="BQ93" s="144">
        <f t="shared" si="280"/>
        <v>2718.8040000000001</v>
      </c>
      <c r="BR93" s="456">
        <f t="shared" si="214"/>
        <v>0.39526553016309102</v>
      </c>
      <c r="BS93" s="456">
        <f t="shared" si="215"/>
        <v>0.43649314889842344</v>
      </c>
      <c r="BT93" s="456">
        <f t="shared" si="216"/>
        <v>6.2812676280972358E-3</v>
      </c>
      <c r="BU93" s="456">
        <f t="shared" si="217"/>
        <v>30.511929097917299</v>
      </c>
      <c r="BV93" s="456">
        <f t="shared" si="218"/>
        <v>33.818391684998375</v>
      </c>
      <c r="BW93" s="538">
        <f t="shared" si="219"/>
        <v>4.4603452723170252</v>
      </c>
      <c r="BX93" s="144">
        <f t="shared" si="281"/>
        <v>38278.736957315399</v>
      </c>
      <c r="BY93" s="150">
        <f t="shared" si="282"/>
        <v>46.220867300196019</v>
      </c>
      <c r="BZ93" s="5">
        <f t="shared" si="283"/>
        <v>110.08799999999999</v>
      </c>
      <c r="CA93" s="150">
        <f t="shared" si="284"/>
        <v>0.70429785527504707</v>
      </c>
      <c r="CB93" s="5">
        <f t="shared" si="285"/>
        <v>70.429785527504706</v>
      </c>
      <c r="CC93">
        <f t="shared" si="286"/>
        <v>88</v>
      </c>
      <c r="CE93" s="59">
        <f t="shared" si="220"/>
        <v>-50</v>
      </c>
      <c r="CF93">
        <f t="shared" si="221"/>
        <v>-50</v>
      </c>
      <c r="CG93" s="150">
        <f t="shared" si="222"/>
        <v>0.52186043457008313</v>
      </c>
      <c r="CH93" s="150">
        <f t="shared" si="223"/>
        <v>0.1101511240772718</v>
      </c>
      <c r="CI93" s="147">
        <v>88</v>
      </c>
      <c r="CJ93" s="188">
        <f t="shared" si="308"/>
        <v>3.52</v>
      </c>
      <c r="CK93" s="188">
        <f t="shared" si="287"/>
        <v>0.748</v>
      </c>
      <c r="CL93" s="188">
        <f t="shared" si="224"/>
        <v>105.6</v>
      </c>
      <c r="CM93" s="188">
        <f t="shared" si="309"/>
        <v>4.4879999999999995</v>
      </c>
      <c r="CN93" s="465">
        <f t="shared" si="288"/>
        <v>34</v>
      </c>
      <c r="CO93" s="379">
        <f t="shared" si="225"/>
        <v>30.7</v>
      </c>
      <c r="CP93" s="379">
        <f t="shared" si="226"/>
        <v>64.7</v>
      </c>
      <c r="CQ93" s="379"/>
      <c r="CR93" s="188">
        <f t="shared" si="227"/>
        <v>0.47204968944099374</v>
      </c>
      <c r="CS93" s="149">
        <f t="shared" si="289"/>
        <v>233.26341749863801</v>
      </c>
      <c r="CT93" s="149">
        <f t="shared" si="228"/>
        <v>9.9136952436921142</v>
      </c>
      <c r="CU93" s="188">
        <f t="shared" si="229"/>
        <v>7.7754472499545999</v>
      </c>
      <c r="CV93" s="188">
        <f t="shared" si="230"/>
        <v>38.877236249772999</v>
      </c>
      <c r="CW93" s="379">
        <f t="shared" si="231"/>
        <v>30</v>
      </c>
      <c r="CX93" s="188">
        <f t="shared" si="232"/>
        <v>13.718396284829721</v>
      </c>
      <c r="CY93" s="188">
        <f t="shared" si="233"/>
        <v>1.8963665452558731</v>
      </c>
      <c r="CZ93" s="188">
        <f t="shared" si="234"/>
        <v>2.1002105061465692</v>
      </c>
      <c r="DA93" s="172">
        <f t="shared" si="235"/>
        <v>350</v>
      </c>
      <c r="DB93" s="379">
        <f t="shared" si="290"/>
        <v>250.21411751565981</v>
      </c>
      <c r="DD93" s="188">
        <f t="shared" si="236"/>
        <v>9.8072469146822137</v>
      </c>
      <c r="DE93" s="150">
        <f t="shared" si="237"/>
        <v>1.5014351954073746</v>
      </c>
      <c r="DF93" s="150">
        <f t="shared" si="238"/>
        <v>2.4718134248028734</v>
      </c>
      <c r="DG93" s="150"/>
      <c r="DH93" s="150">
        <f t="shared" si="239"/>
        <v>0.92784522751949461</v>
      </c>
      <c r="DI93" s="314">
        <f t="shared" si="240"/>
        <v>1305.1400859574469</v>
      </c>
      <c r="DJ93" s="456">
        <f t="shared" si="241"/>
        <v>0.94395997276890675</v>
      </c>
      <c r="DL93" s="150">
        <f t="shared" si="242"/>
        <v>11.56916560107803</v>
      </c>
      <c r="DM93" s="150">
        <f t="shared" si="243"/>
        <v>13.718396284829721</v>
      </c>
      <c r="DN93" s="150">
        <f t="shared" si="244"/>
        <v>6.872437203128638</v>
      </c>
      <c r="DP93" s="314">
        <f t="shared" si="245"/>
        <v>3520</v>
      </c>
      <c r="DQ93" s="144">
        <f t="shared" si="246"/>
        <v>250.21411751565981</v>
      </c>
      <c r="DS93">
        <f>IF(CL93&gt;CS93, "",DP93)</f>
        <v>3520</v>
      </c>
      <c r="DT93">
        <f>IF(CL93&gt;CS93, "",DQ93)</f>
        <v>250.21411751565981</v>
      </c>
      <c r="DV93" s="5">
        <f t="shared" si="292"/>
        <v>3.9965770514024426</v>
      </c>
      <c r="DW93" s="5">
        <f t="shared" si="248"/>
        <v>1.8963665452558731</v>
      </c>
      <c r="DX93" s="5">
        <f t="shared" si="293"/>
        <v>2.1002105061465697</v>
      </c>
      <c r="DY93" s="150">
        <f t="shared" si="294"/>
        <v>0.4744976816074189</v>
      </c>
      <c r="EA93" s="5">
        <f t="shared" si="249"/>
        <v>22.250700797668912</v>
      </c>
      <c r="EB93" s="5">
        <f t="shared" si="250"/>
        <v>23.641369597523216</v>
      </c>
      <c r="EC93" s="5">
        <f t="shared" si="251"/>
        <v>3.8370627932366386</v>
      </c>
      <c r="ED93" s="5"/>
      <c r="EE93" s="150">
        <f t="shared" si="295"/>
        <v>5.4558166174984724</v>
      </c>
      <c r="EF93" s="150">
        <f t="shared" si="252"/>
        <v>5.5074932226967004</v>
      </c>
      <c r="EG93" s="150">
        <f t="shared" si="253"/>
        <v>1.1055233511251568</v>
      </c>
      <c r="EH93" s="150"/>
      <c r="EI93" s="456">
        <f t="shared" si="254"/>
        <v>0.35719121956526967</v>
      </c>
      <c r="EJ93" s="456">
        <f t="shared" si="255"/>
        <v>4.219617021276596</v>
      </c>
      <c r="EK93" s="456">
        <f t="shared" si="256"/>
        <v>2.8774623514300879E-2</v>
      </c>
      <c r="EL93" s="456">
        <f t="shared" si="257"/>
        <v>0.54203923686140898</v>
      </c>
      <c r="EM93">
        <f t="shared" si="258"/>
        <v>1.5299999999999999E-2</v>
      </c>
      <c r="EN93" s="144">
        <f t="shared" si="296"/>
        <v>44.074623514300882</v>
      </c>
      <c r="EO93">
        <f t="shared" si="259"/>
        <v>5.7471133922109896</v>
      </c>
      <c r="EP93" s="144">
        <f t="shared" si="297"/>
        <v>5747.1133922109893</v>
      </c>
      <c r="EQ93" s="150">
        <f t="shared" si="260"/>
        <v>2.3605119999999999</v>
      </c>
      <c r="ER93" s="150">
        <f t="shared" si="261"/>
        <v>0.358292</v>
      </c>
      <c r="ES93" s="456"/>
      <c r="EU93" s="144">
        <f t="shared" si="298"/>
        <v>2718.8040000000001</v>
      </c>
      <c r="EV93" s="456">
        <f t="shared" si="262"/>
        <v>0.41672308949281461</v>
      </c>
      <c r="EW93" s="456">
        <f t="shared" si="299"/>
        <v>0.42465474237270123</v>
      </c>
      <c r="EX93" s="456">
        <f t="shared" si="263"/>
        <v>6.1109093994149832E-3</v>
      </c>
      <c r="EY93" s="456">
        <f t="shared" si="264"/>
        <v>34.515000905941207</v>
      </c>
      <c r="EZ93" s="456">
        <f t="shared" si="265"/>
        <v>38.15259877827674</v>
      </c>
      <c r="FA93" s="538">
        <f t="shared" si="266"/>
        <v>4.7088894873574487</v>
      </c>
      <c r="FB93" s="144">
        <f t="shared" si="300"/>
        <v>42861.488265634187</v>
      </c>
      <c r="FC93" s="150">
        <f t="shared" si="301"/>
        <v>51.327405657845176</v>
      </c>
      <c r="FD93" s="5">
        <f t="shared" si="302"/>
        <v>110.08799999999999</v>
      </c>
      <c r="FE93" s="150">
        <f t="shared" si="303"/>
        <v>0.68201668577629637</v>
      </c>
      <c r="FF93" s="5">
        <f t="shared" si="304"/>
        <v>68.201668577629633</v>
      </c>
      <c r="FG93">
        <f t="shared" si="305"/>
        <v>88</v>
      </c>
      <c r="FI93" s="59">
        <f t="shared" si="267"/>
        <v>-50</v>
      </c>
      <c r="FJ93">
        <f t="shared" si="268"/>
        <v>-50</v>
      </c>
      <c r="FL93">
        <f t="shared" si="269"/>
        <v>0.52186043457008313</v>
      </c>
    </row>
    <row r="94" spans="5:168">
      <c r="E94" s="147">
        <v>89</v>
      </c>
      <c r="F94" s="188">
        <f t="shared" si="306"/>
        <v>3.56</v>
      </c>
      <c r="G94" s="188">
        <f t="shared" si="270"/>
        <v>0.75649999999999995</v>
      </c>
      <c r="H94" s="188">
        <f t="shared" si="175"/>
        <v>106.8</v>
      </c>
      <c r="I94" s="188">
        <f t="shared" si="307"/>
        <v>4.5389999999999997</v>
      </c>
      <c r="J94" s="465">
        <f t="shared" si="176"/>
        <v>33.78482790929386</v>
      </c>
      <c r="K94" s="379">
        <f t="shared" si="177"/>
        <v>30.862186619620928</v>
      </c>
      <c r="L94" s="149">
        <f t="shared" si="178"/>
        <v>64.647014528914781</v>
      </c>
      <c r="M94" s="379"/>
      <c r="N94" s="188">
        <f t="shared" si="179"/>
        <v>0.47739538854987873</v>
      </c>
      <c r="O94" s="149">
        <f t="shared" si="271"/>
        <v>234.4120492238664</v>
      </c>
      <c r="P94" s="149">
        <f t="shared" si="180"/>
        <v>9.9625120920143218</v>
      </c>
      <c r="Q94" s="188">
        <f t="shared" si="181"/>
        <v>7.81373497412888</v>
      </c>
      <c r="R94" s="188">
        <f t="shared" si="182"/>
        <v>39.068674870644401</v>
      </c>
      <c r="S94" s="379">
        <f t="shared" si="183"/>
        <v>30</v>
      </c>
      <c r="T94" s="188">
        <f t="shared" si="184"/>
        <v>13.806302393922033</v>
      </c>
      <c r="U94" s="188">
        <f t="shared" si="185"/>
        <v>1.9206734284883864</v>
      </c>
      <c r="V94" s="188">
        <f t="shared" si="186"/>
        <v>2.1025607177872274</v>
      </c>
      <c r="W94" s="172">
        <f t="shared" si="187"/>
        <v>350</v>
      </c>
      <c r="X94" s="379">
        <f t="shared" si="272"/>
        <v>236.78535581122821</v>
      </c>
      <c r="Z94" s="188">
        <f t="shared" si="188"/>
        <v>9.8046936455003806</v>
      </c>
      <c r="AA94" s="150">
        <f t="shared" si="189"/>
        <v>1.493156032714632</v>
      </c>
      <c r="AB94" s="150">
        <f t="shared" si="190"/>
        <v>2.4575434594696399</v>
      </c>
      <c r="AC94" s="150"/>
      <c r="AD94" s="150">
        <f t="shared" si="191"/>
        <v>0.92296922560694294</v>
      </c>
      <c r="AE94" s="314">
        <f t="shared" si="192"/>
        <v>1326.9445676204646</v>
      </c>
      <c r="AF94" s="456">
        <f t="shared" si="193"/>
        <v>0.93899928482648065</v>
      </c>
      <c r="AH94" s="150">
        <f t="shared" si="194"/>
        <v>11.634713806086683</v>
      </c>
      <c r="AI94" s="150">
        <f t="shared" si="195"/>
        <v>13.806302393922033</v>
      </c>
      <c r="AJ94" s="150">
        <f t="shared" si="196"/>
        <v>6.9375528394933133</v>
      </c>
      <c r="AL94" s="314">
        <f t="shared" si="197"/>
        <v>3560</v>
      </c>
      <c r="AM94" s="144">
        <f t="shared" si="198"/>
        <v>236.78535581122821</v>
      </c>
      <c r="AO94">
        <f t="shared" si="273"/>
        <v>3560</v>
      </c>
      <c r="AP94">
        <f t="shared" si="199"/>
        <v>236.78535581122821</v>
      </c>
      <c r="AR94" s="5">
        <f t="shared" si="274"/>
        <v>4.2232341462756144</v>
      </c>
      <c r="AS94" s="5">
        <f t="shared" si="200"/>
        <v>1.9206734284883864</v>
      </c>
      <c r="AT94" s="5">
        <f t="shared" si="275"/>
        <v>2.302560717787228</v>
      </c>
      <c r="AU94" s="150">
        <f t="shared" si="276"/>
        <v>0.45478734116179415</v>
      </c>
      <c r="AW94" s="5">
        <f t="shared" si="201"/>
        <v>22.791991351395517</v>
      </c>
      <c r="AX94" s="5">
        <f t="shared" si="202"/>
        <v>24.216490810857739</v>
      </c>
      <c r="AY94" s="5">
        <f t="shared" si="203"/>
        <v>4.2816554035631738</v>
      </c>
      <c r="AZ94" s="5"/>
      <c r="BA94" s="150">
        <f t="shared" si="277"/>
        <v>5.3755256421050106</v>
      </c>
      <c r="BB94" s="150">
        <f t="shared" si="204"/>
        <v>5.6457761625750642</v>
      </c>
      <c r="BC94" s="150">
        <f t="shared" si="205"/>
        <v>1.133280992018433</v>
      </c>
      <c r="BD94" s="150"/>
      <c r="BE94" s="456">
        <f t="shared" si="206"/>
        <v>0.34675531114714181</v>
      </c>
      <c r="BF94" s="456">
        <f t="shared" si="207"/>
        <v>3.856946041776018</v>
      </c>
      <c r="BG94" s="456">
        <f t="shared" si="208"/>
        <v>2.7230315918291247E-2</v>
      </c>
      <c r="BH94" s="456">
        <f t="shared" si="209"/>
        <v>0.51210868433364731</v>
      </c>
      <c r="BI94">
        <f t="shared" si="210"/>
        <v>1.5203172559182236E-2</v>
      </c>
      <c r="BJ94" s="144">
        <f t="shared" si="278"/>
        <v>42.433488477473482</v>
      </c>
      <c r="BK94">
        <f t="shared" si="211"/>
        <v>5.2412561486839033</v>
      </c>
      <c r="BL94" s="144">
        <f t="shared" si="279"/>
        <v>5241.2561486839031</v>
      </c>
      <c r="BM94" s="150">
        <f t="shared" si="212"/>
        <v>2.3873359999999999</v>
      </c>
      <c r="BN94" s="150">
        <f t="shared" si="213"/>
        <v>0.36236349999999995</v>
      </c>
      <c r="BO94" s="456"/>
      <c r="BQ94" s="144">
        <f t="shared" si="280"/>
        <v>2749.6994999999997</v>
      </c>
      <c r="BR94" s="456">
        <f t="shared" si="214"/>
        <v>0.40454786300499879</v>
      </c>
      <c r="BS94" s="456">
        <f t="shared" si="215"/>
        <v>0.44624703869061144</v>
      </c>
      <c r="BT94" s="456">
        <f t="shared" si="216"/>
        <v>6.4216290343514183E-3</v>
      </c>
      <c r="BU94" s="456">
        <f t="shared" si="217"/>
        <v>30.552767600301856</v>
      </c>
      <c r="BV94" s="456">
        <f t="shared" si="218"/>
        <v>33.943468267117488</v>
      </c>
      <c r="BW94" s="538">
        <f t="shared" si="219"/>
        <v>4.5134600448453925</v>
      </c>
      <c r="BX94" s="144">
        <f t="shared" si="281"/>
        <v>38456.928311962882</v>
      </c>
      <c r="BY94" s="150">
        <f t="shared" si="282"/>
        <v>46.447883960646784</v>
      </c>
      <c r="BZ94" s="5">
        <f t="shared" si="283"/>
        <v>111.339</v>
      </c>
      <c r="CA94" s="150">
        <f t="shared" si="284"/>
        <v>0.70562899276069602</v>
      </c>
      <c r="CB94" s="5">
        <f t="shared" si="285"/>
        <v>70.562899276069601</v>
      </c>
      <c r="CC94">
        <f t="shared" si="286"/>
        <v>89</v>
      </c>
      <c r="CE94" s="59">
        <f t="shared" si="220"/>
        <v>-50</v>
      </c>
      <c r="CF94">
        <f t="shared" si="221"/>
        <v>-50</v>
      </c>
      <c r="CG94" s="150">
        <f t="shared" si="222"/>
        <v>0.52186043457008324</v>
      </c>
      <c r="CH94" s="150">
        <f t="shared" si="223"/>
        <v>0.1101511240772718</v>
      </c>
      <c r="CI94" s="147">
        <v>89</v>
      </c>
      <c r="CJ94" s="188">
        <f t="shared" si="308"/>
        <v>3.56</v>
      </c>
      <c r="CK94" s="188">
        <f t="shared" si="287"/>
        <v>0.75649999999999995</v>
      </c>
      <c r="CL94" s="188">
        <f t="shared" si="224"/>
        <v>106.8</v>
      </c>
      <c r="CM94" s="188">
        <f t="shared" si="309"/>
        <v>4.5389999999999997</v>
      </c>
      <c r="CN94" s="465">
        <f t="shared" si="288"/>
        <v>34</v>
      </c>
      <c r="CO94" s="379">
        <f t="shared" si="225"/>
        <v>30.7</v>
      </c>
      <c r="CP94" s="379">
        <f t="shared" si="226"/>
        <v>64.7</v>
      </c>
      <c r="CQ94" s="379"/>
      <c r="CR94" s="188">
        <f t="shared" si="227"/>
        <v>0.47204968944099374</v>
      </c>
      <c r="CS94" s="149">
        <f t="shared" si="289"/>
        <v>233.26341749863801</v>
      </c>
      <c r="CT94" s="149">
        <f t="shared" si="228"/>
        <v>9.9136952436921142</v>
      </c>
      <c r="CU94" s="188">
        <f t="shared" si="229"/>
        <v>7.7754472499545999</v>
      </c>
      <c r="CV94" s="188">
        <f t="shared" si="230"/>
        <v>38.877236249772999</v>
      </c>
      <c r="CW94" s="379">
        <f t="shared" si="231"/>
        <v>30</v>
      </c>
      <c r="CX94" s="188">
        <f t="shared" si="232"/>
        <v>13.874287151702786</v>
      </c>
      <c r="CY94" s="188">
        <f t="shared" si="233"/>
        <v>1.9179161650883261</v>
      </c>
      <c r="CZ94" s="188">
        <f t="shared" si="234"/>
        <v>2.1240765346255079</v>
      </c>
      <c r="DA94" s="172">
        <f t="shared" si="235"/>
        <v>350</v>
      </c>
      <c r="DB94" s="379">
        <f t="shared" si="290"/>
        <v>247.40272293683219</v>
      </c>
      <c r="DD94" s="188">
        <f t="shared" si="236"/>
        <v>9.8072469146822137</v>
      </c>
      <c r="DE94" s="150">
        <f t="shared" si="237"/>
        <v>1.5014351954073746</v>
      </c>
      <c r="DF94" s="150">
        <f t="shared" si="238"/>
        <v>2.4718134248028734</v>
      </c>
      <c r="DG94" s="150"/>
      <c r="DH94" s="150">
        <f t="shared" si="239"/>
        <v>0.92784522751949461</v>
      </c>
      <c r="DI94" s="314">
        <f t="shared" si="240"/>
        <v>1319.9712232978723</v>
      </c>
      <c r="DJ94" s="456">
        <f t="shared" si="241"/>
        <v>0.94395997276890675</v>
      </c>
      <c r="DL94" s="150">
        <f t="shared" si="242"/>
        <v>11.634713806086683</v>
      </c>
      <c r="DM94" s="150">
        <f t="shared" si="243"/>
        <v>13.874287151702786</v>
      </c>
      <c r="DN94" s="150">
        <f t="shared" si="244"/>
        <v>6.9879119193309078</v>
      </c>
      <c r="DP94" s="314">
        <f t="shared" si="245"/>
        <v>3560</v>
      </c>
      <c r="DQ94" s="144">
        <f t="shared" si="246"/>
        <v>247.40272293683219</v>
      </c>
      <c r="DS94">
        <f>IF(CL94&gt;CS94, "",DP94)</f>
        <v>3560</v>
      </c>
      <c r="DT94">
        <f>IF(CL94&gt;CS94, "",DQ94)</f>
        <v>247.40272293683219</v>
      </c>
      <c r="DV94" s="5">
        <f t="shared" si="292"/>
        <v>4.041992699713834</v>
      </c>
      <c r="DW94" s="5">
        <f t="shared" si="248"/>
        <v>1.9179161650883261</v>
      </c>
      <c r="DX94" s="5">
        <f t="shared" si="293"/>
        <v>2.1240765346255079</v>
      </c>
      <c r="DY94" s="150">
        <f t="shared" si="294"/>
        <v>0.47449768160741884</v>
      </c>
      <c r="EA94" s="5">
        <f t="shared" si="249"/>
        <v>22.759271825714801</v>
      </c>
      <c r="EB94" s="5">
        <f t="shared" si="250"/>
        <v>24.181726314821976</v>
      </c>
      <c r="EC94" s="5">
        <f t="shared" si="251"/>
        <v>3.9247642542907304</v>
      </c>
      <c r="ED94" s="5"/>
      <c r="EE94" s="150">
        <f t="shared" si="295"/>
        <v>5.5178145336064102</v>
      </c>
      <c r="EF94" s="150">
        <f t="shared" si="252"/>
        <v>5.5700783729546171</v>
      </c>
      <c r="EG94" s="150">
        <f t="shared" si="253"/>
        <v>1.1180861164788518</v>
      </c>
      <c r="EH94" s="150"/>
      <c r="EI94" s="456">
        <f t="shared" si="254"/>
        <v>0.36535532672733756</v>
      </c>
      <c r="EJ94" s="456">
        <f t="shared" si="255"/>
        <v>4.219617021276596</v>
      </c>
      <c r="EK94" s="456">
        <f t="shared" si="256"/>
        <v>2.8451313137735704E-2</v>
      </c>
      <c r="EL94" s="456">
        <f t="shared" si="257"/>
        <v>0.53594890835734832</v>
      </c>
      <c r="EM94">
        <f t="shared" si="258"/>
        <v>1.5299999999999999E-2</v>
      </c>
      <c r="EN94" s="144">
        <f t="shared" si="296"/>
        <v>43.751313137735707</v>
      </c>
      <c r="EO94">
        <f t="shared" si="259"/>
        <v>5.7636520697739622</v>
      </c>
      <c r="EP94" s="144">
        <f t="shared" si="297"/>
        <v>5763.6520697739625</v>
      </c>
      <c r="EQ94" s="150">
        <f t="shared" si="260"/>
        <v>2.3873359999999999</v>
      </c>
      <c r="ER94" s="150">
        <f t="shared" si="261"/>
        <v>0.36236349999999995</v>
      </c>
      <c r="ES94" s="456"/>
      <c r="EU94" s="144">
        <f t="shared" si="298"/>
        <v>2749.6994999999997</v>
      </c>
      <c r="EV94" s="456">
        <f t="shared" si="262"/>
        <v>0.42624788118189377</v>
      </c>
      <c r="EW94" s="456">
        <f t="shared" si="299"/>
        <v>0.43436082313199459</v>
      </c>
      <c r="EX94" s="456">
        <f t="shared" si="263"/>
        <v>6.2505828193138028E-3</v>
      </c>
      <c r="EY94" s="456">
        <f t="shared" si="264"/>
        <v>34.515000905941143</v>
      </c>
      <c r="EZ94" s="456">
        <f t="shared" si="265"/>
        <v>38.241936657980737</v>
      </c>
      <c r="FA94" s="538">
        <f t="shared" si="266"/>
        <v>4.7623995951683291</v>
      </c>
      <c r="FB94" s="144">
        <f t="shared" si="300"/>
        <v>43004.336253149064</v>
      </c>
      <c r="FC94" s="150">
        <f t="shared" si="301"/>
        <v>51.517687822923037</v>
      </c>
      <c r="FD94" s="5">
        <f t="shared" si="302"/>
        <v>111.339</v>
      </c>
      <c r="FE94" s="150">
        <f t="shared" si="303"/>
        <v>0.68366243651633674</v>
      </c>
      <c r="FF94" s="5">
        <f t="shared" si="304"/>
        <v>68.366243651633667</v>
      </c>
      <c r="FG94">
        <f t="shared" si="305"/>
        <v>89</v>
      </c>
      <c r="FI94" s="59">
        <f t="shared" si="267"/>
        <v>-50</v>
      </c>
      <c r="FJ94">
        <f t="shared" si="268"/>
        <v>-50</v>
      </c>
      <c r="FL94">
        <f t="shared" si="269"/>
        <v>0.52186043457008324</v>
      </c>
    </row>
    <row r="95" spans="5:168">
      <c r="E95" s="147">
        <v>90</v>
      </c>
      <c r="F95" s="188">
        <f t="shared" si="306"/>
        <v>3.6</v>
      </c>
      <c r="G95" s="188">
        <f t="shared" si="270"/>
        <v>0.76500000000000001</v>
      </c>
      <c r="H95" s="188">
        <f t="shared" si="175"/>
        <v>108</v>
      </c>
      <c r="I95" s="188">
        <f t="shared" si="307"/>
        <v>4.59</v>
      </c>
      <c r="J95" s="465">
        <f t="shared" si="176"/>
        <v>33.78241024535334</v>
      </c>
      <c r="K95" s="379">
        <f t="shared" si="177"/>
        <v>30.864008941189702</v>
      </c>
      <c r="L95" s="149">
        <f t="shared" si="178"/>
        <v>64.646419186543042</v>
      </c>
      <c r="M95" s="379"/>
      <c r="N95" s="188">
        <f t="shared" si="179"/>
        <v>0.47742797404027648</v>
      </c>
      <c r="O95" s="149">
        <f t="shared" si="271"/>
        <v>234.4112736230874</v>
      </c>
      <c r="P95" s="149">
        <f t="shared" si="180"/>
        <v>9.9624791289812116</v>
      </c>
      <c r="Q95" s="188">
        <f t="shared" si="181"/>
        <v>7.8137091207695795</v>
      </c>
      <c r="R95" s="188">
        <f t="shared" si="182"/>
        <v>39.068545603847902</v>
      </c>
      <c r="S95" s="379">
        <f t="shared" si="183"/>
        <v>30</v>
      </c>
      <c r="T95" s="188">
        <f t="shared" si="184"/>
        <v>13.961475581543615</v>
      </c>
      <c r="U95" s="188">
        <f t="shared" si="185"/>
        <v>1.9423994545291705</v>
      </c>
      <c r="V95" s="188">
        <f t="shared" si="186"/>
        <v>2.1260664924731452</v>
      </c>
      <c r="W95" s="172">
        <f t="shared" si="187"/>
        <v>350</v>
      </c>
      <c r="X95" s="379">
        <f t="shared" si="272"/>
        <v>234.2762042420149</v>
      </c>
      <c r="Z95" s="188">
        <f t="shared" si="188"/>
        <v>9.8046612046422634</v>
      </c>
      <c r="AA95" s="150">
        <f t="shared" si="189"/>
        <v>1.4930629313134955</v>
      </c>
      <c r="AB95" s="150">
        <f t="shared" si="190"/>
        <v>2.457382095711564</v>
      </c>
      <c r="AC95" s="150"/>
      <c r="AD95" s="150">
        <f t="shared" si="191"/>
        <v>0.92291473020000003</v>
      </c>
      <c r="AE95" s="314">
        <f t="shared" si="192"/>
        <v>1341.9332896893013</v>
      </c>
      <c r="AF95" s="456">
        <f t="shared" si="193"/>
        <v>0.93894384294746025</v>
      </c>
      <c r="AH95" s="150">
        <f t="shared" si="194"/>
        <v>11.699894785591919</v>
      </c>
      <c r="AI95" s="150">
        <f t="shared" si="195"/>
        <v>13.961475581543615</v>
      </c>
      <c r="AJ95" s="150">
        <f t="shared" si="196"/>
        <v>7.0524959414352262</v>
      </c>
      <c r="AL95" s="314">
        <f t="shared" si="197"/>
        <v>3600</v>
      </c>
      <c r="AM95" s="144">
        <f t="shared" si="198"/>
        <v>234.2762042420149</v>
      </c>
      <c r="AO95">
        <f t="shared" si="273"/>
        <v>3600</v>
      </c>
      <c r="AP95">
        <f t="shared" si="199"/>
        <v>234.2762042420149</v>
      </c>
      <c r="AR95" s="5">
        <f t="shared" si="274"/>
        <v>4.2684659470023147</v>
      </c>
      <c r="AS95" s="5">
        <f t="shared" si="200"/>
        <v>1.9423994545291705</v>
      </c>
      <c r="AT95" s="5">
        <f t="shared" si="275"/>
        <v>2.326066492473144</v>
      </c>
      <c r="AU95" s="150">
        <f t="shared" si="276"/>
        <v>0.45505797132885434</v>
      </c>
      <c r="AW95" s="5">
        <f t="shared" si="201"/>
        <v>23.308793454350045</v>
      </c>
      <c r="AX95" s="5">
        <f t="shared" si="202"/>
        <v>24.765593045246927</v>
      </c>
      <c r="AY95" s="5">
        <f t="shared" si="203"/>
        <v>4.3742774692263788</v>
      </c>
      <c r="AZ95" s="5"/>
      <c r="BA95" s="150">
        <f t="shared" si="277"/>
        <v>5.4375599344482817</v>
      </c>
      <c r="BB95" s="150">
        <f t="shared" si="204"/>
        <v>5.7078136031597166</v>
      </c>
      <c r="BC95" s="150">
        <f t="shared" si="205"/>
        <v>1.1457338151880985</v>
      </c>
      <c r="BD95" s="150"/>
      <c r="BE95" s="456">
        <f t="shared" si="206"/>
        <v>0.35480469648860641</v>
      </c>
      <c r="BF95" s="456">
        <f t="shared" si="207"/>
        <v>3.8589294860424981</v>
      </c>
      <c r="BG95" s="456">
        <f t="shared" si="208"/>
        <v>2.6941763487831713E-2</v>
      </c>
      <c r="BH95" s="456">
        <f t="shared" si="209"/>
        <v>0.50667267237511981</v>
      </c>
      <c r="BI95">
        <f t="shared" si="210"/>
        <v>1.5202084610409002E-2</v>
      </c>
      <c r="BJ95" s="144">
        <f t="shared" si="278"/>
        <v>42.143848098240717</v>
      </c>
      <c r="BK95">
        <f t="shared" si="211"/>
        <v>5.2595965017723652</v>
      </c>
      <c r="BL95" s="144">
        <f t="shared" si="279"/>
        <v>5259.5965017723647</v>
      </c>
      <c r="BM95" s="150">
        <f t="shared" si="212"/>
        <v>2.4141599999999999</v>
      </c>
      <c r="BN95" s="150">
        <f t="shared" si="213"/>
        <v>0.36643500000000001</v>
      </c>
      <c r="BO95" s="456"/>
      <c r="BQ95" s="144">
        <f t="shared" si="280"/>
        <v>2780.5949999999998</v>
      </c>
      <c r="BR95" s="456">
        <f t="shared" si="214"/>
        <v>0.41393881257004078</v>
      </c>
      <c r="BS95" s="456">
        <f t="shared" si="215"/>
        <v>0.45610790579781152</v>
      </c>
      <c r="BT95" s="456">
        <f t="shared" si="216"/>
        <v>6.563529876327379E-3</v>
      </c>
      <c r="BU95" s="456">
        <f t="shared" si="217"/>
        <v>30.592766673131511</v>
      </c>
      <c r="BV95" s="456">
        <f t="shared" si="218"/>
        <v>34.068980798145361</v>
      </c>
      <c r="BW95" s="538">
        <f t="shared" si="219"/>
        <v>4.5665773801224816</v>
      </c>
      <c r="BX95" s="144">
        <f t="shared" si="281"/>
        <v>38635.558178267842</v>
      </c>
      <c r="BY95" s="150">
        <f t="shared" si="282"/>
        <v>46.675749680040205</v>
      </c>
      <c r="BZ95" s="5">
        <f t="shared" si="283"/>
        <v>112.59</v>
      </c>
      <c r="CA95" s="150">
        <f t="shared" si="284"/>
        <v>0.70693165496153254</v>
      </c>
      <c r="CB95" s="5">
        <f t="shared" si="285"/>
        <v>70.693165496153256</v>
      </c>
      <c r="CC95">
        <f t="shared" si="286"/>
        <v>90</v>
      </c>
      <c r="CE95" s="59">
        <f t="shared" si="220"/>
        <v>-50</v>
      </c>
      <c r="CF95">
        <f t="shared" si="221"/>
        <v>-50</v>
      </c>
      <c r="CG95" s="150">
        <f t="shared" si="222"/>
        <v>0.52186043457008313</v>
      </c>
      <c r="CH95" s="150">
        <f t="shared" si="223"/>
        <v>0.11015112407727178</v>
      </c>
      <c r="CI95" s="147">
        <v>90</v>
      </c>
      <c r="CJ95" s="188">
        <f t="shared" si="308"/>
        <v>3.6</v>
      </c>
      <c r="CK95" s="188">
        <f t="shared" si="287"/>
        <v>0.76500000000000001</v>
      </c>
      <c r="CL95" s="188">
        <f t="shared" si="224"/>
        <v>108</v>
      </c>
      <c r="CM95" s="188">
        <f t="shared" si="309"/>
        <v>4.59</v>
      </c>
      <c r="CN95" s="465">
        <f t="shared" si="288"/>
        <v>34</v>
      </c>
      <c r="CO95" s="379">
        <f t="shared" si="225"/>
        <v>30.7</v>
      </c>
      <c r="CP95" s="379">
        <f t="shared" si="226"/>
        <v>64.7</v>
      </c>
      <c r="CQ95" s="379"/>
      <c r="CR95" s="188">
        <f t="shared" si="227"/>
        <v>0.47204968944099374</v>
      </c>
      <c r="CS95" s="149">
        <f t="shared" si="289"/>
        <v>233.26341749863801</v>
      </c>
      <c r="CT95" s="149">
        <f t="shared" si="228"/>
        <v>9.9136952436921142</v>
      </c>
      <c r="CU95" s="188">
        <f t="shared" si="229"/>
        <v>7.7754472499545999</v>
      </c>
      <c r="CV95" s="188">
        <f t="shared" si="230"/>
        <v>38.877236249772999</v>
      </c>
      <c r="CW95" s="379">
        <f t="shared" si="231"/>
        <v>30</v>
      </c>
      <c r="CX95" s="188">
        <f t="shared" si="232"/>
        <v>14.030178018575853</v>
      </c>
      <c r="CY95" s="188">
        <f t="shared" si="233"/>
        <v>1.9394657849207797</v>
      </c>
      <c r="CZ95" s="188">
        <f t="shared" si="234"/>
        <v>2.1479425631044466</v>
      </c>
      <c r="DA95" s="172">
        <f t="shared" si="235"/>
        <v>350</v>
      </c>
      <c r="DB95" s="379">
        <f t="shared" si="290"/>
        <v>244.65380379308954</v>
      </c>
      <c r="DD95" s="188">
        <f t="shared" si="236"/>
        <v>9.8072469146822137</v>
      </c>
      <c r="DE95" s="150">
        <f t="shared" si="237"/>
        <v>1.5014351954073746</v>
      </c>
      <c r="DF95" s="150">
        <f t="shared" si="238"/>
        <v>2.4718134248028734</v>
      </c>
      <c r="DG95" s="150"/>
      <c r="DH95" s="150">
        <f t="shared" si="239"/>
        <v>0.92784522751949461</v>
      </c>
      <c r="DI95" s="314">
        <f t="shared" si="240"/>
        <v>1334.8023606382983</v>
      </c>
      <c r="DJ95" s="456">
        <f t="shared" si="241"/>
        <v>0.94395997276890675</v>
      </c>
      <c r="DL95" s="150">
        <f t="shared" si="242"/>
        <v>11.699894785591919</v>
      </c>
      <c r="DM95" s="150">
        <f t="shared" si="243"/>
        <v>14.030178018575853</v>
      </c>
      <c r="DN95" s="150">
        <f t="shared" si="244"/>
        <v>7.1033866355331803</v>
      </c>
      <c r="DP95" s="314">
        <f t="shared" si="245"/>
        <v>3600</v>
      </c>
      <c r="DQ95" s="144">
        <f t="shared" si="246"/>
        <v>244.65380379308954</v>
      </c>
      <c r="DS95">
        <f>IF(CL95&gt;CS95, "",DP95)</f>
        <v>3600</v>
      </c>
      <c r="DT95">
        <f>IF(CL95&gt;CS95, "",DQ95)</f>
        <v>244.65380379308954</v>
      </c>
      <c r="DV95" s="5">
        <f t="shared" si="292"/>
        <v>4.0874083480252263</v>
      </c>
      <c r="DW95" s="5">
        <f t="shared" si="248"/>
        <v>1.9394657849207797</v>
      </c>
      <c r="DX95" s="5">
        <f t="shared" si="293"/>
        <v>2.1479425631044466</v>
      </c>
      <c r="DY95" s="150">
        <f t="shared" si="294"/>
        <v>0.47449768160741884</v>
      </c>
      <c r="EA95" s="5">
        <f t="shared" si="249"/>
        <v>23.273589419049355</v>
      </c>
      <c r="EB95" s="5">
        <f t="shared" si="250"/>
        <v>24.728188757739943</v>
      </c>
      <c r="EC95" s="5">
        <f t="shared" si="251"/>
        <v>4.0134566923058852</v>
      </c>
      <c r="ED95" s="5"/>
      <c r="EE95" s="150">
        <f t="shared" si="295"/>
        <v>5.579812449714348</v>
      </c>
      <c r="EF95" s="150">
        <f t="shared" si="252"/>
        <v>5.6326635232125355</v>
      </c>
      <c r="EG95" s="150">
        <f t="shared" si="253"/>
        <v>1.1306488818325469</v>
      </c>
      <c r="EH95" s="150"/>
      <c r="EI95" s="456">
        <f t="shared" si="254"/>
        <v>0.37361168368784681</v>
      </c>
      <c r="EJ95" s="456">
        <f t="shared" si="255"/>
        <v>4.219617021276596</v>
      </c>
      <c r="EK95" s="456">
        <f t="shared" si="256"/>
        <v>2.81351874362053E-2</v>
      </c>
      <c r="EL95" s="456">
        <f t="shared" si="257"/>
        <v>0.5299939204867109</v>
      </c>
      <c r="EM95">
        <f t="shared" si="258"/>
        <v>1.5299999999999999E-2</v>
      </c>
      <c r="EN95" s="144">
        <f t="shared" si="296"/>
        <v>43.435187436205304</v>
      </c>
      <c r="EO95">
        <f t="shared" si="259"/>
        <v>5.7806851770814776</v>
      </c>
      <c r="EP95" s="144">
        <f t="shared" si="297"/>
        <v>5780.6851770814774</v>
      </c>
      <c r="EQ95" s="150">
        <f t="shared" si="260"/>
        <v>2.4141599999999999</v>
      </c>
      <c r="ER95" s="150">
        <f t="shared" si="261"/>
        <v>0.36643500000000001</v>
      </c>
      <c r="ES95" s="456"/>
      <c r="EU95" s="144">
        <f t="shared" si="298"/>
        <v>2780.5949999999998</v>
      </c>
      <c r="EV95" s="456">
        <f t="shared" si="262"/>
        <v>0.43588029763582126</v>
      </c>
      <c r="EW95" s="456">
        <f t="shared" si="299"/>
        <v>0.44417657712020675</v>
      </c>
      <c r="EX95" s="456">
        <f t="shared" si="263"/>
        <v>6.3918344699459432E-3</v>
      </c>
      <c r="EY95" s="456">
        <f t="shared" si="264"/>
        <v>34.515000905941115</v>
      </c>
      <c r="EZ95" s="456">
        <f t="shared" si="265"/>
        <v>38.332587093400278</v>
      </c>
      <c r="FA95" s="538">
        <f t="shared" si="266"/>
        <v>4.8159097029792086</v>
      </c>
      <c r="FB95" s="144">
        <f t="shared" si="300"/>
        <v>43148.496796379492</v>
      </c>
      <c r="FC95" s="150">
        <f t="shared" si="301"/>
        <v>51.709776973460961</v>
      </c>
      <c r="FD95" s="5">
        <f t="shared" si="302"/>
        <v>112.59</v>
      </c>
      <c r="FE95" s="150">
        <f t="shared" si="303"/>
        <v>0.68527177622515256</v>
      </c>
      <c r="FF95" s="5">
        <f t="shared" si="304"/>
        <v>68.527177622515254</v>
      </c>
      <c r="FG95">
        <f t="shared" si="305"/>
        <v>90</v>
      </c>
      <c r="FI95" s="59">
        <f t="shared" si="267"/>
        <v>-50</v>
      </c>
      <c r="FJ95">
        <f t="shared" si="268"/>
        <v>-50</v>
      </c>
      <c r="FL95">
        <f t="shared" si="269"/>
        <v>0.52186043457008313</v>
      </c>
    </row>
    <row r="96" spans="5:168">
      <c r="E96" s="147">
        <v>91</v>
      </c>
      <c r="F96" s="188">
        <f t="shared" si="306"/>
        <v>3.64</v>
      </c>
      <c r="G96" s="188">
        <f t="shared" si="270"/>
        <v>0.77349999999999997</v>
      </c>
      <c r="H96" s="188">
        <f t="shared" si="175"/>
        <v>109.2</v>
      </c>
      <c r="I96" s="188">
        <f t="shared" si="307"/>
        <v>4.641</v>
      </c>
      <c r="J96" s="465">
        <f t="shared" si="176"/>
        <v>33.779992581412827</v>
      </c>
      <c r="K96" s="379">
        <f t="shared" si="177"/>
        <v>30.865831262758476</v>
      </c>
      <c r="L96" s="149">
        <f t="shared" si="178"/>
        <v>64.645823844171304</v>
      </c>
      <c r="M96" s="379"/>
      <c r="N96" s="188">
        <f t="shared" si="179"/>
        <v>0.47746056013085292</v>
      </c>
      <c r="O96" s="149">
        <f t="shared" si="271"/>
        <v>234.41049602699553</v>
      </c>
      <c r="P96" s="149">
        <f t="shared" si="180"/>
        <v>9.9624460811473092</v>
      </c>
      <c r="Q96" s="188">
        <f t="shared" si="181"/>
        <v>7.8136832008998507</v>
      </c>
      <c r="R96" s="188">
        <f t="shared" si="182"/>
        <v>39.068416004499255</v>
      </c>
      <c r="S96" s="379">
        <f t="shared" si="183"/>
        <v>30</v>
      </c>
      <c r="T96" s="188">
        <f t="shared" si="184"/>
        <v>14.116649916178767</v>
      </c>
      <c r="U96" s="188">
        <f t="shared" si="185"/>
        <v>1.9641287500621831</v>
      </c>
      <c r="V96" s="188">
        <f t="shared" si="186"/>
        <v>2.1495696662507662</v>
      </c>
      <c r="W96" s="172">
        <f t="shared" si="187"/>
        <v>350</v>
      </c>
      <c r="X96" s="379">
        <f t="shared" si="272"/>
        <v>231.81963676884268</v>
      </c>
      <c r="Z96" s="188">
        <f t="shared" si="188"/>
        <v>9.8046286803267009</v>
      </c>
      <c r="AA96" s="150">
        <f t="shared" si="189"/>
        <v>1.492969828197563</v>
      </c>
      <c r="AB96" s="150">
        <f t="shared" si="190"/>
        <v>2.4572207092292029</v>
      </c>
      <c r="AC96" s="150"/>
      <c r="AD96" s="150">
        <f t="shared" si="191"/>
        <v>0.92286024122788513</v>
      </c>
      <c r="AE96" s="314">
        <f t="shared" si="192"/>
        <v>1356.9237724813602</v>
      </c>
      <c r="AF96" s="456">
        <f t="shared" si="193"/>
        <v>0.93888840761502723</v>
      </c>
      <c r="AH96" s="150">
        <f t="shared" si="194"/>
        <v>11.764714643300868</v>
      </c>
      <c r="AI96" s="150">
        <f t="shared" si="195"/>
        <v>14.116649916178767</v>
      </c>
      <c r="AJ96" s="150">
        <f t="shared" si="196"/>
        <v>7.1674398930168204</v>
      </c>
      <c r="AL96" s="314">
        <f t="shared" si="197"/>
        <v>3640</v>
      </c>
      <c r="AM96" s="144">
        <f t="shared" si="198"/>
        <v>231.81963676884268</v>
      </c>
      <c r="AO96">
        <f t="shared" si="273"/>
        <v>3640</v>
      </c>
      <c r="AP96">
        <f t="shared" si="199"/>
        <v>231.81963676884268</v>
      </c>
      <c r="AR96" s="5">
        <f t="shared" si="274"/>
        <v>4.3136984163129499</v>
      </c>
      <c r="AS96" s="5">
        <f t="shared" si="200"/>
        <v>1.9641287500621831</v>
      </c>
      <c r="AT96" s="5">
        <f t="shared" si="275"/>
        <v>2.3495696662507668</v>
      </c>
      <c r="AU96" s="150">
        <f t="shared" si="276"/>
        <v>0.45532361340665628</v>
      </c>
      <c r="AW96" s="5">
        <f t="shared" si="201"/>
        <v>23.83142883408782</v>
      </c>
      <c r="AX96" s="5">
        <f t="shared" si="202"/>
        <v>25.320893136218313</v>
      </c>
      <c r="AY96" s="5">
        <f t="shared" si="203"/>
        <v>4.4678902222306958</v>
      </c>
      <c r="AZ96" s="5"/>
      <c r="BA96" s="150">
        <f t="shared" si="277"/>
        <v>5.4996000104851408</v>
      </c>
      <c r="BB96" s="150">
        <f t="shared" si="204"/>
        <v>5.7698460753916372</v>
      </c>
      <c r="BC96" s="150">
        <f t="shared" si="205"/>
        <v>1.1581856410564981</v>
      </c>
      <c r="BD96" s="150"/>
      <c r="BE96" s="456">
        <f t="shared" si="206"/>
        <v>0.36294720330393793</v>
      </c>
      <c r="BF96" s="456">
        <f t="shared" si="207"/>
        <v>3.860870268648338</v>
      </c>
      <c r="BG96" s="456">
        <f t="shared" si="208"/>
        <v>2.6659258228416912E-2</v>
      </c>
      <c r="BH96" s="456">
        <f t="shared" si="209"/>
        <v>0.50135058272175681</v>
      </c>
      <c r="BI96">
        <f t="shared" si="210"/>
        <v>1.5200996661635772E-2</v>
      </c>
      <c r="BJ96" s="144">
        <f t="shared" si="278"/>
        <v>41.860254890052687</v>
      </c>
      <c r="BK96">
        <f t="shared" si="211"/>
        <v>5.2783488386615129</v>
      </c>
      <c r="BL96" s="144">
        <f t="shared" si="279"/>
        <v>5278.3488386615127</v>
      </c>
      <c r="BM96" s="150">
        <f t="shared" si="212"/>
        <v>2.4409839999999998</v>
      </c>
      <c r="BN96" s="150">
        <f t="shared" si="213"/>
        <v>0.37050649999999996</v>
      </c>
      <c r="BO96" s="456"/>
      <c r="BQ96" s="144">
        <f t="shared" si="280"/>
        <v>2811.4904999999999</v>
      </c>
      <c r="BR96" s="456">
        <f t="shared" si="214"/>
        <v>0.42343840385459425</v>
      </c>
      <c r="BS96" s="456">
        <f t="shared" si="215"/>
        <v>0.46607573227197185</v>
      </c>
      <c r="BT96" s="456">
        <f t="shared" si="216"/>
        <v>6.7069698957472577E-3</v>
      </c>
      <c r="BU96" s="456">
        <f t="shared" si="217"/>
        <v>30.631951690985577</v>
      </c>
      <c r="BV96" s="456">
        <f t="shared" si="218"/>
        <v>34.194965873281021</v>
      </c>
      <c r="BW96" s="538">
        <f t="shared" si="219"/>
        <v>4.6196971977072181</v>
      </c>
      <c r="BX96" s="144">
        <f t="shared" si="281"/>
        <v>38814.663070988237</v>
      </c>
      <c r="BY96" s="150">
        <f t="shared" si="282"/>
        <v>46.904502409649751</v>
      </c>
      <c r="BZ96" s="5">
        <f t="shared" si="283"/>
        <v>113.84100000000001</v>
      </c>
      <c r="CA96" s="150">
        <f t="shared" si="284"/>
        <v>0.70820643995303467</v>
      </c>
      <c r="CB96" s="5">
        <f t="shared" si="285"/>
        <v>70.82064399530347</v>
      </c>
      <c r="CC96">
        <f t="shared" si="286"/>
        <v>91</v>
      </c>
      <c r="CE96" s="59">
        <f t="shared" si="220"/>
        <v>-50</v>
      </c>
      <c r="CF96">
        <f t="shared" si="221"/>
        <v>-50</v>
      </c>
      <c r="CG96" s="150">
        <f t="shared" si="222"/>
        <v>0.52186043457008324</v>
      </c>
      <c r="CH96" s="150">
        <f t="shared" si="223"/>
        <v>0.11015112407727182</v>
      </c>
      <c r="CI96" s="147">
        <v>91</v>
      </c>
      <c r="CJ96" s="188">
        <f t="shared" si="308"/>
        <v>3.64</v>
      </c>
      <c r="CK96" s="188">
        <f t="shared" si="287"/>
        <v>0.77349999999999997</v>
      </c>
      <c r="CL96" s="188">
        <f t="shared" si="224"/>
        <v>109.2</v>
      </c>
      <c r="CM96" s="188">
        <f t="shared" si="309"/>
        <v>4.641</v>
      </c>
      <c r="CN96" s="465">
        <f t="shared" si="288"/>
        <v>34</v>
      </c>
      <c r="CO96" s="379">
        <f t="shared" si="225"/>
        <v>30.7</v>
      </c>
      <c r="CP96" s="379">
        <f t="shared" si="226"/>
        <v>64.7</v>
      </c>
      <c r="CQ96" s="379"/>
      <c r="CR96" s="188">
        <f t="shared" si="227"/>
        <v>0.47204968944099374</v>
      </c>
      <c r="CS96" s="149">
        <f t="shared" si="289"/>
        <v>233.26341749863801</v>
      </c>
      <c r="CT96" s="149">
        <f t="shared" si="228"/>
        <v>9.9136952436921142</v>
      </c>
      <c r="CU96" s="188">
        <f t="shared" si="229"/>
        <v>7.7754472499545999</v>
      </c>
      <c r="CV96" s="188">
        <f t="shared" si="230"/>
        <v>38.877236249772999</v>
      </c>
      <c r="CW96" s="379">
        <f t="shared" si="231"/>
        <v>30</v>
      </c>
      <c r="CX96" s="188">
        <f t="shared" si="232"/>
        <v>14.186068885448918</v>
      </c>
      <c r="CY96" s="188">
        <f t="shared" si="233"/>
        <v>1.9610154047532324</v>
      </c>
      <c r="CZ96" s="188">
        <f t="shared" si="234"/>
        <v>2.1718085915833845</v>
      </c>
      <c r="DA96" s="172">
        <f t="shared" si="235"/>
        <v>350</v>
      </c>
      <c r="DB96" s="379">
        <f t="shared" si="290"/>
        <v>241.96530045470399</v>
      </c>
      <c r="DD96" s="188">
        <f t="shared" si="236"/>
        <v>9.8072469146822137</v>
      </c>
      <c r="DE96" s="150">
        <f t="shared" si="237"/>
        <v>1.5014351954073746</v>
      </c>
      <c r="DF96" s="150">
        <f t="shared" si="238"/>
        <v>2.4718134248028734</v>
      </c>
      <c r="DG96" s="150"/>
      <c r="DH96" s="150">
        <f t="shared" si="239"/>
        <v>0.92784522751949461</v>
      </c>
      <c r="DI96" s="314">
        <f t="shared" si="240"/>
        <v>1349.6334979787234</v>
      </c>
      <c r="DJ96" s="456">
        <f t="shared" si="241"/>
        <v>0.94395997276890675</v>
      </c>
      <c r="DL96" s="150">
        <f t="shared" si="242"/>
        <v>11.764714643300868</v>
      </c>
      <c r="DM96" s="150">
        <f t="shared" si="243"/>
        <v>14.186068885448918</v>
      </c>
      <c r="DN96" s="150">
        <f t="shared" si="244"/>
        <v>7.2188613517354501</v>
      </c>
      <c r="DP96" s="314">
        <f t="shared" si="245"/>
        <v>3640</v>
      </c>
      <c r="DQ96" s="144">
        <f t="shared" si="246"/>
        <v>241.96530045470399</v>
      </c>
      <c r="DS96">
        <f t="shared" ref="DS96:DS105" si="310">IF(CL96&gt;CS96, "",DP96)</f>
        <v>3640</v>
      </c>
      <c r="DT96">
        <f t="shared" ref="DT96:DT105" si="311">IF(CL96&gt;CS96, "",DQ96)</f>
        <v>241.96530045470399</v>
      </c>
      <c r="DV96" s="5">
        <f t="shared" si="292"/>
        <v>4.1328239963366169</v>
      </c>
      <c r="DW96" s="5">
        <f t="shared" si="248"/>
        <v>1.9610154047532324</v>
      </c>
      <c r="DX96" s="5">
        <f t="shared" si="293"/>
        <v>2.1718085915833845</v>
      </c>
      <c r="DY96" s="150">
        <f t="shared" si="294"/>
        <v>0.47449768160741884</v>
      </c>
      <c r="EA96" s="5">
        <f t="shared" si="249"/>
        <v>23.793653577672554</v>
      </c>
      <c r="EB96" s="5">
        <f t="shared" si="250"/>
        <v>25.280756926277089</v>
      </c>
      <c r="EC96" s="5">
        <f t="shared" si="251"/>
        <v>4.103140107282103</v>
      </c>
      <c r="ED96" s="5"/>
      <c r="EE96" s="150">
        <f t="shared" si="295"/>
        <v>5.6418103658222849</v>
      </c>
      <c r="EF96" s="150">
        <f t="shared" si="252"/>
        <v>5.6952486734704522</v>
      </c>
      <c r="EG96" s="150">
        <f t="shared" si="253"/>
        <v>1.1432116471862417</v>
      </c>
      <c r="EH96" s="150"/>
      <c r="EI96" s="456">
        <f t="shared" si="254"/>
        <v>0.38196029044679741</v>
      </c>
      <c r="EJ96" s="456">
        <f t="shared" si="255"/>
        <v>4.2196170212765978</v>
      </c>
      <c r="EK96" s="456">
        <f t="shared" si="256"/>
        <v>2.7826009552290962E-2</v>
      </c>
      <c r="EL96" s="456">
        <f t="shared" si="257"/>
        <v>0.52416981147037356</v>
      </c>
      <c r="EM96">
        <f t="shared" si="258"/>
        <v>1.5299999999999999E-2</v>
      </c>
      <c r="EN96" s="144">
        <f t="shared" si="296"/>
        <v>43.126009552290959</v>
      </c>
      <c r="EO96">
        <f t="shared" si="259"/>
        <v>5.7982119785468216</v>
      </c>
      <c r="EP96" s="144">
        <f t="shared" si="297"/>
        <v>5798.2119785468212</v>
      </c>
      <c r="EQ96" s="150">
        <f t="shared" si="260"/>
        <v>2.4409839999999998</v>
      </c>
      <c r="ER96" s="150">
        <f t="shared" si="261"/>
        <v>0.37050649999999996</v>
      </c>
      <c r="ES96" s="456"/>
      <c r="EU96" s="144">
        <f t="shared" si="298"/>
        <v>2811.4904999999999</v>
      </c>
      <c r="EV96" s="456">
        <f t="shared" si="262"/>
        <v>0.44562033885459701</v>
      </c>
      <c r="EW96" s="456">
        <f t="shared" si="299"/>
        <v>0.45410200433733722</v>
      </c>
      <c r="EX96" s="456">
        <f t="shared" si="263"/>
        <v>6.5346643513114E-3</v>
      </c>
      <c r="EY96" s="456">
        <f t="shared" si="264"/>
        <v>34.515000905941143</v>
      </c>
      <c r="EZ96" s="456">
        <f t="shared" si="265"/>
        <v>38.424561871953735</v>
      </c>
      <c r="FA96" s="538">
        <f t="shared" si="266"/>
        <v>4.8694198107900899</v>
      </c>
      <c r="FB96" s="144">
        <f t="shared" si="300"/>
        <v>43293.981682743826</v>
      </c>
      <c r="FC96" s="150">
        <f t="shared" si="301"/>
        <v>51.903684161290649</v>
      </c>
      <c r="FD96" s="5">
        <f t="shared" si="302"/>
        <v>113.84100000000001</v>
      </c>
      <c r="FE96" s="150">
        <f t="shared" si="303"/>
        <v>0.68684555752761423</v>
      </c>
      <c r="FF96" s="5">
        <f t="shared" si="304"/>
        <v>68.684555752761426</v>
      </c>
      <c r="FG96">
        <f t="shared" si="305"/>
        <v>91</v>
      </c>
      <c r="FI96" s="59">
        <f t="shared" si="267"/>
        <v>-50</v>
      </c>
      <c r="FJ96">
        <f t="shared" si="268"/>
        <v>-50</v>
      </c>
      <c r="FL96">
        <f t="shared" si="269"/>
        <v>0.52186043457008324</v>
      </c>
    </row>
    <row r="97" spans="5:169">
      <c r="E97" s="147">
        <v>92</v>
      </c>
      <c r="F97" s="188">
        <f t="shared" si="306"/>
        <v>3.68</v>
      </c>
      <c r="G97" s="188">
        <f t="shared" si="270"/>
        <v>0.78200000000000003</v>
      </c>
      <c r="H97" s="188">
        <f t="shared" si="175"/>
        <v>110.4</v>
      </c>
      <c r="I97" s="188">
        <f t="shared" si="307"/>
        <v>4.6920000000000002</v>
      </c>
      <c r="J97" s="465">
        <f t="shared" si="176"/>
        <v>33.777574917472307</v>
      </c>
      <c r="K97" s="379">
        <f t="shared" si="177"/>
        <v>30.86765358432725</v>
      </c>
      <c r="L97" s="149">
        <f t="shared" si="178"/>
        <v>64.645228501799551</v>
      </c>
      <c r="M97" s="379"/>
      <c r="N97" s="188">
        <f t="shared" si="179"/>
        <v>0.47749314682162469</v>
      </c>
      <c r="O97" s="149">
        <f t="shared" si="271"/>
        <v>234.4097164355357</v>
      </c>
      <c r="P97" s="149">
        <f t="shared" si="180"/>
        <v>9.9624129485102646</v>
      </c>
      <c r="Q97" s="188">
        <f t="shared" si="181"/>
        <v>7.8136572145178569</v>
      </c>
      <c r="R97" s="188">
        <f t="shared" si="182"/>
        <v>39.068286072589281</v>
      </c>
      <c r="S97" s="379">
        <f t="shared" si="183"/>
        <v>30</v>
      </c>
      <c r="T97" s="188">
        <f t="shared" si="184"/>
        <v>14.271825401804833</v>
      </c>
      <c r="U97" s="188">
        <f t="shared" si="185"/>
        <v>1.9858613163429071</v>
      </c>
      <c r="V97" s="188">
        <f t="shared" si="186"/>
        <v>2.1730702401863389</v>
      </c>
      <c r="W97" s="172">
        <f t="shared" si="187"/>
        <v>350</v>
      </c>
      <c r="X97" s="379">
        <f t="shared" si="272"/>
        <v>229.41401741032143</v>
      </c>
      <c r="Z97" s="188">
        <f t="shared" si="188"/>
        <v>9.8045960725513854</v>
      </c>
      <c r="AA97" s="150">
        <f t="shared" si="189"/>
        <v>1.4928767233667868</v>
      </c>
      <c r="AB97" s="150">
        <f t="shared" si="190"/>
        <v>2.4570593000258429</v>
      </c>
      <c r="AC97" s="150"/>
      <c r="AD97" s="150">
        <f t="shared" si="191"/>
        <v>0.92280575868945824</v>
      </c>
      <c r="AE97" s="314">
        <f t="shared" si="192"/>
        <v>1371.916015996642</v>
      </c>
      <c r="AF97" s="456">
        <f t="shared" si="193"/>
        <v>0.93883297882802241</v>
      </c>
      <c r="AH97" s="150">
        <f t="shared" si="194"/>
        <v>11.829179315686901</v>
      </c>
      <c r="AI97" s="150">
        <f t="shared" si="195"/>
        <v>14.271825401804833</v>
      </c>
      <c r="AJ97" s="150">
        <f t="shared" si="196"/>
        <v>7.2823846971842761</v>
      </c>
      <c r="AL97" s="314">
        <f t="shared" si="197"/>
        <v>3680</v>
      </c>
      <c r="AM97" s="144">
        <f t="shared" si="198"/>
        <v>229.41401741032143</v>
      </c>
      <c r="AO97">
        <f t="shared" si="273"/>
        <v>3680</v>
      </c>
      <c r="AP97">
        <f t="shared" si="199"/>
        <v>229.41401741032143</v>
      </c>
      <c r="AR97" s="5">
        <f t="shared" si="274"/>
        <v>4.3589315565292459</v>
      </c>
      <c r="AS97" s="5">
        <f t="shared" si="200"/>
        <v>1.9858613163429071</v>
      </c>
      <c r="AT97" s="5">
        <f t="shared" si="275"/>
        <v>2.3730702401863386</v>
      </c>
      <c r="AU97" s="150">
        <f t="shared" si="276"/>
        <v>0.45558442260197557</v>
      </c>
      <c r="AW97" s="5">
        <f t="shared" si="201"/>
        <v>24.359898813806325</v>
      </c>
      <c r="AX97" s="5">
        <f t="shared" si="202"/>
        <v>25.882392489669222</v>
      </c>
      <c r="AY97" s="5">
        <f t="shared" si="203"/>
        <v>4.5624937142934119</v>
      </c>
      <c r="AZ97" s="5"/>
      <c r="BA97" s="150">
        <f t="shared" si="277"/>
        <v>5.5616458371653872</v>
      </c>
      <c r="BB97" s="150">
        <f t="shared" si="204"/>
        <v>5.8318736280420937</v>
      </c>
      <c r="BC97" s="150">
        <f t="shared" si="205"/>
        <v>1.1706364794135262</v>
      </c>
      <c r="BD97" s="150"/>
      <c r="BE97" s="456">
        <f t="shared" si="206"/>
        <v>0.37118285301670895</v>
      </c>
      <c r="BF97" s="456">
        <f t="shared" si="207"/>
        <v>3.8627697158063161</v>
      </c>
      <c r="BG97" s="456">
        <f t="shared" si="208"/>
        <v>2.6382612002186969E-2</v>
      </c>
      <c r="BH97" s="456">
        <f t="shared" si="209"/>
        <v>0.49613887105577487</v>
      </c>
      <c r="BI97">
        <f t="shared" si="210"/>
        <v>1.5199908712862538E-2</v>
      </c>
      <c r="BJ97" s="144">
        <f t="shared" si="278"/>
        <v>41.582520715049505</v>
      </c>
      <c r="BK97">
        <f t="shared" si="211"/>
        <v>5.2975147736595334</v>
      </c>
      <c r="BL97" s="144">
        <f t="shared" si="279"/>
        <v>5297.5147736595336</v>
      </c>
      <c r="BM97" s="150">
        <f t="shared" si="212"/>
        <v>2.4678079999999998</v>
      </c>
      <c r="BN97" s="150">
        <f t="shared" si="213"/>
        <v>0.37457800000000002</v>
      </c>
      <c r="BO97" s="456"/>
      <c r="BQ97" s="144">
        <f t="shared" si="280"/>
        <v>2842.386</v>
      </c>
      <c r="BR97" s="456">
        <f t="shared" si="214"/>
        <v>0.43304666185282714</v>
      </c>
      <c r="BS97" s="456">
        <f t="shared" si="215"/>
        <v>0.47615050018833999</v>
      </c>
      <c r="BT97" s="456">
        <f t="shared" si="216"/>
        <v>6.8519488346684768E-3</v>
      </c>
      <c r="BU97" s="456">
        <f t="shared" si="217"/>
        <v>30.670347016245596</v>
      </c>
      <c r="BV97" s="456">
        <f t="shared" si="218"/>
        <v>34.321459295456783</v>
      </c>
      <c r="BW97" s="538">
        <f t="shared" si="219"/>
        <v>4.6728194204954141</v>
      </c>
      <c r="BX97" s="144">
        <f t="shared" si="281"/>
        <v>38994.278715952198</v>
      </c>
      <c r="BY97" s="150">
        <f t="shared" si="282"/>
        <v>47.134179489611732</v>
      </c>
      <c r="BZ97" s="5">
        <f t="shared" si="283"/>
        <v>115.09200000000001</v>
      </c>
      <c r="CA97" s="150">
        <f t="shared" si="284"/>
        <v>0.70945392637672267</v>
      </c>
      <c r="CB97" s="5">
        <f t="shared" si="285"/>
        <v>70.945392637672271</v>
      </c>
      <c r="CC97">
        <f t="shared" si="286"/>
        <v>92</v>
      </c>
      <c r="CE97" s="59">
        <f t="shared" si="220"/>
        <v>-50</v>
      </c>
      <c r="CF97">
        <f t="shared" si="221"/>
        <v>-50</v>
      </c>
      <c r="CG97" s="150">
        <f t="shared" si="222"/>
        <v>0.52186043457008313</v>
      </c>
      <c r="CH97" s="150">
        <f t="shared" si="223"/>
        <v>0.11015112407727178</v>
      </c>
      <c r="CI97" s="147">
        <v>92</v>
      </c>
      <c r="CJ97" s="188">
        <f t="shared" si="308"/>
        <v>3.68</v>
      </c>
      <c r="CK97" s="188">
        <f t="shared" si="287"/>
        <v>0.78200000000000003</v>
      </c>
      <c r="CL97" s="188">
        <f t="shared" si="224"/>
        <v>110.4</v>
      </c>
      <c r="CM97" s="188">
        <f t="shared" si="309"/>
        <v>4.6920000000000002</v>
      </c>
      <c r="CN97" s="465">
        <f t="shared" si="288"/>
        <v>34</v>
      </c>
      <c r="CO97" s="379">
        <f t="shared" si="225"/>
        <v>30.7</v>
      </c>
      <c r="CP97" s="379">
        <f t="shared" si="226"/>
        <v>64.7</v>
      </c>
      <c r="CQ97" s="379"/>
      <c r="CR97" s="188">
        <f t="shared" si="227"/>
        <v>0.47204968944099374</v>
      </c>
      <c r="CS97" s="149">
        <f t="shared" si="289"/>
        <v>233.26341749863801</v>
      </c>
      <c r="CT97" s="149">
        <f t="shared" si="228"/>
        <v>9.9136952436921142</v>
      </c>
      <c r="CU97" s="188">
        <f t="shared" si="229"/>
        <v>7.7754472499545999</v>
      </c>
      <c r="CV97" s="188">
        <f t="shared" si="230"/>
        <v>38.877236249772999</v>
      </c>
      <c r="CW97" s="379">
        <f t="shared" si="231"/>
        <v>30</v>
      </c>
      <c r="CX97" s="188">
        <f t="shared" si="232"/>
        <v>14.341959752321984</v>
      </c>
      <c r="CY97" s="188">
        <f t="shared" si="233"/>
        <v>1.9825650245856856</v>
      </c>
      <c r="CZ97" s="188">
        <f t="shared" si="234"/>
        <v>2.1956746200623232</v>
      </c>
      <c r="DA97" s="172">
        <f t="shared" si="235"/>
        <v>350</v>
      </c>
      <c r="DB97" s="379">
        <f t="shared" si="290"/>
        <v>239.33524284106585</v>
      </c>
      <c r="DD97" s="188">
        <f t="shared" si="236"/>
        <v>9.8072469146822137</v>
      </c>
      <c r="DE97" s="150">
        <f t="shared" si="237"/>
        <v>1.5014351954073746</v>
      </c>
      <c r="DF97" s="150">
        <f t="shared" si="238"/>
        <v>2.4718134248028734</v>
      </c>
      <c r="DG97" s="150"/>
      <c r="DH97" s="150">
        <f t="shared" si="239"/>
        <v>0.92784522751949461</v>
      </c>
      <c r="DI97" s="314">
        <f t="shared" si="240"/>
        <v>1364.464635319149</v>
      </c>
      <c r="DJ97" s="456">
        <f t="shared" si="241"/>
        <v>0.94395997276890675</v>
      </c>
      <c r="DL97" s="150">
        <f t="shared" si="242"/>
        <v>11.829179315686901</v>
      </c>
      <c r="DM97" s="150">
        <f t="shared" si="243"/>
        <v>14.341959752321984</v>
      </c>
      <c r="DN97" s="150">
        <f t="shared" si="244"/>
        <v>7.3343360679377207</v>
      </c>
      <c r="DP97" s="314">
        <f t="shared" si="245"/>
        <v>3680</v>
      </c>
      <c r="DQ97" s="144">
        <f t="shared" si="246"/>
        <v>239.33524284106585</v>
      </c>
      <c r="DS97">
        <f t="shared" si="310"/>
        <v>3680</v>
      </c>
      <c r="DT97">
        <f t="shared" si="311"/>
        <v>239.33524284106585</v>
      </c>
      <c r="DV97" s="5">
        <f t="shared" si="292"/>
        <v>4.1782396446480101</v>
      </c>
      <c r="DW97" s="5">
        <f t="shared" si="248"/>
        <v>1.9825650245856856</v>
      </c>
      <c r="DX97" s="5">
        <f t="shared" si="293"/>
        <v>2.1956746200623245</v>
      </c>
      <c r="DY97" s="150">
        <f t="shared" si="294"/>
        <v>0.47449768160741868</v>
      </c>
      <c r="EA97" s="5">
        <f t="shared" si="249"/>
        <v>24.319464301584414</v>
      </c>
      <c r="EB97" s="5">
        <f t="shared" si="250"/>
        <v>25.839430820433435</v>
      </c>
      <c r="EC97" s="5">
        <f t="shared" si="251"/>
        <v>4.1938144992193873</v>
      </c>
      <c r="ED97" s="5"/>
      <c r="EE97" s="150">
        <f t="shared" si="295"/>
        <v>5.7038082819302218</v>
      </c>
      <c r="EF97" s="150">
        <f t="shared" si="252"/>
        <v>5.7578338237283706</v>
      </c>
      <c r="EG97" s="150">
        <f t="shared" si="253"/>
        <v>1.1557744125399372</v>
      </c>
      <c r="EH97" s="150"/>
      <c r="EI97" s="456">
        <f t="shared" si="254"/>
        <v>0.39040114700418949</v>
      </c>
      <c r="EJ97" s="456">
        <f t="shared" si="255"/>
        <v>4.219617021276596</v>
      </c>
      <c r="EK97" s="456">
        <f t="shared" si="256"/>
        <v>2.7523552926722577E-2</v>
      </c>
      <c r="EL97" s="456">
        <f t="shared" si="257"/>
        <v>0.51847231351960843</v>
      </c>
      <c r="EM97">
        <f t="shared" si="258"/>
        <v>1.5299999999999999E-2</v>
      </c>
      <c r="EN97" s="144">
        <f t="shared" si="296"/>
        <v>42.823552926722577</v>
      </c>
      <c r="EO97">
        <f t="shared" si="259"/>
        <v>5.8162320289258842</v>
      </c>
      <c r="EP97" s="144">
        <f t="shared" si="297"/>
        <v>5816.2320289258842</v>
      </c>
      <c r="EQ97" s="150">
        <f t="shared" si="260"/>
        <v>2.4678079999999998</v>
      </c>
      <c r="ER97" s="150">
        <f t="shared" si="261"/>
        <v>0.37457800000000002</v>
      </c>
      <c r="ES97" s="456"/>
      <c r="EU97" s="144">
        <f t="shared" si="298"/>
        <v>2842.386</v>
      </c>
      <c r="EV97" s="456">
        <f t="shared" si="262"/>
        <v>0.45546800483822109</v>
      </c>
      <c r="EW97" s="456">
        <f t="shared" si="299"/>
        <v>0.46413710478338654</v>
      </c>
      <c r="EX97" s="456">
        <f t="shared" si="263"/>
        <v>6.6790724634101855E-3</v>
      </c>
      <c r="EY97" s="456">
        <f t="shared" si="264"/>
        <v>34.515000905941143</v>
      </c>
      <c r="EZ97" s="456">
        <f t="shared" si="265"/>
        <v>38.517873011581557</v>
      </c>
      <c r="FA97" s="538">
        <f t="shared" si="266"/>
        <v>4.9229299186009703</v>
      </c>
      <c r="FB97" s="144">
        <f t="shared" si="300"/>
        <v>43440.80293018253</v>
      </c>
      <c r="FC97" s="150">
        <f t="shared" si="301"/>
        <v>52.099420959108414</v>
      </c>
      <c r="FD97" s="5">
        <f t="shared" si="302"/>
        <v>115.09200000000001</v>
      </c>
      <c r="FE97" s="150">
        <f t="shared" si="303"/>
        <v>0.68838460334725637</v>
      </c>
      <c r="FF97" s="5">
        <f t="shared" si="304"/>
        <v>68.838460334725639</v>
      </c>
      <c r="FG97">
        <f t="shared" si="305"/>
        <v>92</v>
      </c>
      <c r="FI97" s="59">
        <f t="shared" si="267"/>
        <v>-50</v>
      </c>
      <c r="FJ97">
        <f t="shared" si="268"/>
        <v>-50</v>
      </c>
      <c r="FL97">
        <f t="shared" si="269"/>
        <v>0.52186043457008313</v>
      </c>
    </row>
    <row r="98" spans="5:169">
      <c r="E98" s="147">
        <v>93</v>
      </c>
      <c r="F98" s="188">
        <f t="shared" si="306"/>
        <v>3.72</v>
      </c>
      <c r="G98" s="188">
        <f t="shared" si="270"/>
        <v>0.79049999999999998</v>
      </c>
      <c r="H98" s="188">
        <f t="shared" si="175"/>
        <v>111.60000000000001</v>
      </c>
      <c r="I98" s="188">
        <f t="shared" si="307"/>
        <v>4.7430000000000003</v>
      </c>
      <c r="J98" s="465">
        <f t="shared" si="176"/>
        <v>33.775157253531788</v>
      </c>
      <c r="K98" s="379">
        <f t="shared" si="177"/>
        <v>30.869475905896024</v>
      </c>
      <c r="L98" s="149">
        <f t="shared" si="178"/>
        <v>64.644633159427812</v>
      </c>
      <c r="M98" s="379"/>
      <c r="N98" s="188">
        <f t="shared" si="179"/>
        <v>0.47752573411260824</v>
      </c>
      <c r="O98" s="149">
        <f t="shared" si="271"/>
        <v>234.40893484865276</v>
      </c>
      <c r="P98" s="149">
        <f t="shared" si="180"/>
        <v>9.9623797310677418</v>
      </c>
      <c r="Q98" s="188">
        <f t="shared" si="181"/>
        <v>7.8136311616217586</v>
      </c>
      <c r="R98" s="188">
        <f t="shared" si="182"/>
        <v>39.068155808108791</v>
      </c>
      <c r="S98" s="379">
        <f t="shared" si="183"/>
        <v>30</v>
      </c>
      <c r="T98" s="188">
        <f t="shared" si="184"/>
        <v>14.427002042399405</v>
      </c>
      <c r="U98" s="188">
        <f t="shared" si="185"/>
        <v>2.007597154627216</v>
      </c>
      <c r="V98" s="188">
        <f t="shared" si="186"/>
        <v>2.1965682153458972</v>
      </c>
      <c r="W98" s="172">
        <f t="shared" si="187"/>
        <v>350</v>
      </c>
      <c r="X98" s="379">
        <f t="shared" si="272"/>
        <v>227.05777735273932</v>
      </c>
      <c r="Z98" s="188">
        <f t="shared" si="188"/>
        <v>9.8045633813140132</v>
      </c>
      <c r="AA98" s="150">
        <f t="shared" si="189"/>
        <v>1.4927836168211193</v>
      </c>
      <c r="AB98" s="150">
        <f t="shared" si="190"/>
        <v>2.4568978681047682</v>
      </c>
      <c r="AC98" s="150"/>
      <c r="AD98" s="150">
        <f t="shared" si="191"/>
        <v>0.92275128258358019</v>
      </c>
      <c r="AE98" s="314">
        <f t="shared" si="192"/>
        <v>1386.910020235146</v>
      </c>
      <c r="AF98" s="456">
        <f t="shared" si="193"/>
        <v>0.93877755658528617</v>
      </c>
      <c r="AH98" s="150">
        <f t="shared" si="194"/>
        <v>11.893294578334956</v>
      </c>
      <c r="AI98" s="150">
        <f t="shared" si="195"/>
        <v>14.427002042399405</v>
      </c>
      <c r="AJ98" s="150">
        <f t="shared" si="196"/>
        <v>7.397330356883959</v>
      </c>
      <c r="AL98" s="314">
        <f t="shared" si="197"/>
        <v>3720</v>
      </c>
      <c r="AM98" s="144">
        <f t="shared" si="198"/>
        <v>227.05777735273932</v>
      </c>
      <c r="AO98">
        <f t="shared" si="273"/>
        <v>3720</v>
      </c>
      <c r="AP98">
        <f t="shared" si="199"/>
        <v>227.05777735273932</v>
      </c>
      <c r="AR98" s="5">
        <f t="shared" si="274"/>
        <v>4.4041653699731134</v>
      </c>
      <c r="AS98" s="5">
        <f t="shared" si="200"/>
        <v>2.007597154627216</v>
      </c>
      <c r="AT98" s="5">
        <f t="shared" si="275"/>
        <v>2.3965682153458974</v>
      </c>
      <c r="AU98" s="150">
        <f t="shared" si="276"/>
        <v>0.45584054774933941</v>
      </c>
      <c r="AW98" s="5">
        <f t="shared" si="201"/>
        <v>24.89420471737748</v>
      </c>
      <c r="AX98" s="5">
        <f t="shared" si="202"/>
        <v>26.450092512213573</v>
      </c>
      <c r="AY98" s="5">
        <f t="shared" si="203"/>
        <v>4.6580879972353539</v>
      </c>
      <c r="AZ98" s="5"/>
      <c r="BA98" s="150">
        <f t="shared" si="277"/>
        <v>5.6236973828704642</v>
      </c>
      <c r="BB98" s="150">
        <f t="shared" si="204"/>
        <v>5.8938963079538196</v>
      </c>
      <c r="BC98" s="150">
        <f t="shared" si="205"/>
        <v>1.1830863396619609</v>
      </c>
      <c r="BD98" s="150"/>
      <c r="BE98" s="456">
        <f t="shared" si="206"/>
        <v>0.37951166704924932</v>
      </c>
      <c r="BF98" s="456">
        <f t="shared" si="207"/>
        <v>3.8646290992795458</v>
      </c>
      <c r="BG98" s="456">
        <f t="shared" si="208"/>
        <v>2.6111644395565022E-2</v>
      </c>
      <c r="BH98" s="456">
        <f t="shared" si="209"/>
        <v>0.49103413857669181</v>
      </c>
      <c r="BI98">
        <f t="shared" si="210"/>
        <v>1.5198820764089304E-2</v>
      </c>
      <c r="BJ98" s="144">
        <f t="shared" si="278"/>
        <v>41.310465159654321</v>
      </c>
      <c r="BK98">
        <f t="shared" si="211"/>
        <v>5.3170960957603262</v>
      </c>
      <c r="BL98" s="144">
        <f t="shared" si="279"/>
        <v>5317.0960957603265</v>
      </c>
      <c r="BM98" s="150">
        <f t="shared" si="212"/>
        <v>2.4946320000000002</v>
      </c>
      <c r="BN98" s="150">
        <f t="shared" si="213"/>
        <v>0.37864949999999997</v>
      </c>
      <c r="BO98" s="456"/>
      <c r="BQ98" s="144">
        <f t="shared" si="280"/>
        <v>2873.2815000000001</v>
      </c>
      <c r="BR98" s="456">
        <f t="shared" si="214"/>
        <v>0.44276361155745753</v>
      </c>
      <c r="BS98" s="456">
        <f t="shared" si="215"/>
        <v>0.48633219164476332</v>
      </c>
      <c r="BT98" s="456">
        <f t="shared" si="216"/>
        <v>6.9984664354736841E-3</v>
      </c>
      <c r="BU98" s="456">
        <f t="shared" si="217"/>
        <v>30.707976049006426</v>
      </c>
      <c r="BV98" s="456">
        <f t="shared" si="218"/>
        <v>34.448496129299016</v>
      </c>
      <c r="BW98" s="538">
        <f t="shared" si="219"/>
        <v>4.7259439745485148</v>
      </c>
      <c r="BX98" s="144">
        <f t="shared" si="281"/>
        <v>39174.440103847533</v>
      </c>
      <c r="BY98" s="150">
        <f t="shared" si="282"/>
        <v>47.364817699607855</v>
      </c>
      <c r="BZ98" s="5">
        <f t="shared" si="283"/>
        <v>116.343</v>
      </c>
      <c r="CA98" s="150">
        <f t="shared" si="284"/>
        <v>0.71067467415319829</v>
      </c>
      <c r="CB98" s="5">
        <f t="shared" si="285"/>
        <v>71.067467415319825</v>
      </c>
      <c r="CC98">
        <f t="shared" si="286"/>
        <v>93</v>
      </c>
      <c r="CE98" s="59">
        <f t="shared" si="220"/>
        <v>-50</v>
      </c>
      <c r="CF98">
        <f t="shared" si="221"/>
        <v>-50</v>
      </c>
      <c r="CG98" s="150">
        <f t="shared" si="222"/>
        <v>0.52186043457008313</v>
      </c>
      <c r="CH98" s="150">
        <f t="shared" si="223"/>
        <v>0.1101511240772718</v>
      </c>
      <c r="CI98" s="147">
        <v>93</v>
      </c>
      <c r="CJ98" s="188">
        <f t="shared" si="308"/>
        <v>3.72</v>
      </c>
      <c r="CK98" s="188">
        <f t="shared" si="287"/>
        <v>0.79049999999999998</v>
      </c>
      <c r="CL98" s="188">
        <f t="shared" si="224"/>
        <v>111.60000000000001</v>
      </c>
      <c r="CM98" s="188">
        <f t="shared" si="309"/>
        <v>4.7430000000000003</v>
      </c>
      <c r="CN98" s="465">
        <f t="shared" si="288"/>
        <v>34</v>
      </c>
      <c r="CO98" s="379">
        <f t="shared" si="225"/>
        <v>30.7</v>
      </c>
      <c r="CP98" s="379">
        <f t="shared" si="226"/>
        <v>64.7</v>
      </c>
      <c r="CQ98" s="379"/>
      <c r="CR98" s="188">
        <f t="shared" si="227"/>
        <v>0.47204968944099374</v>
      </c>
      <c r="CS98" s="149">
        <f t="shared" si="289"/>
        <v>233.26341749863801</v>
      </c>
      <c r="CT98" s="149">
        <f t="shared" si="228"/>
        <v>9.9136952436921142</v>
      </c>
      <c r="CU98" s="188">
        <f t="shared" si="229"/>
        <v>7.7754472499545999</v>
      </c>
      <c r="CV98" s="188">
        <f t="shared" si="230"/>
        <v>38.877236249772999</v>
      </c>
      <c r="CW98" s="379">
        <f t="shared" si="231"/>
        <v>30</v>
      </c>
      <c r="CX98" s="188">
        <f t="shared" si="232"/>
        <v>14.497850619195047</v>
      </c>
      <c r="CY98" s="188">
        <f t="shared" si="233"/>
        <v>2.0041146444181384</v>
      </c>
      <c r="CZ98" s="188">
        <f t="shared" si="234"/>
        <v>2.219540648541261</v>
      </c>
      <c r="DA98" s="172">
        <f t="shared" si="235"/>
        <v>350</v>
      </c>
      <c r="DB98" s="379">
        <f t="shared" si="290"/>
        <v>236.76174560621573</v>
      </c>
      <c r="DD98" s="188">
        <f t="shared" si="236"/>
        <v>9.8072469146822137</v>
      </c>
      <c r="DE98" s="150">
        <f t="shared" si="237"/>
        <v>1.5014351954073746</v>
      </c>
      <c r="DF98" s="150">
        <f t="shared" si="238"/>
        <v>2.4718134248028734</v>
      </c>
      <c r="DG98" s="150"/>
      <c r="DH98" s="150">
        <f t="shared" si="239"/>
        <v>0.92784522751949461</v>
      </c>
      <c r="DI98" s="314">
        <f t="shared" si="240"/>
        <v>1379.2957726595746</v>
      </c>
      <c r="DJ98" s="456">
        <f t="shared" si="241"/>
        <v>0.94395997276890675</v>
      </c>
      <c r="DL98" s="150">
        <f t="shared" si="242"/>
        <v>11.893294578334956</v>
      </c>
      <c r="DM98" s="150">
        <f t="shared" si="243"/>
        <v>14.497850619195047</v>
      </c>
      <c r="DN98" s="150">
        <f t="shared" si="244"/>
        <v>7.4498107841399897</v>
      </c>
      <c r="DP98" s="314">
        <f t="shared" si="245"/>
        <v>3720</v>
      </c>
      <c r="DQ98" s="144">
        <f t="shared" si="246"/>
        <v>236.76174560621573</v>
      </c>
      <c r="DS98">
        <f t="shared" si="310"/>
        <v>3720</v>
      </c>
      <c r="DT98">
        <f t="shared" si="311"/>
        <v>236.76174560621573</v>
      </c>
      <c r="DV98" s="5">
        <f t="shared" si="292"/>
        <v>4.2236552929593998</v>
      </c>
      <c r="DW98" s="5">
        <f t="shared" si="248"/>
        <v>2.0041146444181384</v>
      </c>
      <c r="DX98" s="5">
        <f t="shared" si="293"/>
        <v>2.2195406485412614</v>
      </c>
      <c r="DY98" s="150">
        <f t="shared" si="294"/>
        <v>0.47449768160741879</v>
      </c>
      <c r="EA98" s="5">
        <f t="shared" si="249"/>
        <v>24.851021590784917</v>
      </c>
      <c r="EB98" s="5">
        <f t="shared" si="250"/>
        <v>26.404210440208971</v>
      </c>
      <c r="EC98" s="5">
        <f t="shared" si="251"/>
        <v>4.2854798681177293</v>
      </c>
      <c r="ED98" s="5"/>
      <c r="EE98" s="150">
        <f t="shared" si="295"/>
        <v>5.7658061980381587</v>
      </c>
      <c r="EF98" s="150">
        <f t="shared" si="252"/>
        <v>5.8204189739862873</v>
      </c>
      <c r="EG98" s="150">
        <f t="shared" si="253"/>
        <v>1.1683371778936318</v>
      </c>
      <c r="EH98" s="150"/>
      <c r="EI98" s="456">
        <f t="shared" si="254"/>
        <v>0.39893425336002297</v>
      </c>
      <c r="EJ98" s="456">
        <f t="shared" si="255"/>
        <v>4.219617021276596</v>
      </c>
      <c r="EK98" s="456">
        <f t="shared" si="256"/>
        <v>2.7227600744714808E-2</v>
      </c>
      <c r="EL98" s="456">
        <f t="shared" si="257"/>
        <v>0.51289734240649454</v>
      </c>
      <c r="EM98">
        <f t="shared" si="258"/>
        <v>1.5299999999999999E-2</v>
      </c>
      <c r="EN98" s="144">
        <f t="shared" si="296"/>
        <v>42.52760074471481</v>
      </c>
      <c r="EO98">
        <f t="shared" si="259"/>
        <v>5.8347451642572281</v>
      </c>
      <c r="EP98" s="144">
        <f t="shared" si="297"/>
        <v>5834.7451642572278</v>
      </c>
      <c r="EQ98" s="150">
        <f t="shared" si="260"/>
        <v>2.4946320000000002</v>
      </c>
      <c r="ER98" s="150">
        <f t="shared" si="261"/>
        <v>0.37864949999999997</v>
      </c>
      <c r="ES98" s="456"/>
      <c r="EU98" s="144">
        <f t="shared" si="298"/>
        <v>2873.2815000000001</v>
      </c>
      <c r="EV98" s="456">
        <f t="shared" si="262"/>
        <v>0.46542329558669343</v>
      </c>
      <c r="EW98" s="456">
        <f t="shared" si="299"/>
        <v>0.47428187845835418</v>
      </c>
      <c r="EX98" s="456">
        <f t="shared" si="263"/>
        <v>6.8250588062422788E-3</v>
      </c>
      <c r="EY98" s="456">
        <f t="shared" si="264"/>
        <v>34.515000905941207</v>
      </c>
      <c r="EZ98" s="456">
        <f t="shared" si="265"/>
        <v>38.612532764999443</v>
      </c>
      <c r="FA98" s="538">
        <f t="shared" si="266"/>
        <v>4.9764400264118498</v>
      </c>
      <c r="FB98" s="144">
        <f t="shared" si="300"/>
        <v>43588.972791411295</v>
      </c>
      <c r="FC98" s="150">
        <f t="shared" si="301"/>
        <v>52.296999455668519</v>
      </c>
      <c r="FD98" s="5">
        <f t="shared" si="302"/>
        <v>116.343</v>
      </c>
      <c r="FE98" s="150">
        <f t="shared" si="303"/>
        <v>0.68988970810915973</v>
      </c>
      <c r="FF98" s="5">
        <f t="shared" si="304"/>
        <v>68.988970810915973</v>
      </c>
      <c r="FG98">
        <f t="shared" si="305"/>
        <v>93</v>
      </c>
      <c r="FI98" s="59">
        <f t="shared" si="267"/>
        <v>-50</v>
      </c>
      <c r="FJ98">
        <f t="shared" si="268"/>
        <v>-50</v>
      </c>
      <c r="FL98">
        <f t="shared" si="269"/>
        <v>0.52186043457008313</v>
      </c>
    </row>
    <row r="99" spans="5:169">
      <c r="E99" s="147">
        <v>94</v>
      </c>
      <c r="F99" s="188">
        <f t="shared" si="306"/>
        <v>3.76</v>
      </c>
      <c r="G99" s="188">
        <f t="shared" si="270"/>
        <v>0.79899999999999993</v>
      </c>
      <c r="H99" s="188">
        <f t="shared" si="175"/>
        <v>112.8</v>
      </c>
      <c r="I99" s="188">
        <f t="shared" si="307"/>
        <v>4.7939999999999996</v>
      </c>
      <c r="J99" s="465">
        <f t="shared" si="176"/>
        <v>33.772739589591268</v>
      </c>
      <c r="K99" s="379">
        <f t="shared" si="177"/>
        <v>30.871298227464802</v>
      </c>
      <c r="L99" s="149">
        <f t="shared" si="178"/>
        <v>64.644037817056073</v>
      </c>
      <c r="M99" s="379"/>
      <c r="N99" s="188">
        <f t="shared" si="179"/>
        <v>0.47755832200382031</v>
      </c>
      <c r="O99" s="149">
        <f t="shared" si="271"/>
        <v>234.40815126629167</v>
      </c>
      <c r="P99" s="149">
        <f t="shared" si="180"/>
        <v>9.9623464288173942</v>
      </c>
      <c r="Q99" s="188">
        <f t="shared" si="181"/>
        <v>7.8136050422097219</v>
      </c>
      <c r="R99" s="188">
        <f t="shared" si="182"/>
        <v>39.068025211048614</v>
      </c>
      <c r="S99" s="379">
        <f t="shared" si="183"/>
        <v>30</v>
      </c>
      <c r="T99" s="188">
        <f t="shared" si="184"/>
        <v>14.582179841940333</v>
      </c>
      <c r="U99" s="188">
        <f t="shared" si="185"/>
        <v>2.0293362661713825</v>
      </c>
      <c r="V99" s="188">
        <f t="shared" si="186"/>
        <v>2.2200635927952637</v>
      </c>
      <c r="W99" s="172">
        <f t="shared" si="187"/>
        <v>350</v>
      </c>
      <c r="X99" s="379">
        <f t="shared" si="272"/>
        <v>224.74941153799688</v>
      </c>
      <c r="Z99" s="188">
        <f t="shared" si="188"/>
        <v>9.8045306066122784</v>
      </c>
      <c r="AA99" s="150">
        <f t="shared" si="189"/>
        <v>1.4926905085605133</v>
      </c>
      <c r="AB99" s="150">
        <f t="shared" si="190"/>
        <v>2.4567364134692662</v>
      </c>
      <c r="AC99" s="150"/>
      <c r="AD99" s="150">
        <f t="shared" si="191"/>
        <v>0.92269681290911176</v>
      </c>
      <c r="AE99" s="314">
        <f t="shared" si="192"/>
        <v>1401.9057851968723</v>
      </c>
      <c r="AF99" s="456">
        <f t="shared" si="193"/>
        <v>0.93872214088565975</v>
      </c>
      <c r="AH99" s="150">
        <f t="shared" si="194"/>
        <v>11.957066051980668</v>
      </c>
      <c r="AI99" s="150">
        <f t="shared" si="195"/>
        <v>14.582179841940333</v>
      </c>
      <c r="AJ99" s="150">
        <f t="shared" si="196"/>
        <v>7.5122768750624234</v>
      </c>
      <c r="AL99" s="314">
        <f t="shared" si="197"/>
        <v>3760</v>
      </c>
      <c r="AM99" s="144">
        <f t="shared" si="198"/>
        <v>224.74941153799688</v>
      </c>
      <c r="AO99">
        <f t="shared" si="273"/>
        <v>3760</v>
      </c>
      <c r="AP99">
        <f t="shared" si="199"/>
        <v>224.74941153799688</v>
      </c>
      <c r="AR99" s="5">
        <f t="shared" si="274"/>
        <v>4.4493998589666459</v>
      </c>
      <c r="AS99" s="5">
        <f t="shared" si="200"/>
        <v>2.0293362661713825</v>
      </c>
      <c r="AT99" s="5">
        <f t="shared" si="275"/>
        <v>2.4200635927952634</v>
      </c>
      <c r="AU99" s="150">
        <f t="shared" si="276"/>
        <v>0.45609213163473405</v>
      </c>
      <c r="AW99" s="5">
        <f t="shared" si="201"/>
        <v>25.434347869347992</v>
      </c>
      <c r="AX99" s="5">
        <f t="shared" si="202"/>
        <v>27.023994611182243</v>
      </c>
      <c r="AY99" s="5">
        <f t="shared" si="203"/>
        <v>4.7546731229808872</v>
      </c>
      <c r="AZ99" s="5"/>
      <c r="BA99" s="150">
        <f t="shared" si="277"/>
        <v>5.6857546173401809</v>
      </c>
      <c r="BB99" s="150">
        <f t="shared" si="204"/>
        <v>5.9559141601378718</v>
      </c>
      <c r="BC99" s="150">
        <f t="shared" si="205"/>
        <v>1.1955352308369058</v>
      </c>
      <c r="BD99" s="150"/>
      <c r="BE99" s="456">
        <f t="shared" si="206"/>
        <v>0.38793366682326225</v>
      </c>
      <c r="BF99" s="456">
        <f t="shared" si="207"/>
        <v>3.8664496391474814</v>
      </c>
      <c r="BG99" s="456">
        <f t="shared" si="208"/>
        <v>2.5846182326869641E-2</v>
      </c>
      <c r="BH99" s="456">
        <f t="shared" si="209"/>
        <v>0.48603312460916009</v>
      </c>
      <c r="BI99">
        <f t="shared" si="210"/>
        <v>1.519773281531607E-2</v>
      </c>
      <c r="BJ99" s="144">
        <f t="shared" si="278"/>
        <v>41.04391514218571</v>
      </c>
      <c r="BK99">
        <f t="shared" si="211"/>
        <v>5.3370947658913837</v>
      </c>
      <c r="BL99" s="144">
        <f t="shared" si="279"/>
        <v>5337.0947658913838</v>
      </c>
      <c r="BM99" s="150">
        <f t="shared" si="212"/>
        <v>2.5214559999999997</v>
      </c>
      <c r="BN99" s="150">
        <f t="shared" si="213"/>
        <v>0.38272099999999998</v>
      </c>
      <c r="BO99" s="456"/>
      <c r="BQ99" s="144">
        <f t="shared" si="280"/>
        <v>2904.1769999999997</v>
      </c>
      <c r="BR99" s="456">
        <f t="shared" si="214"/>
        <v>0.4525892779604726</v>
      </c>
      <c r="BS99" s="456">
        <f t="shared" si="215"/>
        <v>0.49662078876103138</v>
      </c>
      <c r="BT99" s="456">
        <f t="shared" si="216"/>
        <v>7.1465224408612683E-3</v>
      </c>
      <c r="BU99" s="456">
        <f t="shared" si="217"/>
        <v>30.744861274067318</v>
      </c>
      <c r="BV99" s="456">
        <f t="shared" si="218"/>
        <v>34.576110752272101</v>
      </c>
      <c r="BW99" s="538">
        <f t="shared" si="219"/>
        <v>4.7790707889327733</v>
      </c>
      <c r="BX99" s="144">
        <f t="shared" si="281"/>
        <v>39355.181541204875</v>
      </c>
      <c r="BY99" s="150">
        <f t="shared" si="282"/>
        <v>47.596453307096255</v>
      </c>
      <c r="BZ99" s="5">
        <f t="shared" si="283"/>
        <v>117.59399999999999</v>
      </c>
      <c r="CA99" s="150">
        <f t="shared" si="284"/>
        <v>0.71186922516271345</v>
      </c>
      <c r="CB99" s="5">
        <f t="shared" si="285"/>
        <v>71.186922516271352</v>
      </c>
      <c r="CC99">
        <f t="shared" si="286"/>
        <v>94</v>
      </c>
      <c r="CE99" s="59">
        <f t="shared" si="220"/>
        <v>-50</v>
      </c>
      <c r="CF99">
        <f t="shared" si="221"/>
        <v>-50</v>
      </c>
      <c r="CG99" s="150">
        <f t="shared" si="222"/>
        <v>0.52186043457008313</v>
      </c>
      <c r="CH99" s="150">
        <f t="shared" si="223"/>
        <v>0.1101511240772718</v>
      </c>
      <c r="CI99" s="147">
        <v>94</v>
      </c>
      <c r="CJ99" s="188">
        <f t="shared" si="308"/>
        <v>3.76</v>
      </c>
      <c r="CK99" s="188">
        <f t="shared" si="287"/>
        <v>0.79899999999999993</v>
      </c>
      <c r="CL99" s="188">
        <f t="shared" si="224"/>
        <v>112.8</v>
      </c>
      <c r="CM99" s="188">
        <f t="shared" si="309"/>
        <v>4.7939999999999996</v>
      </c>
      <c r="CN99" s="465">
        <f t="shared" si="288"/>
        <v>34</v>
      </c>
      <c r="CO99" s="379">
        <f t="shared" si="225"/>
        <v>30.7</v>
      </c>
      <c r="CP99" s="379">
        <f t="shared" si="226"/>
        <v>64.7</v>
      </c>
      <c r="CQ99" s="379"/>
      <c r="CR99" s="188">
        <f t="shared" si="227"/>
        <v>0.47204968944099374</v>
      </c>
      <c r="CS99" s="149">
        <f t="shared" si="289"/>
        <v>233.26341749863801</v>
      </c>
      <c r="CT99" s="149">
        <f t="shared" si="228"/>
        <v>9.9136952436921142</v>
      </c>
      <c r="CU99" s="188">
        <f t="shared" si="229"/>
        <v>7.7754472499545999</v>
      </c>
      <c r="CV99" s="188">
        <f t="shared" si="230"/>
        <v>38.877236249772999</v>
      </c>
      <c r="CW99" s="379">
        <f t="shared" si="231"/>
        <v>30</v>
      </c>
      <c r="CX99" s="188">
        <f t="shared" si="232"/>
        <v>14.653741486068112</v>
      </c>
      <c r="CY99" s="188">
        <f t="shared" si="233"/>
        <v>2.0256642642505915</v>
      </c>
      <c r="CZ99" s="188">
        <f t="shared" si="234"/>
        <v>2.2434066770201997</v>
      </c>
      <c r="DA99" s="172">
        <f t="shared" si="235"/>
        <v>350</v>
      </c>
      <c r="DB99" s="379">
        <f t="shared" si="290"/>
        <v>234.24300363168152</v>
      </c>
      <c r="DD99" s="188">
        <f t="shared" si="236"/>
        <v>9.8072469146822137</v>
      </c>
      <c r="DE99" s="150">
        <f t="shared" si="237"/>
        <v>1.5014351954073746</v>
      </c>
      <c r="DF99" s="150">
        <f t="shared" si="238"/>
        <v>2.4718134248028734</v>
      </c>
      <c r="DG99" s="150"/>
      <c r="DH99" s="150">
        <f t="shared" si="239"/>
        <v>0.92784522751949461</v>
      </c>
      <c r="DI99" s="314">
        <f t="shared" si="240"/>
        <v>1394.1269099999997</v>
      </c>
      <c r="DJ99" s="456">
        <f t="shared" si="241"/>
        <v>0.94395997276890675</v>
      </c>
      <c r="DL99" s="150">
        <f t="shared" si="242"/>
        <v>11.957066051980668</v>
      </c>
      <c r="DM99" s="150">
        <f t="shared" si="243"/>
        <v>14.653741486068112</v>
      </c>
      <c r="DN99" s="150">
        <f t="shared" si="244"/>
        <v>7.5652855003422603</v>
      </c>
      <c r="DP99" s="314">
        <f t="shared" si="245"/>
        <v>3760</v>
      </c>
      <c r="DQ99" s="144">
        <f t="shared" si="246"/>
        <v>234.24300363168152</v>
      </c>
      <c r="DS99">
        <f t="shared" si="310"/>
        <v>3760</v>
      </c>
      <c r="DT99">
        <f t="shared" si="311"/>
        <v>234.24300363168152</v>
      </c>
      <c r="DV99" s="5">
        <f t="shared" si="292"/>
        <v>4.2690709412707912</v>
      </c>
      <c r="DW99" s="5">
        <f t="shared" si="248"/>
        <v>2.0256642642505915</v>
      </c>
      <c r="DX99" s="5">
        <f t="shared" si="293"/>
        <v>2.2434066770201997</v>
      </c>
      <c r="DY99" s="150">
        <f t="shared" si="294"/>
        <v>0.47449768160741879</v>
      </c>
      <c r="EA99" s="5">
        <f t="shared" si="249"/>
        <v>25.388325445274081</v>
      </c>
      <c r="EB99" s="5">
        <f t="shared" si="250"/>
        <v>26.97509578560371</v>
      </c>
      <c r="EC99" s="5">
        <f t="shared" si="251"/>
        <v>4.3781362139771369</v>
      </c>
      <c r="ED99" s="5"/>
      <c r="EE99" s="150">
        <f t="shared" si="295"/>
        <v>5.8278041141460966</v>
      </c>
      <c r="EF99" s="150">
        <f t="shared" si="252"/>
        <v>5.8830041242442039</v>
      </c>
      <c r="EG99" s="150">
        <f t="shared" si="253"/>
        <v>1.1808999432473266</v>
      </c>
      <c r="EH99" s="150"/>
      <c r="EI99" s="456">
        <f t="shared" si="254"/>
        <v>0.40755960951429804</v>
      </c>
      <c r="EJ99" s="456">
        <f t="shared" si="255"/>
        <v>4.2196170212765969</v>
      </c>
      <c r="EK99" s="456">
        <f t="shared" si="256"/>
        <v>2.6937945417643376E-2</v>
      </c>
      <c r="EL99" s="456">
        <f t="shared" si="257"/>
        <v>0.50744098770004242</v>
      </c>
      <c r="EM99">
        <f t="shared" si="258"/>
        <v>1.5299999999999999E-2</v>
      </c>
      <c r="EN99" s="144">
        <f t="shared" si="296"/>
        <v>42.237945417643374</v>
      </c>
      <c r="EO99">
        <f t="shared" si="259"/>
        <v>5.8537514935606998</v>
      </c>
      <c r="EP99" s="144">
        <f t="shared" si="297"/>
        <v>5853.7514935606996</v>
      </c>
      <c r="EQ99" s="150">
        <f t="shared" si="260"/>
        <v>2.5214559999999997</v>
      </c>
      <c r="ER99" s="150">
        <f t="shared" si="261"/>
        <v>0.38272099999999998</v>
      </c>
      <c r="ES99" s="456"/>
      <c r="EU99" s="144">
        <f t="shared" si="298"/>
        <v>2904.1769999999997</v>
      </c>
      <c r="EV99" s="456">
        <f t="shared" si="262"/>
        <v>0.47548621110001438</v>
      </c>
      <c r="EW99" s="456">
        <f t="shared" si="299"/>
        <v>0.48453632536224045</v>
      </c>
      <c r="EX99" s="456">
        <f t="shared" si="263"/>
        <v>6.9726233798076964E-3</v>
      </c>
      <c r="EY99" s="456">
        <f t="shared" si="264"/>
        <v>34.515000905941143</v>
      </c>
      <c r="EZ99" s="456">
        <f t="shared" si="265"/>
        <v>38.708553624061665</v>
      </c>
      <c r="FA99" s="538">
        <f t="shared" si="266"/>
        <v>5.0299501342227293</v>
      </c>
      <c r="FB99" s="144">
        <f t="shared" si="300"/>
        <v>43738.503758284394</v>
      </c>
      <c r="FC99" s="150">
        <f t="shared" si="301"/>
        <v>52.496432251845093</v>
      </c>
      <c r="FD99" s="5">
        <f t="shared" si="302"/>
        <v>117.59399999999999</v>
      </c>
      <c r="FE99" s="150">
        <f t="shared" si="303"/>
        <v>0.6913616388832734</v>
      </c>
      <c r="FF99" s="5">
        <f t="shared" si="304"/>
        <v>69.136163888327346</v>
      </c>
      <c r="FG99">
        <f t="shared" si="305"/>
        <v>94</v>
      </c>
      <c r="FI99" s="59">
        <f t="shared" si="267"/>
        <v>-50</v>
      </c>
      <c r="FJ99">
        <f t="shared" si="268"/>
        <v>-50</v>
      </c>
      <c r="FL99">
        <f t="shared" si="269"/>
        <v>0.52186043457008313</v>
      </c>
    </row>
    <row r="100" spans="5:169">
      <c r="E100" s="147">
        <v>95</v>
      </c>
      <c r="F100" s="188">
        <f t="shared" si="306"/>
        <v>3.8</v>
      </c>
      <c r="G100" s="188">
        <f t="shared" si="270"/>
        <v>0.8075</v>
      </c>
      <c r="H100" s="188">
        <f t="shared" si="175"/>
        <v>114</v>
      </c>
      <c r="I100" s="188">
        <f t="shared" si="307"/>
        <v>4.8449999999999998</v>
      </c>
      <c r="J100" s="465">
        <f t="shared" si="176"/>
        <v>33.770321925650748</v>
      </c>
      <c r="K100" s="379">
        <f t="shared" si="177"/>
        <v>30.873120549033576</v>
      </c>
      <c r="L100" s="149">
        <f t="shared" si="178"/>
        <v>64.643442474684321</v>
      </c>
      <c r="M100" s="379"/>
      <c r="N100" s="188">
        <f t="shared" si="179"/>
        <v>0.47759091049527747</v>
      </c>
      <c r="O100" s="149">
        <f t="shared" si="271"/>
        <v>234.40736568839725</v>
      </c>
      <c r="P100" s="149">
        <f t="shared" si="180"/>
        <v>9.9623130417568824</v>
      </c>
      <c r="Q100" s="188">
        <f t="shared" si="181"/>
        <v>7.813578856279908</v>
      </c>
      <c r="R100" s="188">
        <f t="shared" si="182"/>
        <v>39.067894281399539</v>
      </c>
      <c r="S100" s="379">
        <f t="shared" si="183"/>
        <v>30</v>
      </c>
      <c r="T100" s="188">
        <f t="shared" si="184"/>
        <v>14.73735880440573</v>
      </c>
      <c r="U100" s="188">
        <f t="shared" si="185"/>
        <v>2.0510786522320719</v>
      </c>
      <c r="V100" s="188">
        <f t="shared" si="186"/>
        <v>2.243556373600049</v>
      </c>
      <c r="W100" s="172">
        <f t="shared" si="187"/>
        <v>350</v>
      </c>
      <c r="X100" s="379">
        <f t="shared" si="272"/>
        <v>222.48747545744573</v>
      </c>
      <c r="Z100" s="188">
        <f t="shared" si="188"/>
        <v>9.8044977484438718</v>
      </c>
      <c r="AA100" s="150">
        <f t="shared" si="189"/>
        <v>1.4925973985849215</v>
      </c>
      <c r="AB100" s="150">
        <f t="shared" si="190"/>
        <v>2.456574936122621</v>
      </c>
      <c r="AC100" s="150"/>
      <c r="AD100" s="150">
        <f t="shared" si="191"/>
        <v>0.9226423496649141</v>
      </c>
      <c r="AE100" s="314">
        <f t="shared" si="192"/>
        <v>1416.9033108818214</v>
      </c>
      <c r="AF100" s="456">
        <f t="shared" si="193"/>
        <v>0.93866673172798465</v>
      </c>
      <c r="AH100" s="150">
        <f t="shared" si="194"/>
        <v>12.020499208261089</v>
      </c>
      <c r="AI100" s="150">
        <f t="shared" si="195"/>
        <v>14.73735880440573</v>
      </c>
      <c r="AJ100" s="150">
        <f t="shared" si="196"/>
        <v>7.6272242546664222</v>
      </c>
      <c r="AL100" s="314">
        <f t="shared" si="197"/>
        <v>3800</v>
      </c>
      <c r="AM100" s="144">
        <f t="shared" si="198"/>
        <v>222.48747545744573</v>
      </c>
      <c r="AO100">
        <f t="shared" si="273"/>
        <v>3800</v>
      </c>
      <c r="AP100">
        <f t="shared" si="199"/>
        <v>222.48747545744573</v>
      </c>
      <c r="AR100" s="5">
        <f t="shared" si="274"/>
        <v>4.494635025832121</v>
      </c>
      <c r="AS100" s="5">
        <f t="shared" si="200"/>
        <v>2.0510786522320719</v>
      </c>
      <c r="AT100" s="5">
        <f t="shared" si="275"/>
        <v>2.4435563736000492</v>
      </c>
      <c r="AU100" s="150">
        <f t="shared" si="276"/>
        <v>0.45633931129977395</v>
      </c>
      <c r="AW100" s="5">
        <f t="shared" si="201"/>
        <v>25.980329594939576</v>
      </c>
      <c r="AX100" s="5">
        <f t="shared" si="202"/>
        <v>27.6041001946233</v>
      </c>
      <c r="AY100" s="5">
        <f t="shared" si="203"/>
        <v>4.8522491435579482</v>
      </c>
      <c r="AZ100" s="5"/>
      <c r="BA100" s="150">
        <f t="shared" si="277"/>
        <v>5.7478175116038761</v>
      </c>
      <c r="BB100" s="150">
        <f t="shared" si="204"/>
        <v>6.017927227864722</v>
      </c>
      <c r="BC100" s="150">
        <f t="shared" si="205"/>
        <v>1.2079831616240759</v>
      </c>
      <c r="BD100" s="150"/>
      <c r="BE100" s="456">
        <f t="shared" si="206"/>
        <v>0.39644887376040205</v>
      </c>
      <c r="BF100" s="456">
        <f t="shared" si="207"/>
        <v>3.8682325064049947</v>
      </c>
      <c r="BG100" s="456">
        <f t="shared" si="208"/>
        <v>2.5586059677606261E-2</v>
      </c>
      <c r="BH100" s="456">
        <f t="shared" si="209"/>
        <v>0.48113269965688965</v>
      </c>
      <c r="BI100">
        <f t="shared" si="210"/>
        <v>1.5196644866542836E-2</v>
      </c>
      <c r="BJ100" s="144">
        <f t="shared" si="278"/>
        <v>40.782704544149098</v>
      </c>
      <c r="BK100">
        <f t="shared" si="211"/>
        <v>5.357512914497141</v>
      </c>
      <c r="BL100" s="144">
        <f t="shared" si="279"/>
        <v>5357.5129144971406</v>
      </c>
      <c r="BM100" s="150">
        <f t="shared" si="212"/>
        <v>2.5482799999999997</v>
      </c>
      <c r="BN100" s="150">
        <f t="shared" si="213"/>
        <v>0.38679249999999998</v>
      </c>
      <c r="BO100" s="456"/>
      <c r="BQ100" s="144">
        <f t="shared" si="280"/>
        <v>2935.0724999999993</v>
      </c>
      <c r="BR100" s="456">
        <f t="shared" si="214"/>
        <v>0.4625236860538024</v>
      </c>
      <c r="BS100" s="456">
        <f t="shared" si="215"/>
        <v>0.50701627367825808</v>
      </c>
      <c r="BT100" s="456">
        <f t="shared" si="216"/>
        <v>7.2961165938364913E-3</v>
      </c>
      <c r="BU100" s="456">
        <f t="shared" si="217"/>
        <v>30.781024305199072</v>
      </c>
      <c r="BV100" s="456">
        <f t="shared" si="218"/>
        <v>34.704336903204663</v>
      </c>
      <c r="BW100" s="538">
        <f t="shared" si="219"/>
        <v>4.8321997955681688</v>
      </c>
      <c r="BX100" s="144">
        <f t="shared" si="281"/>
        <v>39536.536698772834</v>
      </c>
      <c r="BY100" s="150">
        <f t="shared" si="282"/>
        <v>47.829122113269975</v>
      </c>
      <c r="BZ100" s="5">
        <f t="shared" si="283"/>
        <v>118.845</v>
      </c>
      <c r="CA100" s="150">
        <f t="shared" si="284"/>
        <v>0.71303810389494182</v>
      </c>
      <c r="CB100" s="5">
        <f t="shared" si="285"/>
        <v>71.303810389494188</v>
      </c>
      <c r="CC100">
        <f t="shared" si="286"/>
        <v>95</v>
      </c>
      <c r="CE100" s="59">
        <f t="shared" si="220"/>
        <v>-50</v>
      </c>
      <c r="CF100">
        <f t="shared" si="221"/>
        <v>-50</v>
      </c>
      <c r="CG100" s="150">
        <f t="shared" si="222"/>
        <v>0.52186043457008313</v>
      </c>
      <c r="CH100" s="150">
        <f t="shared" si="223"/>
        <v>0.11015112407727178</v>
      </c>
      <c r="CI100" s="147">
        <v>95</v>
      </c>
      <c r="CJ100" s="188">
        <f t="shared" si="308"/>
        <v>3.8</v>
      </c>
      <c r="CK100" s="188">
        <f t="shared" si="287"/>
        <v>0.8075</v>
      </c>
      <c r="CL100" s="188">
        <f t="shared" si="224"/>
        <v>114</v>
      </c>
      <c r="CM100" s="188">
        <f t="shared" si="309"/>
        <v>4.8449999999999998</v>
      </c>
      <c r="CN100" s="465">
        <f t="shared" si="288"/>
        <v>34</v>
      </c>
      <c r="CO100" s="379">
        <f t="shared" si="225"/>
        <v>30.7</v>
      </c>
      <c r="CP100" s="379">
        <f t="shared" si="226"/>
        <v>64.7</v>
      </c>
      <c r="CQ100" s="379"/>
      <c r="CR100" s="188">
        <f t="shared" si="227"/>
        <v>0.47204968944099374</v>
      </c>
      <c r="CS100" s="149">
        <f t="shared" si="289"/>
        <v>233.26341749863801</v>
      </c>
      <c r="CT100" s="149">
        <f t="shared" si="228"/>
        <v>9.9136952436921142</v>
      </c>
      <c r="CU100" s="188">
        <f t="shared" si="229"/>
        <v>7.7754472499545999</v>
      </c>
      <c r="CV100" s="188">
        <f t="shared" si="230"/>
        <v>38.877236249772999</v>
      </c>
      <c r="CW100" s="379">
        <f t="shared" si="231"/>
        <v>30</v>
      </c>
      <c r="CX100" s="188">
        <f t="shared" si="232"/>
        <v>14.809632352941177</v>
      </c>
      <c r="CY100" s="188">
        <f t="shared" si="233"/>
        <v>2.0472138840830447</v>
      </c>
      <c r="CZ100" s="188">
        <f t="shared" si="234"/>
        <v>2.267272705499138</v>
      </c>
      <c r="DA100" s="172">
        <f t="shared" si="235"/>
        <v>350</v>
      </c>
      <c r="DB100" s="379">
        <f t="shared" si="290"/>
        <v>231.77728780397959</v>
      </c>
      <c r="DD100" s="188">
        <f t="shared" si="236"/>
        <v>9.8072469146822137</v>
      </c>
      <c r="DE100" s="150">
        <f t="shared" si="237"/>
        <v>1.5014351954073746</v>
      </c>
      <c r="DF100" s="150">
        <f t="shared" si="238"/>
        <v>2.4718134248028734</v>
      </c>
      <c r="DG100" s="150"/>
      <c r="DH100" s="150">
        <f t="shared" si="239"/>
        <v>0.92784522751949461</v>
      </c>
      <c r="DI100" s="314">
        <f t="shared" si="240"/>
        <v>1408.9580473404253</v>
      </c>
      <c r="DJ100" s="456">
        <f t="shared" si="241"/>
        <v>0.94395997276890675</v>
      </c>
      <c r="DL100" s="150">
        <f t="shared" si="242"/>
        <v>12.020499208261089</v>
      </c>
      <c r="DM100" s="150">
        <f t="shared" si="243"/>
        <v>14.809632352941177</v>
      </c>
      <c r="DN100" s="150">
        <f t="shared" si="244"/>
        <v>7.680760216544531</v>
      </c>
      <c r="DP100" s="314">
        <f t="shared" si="245"/>
        <v>3800</v>
      </c>
      <c r="DQ100" s="144">
        <f t="shared" si="246"/>
        <v>231.77728780397959</v>
      </c>
      <c r="DS100">
        <f t="shared" si="310"/>
        <v>3800</v>
      </c>
      <c r="DT100">
        <f t="shared" si="311"/>
        <v>231.77728780397959</v>
      </c>
      <c r="DV100" s="5">
        <f t="shared" si="292"/>
        <v>4.3144865895821827</v>
      </c>
      <c r="DW100" s="5">
        <f t="shared" si="248"/>
        <v>2.0472138840830447</v>
      </c>
      <c r="DX100" s="5">
        <f t="shared" si="293"/>
        <v>2.267272705499138</v>
      </c>
      <c r="DY100" s="150">
        <f t="shared" si="294"/>
        <v>0.47449768160741879</v>
      </c>
      <c r="EA100" s="5">
        <f t="shared" si="249"/>
        <v>25.931375865051898</v>
      </c>
      <c r="EB100" s="5">
        <f t="shared" si="250"/>
        <v>27.552086856617645</v>
      </c>
      <c r="EC100" s="5">
        <f t="shared" si="251"/>
        <v>4.4717835367976075</v>
      </c>
      <c r="ED100" s="5"/>
      <c r="EE100" s="150">
        <f t="shared" si="295"/>
        <v>5.8898020302540335</v>
      </c>
      <c r="EF100" s="150">
        <f t="shared" si="252"/>
        <v>5.9455892745021206</v>
      </c>
      <c r="EG100" s="150">
        <f t="shared" si="253"/>
        <v>1.1934627086010219</v>
      </c>
      <c r="EH100" s="150"/>
      <c r="EI100" s="456">
        <f t="shared" si="254"/>
        <v>0.41627721546701446</v>
      </c>
      <c r="EJ100" s="456">
        <f t="shared" si="255"/>
        <v>4.219617021276596</v>
      </c>
      <c r="EK100" s="456">
        <f t="shared" si="256"/>
        <v>2.6654388097457658E-2</v>
      </c>
      <c r="EL100" s="456">
        <f t="shared" si="257"/>
        <v>0.50209950361898925</v>
      </c>
      <c r="EM100">
        <f t="shared" si="258"/>
        <v>1.5299999999999999E-2</v>
      </c>
      <c r="EN100" s="144">
        <f t="shared" si="296"/>
        <v>41.954388097457652</v>
      </c>
      <c r="EO100">
        <f t="shared" si="259"/>
        <v>5.8732513912448709</v>
      </c>
      <c r="EP100" s="144">
        <f t="shared" si="297"/>
        <v>5873.2513912448712</v>
      </c>
      <c r="EQ100" s="150">
        <f t="shared" si="260"/>
        <v>2.5482799999999997</v>
      </c>
      <c r="ER100" s="150">
        <f t="shared" si="261"/>
        <v>0.38679249999999998</v>
      </c>
      <c r="ES100" s="456"/>
      <c r="EU100" s="144">
        <f t="shared" si="298"/>
        <v>2935.0724999999993</v>
      </c>
      <c r="EV100" s="456">
        <f t="shared" si="262"/>
        <v>0.48565675137818354</v>
      </c>
      <c r="EW100" s="456">
        <f t="shared" si="299"/>
        <v>0.49490044549504514</v>
      </c>
      <c r="EX100" s="456">
        <f t="shared" si="263"/>
        <v>7.1217661841064383E-3</v>
      </c>
      <c r="EY100" s="456">
        <f t="shared" si="264"/>
        <v>34.515000905941172</v>
      </c>
      <c r="EZ100" s="456">
        <f t="shared" si="265"/>
        <v>38.805948324239587</v>
      </c>
      <c r="FA100" s="538">
        <f t="shared" si="266"/>
        <v>5.0834602420336097</v>
      </c>
      <c r="FB100" s="144">
        <f t="shared" si="300"/>
        <v>43889.408566273196</v>
      </c>
      <c r="FC100" s="150">
        <f t="shared" si="301"/>
        <v>52.697732457518072</v>
      </c>
      <c r="FD100" s="5">
        <f t="shared" si="302"/>
        <v>118.845</v>
      </c>
      <c r="FE100" s="150">
        <f t="shared" si="303"/>
        <v>0.69280113647152919</v>
      </c>
      <c r="FF100" s="5">
        <f t="shared" si="304"/>
        <v>69.280113647152916</v>
      </c>
      <c r="FG100">
        <f t="shared" si="305"/>
        <v>95</v>
      </c>
      <c r="FI100" s="59">
        <f t="shared" si="267"/>
        <v>-50</v>
      </c>
      <c r="FJ100">
        <f t="shared" si="268"/>
        <v>-50</v>
      </c>
      <c r="FL100">
        <f t="shared" si="269"/>
        <v>0.52186043457008313</v>
      </c>
    </row>
    <row r="101" spans="5:169">
      <c r="E101" s="147">
        <v>96</v>
      </c>
      <c r="F101" s="188">
        <f t="shared" si="306"/>
        <v>3.84</v>
      </c>
      <c r="G101" s="188">
        <f t="shared" si="270"/>
        <v>0.81599999999999995</v>
      </c>
      <c r="H101" s="188">
        <f t="shared" si="175"/>
        <v>115.19999999999999</v>
      </c>
      <c r="I101" s="188">
        <f t="shared" si="307"/>
        <v>4.8959999999999999</v>
      </c>
      <c r="J101" s="465">
        <f t="shared" si="176"/>
        <v>33.767904261710235</v>
      </c>
      <c r="K101" s="379">
        <f t="shared" si="177"/>
        <v>30.87494287060235</v>
      </c>
      <c r="L101" s="149">
        <f t="shared" si="178"/>
        <v>64.642847132312582</v>
      </c>
      <c r="M101" s="379"/>
      <c r="N101" s="188">
        <f t="shared" si="179"/>
        <v>0.47762349958699607</v>
      </c>
      <c r="O101" s="149">
        <f t="shared" si="271"/>
        <v>234.40657811491437</v>
      </c>
      <c r="P101" s="149">
        <f t="shared" si="180"/>
        <v>9.962279569883858</v>
      </c>
      <c r="Q101" s="188">
        <f t="shared" si="181"/>
        <v>7.8135526038304786</v>
      </c>
      <c r="R101" s="188">
        <f t="shared" si="182"/>
        <v>39.067763019152395</v>
      </c>
      <c r="S101" s="379">
        <f t="shared" si="183"/>
        <v>30</v>
      </c>
      <c r="T101" s="188">
        <f t="shared" si="184"/>
        <v>14.892538933773968</v>
      </c>
      <c r="U101" s="188">
        <f t="shared" si="185"/>
        <v>2.0728243140663487</v>
      </c>
      <c r="V101" s="188">
        <f t="shared" si="186"/>
        <v>2.2670465588256521</v>
      </c>
      <c r="W101" s="172">
        <f t="shared" si="187"/>
        <v>350</v>
      </c>
      <c r="X101" s="379">
        <f t="shared" si="272"/>
        <v>220.27058213727943</v>
      </c>
      <c r="Z101" s="188">
        <f t="shared" si="188"/>
        <v>9.804464806806493</v>
      </c>
      <c r="AA101" s="150">
        <f t="shared" si="189"/>
        <v>1.492504286894297</v>
      </c>
      <c r="AB101" s="150">
        <f>0.5*AA101*Z101*Nps*W101/1000*(Pout/Pout_total)</f>
        <v>2.456413436068122</v>
      </c>
      <c r="AC101" s="150"/>
      <c r="AD101" s="150">
        <f t="shared" si="191"/>
        <v>0.92258789284984877</v>
      </c>
      <c r="AE101" s="314">
        <f>MAX(10, F101/(0.5*AD101/1000000*Isw_min*Nps)/1000*Pout_total/Pout)</f>
        <v>1431.9025972899924</v>
      </c>
      <c r="AF101" s="456">
        <f t="shared" si="193"/>
        <v>0.93861132911110257</v>
      </c>
      <c r="AH101" s="150">
        <f t="shared" si="194"/>
        <v>12.083599375193732</v>
      </c>
      <c r="AI101" s="150">
        <f>MAX(IF(F101&gt;AB101,T101,AH101),Isw_min)</f>
        <v>14.892538933773968</v>
      </c>
      <c r="AJ101" s="150">
        <f>IF(F101&gt;AF101, (AI101-Isw_min)/1.08*0.8+1.2, AE101*0.2/350+1)</f>
        <v>7.742172498642895</v>
      </c>
      <c r="AL101" s="314">
        <f t="shared" si="197"/>
        <v>3840</v>
      </c>
      <c r="AM101" s="144">
        <f t="shared" si="198"/>
        <v>220.27058213727943</v>
      </c>
      <c r="AO101">
        <f t="shared" si="273"/>
        <v>3840</v>
      </c>
      <c r="AP101">
        <f t="shared" si="199"/>
        <v>220.27058213727943</v>
      </c>
      <c r="AR101" s="5">
        <f t="shared" si="274"/>
        <v>4.539870872892001</v>
      </c>
      <c r="AS101" s="5">
        <f t="shared" si="200"/>
        <v>2.0728243140663487</v>
      </c>
      <c r="AT101" s="5">
        <f t="shared" si="275"/>
        <v>2.4670465588256523</v>
      </c>
      <c r="AU101" s="150">
        <f t="shared" si="276"/>
        <v>0.45658221832770157</v>
      </c>
      <c r="AW101" s="5">
        <f t="shared" si="201"/>
        <v>26.532151220049261</v>
      </c>
      <c r="AX101" s="5">
        <f t="shared" si="202"/>
        <v>28.190410671302342</v>
      </c>
      <c r="AY101" s="5">
        <f t="shared" si="203"/>
        <v>4.9508161110980407</v>
      </c>
      <c r="AZ101" s="5"/>
      <c r="BA101" s="150">
        <f t="shared" si="277"/>
        <v>5.8098860379157307</v>
      </c>
      <c r="BB101" s="150">
        <f t="shared" si="204"/>
        <v>6.0799355527499515</v>
      </c>
      <c r="BC101" s="150">
        <f t="shared" si="205"/>
        <v>1.2204301403769997</v>
      </c>
      <c r="BD101" s="150"/>
      <c r="BE101" s="456">
        <f t="shared" si="206"/>
        <v>0.4050573092828178</v>
      </c>
      <c r="BF101" s="456">
        <f t="shared" si="207"/>
        <v>3.8699788254061862</v>
      </c>
      <c r="BG101" s="456">
        <f t="shared" si="208"/>
        <v>2.533111694578714E-2</v>
      </c>
      <c r="BH101" s="456">
        <f t="shared" si="209"/>
        <v>0.47632985887156343</v>
      </c>
      <c r="BI101">
        <f t="shared" si="210"/>
        <v>1.5195556917769606E-2</v>
      </c>
      <c r="BJ101" s="144">
        <f t="shared" si="278"/>
        <v>40.526673863556745</v>
      </c>
      <c r="BK101">
        <f t="shared" si="211"/>
        <v>5.3783528394402298</v>
      </c>
      <c r="BL101" s="144">
        <f t="shared" si="279"/>
        <v>5378.3528394402301</v>
      </c>
      <c r="BM101" s="150">
        <f t="shared" si="212"/>
        <v>2.5751039999999996</v>
      </c>
      <c r="BN101" s="150">
        <f t="shared" si="213"/>
        <v>0.39086399999999993</v>
      </c>
      <c r="BO101" s="456"/>
      <c r="BQ101" s="144">
        <f t="shared" si="280"/>
        <v>2965.9679999999998</v>
      </c>
      <c r="BR101" s="456">
        <f t="shared" si="214"/>
        <v>0.47256686082995408</v>
      </c>
      <c r="BS101" s="456">
        <f t="shared" si="215"/>
        <v>0.5175186285583</v>
      </c>
      <c r="BT101" s="456">
        <f t="shared" si="216"/>
        <v>7.4472486377031161E-3</v>
      </c>
      <c r="BU101" s="456">
        <f t="shared" si="217"/>
        <v>30.816485926869404</v>
      </c>
      <c r="BV101" s="456">
        <f>(BU101+(BR101+BS101+BT101)*(1+Ltc*(Ta-25)))/(1-(BR101+BS101+BT101)*Ltc*ThetaCa)</f>
        <v>34.833207728383272</v>
      </c>
      <c r="BW101" s="538">
        <f t="shared" si="219"/>
        <v>4.8853309290863089</v>
      </c>
      <c r="BX101" s="144">
        <f t="shared" si="281"/>
        <v>39718.53865746958</v>
      </c>
      <c r="BY101" s="150">
        <f t="shared" si="282"/>
        <v>48.062859496909809</v>
      </c>
      <c r="BZ101" s="5">
        <f t="shared" si="283"/>
        <v>120.09599999999999</v>
      </c>
      <c r="CA101" s="150">
        <f t="shared" si="284"/>
        <v>0.71418181806951986</v>
      </c>
      <c r="CB101" s="5">
        <f t="shared" si="285"/>
        <v>71.418181806951992</v>
      </c>
      <c r="CC101">
        <f t="shared" si="286"/>
        <v>96</v>
      </c>
      <c r="CE101" s="59">
        <f t="shared" si="220"/>
        <v>-50</v>
      </c>
      <c r="CF101">
        <f t="shared" si="221"/>
        <v>-50</v>
      </c>
      <c r="CG101" s="150">
        <f t="shared" si="222"/>
        <v>0.52186043457008324</v>
      </c>
      <c r="CH101" s="150">
        <f t="shared" si="223"/>
        <v>0.11015112407727182</v>
      </c>
      <c r="CI101" s="147">
        <v>96</v>
      </c>
      <c r="CJ101" s="188">
        <f t="shared" si="308"/>
        <v>3.84</v>
      </c>
      <c r="CK101" s="188">
        <f t="shared" si="287"/>
        <v>0.81599999999999995</v>
      </c>
      <c r="CL101" s="188">
        <f t="shared" si="224"/>
        <v>115.19999999999999</v>
      </c>
      <c r="CM101" s="188">
        <f t="shared" si="309"/>
        <v>4.8959999999999999</v>
      </c>
      <c r="CN101" s="465">
        <f t="shared" si="288"/>
        <v>34</v>
      </c>
      <c r="CO101" s="379">
        <f t="shared" si="225"/>
        <v>30.7</v>
      </c>
      <c r="CP101" s="379">
        <f t="shared" si="226"/>
        <v>64.7</v>
      </c>
      <c r="CQ101" s="379"/>
      <c r="CR101" s="188">
        <f t="shared" si="227"/>
        <v>0.47204968944099374</v>
      </c>
      <c r="CS101" s="149">
        <f t="shared" si="289"/>
        <v>233.26341749863801</v>
      </c>
      <c r="CT101" s="149">
        <f t="shared" si="228"/>
        <v>9.9136952436921142</v>
      </c>
      <c r="CU101" s="188">
        <f t="shared" si="229"/>
        <v>7.7754472499545999</v>
      </c>
      <c r="CV101" s="188">
        <f t="shared" si="230"/>
        <v>38.877236249772999</v>
      </c>
      <c r="CW101" s="379">
        <f t="shared" si="231"/>
        <v>30</v>
      </c>
      <c r="CX101" s="188">
        <f t="shared" si="232"/>
        <v>14.965523219814241</v>
      </c>
      <c r="CY101" s="188">
        <f t="shared" si="233"/>
        <v>2.0687635039154975</v>
      </c>
      <c r="CZ101" s="188">
        <f t="shared" si="234"/>
        <v>2.2911387339780758</v>
      </c>
      <c r="DA101" s="172">
        <f t="shared" si="235"/>
        <v>350</v>
      </c>
      <c r="DB101" s="379">
        <f t="shared" si="290"/>
        <v>229.36294105602153</v>
      </c>
      <c r="DD101" s="188">
        <f t="shared" si="236"/>
        <v>9.8072469146822137</v>
      </c>
      <c r="DE101" s="150">
        <f t="shared" si="237"/>
        <v>1.5014351954073746</v>
      </c>
      <c r="DF101" s="150">
        <f t="shared" si="238"/>
        <v>2.4718134248028734</v>
      </c>
      <c r="DG101" s="150"/>
      <c r="DH101" s="150">
        <f t="shared" si="239"/>
        <v>0.92784522751949461</v>
      </c>
      <c r="DI101" s="314">
        <f t="shared" si="240"/>
        <v>1423.7891846808511</v>
      </c>
      <c r="DJ101" s="456">
        <f t="shared" si="241"/>
        <v>0.94395997276890675</v>
      </c>
      <c r="DL101" s="150">
        <f t="shared" si="242"/>
        <v>12.083599375193732</v>
      </c>
      <c r="DM101" s="150">
        <f t="shared" si="243"/>
        <v>14.965523219814241</v>
      </c>
      <c r="DN101" s="150">
        <f t="shared" si="244"/>
        <v>7.7962349327467999</v>
      </c>
      <c r="DP101" s="314">
        <f t="shared" si="245"/>
        <v>3840</v>
      </c>
      <c r="DQ101" s="144">
        <f t="shared" si="246"/>
        <v>229.36294105602153</v>
      </c>
      <c r="DS101">
        <f t="shared" si="310"/>
        <v>3840</v>
      </c>
      <c r="DT101">
        <f t="shared" si="311"/>
        <v>229.36294105602153</v>
      </c>
      <c r="DV101" s="5">
        <f t="shared" si="292"/>
        <v>4.3599022378935732</v>
      </c>
      <c r="DW101" s="5">
        <f t="shared" si="248"/>
        <v>2.0687635039154975</v>
      </c>
      <c r="DX101" s="5">
        <f t="shared" si="293"/>
        <v>2.2911387339780758</v>
      </c>
      <c r="DY101" s="150">
        <f t="shared" si="294"/>
        <v>0.47449768160741879</v>
      </c>
      <c r="EA101" s="5">
        <f t="shared" si="249"/>
        <v>26.480172850118368</v>
      </c>
      <c r="EB101" s="5">
        <f t="shared" si="250"/>
        <v>28.135183653250763</v>
      </c>
      <c r="EC101" s="5">
        <f t="shared" si="251"/>
        <v>4.5664218365791394</v>
      </c>
      <c r="ED101" s="5"/>
      <c r="EE101" s="150">
        <f t="shared" si="295"/>
        <v>5.9517999463619704</v>
      </c>
      <c r="EF101" s="150">
        <f t="shared" si="252"/>
        <v>6.0081744247600373</v>
      </c>
      <c r="EG101" s="150">
        <f t="shared" si="253"/>
        <v>1.2060254739547167</v>
      </c>
      <c r="EH101" s="150"/>
      <c r="EI101" s="456">
        <f t="shared" si="254"/>
        <v>0.4250870712181723</v>
      </c>
      <c r="EJ101" s="456">
        <f t="shared" si="255"/>
        <v>4.2196170212765969</v>
      </c>
      <c r="EK101" s="456">
        <f t="shared" si="256"/>
        <v>2.6376738221442479E-2</v>
      </c>
      <c r="EL101" s="456">
        <f t="shared" si="257"/>
        <v>0.49686930045629163</v>
      </c>
      <c r="EM101">
        <f t="shared" si="258"/>
        <v>1.5299999999999999E-2</v>
      </c>
      <c r="EN101" s="144">
        <f t="shared" si="296"/>
        <v>41.676738221442477</v>
      </c>
      <c r="EO101">
        <f t="shared" si="259"/>
        <v>5.8932454901779412</v>
      </c>
      <c r="EP101" s="144">
        <f t="shared" si="297"/>
        <v>5893.2454901779411</v>
      </c>
      <c r="EQ101" s="150">
        <f t="shared" si="260"/>
        <v>2.5751039999999996</v>
      </c>
      <c r="ER101" s="150">
        <f t="shared" si="261"/>
        <v>0.39086399999999993</v>
      </c>
      <c r="ES101" s="456"/>
      <c r="EU101" s="144">
        <f t="shared" si="298"/>
        <v>2965.9679999999998</v>
      </c>
      <c r="EV101" s="456">
        <f t="shared" si="262"/>
        <v>0.49593491642120097</v>
      </c>
      <c r="EW101" s="456">
        <f t="shared" si="299"/>
        <v>0.50537423885676847</v>
      </c>
      <c r="EX101" s="456">
        <f t="shared" si="263"/>
        <v>7.2724872191384949E-3</v>
      </c>
      <c r="EY101" s="456">
        <f t="shared" si="264"/>
        <v>34.515000905941115</v>
      </c>
      <c r="EZ101" s="456">
        <f t="shared" si="265"/>
        <v>38.904729849215798</v>
      </c>
      <c r="FA101" s="538">
        <f t="shared" si="266"/>
        <v>5.1369703498444892</v>
      </c>
      <c r="FB101" s="144">
        <f t="shared" si="300"/>
        <v>44041.700199060288</v>
      </c>
      <c r="FC101" s="150">
        <f t="shared" si="301"/>
        <v>52.90091368923823</v>
      </c>
      <c r="FD101" s="5">
        <f t="shared" si="302"/>
        <v>120.09599999999999</v>
      </c>
      <c r="FE101" s="150">
        <f t="shared" si="303"/>
        <v>0.69420891644190597</v>
      </c>
      <c r="FF101" s="5">
        <f t="shared" si="304"/>
        <v>69.42089164419059</v>
      </c>
      <c r="FG101">
        <f t="shared" si="305"/>
        <v>96</v>
      </c>
      <c r="FI101" s="59">
        <f t="shared" si="267"/>
        <v>-50</v>
      </c>
      <c r="FJ101">
        <f t="shared" si="268"/>
        <v>-50</v>
      </c>
      <c r="FL101">
        <f t="shared" si="269"/>
        <v>0.52186043457008324</v>
      </c>
    </row>
    <row r="102" spans="5:169">
      <c r="E102" s="147">
        <v>97</v>
      </c>
      <c r="F102" s="188">
        <f t="shared" si="306"/>
        <v>3.88</v>
      </c>
      <c r="G102" s="188">
        <f t="shared" si="270"/>
        <v>0.82450000000000001</v>
      </c>
      <c r="H102" s="188">
        <f t="shared" si="175"/>
        <v>116.39999999999999</v>
      </c>
      <c r="I102" s="188">
        <f t="shared" si="307"/>
        <v>4.9470000000000001</v>
      </c>
      <c r="J102" s="465">
        <f t="shared" si="176"/>
        <v>33.765486597769716</v>
      </c>
      <c r="K102" s="379">
        <f t="shared" si="177"/>
        <v>30.876765192171124</v>
      </c>
      <c r="L102" s="149">
        <f t="shared" si="178"/>
        <v>64.642251789940843</v>
      </c>
      <c r="M102" s="379"/>
      <c r="N102" s="188">
        <f t="shared" si="179"/>
        <v>0.47765608927899295</v>
      </c>
      <c r="O102" s="149">
        <f>N102*J102*Isw_max*0.5*Efficiency*Pout/(Pout+Pout2)</f>
        <v>234.40578854578783</v>
      </c>
      <c r="P102" s="149">
        <f t="shared" si="180"/>
        <v>9.9622460131959816</v>
      </c>
      <c r="Q102" s="188">
        <f t="shared" si="181"/>
        <v>7.8135262848595941</v>
      </c>
      <c r="R102" s="188">
        <f t="shared" si="182"/>
        <v>39.067631424297971</v>
      </c>
      <c r="S102" s="379">
        <f t="shared" si="183"/>
        <v>30</v>
      </c>
      <c r="T102" s="188">
        <f t="shared" si="184"/>
        <v>15.047720234023679</v>
      </c>
      <c r="U102" s="188">
        <f t="shared" si="185"/>
        <v>2.0945732529316721</v>
      </c>
      <c r="V102" s="188">
        <f t="shared" si="186"/>
        <v>2.2905341495372578</v>
      </c>
      <c r="W102" s="172">
        <f t="shared" si="187"/>
        <v>350</v>
      </c>
      <c r="X102" s="379">
        <f t="shared" si="272"/>
        <v>218.09739930225686</v>
      </c>
      <c r="Z102" s="188">
        <f t="shared" si="188"/>
        <v>9.8044317816978293</v>
      </c>
      <c r="AA102" s="150">
        <f t="shared" si="189"/>
        <v>1.4924111734885914</v>
      </c>
      <c r="AB102" s="150">
        <f>0.5*AA102*Z102*Nps*W102/1000*(Pout/Pout_total)</f>
        <v>2.4562519133090523</v>
      </c>
      <c r="AC102" s="150"/>
      <c r="AD102" s="150">
        <f t="shared" si="191"/>
        <v>0.92253344246277724</v>
      </c>
      <c r="AE102" s="314">
        <f>MAX(10, F102/(0.5*AD102/1000000*Isw_min*Nps)/1000*Pout_total/Pout)</f>
        <v>1446.9036444213864</v>
      </c>
      <c r="AF102" s="456">
        <f t="shared" si="193"/>
        <v>0.93855593303385532</v>
      </c>
      <c r="AH102" s="150">
        <f t="shared" si="194"/>
        <v>12.146371742399426</v>
      </c>
      <c r="AI102" s="150">
        <f>MAX(IF(F102&gt;AB102,T102,AH102),Isw_min)</f>
        <v>15.047720234023679</v>
      </c>
      <c r="AJ102" s="150">
        <f>IF(F102&gt;AF102, (AI102-Isw_min)/1.08*0.8+1.2, AE102*0.2/350+1)</f>
        <v>7.857121609938976</v>
      </c>
      <c r="AL102" s="314">
        <f t="shared" si="197"/>
        <v>3880</v>
      </c>
      <c r="AM102" s="144">
        <f t="shared" si="198"/>
        <v>218.09739930225686</v>
      </c>
      <c r="AO102">
        <f t="shared" si="273"/>
        <v>3880</v>
      </c>
      <c r="AP102">
        <f t="shared" si="199"/>
        <v>218.09739930225686</v>
      </c>
      <c r="AR102" s="5">
        <f t="shared" si="274"/>
        <v>4.58510740246893</v>
      </c>
      <c r="AS102" s="5">
        <f t="shared" si="200"/>
        <v>2.0945732529316721</v>
      </c>
      <c r="AT102" s="5">
        <f t="shared" si="275"/>
        <v>2.4905341495372579</v>
      </c>
      <c r="AU102" s="150">
        <f t="shared" si="276"/>
        <v>0.45682097911246594</v>
      </c>
      <c r="AW102" s="5">
        <f t="shared" si="201"/>
        <v>27.089814071249627</v>
      </c>
      <c r="AX102" s="5">
        <f t="shared" si="202"/>
        <v>28.782927450702726</v>
      </c>
      <c r="AY102" s="5">
        <f t="shared" si="203"/>
        <v>5.0503740778362651</v>
      </c>
      <c r="AZ102" s="5"/>
      <c r="BA102" s="150">
        <f t="shared" si="277"/>
        <v>5.8719601696939323</v>
      </c>
      <c r="BB102" s="150">
        <f t="shared" si="204"/>
        <v>6.1419391748349437</v>
      </c>
      <c r="BC102" s="150">
        <f t="shared" si="205"/>
        <v>1.2328761751332142</v>
      </c>
      <c r="BD102" s="150"/>
      <c r="BE102" s="456">
        <f t="shared" si="206"/>
        <v>0.41375899481366391</v>
      </c>
      <c r="BF102" s="456">
        <f t="shared" si="207"/>
        <v>3.8716896761636139</v>
      </c>
      <c r="BG102" s="456">
        <f t="shared" si="208"/>
        <v>2.5081200919759541E-2</v>
      </c>
      <c r="BH102" s="456">
        <f t="shared" si="209"/>
        <v>0.4716217159081052</v>
      </c>
      <c r="BI102">
        <f t="shared" si="210"/>
        <v>1.5194468968996372E-2</v>
      </c>
      <c r="BJ102" s="144">
        <f t="shared" si="278"/>
        <v>40.275669888755914</v>
      </c>
      <c r="BK102">
        <f t="shared" si="211"/>
        <v>5.399617004204611</v>
      </c>
      <c r="BL102" s="144">
        <f t="shared" si="279"/>
        <v>5399.6170042046106</v>
      </c>
      <c r="BM102" s="150">
        <f t="shared" si="212"/>
        <v>2.6019279999999996</v>
      </c>
      <c r="BN102" s="150">
        <f t="shared" si="213"/>
        <v>0.39493549999999999</v>
      </c>
      <c r="BO102" s="456"/>
      <c r="BQ102" s="144">
        <f t="shared" si="280"/>
        <v>2996.8634999999995</v>
      </c>
      <c r="BR102" s="456">
        <f t="shared" si="214"/>
        <v>0.4827188272826079</v>
      </c>
      <c r="BS102" s="456">
        <f t="shared" si="215"/>
        <v>0.52812783558321008</v>
      </c>
      <c r="BT102" s="456">
        <f t="shared" si="216"/>
        <v>7.5999183160555201E-3</v>
      </c>
      <c r="BU102" s="456">
        <f t="shared" si="217"/>
        <v>30.851266133596042</v>
      </c>
      <c r="BV102" s="456">
        <f>(BU102+(BR102+BS102+BT102)*(1+Ltc*(Ta-25)))/(1-(BR102+BS102+BT102)*Ltc*ThetaCa)</f>
        <v>34.962755825386481</v>
      </c>
      <c r="BW102" s="538">
        <f t="shared" si="219"/>
        <v>4.9384641266967586</v>
      </c>
      <c r="BX102" s="144">
        <f t="shared" si="281"/>
        <v>39901.219952083236</v>
      </c>
      <c r="BY102" s="150">
        <f t="shared" si="282"/>
        <v>48.297700456287849</v>
      </c>
      <c r="BZ102" s="5">
        <f t="shared" si="283"/>
        <v>121.34699999999999</v>
      </c>
      <c r="CA102" s="150">
        <f t="shared" si="284"/>
        <v>0.71530085922882891</v>
      </c>
      <c r="CB102" s="5">
        <f t="shared" si="285"/>
        <v>71.53008592288289</v>
      </c>
      <c r="CC102">
        <f t="shared" si="286"/>
        <v>97</v>
      </c>
      <c r="CE102" s="59">
        <f t="shared" si="220"/>
        <v>-50</v>
      </c>
      <c r="CF102">
        <f t="shared" si="221"/>
        <v>-50</v>
      </c>
      <c r="CG102" s="150">
        <f t="shared" si="222"/>
        <v>0.52186043457008324</v>
      </c>
      <c r="CH102" s="150">
        <f t="shared" si="223"/>
        <v>0.11015112407727182</v>
      </c>
      <c r="CI102" s="147">
        <v>97</v>
      </c>
      <c r="CJ102" s="188">
        <f t="shared" si="308"/>
        <v>3.88</v>
      </c>
      <c r="CK102" s="188">
        <f t="shared" si="287"/>
        <v>0.82450000000000001</v>
      </c>
      <c r="CL102" s="188">
        <f t="shared" si="224"/>
        <v>116.39999999999999</v>
      </c>
      <c r="CM102" s="188">
        <f t="shared" si="309"/>
        <v>4.9470000000000001</v>
      </c>
      <c r="CN102" s="465">
        <f t="shared" si="288"/>
        <v>34</v>
      </c>
      <c r="CO102" s="379">
        <f t="shared" si="225"/>
        <v>30.7</v>
      </c>
      <c r="CP102" s="379">
        <f t="shared" si="226"/>
        <v>64.7</v>
      </c>
      <c r="CQ102" s="379"/>
      <c r="CR102" s="188">
        <f t="shared" si="227"/>
        <v>0.47204968944099374</v>
      </c>
      <c r="CS102" s="149">
        <f t="shared" si="289"/>
        <v>233.26341749863801</v>
      </c>
      <c r="CT102" s="149">
        <f t="shared" si="228"/>
        <v>9.9136952436921142</v>
      </c>
      <c r="CU102" s="188">
        <f t="shared" si="229"/>
        <v>7.7754472499545999</v>
      </c>
      <c r="CV102" s="188">
        <f t="shared" si="230"/>
        <v>38.877236249772999</v>
      </c>
      <c r="CW102" s="379">
        <f t="shared" si="231"/>
        <v>30</v>
      </c>
      <c r="CX102" s="188">
        <f t="shared" si="232"/>
        <v>15.121414086687306</v>
      </c>
      <c r="CY102" s="188">
        <f t="shared" si="233"/>
        <v>2.0903131237479506</v>
      </c>
      <c r="CZ102" s="188">
        <f t="shared" si="234"/>
        <v>2.315004762457014</v>
      </c>
      <c r="DA102" s="172">
        <f t="shared" si="235"/>
        <v>350</v>
      </c>
      <c r="DB102" s="379">
        <f t="shared" si="290"/>
        <v>226.99837465338214</v>
      </c>
      <c r="DD102" s="188">
        <f t="shared" si="236"/>
        <v>9.8072469146822137</v>
      </c>
      <c r="DE102" s="150">
        <f t="shared" si="237"/>
        <v>1.5014351954073746</v>
      </c>
      <c r="DF102" s="150">
        <f t="shared" si="238"/>
        <v>2.4718134248028734</v>
      </c>
      <c r="DG102" s="150"/>
      <c r="DH102" s="150">
        <f t="shared" si="239"/>
        <v>0.92784522751949461</v>
      </c>
      <c r="DI102" s="314">
        <f t="shared" si="240"/>
        <v>1438.6203220212765</v>
      </c>
      <c r="DJ102" s="456">
        <f t="shared" si="241"/>
        <v>0.94395997276890675</v>
      </c>
      <c r="DL102" s="150">
        <f t="shared" si="242"/>
        <v>12.146371742399426</v>
      </c>
      <c r="DM102" s="150">
        <f t="shared" si="243"/>
        <v>15.121414086687306</v>
      </c>
      <c r="DN102" s="150">
        <f t="shared" si="244"/>
        <v>7.9117096489490715</v>
      </c>
      <c r="DP102" s="314">
        <f t="shared" si="245"/>
        <v>3880</v>
      </c>
      <c r="DQ102" s="144">
        <f t="shared" si="246"/>
        <v>226.99837465338214</v>
      </c>
      <c r="DS102">
        <f t="shared" si="310"/>
        <v>3880</v>
      </c>
      <c r="DT102">
        <f t="shared" si="311"/>
        <v>226.99837465338214</v>
      </c>
      <c r="DV102" s="5">
        <f t="shared" si="292"/>
        <v>4.4053178862049638</v>
      </c>
      <c r="DW102" s="5">
        <f t="shared" si="248"/>
        <v>2.0903131237479506</v>
      </c>
      <c r="DX102" s="5">
        <f t="shared" si="293"/>
        <v>2.3150047624570131</v>
      </c>
      <c r="DY102" s="150">
        <f t="shared" si="294"/>
        <v>0.4744976816074189</v>
      </c>
      <c r="EA102" s="5">
        <f t="shared" si="249"/>
        <v>27.034716400473496</v>
      </c>
      <c r="EB102" s="5">
        <f t="shared" si="250"/>
        <v>28.724386175503088</v>
      </c>
      <c r="EC102" s="5">
        <f t="shared" si="251"/>
        <v>4.6620511133217351</v>
      </c>
      <c r="ED102" s="5"/>
      <c r="EE102" s="150">
        <f t="shared" si="295"/>
        <v>6.0137978624699073</v>
      </c>
      <c r="EF102" s="150">
        <f t="shared" si="252"/>
        <v>6.070759575017953</v>
      </c>
      <c r="EG102" s="150">
        <f t="shared" si="253"/>
        <v>1.2185882393084113</v>
      </c>
      <c r="EH102" s="150"/>
      <c r="EI102" s="456">
        <f t="shared" si="254"/>
        <v>0.43398917676777149</v>
      </c>
      <c r="EJ102" s="456">
        <f t="shared" si="255"/>
        <v>4.2196170212765978</v>
      </c>
      <c r="EK102" s="456">
        <f t="shared" si="256"/>
        <v>2.6104813085138949E-2</v>
      </c>
      <c r="EL102" s="456">
        <f t="shared" si="257"/>
        <v>0.49174693653406182</v>
      </c>
      <c r="EM102">
        <f t="shared" si="258"/>
        <v>1.5299999999999999E-2</v>
      </c>
      <c r="EN102" s="144">
        <f t="shared" si="296"/>
        <v>41.404813085138947</v>
      </c>
      <c r="EO102">
        <f t="shared" si="259"/>
        <v>5.9137346753806863</v>
      </c>
      <c r="EP102" s="144">
        <f t="shared" si="297"/>
        <v>5913.734675380686</v>
      </c>
      <c r="EQ102" s="150">
        <f t="shared" si="260"/>
        <v>2.6019279999999996</v>
      </c>
      <c r="ER102" s="150">
        <f t="shared" si="261"/>
        <v>0.39493549999999999</v>
      </c>
      <c r="ES102" s="456"/>
      <c r="EU102" s="144">
        <f t="shared" si="298"/>
        <v>2996.8634999999995</v>
      </c>
      <c r="EV102" s="456">
        <f t="shared" si="262"/>
        <v>0.50632070622906677</v>
      </c>
      <c r="EW102" s="456">
        <f t="shared" si="299"/>
        <v>0.51595770544741026</v>
      </c>
      <c r="EX102" s="456">
        <f t="shared" si="263"/>
        <v>7.4247864849038697E-3</v>
      </c>
      <c r="EY102" s="456">
        <f t="shared" si="264"/>
        <v>34.515000905941086</v>
      </c>
      <c r="EZ102" s="456">
        <f t="shared" si="265"/>
        <v>39.00491143560032</v>
      </c>
      <c r="FA102" s="538">
        <f t="shared" si="266"/>
        <v>5.1904804576553696</v>
      </c>
      <c r="FB102" s="144">
        <f t="shared" si="300"/>
        <v>44195.391893255692</v>
      </c>
      <c r="FC102" s="150">
        <f t="shared" si="301"/>
        <v>53.105990068636373</v>
      </c>
      <c r="FD102" s="5">
        <f t="shared" si="302"/>
        <v>121.34699999999999</v>
      </c>
      <c r="FE102" s="150">
        <f t="shared" si="303"/>
        <v>0.69558567011237527</v>
      </c>
      <c r="FF102" s="5">
        <f t="shared" si="304"/>
        <v>69.558567011237528</v>
      </c>
      <c r="FG102">
        <f t="shared" si="305"/>
        <v>97</v>
      </c>
      <c r="FI102" s="59">
        <f t="shared" si="267"/>
        <v>-50</v>
      </c>
      <c r="FJ102">
        <f t="shared" si="268"/>
        <v>-50</v>
      </c>
      <c r="FL102">
        <f t="shared" si="269"/>
        <v>0.52186043457008324</v>
      </c>
    </row>
    <row r="103" spans="5:169">
      <c r="E103" s="147">
        <v>98</v>
      </c>
      <c r="F103" s="188">
        <f t="shared" si="306"/>
        <v>3.92</v>
      </c>
      <c r="G103" s="188">
        <f t="shared" si="270"/>
        <v>0.83299999999999996</v>
      </c>
      <c r="H103" s="188">
        <f t="shared" si="175"/>
        <v>117.6</v>
      </c>
      <c r="I103" s="188">
        <f t="shared" si="307"/>
        <v>4.9979999999999993</v>
      </c>
      <c r="J103" s="465">
        <f t="shared" si="176"/>
        <v>33.763068933829196</v>
      </c>
      <c r="K103" s="379">
        <f t="shared" si="177"/>
        <v>30.878587513739898</v>
      </c>
      <c r="L103" s="149">
        <f t="shared" si="178"/>
        <v>64.64165644756909</v>
      </c>
      <c r="M103" s="379"/>
      <c r="N103" s="188">
        <f t="shared" si="179"/>
        <v>0.47768867957128464</v>
      </c>
      <c r="O103" s="149">
        <f>N103*J103*Isw_max*0.5*Efficiency*Pout/(Pout+Pout2)</f>
        <v>234.40499698096258</v>
      </c>
      <c r="P103" s="149">
        <f t="shared" si="180"/>
        <v>9.9622123716909083</v>
      </c>
      <c r="Q103" s="188">
        <f t="shared" si="181"/>
        <v>7.8134998993654197</v>
      </c>
      <c r="R103" s="188">
        <f t="shared" si="182"/>
        <v>39.067499496827097</v>
      </c>
      <c r="S103" s="379">
        <f t="shared" si="183"/>
        <v>30</v>
      </c>
      <c r="T103" s="188">
        <f t="shared" si="184"/>
        <v>15.202902709133747</v>
      </c>
      <c r="U103" s="188">
        <f t="shared" si="185"/>
        <v>2.1163254700858971</v>
      </c>
      <c r="V103" s="188">
        <f t="shared" si="186"/>
        <v>2.3140191467998408</v>
      </c>
      <c r="W103" s="172">
        <f t="shared" si="187"/>
        <v>350</v>
      </c>
      <c r="X103" s="379">
        <f t="shared" si="272"/>
        <v>215.96664670556999</v>
      </c>
      <c r="Z103" s="188">
        <f t="shared" si="188"/>
        <v>9.8043986731155801</v>
      </c>
      <c r="AA103" s="150">
        <f t="shared" si="189"/>
        <v>1.4923180583677582</v>
      </c>
      <c r="AB103" s="150">
        <f>0.5*AA103*Z103*Nps*W103/1000*(Pout/Pout_total)</f>
        <v>2.4560903678487023</v>
      </c>
      <c r="AC103" s="150"/>
      <c r="AD103" s="150">
        <f t="shared" si="191"/>
        <v>0.92247899850256143</v>
      </c>
      <c r="AE103" s="314">
        <f>MAX(10, F103/(0.5*AD103/1000000*Isw_min*Nps)/1000*Pout_total/Pout)</f>
        <v>1461.9064522760029</v>
      </c>
      <c r="AF103" s="456">
        <f t="shared" si="193"/>
        <v>0.93850054349508472</v>
      </c>
      <c r="AH103" s="150">
        <f t="shared" si="194"/>
        <v>12.208821366083468</v>
      </c>
      <c r="AI103" s="150">
        <f>MAX(IF(F103&gt;AB103,T103,AH103),Isw_min)</f>
        <v>15.202902709133747</v>
      </c>
      <c r="AJ103" s="150">
        <f>IF(F103&gt;AF103, (AI103-Isw_min)/1.08*0.8+1.2, AE103*0.2/350+1)</f>
        <v>7.9720715915019902</v>
      </c>
      <c r="AL103" s="314">
        <f t="shared" si="197"/>
        <v>3920</v>
      </c>
      <c r="AM103" s="144">
        <f t="shared" si="198"/>
        <v>215.96664670556999</v>
      </c>
      <c r="AO103">
        <f t="shared" si="273"/>
        <v>3920</v>
      </c>
      <c r="AP103">
        <f t="shared" si="199"/>
        <v>215.96664670556999</v>
      </c>
      <c r="AR103" s="5">
        <f t="shared" si="274"/>
        <v>4.6303446168857381</v>
      </c>
      <c r="AS103" s="5">
        <f t="shared" si="200"/>
        <v>2.1163254700858971</v>
      </c>
      <c r="AT103" s="5">
        <f t="shared" si="275"/>
        <v>2.514019146799841</v>
      </c>
      <c r="AU103" s="150">
        <f t="shared" si="276"/>
        <v>0.45705571511204024</v>
      </c>
      <c r="AW103" s="5">
        <f t="shared" si="201"/>
        <v>27.653319475789058</v>
      </c>
      <c r="AX103" s="5">
        <f t="shared" si="202"/>
        <v>29.381651943025872</v>
      </c>
      <c r="AY103" s="5">
        <f t="shared" si="203"/>
        <v>5.1509230961113248</v>
      </c>
      <c r="AZ103" s="5"/>
      <c r="BA103" s="150">
        <f t="shared" si="277"/>
        <v>5.9340398814634296</v>
      </c>
      <c r="BB103" s="150">
        <f t="shared" si="204"/>
        <v>6.2039381326628931</v>
      </c>
      <c r="BC103" s="150">
        <f t="shared" si="205"/>
        <v>1.2453212736295243</v>
      </c>
      <c r="BD103" s="150"/>
      <c r="BE103" s="456">
        <f t="shared" si="206"/>
        <v>0.42255395177758215</v>
      </c>
      <c r="BF103" s="456">
        <f t="shared" si="207"/>
        <v>3.8733660965128394</v>
      </c>
      <c r="BG103" s="456">
        <f t="shared" si="208"/>
        <v>2.483616437114055E-2</v>
      </c>
      <c r="BH103" s="456">
        <f t="shared" si="209"/>
        <v>0.46700549713989753</v>
      </c>
      <c r="BI103">
        <f t="shared" si="210"/>
        <v>1.5193381020223138E-2</v>
      </c>
      <c r="BJ103" s="144">
        <f t="shared" si="278"/>
        <v>40.02954539136369</v>
      </c>
      <c r="BK103">
        <f t="shared" si="211"/>
        <v>5.4213080363861224</v>
      </c>
      <c r="BL103" s="144">
        <f t="shared" si="279"/>
        <v>5421.3080363861227</v>
      </c>
      <c r="BM103" s="150">
        <f t="shared" si="212"/>
        <v>2.6287519999999995</v>
      </c>
      <c r="BN103" s="150">
        <f t="shared" si="213"/>
        <v>0.39900699999999995</v>
      </c>
      <c r="BO103" s="456"/>
      <c r="BQ103" s="144">
        <f t="shared" si="280"/>
        <v>3027.7589999999996</v>
      </c>
      <c r="BR103" s="456">
        <f t="shared" si="214"/>
        <v>0.49297961040717919</v>
      </c>
      <c r="BS103" s="456">
        <f t="shared" si="215"/>
        <v>0.53884387695472247</v>
      </c>
      <c r="BT103" s="456">
        <f t="shared" si="216"/>
        <v>7.7541253727713023E-3</v>
      </c>
      <c r="BU103" s="456">
        <f t="shared" si="217"/>
        <v>30.885384167082105</v>
      </c>
      <c r="BV103" s="456">
        <f>(BU103+(BR103+BS103+BT103)*(1+Ltc*(Ta-25)))/(1-(BR103+BS103+BT103)*Ltc*ThetaCa)</f>
        <v>35.093013284816777</v>
      </c>
      <c r="BW103" s="538">
        <f t="shared" si="219"/>
        <v>4.9915993280611959</v>
      </c>
      <c r="BX103" s="144">
        <f t="shared" si="281"/>
        <v>40084.612612877972</v>
      </c>
      <c r="BY103" s="150">
        <f t="shared" si="282"/>
        <v>48.533679649264094</v>
      </c>
      <c r="BZ103" s="5">
        <f t="shared" si="283"/>
        <v>122.598</v>
      </c>
      <c r="CA103" s="150">
        <f t="shared" si="284"/>
        <v>0.71639570330441271</v>
      </c>
      <c r="CB103" s="5">
        <f t="shared" si="285"/>
        <v>71.639570330441273</v>
      </c>
      <c r="CC103">
        <f t="shared" si="286"/>
        <v>98</v>
      </c>
      <c r="CE103" s="59">
        <f t="shared" si="220"/>
        <v>-50</v>
      </c>
      <c r="CF103">
        <f t="shared" si="221"/>
        <v>-50</v>
      </c>
      <c r="CG103" s="150">
        <f t="shared" si="222"/>
        <v>0.52186043457008313</v>
      </c>
      <c r="CH103" s="150">
        <f t="shared" si="223"/>
        <v>0.11015112407727176</v>
      </c>
      <c r="CI103" s="147">
        <v>98</v>
      </c>
      <c r="CJ103" s="188">
        <f t="shared" si="308"/>
        <v>3.92</v>
      </c>
      <c r="CK103" s="188">
        <f t="shared" si="287"/>
        <v>0.83299999999999996</v>
      </c>
      <c r="CL103" s="188">
        <f t="shared" si="224"/>
        <v>117.6</v>
      </c>
      <c r="CM103" s="188">
        <f t="shared" si="309"/>
        <v>4.9979999999999993</v>
      </c>
      <c r="CN103" s="465">
        <f t="shared" si="288"/>
        <v>34</v>
      </c>
      <c r="CO103" s="379">
        <f t="shared" si="225"/>
        <v>30.7</v>
      </c>
      <c r="CP103" s="379">
        <f t="shared" si="226"/>
        <v>64.7</v>
      </c>
      <c r="CQ103" s="379"/>
      <c r="CR103" s="188">
        <f t="shared" si="227"/>
        <v>0.47204968944099374</v>
      </c>
      <c r="CS103" s="149">
        <f t="shared" si="289"/>
        <v>233.26341749863801</v>
      </c>
      <c r="CT103" s="149">
        <f t="shared" si="228"/>
        <v>9.9136952436921142</v>
      </c>
      <c r="CU103" s="188">
        <f t="shared" si="229"/>
        <v>7.7754472499545999</v>
      </c>
      <c r="CV103" s="188">
        <f t="shared" si="230"/>
        <v>38.877236249772999</v>
      </c>
      <c r="CW103" s="379">
        <f t="shared" si="231"/>
        <v>30</v>
      </c>
      <c r="CX103" s="188">
        <f t="shared" si="232"/>
        <v>15.277304953560373</v>
      </c>
      <c r="CY103" s="188">
        <f t="shared" si="233"/>
        <v>2.1118627435804043</v>
      </c>
      <c r="CZ103" s="188">
        <f t="shared" si="234"/>
        <v>2.3388707909359532</v>
      </c>
      <c r="DA103" s="172">
        <f t="shared" si="235"/>
        <v>350</v>
      </c>
      <c r="DB103" s="379">
        <f t="shared" si="290"/>
        <v>224.68206470793936</v>
      </c>
      <c r="DD103" s="188">
        <f t="shared" si="236"/>
        <v>9.8072469146822137</v>
      </c>
      <c r="DE103" s="150">
        <f t="shared" si="237"/>
        <v>1.5014351954073746</v>
      </c>
      <c r="DF103" s="150">
        <f t="shared" si="238"/>
        <v>2.4718134248028734</v>
      </c>
      <c r="DG103" s="150"/>
      <c r="DH103" s="150">
        <f t="shared" si="239"/>
        <v>0.92784522751949461</v>
      </c>
      <c r="DI103" s="314">
        <f t="shared" si="240"/>
        <v>1453.4514593617021</v>
      </c>
      <c r="DJ103" s="456">
        <f t="shared" si="241"/>
        <v>0.94395997276890675</v>
      </c>
      <c r="DL103" s="150">
        <f t="shared" si="242"/>
        <v>12.208821366083468</v>
      </c>
      <c r="DM103" s="150">
        <f t="shared" si="243"/>
        <v>15.277304953560373</v>
      </c>
      <c r="DN103" s="150">
        <f t="shared" si="244"/>
        <v>8.0271843651513421</v>
      </c>
      <c r="DP103" s="314">
        <f t="shared" si="245"/>
        <v>3920</v>
      </c>
      <c r="DQ103" s="144">
        <f t="shared" si="246"/>
        <v>224.68206470793936</v>
      </c>
      <c r="DS103">
        <f t="shared" si="310"/>
        <v>3920</v>
      </c>
      <c r="DT103">
        <f t="shared" si="311"/>
        <v>224.68206470793936</v>
      </c>
      <c r="DV103" s="5">
        <f t="shared" si="292"/>
        <v>4.4507335345163588</v>
      </c>
      <c r="DW103" s="5">
        <f t="shared" si="248"/>
        <v>2.1118627435804043</v>
      </c>
      <c r="DX103" s="5">
        <f t="shared" si="293"/>
        <v>2.3388707909359545</v>
      </c>
      <c r="DY103" s="150">
        <f t="shared" si="294"/>
        <v>0.47449768160741868</v>
      </c>
      <c r="EA103" s="5">
        <f t="shared" si="249"/>
        <v>27.59500651611728</v>
      </c>
      <c r="EB103" s="5">
        <f t="shared" si="250"/>
        <v>29.319694423374614</v>
      </c>
      <c r="EC103" s="5">
        <f t="shared" si="251"/>
        <v>4.7586713670254017</v>
      </c>
      <c r="ED103" s="5"/>
      <c r="EE103" s="150">
        <f t="shared" si="295"/>
        <v>6.0757957785778443</v>
      </c>
      <c r="EF103" s="150">
        <f t="shared" si="252"/>
        <v>6.1333447252758733</v>
      </c>
      <c r="EG103" s="150">
        <f t="shared" si="253"/>
        <v>1.231151004662107</v>
      </c>
      <c r="EH103" s="150"/>
      <c r="EI103" s="456">
        <f t="shared" si="254"/>
        <v>0.44298353211581226</v>
      </c>
      <c r="EJ103" s="456">
        <f t="shared" si="255"/>
        <v>4.219617021276596</v>
      </c>
      <c r="EK103" s="456">
        <f t="shared" si="256"/>
        <v>2.5838437441413026E-2</v>
      </c>
      <c r="EL103" s="456">
        <f t="shared" si="257"/>
        <v>0.486729110651061</v>
      </c>
      <c r="EM103">
        <f t="shared" si="258"/>
        <v>1.5299999999999999E-2</v>
      </c>
      <c r="EN103" s="144">
        <f t="shared" si="296"/>
        <v>41.138437441413025</v>
      </c>
      <c r="EO103">
        <f t="shared" si="259"/>
        <v>5.9347200783037257</v>
      </c>
      <c r="EP103" s="144">
        <f t="shared" si="297"/>
        <v>5934.720078303726</v>
      </c>
      <c r="EQ103" s="150">
        <f t="shared" si="260"/>
        <v>2.6287519999999995</v>
      </c>
      <c r="ER103" s="150">
        <f t="shared" si="261"/>
        <v>0.39900699999999995</v>
      </c>
      <c r="ES103" s="456"/>
      <c r="EU103" s="144">
        <f t="shared" si="298"/>
        <v>3027.7589999999996</v>
      </c>
      <c r="EV103" s="456">
        <f t="shared" si="262"/>
        <v>0.51681412080178091</v>
      </c>
      <c r="EW103" s="456">
        <f t="shared" si="299"/>
        <v>0.52665084526697137</v>
      </c>
      <c r="EX103" s="456">
        <f t="shared" si="263"/>
        <v>7.5786639814025775E-3</v>
      </c>
      <c r="EY103" s="456">
        <f t="shared" si="264"/>
        <v>34.515000905941115</v>
      </c>
      <c r="EZ103" s="456">
        <f t="shared" si="265"/>
        <v>39.106506577769643</v>
      </c>
      <c r="FA103" s="538">
        <f t="shared" si="266"/>
        <v>5.2439905654662491</v>
      </c>
      <c r="FB103" s="144">
        <f t="shared" si="300"/>
        <v>44350.497143235894</v>
      </c>
      <c r="FC103" s="150">
        <f t="shared" si="301"/>
        <v>53.312976221539614</v>
      </c>
      <c r="FD103" s="5">
        <f t="shared" si="302"/>
        <v>122.598</v>
      </c>
      <c r="FE103" s="150">
        <f t="shared" si="303"/>
        <v>0.69693206548749942</v>
      </c>
      <c r="FF103" s="5">
        <f t="shared" si="304"/>
        <v>69.693206548749941</v>
      </c>
      <c r="FG103">
        <f t="shared" si="305"/>
        <v>98</v>
      </c>
      <c r="FI103" s="59">
        <f t="shared" si="267"/>
        <v>-50</v>
      </c>
      <c r="FJ103">
        <f t="shared" si="268"/>
        <v>-50</v>
      </c>
      <c r="FL103">
        <f t="shared" si="269"/>
        <v>0.52186043457008313</v>
      </c>
    </row>
    <row r="104" spans="5:169">
      <c r="E104" s="147">
        <v>99</v>
      </c>
      <c r="F104" s="188">
        <f>IF(PLOT_TYPE=1, E104/100*Iout_max, min_I*EXP(O104*rr/100))</f>
        <v>3.96</v>
      </c>
      <c r="G104" s="188">
        <f t="shared" si="270"/>
        <v>0.84150000000000003</v>
      </c>
      <c r="H104" s="188">
        <f t="shared" si="175"/>
        <v>118.8</v>
      </c>
      <c r="I104" s="188">
        <f t="shared" si="307"/>
        <v>5.0490000000000004</v>
      </c>
      <c r="J104" s="465">
        <f t="shared" si="176"/>
        <v>33.760651269888676</v>
      </c>
      <c r="K104" s="379">
        <f t="shared" si="177"/>
        <v>30.880409835308676</v>
      </c>
      <c r="L104" s="149">
        <f t="shared" si="178"/>
        <v>64.641061105197352</v>
      </c>
      <c r="M104" s="379"/>
      <c r="N104" s="188">
        <f t="shared" si="179"/>
        <v>0.47772127046388768</v>
      </c>
      <c r="O104" s="149">
        <f>N104*J104*Isw_max*0.5*Efficiency*Pout/(Pout+Pout2)</f>
        <v>234.40420342038342</v>
      </c>
      <c r="P104" s="149">
        <f t="shared" si="180"/>
        <v>9.9621786453662953</v>
      </c>
      <c r="Q104" s="188">
        <f t="shared" si="181"/>
        <v>7.813473447346114</v>
      </c>
      <c r="R104" s="188">
        <f t="shared" si="182"/>
        <v>39.067367236730568</v>
      </c>
      <c r="S104" s="379">
        <f t="shared" si="183"/>
        <v>30</v>
      </c>
      <c r="T104" s="188">
        <f t="shared" si="184"/>
        <v>15.358086363083324</v>
      </c>
      <c r="U104" s="188">
        <f t="shared" si="185"/>
        <v>2.1380809667872747</v>
      </c>
      <c r="V104" s="188">
        <f t="shared" si="186"/>
        <v>2.3375015516781623</v>
      </c>
      <c r="W104" s="172">
        <f t="shared" si="187"/>
        <v>350</v>
      </c>
      <c r="X104" s="379">
        <f t="shared" si="272"/>
        <v>213.87709361361198</v>
      </c>
      <c r="Z104" s="188">
        <f t="shared" si="188"/>
        <v>9.8043654810574346</v>
      </c>
      <c r="AA104" s="150">
        <f t="shared" si="189"/>
        <v>1.492224941531749</v>
      </c>
      <c r="AB104" s="150">
        <f>0.5*AA104*Z104*Nps*W104/1000*(Pout/Pout_total)</f>
        <v>2.4559287996903554</v>
      </c>
      <c r="AC104" s="150"/>
      <c r="AD104" s="150">
        <f t="shared" si="191"/>
        <v>0.9224245609680638</v>
      </c>
      <c r="AE104" s="314">
        <f>MAX(10, F104/(0.5*AD104/1000000*Isw_min*Nps)/1000*Pout_total/Pout)</f>
        <v>1476.9110208538416</v>
      </c>
      <c r="AF104" s="456">
        <f t="shared" si="193"/>
        <v>0.93844516049363369</v>
      </c>
      <c r="AH104" s="150">
        <f t="shared" si="194"/>
        <v>12.270953173788623</v>
      </c>
      <c r="AI104" s="150">
        <f>MAX(IF(F104&gt;AB104,T104,AH104),Isw_min)</f>
        <v>15.358086363083324</v>
      </c>
      <c r="AJ104" s="150">
        <f>IF(F104&gt;AF104, (AI104-Isw_min)/1.08*0.8+1.2, AE104*0.2/350+1)</f>
        <v>8.0870224462794535</v>
      </c>
      <c r="AL104" s="314">
        <f t="shared" si="197"/>
        <v>3960</v>
      </c>
      <c r="AM104" s="144">
        <f t="shared" si="198"/>
        <v>213.87709361361198</v>
      </c>
      <c r="AO104">
        <f t="shared" si="273"/>
        <v>3960</v>
      </c>
      <c r="AP104">
        <f t="shared" si="199"/>
        <v>213.87709361361198</v>
      </c>
      <c r="AR104" s="5">
        <f t="shared" si="274"/>
        <v>4.6755825184654372</v>
      </c>
      <c r="AS104" s="5">
        <f t="shared" si="200"/>
        <v>2.1380809667872747</v>
      </c>
      <c r="AT104" s="5">
        <f t="shared" si="275"/>
        <v>2.5375015516781625</v>
      </c>
      <c r="AU104" s="150">
        <f t="shared" si="276"/>
        <v>0.45728654308704397</v>
      </c>
      <c r="AW104" s="5">
        <f t="shared" si="201"/>
        <v>28.222668761592022</v>
      </c>
      <c r="AX104" s="5">
        <f t="shared" si="202"/>
        <v>29.986585559191528</v>
      </c>
      <c r="AY104" s="5">
        <f t="shared" si="203"/>
        <v>5.2524632183655449</v>
      </c>
      <c r="AZ104" s="5"/>
      <c r="BA104" s="150">
        <f t="shared" si="277"/>
        <v>5.9961251488020517</v>
      </c>
      <c r="BB104" s="150">
        <f t="shared" si="204"/>
        <v>6.2659324633504463</v>
      </c>
      <c r="BC104" s="150">
        <f t="shared" si="205"/>
        <v>1.2577654433163836</v>
      </c>
      <c r="BD104" s="150"/>
      <c r="BE104" s="456">
        <f t="shared" si="206"/>
        <v>0.43144220160115709</v>
      </c>
      <c r="BF104" s="456">
        <f t="shared" si="207"/>
        <v>3.8750090841514218</v>
      </c>
      <c r="BG104" s="456">
        <f t="shared" si="208"/>
        <v>2.459586576556538E-2</v>
      </c>
      <c r="BH104" s="456">
        <f t="shared" si="209"/>
        <v>0.46247853620958734</v>
      </c>
      <c r="BI104">
        <f t="shared" si="210"/>
        <v>1.5192293071449904E-2</v>
      </c>
      <c r="BJ104" s="144">
        <f t="shared" si="278"/>
        <v>39.788158837015281</v>
      </c>
      <c r="BK104">
        <f t="shared" si="211"/>
        <v>5.4434287264572863</v>
      </c>
      <c r="BL104" s="144">
        <f t="shared" si="279"/>
        <v>5443.4287264572858</v>
      </c>
      <c r="BM104" s="150">
        <f t="shared" si="212"/>
        <v>2.6555759999999995</v>
      </c>
      <c r="BN104" s="150">
        <f t="shared" si="213"/>
        <v>0.40307850000000001</v>
      </c>
      <c r="BO104" s="456"/>
      <c r="BQ104" s="144">
        <f t="shared" si="280"/>
        <v>3058.6544999999992</v>
      </c>
      <c r="BR104" s="456">
        <f t="shared" si="214"/>
        <v>0.50334923520134989</v>
      </c>
      <c r="BS104" s="456">
        <f t="shared" si="215"/>
        <v>0.54966673489376594</v>
      </c>
      <c r="BT104" s="456">
        <f t="shared" si="216"/>
        <v>7.9098695520042946E-3</v>
      </c>
      <c r="BU104" s="456">
        <f t="shared" si="217"/>
        <v>30.918858551278625</v>
      </c>
      <c r="BV104" s="456">
        <f>(BU104+(BR104+BS104+BT104)*(1+Ltc*(Ta-25)))/(1-(BR104+BS104+BT104)*Ltc*ThetaCa)</f>
        <v>35.224011730078978</v>
      </c>
      <c r="BW104" s="538">
        <f t="shared" si="219"/>
        <v>5.0447364751748749</v>
      </c>
      <c r="BX104" s="144">
        <f t="shared" si="281"/>
        <v>40268.748205253847</v>
      </c>
      <c r="BY104" s="150">
        <f t="shared" si="282"/>
        <v>48.770831431711137</v>
      </c>
      <c r="BZ104" s="5">
        <f t="shared" si="283"/>
        <v>123.849</v>
      </c>
      <c r="CA104" s="150">
        <f t="shared" si="284"/>
        <v>0.71746681115834021</v>
      </c>
      <c r="CB104" s="5">
        <f t="shared" si="285"/>
        <v>71.746681115834022</v>
      </c>
      <c r="CC104">
        <f t="shared" si="286"/>
        <v>99</v>
      </c>
      <c r="CE104" s="59">
        <f t="shared" si="220"/>
        <v>-50</v>
      </c>
      <c r="CF104">
        <f t="shared" si="221"/>
        <v>-50</v>
      </c>
      <c r="CG104" s="150">
        <f t="shared" si="222"/>
        <v>0.52186043457008313</v>
      </c>
      <c r="CH104" s="150">
        <f t="shared" si="223"/>
        <v>0.1101511240772718</v>
      </c>
      <c r="CI104" s="147">
        <v>99</v>
      </c>
      <c r="CJ104" s="188">
        <f t="shared" si="308"/>
        <v>3.96</v>
      </c>
      <c r="CK104" s="188">
        <f t="shared" si="287"/>
        <v>0.84150000000000003</v>
      </c>
      <c r="CL104" s="188">
        <f t="shared" si="224"/>
        <v>118.8</v>
      </c>
      <c r="CM104" s="188">
        <f t="shared" si="309"/>
        <v>5.0490000000000004</v>
      </c>
      <c r="CN104" s="465">
        <f t="shared" si="288"/>
        <v>34</v>
      </c>
      <c r="CO104" s="379">
        <f t="shared" si="225"/>
        <v>30.7</v>
      </c>
      <c r="CP104" s="379">
        <f t="shared" si="226"/>
        <v>64.7</v>
      </c>
      <c r="CQ104" s="379"/>
      <c r="CR104" s="188">
        <f t="shared" si="227"/>
        <v>0.47204968944099374</v>
      </c>
      <c r="CS104" s="149">
        <f t="shared" si="289"/>
        <v>233.26341749863801</v>
      </c>
      <c r="CT104" s="149">
        <f t="shared" si="228"/>
        <v>9.9136952436921142</v>
      </c>
      <c r="CU104" s="188">
        <f t="shared" si="229"/>
        <v>7.7754472499545999</v>
      </c>
      <c r="CV104" s="188">
        <f t="shared" si="230"/>
        <v>38.877236249772999</v>
      </c>
      <c r="CW104" s="379">
        <f t="shared" si="231"/>
        <v>30</v>
      </c>
      <c r="CX104" s="188">
        <f t="shared" si="232"/>
        <v>15.433195820433438</v>
      </c>
      <c r="CY104" s="188">
        <f t="shared" si="233"/>
        <v>2.1334123634128574</v>
      </c>
      <c r="CZ104" s="188">
        <f t="shared" si="234"/>
        <v>2.3627368194148914</v>
      </c>
      <c r="DA104" s="172">
        <f t="shared" si="235"/>
        <v>350</v>
      </c>
      <c r="DB104" s="379">
        <f t="shared" si="290"/>
        <v>222.41254890280871</v>
      </c>
      <c r="DD104" s="188">
        <f t="shared" si="236"/>
        <v>9.8072469146822137</v>
      </c>
      <c r="DE104" s="150">
        <f t="shared" si="237"/>
        <v>1.5014351954073746</v>
      </c>
      <c r="DF104" s="150">
        <f t="shared" si="238"/>
        <v>2.4718134248028734</v>
      </c>
      <c r="DG104" s="150"/>
      <c r="DH104" s="150">
        <f t="shared" si="239"/>
        <v>0.92784522751949461</v>
      </c>
      <c r="DI104" s="314">
        <f t="shared" si="240"/>
        <v>1468.2825967021276</v>
      </c>
      <c r="DJ104" s="456">
        <f t="shared" si="241"/>
        <v>0.94395997276890675</v>
      </c>
      <c r="DL104" s="150">
        <f t="shared" si="242"/>
        <v>12.270953173788623</v>
      </c>
      <c r="DM104" s="150">
        <f t="shared" si="243"/>
        <v>15.433195820433438</v>
      </c>
      <c r="DN104" s="150">
        <f t="shared" si="244"/>
        <v>8.1426590813536119</v>
      </c>
      <c r="DP104" s="314">
        <f t="shared" si="245"/>
        <v>3960</v>
      </c>
      <c r="DQ104" s="144">
        <f t="shared" si="246"/>
        <v>222.41254890280871</v>
      </c>
      <c r="DS104">
        <f t="shared" si="310"/>
        <v>3960</v>
      </c>
      <c r="DT104">
        <f t="shared" si="311"/>
        <v>222.41254890280871</v>
      </c>
      <c r="DV104" s="5">
        <f t="shared" si="292"/>
        <v>4.4961491828277484</v>
      </c>
      <c r="DW104" s="5">
        <f t="shared" si="248"/>
        <v>2.1334123634128574</v>
      </c>
      <c r="DX104" s="5">
        <f t="shared" si="293"/>
        <v>2.362736819414891</v>
      </c>
      <c r="DY104" s="150">
        <f t="shared" si="294"/>
        <v>0.47449768160741884</v>
      </c>
      <c r="EA104" s="5">
        <f t="shared" si="249"/>
        <v>28.161043197049718</v>
      </c>
      <c r="EB104" s="5">
        <f t="shared" si="250"/>
        <v>29.921108396865328</v>
      </c>
      <c r="EC104" s="5">
        <f t="shared" si="251"/>
        <v>4.8562825976901216</v>
      </c>
      <c r="ED104" s="5"/>
      <c r="EE104" s="150">
        <f t="shared" si="295"/>
        <v>6.137793694685783</v>
      </c>
      <c r="EF104" s="150">
        <f t="shared" si="252"/>
        <v>6.195929875533789</v>
      </c>
      <c r="EG104" s="150">
        <f t="shared" si="253"/>
        <v>1.2437137700158016</v>
      </c>
      <c r="EH104" s="150"/>
      <c r="EI104" s="456">
        <f t="shared" si="254"/>
        <v>0.45207013726229461</v>
      </c>
      <c r="EJ104" s="456">
        <f t="shared" si="255"/>
        <v>4.219617021276596</v>
      </c>
      <c r="EK104" s="456">
        <f t="shared" si="256"/>
        <v>2.5577443123823006E-2</v>
      </c>
      <c r="EL104" s="456">
        <f t="shared" si="257"/>
        <v>0.48181265498791909</v>
      </c>
      <c r="EM104">
        <f t="shared" si="258"/>
        <v>1.5299999999999999E-2</v>
      </c>
      <c r="EN104" s="144">
        <f t="shared" si="296"/>
        <v>40.877443123823006</v>
      </c>
      <c r="EO104">
        <f t="shared" si="259"/>
        <v>5.9562030716546612</v>
      </c>
      <c r="EP104" s="144">
        <f t="shared" si="297"/>
        <v>5956.2030716546615</v>
      </c>
      <c r="EQ104" s="150">
        <f t="shared" si="260"/>
        <v>2.6555759999999995</v>
      </c>
      <c r="ER104" s="150">
        <f t="shared" si="261"/>
        <v>0.40307850000000001</v>
      </c>
      <c r="ES104" s="456"/>
      <c r="EU104" s="144">
        <f t="shared" si="298"/>
        <v>3058.6544999999992</v>
      </c>
      <c r="EV104" s="456">
        <f t="shared" si="262"/>
        <v>0.52741516013934375</v>
      </c>
      <c r="EW104" s="456">
        <f t="shared" si="299"/>
        <v>0.53745365831545022</v>
      </c>
      <c r="EX104" s="456">
        <f t="shared" si="263"/>
        <v>7.7341197086345913E-3</v>
      </c>
      <c r="EY104" s="456">
        <f t="shared" si="264"/>
        <v>34.515000905941172</v>
      </c>
      <c r="EZ104" s="456">
        <f t="shared" si="265"/>
        <v>39.209529032833544</v>
      </c>
      <c r="FA104" s="538">
        <f t="shared" si="266"/>
        <v>5.2975006732771304</v>
      </c>
      <c r="FB104" s="144">
        <f t="shared" si="300"/>
        <v>44507.029706110668</v>
      </c>
      <c r="FC104" s="150">
        <f t="shared" si="301"/>
        <v>53.52188727776533</v>
      </c>
      <c r="FD104" s="5">
        <f t="shared" si="302"/>
        <v>123.849</v>
      </c>
      <c r="FE104" s="150">
        <f t="shared" si="303"/>
        <v>0.69824874815025706</v>
      </c>
      <c r="FF104" s="5">
        <f t="shared" si="304"/>
        <v>69.824874815025709</v>
      </c>
      <c r="FG104">
        <f t="shared" si="305"/>
        <v>99</v>
      </c>
      <c r="FI104" s="59">
        <f t="shared" si="267"/>
        <v>-50</v>
      </c>
      <c r="FJ104">
        <f t="shared" si="268"/>
        <v>-50</v>
      </c>
      <c r="FL104">
        <f t="shared" si="269"/>
        <v>0.52186043457008313</v>
      </c>
    </row>
    <row r="105" spans="5:169">
      <c r="E105" s="147">
        <v>100</v>
      </c>
      <c r="F105" s="188">
        <f>IF(PLOT_TYPE=1, E105/100*Iout_max, min_I*EXP(O105*rr/100))</f>
        <v>4</v>
      </c>
      <c r="G105" s="188">
        <f t="shared" si="270"/>
        <v>0.85</v>
      </c>
      <c r="H105" s="188">
        <f t="shared" si="175"/>
        <v>120</v>
      </c>
      <c r="I105" s="188">
        <f t="shared" si="307"/>
        <v>5.0999999999999996</v>
      </c>
      <c r="J105" s="465">
        <f t="shared" si="176"/>
        <v>33.758233605948156</v>
      </c>
      <c r="K105" s="379">
        <f t="shared" si="177"/>
        <v>30.88223215687745</v>
      </c>
      <c r="L105" s="149">
        <f t="shared" si="178"/>
        <v>64.640465762825613</v>
      </c>
      <c r="M105" s="379"/>
      <c r="N105" s="188">
        <f t="shared" si="179"/>
        <v>0.47775386195681863</v>
      </c>
      <c r="O105" s="149">
        <f>N105*J105*Isw_max*0.5*Efficiency*Pout/(Pout+Pout2)</f>
        <v>234.40340786399523</v>
      </c>
      <c r="P105" s="149">
        <f t="shared" si="180"/>
        <v>9.9621448342197958</v>
      </c>
      <c r="Q105" s="188">
        <f t="shared" si="181"/>
        <v>7.8134469287998405</v>
      </c>
      <c r="R105" s="188">
        <f t="shared" si="182"/>
        <v>39.067234643999207</v>
      </c>
      <c r="S105" s="379">
        <f t="shared" si="183"/>
        <v>30</v>
      </c>
      <c r="T105" s="188">
        <f t="shared" si="184"/>
        <v>15.513271199851818</v>
      </c>
      <c r="U105" s="188">
        <f t="shared" si="185"/>
        <v>2.1598397442944552</v>
      </c>
      <c r="V105" s="188">
        <f t="shared" si="186"/>
        <v>2.3609813652367744</v>
      </c>
      <c r="W105" s="172">
        <f t="shared" si="187"/>
        <v>350</v>
      </c>
      <c r="X105" s="379">
        <f t="shared" si="272"/>
        <v>211.82755643526141</v>
      </c>
      <c r="Z105" s="188">
        <f t="shared" si="188"/>
        <v>9.8043322055210904</v>
      </c>
      <c r="AA105" s="150">
        <f t="shared" si="189"/>
        <v>1.4921318229805181</v>
      </c>
      <c r="AB105" s="150">
        <f>0.5*AA105*Z105*Nps*W105/1000*(Pout/Pout_total)</f>
        <v>2.4557672088373024</v>
      </c>
      <c r="AC105" s="150"/>
      <c r="AD105" s="150">
        <f t="shared" si="191"/>
        <v>0.92237012985814659</v>
      </c>
      <c r="AE105" s="314">
        <f>MAX(10, F105/(0.5*AD105/1000000*Isw_min*Nps)/1000*Pout_total/Pout)</f>
        <v>1491.9173501549033</v>
      </c>
      <c r="AF105" s="456">
        <f t="shared" si="193"/>
        <v>0.93838978402834483</v>
      </c>
      <c r="AH105" s="150">
        <f t="shared" si="194"/>
        <v>12.332771968932612</v>
      </c>
      <c r="AI105" s="150">
        <f>MAX(IF(F105&gt;AB105,T105,AH105),Isw_min)</f>
        <v>15.513271199851818</v>
      </c>
      <c r="AJ105" s="150">
        <f>IF(F105&gt;AF105, (AI105-Isw_min)/1.08*0.8+1.2, AE105*0.2/350+1)</f>
        <v>8.2019741772190802</v>
      </c>
      <c r="AL105" s="314">
        <f t="shared" si="197"/>
        <v>4000</v>
      </c>
      <c r="AM105" s="144">
        <f t="shared" si="198"/>
        <v>211.82755643526141</v>
      </c>
      <c r="AO105">
        <f t="shared" si="273"/>
        <v>4000</v>
      </c>
      <c r="AP105" s="3">
        <f t="shared" si="199"/>
        <v>211.82755643526141</v>
      </c>
      <c r="AR105" s="5">
        <f t="shared" si="274"/>
        <v>4.7208211095312294</v>
      </c>
      <c r="AS105" s="5">
        <f t="shared" si="200"/>
        <v>2.1598397442944552</v>
      </c>
      <c r="AT105" s="5">
        <f t="shared" si="275"/>
        <v>2.5609813652367741</v>
      </c>
      <c r="AU105" s="150">
        <f t="shared" si="276"/>
        <v>0.45751357532565434</v>
      </c>
      <c r="AW105" s="5">
        <f t="shared" si="201"/>
        <v>28.797863257259404</v>
      </c>
      <c r="AX105" s="5">
        <f t="shared" si="202"/>
        <v>30.597729710838113</v>
      </c>
      <c r="AY105" s="5">
        <f t="shared" si="203"/>
        <v>5.3549944971448893</v>
      </c>
      <c r="AZ105" s="5"/>
      <c r="BA105" s="150">
        <f t="shared" si="277"/>
        <v>6.058215948289714</v>
      </c>
      <c r="BB105" s="150">
        <f t="shared" si="204"/>
        <v>6.3279222026552908</v>
      </c>
      <c r="BC105" s="150">
        <f t="shared" si="205"/>
        <v>1.2702086913714601</v>
      </c>
      <c r="BD105" s="150"/>
      <c r="BE105" s="456">
        <f t="shared" si="206"/>
        <v>0.44042376571334202</v>
      </c>
      <c r="BF105" s="456">
        <f t="shared" si="207"/>
        <v>3.8766195985607279</v>
      </c>
      <c r="BG105" s="456">
        <f t="shared" si="208"/>
        <v>2.4360168990055064E-2</v>
      </c>
      <c r="BH105" s="456">
        <f t="shared" si="209"/>
        <v>0.45803826889298138</v>
      </c>
      <c r="BI105">
        <f t="shared" si="210"/>
        <v>1.519120512267667E-2</v>
      </c>
      <c r="BJ105" s="144">
        <f t="shared" si="278"/>
        <v>39.551374112731736</v>
      </c>
      <c r="BK105">
        <f t="shared" si="211"/>
        <v>5.4659820267944443</v>
      </c>
      <c r="BL105" s="144">
        <f t="shared" si="279"/>
        <v>5465.9820267944442</v>
      </c>
      <c r="BM105" s="150">
        <f t="shared" si="212"/>
        <v>2.6823999999999999</v>
      </c>
      <c r="BN105" s="150">
        <f t="shared" si="213"/>
        <v>0.40714999999999996</v>
      </c>
      <c r="BO105" s="456"/>
      <c r="BQ105" s="144">
        <f t="shared" si="280"/>
        <v>3089.55</v>
      </c>
      <c r="BR105" s="456">
        <f t="shared" si="214"/>
        <v>0.51382772666556575</v>
      </c>
      <c r="BS105" s="456">
        <f t="shared" si="215"/>
        <v>0.56059639164000907</v>
      </c>
      <c r="BT105" s="456">
        <f t="shared" si="216"/>
        <v>8.0671505981779849E-3</v>
      </c>
      <c r="BU105" s="456">
        <f t="shared" si="217"/>
        <v>30.951707125507742</v>
      </c>
      <c r="BV105" s="456">
        <f>(BU105+(BR105+BS105+BT105)*(1+Ltc*(Ta-25)))/(1-(BR105+BS105+BT105)*Ltc*ThetaCa)</f>
        <v>35.355782355341908</v>
      </c>
      <c r="BW105" s="538">
        <f t="shared" si="219"/>
        <v>5.097875512254884</v>
      </c>
      <c r="BX105" s="144">
        <f t="shared" si="281"/>
        <v>40453.65786759679</v>
      </c>
      <c r="BY105" s="150">
        <f>SUM(BK105,BM105:BP105,BV105:BW105)+BI105+BG105</f>
        <v>49.048741268503974</v>
      </c>
      <c r="BZ105" s="5">
        <f t="shared" si="283"/>
        <v>125.1</v>
      </c>
      <c r="CA105" s="150">
        <f t="shared" si="284"/>
        <v>0.71835144537231987</v>
      </c>
      <c r="CB105" s="5">
        <f t="shared" si="285"/>
        <v>71.835144537231983</v>
      </c>
      <c r="CC105">
        <f t="shared" si="286"/>
        <v>100</v>
      </c>
      <c r="CE105" s="59">
        <f t="shared" si="220"/>
        <v>-50</v>
      </c>
      <c r="CF105">
        <f t="shared" si="221"/>
        <v>-50</v>
      </c>
      <c r="CG105" s="150">
        <f t="shared" si="222"/>
        <v>0.52186043457008313</v>
      </c>
      <c r="CH105" s="150">
        <f t="shared" si="223"/>
        <v>0.11015112407727178</v>
      </c>
      <c r="CI105" s="147">
        <v>100</v>
      </c>
      <c r="CJ105" s="188">
        <f t="shared" si="308"/>
        <v>4</v>
      </c>
      <c r="CK105" s="188">
        <f t="shared" si="287"/>
        <v>0.85</v>
      </c>
      <c r="CL105" s="188">
        <f t="shared" si="224"/>
        <v>120</v>
      </c>
      <c r="CM105" s="188">
        <f t="shared" si="309"/>
        <v>5.0999999999999996</v>
      </c>
      <c r="CN105" s="465">
        <f t="shared" si="288"/>
        <v>34</v>
      </c>
      <c r="CO105" s="379">
        <f t="shared" si="225"/>
        <v>30.7</v>
      </c>
      <c r="CP105" s="379">
        <f t="shared" si="226"/>
        <v>64.7</v>
      </c>
      <c r="CQ105" s="379"/>
      <c r="CR105" s="188">
        <f t="shared" si="227"/>
        <v>0.47204968944099374</v>
      </c>
      <c r="CS105" s="149">
        <f t="shared" si="289"/>
        <v>233.26341749863801</v>
      </c>
      <c r="CT105" s="149">
        <f t="shared" si="228"/>
        <v>9.9136952436921142</v>
      </c>
      <c r="CU105" s="188">
        <f t="shared" si="229"/>
        <v>7.7754472499545999</v>
      </c>
      <c r="CV105" s="188">
        <f t="shared" si="230"/>
        <v>38.877236249772999</v>
      </c>
      <c r="CW105" s="379">
        <f t="shared" si="231"/>
        <v>30</v>
      </c>
      <c r="CX105" s="188">
        <f t="shared" si="232"/>
        <v>15.589086687306501</v>
      </c>
      <c r="CY105" s="188">
        <f t="shared" si="233"/>
        <v>2.1549619832453106</v>
      </c>
      <c r="CZ105" s="188">
        <f t="shared" si="234"/>
        <v>2.3866028478938293</v>
      </c>
      <c r="DA105" s="172">
        <f t="shared" si="235"/>
        <v>350</v>
      </c>
      <c r="DB105" s="379">
        <f t="shared" si="290"/>
        <v>220.18842341378061</v>
      </c>
      <c r="DD105" s="188">
        <f t="shared" si="236"/>
        <v>9.8072469146822137</v>
      </c>
      <c r="DE105" s="150">
        <f t="shared" si="237"/>
        <v>1.5014351954073746</v>
      </c>
      <c r="DF105" s="150">
        <f t="shared" si="238"/>
        <v>2.4718134248028734</v>
      </c>
      <c r="DG105" s="150"/>
      <c r="DH105" s="150">
        <f t="shared" si="239"/>
        <v>0.92784522751949461</v>
      </c>
      <c r="DI105" s="314">
        <f t="shared" si="240"/>
        <v>1483.113734042553</v>
      </c>
      <c r="DJ105" s="456">
        <f t="shared" si="241"/>
        <v>0.94395997276890675</v>
      </c>
      <c r="DL105" s="150">
        <f t="shared" si="242"/>
        <v>12.332771968932612</v>
      </c>
      <c r="DM105" s="150">
        <f t="shared" si="243"/>
        <v>15.589086687306501</v>
      </c>
      <c r="DN105" s="150">
        <f t="shared" si="244"/>
        <v>8.2581337975558817</v>
      </c>
      <c r="DP105" s="314">
        <f t="shared" si="245"/>
        <v>4000</v>
      </c>
      <c r="DQ105" s="144">
        <f t="shared" si="246"/>
        <v>220.18842341378061</v>
      </c>
      <c r="DS105">
        <f t="shared" si="310"/>
        <v>4000</v>
      </c>
      <c r="DT105">
        <f t="shared" si="311"/>
        <v>220.18842341378061</v>
      </c>
      <c r="DV105" s="5">
        <f t="shared" si="292"/>
        <v>4.5415648311391399</v>
      </c>
      <c r="DW105" s="5">
        <f t="shared" si="248"/>
        <v>2.1549619832453106</v>
      </c>
      <c r="DX105" s="5">
        <f t="shared" si="293"/>
        <v>2.3866028478938293</v>
      </c>
      <c r="DY105" s="150">
        <f t="shared" si="294"/>
        <v>0.47449768160741884</v>
      </c>
      <c r="EA105" s="5">
        <f t="shared" si="249"/>
        <v>28.73282644327081</v>
      </c>
      <c r="EB105" s="5">
        <f t="shared" si="250"/>
        <v>30.528628095975233</v>
      </c>
      <c r="EC105" s="5">
        <f t="shared" si="251"/>
        <v>4.954884805315908</v>
      </c>
      <c r="ED105" s="5"/>
      <c r="EE105" s="150">
        <f t="shared" si="295"/>
        <v>6.199791610793719</v>
      </c>
      <c r="EF105" s="150">
        <f t="shared" si="252"/>
        <v>6.2585150257917048</v>
      </c>
      <c r="EG105" s="150">
        <f t="shared" si="253"/>
        <v>1.2562765353694965</v>
      </c>
      <c r="EH105" s="150"/>
      <c r="EI105" s="456">
        <f t="shared" si="254"/>
        <v>0.46124899220721816</v>
      </c>
      <c r="EJ105" s="456">
        <f t="shared" si="255"/>
        <v>4.219617021276596</v>
      </c>
      <c r="EK105" s="456">
        <f t="shared" si="256"/>
        <v>2.5321668692584773E-2</v>
      </c>
      <c r="EL105" s="456">
        <f t="shared" si="257"/>
        <v>0.47699452843803986</v>
      </c>
      <c r="EM105">
        <f t="shared" si="258"/>
        <v>1.5299999999999999E-2</v>
      </c>
      <c r="EN105" s="144">
        <f t="shared" si="296"/>
        <v>40.621668692584777</v>
      </c>
      <c r="EO105">
        <f t="shared" si="259"/>
        <v>5.9781852647436171</v>
      </c>
      <c r="EP105" s="144">
        <f t="shared" si="297"/>
        <v>5978.1852647436172</v>
      </c>
      <c r="EQ105" s="150">
        <f t="shared" si="260"/>
        <v>2.6823999999999999</v>
      </c>
      <c r="ER105" s="150">
        <f t="shared" si="261"/>
        <v>0.40714999999999996</v>
      </c>
      <c r="ES105" s="456"/>
      <c r="EU105" s="144">
        <f t="shared" si="298"/>
        <v>3089.55</v>
      </c>
      <c r="EV105" s="456">
        <f t="shared" si="262"/>
        <v>0.53812382424175453</v>
      </c>
      <c r="EW105" s="456">
        <f t="shared" si="299"/>
        <v>0.5483661445928476</v>
      </c>
      <c r="EX105" s="456">
        <f t="shared" si="263"/>
        <v>7.8911536665999277E-3</v>
      </c>
      <c r="EY105" s="456">
        <f t="shared" si="264"/>
        <v>34.515000905941172</v>
      </c>
      <c r="EZ105" s="456">
        <f t="shared" si="265"/>
        <v>39.31399282573306</v>
      </c>
      <c r="FA105" s="538">
        <f t="shared" si="266"/>
        <v>5.351010781088009</v>
      </c>
      <c r="FB105" s="144">
        <f t="shared" si="300"/>
        <v>44665.003606821068</v>
      </c>
      <c r="FC105" s="150">
        <f t="shared" si="301"/>
        <v>53.732738871564685</v>
      </c>
      <c r="FD105" s="5">
        <f t="shared" si="302"/>
        <v>125.1</v>
      </c>
      <c r="FE105" s="150">
        <f t="shared" si="303"/>
        <v>0.6995363421115256</v>
      </c>
      <c r="FF105" s="5">
        <f t="shared" si="304"/>
        <v>69.953634211152561</v>
      </c>
      <c r="FG105">
        <f t="shared" si="305"/>
        <v>100</v>
      </c>
      <c r="FI105" s="59">
        <f t="shared" si="267"/>
        <v>-50</v>
      </c>
      <c r="FJ105">
        <f t="shared" si="268"/>
        <v>-50</v>
      </c>
      <c r="FL105">
        <f t="shared" si="269"/>
        <v>0.52186043457008313</v>
      </c>
    </row>
    <row r="106" spans="5:169">
      <c r="E106" s="147"/>
      <c r="F106" s="188"/>
      <c r="G106" s="188"/>
      <c r="H106" s="188"/>
      <c r="I106" s="188"/>
      <c r="J106" s="465"/>
      <c r="K106" s="379"/>
      <c r="L106" s="379"/>
      <c r="M106" s="379"/>
      <c r="N106" s="188"/>
      <c r="O106" s="149"/>
      <c r="P106" s="149"/>
      <c r="Q106" s="188"/>
      <c r="R106" s="188"/>
      <c r="S106" s="188"/>
      <c r="T106" s="188"/>
      <c r="U106" s="188"/>
      <c r="V106" s="188"/>
      <c r="W106" s="172"/>
      <c r="X106" s="379"/>
      <c r="Z106" s="188"/>
      <c r="AA106" s="150"/>
      <c r="AB106" s="150"/>
      <c r="AC106" s="150"/>
      <c r="AD106" s="150"/>
      <c r="AE106" s="314"/>
      <c r="AF106" s="456"/>
      <c r="AH106" s="150"/>
      <c r="AI106" s="150"/>
      <c r="AJ106" s="150"/>
      <c r="AL106" s="314"/>
      <c r="AM106" s="144"/>
      <c r="AP106" s="3"/>
      <c r="AR106" s="5"/>
      <c r="AS106" s="5"/>
      <c r="AT106" s="5"/>
      <c r="AU106" s="150"/>
      <c r="AW106" s="5"/>
      <c r="AX106" s="5"/>
      <c r="AY106" s="5"/>
      <c r="AZ106" s="5"/>
      <c r="BA106" s="150"/>
      <c r="BB106" s="150"/>
      <c r="BC106" s="150"/>
      <c r="BD106" s="150"/>
      <c r="BE106" s="456"/>
      <c r="BF106" s="456"/>
      <c r="BG106" s="456"/>
      <c r="BH106" s="456"/>
      <c r="BL106" s="144"/>
      <c r="BM106" s="150"/>
      <c r="BN106" s="150"/>
      <c r="BO106" s="456"/>
      <c r="BQ106" s="144"/>
      <c r="BR106" s="456"/>
      <c r="BS106" s="456"/>
      <c r="BT106" s="456"/>
      <c r="BU106" s="456"/>
      <c r="BV106" s="456"/>
      <c r="BW106" s="538"/>
      <c r="BX106" s="144"/>
      <c r="BY106" s="150"/>
      <c r="BZ106" s="5"/>
      <c r="CA106" s="150"/>
      <c r="CB106" s="5"/>
      <c r="CI106" s="147"/>
      <c r="CJ106" s="188"/>
      <c r="CK106" s="188"/>
      <c r="CL106" s="188"/>
      <c r="CM106" s="188"/>
      <c r="CN106" s="465"/>
      <c r="CO106" s="379"/>
      <c r="CP106" s="379"/>
      <c r="CQ106" s="379"/>
      <c r="CR106" s="188"/>
      <c r="CS106" s="149"/>
      <c r="CT106" s="149"/>
      <c r="CU106" s="188"/>
      <c r="CV106" s="188"/>
      <c r="CW106" s="188"/>
      <c r="CX106" s="188"/>
      <c r="CY106" s="188"/>
      <c r="CZ106" s="188"/>
      <c r="DA106" s="172"/>
      <c r="DB106" s="379"/>
      <c r="DD106" s="188"/>
      <c r="DE106" s="150"/>
      <c r="DF106" s="150"/>
      <c r="DG106" s="150"/>
      <c r="DH106" s="150"/>
      <c r="DI106" s="314"/>
      <c r="DJ106" s="456"/>
      <c r="DL106" s="150"/>
      <c r="DM106" s="150"/>
      <c r="DN106" s="150"/>
      <c r="DP106" s="314"/>
      <c r="DQ106" s="144"/>
      <c r="DT106" s="3"/>
      <c r="DV106" s="5"/>
      <c r="DW106" s="5"/>
      <c r="DX106" s="5"/>
      <c r="DY106" s="150"/>
      <c r="EA106" s="5"/>
      <c r="EB106" s="5"/>
      <c r="EC106" s="5"/>
      <c r="ED106" s="5"/>
      <c r="EE106" s="150"/>
      <c r="EF106" s="150"/>
      <c r="EG106" s="150"/>
      <c r="EH106" s="150"/>
      <c r="EI106" s="456"/>
      <c r="EJ106" s="456"/>
      <c r="EK106" s="456"/>
      <c r="EL106" s="456"/>
      <c r="EP106" s="144"/>
      <c r="EQ106" s="150"/>
      <c r="ER106" s="150"/>
      <c r="ES106" s="456"/>
      <c r="EU106" s="144"/>
      <c r="EV106" s="456"/>
      <c r="EW106" s="456"/>
      <c r="EX106" s="456"/>
      <c r="EY106" s="456"/>
      <c r="EZ106" s="456"/>
      <c r="FA106" s="538"/>
      <c r="FB106" s="144"/>
      <c r="FC106" s="150"/>
      <c r="FD106" s="5"/>
      <c r="FE106" s="150"/>
      <c r="FF106" s="5"/>
    </row>
    <row r="107" spans="5:169">
      <c r="G107" s="188"/>
      <c r="H107" s="188"/>
      <c r="I107" s="188"/>
      <c r="J107" s="465"/>
      <c r="K107" s="379"/>
      <c r="L107" s="379"/>
      <c r="M107" s="379"/>
      <c r="N107" s="188"/>
      <c r="O107" s="149"/>
      <c r="P107" s="149"/>
      <c r="Q107" s="188"/>
      <c r="R107" s="188"/>
      <c r="S107" s="188"/>
      <c r="T107" s="188"/>
      <c r="U107" s="188"/>
      <c r="V107" s="188"/>
      <c r="W107" s="172"/>
      <c r="X107" s="379"/>
      <c r="Z107" s="188"/>
      <c r="AA107" s="150"/>
      <c r="AB107" s="150"/>
      <c r="AC107" s="150"/>
      <c r="AD107" s="150"/>
      <c r="AE107" s="314"/>
      <c r="AF107" s="456"/>
      <c r="AH107" s="150"/>
      <c r="AI107" s="150"/>
      <c r="AJ107" s="150"/>
      <c r="AL107" s="314"/>
      <c r="AM107" s="144"/>
      <c r="AR107" s="5"/>
      <c r="AS107" s="5"/>
      <c r="AT107" s="5"/>
      <c r="AU107" s="150"/>
      <c r="AW107" s="5"/>
      <c r="AX107" s="5"/>
      <c r="AY107" s="5"/>
      <c r="AZ107" s="5"/>
      <c r="BA107" s="150"/>
      <c r="BB107" s="150"/>
      <c r="BC107" s="150"/>
      <c r="BD107" s="150"/>
      <c r="BE107" s="456"/>
      <c r="BF107" s="456"/>
      <c r="BG107" s="456"/>
      <c r="BH107" s="456"/>
      <c r="BL107" s="144"/>
      <c r="BM107" s="150"/>
      <c r="BN107" s="150"/>
      <c r="BO107" s="456"/>
      <c r="BQ107" s="144"/>
      <c r="BR107" s="456"/>
      <c r="BS107" s="456"/>
      <c r="BT107" s="456"/>
      <c r="BU107" s="456"/>
      <c r="BV107" s="456"/>
      <c r="BW107" s="538"/>
      <c r="BX107" s="144"/>
      <c r="BY107" s="150"/>
      <c r="BZ107" s="5"/>
      <c r="CA107" s="150"/>
      <c r="CB107" s="5"/>
      <c r="CK107" s="188"/>
      <c r="CL107" s="188"/>
      <c r="CM107" s="188"/>
      <c r="CN107" s="465"/>
      <c r="CO107" s="379"/>
      <c r="CP107" s="379"/>
      <c r="CQ107" s="379"/>
      <c r="CR107" s="188"/>
      <c r="CS107" s="149"/>
      <c r="CT107" s="149"/>
      <c r="CU107" s="188"/>
      <c r="CV107" s="188"/>
      <c r="CW107" s="188"/>
      <c r="CX107" s="188"/>
      <c r="CY107" s="188"/>
      <c r="CZ107" s="188"/>
      <c r="DA107" s="172"/>
      <c r="DB107" s="379"/>
      <c r="DD107" s="188"/>
      <c r="DE107" s="150"/>
      <c r="DF107" s="150"/>
      <c r="DG107" s="150"/>
      <c r="DH107" s="150"/>
      <c r="DI107" s="314"/>
      <c r="DJ107" s="456"/>
      <c r="DL107" s="150"/>
      <c r="DM107" s="150"/>
      <c r="DN107" s="150"/>
      <c r="DP107" s="314"/>
      <c r="DQ107" s="144"/>
      <c r="DV107" s="5"/>
      <c r="DW107" s="5"/>
      <c r="DX107" s="5"/>
      <c r="DY107" s="150"/>
      <c r="EA107" s="5"/>
      <c r="EB107" s="5"/>
      <c r="EC107" s="5"/>
      <c r="ED107" s="5"/>
      <c r="EE107" s="150"/>
      <c r="EF107" s="150"/>
      <c r="EG107" s="150"/>
      <c r="EH107" s="150"/>
      <c r="EI107" s="456"/>
      <c r="EJ107" s="456"/>
      <c r="EK107" s="456"/>
      <c r="EL107" s="456"/>
      <c r="EP107" s="144"/>
      <c r="EQ107" s="150"/>
      <c r="ER107" s="150"/>
      <c r="ES107" s="456"/>
      <c r="EU107" s="144"/>
      <c r="EV107" s="456"/>
      <c r="EW107" s="456"/>
      <c r="EX107" s="456"/>
      <c r="EY107" s="456"/>
      <c r="EZ107" s="456"/>
      <c r="FA107" s="538"/>
      <c r="FB107" s="144"/>
      <c r="FC107" s="150"/>
      <c r="FD107" s="5"/>
      <c r="FE107" s="150"/>
      <c r="FF107" s="5"/>
    </row>
    <row r="108" spans="5:169">
      <c r="E108" s="159" t="s">
        <v>434</v>
      </c>
      <c r="G108" s="188"/>
      <c r="H108" s="188"/>
      <c r="I108" s="188"/>
      <c r="J108" s="465"/>
      <c r="K108" s="379"/>
      <c r="L108" s="379"/>
      <c r="M108" s="379"/>
      <c r="N108" s="188"/>
      <c r="O108" s="149"/>
      <c r="P108" s="149"/>
      <c r="Q108" s="188"/>
      <c r="R108" s="188"/>
      <c r="S108" s="188"/>
      <c r="T108" s="188"/>
      <c r="U108" s="188"/>
      <c r="V108" s="188"/>
      <c r="W108" s="172"/>
      <c r="X108" s="379"/>
      <c r="Z108" s="188"/>
      <c r="AA108" s="150"/>
      <c r="AB108" s="150"/>
      <c r="AC108" s="150"/>
      <c r="AD108" s="150"/>
      <c r="AE108" s="314"/>
      <c r="AF108" s="456"/>
      <c r="AH108" s="150"/>
      <c r="AI108" s="150"/>
      <c r="AJ108" s="150"/>
      <c r="AL108" s="314"/>
      <c r="AM108" s="144"/>
      <c r="AR108" s="5"/>
      <c r="AS108" s="5"/>
      <c r="AT108" s="5"/>
      <c r="AU108" s="150"/>
      <c r="AW108" s="461" t="s">
        <v>470</v>
      </c>
      <c r="AX108" s="461" t="s">
        <v>470</v>
      </c>
      <c r="AY108" s="461"/>
      <c r="AZ108" s="461"/>
      <c r="BA108" s="480" t="s">
        <v>471</v>
      </c>
      <c r="BB108" s="461"/>
      <c r="BC108" s="461"/>
      <c r="BD108" s="461"/>
      <c r="BE108" s="480" t="s">
        <v>493</v>
      </c>
      <c r="BF108" s="461"/>
      <c r="BG108" s="461"/>
      <c r="BH108" s="461"/>
      <c r="BI108" s="461"/>
      <c r="BJ108" s="461"/>
      <c r="BK108" s="461"/>
      <c r="BL108" s="461"/>
      <c r="BM108" s="480" t="s">
        <v>489</v>
      </c>
      <c r="BN108" s="461"/>
      <c r="BO108" s="461"/>
      <c r="BP108" s="461"/>
      <c r="BQ108" s="461"/>
      <c r="BR108" s="481" t="s">
        <v>490</v>
      </c>
      <c r="BS108" s="461"/>
      <c r="BT108" s="461"/>
      <c r="BU108" s="461"/>
      <c r="BV108" s="461"/>
      <c r="BW108" s="461"/>
      <c r="BX108" s="461"/>
      <c r="BY108" s="480"/>
      <c r="BZ108" s="461"/>
      <c r="CA108" s="461"/>
      <c r="CB108" s="461"/>
      <c r="CC108" s="461"/>
      <c r="CI108" s="159" t="s">
        <v>434</v>
      </c>
      <c r="CK108" s="188"/>
      <c r="CL108" s="188"/>
      <c r="CM108" s="188"/>
      <c r="CN108" s="465"/>
      <c r="CO108" s="379"/>
      <c r="CP108" s="379"/>
      <c r="CQ108" s="379"/>
      <c r="CR108" s="188"/>
      <c r="CS108" s="149"/>
      <c r="CT108" s="149"/>
      <c r="CU108" s="188"/>
      <c r="CV108" s="188"/>
      <c r="CW108" s="188"/>
      <c r="CX108" s="188"/>
      <c r="CY108" s="188"/>
      <c r="CZ108" s="188"/>
      <c r="DA108" s="172"/>
      <c r="DB108" s="379"/>
      <c r="DD108" s="188"/>
      <c r="DE108" s="150"/>
      <c r="DF108" s="150"/>
      <c r="DG108" s="150"/>
      <c r="DH108" s="150"/>
      <c r="DI108" s="314"/>
      <c r="DJ108" s="456"/>
      <c r="DL108" s="150"/>
      <c r="DM108" s="150"/>
      <c r="DN108" s="150"/>
      <c r="DP108" s="314"/>
      <c r="DQ108" s="144"/>
      <c r="DV108" s="5"/>
      <c r="DW108" s="5"/>
      <c r="DX108" s="5"/>
      <c r="DY108" s="150"/>
      <c r="EA108" s="461" t="s">
        <v>470</v>
      </c>
      <c r="EB108" s="461" t="s">
        <v>470</v>
      </c>
      <c r="EC108" s="461"/>
      <c r="ED108" s="461"/>
      <c r="EE108" s="480" t="s">
        <v>471</v>
      </c>
      <c r="EF108" s="461"/>
      <c r="EG108" s="461"/>
      <c r="EH108" s="461"/>
      <c r="EI108" s="480" t="s">
        <v>493</v>
      </c>
      <c r="EJ108" s="461"/>
      <c r="EK108" s="461"/>
      <c r="EL108" s="461"/>
      <c r="EM108" s="461"/>
      <c r="EN108" s="461"/>
      <c r="EO108" s="461"/>
      <c r="EP108" s="461"/>
      <c r="EQ108" s="480" t="s">
        <v>489</v>
      </c>
      <c r="ER108" s="461"/>
      <c r="ES108" s="461"/>
      <c r="ET108" s="461"/>
      <c r="EU108" s="461"/>
      <c r="EV108" s="481" t="s">
        <v>490</v>
      </c>
      <c r="EW108" s="461"/>
      <c r="EX108" s="461"/>
      <c r="EY108" s="461"/>
      <c r="EZ108" s="461"/>
      <c r="FA108" s="461"/>
      <c r="FB108" s="461"/>
      <c r="FC108" s="480"/>
      <c r="FD108" s="461"/>
      <c r="FE108" s="461"/>
      <c r="FF108" s="461"/>
      <c r="FG108" s="461"/>
    </row>
    <row r="109" spans="5:169" ht="45" customHeight="1" thickBot="1">
      <c r="E109" s="211" t="s">
        <v>25</v>
      </c>
      <c r="F109" s="516" t="s">
        <v>580</v>
      </c>
      <c r="G109" s="380" t="s">
        <v>579</v>
      </c>
      <c r="H109" s="517" t="s">
        <v>581</v>
      </c>
      <c r="I109" s="518" t="s">
        <v>582</v>
      </c>
      <c r="J109" s="212" t="s">
        <v>412</v>
      </c>
      <c r="K109" s="213" t="s">
        <v>586</v>
      </c>
      <c r="L109" s="519" t="s">
        <v>413</v>
      </c>
      <c r="M109" s="520"/>
      <c r="N109" s="214" t="s">
        <v>48</v>
      </c>
      <c r="O109" s="520" t="s">
        <v>590</v>
      </c>
      <c r="P109" s="520" t="s">
        <v>606</v>
      </c>
      <c r="Q109" s="520" t="s">
        <v>583</v>
      </c>
      <c r="R109" s="520" t="s">
        <v>584</v>
      </c>
      <c r="S109" s="520" t="s">
        <v>585</v>
      </c>
      <c r="T109" s="520" t="s">
        <v>414</v>
      </c>
      <c r="U109" s="520" t="s">
        <v>466</v>
      </c>
      <c r="V109" s="520" t="s">
        <v>465</v>
      </c>
      <c r="W109" s="521" t="s">
        <v>420</v>
      </c>
      <c r="X109" s="522" t="s">
        <v>425</v>
      </c>
      <c r="Z109" s="215" t="s">
        <v>417</v>
      </c>
      <c r="AA109" s="215" t="s">
        <v>464</v>
      </c>
      <c r="AB109" s="215" t="s">
        <v>587</v>
      </c>
      <c r="AC109" s="468"/>
      <c r="AD109" s="215" t="s">
        <v>463</v>
      </c>
      <c r="AE109" s="521" t="s">
        <v>426</v>
      </c>
      <c r="AF109" s="215" t="s">
        <v>588</v>
      </c>
      <c r="AG109" s="468"/>
      <c r="AH109" s="215" t="s">
        <v>429</v>
      </c>
      <c r="AI109" s="470" t="s">
        <v>430</v>
      </c>
      <c r="AJ109" s="470" t="s">
        <v>431</v>
      </c>
      <c r="AL109" s="467" t="s">
        <v>275</v>
      </c>
      <c r="AM109" s="467" t="s">
        <v>432</v>
      </c>
      <c r="AO109" s="215" t="s">
        <v>275</v>
      </c>
      <c r="AP109" s="215" t="s">
        <v>432</v>
      </c>
      <c r="AQ109" s="471"/>
      <c r="AR109" s="215" t="s">
        <v>467</v>
      </c>
      <c r="AS109" s="215" t="s">
        <v>461</v>
      </c>
      <c r="AT109" s="215" t="s">
        <v>462</v>
      </c>
      <c r="AU109" s="215" t="s">
        <v>48</v>
      </c>
      <c r="AV109" s="468"/>
      <c r="AW109" s="215" t="s">
        <v>591</v>
      </c>
      <c r="AX109" s="215" t="s">
        <v>592</v>
      </c>
      <c r="AY109" s="215" t="s">
        <v>514</v>
      </c>
      <c r="AZ109" s="468"/>
      <c r="BA109" s="479" t="s">
        <v>456</v>
      </c>
      <c r="BB109" s="215" t="s">
        <v>599</v>
      </c>
      <c r="BC109" s="215" t="s">
        <v>598</v>
      </c>
      <c r="BD109" s="468"/>
      <c r="BE109" s="479" t="s">
        <v>474</v>
      </c>
      <c r="BF109" s="215" t="s">
        <v>475</v>
      </c>
      <c r="BG109" s="215" t="s">
        <v>473</v>
      </c>
      <c r="BH109" s="215" t="s">
        <v>469</v>
      </c>
      <c r="BI109" s="215" t="s">
        <v>478</v>
      </c>
      <c r="BJ109" s="215" t="s">
        <v>491</v>
      </c>
      <c r="BK109" s="215" t="s">
        <v>776</v>
      </c>
      <c r="BL109" s="215" t="s">
        <v>778</v>
      </c>
      <c r="BM109" s="479" t="s">
        <v>601</v>
      </c>
      <c r="BN109" s="215" t="s">
        <v>600</v>
      </c>
      <c r="BO109" s="215" t="s">
        <v>477</v>
      </c>
      <c r="BP109" s="215" t="s">
        <v>483</v>
      </c>
      <c r="BQ109" s="215" t="s">
        <v>487</v>
      </c>
      <c r="BR109" s="479" t="s">
        <v>458</v>
      </c>
      <c r="BS109" s="215" t="s">
        <v>603</v>
      </c>
      <c r="BT109" s="215" t="s">
        <v>602</v>
      </c>
      <c r="BU109" s="215" t="s">
        <v>468</v>
      </c>
      <c r="BV109" s="215" t="s">
        <v>673</v>
      </c>
      <c r="BW109" s="215" t="s">
        <v>484</v>
      </c>
      <c r="BX109" s="215" t="s">
        <v>667</v>
      </c>
      <c r="BY109" s="479" t="s">
        <v>482</v>
      </c>
      <c r="BZ109" s="215" t="s">
        <v>223</v>
      </c>
      <c r="CA109" s="215" t="s">
        <v>47</v>
      </c>
      <c r="CB109" s="215" t="s">
        <v>485</v>
      </c>
      <c r="CC109" s="215" t="s">
        <v>604</v>
      </c>
      <c r="CE109" s="490" t="s">
        <v>497</v>
      </c>
      <c r="CG109" s="668" t="s">
        <v>829</v>
      </c>
      <c r="CH109" s="669" t="s">
        <v>830</v>
      </c>
      <c r="CI109" s="211" t="s">
        <v>25</v>
      </c>
      <c r="CJ109" s="516" t="s">
        <v>580</v>
      </c>
      <c r="CK109" s="380" t="s">
        <v>579</v>
      </c>
      <c r="CL109" s="517" t="s">
        <v>581</v>
      </c>
      <c r="CM109" s="518" t="s">
        <v>582</v>
      </c>
      <c r="CN109" s="212" t="s">
        <v>412</v>
      </c>
      <c r="CO109" s="213" t="s">
        <v>586</v>
      </c>
      <c r="CP109" s="519" t="s">
        <v>413</v>
      </c>
      <c r="CQ109" s="520"/>
      <c r="CR109" s="214" t="s">
        <v>48</v>
      </c>
      <c r="CS109" s="520" t="s">
        <v>590</v>
      </c>
      <c r="CT109" s="520" t="s">
        <v>606</v>
      </c>
      <c r="CU109" s="520" t="s">
        <v>583</v>
      </c>
      <c r="CV109" s="520" t="s">
        <v>584</v>
      </c>
      <c r="CW109" s="520" t="s">
        <v>585</v>
      </c>
      <c r="CX109" s="520" t="s">
        <v>414</v>
      </c>
      <c r="CY109" s="520" t="s">
        <v>466</v>
      </c>
      <c r="CZ109" s="520" t="s">
        <v>465</v>
      </c>
      <c r="DA109" s="521" t="s">
        <v>420</v>
      </c>
      <c r="DB109" s="522" t="s">
        <v>425</v>
      </c>
      <c r="DD109" s="215" t="s">
        <v>417</v>
      </c>
      <c r="DE109" s="215" t="s">
        <v>464</v>
      </c>
      <c r="DF109" s="215" t="s">
        <v>587</v>
      </c>
      <c r="DG109" s="468"/>
      <c r="DH109" s="215" t="s">
        <v>463</v>
      </c>
      <c r="DI109" s="521" t="s">
        <v>426</v>
      </c>
      <c r="DJ109" s="215" t="s">
        <v>588</v>
      </c>
      <c r="DK109" s="468"/>
      <c r="DL109" s="215" t="s">
        <v>429</v>
      </c>
      <c r="DM109" s="470" t="s">
        <v>430</v>
      </c>
      <c r="DN109" s="470" t="s">
        <v>431</v>
      </c>
      <c r="DP109" s="467" t="s">
        <v>275</v>
      </c>
      <c r="DQ109" s="467" t="s">
        <v>432</v>
      </c>
      <c r="DS109" s="215" t="s">
        <v>275</v>
      </c>
      <c r="DT109" s="215" t="s">
        <v>432</v>
      </c>
      <c r="DU109" s="471"/>
      <c r="DV109" s="215" t="s">
        <v>467</v>
      </c>
      <c r="DW109" s="215" t="s">
        <v>461</v>
      </c>
      <c r="DX109" s="215" t="s">
        <v>462</v>
      </c>
      <c r="DY109" s="215" t="s">
        <v>48</v>
      </c>
      <c r="DZ109" s="468"/>
      <c r="EA109" s="215" t="s">
        <v>591</v>
      </c>
      <c r="EB109" s="215" t="s">
        <v>592</v>
      </c>
      <c r="EC109" s="215" t="s">
        <v>514</v>
      </c>
      <c r="ED109" s="468"/>
      <c r="EE109" s="479" t="s">
        <v>456</v>
      </c>
      <c r="EF109" s="215" t="s">
        <v>599</v>
      </c>
      <c r="EG109" s="215" t="s">
        <v>598</v>
      </c>
      <c r="EH109" s="468"/>
      <c r="EI109" s="479" t="s">
        <v>474</v>
      </c>
      <c r="EJ109" s="215" t="s">
        <v>475</v>
      </c>
      <c r="EK109" s="215" t="s">
        <v>473</v>
      </c>
      <c r="EL109" s="215" t="s">
        <v>469</v>
      </c>
      <c r="EM109" s="215" t="s">
        <v>478</v>
      </c>
      <c r="EN109" s="215" t="s">
        <v>491</v>
      </c>
      <c r="EO109" s="215" t="s">
        <v>776</v>
      </c>
      <c r="EP109" s="215" t="s">
        <v>778</v>
      </c>
      <c r="EQ109" s="479" t="s">
        <v>601</v>
      </c>
      <c r="ER109" s="215" t="s">
        <v>600</v>
      </c>
      <c r="ES109" s="215" t="s">
        <v>477</v>
      </c>
      <c r="ET109" s="215" t="s">
        <v>483</v>
      </c>
      <c r="EU109" s="215" t="s">
        <v>487</v>
      </c>
      <c r="EV109" s="479" t="s">
        <v>458</v>
      </c>
      <c r="EW109" s="215" t="s">
        <v>603</v>
      </c>
      <c r="EX109" s="215" t="s">
        <v>602</v>
      </c>
      <c r="EY109" s="215" t="s">
        <v>468</v>
      </c>
      <c r="EZ109" s="215" t="s">
        <v>673</v>
      </c>
      <c r="FA109" s="215" t="s">
        <v>484</v>
      </c>
      <c r="FB109" s="215" t="s">
        <v>486</v>
      </c>
      <c r="FC109" s="479" t="s">
        <v>482</v>
      </c>
      <c r="FD109" s="215" t="s">
        <v>223</v>
      </c>
      <c r="FE109" s="215" t="s">
        <v>47</v>
      </c>
      <c r="FF109" s="215" t="s">
        <v>485</v>
      </c>
      <c r="FG109" s="215" t="s">
        <v>604</v>
      </c>
      <c r="FI109" s="490" t="s">
        <v>497</v>
      </c>
      <c r="FL109" s="668" t="s">
        <v>876</v>
      </c>
      <c r="FM109" s="668" t="s">
        <v>875</v>
      </c>
    </row>
    <row r="110" spans="5:169">
      <c r="E110" s="147">
        <v>0.1</v>
      </c>
      <c r="F110" s="188">
        <v>1.0000000000000001E-9</v>
      </c>
      <c r="G110" s="188">
        <f t="shared" ref="G110:G141" si="312">IF(PLOT_TYPE=1, E110/100*Iout2, min_I*EXP(Q110*rr/100))</f>
        <v>8.4999999999999995E-4</v>
      </c>
      <c r="H110" s="188">
        <f t="shared" ref="H110:H141" si="313">F110*Vout</f>
        <v>3.0000000000000004E-8</v>
      </c>
      <c r="I110" s="188">
        <f t="shared" ref="I110:I141" si="314">Vout2*G110</f>
        <v>5.0999999999999995E-3</v>
      </c>
      <c r="J110" s="465">
        <f t="shared" ref="J110:J141" si="315">VIN_min-(F110/CG110/Nps+G110/CH110/(Nps/Nsec1sec2))*(Rdcr_pri+RON/1000)</f>
        <v>19.993681804065947</v>
      </c>
      <c r="K110" s="379">
        <f t="shared" ref="K110:K141" si="316">MAX((S110+Vfwd2+Rdcr_sec*F110/CG110)*Nps,(Vout2+Vfwd22+Rdcr_sec2*G110/CH110)*Nps/Nsec1sec2)</f>
        <v>30.727040969379996</v>
      </c>
      <c r="L110" s="149">
        <f t="shared" ref="L110:L141" si="317">MAX((Vout+Vfwd2+F110/CG110*Rdcr_sec)*Nps+J110, (Vout2+Vfwd22+G110/CH110*Rdcr_sec2)*Nps/Nsec1sec2+J110)</f>
        <v>50.720722773445942</v>
      </c>
      <c r="M110" s="379"/>
      <c r="N110" s="188">
        <f t="shared" ref="N110:N141" si="318">MAX((Vout+Vfwd2+F110/CG110*Rdcr_sec)*Nps/((Vout+Vfwd2+F110/CG110*Rdcr_sec)*Nps+J110), (Vout2+Vfwd22+G110/CH110*Rdcr_sec2)*Nps/Nsec1sec2/((Vout2+Vfwd22+G110/CH110*Rdcr_sec2)*Nps/Nsec1sec2+J110))</f>
        <v>0.60580842088209885</v>
      </c>
      <c r="O110" s="149">
        <f t="shared" ref="O110:O141" si="319">N110*J110*Isw_max*0.5*Efficiency*Pout/(Pout+Pout2)</f>
        <v>176.0386716276484</v>
      </c>
      <c r="P110" s="149">
        <f t="shared" ref="P110:P141" si="320">N110*J110*Isw_max*0.5*Efficiency*(Pout2/Pout_total)</f>
        <v>7.4816435441750553</v>
      </c>
      <c r="Q110" s="188">
        <f t="shared" ref="Q110:Q173" si="321">O110/Vout</f>
        <v>5.8679557209216133</v>
      </c>
      <c r="R110" s="188">
        <f t="shared" ref="R110:R141" si="322">O110/Vout2</f>
        <v>29.339778604608068</v>
      </c>
      <c r="S110" s="188">
        <f t="shared" ref="S110:S141" si="323">MIN(Vout,O110/F110)</f>
        <v>30</v>
      </c>
      <c r="T110" s="188">
        <f t="shared" ref="T110:T141" si="324">MIN(2*(Vout*F110+Vout2*G110)/(Efficiency*J110*N110), Isw_max)</f>
        <v>8.4212128500143145E-4</v>
      </c>
      <c r="U110" s="188">
        <f t="shared" ref="U110:U173" si="325">L*T110/J110*1000000</f>
        <v>1.9796103980717692E-4</v>
      </c>
      <c r="V110" s="188">
        <f t="shared" ref="V110:V173" si="326">L*T110/K110*1000000</f>
        <v>1.2881064738550356E-4</v>
      </c>
      <c r="W110" s="172">
        <f t="shared" ref="W110:W173" si="327">IF(1/((350000*L)*(1/J110+1/K110))&gt;Isw_min, 350, 0.001/((Isw_min*L)*(1/J110+1/K110)))</f>
        <v>350</v>
      </c>
      <c r="X110" s="379">
        <f>MIN(1/(U110+V110+0.2)*1000, 350)</f>
        <v>350</v>
      </c>
      <c r="Z110" s="188">
        <f t="shared" ref="Z110:Z173" si="328">1/((W110*1000*L)*(1/J110+1/K110))</f>
        <v>7.3631251071977779</v>
      </c>
      <c r="AA110" s="150">
        <f t="shared" ref="AA110:AA173" si="329">L*Z110/K110*1000000</f>
        <v>1.1262616546225748</v>
      </c>
      <c r="AB110" s="150">
        <f t="shared" ref="AB110:AB141" si="330">0.5*AA110*Z110*Nps*W110/1000*(Pout/(Pout+Pout2))</f>
        <v>1.3920776562345119</v>
      </c>
      <c r="AC110" s="150"/>
      <c r="AD110" s="150">
        <f t="shared" ref="AD110:AD173" si="331">L*Isw_min/K110*1000000</f>
        <v>0.92702868828905804</v>
      </c>
      <c r="AE110" s="314">
        <f t="shared" ref="AE110:AE141" si="332">MAX(10, F110/(0.5*AD110/1000000*Isw_min*Nps)/1000*Pout_total/Pout)</f>
        <v>10</v>
      </c>
      <c r="AF110" s="456">
        <f t="shared" ref="AF110:AF141" si="333">0.5*AD110/1000000*Isw_min*Nps*W110*1000*(Pout/Pout_total)</f>
        <v>0.94312925194730113</v>
      </c>
      <c r="AH110" s="150">
        <f t="shared" ref="AH110:AH141" si="334">SQRT((H110+I110)/(0.5*L*Fsw_DCM))</f>
        <v>7.8744170431211583E-2</v>
      </c>
      <c r="AI110" s="150">
        <f t="shared" ref="AI110:AI141" si="335">MAX(IF(F110&gt;AB110,T110,AH110),Isw_min)</f>
        <v>6.0606060606060606</v>
      </c>
      <c r="AJ110" s="150">
        <f t="shared" ref="AJ110:AJ141" si="336">IF(F110&gt;AF110, (AI110-Isw_min)/1.08*0.8+1.2, AE110*0.2/350+1)</f>
        <v>1.0057142857142858</v>
      </c>
      <c r="AL110" s="314">
        <f t="shared" ref="AL110:AL141" si="337">F110*1000</f>
        <v>1.0000000000000002E-6</v>
      </c>
      <c r="AM110" s="144">
        <f t="shared" ref="AM110:AM141" si="338">IF(F110&gt;AF110, X110, AE110)</f>
        <v>10</v>
      </c>
      <c r="AO110" s="144">
        <f t="shared" ref="AO110:AO173" si="339">IF(H110&gt;O110, "",AL110)</f>
        <v>1.0000000000000002E-6</v>
      </c>
      <c r="AP110" s="144">
        <f t="shared" ref="AP110:AP173" si="340">IF(H110&gt;O110, "",AM110)</f>
        <v>10</v>
      </c>
      <c r="AR110" s="5">
        <f t="shared" si="274"/>
        <v>100</v>
      </c>
      <c r="AS110" s="5">
        <f>L*AI110/J110*1000000</f>
        <v>1.424692498560008</v>
      </c>
      <c r="AT110" s="5">
        <f>AR110-AS110</f>
        <v>98.575307501439994</v>
      </c>
      <c r="AU110" s="150">
        <f>AS110/AR110</f>
        <v>1.424692498560008E-2</v>
      </c>
      <c r="AW110" s="5">
        <f t="shared" ref="AW110:AW169" si="341">F110*AS110/Vout_ripple*1000</f>
        <v>4.7489749952000268E-9</v>
      </c>
      <c r="AX110" s="5">
        <f t="shared" ref="AX110:AX169" si="342">G110*AS110/Vout_ripple2*1000</f>
        <v>2.0183143729600114E-2</v>
      </c>
      <c r="AY110" s="5">
        <f t="shared" ref="AY110:AY169" si="343">H110/Efficiency/J110*AT110/Vinripple1</f>
        <v>8.7005698453781088E-8</v>
      </c>
      <c r="AZ110" s="5"/>
      <c r="BA110" s="150">
        <f t="shared" ref="BA110:BA169" si="344">AI110*SQRT(AU110/3)</f>
        <v>0.41765337692641236</v>
      </c>
      <c r="BB110" s="150">
        <f t="shared" ref="BB110:BB169" si="345">AI110*Npri_sec1*SQRT((1-AU110)/3)*(Pout/Pout_total)</f>
        <v>3.332448411982043</v>
      </c>
      <c r="BC110" s="150">
        <f t="shared" ref="BC110:BC169" si="346">AI110*Npri_sec2*SQRT((1-AU110)/3)*(Pout2/Pout_total)</f>
        <v>0.66892493315901069</v>
      </c>
      <c r="BD110" s="150"/>
      <c r="BE110" s="456">
        <f t="shared" ref="BE110:BE169" si="347">Rdson*BA110^2</f>
        <v>2.0932121190964303E-3</v>
      </c>
      <c r="BF110" s="456">
        <f t="shared" ref="BF110:BF141" si="348">0.5*L110*AI110*AM110*1000*Tfall</f>
        <v>5.6100193370629596E-2</v>
      </c>
      <c r="BG110" s="456">
        <f t="shared" ref="BG110:BG169" si="349">Qg*Vdd*AM110*1000</f>
        <v>1.15E-3</v>
      </c>
      <c r="BH110" s="456">
        <f t="shared" ref="BH110:BH169" si="350">0.5*(Coss+Csw)*L110^2*AM110*1000</f>
        <v>1.3313162144069425E-2</v>
      </c>
      <c r="BI110">
        <f t="shared" ref="BI110:BI169" si="351">J110*IQ</f>
        <v>8.9971568118296756E-3</v>
      </c>
      <c r="BJ110" s="144">
        <f>(BG110+BI110)*1000</f>
        <v>10.147156811829676</v>
      </c>
      <c r="BK110">
        <f t="shared" ref="BK110:BK141" si="352">(BF110+BG110*0+BH110+BI110*0+BE110*(1+RdsonTC*(Ta-25)))/(1-BE110*RdsonTC*ThetaJA)</f>
        <v>7.2107597417589597E-2</v>
      </c>
      <c r="BL110" s="144">
        <f>SUM(BE110:BI110)*1000</f>
        <v>81.65372444562513</v>
      </c>
      <c r="BM110" s="150">
        <f t="shared" ref="BM110:BM141" si="353">Vfwd2*F110*(1+Diode_TC/1000*(Ta-25))</f>
        <v>6.7059999999999994E-10</v>
      </c>
      <c r="BN110" s="150">
        <f t="shared" ref="BN110:BN141" si="354">Vfwd2*G110*(1+Diode_TC/1000*(Ta-25))</f>
        <v>5.7000999999999992E-4</v>
      </c>
      <c r="BO110" s="456"/>
      <c r="BQ110" s="144">
        <f t="shared" ref="BQ110:BQ169" si="355">SUM(BM110:BP110)*1000</f>
        <v>0.57001067059999988</v>
      </c>
      <c r="BR110" s="456">
        <f t="shared" ref="BR110:BR169" si="356">Rdcr_pri*BA110^2</f>
        <v>2.4420808056125022E-3</v>
      </c>
      <c r="BS110" s="456">
        <f t="shared" ref="BS110:BS169" si="357">Rdcr_sec*BB110^2</f>
        <v>0.15547297385930298</v>
      </c>
      <c r="BT110" s="456">
        <f t="shared" ref="BT110:BT169" si="358">Rdcr_sec2*BC110^2</f>
        <v>2.2373028310089349E-3</v>
      </c>
      <c r="BU110" s="456">
        <f t="shared" ref="BU110:BU169" si="359">AI110^2.5*AM110^2.5*k_core</f>
        <v>1.4297501270184099E-3</v>
      </c>
      <c r="BV110" s="456"/>
      <c r="BW110" s="538">
        <f t="shared" ref="BW110:BW141" si="360">0.5*Lleak*0.000000001*AI110^2*AM110*1000</f>
        <v>3.6730945821854911E-2</v>
      </c>
      <c r="BX110" s="144">
        <f t="shared" ref="BX110:BX169" si="361">SUM(BR110:BW110)*1000</f>
        <v>198.3130534447977</v>
      </c>
      <c r="BY110" s="150">
        <f t="shared" ref="BY110:BY169" si="362">SUM(BE110:BI110,BM110:BP110,BR110:BW110)</f>
        <v>0.28053678856102288</v>
      </c>
      <c r="BZ110" s="5">
        <f t="shared" ref="BZ110:BZ169" si="363">MIN(H110+I110,O110+P110)</f>
        <v>5.1000299999999993E-3</v>
      </c>
      <c r="CA110" s="150">
        <f t="shared" ref="CA110:CA169" si="364">BZ110/(BZ110+BY110)</f>
        <v>1.7854946101461495E-2</v>
      </c>
      <c r="CB110" s="5">
        <f t="shared" ref="CB110:CB169" si="365">CA110*100</f>
        <v>1.7854946101461495</v>
      </c>
      <c r="CC110">
        <f t="shared" ref="CC110:CC169" si="366">F110/Iout*100</f>
        <v>2.5000000000000002E-8</v>
      </c>
      <c r="CE110" s="59">
        <f t="shared" ref="CE110:CE141" si="367">IF(ABS(F110-Ioutmax_Vinmin)&lt;Iout/200, AM110, -50)</f>
        <v>-50</v>
      </c>
      <c r="CF110">
        <f t="shared" ref="CF110:CF141" si="368">IF(ABS(F110-Ioutmax_Vinmin)&lt;Iout/200, (O110+P110)*CA110, -50)</f>
        <v>-50</v>
      </c>
      <c r="CG110" s="150">
        <f t="shared" ref="CG110:CG173" si="369">MIN(SQRT(2*DT110*1000*Ls1_*(CL110+CJ110*Vfwd1))/(CW110+Vfwd1), 1-DY110)</f>
        <v>1.7584383023461174E-6</v>
      </c>
      <c r="CH110" s="150">
        <f t="shared" ref="CH110:CH141" si="370">MIN(SQRT(2*DT110*1000*Ls2_*(CM110+CK110*Vfwd22))/(Vout2+Vfwd22), 1-DY110)</f>
        <v>7.4232090724993336E-4</v>
      </c>
      <c r="CI110" s="147">
        <v>0.1</v>
      </c>
      <c r="CJ110" s="188">
        <v>1.0000000000000001E-9</v>
      </c>
      <c r="CK110" s="188">
        <f t="shared" ref="CK110:CK173" si="371">IF(PLOT_TYPE=1, CI110/100*Iout2, min_I*EXP(CU110*rr/100))</f>
        <v>8.4999999999999995E-4</v>
      </c>
      <c r="CL110" s="188">
        <f t="shared" ref="CL110:CL173" si="372">CJ110*Vout</f>
        <v>3.0000000000000004E-8</v>
      </c>
      <c r="CM110" s="188">
        <f t="shared" ref="CM110:CM173" si="373">Vout2*CK110</f>
        <v>5.0999999999999995E-3</v>
      </c>
      <c r="CN110" s="465">
        <f t="shared" ref="CN110:CN173" si="374">VIN_min</f>
        <v>20</v>
      </c>
      <c r="CO110" s="379">
        <f t="shared" ref="CO110:CO141" si="375">(CW110+Vfwd2)*Nps</f>
        <v>30.7</v>
      </c>
      <c r="CP110" s="379">
        <f t="shared" ref="CP110:CP141" si="376">(Vout+Vfwd2)*Nps+CN110</f>
        <v>50.7</v>
      </c>
      <c r="CQ110" s="379"/>
      <c r="CR110" s="188">
        <f t="shared" ref="CR110:CR173" si="377">(Vout+Vfwd1)*Nps/((Vout+Vfwd1)*Nps+CN110)</f>
        <v>0.60317460317460314</v>
      </c>
      <c r="CS110" s="149">
        <f t="shared" ref="CS110:CS173" si="378">CR110*CN110*Isw_max*0.5*Efficiency*Pout/(Pout+Pout2)</f>
        <v>175.32871249897633</v>
      </c>
      <c r="CT110" s="149">
        <f t="shared" ref="CT110:CT173" si="379">CR110*CN110*Isw_max*0.5*Efficiency*(Pout2/Pout_total)</f>
        <v>7.4514702812064924</v>
      </c>
      <c r="CU110" s="188">
        <f t="shared" ref="CU110:CU173" si="380">CS110/Vout</f>
        <v>5.8442904166325444</v>
      </c>
      <c r="CV110" s="188">
        <f t="shared" ref="CV110:CV173" si="381">CS110/Vout2</f>
        <v>29.22145208316272</v>
      </c>
      <c r="CW110" s="188">
        <f t="shared" ref="CW110:CW173" si="382">MIN(Vout,CS110/CJ110)</f>
        <v>30</v>
      </c>
      <c r="CX110" s="188">
        <f t="shared" ref="CX110:CX173" si="383">MIN(2*(Vout*CJ110+Vout2*CK110)/(Efficiency*CN110*CR110), Isw_max)</f>
        <v>8.4553128947368412E-4</v>
      </c>
      <c r="CY110" s="188">
        <f t="shared" ref="CY110:CY173" si="384">L*CX110/CN110*1000000</f>
        <v>1.9869985302631578E-4</v>
      </c>
      <c r="CZ110" s="188">
        <f t="shared" ref="CZ110:CZ173" si="385">L*CX110/CO110*1000000</f>
        <v>1.2944615832333274E-4</v>
      </c>
      <c r="DA110" s="172">
        <f t="shared" ref="DA110:DA173" si="386">IF(1/((350000*L)*(1/CN110+1/CO110))&gt;Isw_min, 350, 0.001/((Isw_min*L)*(1/CN110+1/CO110)))</f>
        <v>350</v>
      </c>
      <c r="DB110" s="379">
        <f t="shared" ref="DB110:DB173" si="387">MIN(1/(CY110+CZ110)*1000, 350)</f>
        <v>350</v>
      </c>
      <c r="DD110" s="188">
        <f t="shared" ref="DD110:DD173" si="388">1/((DA110*1000*L)*(1/CN110+1/CO110))</f>
        <v>7.3619779020761014</v>
      </c>
      <c r="DE110" s="150">
        <f t="shared" ref="DE110:DE173" si="389">L*DD110/CO110*1000000</f>
        <v>1.1270780501549733</v>
      </c>
      <c r="DF110" s="150">
        <f t="shared" ref="DF110:DF173" si="390">0.5*DE110*DD110*Nps*DA110/1000*(Pout/(Pout+Pout2))</f>
        <v>1.3928696857096292</v>
      </c>
      <c r="DG110" s="150"/>
      <c r="DH110" s="150">
        <f t="shared" ref="DH110:DH173" si="391">L*Isw_min/CO110*1000000</f>
        <v>0.92784522751949461</v>
      </c>
      <c r="DI110" s="314">
        <f t="shared" ref="DI110:DI173" si="392">MAX(10, CJ110/(0.5*DH110/1000000*Isw_min*Nps)/1000*Pout_total/Pout)</f>
        <v>10</v>
      </c>
      <c r="DJ110" s="456">
        <f t="shared" ref="DJ110:DJ173" si="393">0.5*DH110/1000000*Isw_min*Nps*DA110*1000*(Pout/Pout_total)</f>
        <v>0.94395997276890675</v>
      </c>
      <c r="DL110" s="150">
        <f t="shared" ref="DL110:DL173" si="394">SQRT((CL110+CM110)/(0.5*L*Fsw_DCM))</f>
        <v>7.8744170431211583E-2</v>
      </c>
      <c r="DM110" s="150">
        <f t="shared" ref="DM110:DM173" si="395">MAX(IF(CJ110&gt;DF110,CX110,DL110),Isw_min)</f>
        <v>6.0606060606060606</v>
      </c>
      <c r="DN110" s="150">
        <f t="shared" ref="DN110:DN173" si="396">IF(CJ110&gt;DJ110, (DM110-Isw_min)/1.08*0.8+1.2, DI110*0.2/350+1)</f>
        <v>1.0057142857142858</v>
      </c>
      <c r="DP110" s="314">
        <f t="shared" ref="DP110:DP173" si="397">CJ110*1000</f>
        <v>1.0000000000000002E-6</v>
      </c>
      <c r="DQ110" s="144">
        <f t="shared" ref="DQ110:DQ173" si="398">IF(CJ110&gt;DJ110, DB110, DI110)</f>
        <v>10</v>
      </c>
      <c r="DS110" s="144">
        <f t="shared" ref="DS110:DS173" si="399">IF(CL110&gt;CS110, "",DP110)</f>
        <v>1.0000000000000002E-6</v>
      </c>
      <c r="DT110" s="144">
        <f t="shared" ref="DT110:DT173" si="400">IF(CL110&gt;CS110, "",DQ110)</f>
        <v>10</v>
      </c>
      <c r="DV110" s="5">
        <f t="shared" ref="DV110:DV173" si="401">1/DQ110*1000</f>
        <v>100</v>
      </c>
      <c r="DW110" s="5">
        <f t="shared" ref="DW110:DW173" si="402">L*DM110/CN110*1000000</f>
        <v>1.4242424242424243</v>
      </c>
      <c r="DX110" s="5">
        <f t="shared" ref="DX110:DX173" si="403">DV110-DW110</f>
        <v>98.575757575757578</v>
      </c>
      <c r="DY110" s="150">
        <f t="shared" ref="DY110:DY173" si="404">DW110/DV110</f>
        <v>1.4242424242424244E-2</v>
      </c>
      <c r="EA110" s="5">
        <f t="shared" ref="EA110:EA173" si="405">CJ110*DW110/Vout_ripple*1000</f>
        <v>4.7474747474747477E-9</v>
      </c>
      <c r="EB110" s="5">
        <f t="shared" ref="EB110:EB173" si="406">CK110*DW110/Vout_ripple2*1000</f>
        <v>2.0176767676767678E-2</v>
      </c>
      <c r="EC110" s="5">
        <f t="shared" ref="EC110:EC173" si="407">CL110/Efficiency/CN110*DX110/Vinripple1</f>
        <v>8.6978609625668455E-8</v>
      </c>
      <c r="ED110" s="5"/>
      <c r="EE110" s="150">
        <f t="shared" ref="EE110:EE173" si="408">DM110*SQRT(DY110/3)</f>
        <v>0.41758740131871713</v>
      </c>
      <c r="EF110" s="150">
        <f t="shared" ref="EF110:EF173" si="409">DM110*Npri_sec1*SQRT((1-DY110)/3)*(Pout/Pout_total)</f>
        <v>3.3324560196059547</v>
      </c>
      <c r="EG110" s="150">
        <f t="shared" ref="EG110:EG173" si="410">DM110*Npri_sec2*SQRT((1-DY110)/3)*(Pout2/Pout_total)</f>
        <v>0.66892646024321056</v>
      </c>
      <c r="EH110" s="150"/>
      <c r="EI110" s="456">
        <f t="shared" ref="EI110:EI173" si="411">Rdson*EE110^2</f>
        <v>2.092550852881432E-3</v>
      </c>
      <c r="EJ110" s="456">
        <f t="shared" ref="EJ110:EJ173" si="412">0.5*CP110*DM110*DQ110*1000*Trise</f>
        <v>5.8381818181818187E-2</v>
      </c>
      <c r="EK110" s="456">
        <f t="shared" ref="EK110:EK173" si="413">Qg*Vdd*DQ110*1000</f>
        <v>1.15E-3</v>
      </c>
      <c r="EL110" s="456">
        <f t="shared" ref="EL110:EL173" si="414">0.5*(Coss+Csw)*CP110^2*DQ110*1000</f>
        <v>1.3302285750000002E-2</v>
      </c>
      <c r="EM110">
        <f t="shared" ref="EM110:EM173" si="415">CN110*IQ</f>
        <v>8.9999999999999993E-3</v>
      </c>
      <c r="EN110" s="144">
        <f t="shared" ref="EN110:EN173" si="416">(EK110+EM110)*1000</f>
        <v>10.149999999999999</v>
      </c>
      <c r="EP110" s="144">
        <f>SUM(EI110:EM110)*1000</f>
        <v>83.926654784699608</v>
      </c>
      <c r="EQ110" s="150">
        <f t="shared" ref="EQ110:EQ173" si="417">Vfwd2*CJ110</f>
        <v>6.9999999999999996E-10</v>
      </c>
      <c r="ER110" s="150">
        <f t="shared" ref="ER110:ER141" si="418">Vfwd22*CK110*(1+Diode_TC/1000*(Ta-25))</f>
        <v>4.0714999999999995E-4</v>
      </c>
      <c r="ES110" s="456"/>
      <c r="EU110" s="144">
        <f t="shared" ref="EU110:EU169" si="419">SUM(EQ110:ET110)*1000</f>
        <v>0.40715069999999998</v>
      </c>
      <c r="EV110" s="456">
        <f t="shared" ref="EV110:EV173" si="420">Rdcr_pri*EE110^2</f>
        <v>2.4413093283616703E-3</v>
      </c>
      <c r="EW110" s="456">
        <f t="shared" ref="EW110:EW173" si="421">Rdcr_sec*EF110^2</f>
        <v>0.15547368371651149</v>
      </c>
      <c r="EX110" s="456">
        <f t="shared" ref="EX110:EX173" si="422">Rdcr_sec2*EG110^2</f>
        <v>2.2373130460675576E-3</v>
      </c>
      <c r="EY110" s="456">
        <f t="shared" ref="EY110:EY173" si="423">DM110^2.5*DQ110^2.5*k_core</f>
        <v>1.4297501270184099E-3</v>
      </c>
      <c r="EZ110" s="456"/>
      <c r="FA110" s="538">
        <f t="shared" ref="FA110:FA173" si="424">0.5*Lleak*0.000000001*DM110^2*DQ110*1000</f>
        <v>3.6730945821854911E-2</v>
      </c>
      <c r="FB110" s="144">
        <f t="shared" ref="FB110:FB169" si="425">SUM(EV110:FA110)*1000</f>
        <v>198.31300203981402</v>
      </c>
      <c r="FC110" s="150">
        <f t="shared" ref="FC110:FC173" si="426">SUM(EI110:EM110,EQ110:ET110,EV110:FA110)</f>
        <v>0.28264680752451365</v>
      </c>
      <c r="FD110" s="5">
        <f t="shared" ref="FD110:FD173" si="427">MIN(CL110+CM110,CS110+CT110)</f>
        <v>5.1000299999999993E-3</v>
      </c>
      <c r="FE110" s="150">
        <f t="shared" ref="FE110:FE173" si="428">FD110/(FD110+FC110)</f>
        <v>1.772401755611135E-2</v>
      </c>
      <c r="FF110" s="5">
        <f t="shared" ref="FF110:FF173" si="429">FE110*100</f>
        <v>1.7724017556111349</v>
      </c>
      <c r="FG110">
        <f t="shared" ref="FG110:FG173" si="430">CJ110/Iout*100</f>
        <v>2.5000000000000002E-8</v>
      </c>
      <c r="FI110" s="59">
        <f t="shared" ref="FI110:FI173" si="431">IF(ABS(CJ110-Ioutmax_Vinmin)&lt;Iout/200, DQ110, -50)</f>
        <v>-50</v>
      </c>
      <c r="FJ110">
        <f t="shared" ref="FJ110:FJ173" si="432">IF(ABS(CJ110-Ioutmax_Vinmin)&lt;Iout/200, (CS110+CT110)*FE110, -50)</f>
        <v>-50</v>
      </c>
    </row>
    <row r="111" spans="5:169">
      <c r="E111" s="147">
        <v>1</v>
      </c>
      <c r="F111" s="188">
        <f t="shared" ref="F111:F142" si="433">IF(PLOT_TYPE=1, E111/100*Iout_max, min_I*EXP(O111*rr/100))</f>
        <v>0.04</v>
      </c>
      <c r="G111" s="188">
        <f t="shared" si="312"/>
        <v>8.5000000000000006E-3</v>
      </c>
      <c r="H111" s="188">
        <f t="shared" si="313"/>
        <v>1.2</v>
      </c>
      <c r="I111" s="188">
        <f t="shared" si="314"/>
        <v>5.1000000000000004E-2</v>
      </c>
      <c r="J111" s="465">
        <f t="shared" si="315"/>
        <v>19.906845048158605</v>
      </c>
      <c r="K111" s="379">
        <f t="shared" si="316"/>
        <v>30.770215829062796</v>
      </c>
      <c r="L111" s="149">
        <f t="shared" si="317"/>
        <v>50.6770608772214</v>
      </c>
      <c r="M111" s="379"/>
      <c r="N111" s="188">
        <f t="shared" si="318"/>
        <v>0.60718232858081078</v>
      </c>
      <c r="O111" s="149">
        <f t="shared" si="319"/>
        <v>175.67160135220297</v>
      </c>
      <c r="P111" s="149">
        <f t="shared" si="320"/>
        <v>7.4660430574686245</v>
      </c>
      <c r="Q111" s="188">
        <f t="shared" si="321"/>
        <v>5.8557200450734319</v>
      </c>
      <c r="R111" s="188">
        <f t="shared" si="322"/>
        <v>29.27860022536716</v>
      </c>
      <c r="S111" s="188">
        <f t="shared" si="323"/>
        <v>30</v>
      </c>
      <c r="T111" s="188">
        <f t="shared" si="324"/>
        <v>0.20699780774885249</v>
      </c>
      <c r="U111" s="188">
        <f t="shared" si="325"/>
        <v>4.887211881470889E-2</v>
      </c>
      <c r="V111" s="188">
        <f t="shared" si="326"/>
        <v>3.1617902904038202E-2</v>
      </c>
      <c r="W111" s="172">
        <f t="shared" si="327"/>
        <v>350</v>
      </c>
      <c r="X111" s="379">
        <f t="shared" ref="X111:X174" si="434">MIN(1/(U111+V111+0.2)*1000, 350)</f>
        <v>350</v>
      </c>
      <c r="Z111" s="188">
        <f t="shared" si="328"/>
        <v>7.3477717513910772</v>
      </c>
      <c r="AA111" s="150">
        <f t="shared" si="329"/>
        <v>1.1223362040548261</v>
      </c>
      <c r="AB111" s="150">
        <f t="shared" si="330"/>
        <v>1.3843331364513862</v>
      </c>
      <c r="AC111" s="150"/>
      <c r="AD111" s="150">
        <f t="shared" si="331"/>
        <v>0.92572793909180973</v>
      </c>
      <c r="AE111" s="314">
        <f t="shared" si="332"/>
        <v>14.865058532748076</v>
      </c>
      <c r="AF111" s="456">
        <f t="shared" si="333"/>
        <v>0.94180591143705672</v>
      </c>
      <c r="AH111" s="150">
        <f t="shared" si="334"/>
        <v>1.2332771968932612</v>
      </c>
      <c r="AI111" s="150">
        <f t="shared" si="335"/>
        <v>6.0606060606060606</v>
      </c>
      <c r="AJ111" s="150">
        <f t="shared" si="336"/>
        <v>1.0084943191615703</v>
      </c>
      <c r="AL111" s="314">
        <f t="shared" si="337"/>
        <v>40</v>
      </c>
      <c r="AM111" s="144">
        <f t="shared" si="338"/>
        <v>14.865058532748076</v>
      </c>
      <c r="AO111" s="144">
        <f t="shared" si="339"/>
        <v>40</v>
      </c>
      <c r="AP111" s="144">
        <f t="shared" si="340"/>
        <v>14.865058532748076</v>
      </c>
      <c r="AR111" s="5">
        <f t="shared" si="274"/>
        <v>67.271850816932627</v>
      </c>
      <c r="AS111" s="5">
        <f>L*AI111/J111*1000000</f>
        <v>1.4309072289425064</v>
      </c>
      <c r="AT111" s="5">
        <f>AR111-AS111</f>
        <v>65.840943587990125</v>
      </c>
      <c r="AU111" s="150">
        <f>AS111/AR111</f>
        <v>2.1270519713162711E-2</v>
      </c>
      <c r="AW111" s="5">
        <f t="shared" si="341"/>
        <v>0.19078763052566752</v>
      </c>
      <c r="AX111" s="5">
        <f t="shared" si="342"/>
        <v>0.20271185743352177</v>
      </c>
      <c r="AY111" s="5">
        <f t="shared" si="343"/>
        <v>2.3346723233803832</v>
      </c>
      <c r="AZ111" s="5"/>
      <c r="BA111" s="150">
        <f t="shared" si="344"/>
        <v>0.51032222081964274</v>
      </c>
      <c r="BB111" s="150">
        <f t="shared" si="345"/>
        <v>3.32055516557674</v>
      </c>
      <c r="BC111" s="150">
        <f t="shared" si="346"/>
        <v>0.66653759265942325</v>
      </c>
      <c r="BD111" s="150"/>
      <c r="BE111" s="456">
        <f t="shared" si="347"/>
        <v>3.1251452287475064E-3</v>
      </c>
      <c r="BF111" s="456">
        <f t="shared" si="348"/>
        <v>8.3321478429015106E-2</v>
      </c>
      <c r="BG111" s="456">
        <f t="shared" si="349"/>
        <v>1.709481731266029E-3</v>
      </c>
      <c r="BH111" s="456">
        <f t="shared" si="350"/>
        <v>1.9756036323850753E-2</v>
      </c>
      <c r="BI111">
        <f t="shared" si="351"/>
        <v>8.9580802716713714E-3</v>
      </c>
      <c r="BJ111" s="144">
        <f t="shared" ref="BJ111:BJ174" si="435">(BG111+BI111)*1000</f>
        <v>10.6675620029374</v>
      </c>
      <c r="BK111">
        <f t="shared" si="352"/>
        <v>0.10712599394040302</v>
      </c>
      <c r="BL111" s="144">
        <f t="shared" ref="BL111:BL174" si="436">SUM(BE111:BI111)*1000</f>
        <v>116.87022198455077</v>
      </c>
      <c r="BM111" s="150">
        <f t="shared" si="353"/>
        <v>2.6823999999999997E-2</v>
      </c>
      <c r="BN111" s="150">
        <f t="shared" si="354"/>
        <v>5.7001000000000005E-3</v>
      </c>
      <c r="BO111" s="456"/>
      <c r="BQ111" s="144">
        <f t="shared" si="355"/>
        <v>32.524099999999997</v>
      </c>
      <c r="BR111" s="456">
        <f t="shared" si="356"/>
        <v>3.6460027668720908E-3</v>
      </c>
      <c r="BS111" s="456">
        <f t="shared" si="357"/>
        <v>0.15436521250693719</v>
      </c>
      <c r="BT111" s="456">
        <f t="shared" si="358"/>
        <v>2.2213618121410959E-3</v>
      </c>
      <c r="BU111" s="456">
        <f t="shared" si="359"/>
        <v>3.8519150696988964E-3</v>
      </c>
      <c r="BV111" s="456"/>
      <c r="BW111" s="538">
        <f t="shared" si="360"/>
        <v>5.4600765960507169E-2</v>
      </c>
      <c r="BX111" s="144">
        <f t="shared" si="361"/>
        <v>218.68525811615646</v>
      </c>
      <c r="BY111" s="150">
        <f t="shared" si="362"/>
        <v>0.36807958010070724</v>
      </c>
      <c r="BZ111" s="5">
        <f t="shared" si="363"/>
        <v>1.2509999999999999</v>
      </c>
      <c r="CA111" s="150">
        <f t="shared" si="364"/>
        <v>0.77266121775322949</v>
      </c>
      <c r="CB111" s="5">
        <f t="shared" si="365"/>
        <v>77.266121775322944</v>
      </c>
      <c r="CC111">
        <f t="shared" si="366"/>
        <v>1</v>
      </c>
      <c r="CE111" s="59">
        <f t="shared" si="367"/>
        <v>-50</v>
      </c>
      <c r="CF111">
        <f t="shared" si="368"/>
        <v>-50</v>
      </c>
      <c r="CG111" s="150">
        <f t="shared" si="369"/>
        <v>1.3543919348393564E-2</v>
      </c>
      <c r="CH111" s="150">
        <f t="shared" si="370"/>
        <v>2.8587680571463404E-3</v>
      </c>
      <c r="CI111" s="147">
        <v>1</v>
      </c>
      <c r="CJ111" s="188">
        <f t="shared" ref="CJ111:CJ174" si="437">IF(PLOT_TYPE=1, CI111/100*Iout_max, min_I*EXP(CS111*rr/100))</f>
        <v>0.04</v>
      </c>
      <c r="CK111" s="188">
        <f t="shared" si="371"/>
        <v>8.5000000000000006E-3</v>
      </c>
      <c r="CL111" s="188">
        <f t="shared" si="372"/>
        <v>1.2</v>
      </c>
      <c r="CM111" s="188">
        <f t="shared" si="373"/>
        <v>5.1000000000000004E-2</v>
      </c>
      <c r="CN111" s="465">
        <f t="shared" si="374"/>
        <v>20</v>
      </c>
      <c r="CO111" s="379">
        <f t="shared" si="375"/>
        <v>30.7</v>
      </c>
      <c r="CP111" s="379">
        <f t="shared" si="376"/>
        <v>50.7</v>
      </c>
      <c r="CQ111" s="379"/>
      <c r="CR111" s="188">
        <f t="shared" si="377"/>
        <v>0.60317460317460314</v>
      </c>
      <c r="CS111" s="149">
        <f t="shared" si="378"/>
        <v>175.32871249897633</v>
      </c>
      <c r="CT111" s="149">
        <f t="shared" si="379"/>
        <v>7.4514702812064924</v>
      </c>
      <c r="CU111" s="188">
        <f t="shared" si="380"/>
        <v>5.8442904166325444</v>
      </c>
      <c r="CV111" s="188">
        <f t="shared" si="381"/>
        <v>29.22145208316272</v>
      </c>
      <c r="CW111" s="188">
        <f t="shared" si="382"/>
        <v>30</v>
      </c>
      <c r="CX111" s="188">
        <f t="shared" si="383"/>
        <v>0.20740263157894737</v>
      </c>
      <c r="CY111" s="188">
        <f t="shared" si="384"/>
        <v>4.8739618421052636E-2</v>
      </c>
      <c r="CZ111" s="188">
        <f t="shared" si="385"/>
        <v>3.1752194411109207E-2</v>
      </c>
      <c r="DA111" s="172">
        <f t="shared" si="386"/>
        <v>350</v>
      </c>
      <c r="DB111" s="379">
        <f t="shared" si="387"/>
        <v>350</v>
      </c>
      <c r="DD111" s="188">
        <f t="shared" si="388"/>
        <v>7.3619779020761014</v>
      </c>
      <c r="DE111" s="150">
        <f t="shared" si="389"/>
        <v>1.1270780501549733</v>
      </c>
      <c r="DF111" s="150">
        <f t="shared" si="390"/>
        <v>1.3928696857096292</v>
      </c>
      <c r="DG111" s="150"/>
      <c r="DH111" s="150">
        <f t="shared" si="391"/>
        <v>0.92784522751949461</v>
      </c>
      <c r="DI111" s="314">
        <f t="shared" si="392"/>
        <v>14.831137340425533</v>
      </c>
      <c r="DJ111" s="456">
        <f t="shared" si="393"/>
        <v>0.94395997276890675</v>
      </c>
      <c r="DL111" s="150">
        <f t="shared" si="394"/>
        <v>1.2332771968932612</v>
      </c>
      <c r="DM111" s="150">
        <f t="shared" si="395"/>
        <v>6.0606060606060606</v>
      </c>
      <c r="DN111" s="150">
        <f t="shared" si="396"/>
        <v>1.0084749356231002</v>
      </c>
      <c r="DP111" s="314">
        <f t="shared" si="397"/>
        <v>40</v>
      </c>
      <c r="DQ111" s="144">
        <f t="shared" si="398"/>
        <v>14.831137340425533</v>
      </c>
      <c r="DS111" s="144">
        <f t="shared" si="399"/>
        <v>40</v>
      </c>
      <c r="DT111" s="144">
        <f t="shared" si="400"/>
        <v>14.831137340425533</v>
      </c>
      <c r="DV111" s="5">
        <f t="shared" si="401"/>
        <v>67.425712340636181</v>
      </c>
      <c r="DW111" s="5">
        <f t="shared" si="402"/>
        <v>1.4242424242424243</v>
      </c>
      <c r="DX111" s="5">
        <f t="shared" si="403"/>
        <v>66.001469916393759</v>
      </c>
      <c r="DY111" s="150">
        <f t="shared" si="404"/>
        <v>2.1123135000000005E-2</v>
      </c>
      <c r="EA111" s="5">
        <f t="shared" si="405"/>
        <v>0.18989898989898993</v>
      </c>
      <c r="EB111" s="5">
        <f t="shared" si="406"/>
        <v>0.20176767676767682</v>
      </c>
      <c r="EC111" s="5">
        <f t="shared" si="407"/>
        <v>2.329463644108015</v>
      </c>
      <c r="ED111" s="5"/>
      <c r="EE111" s="150">
        <f t="shared" si="408"/>
        <v>0.50855112075802422</v>
      </c>
      <c r="EF111" s="150">
        <f t="shared" si="409"/>
        <v>3.3208051737033379</v>
      </c>
      <c r="EG111" s="150">
        <f t="shared" si="410"/>
        <v>0.66658777698298921</v>
      </c>
      <c r="EH111" s="150"/>
      <c r="EI111" s="456">
        <f t="shared" si="411"/>
        <v>3.1034909090909106E-3</v>
      </c>
      <c r="EJ111" s="456">
        <f t="shared" si="412"/>
        <v>8.6586876363829807E-2</v>
      </c>
      <c r="EK111" s="456">
        <f t="shared" si="413"/>
        <v>1.7055807941489364E-3</v>
      </c>
      <c r="EL111" s="456">
        <f t="shared" si="414"/>
        <v>1.972880268998355E-2</v>
      </c>
      <c r="EM111">
        <f t="shared" si="415"/>
        <v>8.9999999999999993E-3</v>
      </c>
      <c r="EN111" s="144">
        <f t="shared" si="416"/>
        <v>10.705580794148934</v>
      </c>
      <c r="EP111" s="144">
        <f t="shared" ref="EP111:EP174" si="438">SUM(EI111:EM111)*1000</f>
        <v>120.12475075705321</v>
      </c>
      <c r="EQ111" s="150">
        <f t="shared" si="417"/>
        <v>2.7999999999999997E-2</v>
      </c>
      <c r="ER111" s="150">
        <f t="shared" si="418"/>
        <v>4.0715000000000005E-3</v>
      </c>
      <c r="ES111" s="456"/>
      <c r="EU111" s="144">
        <f t="shared" si="419"/>
        <v>32.071499999999993</v>
      </c>
      <c r="EV111" s="456">
        <f t="shared" si="420"/>
        <v>3.6207393939393954E-3</v>
      </c>
      <c r="EW111" s="456">
        <f t="shared" si="421"/>
        <v>0.154388458023728</v>
      </c>
      <c r="EX111" s="456">
        <f t="shared" si="422"/>
        <v>2.2216963221156172E-3</v>
      </c>
      <c r="EY111" s="456">
        <f t="shared" si="423"/>
        <v>3.8299780529067427E-3</v>
      </c>
      <c r="EZ111" s="456"/>
      <c r="FA111" s="538">
        <f t="shared" si="424"/>
        <v>5.4476170212765962E-2</v>
      </c>
      <c r="FB111" s="144">
        <f t="shared" si="425"/>
        <v>218.5370420054557</v>
      </c>
      <c r="FC111" s="150">
        <f t="shared" si="426"/>
        <v>0.37073329276250894</v>
      </c>
      <c r="FD111" s="5">
        <f t="shared" si="427"/>
        <v>1.2509999999999999</v>
      </c>
      <c r="FE111" s="150">
        <f t="shared" si="428"/>
        <v>0.77139687862546702</v>
      </c>
      <c r="FF111" s="5">
        <f t="shared" si="429"/>
        <v>77.139687862546708</v>
      </c>
      <c r="FG111">
        <f t="shared" si="430"/>
        <v>1</v>
      </c>
      <c r="FI111" s="59">
        <f t="shared" si="431"/>
        <v>-50</v>
      </c>
      <c r="FJ111">
        <f t="shared" si="432"/>
        <v>-50</v>
      </c>
    </row>
    <row r="112" spans="5:169">
      <c r="E112" s="147">
        <v>3</v>
      </c>
      <c r="F112" s="188">
        <f>IF(PLOT_TYPE=1, E112/100*Iout_max, min_I*EXP(O112*rr/100))</f>
        <v>0.12</v>
      </c>
      <c r="G112" s="188">
        <f>IF(PLOT_TYPE=1, E112/100*Iout2, min_I*EXP(Q112*rr/100))</f>
        <v>2.5499999999999998E-2</v>
      </c>
      <c r="H112" s="188">
        <f>F112*Vout</f>
        <v>3.5999999999999996</v>
      </c>
      <c r="I112" s="188">
        <f>Vout2*G112</f>
        <v>0.153</v>
      </c>
      <c r="J112" s="465">
        <f>VIN_min-(F112/CG112/Nps+G112/CH112/(Nps/Nsec1sec2))*(Rdcr_pri+RON/1000)</f>
        <v>19.906845048158605</v>
      </c>
      <c r="K112" s="379">
        <f t="shared" si="316"/>
        <v>30.770215829062796</v>
      </c>
      <c r="L112" s="149">
        <f t="shared" si="317"/>
        <v>50.6770608772214</v>
      </c>
      <c r="M112" s="379"/>
      <c r="N112" s="188">
        <f t="shared" si="318"/>
        <v>0.60718232858081078</v>
      </c>
      <c r="O112" s="149">
        <f>N112*J112*Isw_max*0.5*Efficiency*Pout/(Pout+Pout2)</f>
        <v>175.67160135220297</v>
      </c>
      <c r="P112" s="149">
        <f>N112*J112*Isw_max*0.5*Efficiency*(Pout2/Pout_total)</f>
        <v>7.4660430574686245</v>
      </c>
      <c r="Q112" s="188">
        <f>O112/Vout</f>
        <v>5.8557200450734319</v>
      </c>
      <c r="R112" s="188">
        <f>O112/Vout2</f>
        <v>29.27860022536716</v>
      </c>
      <c r="S112" s="188">
        <f>MIN(Vout,O112/F112)</f>
        <v>30</v>
      </c>
      <c r="T112" s="188">
        <f>MIN(2*(Vout*F112+Vout2*G112)/(Efficiency*J112*N112), Isw_max)</f>
        <v>0.62099342324655749</v>
      </c>
      <c r="U112" s="188">
        <f>L*T112/J112*1000000</f>
        <v>0.14661635644412668</v>
      </c>
      <c r="V112" s="188">
        <f>L*T112/K112*1000000</f>
        <v>9.4853708712114584E-2</v>
      </c>
      <c r="W112" s="172">
        <f>IF(1/((350000*L)*(1/J112+1/K112))&gt;Isw_min, 350, 0.001/((Isw_min*L)*(1/J112+1/K112)))</f>
        <v>350</v>
      </c>
      <c r="X112" s="379">
        <f t="shared" si="434"/>
        <v>350</v>
      </c>
      <c r="Z112" s="188">
        <f>1/((W112*1000*L)*(1/J112+1/K112))</f>
        <v>7.3477717513910772</v>
      </c>
      <c r="AA112" s="150">
        <f>L*Z112/K112*1000000</f>
        <v>1.1223362040548261</v>
      </c>
      <c r="AB112" s="150">
        <f>0.5*AA112*Z112*Nps*W112/1000*(Pout/(Pout+Pout2))</f>
        <v>1.3843331364513862</v>
      </c>
      <c r="AC112" s="150"/>
      <c r="AD112" s="150">
        <f>L*Isw_min/K112*1000000</f>
        <v>0.92572793909180973</v>
      </c>
      <c r="AE112" s="314">
        <f>MAX(10, F112/(0.5*AD112/1000000*Isw_min*Nps)/1000*Pout_total/Pout)</f>
        <v>44.595175598244232</v>
      </c>
      <c r="AF112" s="456">
        <f>0.5*AD112/1000000*Isw_min*Nps*W112*1000*(Pout/Pout_total)</f>
        <v>0.94180591143705672</v>
      </c>
      <c r="AH112" s="150">
        <f>SQRT((H112+I112)/(0.5*L*Fsw_DCM))</f>
        <v>2.1360987648352543</v>
      </c>
      <c r="AI112" s="150">
        <f>MAX(IF(F112&gt;AB112,T112,AH112),Isw_min)</f>
        <v>6.0606060606060606</v>
      </c>
      <c r="AJ112" s="150">
        <f>IF(F112&gt;AF112, (AI112-Isw_min)/1.08*0.8+1.2, AE112*0.2/350+1)</f>
        <v>1.0254829574847111</v>
      </c>
      <c r="AL112" s="314">
        <f>F112*1000</f>
        <v>120</v>
      </c>
      <c r="AM112" s="144">
        <f>IF(F112&gt;AF112, X112, AE112)</f>
        <v>44.595175598244232</v>
      </c>
      <c r="AO112" s="144">
        <f>IF(H112&gt;O112, "",AL112)</f>
        <v>120</v>
      </c>
      <c r="AP112" s="144">
        <f>IF(H112&gt;O112, "",AM112)</f>
        <v>44.595175598244232</v>
      </c>
      <c r="AR112" s="5">
        <f>1/AM112*1000</f>
        <v>22.423950272310872</v>
      </c>
      <c r="AS112" s="5">
        <f>L*AI112/J112*1000000</f>
        <v>1.4309072289425064</v>
      </c>
      <c r="AT112" s="5">
        <f>AR112-AS112</f>
        <v>20.993043043368367</v>
      </c>
      <c r="AU112" s="150">
        <f>AS112/AR112</f>
        <v>6.3811559139488147E-2</v>
      </c>
      <c r="AW112" s="5">
        <f>F112*AS112/Vout_ripple*1000</f>
        <v>0.57236289157700249</v>
      </c>
      <c r="AX112" s="5">
        <f>G112*AS112/Vout_ripple2*1000</f>
        <v>0.60813557230056525</v>
      </c>
      <c r="AY112" s="5">
        <f>H112/Efficiency/J112*AT112/Vinripple1</f>
        <v>2.2331944488941988</v>
      </c>
      <c r="AZ112" s="5"/>
      <c r="BA112" s="150">
        <f>AI112*SQRT(AU112/3)</f>
        <v>0.8839040146910051</v>
      </c>
      <c r="BB112" s="150">
        <f>AI112*Npri_sec1*SQRT((1-AU112)/3)*(Pout/Pout_total)</f>
        <v>3.247588553917113</v>
      </c>
      <c r="BC112" s="150">
        <f>AI112*Npri_sec2*SQRT((1-AU112)/3)*(Pout2/Pout_total)</f>
        <v>0.65189094857282337</v>
      </c>
      <c r="BD112" s="150"/>
      <c r="BE112" s="456">
        <f>Rdson*BA112^2</f>
        <v>9.3754356862425191E-3</v>
      </c>
      <c r="BF112" s="456">
        <f t="shared" si="348"/>
        <v>0.24996443528704532</v>
      </c>
      <c r="BG112" s="456">
        <f>Qg*Vdd*AM112*1000</f>
        <v>5.1284451937980867E-3</v>
      </c>
      <c r="BH112" s="456">
        <f>0.5*(Coss+Csw)*L112^2*AM112*1000</f>
        <v>5.9268108971552262E-2</v>
      </c>
      <c r="BI112">
        <f>J112*IQ</f>
        <v>8.9580802716713714E-3</v>
      </c>
      <c r="BJ112" s="144">
        <f>(BG112+BI112)*1000</f>
        <v>14.086525465469457</v>
      </c>
      <c r="BK112">
        <f t="shared" si="352"/>
        <v>0.32185631584192392</v>
      </c>
      <c r="BL112" s="144">
        <f>SUM(BE112:BI112)*1000</f>
        <v>332.69450541030955</v>
      </c>
      <c r="BM112" s="150">
        <f t="shared" si="353"/>
        <v>8.0471999999999988E-2</v>
      </c>
      <c r="BN112" s="150">
        <f t="shared" si="354"/>
        <v>1.7100299999999999E-2</v>
      </c>
      <c r="BO112" s="456"/>
      <c r="BQ112" s="144">
        <f>SUM(BM112:BP112)*1000</f>
        <v>97.572299999999984</v>
      </c>
      <c r="BR112" s="456">
        <f>Rdcr_pri*BA112^2</f>
        <v>1.0938008300616272E-2</v>
      </c>
      <c r="BS112" s="456">
        <f>Rdcr_sec*BB112^2</f>
        <v>0.14765563981746824</v>
      </c>
      <c r="BT112" s="456">
        <f>Rdcr_sec2*BC112^2</f>
        <v>2.1248090441558774E-3</v>
      </c>
      <c r="BU112" s="456">
        <f>AI112^2.5*AM112^2.5*k_core</f>
        <v>6.0045413464428356E-2</v>
      </c>
      <c r="BV112" s="456"/>
      <c r="BW112" s="538">
        <f>0.5*Lleak*0.000000001*AI112^2*AM112*1000</f>
        <v>0.16380229788152151</v>
      </c>
      <c r="BX112" s="144">
        <f>SUM(BR112:BW112)*1000</f>
        <v>384.56616850819023</v>
      </c>
      <c r="BY112" s="150">
        <f>SUM(BE112:BI112,BM112:BP112,BR112:BW112)</f>
        <v>0.81483297391849985</v>
      </c>
      <c r="BZ112" s="5">
        <f>MIN(H112+I112,O112+P112)</f>
        <v>3.7529999999999997</v>
      </c>
      <c r="CA112" s="150">
        <f>BZ112/(BZ112+BY112)</f>
        <v>0.82161498054525006</v>
      </c>
      <c r="CB112" s="5">
        <f>CA112*100</f>
        <v>82.161498054525012</v>
      </c>
      <c r="CC112">
        <f>F112/Iout*100</f>
        <v>3</v>
      </c>
      <c r="CE112" s="59">
        <f>IF(ABS(F112-Ioutmax_Vinmin)&lt;Iout/200, AM112, -50)</f>
        <v>-50</v>
      </c>
      <c r="CF112">
        <f>IF(ABS(F112-Ioutmax_Vinmin)&lt;Iout/200, (O112+P112)*CA112, -50)</f>
        <v>-50</v>
      </c>
      <c r="CG112" s="150">
        <f>MIN(SQRT(2*DT112*1000*Ls1_*(CL112+CJ112*Vfwd1))/(CW112+Vfwd1), 1-DY112)</f>
        <v>4.0631758045180683E-2</v>
      </c>
      <c r="CH112" s="150">
        <f t="shared" si="370"/>
        <v>8.5763041714390208E-3</v>
      </c>
      <c r="CI112" s="147">
        <v>3</v>
      </c>
      <c r="CJ112" s="188">
        <f>IF(PLOT_TYPE=1, CI112/100*Iout_max, min_I*EXP(CS112*rr/100))</f>
        <v>0.12</v>
      </c>
      <c r="CK112" s="188">
        <f>IF(PLOT_TYPE=1, CI112/100*Iout2, min_I*EXP(CU112*rr/100))</f>
        <v>2.5499999999999998E-2</v>
      </c>
      <c r="CL112" s="188">
        <f>CJ112*Vout</f>
        <v>3.5999999999999996</v>
      </c>
      <c r="CM112" s="188">
        <f>Vout2*CK112</f>
        <v>0.153</v>
      </c>
      <c r="CN112" s="465">
        <f t="shared" si="374"/>
        <v>20</v>
      </c>
      <c r="CO112" s="379">
        <f t="shared" si="375"/>
        <v>30.7</v>
      </c>
      <c r="CP112" s="379">
        <f t="shared" si="376"/>
        <v>50.7</v>
      </c>
      <c r="CQ112" s="379"/>
      <c r="CR112" s="188">
        <f>(Vout+Vfwd1)*Nps/((Vout+Vfwd1)*Nps+CN112)</f>
        <v>0.60317460317460314</v>
      </c>
      <c r="CS112" s="149">
        <f>CR112*CN112*Isw_max*0.5*Efficiency*Pout/(Pout+Pout2)</f>
        <v>175.32871249897633</v>
      </c>
      <c r="CT112" s="149">
        <f>CR112*CN112*Isw_max*0.5*Efficiency*(Pout2/Pout_total)</f>
        <v>7.4514702812064924</v>
      </c>
      <c r="CU112" s="188">
        <f>CS112/Vout</f>
        <v>5.8442904166325444</v>
      </c>
      <c r="CV112" s="188">
        <f>CS112/Vout2</f>
        <v>29.22145208316272</v>
      </c>
      <c r="CW112" s="188">
        <f>MIN(Vout,CS112/CJ112)</f>
        <v>30</v>
      </c>
      <c r="CX112" s="188">
        <f>MIN(2*(Vout*CJ112+Vout2*CK112)/(Efficiency*CN112*CR112), Isw_max)</f>
        <v>0.62220789473684202</v>
      </c>
      <c r="CY112" s="188">
        <f>L*CX112/CN112*1000000</f>
        <v>0.14621885526315787</v>
      </c>
      <c r="CZ112" s="188">
        <f>L*CX112/CO112*1000000</f>
        <v>9.5256583233327599E-2</v>
      </c>
      <c r="DA112" s="172">
        <f>IF(1/((350000*L)*(1/CN112+1/CO112))&gt;Isw_min, 350, 0.001/((Isw_min*L)*(1/CN112+1/CO112)))</f>
        <v>350</v>
      </c>
      <c r="DB112" s="379">
        <f>MIN(1/(CY112+CZ112)*1000, 350)</f>
        <v>350</v>
      </c>
      <c r="DD112" s="188">
        <f>1/((DA112*1000*L)*(1/CN112+1/CO112))</f>
        <v>7.3619779020761014</v>
      </c>
      <c r="DE112" s="150">
        <f>L*DD112/CO112*1000000</f>
        <v>1.1270780501549733</v>
      </c>
      <c r="DF112" s="150">
        <f>0.5*DE112*DD112*Nps*DA112/1000*(Pout/(Pout+Pout2))</f>
        <v>1.3928696857096292</v>
      </c>
      <c r="DG112" s="150"/>
      <c r="DH112" s="150">
        <f>L*Isw_min/CO112*1000000</f>
        <v>0.92784522751949461</v>
      </c>
      <c r="DI112" s="314">
        <f>MAX(10, CJ112/(0.5*DH112/1000000*Isw_min*Nps)/1000*Pout_total/Pout)</f>
        <v>44.493412021276598</v>
      </c>
      <c r="DJ112" s="456">
        <f>0.5*DH112/1000000*Isw_min*Nps*DA112*1000*(Pout/Pout_total)</f>
        <v>0.94395997276890675</v>
      </c>
      <c r="DL112" s="150">
        <f>SQRT((CL112+CM112)/(0.5*L*Fsw_DCM))</f>
        <v>2.1360987648352543</v>
      </c>
      <c r="DM112" s="150">
        <f>MAX(IF(CJ112&gt;DF112,CX112,DL112),Isw_min)</f>
        <v>6.0606060606060606</v>
      </c>
      <c r="DN112" s="150">
        <f>IF(CJ112&gt;DJ112, (DM112-Isw_min)/1.08*0.8+1.2, DI112*0.2/350+1)</f>
        <v>1.0254248068693008</v>
      </c>
      <c r="DP112" s="314">
        <f>CJ112*1000</f>
        <v>120</v>
      </c>
      <c r="DQ112" s="144">
        <f>IF(CJ112&gt;DJ112, DB112, DI112)</f>
        <v>44.493412021276598</v>
      </c>
      <c r="DS112" s="144">
        <f>IF(CL112&gt;CS112, "",DP112)</f>
        <v>120</v>
      </c>
      <c r="DT112" s="144">
        <f>IF(CL112&gt;CS112, "",DQ112)</f>
        <v>44.493412021276598</v>
      </c>
      <c r="DV112" s="5">
        <f>1/DQ112*1000</f>
        <v>22.475237446878729</v>
      </c>
      <c r="DW112" s="5">
        <f>L*DM112/CN112*1000000</f>
        <v>1.4242424242424243</v>
      </c>
      <c r="DX112" s="5">
        <f>DV112-DW112</f>
        <v>21.050995022636304</v>
      </c>
      <c r="DY112" s="150">
        <f>DW112/DV112</f>
        <v>6.3369405000000004E-2</v>
      </c>
      <c r="EA112" s="5">
        <f>CJ112*DW112/Vout_ripple*1000</f>
        <v>0.5696969696969697</v>
      </c>
      <c r="EB112" s="5">
        <f>CK112*DW112/Vout_ripple2*1000</f>
        <v>0.60530303030303034</v>
      </c>
      <c r="EC112" s="5">
        <f>CL112/Efficiency/CN112*DX112/Vinripple1</f>
        <v>2.2289288847497262</v>
      </c>
      <c r="ED112" s="5"/>
      <c r="EE112" s="150">
        <f>DM112*SQRT(DY112/3)</f>
        <v>0.8808363793989934</v>
      </c>
      <c r="EF112" s="150">
        <f>DM112*Npri_sec1*SQRT((1-DY112)/3)*(Pout/Pout_total)</f>
        <v>3.248355368136759</v>
      </c>
      <c r="EG112" s="150">
        <f>DM112*Npri_sec2*SQRT((1-DY112)/3)*(Pout2/Pout_total)</f>
        <v>0.65204487178099013</v>
      </c>
      <c r="EH112" s="150"/>
      <c r="EI112" s="456">
        <f>Rdson*EE112^2</f>
        <v>9.3104727272727301E-3</v>
      </c>
      <c r="EJ112" s="456">
        <f>0.5*CP112*DM112*DQ112*1000*Trise</f>
        <v>0.25976062909148945</v>
      </c>
      <c r="EK112" s="456">
        <f>Qg*Vdd*DQ112*1000</f>
        <v>5.1167423824468091E-3</v>
      </c>
      <c r="EL112" s="456">
        <f>0.5*(Coss+Csw)*CP112^2*DQ112*1000</f>
        <v>5.9186408069950645E-2</v>
      </c>
      <c r="EM112">
        <f>CN112*IQ</f>
        <v>8.9999999999999993E-3</v>
      </c>
      <c r="EN112" s="144">
        <f>(EK112+EM112)*1000</f>
        <v>14.116742382446809</v>
      </c>
      <c r="EP112" s="144">
        <f>SUM(EI112:EM112)*1000</f>
        <v>342.37425227115966</v>
      </c>
      <c r="EQ112" s="150">
        <f>Vfwd2*CJ112</f>
        <v>8.3999999999999991E-2</v>
      </c>
      <c r="ER112" s="150">
        <f t="shared" si="418"/>
        <v>1.2214499999999998E-2</v>
      </c>
      <c r="ES112" s="456"/>
      <c r="EU112" s="144">
        <f>SUM(EQ112:ET112)*1000</f>
        <v>96.214500000000001</v>
      </c>
      <c r="EV112" s="456">
        <f>Rdcr_pri*EE112^2</f>
        <v>1.0862218181818185E-2</v>
      </c>
      <c r="EW112" s="456">
        <f>Rdcr_sec*EF112^2</f>
        <v>0.14772537636784058</v>
      </c>
      <c r="EX112" s="456">
        <f>Rdcr_sec2*EG112^2</f>
        <v>2.1258125740794393E-3</v>
      </c>
      <c r="EY112" s="456">
        <f>DM112^2.5*DQ112^2.5*k_core</f>
        <v>5.9703449215573814E-2</v>
      </c>
      <c r="EZ112" s="456"/>
      <c r="FA112" s="538">
        <f>0.5*Lleak*0.000000001*DM112^2*DQ112*1000</f>
        <v>0.16342851063829789</v>
      </c>
      <c r="FB112" s="144">
        <f>SUM(EV112:FA112)*1000</f>
        <v>383.8453669776099</v>
      </c>
      <c r="FC112" s="150">
        <f>SUM(EI112:EM112,EQ112:ET112,EV112:FA112)</f>
        <v>0.82243411924876952</v>
      </c>
      <c r="FD112" s="5">
        <f>MIN(CL112+CM112,CS112+CT112)</f>
        <v>3.7529999999999997</v>
      </c>
      <c r="FE112" s="150">
        <f>FD112/(FD112+FC112)</f>
        <v>0.82025003577500888</v>
      </c>
      <c r="FF112" s="5">
        <f>FE112*100</f>
        <v>82.025003577500883</v>
      </c>
      <c r="FG112">
        <f>CJ112/Iout*100</f>
        <v>3</v>
      </c>
      <c r="FI112" s="59">
        <f>IF(ABS(CJ112-Ioutmax_Vinmin)&lt;Iout/200, DQ112, -50)</f>
        <v>-50</v>
      </c>
      <c r="FJ112">
        <f>IF(ABS(CJ112-Ioutmax_Vinmin)&lt;Iout/200, (CS112+CT112)*FE112, -50)</f>
        <v>-50</v>
      </c>
    </row>
    <row r="113" spans="5:166">
      <c r="E113" s="147">
        <v>3</v>
      </c>
      <c r="F113" s="188">
        <f t="shared" si="433"/>
        <v>0.12</v>
      </c>
      <c r="G113" s="188">
        <f t="shared" si="312"/>
        <v>2.5499999999999998E-2</v>
      </c>
      <c r="H113" s="188">
        <f t="shared" si="313"/>
        <v>3.5999999999999996</v>
      </c>
      <c r="I113" s="188">
        <f t="shared" si="314"/>
        <v>0.153</v>
      </c>
      <c r="J113" s="465">
        <f t="shared" si="315"/>
        <v>19.906845048158605</v>
      </c>
      <c r="K113" s="379">
        <f t="shared" si="316"/>
        <v>30.770215829062796</v>
      </c>
      <c r="L113" s="149">
        <f t="shared" si="317"/>
        <v>50.6770608772214</v>
      </c>
      <c r="M113" s="379"/>
      <c r="N113" s="188">
        <f t="shared" si="318"/>
        <v>0.60718232858081078</v>
      </c>
      <c r="O113" s="149">
        <f t="shared" si="319"/>
        <v>175.67160135220297</v>
      </c>
      <c r="P113" s="149">
        <f t="shared" si="320"/>
        <v>7.4660430574686245</v>
      </c>
      <c r="Q113" s="188">
        <f t="shared" si="321"/>
        <v>5.8557200450734319</v>
      </c>
      <c r="R113" s="188">
        <f t="shared" si="322"/>
        <v>29.27860022536716</v>
      </c>
      <c r="S113" s="188">
        <f t="shared" si="323"/>
        <v>30</v>
      </c>
      <c r="T113" s="188">
        <f t="shared" si="324"/>
        <v>0.62099342324655749</v>
      </c>
      <c r="U113" s="188">
        <f t="shared" si="325"/>
        <v>0.14661635644412668</v>
      </c>
      <c r="V113" s="188">
        <f t="shared" si="326"/>
        <v>9.4853708712114584E-2</v>
      </c>
      <c r="W113" s="172">
        <f t="shared" si="327"/>
        <v>350</v>
      </c>
      <c r="X113" s="379">
        <f t="shared" si="434"/>
        <v>350</v>
      </c>
      <c r="Z113" s="188">
        <f t="shared" si="328"/>
        <v>7.3477717513910772</v>
      </c>
      <c r="AA113" s="150">
        <f t="shared" si="329"/>
        <v>1.1223362040548261</v>
      </c>
      <c r="AB113" s="150">
        <f t="shared" si="330"/>
        <v>1.3843331364513862</v>
      </c>
      <c r="AC113" s="150"/>
      <c r="AD113" s="150">
        <f t="shared" si="331"/>
        <v>0.92572793909180973</v>
      </c>
      <c r="AE113" s="314">
        <f t="shared" si="332"/>
        <v>44.595175598244232</v>
      </c>
      <c r="AF113" s="456">
        <f t="shared" si="333"/>
        <v>0.94180591143705672</v>
      </c>
      <c r="AH113" s="150">
        <f t="shared" si="334"/>
        <v>2.1360987648352543</v>
      </c>
      <c r="AI113" s="150">
        <f t="shared" si="335"/>
        <v>6.0606060606060606</v>
      </c>
      <c r="AJ113" s="150">
        <f t="shared" si="336"/>
        <v>1.0254829574847111</v>
      </c>
      <c r="AL113" s="314">
        <f t="shared" si="337"/>
        <v>120</v>
      </c>
      <c r="AM113" s="144">
        <f t="shared" si="338"/>
        <v>44.595175598244232</v>
      </c>
      <c r="AO113" s="144">
        <f t="shared" si="339"/>
        <v>120</v>
      </c>
      <c r="AP113" s="144">
        <f t="shared" si="340"/>
        <v>44.595175598244232</v>
      </c>
      <c r="AR113" s="5">
        <f t="shared" si="274"/>
        <v>22.423950272310872</v>
      </c>
      <c r="AS113" s="5">
        <f>L*AI113/J113*1000000</f>
        <v>1.4309072289425064</v>
      </c>
      <c r="AT113" s="5">
        <f>AR113-AS113</f>
        <v>20.993043043368367</v>
      </c>
      <c r="AU113" s="150">
        <f>AS113/AR113</f>
        <v>6.3811559139488147E-2</v>
      </c>
      <c r="AW113" s="5">
        <f t="shared" si="341"/>
        <v>0.57236289157700249</v>
      </c>
      <c r="AX113" s="5">
        <f t="shared" si="342"/>
        <v>0.60813557230056525</v>
      </c>
      <c r="AY113" s="5">
        <f t="shared" si="343"/>
        <v>2.2331944488941988</v>
      </c>
      <c r="AZ113" s="5"/>
      <c r="BA113" s="150">
        <f t="shared" si="344"/>
        <v>0.8839040146910051</v>
      </c>
      <c r="BB113" s="150">
        <f t="shared" si="345"/>
        <v>3.247588553917113</v>
      </c>
      <c r="BC113" s="150">
        <f t="shared" si="346"/>
        <v>0.65189094857282337</v>
      </c>
      <c r="BD113" s="150"/>
      <c r="BE113" s="456">
        <f t="shared" si="347"/>
        <v>9.3754356862425191E-3</v>
      </c>
      <c r="BF113" s="456">
        <f t="shared" si="348"/>
        <v>0.24996443528704532</v>
      </c>
      <c r="BG113" s="456">
        <f t="shared" si="349"/>
        <v>5.1284451937980867E-3</v>
      </c>
      <c r="BH113" s="456">
        <f t="shared" si="350"/>
        <v>5.9268108971552262E-2</v>
      </c>
      <c r="BI113">
        <f t="shared" si="351"/>
        <v>8.9580802716713714E-3</v>
      </c>
      <c r="BJ113" s="144">
        <f t="shared" si="435"/>
        <v>14.086525465469457</v>
      </c>
      <c r="BK113">
        <f t="shared" si="352"/>
        <v>0.32185631584192392</v>
      </c>
      <c r="BL113" s="144">
        <f t="shared" si="436"/>
        <v>332.69450541030955</v>
      </c>
      <c r="BM113" s="150">
        <f t="shared" si="353"/>
        <v>8.0471999999999988E-2</v>
      </c>
      <c r="BN113" s="150">
        <f t="shared" si="354"/>
        <v>1.7100299999999999E-2</v>
      </c>
      <c r="BO113" s="456"/>
      <c r="BQ113" s="144">
        <f t="shared" si="355"/>
        <v>97.572299999999984</v>
      </c>
      <c r="BR113" s="456">
        <f t="shared" si="356"/>
        <v>1.0938008300616272E-2</v>
      </c>
      <c r="BS113" s="456">
        <f t="shared" si="357"/>
        <v>0.14765563981746824</v>
      </c>
      <c r="BT113" s="456">
        <f t="shared" si="358"/>
        <v>2.1248090441558774E-3</v>
      </c>
      <c r="BU113" s="456">
        <f t="shared" si="359"/>
        <v>6.0045413464428356E-2</v>
      </c>
      <c r="BV113" s="456"/>
      <c r="BW113" s="538">
        <f t="shared" si="360"/>
        <v>0.16380229788152151</v>
      </c>
      <c r="BX113" s="144">
        <f t="shared" si="361"/>
        <v>384.56616850819023</v>
      </c>
      <c r="BY113" s="150">
        <f t="shared" si="362"/>
        <v>0.81483297391849985</v>
      </c>
      <c r="BZ113" s="5">
        <f t="shared" si="363"/>
        <v>3.7529999999999997</v>
      </c>
      <c r="CA113" s="150">
        <f t="shared" si="364"/>
        <v>0.82161498054525006</v>
      </c>
      <c r="CB113" s="5">
        <f t="shared" si="365"/>
        <v>82.161498054525012</v>
      </c>
      <c r="CC113">
        <f t="shared" si="366"/>
        <v>3</v>
      </c>
      <c r="CE113" s="59">
        <f t="shared" si="367"/>
        <v>-50</v>
      </c>
      <c r="CF113">
        <f t="shared" si="368"/>
        <v>-50</v>
      </c>
      <c r="CG113" s="150">
        <f t="shared" si="369"/>
        <v>4.0631758045180683E-2</v>
      </c>
      <c r="CH113" s="150">
        <f t="shared" si="370"/>
        <v>8.5763041714390208E-3</v>
      </c>
      <c r="CI113" s="147">
        <v>3</v>
      </c>
      <c r="CJ113" s="188">
        <f t="shared" si="437"/>
        <v>0.12</v>
      </c>
      <c r="CK113" s="188">
        <f t="shared" si="371"/>
        <v>2.5499999999999998E-2</v>
      </c>
      <c r="CL113" s="188">
        <f t="shared" si="372"/>
        <v>3.5999999999999996</v>
      </c>
      <c r="CM113" s="188">
        <f t="shared" si="373"/>
        <v>0.153</v>
      </c>
      <c r="CN113" s="465">
        <f t="shared" si="374"/>
        <v>20</v>
      </c>
      <c r="CO113" s="379">
        <f t="shared" si="375"/>
        <v>30.7</v>
      </c>
      <c r="CP113" s="379">
        <f t="shared" si="376"/>
        <v>50.7</v>
      </c>
      <c r="CQ113" s="379"/>
      <c r="CR113" s="188">
        <f t="shared" si="377"/>
        <v>0.60317460317460314</v>
      </c>
      <c r="CS113" s="149">
        <f t="shared" si="378"/>
        <v>175.32871249897633</v>
      </c>
      <c r="CT113" s="149">
        <f t="shared" si="379"/>
        <v>7.4514702812064924</v>
      </c>
      <c r="CU113" s="188">
        <f t="shared" si="380"/>
        <v>5.8442904166325444</v>
      </c>
      <c r="CV113" s="188">
        <f t="shared" si="381"/>
        <v>29.22145208316272</v>
      </c>
      <c r="CW113" s="188">
        <f t="shared" si="382"/>
        <v>30</v>
      </c>
      <c r="CX113" s="188">
        <f t="shared" si="383"/>
        <v>0.62220789473684202</v>
      </c>
      <c r="CY113" s="188">
        <f t="shared" si="384"/>
        <v>0.14621885526315787</v>
      </c>
      <c r="CZ113" s="188">
        <f t="shared" si="385"/>
        <v>9.5256583233327599E-2</v>
      </c>
      <c r="DA113" s="172">
        <f t="shared" si="386"/>
        <v>350</v>
      </c>
      <c r="DB113" s="379">
        <f t="shared" si="387"/>
        <v>350</v>
      </c>
      <c r="DD113" s="188">
        <f t="shared" si="388"/>
        <v>7.3619779020761014</v>
      </c>
      <c r="DE113" s="150">
        <f t="shared" si="389"/>
        <v>1.1270780501549733</v>
      </c>
      <c r="DF113" s="150">
        <f t="shared" si="390"/>
        <v>1.3928696857096292</v>
      </c>
      <c r="DG113" s="150"/>
      <c r="DH113" s="150">
        <f t="shared" si="391"/>
        <v>0.92784522751949461</v>
      </c>
      <c r="DI113" s="314">
        <f t="shared" si="392"/>
        <v>44.493412021276598</v>
      </c>
      <c r="DJ113" s="456">
        <f t="shared" si="393"/>
        <v>0.94395997276890675</v>
      </c>
      <c r="DL113" s="150">
        <f t="shared" si="394"/>
        <v>2.1360987648352543</v>
      </c>
      <c r="DM113" s="150">
        <f t="shared" si="395"/>
        <v>6.0606060606060606</v>
      </c>
      <c r="DN113" s="150">
        <f t="shared" si="396"/>
        <v>1.0254248068693008</v>
      </c>
      <c r="DP113" s="314">
        <f t="shared" si="397"/>
        <v>120</v>
      </c>
      <c r="DQ113" s="144">
        <f t="shared" si="398"/>
        <v>44.493412021276598</v>
      </c>
      <c r="DS113" s="144">
        <f t="shared" si="399"/>
        <v>120</v>
      </c>
      <c r="DT113" s="144">
        <f t="shared" si="400"/>
        <v>44.493412021276598</v>
      </c>
      <c r="DV113" s="5">
        <f t="shared" si="401"/>
        <v>22.475237446878729</v>
      </c>
      <c r="DW113" s="5">
        <f t="shared" si="402"/>
        <v>1.4242424242424243</v>
      </c>
      <c r="DX113" s="5">
        <f t="shared" si="403"/>
        <v>21.050995022636304</v>
      </c>
      <c r="DY113" s="150">
        <f t="shared" si="404"/>
        <v>6.3369405000000004E-2</v>
      </c>
      <c r="EA113" s="5">
        <f t="shared" si="405"/>
        <v>0.5696969696969697</v>
      </c>
      <c r="EB113" s="5">
        <f t="shared" si="406"/>
        <v>0.60530303030303034</v>
      </c>
      <c r="EC113" s="5">
        <f t="shared" si="407"/>
        <v>2.2289288847497262</v>
      </c>
      <c r="ED113" s="5"/>
      <c r="EE113" s="150">
        <f t="shared" si="408"/>
        <v>0.8808363793989934</v>
      </c>
      <c r="EF113" s="150">
        <f t="shared" si="409"/>
        <v>3.248355368136759</v>
      </c>
      <c r="EG113" s="150">
        <f t="shared" si="410"/>
        <v>0.65204487178099013</v>
      </c>
      <c r="EH113" s="150"/>
      <c r="EI113" s="456">
        <f t="shared" si="411"/>
        <v>9.3104727272727301E-3</v>
      </c>
      <c r="EJ113" s="456">
        <f t="shared" si="412"/>
        <v>0.25976062909148945</v>
      </c>
      <c r="EK113" s="456">
        <f t="shared" si="413"/>
        <v>5.1167423824468091E-3</v>
      </c>
      <c r="EL113" s="456">
        <f t="shared" si="414"/>
        <v>5.9186408069950645E-2</v>
      </c>
      <c r="EM113">
        <f t="shared" si="415"/>
        <v>8.9999999999999993E-3</v>
      </c>
      <c r="EN113" s="144">
        <f t="shared" si="416"/>
        <v>14.116742382446809</v>
      </c>
      <c r="EP113" s="144">
        <f t="shared" si="438"/>
        <v>342.37425227115966</v>
      </c>
      <c r="EQ113" s="150">
        <f t="shared" si="417"/>
        <v>8.3999999999999991E-2</v>
      </c>
      <c r="ER113" s="150">
        <f t="shared" si="418"/>
        <v>1.2214499999999998E-2</v>
      </c>
      <c r="ES113" s="456"/>
      <c r="EU113" s="144">
        <f t="shared" si="419"/>
        <v>96.214500000000001</v>
      </c>
      <c r="EV113" s="456">
        <f t="shared" si="420"/>
        <v>1.0862218181818185E-2</v>
      </c>
      <c r="EW113" s="456">
        <f t="shared" si="421"/>
        <v>0.14772537636784058</v>
      </c>
      <c r="EX113" s="456">
        <f t="shared" si="422"/>
        <v>2.1258125740794393E-3</v>
      </c>
      <c r="EY113" s="456">
        <f t="shared" si="423"/>
        <v>5.9703449215573814E-2</v>
      </c>
      <c r="EZ113" s="456"/>
      <c r="FA113" s="538">
        <f t="shared" si="424"/>
        <v>0.16342851063829789</v>
      </c>
      <c r="FB113" s="144">
        <f t="shared" si="425"/>
        <v>383.8453669776099</v>
      </c>
      <c r="FC113" s="150">
        <f t="shared" si="426"/>
        <v>0.82243411924876952</v>
      </c>
      <c r="FD113" s="5">
        <f t="shared" si="427"/>
        <v>3.7529999999999997</v>
      </c>
      <c r="FE113" s="150">
        <f t="shared" si="428"/>
        <v>0.82025003577500888</v>
      </c>
      <c r="FF113" s="5">
        <f t="shared" si="429"/>
        <v>82.025003577500883</v>
      </c>
      <c r="FG113">
        <f t="shared" si="430"/>
        <v>3</v>
      </c>
      <c r="FI113" s="59">
        <f t="shared" si="431"/>
        <v>-50</v>
      </c>
      <c r="FJ113">
        <f t="shared" si="432"/>
        <v>-50</v>
      </c>
    </row>
    <row r="114" spans="5:166">
      <c r="E114" s="147">
        <v>4</v>
      </c>
      <c r="F114" s="188">
        <f t="shared" si="433"/>
        <v>0.16</v>
      </c>
      <c r="G114" s="188">
        <f t="shared" si="312"/>
        <v>3.4000000000000002E-2</v>
      </c>
      <c r="H114" s="188">
        <f t="shared" si="313"/>
        <v>4.8</v>
      </c>
      <c r="I114" s="188">
        <f t="shared" si="314"/>
        <v>0.20400000000000001</v>
      </c>
      <c r="J114" s="465">
        <f t="shared" si="315"/>
        <v>19.906845048158605</v>
      </c>
      <c r="K114" s="379">
        <f t="shared" si="316"/>
        <v>30.770215829062796</v>
      </c>
      <c r="L114" s="149">
        <f t="shared" si="317"/>
        <v>50.6770608772214</v>
      </c>
      <c r="M114" s="379"/>
      <c r="N114" s="188">
        <f t="shared" si="318"/>
        <v>0.60718232858081078</v>
      </c>
      <c r="O114" s="149">
        <f t="shared" si="319"/>
        <v>175.67160135220297</v>
      </c>
      <c r="P114" s="149">
        <f t="shared" si="320"/>
        <v>7.4660430574686245</v>
      </c>
      <c r="Q114" s="188">
        <f t="shared" si="321"/>
        <v>5.8557200450734319</v>
      </c>
      <c r="R114" s="188">
        <f t="shared" si="322"/>
        <v>29.27860022536716</v>
      </c>
      <c r="S114" s="188">
        <f t="shared" si="323"/>
        <v>30</v>
      </c>
      <c r="T114" s="188">
        <f t="shared" si="324"/>
        <v>0.82799123099540994</v>
      </c>
      <c r="U114" s="188">
        <f t="shared" si="325"/>
        <v>0.19548847525883556</v>
      </c>
      <c r="V114" s="188">
        <f t="shared" si="326"/>
        <v>0.12647161161615281</v>
      </c>
      <c r="W114" s="172">
        <f t="shared" si="327"/>
        <v>350</v>
      </c>
      <c r="X114" s="379">
        <f t="shared" si="434"/>
        <v>350</v>
      </c>
      <c r="Z114" s="188">
        <f t="shared" si="328"/>
        <v>7.3477717513910772</v>
      </c>
      <c r="AA114" s="150">
        <f t="shared" si="329"/>
        <v>1.1223362040548261</v>
      </c>
      <c r="AB114" s="150">
        <f t="shared" si="330"/>
        <v>1.3843331364513862</v>
      </c>
      <c r="AC114" s="150"/>
      <c r="AD114" s="150">
        <f t="shared" si="331"/>
        <v>0.92572793909180973</v>
      </c>
      <c r="AE114" s="314">
        <f t="shared" si="332"/>
        <v>59.460234130992305</v>
      </c>
      <c r="AF114" s="456">
        <f t="shared" si="333"/>
        <v>0.94180591143705672</v>
      </c>
      <c r="AH114" s="150">
        <f t="shared" si="334"/>
        <v>2.4665543937865224</v>
      </c>
      <c r="AI114" s="150">
        <f t="shared" si="335"/>
        <v>6.0606060606060606</v>
      </c>
      <c r="AJ114" s="150">
        <f t="shared" si="336"/>
        <v>1.0339772766462814</v>
      </c>
      <c r="AL114" s="314">
        <f t="shared" si="337"/>
        <v>160</v>
      </c>
      <c r="AM114" s="144">
        <f t="shared" si="338"/>
        <v>59.460234130992305</v>
      </c>
      <c r="AO114" s="144">
        <f t="shared" si="339"/>
        <v>160</v>
      </c>
      <c r="AP114" s="144">
        <f t="shared" si="340"/>
        <v>59.460234130992305</v>
      </c>
      <c r="AR114" s="5">
        <f t="shared" si="274"/>
        <v>16.817962704233157</v>
      </c>
      <c r="AS114" s="5">
        <f>L*AI114/J114*1000000</f>
        <v>1.4309072289425064</v>
      </c>
      <c r="AT114" s="5">
        <f>AR114-AS114</f>
        <v>15.38705547529065</v>
      </c>
      <c r="AU114" s="150">
        <f>AS114/AR114</f>
        <v>8.5082078852650844E-2</v>
      </c>
      <c r="AW114" s="5">
        <f t="shared" si="341"/>
        <v>0.76315052210267009</v>
      </c>
      <c r="AX114" s="5">
        <f t="shared" si="342"/>
        <v>0.81084742973408708</v>
      </c>
      <c r="AY114" s="5">
        <f t="shared" si="343"/>
        <v>2.1824555116511073</v>
      </c>
      <c r="AZ114" s="5"/>
      <c r="BA114" s="150">
        <f t="shared" si="344"/>
        <v>1.0206444416392855</v>
      </c>
      <c r="BB114" s="150">
        <f t="shared" si="345"/>
        <v>3.2104834245765823</v>
      </c>
      <c r="BC114" s="150">
        <f t="shared" si="346"/>
        <v>0.64444280741789162</v>
      </c>
      <c r="BD114" s="150"/>
      <c r="BE114" s="456">
        <f t="shared" si="347"/>
        <v>1.2500580914990025E-2</v>
      </c>
      <c r="BF114" s="456">
        <f t="shared" si="348"/>
        <v>0.33328591371606042</v>
      </c>
      <c r="BG114" s="456">
        <f t="shared" si="349"/>
        <v>6.8379269250641158E-3</v>
      </c>
      <c r="BH114" s="456">
        <f t="shared" si="350"/>
        <v>7.9024145295403012E-2</v>
      </c>
      <c r="BI114">
        <f t="shared" si="351"/>
        <v>8.9580802716713714E-3</v>
      </c>
      <c r="BJ114" s="144">
        <f t="shared" si="435"/>
        <v>15.796007196735486</v>
      </c>
      <c r="BK114">
        <f t="shared" si="352"/>
        <v>0.42946135627822324</v>
      </c>
      <c r="BL114" s="144">
        <f t="shared" si="436"/>
        <v>440.60664712318896</v>
      </c>
      <c r="BM114" s="150">
        <f t="shared" si="353"/>
        <v>0.10729599999999999</v>
      </c>
      <c r="BN114" s="150">
        <f t="shared" si="354"/>
        <v>2.2800400000000002E-2</v>
      </c>
      <c r="BO114" s="456"/>
      <c r="BQ114" s="144">
        <f t="shared" si="355"/>
        <v>130.09639999999999</v>
      </c>
      <c r="BR114" s="456">
        <f t="shared" si="356"/>
        <v>1.4584011067488363E-2</v>
      </c>
      <c r="BS114" s="456">
        <f t="shared" si="357"/>
        <v>0.14430085347273372</v>
      </c>
      <c r="BT114" s="456">
        <f t="shared" si="358"/>
        <v>2.0765326601632685E-3</v>
      </c>
      <c r="BU114" s="456">
        <f t="shared" si="359"/>
        <v>0.12326128223036488</v>
      </c>
      <c r="BV114" s="456"/>
      <c r="BW114" s="538">
        <f t="shared" si="360"/>
        <v>0.21840306384202868</v>
      </c>
      <c r="BX114" s="144">
        <f t="shared" si="361"/>
        <v>502.625743272779</v>
      </c>
      <c r="BY114" s="150">
        <f t="shared" si="362"/>
        <v>1.0733287903959678</v>
      </c>
      <c r="BZ114" s="5">
        <f t="shared" si="363"/>
        <v>5.0039999999999996</v>
      </c>
      <c r="CA114" s="150">
        <f t="shared" si="364"/>
        <v>0.82338806613653115</v>
      </c>
      <c r="CB114" s="5">
        <f t="shared" si="365"/>
        <v>82.338806613653119</v>
      </c>
      <c r="CC114">
        <f t="shared" si="366"/>
        <v>4</v>
      </c>
      <c r="CE114" s="59">
        <f t="shared" si="367"/>
        <v>-50</v>
      </c>
      <c r="CF114">
        <f t="shared" si="368"/>
        <v>-50</v>
      </c>
      <c r="CG114" s="150">
        <f t="shared" si="369"/>
        <v>5.4175677393574255E-2</v>
      </c>
      <c r="CH114" s="150">
        <f t="shared" si="370"/>
        <v>1.1435072228585362E-2</v>
      </c>
      <c r="CI114" s="147">
        <v>4</v>
      </c>
      <c r="CJ114" s="188">
        <f t="shared" si="437"/>
        <v>0.16</v>
      </c>
      <c r="CK114" s="188">
        <f t="shared" si="371"/>
        <v>3.4000000000000002E-2</v>
      </c>
      <c r="CL114" s="188">
        <f t="shared" si="372"/>
        <v>4.8</v>
      </c>
      <c r="CM114" s="188">
        <f t="shared" si="373"/>
        <v>0.20400000000000001</v>
      </c>
      <c r="CN114" s="465">
        <f t="shared" si="374"/>
        <v>20</v>
      </c>
      <c r="CO114" s="379">
        <f t="shared" si="375"/>
        <v>30.7</v>
      </c>
      <c r="CP114" s="379">
        <f t="shared" si="376"/>
        <v>50.7</v>
      </c>
      <c r="CQ114" s="379"/>
      <c r="CR114" s="188">
        <f t="shared" si="377"/>
        <v>0.60317460317460314</v>
      </c>
      <c r="CS114" s="149">
        <f t="shared" si="378"/>
        <v>175.32871249897633</v>
      </c>
      <c r="CT114" s="149">
        <f t="shared" si="379"/>
        <v>7.4514702812064924</v>
      </c>
      <c r="CU114" s="188">
        <f t="shared" si="380"/>
        <v>5.8442904166325444</v>
      </c>
      <c r="CV114" s="188">
        <f t="shared" si="381"/>
        <v>29.22145208316272</v>
      </c>
      <c r="CW114" s="188">
        <f t="shared" si="382"/>
        <v>30</v>
      </c>
      <c r="CX114" s="188">
        <f t="shared" si="383"/>
        <v>0.82961052631578946</v>
      </c>
      <c r="CY114" s="188">
        <f t="shared" si="384"/>
        <v>0.19495847368421054</v>
      </c>
      <c r="CZ114" s="188">
        <f t="shared" si="385"/>
        <v>0.12700877764443683</v>
      </c>
      <c r="DA114" s="172">
        <f t="shared" si="386"/>
        <v>350</v>
      </c>
      <c r="DB114" s="379">
        <f t="shared" si="387"/>
        <v>350</v>
      </c>
      <c r="DD114" s="188">
        <f t="shared" si="388"/>
        <v>7.3619779020761014</v>
      </c>
      <c r="DE114" s="150">
        <f t="shared" si="389"/>
        <v>1.1270780501549733</v>
      </c>
      <c r="DF114" s="150">
        <f t="shared" si="390"/>
        <v>1.3928696857096292</v>
      </c>
      <c r="DG114" s="150"/>
      <c r="DH114" s="150">
        <f t="shared" si="391"/>
        <v>0.92784522751949461</v>
      </c>
      <c r="DI114" s="314">
        <f t="shared" si="392"/>
        <v>59.324549361702132</v>
      </c>
      <c r="DJ114" s="456">
        <f t="shared" si="393"/>
        <v>0.94395997276890675</v>
      </c>
      <c r="DL114" s="150">
        <f t="shared" si="394"/>
        <v>2.4665543937865224</v>
      </c>
      <c r="DM114" s="150">
        <f t="shared" si="395"/>
        <v>6.0606060606060606</v>
      </c>
      <c r="DN114" s="150">
        <f t="shared" si="396"/>
        <v>1.0338997424924012</v>
      </c>
      <c r="DP114" s="314">
        <f t="shared" si="397"/>
        <v>160</v>
      </c>
      <c r="DQ114" s="144">
        <f t="shared" si="398"/>
        <v>59.324549361702132</v>
      </c>
      <c r="DS114" s="144">
        <f t="shared" si="399"/>
        <v>160</v>
      </c>
      <c r="DT114" s="144">
        <f t="shared" si="400"/>
        <v>59.324549361702132</v>
      </c>
      <c r="DV114" s="5">
        <f t="shared" si="401"/>
        <v>16.856428085159045</v>
      </c>
      <c r="DW114" s="5">
        <f t="shared" si="402"/>
        <v>1.4242424242424243</v>
      </c>
      <c r="DX114" s="5">
        <f t="shared" si="403"/>
        <v>15.432185660916621</v>
      </c>
      <c r="DY114" s="150">
        <f t="shared" si="404"/>
        <v>8.4492540000000019E-2</v>
      </c>
      <c r="EA114" s="5">
        <f t="shared" si="405"/>
        <v>0.75959595959595971</v>
      </c>
      <c r="EB114" s="5">
        <f t="shared" si="406"/>
        <v>0.80707070707070727</v>
      </c>
      <c r="EC114" s="5">
        <f t="shared" si="407"/>
        <v>2.1786615050705818</v>
      </c>
      <c r="ED114" s="5"/>
      <c r="EE114" s="150">
        <f t="shared" si="408"/>
        <v>1.0171022415160484</v>
      </c>
      <c r="EF114" s="150">
        <f t="shared" si="409"/>
        <v>3.2115176156619349</v>
      </c>
      <c r="EG114" s="150">
        <f t="shared" si="410"/>
        <v>0.64465040138998597</v>
      </c>
      <c r="EH114" s="150"/>
      <c r="EI114" s="456">
        <f t="shared" si="411"/>
        <v>1.2413963636363642E-2</v>
      </c>
      <c r="EJ114" s="456">
        <f t="shared" si="412"/>
        <v>0.34634750545531923</v>
      </c>
      <c r="EK114" s="456">
        <f t="shared" si="413"/>
        <v>6.8223231765957458E-3</v>
      </c>
      <c r="EL114" s="456">
        <f t="shared" si="414"/>
        <v>7.8915210759934198E-2</v>
      </c>
      <c r="EM114">
        <f t="shared" si="415"/>
        <v>8.9999999999999993E-3</v>
      </c>
      <c r="EN114" s="144">
        <f t="shared" si="416"/>
        <v>15.822323176595745</v>
      </c>
      <c r="EP114" s="144">
        <f t="shared" si="438"/>
        <v>453.49900302821283</v>
      </c>
      <c r="EQ114" s="150">
        <f t="shared" si="417"/>
        <v>0.11199999999999999</v>
      </c>
      <c r="ER114" s="150">
        <f t="shared" si="418"/>
        <v>1.6286000000000002E-2</v>
      </c>
      <c r="ES114" s="456"/>
      <c r="EU114" s="144">
        <f t="shared" si="419"/>
        <v>128.28599999999997</v>
      </c>
      <c r="EV114" s="456">
        <f t="shared" si="420"/>
        <v>1.4482957575757582E-2</v>
      </c>
      <c r="EW114" s="456">
        <f t="shared" si="421"/>
        <v>0.14439383553989688</v>
      </c>
      <c r="EX114" s="456">
        <f t="shared" si="422"/>
        <v>2.0778707000613504E-3</v>
      </c>
      <c r="EY114" s="456">
        <f t="shared" si="423"/>
        <v>0.1225592976930157</v>
      </c>
      <c r="EZ114" s="456"/>
      <c r="FA114" s="538">
        <f t="shared" si="424"/>
        <v>0.21790468085106385</v>
      </c>
      <c r="FB114" s="144">
        <f t="shared" si="425"/>
        <v>501.41864235979529</v>
      </c>
      <c r="FC114" s="150">
        <f t="shared" si="426"/>
        <v>1.0832036453880081</v>
      </c>
      <c r="FD114" s="5">
        <f t="shared" si="427"/>
        <v>5.0039999999999996</v>
      </c>
      <c r="FE114" s="150">
        <f t="shared" si="428"/>
        <v>0.82205233987716164</v>
      </c>
      <c r="FF114" s="5">
        <f t="shared" si="429"/>
        <v>82.20523398771617</v>
      </c>
      <c r="FG114">
        <f t="shared" si="430"/>
        <v>4</v>
      </c>
      <c r="FI114" s="59">
        <f t="shared" si="431"/>
        <v>-50</v>
      </c>
      <c r="FJ114">
        <f t="shared" si="432"/>
        <v>-50</v>
      </c>
    </row>
    <row r="115" spans="5:166">
      <c r="E115" s="147">
        <v>5</v>
      </c>
      <c r="F115" s="188">
        <f t="shared" si="433"/>
        <v>0.2</v>
      </c>
      <c r="G115" s="188">
        <f t="shared" si="312"/>
        <v>4.2500000000000003E-2</v>
      </c>
      <c r="H115" s="188">
        <f t="shared" si="313"/>
        <v>6</v>
      </c>
      <c r="I115" s="188">
        <f t="shared" si="314"/>
        <v>0.255</v>
      </c>
      <c r="J115" s="465">
        <f t="shared" si="315"/>
        <v>19.906845048158605</v>
      </c>
      <c r="K115" s="379">
        <f t="shared" si="316"/>
        <v>30.770215829062796</v>
      </c>
      <c r="L115" s="149">
        <f t="shared" si="317"/>
        <v>50.6770608772214</v>
      </c>
      <c r="M115" s="379"/>
      <c r="N115" s="188">
        <f t="shared" si="318"/>
        <v>0.60718232858081078</v>
      </c>
      <c r="O115" s="149">
        <f t="shared" si="319"/>
        <v>175.67160135220297</v>
      </c>
      <c r="P115" s="149">
        <f t="shared" si="320"/>
        <v>7.4660430574686245</v>
      </c>
      <c r="Q115" s="188">
        <f t="shared" si="321"/>
        <v>5.8557200450734319</v>
      </c>
      <c r="R115" s="188">
        <f t="shared" si="322"/>
        <v>29.27860022536716</v>
      </c>
      <c r="S115" s="188">
        <f t="shared" si="323"/>
        <v>30</v>
      </c>
      <c r="T115" s="188">
        <f t="shared" si="324"/>
        <v>1.0349890387442626</v>
      </c>
      <c r="U115" s="188">
        <f t="shared" si="325"/>
        <v>0.24436059407354452</v>
      </c>
      <c r="V115" s="188">
        <f t="shared" si="326"/>
        <v>0.15808951452019104</v>
      </c>
      <c r="W115" s="172">
        <f t="shared" si="327"/>
        <v>350</v>
      </c>
      <c r="X115" s="379">
        <f t="shared" si="434"/>
        <v>350</v>
      </c>
      <c r="Z115" s="188">
        <f t="shared" si="328"/>
        <v>7.3477717513910772</v>
      </c>
      <c r="AA115" s="150">
        <f t="shared" si="329"/>
        <v>1.1223362040548261</v>
      </c>
      <c r="AB115" s="150">
        <f t="shared" si="330"/>
        <v>1.3843331364513862</v>
      </c>
      <c r="AC115" s="150"/>
      <c r="AD115" s="150">
        <f t="shared" si="331"/>
        <v>0.92572793909180973</v>
      </c>
      <c r="AE115" s="314">
        <f t="shared" si="332"/>
        <v>74.325292663740399</v>
      </c>
      <c r="AF115" s="456">
        <f t="shared" si="333"/>
        <v>0.94180591143705672</v>
      </c>
      <c r="AH115" s="150">
        <f t="shared" si="334"/>
        <v>2.7576916473537243</v>
      </c>
      <c r="AI115" s="150">
        <f t="shared" si="335"/>
        <v>6.0606060606060606</v>
      </c>
      <c r="AJ115" s="150">
        <f t="shared" si="336"/>
        <v>1.0424715958078516</v>
      </c>
      <c r="AL115" s="314">
        <f t="shared" si="337"/>
        <v>200</v>
      </c>
      <c r="AM115" s="144">
        <f t="shared" si="338"/>
        <v>74.325292663740399</v>
      </c>
      <c r="AO115" s="144">
        <f t="shared" si="339"/>
        <v>200</v>
      </c>
      <c r="AP115" s="144">
        <f t="shared" si="340"/>
        <v>74.325292663740399</v>
      </c>
      <c r="AR115" s="5">
        <f t="shared" si="274"/>
        <v>13.454370163386521</v>
      </c>
      <c r="AS115" s="5">
        <f t="shared" ref="AS115:AS178" si="439">L*AI115/J115*1000000</f>
        <v>1.4309072289425064</v>
      </c>
      <c r="AT115" s="5">
        <f t="shared" ref="AT115:AT178" si="440">AR115-AS115</f>
        <v>12.023462934444014</v>
      </c>
      <c r="AU115" s="150">
        <f t="shared" ref="AU115:AU178" si="441">AS115/AR115</f>
        <v>0.10635259856581358</v>
      </c>
      <c r="AW115" s="5">
        <f t="shared" si="341"/>
        <v>0.9539381526283377</v>
      </c>
      <c r="AX115" s="5">
        <f t="shared" si="342"/>
        <v>1.0135592871676087</v>
      </c>
      <c r="AY115" s="5">
        <f t="shared" si="343"/>
        <v>2.1317165744080144</v>
      </c>
      <c r="AZ115" s="5"/>
      <c r="BA115" s="150">
        <f t="shared" si="344"/>
        <v>1.1411151761813796</v>
      </c>
      <c r="BB115" s="150">
        <f t="shared" si="345"/>
        <v>3.1729444091298733</v>
      </c>
      <c r="BC115" s="150">
        <f t="shared" si="346"/>
        <v>0.63690757197110792</v>
      </c>
      <c r="BD115" s="150"/>
      <c r="BE115" s="456">
        <f t="shared" si="347"/>
        <v>1.5625726143737532E-2</v>
      </c>
      <c r="BF115" s="456">
        <f t="shared" si="348"/>
        <v>0.41660739214507558</v>
      </c>
      <c r="BG115" s="456">
        <f t="shared" si="349"/>
        <v>8.5474086563301459E-3</v>
      </c>
      <c r="BH115" s="456">
        <f t="shared" si="350"/>
        <v>9.8780181619253782E-2</v>
      </c>
      <c r="BI115">
        <f t="shared" si="351"/>
        <v>8.9580802716713714E-3</v>
      </c>
      <c r="BJ115" s="144">
        <f t="shared" si="435"/>
        <v>17.505488928001515</v>
      </c>
      <c r="BK115">
        <f t="shared" si="352"/>
        <v>0.53722679312503263</v>
      </c>
      <c r="BL115" s="144">
        <f t="shared" si="436"/>
        <v>548.51878883606832</v>
      </c>
      <c r="BM115" s="150">
        <f t="shared" si="353"/>
        <v>0.13411999999999999</v>
      </c>
      <c r="BN115" s="150">
        <f t="shared" si="354"/>
        <v>2.8500499999999998E-2</v>
      </c>
      <c r="BO115" s="456"/>
      <c r="BQ115" s="144">
        <f t="shared" si="355"/>
        <v>162.62049999999999</v>
      </c>
      <c r="BR115" s="456">
        <f t="shared" si="356"/>
        <v>1.8230013834360452E-2</v>
      </c>
      <c r="BS115" s="456">
        <f t="shared" si="357"/>
        <v>0.14094606712799929</v>
      </c>
      <c r="BT115" s="456">
        <f t="shared" si="358"/>
        <v>2.0282562761706601E-3</v>
      </c>
      <c r="BU115" s="456">
        <f t="shared" si="359"/>
        <v>0.21532859848506455</v>
      </c>
      <c r="BV115" s="456"/>
      <c r="BW115" s="538">
        <f t="shared" si="360"/>
        <v>0.2730038298025359</v>
      </c>
      <c r="BX115" s="144">
        <f t="shared" si="361"/>
        <v>649.53676552613081</v>
      </c>
      <c r="BY115" s="150">
        <f t="shared" si="362"/>
        <v>1.3606760543621992</v>
      </c>
      <c r="BZ115" s="5">
        <f t="shared" si="363"/>
        <v>6.2549999999999999</v>
      </c>
      <c r="CA115" s="150">
        <f t="shared" si="364"/>
        <v>0.82133220417341479</v>
      </c>
      <c r="CB115" s="5">
        <f t="shared" si="365"/>
        <v>82.133220417341477</v>
      </c>
      <c r="CC115">
        <f t="shared" si="366"/>
        <v>5</v>
      </c>
      <c r="CE115" s="59">
        <f t="shared" si="367"/>
        <v>-50</v>
      </c>
      <c r="CF115">
        <f t="shared" si="368"/>
        <v>-50</v>
      </c>
      <c r="CG115" s="150">
        <f t="shared" si="369"/>
        <v>6.7719596741967814E-2</v>
      </c>
      <c r="CH115" s="150">
        <f t="shared" si="370"/>
        <v>1.4293840285731701E-2</v>
      </c>
      <c r="CI115" s="147">
        <v>5</v>
      </c>
      <c r="CJ115" s="188">
        <f t="shared" si="437"/>
        <v>0.2</v>
      </c>
      <c r="CK115" s="188">
        <f t="shared" si="371"/>
        <v>4.2500000000000003E-2</v>
      </c>
      <c r="CL115" s="188">
        <f t="shared" si="372"/>
        <v>6</v>
      </c>
      <c r="CM115" s="188">
        <f t="shared" si="373"/>
        <v>0.255</v>
      </c>
      <c r="CN115" s="465">
        <f t="shared" si="374"/>
        <v>20</v>
      </c>
      <c r="CO115" s="379">
        <f t="shared" si="375"/>
        <v>30.7</v>
      </c>
      <c r="CP115" s="379">
        <f t="shared" si="376"/>
        <v>50.7</v>
      </c>
      <c r="CQ115" s="379"/>
      <c r="CR115" s="188">
        <f t="shared" si="377"/>
        <v>0.60317460317460314</v>
      </c>
      <c r="CS115" s="149">
        <f t="shared" si="378"/>
        <v>175.32871249897633</v>
      </c>
      <c r="CT115" s="149">
        <f t="shared" si="379"/>
        <v>7.4514702812064924</v>
      </c>
      <c r="CU115" s="188">
        <f t="shared" si="380"/>
        <v>5.8442904166325444</v>
      </c>
      <c r="CV115" s="188">
        <f t="shared" si="381"/>
        <v>29.22145208316272</v>
      </c>
      <c r="CW115" s="188">
        <f t="shared" si="382"/>
        <v>30</v>
      </c>
      <c r="CX115" s="188">
        <f t="shared" si="383"/>
        <v>1.0370131578947368</v>
      </c>
      <c r="CY115" s="188">
        <f t="shared" si="384"/>
        <v>0.24369809210526316</v>
      </c>
      <c r="CZ115" s="188">
        <f t="shared" si="385"/>
        <v>0.15876097205554601</v>
      </c>
      <c r="DA115" s="172">
        <f t="shared" si="386"/>
        <v>350</v>
      </c>
      <c r="DB115" s="379">
        <f t="shared" si="387"/>
        <v>350</v>
      </c>
      <c r="DD115" s="188">
        <f t="shared" si="388"/>
        <v>7.3619779020761014</v>
      </c>
      <c r="DE115" s="150">
        <f t="shared" si="389"/>
        <v>1.1270780501549733</v>
      </c>
      <c r="DF115" s="150">
        <f t="shared" si="390"/>
        <v>1.3928696857096292</v>
      </c>
      <c r="DG115" s="150"/>
      <c r="DH115" s="150">
        <f t="shared" si="391"/>
        <v>0.92784522751949461</v>
      </c>
      <c r="DI115" s="314">
        <f t="shared" si="392"/>
        <v>74.155686702127667</v>
      </c>
      <c r="DJ115" s="456">
        <f t="shared" si="393"/>
        <v>0.94395997276890675</v>
      </c>
      <c r="DL115" s="150">
        <f t="shared" si="394"/>
        <v>2.7576916473537243</v>
      </c>
      <c r="DM115" s="150">
        <f t="shared" si="395"/>
        <v>6.0606060606060606</v>
      </c>
      <c r="DN115" s="150">
        <f t="shared" si="396"/>
        <v>1.0423746781155014</v>
      </c>
      <c r="DP115" s="314">
        <f t="shared" si="397"/>
        <v>200</v>
      </c>
      <c r="DQ115" s="144">
        <f t="shared" si="398"/>
        <v>74.155686702127667</v>
      </c>
      <c r="DS115" s="144">
        <f t="shared" si="399"/>
        <v>200</v>
      </c>
      <c r="DT115" s="144">
        <f t="shared" si="400"/>
        <v>74.155686702127667</v>
      </c>
      <c r="DV115" s="5">
        <f t="shared" si="401"/>
        <v>13.485142468127236</v>
      </c>
      <c r="DW115" s="5">
        <f t="shared" si="402"/>
        <v>1.4242424242424243</v>
      </c>
      <c r="DX115" s="5">
        <f t="shared" si="403"/>
        <v>12.060900043884812</v>
      </c>
      <c r="DY115" s="150">
        <f t="shared" si="404"/>
        <v>0.10561567500000002</v>
      </c>
      <c r="EA115" s="5">
        <f t="shared" si="405"/>
        <v>0.9494949494949495</v>
      </c>
      <c r="EB115" s="5">
        <f t="shared" si="406"/>
        <v>1.0088383838383841</v>
      </c>
      <c r="EC115" s="5">
        <f t="shared" si="407"/>
        <v>2.1283941253914374</v>
      </c>
      <c r="ED115" s="5"/>
      <c r="EE115" s="150">
        <f t="shared" si="408"/>
        <v>1.1371548760486463</v>
      </c>
      <c r="EF115" s="150">
        <f t="shared" si="409"/>
        <v>3.1742523834299847</v>
      </c>
      <c r="EG115" s="150">
        <f t="shared" si="410"/>
        <v>0.63717012265850326</v>
      </c>
      <c r="EH115" s="150"/>
      <c r="EI115" s="456">
        <f t="shared" si="411"/>
        <v>1.5517454545454546E-2</v>
      </c>
      <c r="EJ115" s="456">
        <f t="shared" si="412"/>
        <v>0.43293438181914912</v>
      </c>
      <c r="EK115" s="456">
        <f t="shared" si="413"/>
        <v>8.5279039707446824E-3</v>
      </c>
      <c r="EL115" s="456">
        <f t="shared" si="414"/>
        <v>9.8644013449917745E-2</v>
      </c>
      <c r="EM115">
        <f t="shared" si="415"/>
        <v>8.9999999999999993E-3</v>
      </c>
      <c r="EN115" s="144">
        <f t="shared" si="416"/>
        <v>17.527903970744685</v>
      </c>
      <c r="EP115" s="144">
        <f t="shared" si="438"/>
        <v>564.62375378526622</v>
      </c>
      <c r="EQ115" s="150">
        <f t="shared" si="417"/>
        <v>0.13999999999999999</v>
      </c>
      <c r="ER115" s="150">
        <f t="shared" si="418"/>
        <v>2.0357500000000001E-2</v>
      </c>
      <c r="ES115" s="456"/>
      <c r="EU115" s="144">
        <f t="shared" si="419"/>
        <v>160.35749999999999</v>
      </c>
      <c r="EV115" s="456">
        <f t="shared" si="420"/>
        <v>1.8103696969696971E-2</v>
      </c>
      <c r="EW115" s="456">
        <f t="shared" si="421"/>
        <v>0.14106229471195314</v>
      </c>
      <c r="EX115" s="456">
        <f t="shared" si="422"/>
        <v>2.0299288260432606E-3</v>
      </c>
      <c r="EY115" s="456">
        <f t="shared" si="423"/>
        <v>0.21410228196579384</v>
      </c>
      <c r="EZ115" s="456"/>
      <c r="FA115" s="538">
        <f t="shared" si="424"/>
        <v>0.27238085106382981</v>
      </c>
      <c r="FB115" s="144">
        <f t="shared" si="425"/>
        <v>647.67905353731703</v>
      </c>
      <c r="FC115" s="150">
        <f t="shared" si="426"/>
        <v>1.3726603073225832</v>
      </c>
      <c r="FD115" s="5">
        <f t="shared" si="427"/>
        <v>6.2549999999999999</v>
      </c>
      <c r="FE115" s="150">
        <f t="shared" si="428"/>
        <v>0.82004176221575786</v>
      </c>
      <c r="FF115" s="5">
        <f t="shared" si="429"/>
        <v>82.00417622157579</v>
      </c>
      <c r="FG115">
        <f t="shared" si="430"/>
        <v>5</v>
      </c>
      <c r="FI115" s="59">
        <f t="shared" si="431"/>
        <v>-50</v>
      </c>
      <c r="FJ115">
        <f t="shared" si="432"/>
        <v>-50</v>
      </c>
    </row>
    <row r="116" spans="5:166">
      <c r="E116" s="147">
        <v>6</v>
      </c>
      <c r="F116" s="188">
        <f t="shared" si="433"/>
        <v>0.24</v>
      </c>
      <c r="G116" s="188">
        <f t="shared" si="312"/>
        <v>5.0999999999999997E-2</v>
      </c>
      <c r="H116" s="188">
        <f t="shared" si="313"/>
        <v>7.1999999999999993</v>
      </c>
      <c r="I116" s="188">
        <f t="shared" si="314"/>
        <v>0.30599999999999999</v>
      </c>
      <c r="J116" s="465">
        <f t="shared" si="315"/>
        <v>19.906845048158605</v>
      </c>
      <c r="K116" s="379">
        <f t="shared" si="316"/>
        <v>30.770215829062796</v>
      </c>
      <c r="L116" s="149">
        <f t="shared" si="317"/>
        <v>50.6770608772214</v>
      </c>
      <c r="M116" s="379"/>
      <c r="N116" s="188">
        <f t="shared" si="318"/>
        <v>0.60718232858081078</v>
      </c>
      <c r="O116" s="149">
        <f t="shared" si="319"/>
        <v>175.67160135220297</v>
      </c>
      <c r="P116" s="149">
        <f t="shared" si="320"/>
        <v>7.4660430574686245</v>
      </c>
      <c r="Q116" s="188">
        <f t="shared" si="321"/>
        <v>5.8557200450734319</v>
      </c>
      <c r="R116" s="188">
        <f t="shared" si="322"/>
        <v>29.27860022536716</v>
      </c>
      <c r="S116" s="188">
        <f t="shared" si="323"/>
        <v>30</v>
      </c>
      <c r="T116" s="188">
        <f t="shared" si="324"/>
        <v>1.241986846493115</v>
      </c>
      <c r="U116" s="188">
        <f t="shared" si="325"/>
        <v>0.29323271288825337</v>
      </c>
      <c r="V116" s="188">
        <f t="shared" si="326"/>
        <v>0.18970741742422917</v>
      </c>
      <c r="W116" s="172">
        <f t="shared" si="327"/>
        <v>350</v>
      </c>
      <c r="X116" s="379">
        <f t="shared" si="434"/>
        <v>350</v>
      </c>
      <c r="Z116" s="188">
        <f t="shared" si="328"/>
        <v>7.3477717513910772</v>
      </c>
      <c r="AA116" s="150">
        <f t="shared" si="329"/>
        <v>1.1223362040548261</v>
      </c>
      <c r="AB116" s="150">
        <f t="shared" si="330"/>
        <v>1.3843331364513862</v>
      </c>
      <c r="AC116" s="150"/>
      <c r="AD116" s="150">
        <f t="shared" si="331"/>
        <v>0.92572793909180973</v>
      </c>
      <c r="AE116" s="314">
        <f t="shared" si="332"/>
        <v>89.190351196488464</v>
      </c>
      <c r="AF116" s="456">
        <f t="shared" si="333"/>
        <v>0.94180591143705672</v>
      </c>
      <c r="AH116" s="150">
        <f t="shared" si="334"/>
        <v>3.0208998437984329</v>
      </c>
      <c r="AI116" s="150">
        <f t="shared" si="335"/>
        <v>6.0606060606060606</v>
      </c>
      <c r="AJ116" s="150">
        <f t="shared" si="336"/>
        <v>1.0509659149694219</v>
      </c>
      <c r="AL116" s="314">
        <f t="shared" si="337"/>
        <v>240</v>
      </c>
      <c r="AM116" s="144">
        <f t="shared" si="338"/>
        <v>89.190351196488464</v>
      </c>
      <c r="AO116" s="144">
        <f t="shared" si="339"/>
        <v>240</v>
      </c>
      <c r="AP116" s="144">
        <f t="shared" si="340"/>
        <v>89.190351196488464</v>
      </c>
      <c r="AR116" s="5">
        <f t="shared" si="274"/>
        <v>11.211975136155436</v>
      </c>
      <c r="AS116" s="5">
        <f t="shared" si="439"/>
        <v>1.4309072289425064</v>
      </c>
      <c r="AT116" s="5">
        <f t="shared" si="440"/>
        <v>9.781067907212929</v>
      </c>
      <c r="AU116" s="150">
        <f t="shared" si="441"/>
        <v>0.12762311827897629</v>
      </c>
      <c r="AW116" s="5">
        <f t="shared" si="341"/>
        <v>1.144725783154005</v>
      </c>
      <c r="AX116" s="5">
        <f t="shared" si="342"/>
        <v>1.2162711446011305</v>
      </c>
      <c r="AY116" s="5">
        <f t="shared" si="343"/>
        <v>2.0809776371649229</v>
      </c>
      <c r="AZ116" s="5"/>
      <c r="BA116" s="150">
        <f t="shared" si="344"/>
        <v>1.2500290454120468</v>
      </c>
      <c r="BB116" s="150">
        <f t="shared" si="345"/>
        <v>3.1349559211217075</v>
      </c>
      <c r="BC116" s="150">
        <f t="shared" si="346"/>
        <v>0.62928211355131503</v>
      </c>
      <c r="BD116" s="150"/>
      <c r="BE116" s="456">
        <f t="shared" si="347"/>
        <v>1.8750871372485038E-2</v>
      </c>
      <c r="BF116" s="456">
        <f t="shared" si="348"/>
        <v>0.49992887057409063</v>
      </c>
      <c r="BG116" s="456">
        <f t="shared" si="349"/>
        <v>1.0256890387596173E-2</v>
      </c>
      <c r="BH116" s="456">
        <f t="shared" si="350"/>
        <v>0.11853621794310452</v>
      </c>
      <c r="BI116">
        <f t="shared" si="351"/>
        <v>8.9580802716713714E-3</v>
      </c>
      <c r="BJ116" s="144">
        <f t="shared" si="435"/>
        <v>19.214970659267546</v>
      </c>
      <c r="BK116">
        <f t="shared" si="352"/>
        <v>0.64515298528092757</v>
      </c>
      <c r="BL116" s="144">
        <f t="shared" si="436"/>
        <v>656.43093054894769</v>
      </c>
      <c r="BM116" s="150">
        <f t="shared" si="353"/>
        <v>0.16094399999999998</v>
      </c>
      <c r="BN116" s="150">
        <f t="shared" si="354"/>
        <v>3.4200599999999998E-2</v>
      </c>
      <c r="BO116" s="456"/>
      <c r="BQ116" s="144">
        <f t="shared" si="355"/>
        <v>195.14459999999997</v>
      </c>
      <c r="BR116" s="456">
        <f t="shared" si="356"/>
        <v>2.1876016601232545E-2</v>
      </c>
      <c r="BS116" s="456">
        <f t="shared" si="357"/>
        <v>0.13759128078326477</v>
      </c>
      <c r="BT116" s="456">
        <f t="shared" si="358"/>
        <v>1.9799798921780508E-3</v>
      </c>
      <c r="BU116" s="456">
        <f t="shared" si="359"/>
        <v>0.33966815231877828</v>
      </c>
      <c r="BV116" s="456"/>
      <c r="BW116" s="538">
        <f t="shared" si="360"/>
        <v>0.32760459576304302</v>
      </c>
      <c r="BX116" s="144">
        <f t="shared" si="361"/>
        <v>828.72002535849663</v>
      </c>
      <c r="BY116" s="150">
        <f t="shared" si="362"/>
        <v>1.6802955559074442</v>
      </c>
      <c r="BZ116" s="5">
        <f t="shared" si="363"/>
        <v>7.5059999999999993</v>
      </c>
      <c r="CA116" s="150">
        <f t="shared" si="364"/>
        <v>0.81708670859964938</v>
      </c>
      <c r="CB116" s="5">
        <f t="shared" si="365"/>
        <v>81.70867085996494</v>
      </c>
      <c r="CC116">
        <f t="shared" si="366"/>
        <v>6</v>
      </c>
      <c r="CE116" s="59">
        <f t="shared" si="367"/>
        <v>-50</v>
      </c>
      <c r="CF116">
        <f t="shared" si="368"/>
        <v>-50</v>
      </c>
      <c r="CG116" s="150">
        <f t="shared" si="369"/>
        <v>8.1263516090361365E-2</v>
      </c>
      <c r="CH116" s="150">
        <f t="shared" si="370"/>
        <v>1.7152608342878042E-2</v>
      </c>
      <c r="CI116" s="147">
        <v>6</v>
      </c>
      <c r="CJ116" s="188">
        <f t="shared" si="437"/>
        <v>0.24</v>
      </c>
      <c r="CK116" s="188">
        <f t="shared" si="371"/>
        <v>5.0999999999999997E-2</v>
      </c>
      <c r="CL116" s="188">
        <f t="shared" si="372"/>
        <v>7.1999999999999993</v>
      </c>
      <c r="CM116" s="188">
        <f t="shared" si="373"/>
        <v>0.30599999999999999</v>
      </c>
      <c r="CN116" s="465">
        <f t="shared" si="374"/>
        <v>20</v>
      </c>
      <c r="CO116" s="379">
        <f t="shared" si="375"/>
        <v>30.7</v>
      </c>
      <c r="CP116" s="379">
        <f t="shared" si="376"/>
        <v>50.7</v>
      </c>
      <c r="CQ116" s="379"/>
      <c r="CR116" s="188">
        <f t="shared" si="377"/>
        <v>0.60317460317460314</v>
      </c>
      <c r="CS116" s="149">
        <f t="shared" si="378"/>
        <v>175.32871249897633</v>
      </c>
      <c r="CT116" s="149">
        <f t="shared" si="379"/>
        <v>7.4514702812064924</v>
      </c>
      <c r="CU116" s="188">
        <f t="shared" si="380"/>
        <v>5.8442904166325444</v>
      </c>
      <c r="CV116" s="188">
        <f t="shared" si="381"/>
        <v>29.22145208316272</v>
      </c>
      <c r="CW116" s="188">
        <f t="shared" si="382"/>
        <v>30</v>
      </c>
      <c r="CX116" s="188">
        <f t="shared" si="383"/>
        <v>1.244415789473684</v>
      </c>
      <c r="CY116" s="188">
        <f t="shared" si="384"/>
        <v>0.29243771052631573</v>
      </c>
      <c r="CZ116" s="188">
        <f t="shared" si="385"/>
        <v>0.1905131664666552</v>
      </c>
      <c r="DA116" s="172">
        <f t="shared" si="386"/>
        <v>350</v>
      </c>
      <c r="DB116" s="379">
        <f t="shared" si="387"/>
        <v>350</v>
      </c>
      <c r="DD116" s="188">
        <f t="shared" si="388"/>
        <v>7.3619779020761014</v>
      </c>
      <c r="DE116" s="150">
        <f t="shared" si="389"/>
        <v>1.1270780501549733</v>
      </c>
      <c r="DF116" s="150">
        <f t="shared" si="390"/>
        <v>1.3928696857096292</v>
      </c>
      <c r="DG116" s="150"/>
      <c r="DH116" s="150">
        <f t="shared" si="391"/>
        <v>0.92784522751949461</v>
      </c>
      <c r="DI116" s="314">
        <f t="shared" si="392"/>
        <v>88.986824042553195</v>
      </c>
      <c r="DJ116" s="456">
        <f t="shared" si="393"/>
        <v>0.94395997276890675</v>
      </c>
      <c r="DL116" s="150">
        <f t="shared" si="394"/>
        <v>3.0208998437984329</v>
      </c>
      <c r="DM116" s="150">
        <f t="shared" si="395"/>
        <v>6.0606060606060606</v>
      </c>
      <c r="DN116" s="150">
        <f t="shared" si="396"/>
        <v>1.0508496137386019</v>
      </c>
      <c r="DP116" s="314">
        <f t="shared" si="397"/>
        <v>240</v>
      </c>
      <c r="DQ116" s="144">
        <f t="shared" si="398"/>
        <v>88.986824042553195</v>
      </c>
      <c r="DS116" s="144">
        <f t="shared" si="399"/>
        <v>240</v>
      </c>
      <c r="DT116" s="144">
        <f t="shared" si="400"/>
        <v>88.986824042553195</v>
      </c>
      <c r="DV116" s="5">
        <f t="shared" si="401"/>
        <v>11.237618723439365</v>
      </c>
      <c r="DW116" s="5">
        <f t="shared" si="402"/>
        <v>1.4242424242424243</v>
      </c>
      <c r="DX116" s="5">
        <f t="shared" si="403"/>
        <v>9.8133762991969409</v>
      </c>
      <c r="DY116" s="150">
        <f t="shared" si="404"/>
        <v>0.12673881000000001</v>
      </c>
      <c r="EA116" s="5">
        <f t="shared" si="405"/>
        <v>1.1393939393939394</v>
      </c>
      <c r="EB116" s="5">
        <f t="shared" si="406"/>
        <v>1.2106060606060607</v>
      </c>
      <c r="EC116" s="5">
        <f t="shared" si="407"/>
        <v>2.0781267457122929</v>
      </c>
      <c r="ED116" s="5"/>
      <c r="EE116" s="150">
        <f t="shared" si="408"/>
        <v>1.2456907539776694</v>
      </c>
      <c r="EF116" s="150">
        <f t="shared" si="409"/>
        <v>3.1365444348382758</v>
      </c>
      <c r="EG116" s="150">
        <f t="shared" si="410"/>
        <v>0.62960097713157537</v>
      </c>
      <c r="EH116" s="150"/>
      <c r="EI116" s="456">
        <f t="shared" si="411"/>
        <v>1.8620945454545453E-2</v>
      </c>
      <c r="EJ116" s="456">
        <f t="shared" si="412"/>
        <v>0.5195212581829789</v>
      </c>
      <c r="EK116" s="456">
        <f t="shared" si="413"/>
        <v>1.0233484764893618E-2</v>
      </c>
      <c r="EL116" s="456">
        <f t="shared" si="414"/>
        <v>0.11837281613990129</v>
      </c>
      <c r="EM116">
        <f t="shared" si="415"/>
        <v>8.9999999999999993E-3</v>
      </c>
      <c r="EN116" s="144">
        <f t="shared" si="416"/>
        <v>19.233484764893618</v>
      </c>
      <c r="EP116" s="144">
        <f t="shared" si="438"/>
        <v>675.74850454231921</v>
      </c>
      <c r="EQ116" s="150">
        <f t="shared" si="417"/>
        <v>0.16799999999999998</v>
      </c>
      <c r="ER116" s="150">
        <f t="shared" si="418"/>
        <v>2.4428999999999996E-2</v>
      </c>
      <c r="ES116" s="456"/>
      <c r="EU116" s="144">
        <f t="shared" si="419"/>
        <v>192.429</v>
      </c>
      <c r="EV116" s="456">
        <f t="shared" si="420"/>
        <v>2.172443636363636E-2</v>
      </c>
      <c r="EW116" s="456">
        <f t="shared" si="421"/>
        <v>0.13773075388400943</v>
      </c>
      <c r="EX116" s="456">
        <f t="shared" si="422"/>
        <v>1.9819869520251725E-3</v>
      </c>
      <c r="EY116" s="456">
        <f t="shared" si="423"/>
        <v>0.33773371040447103</v>
      </c>
      <c r="EZ116" s="456"/>
      <c r="FA116" s="538">
        <f t="shared" si="424"/>
        <v>0.32685702127659577</v>
      </c>
      <c r="FB116" s="144">
        <f t="shared" si="425"/>
        <v>826.02790888073775</v>
      </c>
      <c r="FC116" s="150">
        <f t="shared" si="426"/>
        <v>1.6942054134230571</v>
      </c>
      <c r="FD116" s="5">
        <f t="shared" si="427"/>
        <v>7.5059999999999993</v>
      </c>
      <c r="FE116" s="150">
        <f t="shared" si="428"/>
        <v>0.81585134925887426</v>
      </c>
      <c r="FF116" s="5">
        <f t="shared" si="429"/>
        <v>81.585134925887431</v>
      </c>
      <c r="FG116">
        <f t="shared" si="430"/>
        <v>6</v>
      </c>
      <c r="FI116" s="59">
        <f t="shared" si="431"/>
        <v>-50</v>
      </c>
      <c r="FJ116">
        <f t="shared" si="432"/>
        <v>-50</v>
      </c>
    </row>
    <row r="117" spans="5:166">
      <c r="E117" s="147">
        <v>7</v>
      </c>
      <c r="F117" s="188">
        <f t="shared" si="433"/>
        <v>0.28000000000000003</v>
      </c>
      <c r="G117" s="188">
        <f t="shared" si="312"/>
        <v>5.9500000000000004E-2</v>
      </c>
      <c r="H117" s="188">
        <f t="shared" si="313"/>
        <v>8.4</v>
      </c>
      <c r="I117" s="188">
        <f t="shared" si="314"/>
        <v>0.35700000000000004</v>
      </c>
      <c r="J117" s="465">
        <f t="shared" si="315"/>
        <v>19.906845048158605</v>
      </c>
      <c r="K117" s="379">
        <f t="shared" si="316"/>
        <v>30.770215829062796</v>
      </c>
      <c r="L117" s="149">
        <f t="shared" si="317"/>
        <v>50.6770608772214</v>
      </c>
      <c r="M117" s="379"/>
      <c r="N117" s="188">
        <f t="shared" si="318"/>
        <v>0.60718232858081078</v>
      </c>
      <c r="O117" s="149">
        <f t="shared" si="319"/>
        <v>175.67160135220297</v>
      </c>
      <c r="P117" s="149">
        <f t="shared" si="320"/>
        <v>7.4660430574686245</v>
      </c>
      <c r="Q117" s="188">
        <f t="shared" si="321"/>
        <v>5.8557200450734319</v>
      </c>
      <c r="R117" s="188">
        <f t="shared" si="322"/>
        <v>29.27860022536716</v>
      </c>
      <c r="S117" s="188">
        <f t="shared" si="323"/>
        <v>30</v>
      </c>
      <c r="T117" s="188">
        <f t="shared" si="324"/>
        <v>1.4489846542419675</v>
      </c>
      <c r="U117" s="188">
        <f t="shared" si="325"/>
        <v>0.3421048317029623</v>
      </c>
      <c r="V117" s="188">
        <f t="shared" si="326"/>
        <v>0.22132532032826741</v>
      </c>
      <c r="W117" s="172">
        <f t="shared" si="327"/>
        <v>350</v>
      </c>
      <c r="X117" s="379">
        <f t="shared" si="434"/>
        <v>350</v>
      </c>
      <c r="Z117" s="188">
        <f t="shared" si="328"/>
        <v>7.3477717513910772</v>
      </c>
      <c r="AA117" s="150">
        <f t="shared" si="329"/>
        <v>1.1223362040548261</v>
      </c>
      <c r="AB117" s="150">
        <f t="shared" si="330"/>
        <v>1.3843331364513862</v>
      </c>
      <c r="AC117" s="150"/>
      <c r="AD117" s="150">
        <f t="shared" si="331"/>
        <v>0.92572793909180973</v>
      </c>
      <c r="AE117" s="314">
        <f t="shared" si="332"/>
        <v>104.05540972923656</v>
      </c>
      <c r="AF117" s="456">
        <f t="shared" si="333"/>
        <v>0.94180591143705672</v>
      </c>
      <c r="AH117" s="150">
        <f t="shared" si="334"/>
        <v>3.262944760586409</v>
      </c>
      <c r="AI117" s="150">
        <f t="shared" si="335"/>
        <v>6.0606060606060606</v>
      </c>
      <c r="AJ117" s="150">
        <f t="shared" si="336"/>
        <v>1.0594602341309922</v>
      </c>
      <c r="AL117" s="314">
        <f t="shared" si="337"/>
        <v>280</v>
      </c>
      <c r="AM117" s="144">
        <f t="shared" si="338"/>
        <v>104.05540972923656</v>
      </c>
      <c r="AO117" s="144">
        <f t="shared" si="339"/>
        <v>280</v>
      </c>
      <c r="AP117" s="144">
        <f t="shared" si="340"/>
        <v>104.05540972923656</v>
      </c>
      <c r="AR117" s="5">
        <f t="shared" si="274"/>
        <v>9.6102644024189434</v>
      </c>
      <c r="AS117" s="5">
        <f t="shared" si="439"/>
        <v>1.4309072289425064</v>
      </c>
      <c r="AT117" s="5">
        <f t="shared" si="440"/>
        <v>8.1793571734764363</v>
      </c>
      <c r="AU117" s="150">
        <f t="shared" si="441"/>
        <v>0.14889363799213903</v>
      </c>
      <c r="AW117" s="5">
        <f t="shared" si="341"/>
        <v>1.3355134136796727</v>
      </c>
      <c r="AX117" s="5">
        <f t="shared" si="342"/>
        <v>1.4189830020346523</v>
      </c>
      <c r="AY117" s="5">
        <f t="shared" si="343"/>
        <v>2.0302386999218305</v>
      </c>
      <c r="AZ117" s="5"/>
      <c r="BA117" s="150">
        <f t="shared" si="344"/>
        <v>1.3501856847989633</v>
      </c>
      <c r="BB117" s="150">
        <f t="shared" si="345"/>
        <v>3.0965014179430939</v>
      </c>
      <c r="BC117" s="150">
        <f t="shared" si="346"/>
        <v>0.62156311154788479</v>
      </c>
      <c r="BD117" s="150"/>
      <c r="BE117" s="456">
        <f t="shared" si="347"/>
        <v>2.1876016601232545E-2</v>
      </c>
      <c r="BF117" s="456">
        <f t="shared" si="348"/>
        <v>0.58325034900310591</v>
      </c>
      <c r="BG117" s="456">
        <f t="shared" si="349"/>
        <v>1.1966372118862206E-2</v>
      </c>
      <c r="BH117" s="456">
        <f t="shared" si="350"/>
        <v>0.13829225426695529</v>
      </c>
      <c r="BI117">
        <f t="shared" si="351"/>
        <v>8.9580802716713714E-3</v>
      </c>
      <c r="BJ117" s="144">
        <f t="shared" si="435"/>
        <v>20.924452390533578</v>
      </c>
      <c r="BK117">
        <f t="shared" si="352"/>
        <v>0.75324029271603243</v>
      </c>
      <c r="BL117" s="144">
        <f t="shared" si="436"/>
        <v>764.34307226182716</v>
      </c>
      <c r="BM117" s="150">
        <f t="shared" si="353"/>
        <v>0.18776799999999999</v>
      </c>
      <c r="BN117" s="150">
        <f t="shared" si="354"/>
        <v>3.9900699999999997E-2</v>
      </c>
      <c r="BO117" s="456"/>
      <c r="BQ117" s="144">
        <f t="shared" si="355"/>
        <v>227.6687</v>
      </c>
      <c r="BR117" s="456">
        <f t="shared" si="356"/>
        <v>2.5522019368104637E-2</v>
      </c>
      <c r="BS117" s="456">
        <f t="shared" si="357"/>
        <v>0.13423649443853028</v>
      </c>
      <c r="BT117" s="456">
        <f t="shared" si="358"/>
        <v>1.9317035081854415E-3</v>
      </c>
      <c r="BU117" s="456">
        <f t="shared" si="359"/>
        <v>0.49936925794250137</v>
      </c>
      <c r="BV117" s="456"/>
      <c r="BW117" s="538">
        <f t="shared" si="360"/>
        <v>0.38220536172355024</v>
      </c>
      <c r="BX117" s="144">
        <f t="shared" si="361"/>
        <v>1043.2648369808719</v>
      </c>
      <c r="BY117" s="150">
        <f t="shared" si="362"/>
        <v>2.035276609242699</v>
      </c>
      <c r="BZ117" s="5">
        <f t="shared" si="363"/>
        <v>8.7569999999999997</v>
      </c>
      <c r="CA117" s="150">
        <f t="shared" si="364"/>
        <v>0.81141359854512518</v>
      </c>
      <c r="CB117" s="5">
        <f t="shared" si="365"/>
        <v>81.141359854512515</v>
      </c>
      <c r="CC117">
        <f t="shared" si="366"/>
        <v>7.0000000000000009</v>
      </c>
      <c r="CE117" s="59">
        <f t="shared" si="367"/>
        <v>-50</v>
      </c>
      <c r="CF117">
        <f t="shared" si="368"/>
        <v>-50</v>
      </c>
      <c r="CG117" s="150">
        <f t="shared" si="369"/>
        <v>9.4807435438754945E-2</v>
      </c>
      <c r="CH117" s="150">
        <f t="shared" si="370"/>
        <v>2.0011376400024379E-2</v>
      </c>
      <c r="CI117" s="147">
        <v>7</v>
      </c>
      <c r="CJ117" s="188">
        <f t="shared" si="437"/>
        <v>0.28000000000000003</v>
      </c>
      <c r="CK117" s="188">
        <f t="shared" si="371"/>
        <v>5.9500000000000004E-2</v>
      </c>
      <c r="CL117" s="188">
        <f t="shared" si="372"/>
        <v>8.4</v>
      </c>
      <c r="CM117" s="188">
        <f t="shared" si="373"/>
        <v>0.35700000000000004</v>
      </c>
      <c r="CN117" s="465">
        <f t="shared" si="374"/>
        <v>20</v>
      </c>
      <c r="CO117" s="379">
        <f t="shared" si="375"/>
        <v>30.7</v>
      </c>
      <c r="CP117" s="379">
        <f t="shared" si="376"/>
        <v>50.7</v>
      </c>
      <c r="CQ117" s="379"/>
      <c r="CR117" s="188">
        <f t="shared" si="377"/>
        <v>0.60317460317460314</v>
      </c>
      <c r="CS117" s="149">
        <f t="shared" si="378"/>
        <v>175.32871249897633</v>
      </c>
      <c r="CT117" s="149">
        <f t="shared" si="379"/>
        <v>7.4514702812064924</v>
      </c>
      <c r="CU117" s="188">
        <f t="shared" si="380"/>
        <v>5.8442904166325444</v>
      </c>
      <c r="CV117" s="188">
        <f t="shared" si="381"/>
        <v>29.22145208316272</v>
      </c>
      <c r="CW117" s="188">
        <f t="shared" si="382"/>
        <v>30</v>
      </c>
      <c r="CX117" s="188">
        <f t="shared" si="383"/>
        <v>1.4518184210526315</v>
      </c>
      <c r="CY117" s="188">
        <f t="shared" si="384"/>
        <v>0.34117732894736835</v>
      </c>
      <c r="CZ117" s="188">
        <f t="shared" si="385"/>
        <v>0.22226536087776441</v>
      </c>
      <c r="DA117" s="172">
        <f t="shared" si="386"/>
        <v>350</v>
      </c>
      <c r="DB117" s="379">
        <f t="shared" si="387"/>
        <v>350</v>
      </c>
      <c r="DD117" s="188">
        <f t="shared" si="388"/>
        <v>7.3619779020761014</v>
      </c>
      <c r="DE117" s="150">
        <f t="shared" si="389"/>
        <v>1.1270780501549733</v>
      </c>
      <c r="DF117" s="150">
        <f t="shared" si="390"/>
        <v>1.3928696857096292</v>
      </c>
      <c r="DG117" s="150"/>
      <c r="DH117" s="150">
        <f t="shared" si="391"/>
        <v>0.92784522751949461</v>
      </c>
      <c r="DI117" s="314">
        <f t="shared" si="392"/>
        <v>103.81796138297874</v>
      </c>
      <c r="DJ117" s="456">
        <f t="shared" si="393"/>
        <v>0.94395997276890675</v>
      </c>
      <c r="DL117" s="150">
        <f t="shared" si="394"/>
        <v>3.262944760586409</v>
      </c>
      <c r="DM117" s="150">
        <f t="shared" si="395"/>
        <v>6.0606060606060606</v>
      </c>
      <c r="DN117" s="150">
        <f t="shared" si="396"/>
        <v>1.0593245493617021</v>
      </c>
      <c r="DP117" s="314">
        <f t="shared" si="397"/>
        <v>280</v>
      </c>
      <c r="DQ117" s="144">
        <f t="shared" si="398"/>
        <v>103.81796138297874</v>
      </c>
      <c r="DS117" s="144">
        <f t="shared" si="399"/>
        <v>280</v>
      </c>
      <c r="DT117" s="144">
        <f t="shared" si="400"/>
        <v>103.81796138297874</v>
      </c>
      <c r="DV117" s="5">
        <f t="shared" si="401"/>
        <v>9.6322446200908836</v>
      </c>
      <c r="DW117" s="5">
        <f t="shared" si="402"/>
        <v>1.4242424242424243</v>
      </c>
      <c r="DX117" s="5">
        <f t="shared" si="403"/>
        <v>8.2080021958484597</v>
      </c>
      <c r="DY117" s="150">
        <f t="shared" si="404"/>
        <v>0.14786194500000002</v>
      </c>
      <c r="EA117" s="5">
        <f t="shared" si="405"/>
        <v>1.3292929292929294</v>
      </c>
      <c r="EB117" s="5">
        <f t="shared" si="406"/>
        <v>1.4123737373737375</v>
      </c>
      <c r="EC117" s="5">
        <f t="shared" si="407"/>
        <v>2.027859366033149</v>
      </c>
      <c r="ED117" s="5"/>
      <c r="EE117" s="150">
        <f t="shared" si="408"/>
        <v>1.3454997944889093</v>
      </c>
      <c r="EF117" s="150">
        <f t="shared" si="409"/>
        <v>3.0983776060575607</v>
      </c>
      <c r="EG117" s="150">
        <f t="shared" si="410"/>
        <v>0.62193972023132338</v>
      </c>
      <c r="EH117" s="150"/>
      <c r="EI117" s="456">
        <f t="shared" si="411"/>
        <v>2.1724436363636367E-2</v>
      </c>
      <c r="EJ117" s="456">
        <f t="shared" si="412"/>
        <v>0.60610813454680867</v>
      </c>
      <c r="EK117" s="456">
        <f t="shared" si="413"/>
        <v>1.1939065559042556E-2</v>
      </c>
      <c r="EL117" s="456">
        <f t="shared" si="414"/>
        <v>0.13810161882988486</v>
      </c>
      <c r="EM117">
        <f t="shared" si="415"/>
        <v>8.9999999999999993E-3</v>
      </c>
      <c r="EN117" s="144">
        <f t="shared" si="416"/>
        <v>20.939065559042554</v>
      </c>
      <c r="EP117" s="144">
        <f t="shared" si="438"/>
        <v>786.87325529937254</v>
      </c>
      <c r="EQ117" s="150">
        <f t="shared" si="417"/>
        <v>0.19600000000000001</v>
      </c>
      <c r="ER117" s="150">
        <f t="shared" si="418"/>
        <v>2.8500500000000002E-2</v>
      </c>
      <c r="ES117" s="456"/>
      <c r="EU117" s="144">
        <f t="shared" si="419"/>
        <v>224.50050000000002</v>
      </c>
      <c r="EV117" s="456">
        <f t="shared" si="420"/>
        <v>2.534517575757576E-2</v>
      </c>
      <c r="EW117" s="456">
        <f t="shared" si="421"/>
        <v>0.13439921305606575</v>
      </c>
      <c r="EX117" s="456">
        <f t="shared" si="422"/>
        <v>1.934045078007084E-3</v>
      </c>
      <c r="EY117" s="456">
        <f t="shared" si="423"/>
        <v>0.49652530328650379</v>
      </c>
      <c r="EZ117" s="456"/>
      <c r="FA117" s="538">
        <f t="shared" si="424"/>
        <v>0.38133319148936179</v>
      </c>
      <c r="FB117" s="144">
        <f t="shared" si="425"/>
        <v>1039.5369286675143</v>
      </c>
      <c r="FC117" s="150">
        <f t="shared" si="426"/>
        <v>2.0509106839668867</v>
      </c>
      <c r="FD117" s="5">
        <f t="shared" si="427"/>
        <v>8.7569999999999997</v>
      </c>
      <c r="FE117" s="150">
        <f t="shared" si="428"/>
        <v>0.81023985634806062</v>
      </c>
      <c r="FF117" s="5">
        <f t="shared" si="429"/>
        <v>81.023985634806067</v>
      </c>
      <c r="FG117">
        <f t="shared" si="430"/>
        <v>7.0000000000000009</v>
      </c>
      <c r="FI117" s="59">
        <f t="shared" si="431"/>
        <v>-50</v>
      </c>
      <c r="FJ117">
        <f t="shared" si="432"/>
        <v>-50</v>
      </c>
    </row>
    <row r="118" spans="5:166">
      <c r="E118" s="147">
        <v>8</v>
      </c>
      <c r="F118" s="188">
        <f t="shared" si="433"/>
        <v>0.32</v>
      </c>
      <c r="G118" s="188">
        <f t="shared" si="312"/>
        <v>6.8000000000000005E-2</v>
      </c>
      <c r="H118" s="188">
        <f t="shared" si="313"/>
        <v>9.6</v>
      </c>
      <c r="I118" s="188">
        <f t="shared" si="314"/>
        <v>0.40800000000000003</v>
      </c>
      <c r="J118" s="465">
        <f t="shared" si="315"/>
        <v>19.906845048158605</v>
      </c>
      <c r="K118" s="379">
        <f t="shared" si="316"/>
        <v>30.770215829062796</v>
      </c>
      <c r="L118" s="149">
        <f t="shared" si="317"/>
        <v>50.6770608772214</v>
      </c>
      <c r="M118" s="379"/>
      <c r="N118" s="188">
        <f t="shared" si="318"/>
        <v>0.60718232858081078</v>
      </c>
      <c r="O118" s="149">
        <f t="shared" si="319"/>
        <v>175.67160135220297</v>
      </c>
      <c r="P118" s="149">
        <f t="shared" si="320"/>
        <v>7.4660430574686245</v>
      </c>
      <c r="Q118" s="188">
        <f t="shared" si="321"/>
        <v>5.8557200450734319</v>
      </c>
      <c r="R118" s="188">
        <f t="shared" si="322"/>
        <v>29.27860022536716</v>
      </c>
      <c r="S118" s="188">
        <f t="shared" si="323"/>
        <v>30</v>
      </c>
      <c r="T118" s="188">
        <f t="shared" si="324"/>
        <v>1.6559824619908199</v>
      </c>
      <c r="U118" s="188">
        <f t="shared" si="325"/>
        <v>0.39097695051767112</v>
      </c>
      <c r="V118" s="188">
        <f t="shared" si="326"/>
        <v>0.25294322323230561</v>
      </c>
      <c r="W118" s="172">
        <f t="shared" si="327"/>
        <v>350</v>
      </c>
      <c r="X118" s="379">
        <f t="shared" si="434"/>
        <v>350</v>
      </c>
      <c r="Z118" s="188">
        <f t="shared" si="328"/>
        <v>7.3477717513910772</v>
      </c>
      <c r="AA118" s="150">
        <f t="shared" si="329"/>
        <v>1.1223362040548261</v>
      </c>
      <c r="AB118" s="150">
        <f t="shared" si="330"/>
        <v>1.3843331364513862</v>
      </c>
      <c r="AC118" s="150"/>
      <c r="AD118" s="150">
        <f t="shared" si="331"/>
        <v>0.92572793909180973</v>
      </c>
      <c r="AE118" s="314">
        <f t="shared" si="332"/>
        <v>118.92046826198461</v>
      </c>
      <c r="AF118" s="456">
        <f t="shared" si="333"/>
        <v>0.94180591143705672</v>
      </c>
      <c r="AH118" s="150">
        <f t="shared" si="334"/>
        <v>3.4882346760238474</v>
      </c>
      <c r="AI118" s="150">
        <f t="shared" si="335"/>
        <v>6.0606060606060606</v>
      </c>
      <c r="AJ118" s="150">
        <f t="shared" si="336"/>
        <v>1.0679545532925627</v>
      </c>
      <c r="AL118" s="314">
        <f t="shared" si="337"/>
        <v>320</v>
      </c>
      <c r="AM118" s="144">
        <f t="shared" si="338"/>
        <v>118.92046826198461</v>
      </c>
      <c r="AO118" s="144">
        <f t="shared" si="339"/>
        <v>320</v>
      </c>
      <c r="AP118" s="144">
        <f t="shared" si="340"/>
        <v>118.92046826198461</v>
      </c>
      <c r="AR118" s="5">
        <f t="shared" si="274"/>
        <v>8.4089813521165784</v>
      </c>
      <c r="AS118" s="5">
        <f t="shared" si="439"/>
        <v>1.4309072289425064</v>
      </c>
      <c r="AT118" s="5">
        <f t="shared" si="440"/>
        <v>6.9780741231740722</v>
      </c>
      <c r="AU118" s="150">
        <f t="shared" si="441"/>
        <v>0.17016415770530169</v>
      </c>
      <c r="AW118" s="5">
        <f t="shared" si="341"/>
        <v>1.5263010442053402</v>
      </c>
      <c r="AX118" s="5">
        <f t="shared" si="342"/>
        <v>1.6216948594681742</v>
      </c>
      <c r="AY118" s="5">
        <f t="shared" si="343"/>
        <v>1.9794997626787396</v>
      </c>
      <c r="AZ118" s="5"/>
      <c r="BA118" s="150">
        <f t="shared" si="344"/>
        <v>1.4434092117269921</v>
      </c>
      <c r="BB118" s="150">
        <f t="shared" si="345"/>
        <v>3.0575633166413958</v>
      </c>
      <c r="BC118" s="150">
        <f t="shared" si="346"/>
        <v>0.61374703652120921</v>
      </c>
      <c r="BD118" s="150"/>
      <c r="BE118" s="456">
        <f t="shared" si="347"/>
        <v>2.500116182998004E-2</v>
      </c>
      <c r="BF118" s="456">
        <f t="shared" si="348"/>
        <v>0.66657182743212084</v>
      </c>
      <c r="BG118" s="456">
        <f t="shared" si="349"/>
        <v>1.3675853850128232E-2</v>
      </c>
      <c r="BH118" s="456">
        <f t="shared" si="350"/>
        <v>0.15804829059080602</v>
      </c>
      <c r="BI118">
        <f t="shared" si="351"/>
        <v>8.9580802716713714E-3</v>
      </c>
      <c r="BJ118" s="144">
        <f t="shared" si="435"/>
        <v>22.633934121799602</v>
      </c>
      <c r="BK118">
        <f t="shared" si="352"/>
        <v>0.86148907647602069</v>
      </c>
      <c r="BL118" s="144">
        <f t="shared" si="436"/>
        <v>872.25521397470652</v>
      </c>
      <c r="BM118" s="150">
        <f t="shared" si="353"/>
        <v>0.21459199999999998</v>
      </c>
      <c r="BN118" s="150">
        <f t="shared" si="354"/>
        <v>4.5600800000000004E-2</v>
      </c>
      <c r="BO118" s="456"/>
      <c r="BQ118" s="144">
        <f t="shared" si="355"/>
        <v>260.19279999999998</v>
      </c>
      <c r="BR118" s="456">
        <f t="shared" si="356"/>
        <v>2.9168022134976712E-2</v>
      </c>
      <c r="BS118" s="456">
        <f t="shared" si="357"/>
        <v>0.13088170809379585</v>
      </c>
      <c r="BT118" s="456">
        <f t="shared" si="358"/>
        <v>1.8834271241928325E-3</v>
      </c>
      <c r="BU118" s="456">
        <f t="shared" si="359"/>
        <v>0.69727110818271743</v>
      </c>
      <c r="BV118" s="456"/>
      <c r="BW118" s="538">
        <f t="shared" si="360"/>
        <v>0.43680612768405735</v>
      </c>
      <c r="BX118" s="144">
        <f t="shared" si="361"/>
        <v>1296.0103932197403</v>
      </c>
      <c r="BY118" s="150">
        <f t="shared" si="362"/>
        <v>2.4284584071944466</v>
      </c>
      <c r="BZ118" s="5">
        <f t="shared" si="363"/>
        <v>10.007999999999999</v>
      </c>
      <c r="CA118" s="150">
        <f t="shared" si="364"/>
        <v>0.80473070968583849</v>
      </c>
      <c r="CB118" s="5">
        <f t="shared" si="365"/>
        <v>80.473070968583855</v>
      </c>
      <c r="CC118">
        <f t="shared" si="366"/>
        <v>8</v>
      </c>
      <c r="CE118" s="59">
        <f t="shared" si="367"/>
        <v>-50</v>
      </c>
      <c r="CF118">
        <f t="shared" si="368"/>
        <v>-50</v>
      </c>
      <c r="CG118" s="150">
        <f t="shared" si="369"/>
        <v>0.10835135478714851</v>
      </c>
      <c r="CH118" s="150">
        <f t="shared" si="370"/>
        <v>2.2870144457170723E-2</v>
      </c>
      <c r="CI118" s="147">
        <v>8</v>
      </c>
      <c r="CJ118" s="188">
        <f t="shared" si="437"/>
        <v>0.32</v>
      </c>
      <c r="CK118" s="188">
        <f t="shared" si="371"/>
        <v>6.8000000000000005E-2</v>
      </c>
      <c r="CL118" s="188">
        <f t="shared" si="372"/>
        <v>9.6</v>
      </c>
      <c r="CM118" s="188">
        <f t="shared" si="373"/>
        <v>0.40800000000000003</v>
      </c>
      <c r="CN118" s="465">
        <f t="shared" si="374"/>
        <v>20</v>
      </c>
      <c r="CO118" s="379">
        <f t="shared" si="375"/>
        <v>30.7</v>
      </c>
      <c r="CP118" s="379">
        <f t="shared" si="376"/>
        <v>50.7</v>
      </c>
      <c r="CQ118" s="379"/>
      <c r="CR118" s="188">
        <f t="shared" si="377"/>
        <v>0.60317460317460314</v>
      </c>
      <c r="CS118" s="149">
        <f t="shared" si="378"/>
        <v>175.32871249897633</v>
      </c>
      <c r="CT118" s="149">
        <f t="shared" si="379"/>
        <v>7.4514702812064924</v>
      </c>
      <c r="CU118" s="188">
        <f t="shared" si="380"/>
        <v>5.8442904166325444</v>
      </c>
      <c r="CV118" s="188">
        <f t="shared" si="381"/>
        <v>29.22145208316272</v>
      </c>
      <c r="CW118" s="188">
        <f t="shared" si="382"/>
        <v>30</v>
      </c>
      <c r="CX118" s="188">
        <f t="shared" si="383"/>
        <v>1.6592210526315789</v>
      </c>
      <c r="CY118" s="188">
        <f t="shared" si="384"/>
        <v>0.38991694736842109</v>
      </c>
      <c r="CZ118" s="188">
        <f t="shared" si="385"/>
        <v>0.25401755528887365</v>
      </c>
      <c r="DA118" s="172">
        <f t="shared" si="386"/>
        <v>350</v>
      </c>
      <c r="DB118" s="379">
        <f t="shared" si="387"/>
        <v>350</v>
      </c>
      <c r="DD118" s="188">
        <f t="shared" si="388"/>
        <v>7.3619779020761014</v>
      </c>
      <c r="DE118" s="150">
        <f t="shared" si="389"/>
        <v>1.1270780501549733</v>
      </c>
      <c r="DF118" s="150">
        <f t="shared" si="390"/>
        <v>1.3928696857096292</v>
      </c>
      <c r="DG118" s="150"/>
      <c r="DH118" s="150">
        <f t="shared" si="391"/>
        <v>0.92784522751949461</v>
      </c>
      <c r="DI118" s="314">
        <f t="shared" si="392"/>
        <v>118.64909872340426</v>
      </c>
      <c r="DJ118" s="456">
        <f t="shared" si="393"/>
        <v>0.94395997276890675</v>
      </c>
      <c r="DL118" s="150">
        <f t="shared" si="394"/>
        <v>3.4882346760238474</v>
      </c>
      <c r="DM118" s="150">
        <f t="shared" si="395"/>
        <v>6.0606060606060606</v>
      </c>
      <c r="DN118" s="150">
        <f t="shared" si="396"/>
        <v>1.0677994849848025</v>
      </c>
      <c r="DP118" s="314">
        <f t="shared" si="397"/>
        <v>320</v>
      </c>
      <c r="DQ118" s="144">
        <f t="shared" si="398"/>
        <v>118.64909872340426</v>
      </c>
      <c r="DS118" s="144">
        <f t="shared" si="399"/>
        <v>320</v>
      </c>
      <c r="DT118" s="144">
        <f t="shared" si="400"/>
        <v>118.64909872340426</v>
      </c>
      <c r="DV118" s="5">
        <f t="shared" si="401"/>
        <v>8.4282140425795227</v>
      </c>
      <c r="DW118" s="5">
        <f t="shared" si="402"/>
        <v>1.4242424242424243</v>
      </c>
      <c r="DX118" s="5">
        <f t="shared" si="403"/>
        <v>7.0039716183370988</v>
      </c>
      <c r="DY118" s="150">
        <f t="shared" si="404"/>
        <v>0.16898508000000004</v>
      </c>
      <c r="EA118" s="5">
        <f t="shared" si="405"/>
        <v>1.5191919191919194</v>
      </c>
      <c r="EB118" s="5">
        <f t="shared" si="406"/>
        <v>1.6141414141414145</v>
      </c>
      <c r="EC118" s="5">
        <f t="shared" si="407"/>
        <v>1.9775919863540041</v>
      </c>
      <c r="ED118" s="5"/>
      <c r="EE118" s="150">
        <f t="shared" si="408"/>
        <v>1.4383997842720708</v>
      </c>
      <c r="EF118" s="150">
        <f t="shared" si="409"/>
        <v>3.0597347250575506</v>
      </c>
      <c r="EG118" s="150">
        <f t="shared" si="410"/>
        <v>0.61418290500289829</v>
      </c>
      <c r="EH118" s="150"/>
      <c r="EI118" s="456">
        <f t="shared" si="411"/>
        <v>2.4827927272727278E-2</v>
      </c>
      <c r="EJ118" s="456">
        <f t="shared" si="412"/>
        <v>0.69269501091063845</v>
      </c>
      <c r="EK118" s="456">
        <f t="shared" si="413"/>
        <v>1.3644646353191492E-2</v>
      </c>
      <c r="EL118" s="456">
        <f t="shared" si="414"/>
        <v>0.1578304215198684</v>
      </c>
      <c r="EM118">
        <f t="shared" si="415"/>
        <v>8.9999999999999993E-3</v>
      </c>
      <c r="EN118" s="144">
        <f t="shared" si="416"/>
        <v>22.64464635319149</v>
      </c>
      <c r="EP118" s="144">
        <f t="shared" si="438"/>
        <v>897.99800605642565</v>
      </c>
      <c r="EQ118" s="150">
        <f t="shared" si="417"/>
        <v>0.22399999999999998</v>
      </c>
      <c r="ER118" s="150">
        <f t="shared" si="418"/>
        <v>3.2572000000000004E-2</v>
      </c>
      <c r="ES118" s="456"/>
      <c r="EU118" s="144">
        <f t="shared" si="419"/>
        <v>256.57199999999995</v>
      </c>
      <c r="EV118" s="456">
        <f t="shared" si="420"/>
        <v>2.896591515151516E-2</v>
      </c>
      <c r="EW118" s="456">
        <f t="shared" si="421"/>
        <v>0.13106767222812207</v>
      </c>
      <c r="EX118" s="456">
        <f t="shared" si="422"/>
        <v>1.8861032039889961E-3</v>
      </c>
      <c r="EY118" s="456">
        <f t="shared" si="423"/>
        <v>0.69330008396953702</v>
      </c>
      <c r="EZ118" s="456"/>
      <c r="FA118" s="538">
        <f t="shared" si="424"/>
        <v>0.4358093617021277</v>
      </c>
      <c r="FB118" s="144">
        <f t="shared" si="425"/>
        <v>1291.029136255291</v>
      </c>
      <c r="FC118" s="150">
        <f t="shared" si="426"/>
        <v>2.4455991423117167</v>
      </c>
      <c r="FD118" s="5">
        <f t="shared" si="427"/>
        <v>10.007999999999999</v>
      </c>
      <c r="FE118" s="150">
        <f t="shared" si="428"/>
        <v>0.80362310410308024</v>
      </c>
      <c r="FF118" s="5">
        <f t="shared" si="429"/>
        <v>80.362310410308027</v>
      </c>
      <c r="FG118">
        <f t="shared" si="430"/>
        <v>8</v>
      </c>
      <c r="FI118" s="59">
        <f t="shared" si="431"/>
        <v>-50</v>
      </c>
      <c r="FJ118">
        <f t="shared" si="432"/>
        <v>-50</v>
      </c>
    </row>
    <row r="119" spans="5:166">
      <c r="E119" s="147">
        <v>9</v>
      </c>
      <c r="F119" s="188">
        <f t="shared" si="433"/>
        <v>0.36</v>
      </c>
      <c r="G119" s="188">
        <f t="shared" si="312"/>
        <v>7.6499999999999999E-2</v>
      </c>
      <c r="H119" s="188">
        <f t="shared" si="313"/>
        <v>10.799999999999999</v>
      </c>
      <c r="I119" s="188">
        <f t="shared" si="314"/>
        <v>0.45899999999999996</v>
      </c>
      <c r="J119" s="465">
        <f t="shared" si="315"/>
        <v>19.906845048158605</v>
      </c>
      <c r="K119" s="379">
        <f t="shared" si="316"/>
        <v>30.770215829062796</v>
      </c>
      <c r="L119" s="149">
        <f t="shared" si="317"/>
        <v>50.6770608772214</v>
      </c>
      <c r="M119" s="379"/>
      <c r="N119" s="188">
        <f t="shared" si="318"/>
        <v>0.60718232858081078</v>
      </c>
      <c r="O119" s="149">
        <f t="shared" si="319"/>
        <v>175.67160135220297</v>
      </c>
      <c r="P119" s="149">
        <f t="shared" si="320"/>
        <v>7.4660430574686245</v>
      </c>
      <c r="Q119" s="188">
        <f t="shared" si="321"/>
        <v>5.8557200450734319</v>
      </c>
      <c r="R119" s="188">
        <f t="shared" si="322"/>
        <v>29.27860022536716</v>
      </c>
      <c r="S119" s="188">
        <f t="shared" si="323"/>
        <v>30</v>
      </c>
      <c r="T119" s="188">
        <f t="shared" si="324"/>
        <v>1.8629802697396725</v>
      </c>
      <c r="U119" s="188">
        <f t="shared" si="325"/>
        <v>0.43984906933238005</v>
      </c>
      <c r="V119" s="188">
        <f t="shared" si="326"/>
        <v>0.28456112613634377</v>
      </c>
      <c r="W119" s="172">
        <f t="shared" si="327"/>
        <v>350</v>
      </c>
      <c r="X119" s="379">
        <f t="shared" si="434"/>
        <v>350</v>
      </c>
      <c r="Z119" s="188">
        <f t="shared" si="328"/>
        <v>7.3477717513910772</v>
      </c>
      <c r="AA119" s="150">
        <f t="shared" si="329"/>
        <v>1.1223362040548261</v>
      </c>
      <c r="AB119" s="150">
        <f t="shared" si="330"/>
        <v>1.3843331364513862</v>
      </c>
      <c r="AC119" s="150"/>
      <c r="AD119" s="150">
        <f t="shared" si="331"/>
        <v>0.92572793909180973</v>
      </c>
      <c r="AE119" s="314">
        <f t="shared" si="332"/>
        <v>133.78552679473268</v>
      </c>
      <c r="AF119" s="456">
        <f t="shared" si="333"/>
        <v>0.94180591143705672</v>
      </c>
      <c r="AH119" s="150">
        <f t="shared" si="334"/>
        <v>3.6998315906797834</v>
      </c>
      <c r="AI119" s="150">
        <f t="shared" si="335"/>
        <v>6.0606060606060606</v>
      </c>
      <c r="AJ119" s="150">
        <f t="shared" si="336"/>
        <v>1.076448872454133</v>
      </c>
      <c r="AL119" s="314">
        <f t="shared" si="337"/>
        <v>360</v>
      </c>
      <c r="AM119" s="144">
        <f t="shared" si="338"/>
        <v>133.78552679473268</v>
      </c>
      <c r="AO119" s="144">
        <f t="shared" si="339"/>
        <v>360</v>
      </c>
      <c r="AP119" s="144">
        <f t="shared" si="340"/>
        <v>133.78552679473268</v>
      </c>
      <c r="AR119" s="5">
        <f t="shared" si="274"/>
        <v>7.4746500907702922</v>
      </c>
      <c r="AS119" s="5">
        <f t="shared" si="439"/>
        <v>1.4309072289425064</v>
      </c>
      <c r="AT119" s="5">
        <f t="shared" si="440"/>
        <v>6.043742861827786</v>
      </c>
      <c r="AU119" s="150">
        <f t="shared" si="441"/>
        <v>0.1914346774184644</v>
      </c>
      <c r="AW119" s="5">
        <f t="shared" si="341"/>
        <v>1.7170886747310077</v>
      </c>
      <c r="AX119" s="5">
        <f t="shared" si="342"/>
        <v>1.8244067169016955</v>
      </c>
      <c r="AY119" s="5">
        <f t="shared" si="343"/>
        <v>1.9287608254356476</v>
      </c>
      <c r="AZ119" s="5"/>
      <c r="BA119" s="150">
        <f t="shared" si="344"/>
        <v>1.530966662458928</v>
      </c>
      <c r="BB119" s="150">
        <f t="shared" si="345"/>
        <v>3.0181228999526621</v>
      </c>
      <c r="BC119" s="150">
        <f t="shared" si="346"/>
        <v>0.60583013134049779</v>
      </c>
      <c r="BD119" s="150"/>
      <c r="BE119" s="456">
        <f t="shared" si="347"/>
        <v>2.812630705872755E-2</v>
      </c>
      <c r="BF119" s="456">
        <f t="shared" si="348"/>
        <v>0.74989330586113589</v>
      </c>
      <c r="BG119" s="456">
        <f t="shared" si="349"/>
        <v>1.5385335581394259E-2</v>
      </c>
      <c r="BH119" s="456">
        <f t="shared" si="350"/>
        <v>0.17780432691465678</v>
      </c>
      <c r="BI119">
        <f t="shared" si="351"/>
        <v>8.9580802716713714E-3</v>
      </c>
      <c r="BJ119" s="144">
        <f t="shared" si="435"/>
        <v>24.343415853065633</v>
      </c>
      <c r="BK119">
        <f t="shared" si="352"/>
        <v>0.96989969868613657</v>
      </c>
      <c r="BL119" s="144">
        <f t="shared" si="436"/>
        <v>980.16735568758577</v>
      </c>
      <c r="BM119" s="150">
        <f t="shared" si="353"/>
        <v>0.24141599999999999</v>
      </c>
      <c r="BN119" s="150">
        <f t="shared" si="354"/>
        <v>5.130089999999999E-2</v>
      </c>
      <c r="BO119" s="456"/>
      <c r="BQ119" s="144">
        <f t="shared" si="355"/>
        <v>292.71690000000001</v>
      </c>
      <c r="BR119" s="456">
        <f t="shared" si="356"/>
        <v>3.2814024901848808E-2</v>
      </c>
      <c r="BS119" s="456">
        <f t="shared" si="357"/>
        <v>0.12752692174906136</v>
      </c>
      <c r="BT119" s="456">
        <f t="shared" si="358"/>
        <v>1.835150740200224E-3</v>
      </c>
      <c r="BU119" s="456">
        <f t="shared" si="359"/>
        <v>0.93601536193683177</v>
      </c>
      <c r="BV119" s="456"/>
      <c r="BW119" s="538">
        <f t="shared" si="360"/>
        <v>0.49140689364456447</v>
      </c>
      <c r="BX119" s="144">
        <f t="shared" si="361"/>
        <v>1589.5983529725067</v>
      </c>
      <c r="BY119" s="150">
        <f t="shared" si="362"/>
        <v>2.8624826086600921</v>
      </c>
      <c r="BZ119" s="5">
        <f t="shared" si="363"/>
        <v>11.258999999999999</v>
      </c>
      <c r="CA119" s="150">
        <f t="shared" si="364"/>
        <v>0.79729588684231667</v>
      </c>
      <c r="CB119" s="5">
        <f t="shared" si="365"/>
        <v>79.729588684231672</v>
      </c>
      <c r="CC119">
        <f t="shared" si="366"/>
        <v>9</v>
      </c>
      <c r="CE119" s="59">
        <f t="shared" si="367"/>
        <v>-50</v>
      </c>
      <c r="CF119">
        <f t="shared" si="368"/>
        <v>-50</v>
      </c>
      <c r="CG119" s="150">
        <f t="shared" si="369"/>
        <v>0.12189527413554203</v>
      </c>
      <c r="CH119" s="150">
        <f t="shared" si="370"/>
        <v>2.5728912514317057E-2</v>
      </c>
      <c r="CI119" s="147">
        <v>9</v>
      </c>
      <c r="CJ119" s="188">
        <f t="shared" si="437"/>
        <v>0.36</v>
      </c>
      <c r="CK119" s="188">
        <f t="shared" si="371"/>
        <v>7.6499999999999999E-2</v>
      </c>
      <c r="CL119" s="188">
        <f t="shared" si="372"/>
        <v>10.799999999999999</v>
      </c>
      <c r="CM119" s="188">
        <f t="shared" si="373"/>
        <v>0.45899999999999996</v>
      </c>
      <c r="CN119" s="465">
        <f t="shared" si="374"/>
        <v>20</v>
      </c>
      <c r="CO119" s="379">
        <f t="shared" si="375"/>
        <v>30.7</v>
      </c>
      <c r="CP119" s="379">
        <f t="shared" si="376"/>
        <v>50.7</v>
      </c>
      <c r="CQ119" s="379"/>
      <c r="CR119" s="188">
        <f t="shared" si="377"/>
        <v>0.60317460317460314</v>
      </c>
      <c r="CS119" s="149">
        <f t="shared" si="378"/>
        <v>175.32871249897633</v>
      </c>
      <c r="CT119" s="149">
        <f t="shared" si="379"/>
        <v>7.4514702812064924</v>
      </c>
      <c r="CU119" s="188">
        <f t="shared" si="380"/>
        <v>5.8442904166325444</v>
      </c>
      <c r="CV119" s="188">
        <f t="shared" si="381"/>
        <v>29.22145208316272</v>
      </c>
      <c r="CW119" s="188">
        <f t="shared" si="382"/>
        <v>30</v>
      </c>
      <c r="CX119" s="188">
        <f t="shared" si="383"/>
        <v>1.8666236842105262</v>
      </c>
      <c r="CY119" s="188">
        <f t="shared" si="384"/>
        <v>0.4386565657894736</v>
      </c>
      <c r="CZ119" s="188">
        <f t="shared" si="385"/>
        <v>0.28576974969998281</v>
      </c>
      <c r="DA119" s="172">
        <f t="shared" si="386"/>
        <v>350</v>
      </c>
      <c r="DB119" s="379">
        <f t="shared" si="387"/>
        <v>350</v>
      </c>
      <c r="DD119" s="188">
        <f t="shared" si="388"/>
        <v>7.3619779020761014</v>
      </c>
      <c r="DE119" s="150">
        <f t="shared" si="389"/>
        <v>1.1270780501549733</v>
      </c>
      <c r="DF119" s="150">
        <f t="shared" si="390"/>
        <v>1.3928696857096292</v>
      </c>
      <c r="DG119" s="150"/>
      <c r="DH119" s="150">
        <f t="shared" si="391"/>
        <v>0.92784522751949461</v>
      </c>
      <c r="DI119" s="314">
        <f t="shared" si="392"/>
        <v>133.48023606382975</v>
      </c>
      <c r="DJ119" s="456">
        <f t="shared" si="393"/>
        <v>0.94395997276890675</v>
      </c>
      <c r="DL119" s="150">
        <f t="shared" si="394"/>
        <v>3.6998315906797834</v>
      </c>
      <c r="DM119" s="150">
        <f t="shared" si="395"/>
        <v>6.0606060606060606</v>
      </c>
      <c r="DN119" s="150">
        <f t="shared" si="396"/>
        <v>1.0762744206079027</v>
      </c>
      <c r="DP119" s="314">
        <f t="shared" si="397"/>
        <v>360</v>
      </c>
      <c r="DQ119" s="144">
        <f t="shared" si="398"/>
        <v>133.48023606382975</v>
      </c>
      <c r="DS119" s="144">
        <f t="shared" si="399"/>
        <v>360</v>
      </c>
      <c r="DT119" s="144">
        <f t="shared" si="400"/>
        <v>133.48023606382975</v>
      </c>
      <c r="DV119" s="5">
        <f t="shared" si="401"/>
        <v>7.4917458156262455</v>
      </c>
      <c r="DW119" s="5">
        <f t="shared" si="402"/>
        <v>1.4242424242424243</v>
      </c>
      <c r="DX119" s="5">
        <f t="shared" si="403"/>
        <v>6.0675033913838217</v>
      </c>
      <c r="DY119" s="150">
        <f t="shared" si="404"/>
        <v>0.19010821499999994</v>
      </c>
      <c r="EA119" s="5">
        <f t="shared" si="405"/>
        <v>1.709090909090909</v>
      </c>
      <c r="EB119" s="5">
        <f t="shared" si="406"/>
        <v>1.8159090909090909</v>
      </c>
      <c r="EC119" s="5">
        <f t="shared" si="407"/>
        <v>1.9273246066748606</v>
      </c>
      <c r="ED119" s="5"/>
      <c r="EE119" s="150">
        <f t="shared" si="408"/>
        <v>1.5256533622740718</v>
      </c>
      <c r="EF119" s="150">
        <f t="shared" si="409"/>
        <v>3.0205975213071712</v>
      </c>
      <c r="EG119" s="150">
        <f t="shared" si="410"/>
        <v>0.60632686398854319</v>
      </c>
      <c r="EH119" s="150"/>
      <c r="EI119" s="456">
        <f t="shared" si="411"/>
        <v>2.7931418181818164E-2</v>
      </c>
      <c r="EJ119" s="456">
        <f t="shared" si="412"/>
        <v>0.7792818872744679</v>
      </c>
      <c r="EK119" s="456">
        <f t="shared" si="413"/>
        <v>1.5350227147340424E-2</v>
      </c>
      <c r="EL119" s="456">
        <f t="shared" si="414"/>
        <v>0.1775592242098519</v>
      </c>
      <c r="EM119">
        <f t="shared" si="415"/>
        <v>8.9999999999999993E-3</v>
      </c>
      <c r="EN119" s="144">
        <f t="shared" si="416"/>
        <v>24.350227147340423</v>
      </c>
      <c r="EP119" s="144">
        <f t="shared" si="438"/>
        <v>1009.1227568134784</v>
      </c>
      <c r="EQ119" s="150">
        <f t="shared" si="417"/>
        <v>0.252</v>
      </c>
      <c r="ER119" s="150">
        <f t="shared" si="418"/>
        <v>3.6643499999999996E-2</v>
      </c>
      <c r="ES119" s="456"/>
      <c r="EU119" s="144">
        <f t="shared" si="419"/>
        <v>288.64350000000002</v>
      </c>
      <c r="EV119" s="456">
        <f t="shared" si="420"/>
        <v>3.2586654545454521E-2</v>
      </c>
      <c r="EW119" s="456">
        <f t="shared" si="421"/>
        <v>0.12773613140017837</v>
      </c>
      <c r="EX119" s="456">
        <f t="shared" si="422"/>
        <v>1.8381613299709068E-3</v>
      </c>
      <c r="EY119" s="456">
        <f t="shared" si="423"/>
        <v>0.93068466685633655</v>
      </c>
      <c r="EZ119" s="456"/>
      <c r="FA119" s="538">
        <f t="shared" si="424"/>
        <v>0.49028553191489344</v>
      </c>
      <c r="FB119" s="144">
        <f t="shared" si="425"/>
        <v>1583.1311460468337</v>
      </c>
      <c r="FC119" s="150">
        <f t="shared" si="426"/>
        <v>2.8808974028603123</v>
      </c>
      <c r="FD119" s="5">
        <f t="shared" si="427"/>
        <v>11.258999999999999</v>
      </c>
      <c r="FE119" s="150">
        <f t="shared" si="428"/>
        <v>0.79625754552663552</v>
      </c>
      <c r="FF119" s="5">
        <f t="shared" si="429"/>
        <v>79.625754552663551</v>
      </c>
      <c r="FG119">
        <f t="shared" si="430"/>
        <v>9</v>
      </c>
      <c r="FI119" s="59">
        <f t="shared" si="431"/>
        <v>-50</v>
      </c>
      <c r="FJ119">
        <f t="shared" si="432"/>
        <v>-50</v>
      </c>
    </row>
    <row r="120" spans="5:166">
      <c r="E120" s="147">
        <v>10</v>
      </c>
      <c r="F120" s="188">
        <f t="shared" si="433"/>
        <v>0.4</v>
      </c>
      <c r="G120" s="188">
        <f t="shared" si="312"/>
        <v>8.5000000000000006E-2</v>
      </c>
      <c r="H120" s="188">
        <f t="shared" si="313"/>
        <v>12</v>
      </c>
      <c r="I120" s="188">
        <f t="shared" si="314"/>
        <v>0.51</v>
      </c>
      <c r="J120" s="465">
        <f t="shared" si="315"/>
        <v>19.906845048158605</v>
      </c>
      <c r="K120" s="379">
        <f t="shared" si="316"/>
        <v>30.770215829062796</v>
      </c>
      <c r="L120" s="149">
        <f t="shared" si="317"/>
        <v>50.6770608772214</v>
      </c>
      <c r="M120" s="379"/>
      <c r="N120" s="188">
        <f t="shared" si="318"/>
        <v>0.60718232858081078</v>
      </c>
      <c r="O120" s="149">
        <f t="shared" si="319"/>
        <v>175.67160135220297</v>
      </c>
      <c r="P120" s="149">
        <f t="shared" si="320"/>
        <v>7.4660430574686245</v>
      </c>
      <c r="Q120" s="188">
        <f t="shared" si="321"/>
        <v>5.8557200450734319</v>
      </c>
      <c r="R120" s="188">
        <f t="shared" si="322"/>
        <v>29.27860022536716</v>
      </c>
      <c r="S120" s="188">
        <f t="shared" si="323"/>
        <v>30</v>
      </c>
      <c r="T120" s="188">
        <f t="shared" si="324"/>
        <v>2.0699780774885252</v>
      </c>
      <c r="U120" s="188">
        <f t="shared" si="325"/>
        <v>0.48872118814708904</v>
      </c>
      <c r="V120" s="188">
        <f t="shared" si="326"/>
        <v>0.31617902904038209</v>
      </c>
      <c r="W120" s="172">
        <f t="shared" si="327"/>
        <v>350</v>
      </c>
      <c r="X120" s="379">
        <f t="shared" si="434"/>
        <v>350</v>
      </c>
      <c r="Z120" s="188">
        <f t="shared" si="328"/>
        <v>7.3477717513910772</v>
      </c>
      <c r="AA120" s="150">
        <f t="shared" si="329"/>
        <v>1.1223362040548261</v>
      </c>
      <c r="AB120" s="150">
        <f t="shared" si="330"/>
        <v>1.3843331364513862</v>
      </c>
      <c r="AC120" s="150"/>
      <c r="AD120" s="150">
        <f t="shared" si="331"/>
        <v>0.92572793909180973</v>
      </c>
      <c r="AE120" s="314">
        <f t="shared" si="332"/>
        <v>148.6505853274808</v>
      </c>
      <c r="AF120" s="456">
        <f t="shared" si="333"/>
        <v>0.94180591143705672</v>
      </c>
      <c r="AH120" s="150">
        <f t="shared" si="334"/>
        <v>3.8999649285306397</v>
      </c>
      <c r="AI120" s="150">
        <f t="shared" si="335"/>
        <v>6.0606060606060606</v>
      </c>
      <c r="AJ120" s="150">
        <f t="shared" si="336"/>
        <v>1.0849431916157033</v>
      </c>
      <c r="AL120" s="314">
        <f t="shared" si="337"/>
        <v>400</v>
      </c>
      <c r="AM120" s="144">
        <f t="shared" si="338"/>
        <v>148.6505853274808</v>
      </c>
      <c r="AO120" s="144">
        <f t="shared" si="339"/>
        <v>400</v>
      </c>
      <c r="AP120" s="144">
        <f t="shared" si="340"/>
        <v>148.6505853274808</v>
      </c>
      <c r="AR120" s="5">
        <f t="shared" si="274"/>
        <v>6.7271850816932606</v>
      </c>
      <c r="AS120" s="5">
        <f t="shared" si="439"/>
        <v>1.4309072289425064</v>
      </c>
      <c r="AT120" s="5">
        <f t="shared" si="440"/>
        <v>5.2962778527507544</v>
      </c>
      <c r="AU120" s="150">
        <f t="shared" si="441"/>
        <v>0.21270519713162717</v>
      </c>
      <c r="AW120" s="5">
        <f t="shared" si="341"/>
        <v>1.9078763052566754</v>
      </c>
      <c r="AX120" s="5">
        <f t="shared" si="342"/>
        <v>2.0271185743352174</v>
      </c>
      <c r="AY120" s="5">
        <f t="shared" si="343"/>
        <v>1.878021888192555</v>
      </c>
      <c r="AZ120" s="5"/>
      <c r="BA120" s="150">
        <f t="shared" si="344"/>
        <v>1.613780558385471</v>
      </c>
      <c r="BB120" s="150">
        <f t="shared" si="345"/>
        <v>2.9781602111313958</v>
      </c>
      <c r="BC120" s="150">
        <f t="shared" si="346"/>
        <v>0.59780839007287523</v>
      </c>
      <c r="BD120" s="150"/>
      <c r="BE120" s="456">
        <f t="shared" si="347"/>
        <v>3.1251452287475071E-2</v>
      </c>
      <c r="BF120" s="456">
        <f t="shared" si="348"/>
        <v>0.83321478429015117</v>
      </c>
      <c r="BG120" s="456">
        <f t="shared" si="349"/>
        <v>1.7094817312660292E-2</v>
      </c>
      <c r="BH120" s="456">
        <f t="shared" si="350"/>
        <v>0.19756036323850756</v>
      </c>
      <c r="BI120">
        <f t="shared" si="351"/>
        <v>8.9580802716713714E-3</v>
      </c>
      <c r="BJ120" s="144">
        <f t="shared" si="435"/>
        <v>26.052897584331664</v>
      </c>
      <c r="BK120">
        <f t="shared" si="352"/>
        <v>1.0784725225552325</v>
      </c>
      <c r="BL120" s="144">
        <f t="shared" si="436"/>
        <v>1088.0794974004652</v>
      </c>
      <c r="BM120" s="150">
        <f t="shared" si="353"/>
        <v>0.26823999999999998</v>
      </c>
      <c r="BN120" s="150">
        <f t="shared" si="354"/>
        <v>5.7000999999999996E-2</v>
      </c>
      <c r="BO120" s="456"/>
      <c r="BQ120" s="144">
        <f t="shared" si="355"/>
        <v>325.24099999999999</v>
      </c>
      <c r="BR120" s="456">
        <f t="shared" si="356"/>
        <v>3.6460027668720918E-2</v>
      </c>
      <c r="BS120" s="456">
        <f t="shared" si="357"/>
        <v>0.12417213540432681</v>
      </c>
      <c r="BT120" s="456">
        <f t="shared" si="358"/>
        <v>1.7868743562076148E-3</v>
      </c>
      <c r="BU120" s="456">
        <f t="shared" si="359"/>
        <v>1.2180824973774769</v>
      </c>
      <c r="BV120" s="456"/>
      <c r="BW120" s="538">
        <f t="shared" si="360"/>
        <v>0.5460076596050718</v>
      </c>
      <c r="BX120" s="144">
        <f t="shared" si="361"/>
        <v>1926.5091944118039</v>
      </c>
      <c r="BY120" s="150">
        <f t="shared" si="362"/>
        <v>3.3398296918122696</v>
      </c>
      <c r="BZ120" s="5">
        <f t="shared" si="363"/>
        <v>12.51</v>
      </c>
      <c r="CA120" s="150">
        <f t="shared" si="364"/>
        <v>0.78928292879149586</v>
      </c>
      <c r="CB120" s="5">
        <f t="shared" si="365"/>
        <v>78.928292879149581</v>
      </c>
      <c r="CC120">
        <f t="shared" si="366"/>
        <v>10</v>
      </c>
      <c r="CE120" s="59">
        <f t="shared" si="367"/>
        <v>-50</v>
      </c>
      <c r="CF120">
        <f t="shared" si="368"/>
        <v>-50</v>
      </c>
      <c r="CG120" s="150">
        <f t="shared" si="369"/>
        <v>0.13543919348393563</v>
      </c>
      <c r="CH120" s="150">
        <f t="shared" si="370"/>
        <v>2.8587680571463402E-2</v>
      </c>
      <c r="CI120" s="147">
        <v>10</v>
      </c>
      <c r="CJ120" s="188">
        <f t="shared" si="437"/>
        <v>0.4</v>
      </c>
      <c r="CK120" s="188">
        <f t="shared" si="371"/>
        <v>8.5000000000000006E-2</v>
      </c>
      <c r="CL120" s="188">
        <f t="shared" si="372"/>
        <v>12</v>
      </c>
      <c r="CM120" s="188">
        <f t="shared" si="373"/>
        <v>0.51</v>
      </c>
      <c r="CN120" s="465">
        <f t="shared" si="374"/>
        <v>20</v>
      </c>
      <c r="CO120" s="379">
        <f t="shared" si="375"/>
        <v>30.7</v>
      </c>
      <c r="CP120" s="379">
        <f t="shared" si="376"/>
        <v>50.7</v>
      </c>
      <c r="CQ120" s="379"/>
      <c r="CR120" s="188">
        <f t="shared" si="377"/>
        <v>0.60317460317460314</v>
      </c>
      <c r="CS120" s="149">
        <f t="shared" si="378"/>
        <v>175.32871249897633</v>
      </c>
      <c r="CT120" s="149">
        <f t="shared" si="379"/>
        <v>7.4514702812064924</v>
      </c>
      <c r="CU120" s="188">
        <f t="shared" si="380"/>
        <v>5.8442904166325444</v>
      </c>
      <c r="CV120" s="188">
        <f t="shared" si="381"/>
        <v>29.22145208316272</v>
      </c>
      <c r="CW120" s="188">
        <f t="shared" si="382"/>
        <v>30</v>
      </c>
      <c r="CX120" s="188">
        <f t="shared" si="383"/>
        <v>2.0740263157894736</v>
      </c>
      <c r="CY120" s="188">
        <f t="shared" si="384"/>
        <v>0.48739618421052633</v>
      </c>
      <c r="CZ120" s="188">
        <f t="shared" si="385"/>
        <v>0.31752194411109202</v>
      </c>
      <c r="DA120" s="172">
        <f t="shared" si="386"/>
        <v>350</v>
      </c>
      <c r="DB120" s="379">
        <f t="shared" si="387"/>
        <v>350</v>
      </c>
      <c r="DD120" s="188">
        <f t="shared" si="388"/>
        <v>7.3619779020761014</v>
      </c>
      <c r="DE120" s="150">
        <f t="shared" si="389"/>
        <v>1.1270780501549733</v>
      </c>
      <c r="DF120" s="150">
        <f t="shared" si="390"/>
        <v>1.3928696857096292</v>
      </c>
      <c r="DG120" s="150"/>
      <c r="DH120" s="150">
        <f t="shared" si="391"/>
        <v>0.92784522751949461</v>
      </c>
      <c r="DI120" s="314">
        <f t="shared" si="392"/>
        <v>148.31137340425533</v>
      </c>
      <c r="DJ120" s="456">
        <f t="shared" si="393"/>
        <v>0.94395997276890675</v>
      </c>
      <c r="DL120" s="150">
        <f t="shared" si="394"/>
        <v>3.8999649285306397</v>
      </c>
      <c r="DM120" s="150">
        <f t="shared" si="395"/>
        <v>6.0606060606060606</v>
      </c>
      <c r="DN120" s="150">
        <f t="shared" si="396"/>
        <v>1.0847493562310031</v>
      </c>
      <c r="DP120" s="314">
        <f t="shared" si="397"/>
        <v>400</v>
      </c>
      <c r="DQ120" s="144">
        <f t="shared" si="398"/>
        <v>148.31137340425533</v>
      </c>
      <c r="DS120" s="144">
        <f t="shared" si="399"/>
        <v>400</v>
      </c>
      <c r="DT120" s="144">
        <f t="shared" si="400"/>
        <v>148.31137340425533</v>
      </c>
      <c r="DV120" s="5">
        <f t="shared" si="401"/>
        <v>6.7425712340636181</v>
      </c>
      <c r="DW120" s="5">
        <f t="shared" si="402"/>
        <v>1.4242424242424243</v>
      </c>
      <c r="DX120" s="5">
        <f t="shared" si="403"/>
        <v>5.3183288098211943</v>
      </c>
      <c r="DY120" s="150">
        <f t="shared" si="404"/>
        <v>0.21123135000000004</v>
      </c>
      <c r="EA120" s="5">
        <f t="shared" si="405"/>
        <v>1.898989898989899</v>
      </c>
      <c r="EB120" s="5">
        <f t="shared" si="406"/>
        <v>2.0176767676767682</v>
      </c>
      <c r="EC120" s="5">
        <f t="shared" si="407"/>
        <v>1.8770572269957153</v>
      </c>
      <c r="ED120" s="5"/>
      <c r="EE120" s="150">
        <f t="shared" si="408"/>
        <v>1.6081798482266918</v>
      </c>
      <c r="EF120" s="150">
        <f t="shared" si="409"/>
        <v>2.9809465248023224</v>
      </c>
      <c r="EG120" s="150">
        <f t="shared" si="410"/>
        <v>0.59836768895935843</v>
      </c>
      <c r="EH120" s="150"/>
      <c r="EI120" s="456">
        <f t="shared" si="411"/>
        <v>3.1034909090909106E-2</v>
      </c>
      <c r="EJ120" s="456">
        <f t="shared" si="412"/>
        <v>0.86586876363829823</v>
      </c>
      <c r="EK120" s="456">
        <f t="shared" si="413"/>
        <v>1.7055807941489365E-2</v>
      </c>
      <c r="EL120" s="456">
        <f t="shared" si="414"/>
        <v>0.19728802689983549</v>
      </c>
      <c r="EM120">
        <f t="shared" si="415"/>
        <v>8.9999999999999993E-3</v>
      </c>
      <c r="EN120" s="144">
        <f t="shared" si="416"/>
        <v>26.055807941489366</v>
      </c>
      <c r="EP120" s="144">
        <f t="shared" si="438"/>
        <v>1120.2475075705322</v>
      </c>
      <c r="EQ120" s="150">
        <f t="shared" si="417"/>
        <v>0.27999999999999997</v>
      </c>
      <c r="ER120" s="150">
        <f t="shared" si="418"/>
        <v>4.0715000000000001E-2</v>
      </c>
      <c r="ES120" s="456"/>
      <c r="EU120" s="144">
        <f t="shared" si="419"/>
        <v>320.71499999999997</v>
      </c>
      <c r="EV120" s="456">
        <f t="shared" si="420"/>
        <v>3.6207393939393956E-2</v>
      </c>
      <c r="EW120" s="456">
        <f t="shared" si="421"/>
        <v>0.1244045905722346</v>
      </c>
      <c r="EX120" s="456">
        <f t="shared" si="422"/>
        <v>1.7902194559528176E-3</v>
      </c>
      <c r="EY120" s="456">
        <f t="shared" si="423"/>
        <v>1.211145403564218</v>
      </c>
      <c r="EZ120" s="456"/>
      <c r="FA120" s="538">
        <f t="shared" si="424"/>
        <v>0.54476170212765962</v>
      </c>
      <c r="FB120" s="144">
        <f t="shared" si="425"/>
        <v>1918.3093096594589</v>
      </c>
      <c r="FC120" s="150">
        <f t="shared" si="426"/>
        <v>3.3592718172299909</v>
      </c>
      <c r="FD120" s="5">
        <f t="shared" si="427"/>
        <v>12.51</v>
      </c>
      <c r="FE120" s="150">
        <f t="shared" si="428"/>
        <v>0.78831594442898911</v>
      </c>
      <c r="FF120" s="5">
        <f t="shared" si="429"/>
        <v>78.831594442898904</v>
      </c>
      <c r="FG120">
        <f t="shared" si="430"/>
        <v>10</v>
      </c>
      <c r="FI120" s="59">
        <f t="shared" si="431"/>
        <v>-50</v>
      </c>
      <c r="FJ120">
        <f t="shared" si="432"/>
        <v>-50</v>
      </c>
    </row>
    <row r="121" spans="5:166">
      <c r="E121" s="147">
        <v>11</v>
      </c>
      <c r="F121" s="188">
        <f t="shared" si="433"/>
        <v>0.44</v>
      </c>
      <c r="G121" s="188">
        <f t="shared" si="312"/>
        <v>9.35E-2</v>
      </c>
      <c r="H121" s="188">
        <f t="shared" si="313"/>
        <v>13.2</v>
      </c>
      <c r="I121" s="188">
        <f t="shared" si="314"/>
        <v>0.56099999999999994</v>
      </c>
      <c r="J121" s="465">
        <f t="shared" si="315"/>
        <v>19.906845048158605</v>
      </c>
      <c r="K121" s="379">
        <f t="shared" si="316"/>
        <v>30.770215829062796</v>
      </c>
      <c r="L121" s="149">
        <f t="shared" si="317"/>
        <v>50.6770608772214</v>
      </c>
      <c r="M121" s="379"/>
      <c r="N121" s="188">
        <f t="shared" si="318"/>
        <v>0.60718232858081078</v>
      </c>
      <c r="O121" s="149">
        <f t="shared" si="319"/>
        <v>175.67160135220297</v>
      </c>
      <c r="P121" s="149">
        <f t="shared" si="320"/>
        <v>7.4660430574686245</v>
      </c>
      <c r="Q121" s="188">
        <f t="shared" si="321"/>
        <v>5.8557200450734319</v>
      </c>
      <c r="R121" s="188">
        <f t="shared" si="322"/>
        <v>29.27860022536716</v>
      </c>
      <c r="S121" s="188">
        <f t="shared" si="323"/>
        <v>30</v>
      </c>
      <c r="T121" s="188">
        <f t="shared" si="324"/>
        <v>2.2769758852373774</v>
      </c>
      <c r="U121" s="188">
        <f t="shared" si="325"/>
        <v>0.53759330696179775</v>
      </c>
      <c r="V121" s="188">
        <f t="shared" si="326"/>
        <v>0.34779693194442013</v>
      </c>
      <c r="W121" s="172">
        <f t="shared" si="327"/>
        <v>350</v>
      </c>
      <c r="X121" s="379">
        <f t="shared" si="434"/>
        <v>350</v>
      </c>
      <c r="Z121" s="188">
        <f t="shared" si="328"/>
        <v>7.3477717513910772</v>
      </c>
      <c r="AA121" s="150">
        <f t="shared" si="329"/>
        <v>1.1223362040548261</v>
      </c>
      <c r="AB121" s="150">
        <f t="shared" si="330"/>
        <v>1.3843331364513862</v>
      </c>
      <c r="AC121" s="150"/>
      <c r="AD121" s="150">
        <f t="shared" si="331"/>
        <v>0.92572793909180973</v>
      </c>
      <c r="AE121" s="314">
        <f t="shared" si="332"/>
        <v>163.51564386022886</v>
      </c>
      <c r="AF121" s="456">
        <f t="shared" si="333"/>
        <v>0.94180591143705672</v>
      </c>
      <c r="AH121" s="150">
        <f t="shared" si="334"/>
        <v>4.0903177245962077</v>
      </c>
      <c r="AI121" s="150">
        <f t="shared" si="335"/>
        <v>6.0606060606060606</v>
      </c>
      <c r="AJ121" s="150">
        <f t="shared" si="336"/>
        <v>1.0934375107772736</v>
      </c>
      <c r="AL121" s="314">
        <f t="shared" si="337"/>
        <v>440</v>
      </c>
      <c r="AM121" s="144">
        <f t="shared" si="338"/>
        <v>163.51564386022886</v>
      </c>
      <c r="AO121" s="144">
        <f t="shared" si="339"/>
        <v>440</v>
      </c>
      <c r="AP121" s="144">
        <f t="shared" si="340"/>
        <v>163.51564386022886</v>
      </c>
      <c r="AR121" s="5">
        <f t="shared" si="274"/>
        <v>6.1156228015393292</v>
      </c>
      <c r="AS121" s="5">
        <f t="shared" si="439"/>
        <v>1.4309072289425064</v>
      </c>
      <c r="AT121" s="5">
        <f t="shared" si="440"/>
        <v>4.684715572596823</v>
      </c>
      <c r="AU121" s="150">
        <f t="shared" si="441"/>
        <v>0.23397571684478982</v>
      </c>
      <c r="AW121" s="5">
        <f t="shared" si="341"/>
        <v>2.0986639357823429</v>
      </c>
      <c r="AX121" s="5">
        <f t="shared" si="342"/>
        <v>2.2298304317687392</v>
      </c>
      <c r="AY121" s="5">
        <f t="shared" si="343"/>
        <v>1.8272829509494637</v>
      </c>
      <c r="AZ121" s="5"/>
      <c r="BA121" s="150">
        <f t="shared" si="344"/>
        <v>1.6925473286396495</v>
      </c>
      <c r="BB121" s="150">
        <f t="shared" si="345"/>
        <v>2.9376539359008476</v>
      </c>
      <c r="BC121" s="150">
        <f t="shared" si="346"/>
        <v>0.58967753428717395</v>
      </c>
      <c r="BD121" s="150"/>
      <c r="BE121" s="456">
        <f t="shared" si="347"/>
        <v>3.4376597516222566E-2</v>
      </c>
      <c r="BF121" s="456">
        <f t="shared" si="348"/>
        <v>0.91653626271916622</v>
      </c>
      <c r="BG121" s="456">
        <f t="shared" si="349"/>
        <v>1.8804299043926321E-2</v>
      </c>
      <c r="BH121" s="456">
        <f t="shared" si="350"/>
        <v>0.21731639956235832</v>
      </c>
      <c r="BI121">
        <f t="shared" si="351"/>
        <v>8.9580802716713714E-3</v>
      </c>
      <c r="BJ121" s="144">
        <f t="shared" si="435"/>
        <v>27.762379315597691</v>
      </c>
      <c r="BK121">
        <f t="shared" si="352"/>
        <v>1.1872079123798238</v>
      </c>
      <c r="BL121" s="144">
        <f t="shared" si="436"/>
        <v>1195.9916391133447</v>
      </c>
      <c r="BM121" s="150">
        <f t="shared" si="353"/>
        <v>0.29506399999999999</v>
      </c>
      <c r="BN121" s="150">
        <f t="shared" si="354"/>
        <v>6.2701099999999996E-2</v>
      </c>
      <c r="BO121" s="456"/>
      <c r="BQ121" s="144">
        <f t="shared" si="355"/>
        <v>357.76510000000002</v>
      </c>
      <c r="BR121" s="456">
        <f t="shared" si="356"/>
        <v>4.0106030435592993E-2</v>
      </c>
      <c r="BS121" s="456">
        <f t="shared" si="357"/>
        <v>0.12081734905959238</v>
      </c>
      <c r="BT121" s="456">
        <f t="shared" si="358"/>
        <v>1.7385979722150061E-3</v>
      </c>
      <c r="BU121" s="456">
        <f t="shared" si="359"/>
        <v>1.5458181982713393</v>
      </c>
      <c r="BV121" s="456"/>
      <c r="BW121" s="538">
        <f t="shared" si="360"/>
        <v>0.60060842556557892</v>
      </c>
      <c r="BX121" s="144">
        <f t="shared" si="361"/>
        <v>2309.0886013043182</v>
      </c>
      <c r="BY121" s="150">
        <f t="shared" si="362"/>
        <v>3.8628453404176635</v>
      </c>
      <c r="BZ121" s="5">
        <f t="shared" si="363"/>
        <v>13.760999999999999</v>
      </c>
      <c r="CA121" s="150">
        <f t="shared" si="364"/>
        <v>0.78081711080618688</v>
      </c>
      <c r="CB121" s="5">
        <f t="shared" si="365"/>
        <v>78.081711080618689</v>
      </c>
      <c r="CC121">
        <f t="shared" si="366"/>
        <v>11</v>
      </c>
      <c r="CE121" s="59">
        <f t="shared" si="367"/>
        <v>-50</v>
      </c>
      <c r="CF121">
        <f t="shared" si="368"/>
        <v>-50</v>
      </c>
      <c r="CG121" s="150">
        <f t="shared" si="369"/>
        <v>0.14898311283232918</v>
      </c>
      <c r="CH121" s="150">
        <f t="shared" si="370"/>
        <v>3.1446448628609736E-2</v>
      </c>
      <c r="CI121" s="147">
        <v>11</v>
      </c>
      <c r="CJ121" s="188">
        <f t="shared" si="437"/>
        <v>0.44</v>
      </c>
      <c r="CK121" s="188">
        <f t="shared" si="371"/>
        <v>9.35E-2</v>
      </c>
      <c r="CL121" s="188">
        <f t="shared" si="372"/>
        <v>13.2</v>
      </c>
      <c r="CM121" s="188">
        <f t="shared" si="373"/>
        <v>0.56099999999999994</v>
      </c>
      <c r="CN121" s="465">
        <f t="shared" si="374"/>
        <v>20</v>
      </c>
      <c r="CO121" s="379">
        <f t="shared" si="375"/>
        <v>30.7</v>
      </c>
      <c r="CP121" s="379">
        <f t="shared" si="376"/>
        <v>50.7</v>
      </c>
      <c r="CQ121" s="379"/>
      <c r="CR121" s="188">
        <f t="shared" si="377"/>
        <v>0.60317460317460314</v>
      </c>
      <c r="CS121" s="149">
        <f t="shared" si="378"/>
        <v>175.32871249897633</v>
      </c>
      <c r="CT121" s="149">
        <f t="shared" si="379"/>
        <v>7.4514702812064924</v>
      </c>
      <c r="CU121" s="188">
        <f t="shared" si="380"/>
        <v>5.8442904166325444</v>
      </c>
      <c r="CV121" s="188">
        <f t="shared" si="381"/>
        <v>29.22145208316272</v>
      </c>
      <c r="CW121" s="188">
        <f t="shared" si="382"/>
        <v>30</v>
      </c>
      <c r="CX121" s="188">
        <f t="shared" si="383"/>
        <v>2.2814289473684211</v>
      </c>
      <c r="CY121" s="188">
        <f t="shared" si="384"/>
        <v>0.53613580263157889</v>
      </c>
      <c r="CZ121" s="188">
        <f t="shared" si="385"/>
        <v>0.34927413852220124</v>
      </c>
      <c r="DA121" s="172">
        <f t="shared" si="386"/>
        <v>350</v>
      </c>
      <c r="DB121" s="379">
        <f t="shared" si="387"/>
        <v>350</v>
      </c>
      <c r="DD121" s="188">
        <f t="shared" si="388"/>
        <v>7.3619779020761014</v>
      </c>
      <c r="DE121" s="150">
        <f t="shared" si="389"/>
        <v>1.1270780501549733</v>
      </c>
      <c r="DF121" s="150">
        <f t="shared" si="390"/>
        <v>1.3928696857096292</v>
      </c>
      <c r="DG121" s="150"/>
      <c r="DH121" s="150">
        <f t="shared" si="391"/>
        <v>0.92784522751949461</v>
      </c>
      <c r="DI121" s="314">
        <f t="shared" si="392"/>
        <v>163.14251074468086</v>
      </c>
      <c r="DJ121" s="456">
        <f t="shared" si="393"/>
        <v>0.94395997276890675</v>
      </c>
      <c r="DL121" s="150">
        <f t="shared" si="394"/>
        <v>4.0903177245962077</v>
      </c>
      <c r="DM121" s="150">
        <f t="shared" si="395"/>
        <v>6.0606060606060606</v>
      </c>
      <c r="DN121" s="150">
        <f t="shared" si="396"/>
        <v>1.0932242918541033</v>
      </c>
      <c r="DP121" s="314">
        <f t="shared" si="397"/>
        <v>440</v>
      </c>
      <c r="DQ121" s="144">
        <f t="shared" si="398"/>
        <v>163.14251074468086</v>
      </c>
      <c r="DS121" s="144">
        <f t="shared" si="399"/>
        <v>440</v>
      </c>
      <c r="DT121" s="144">
        <f t="shared" si="400"/>
        <v>163.14251074468086</v>
      </c>
      <c r="DV121" s="5">
        <f t="shared" si="401"/>
        <v>6.1296102127851082</v>
      </c>
      <c r="DW121" s="5">
        <f t="shared" si="402"/>
        <v>1.4242424242424243</v>
      </c>
      <c r="DX121" s="5">
        <f t="shared" si="403"/>
        <v>4.7053677885426843</v>
      </c>
      <c r="DY121" s="150">
        <f t="shared" si="404"/>
        <v>0.232354485</v>
      </c>
      <c r="EA121" s="5">
        <f t="shared" si="405"/>
        <v>2.088888888888889</v>
      </c>
      <c r="EB121" s="5">
        <f t="shared" si="406"/>
        <v>2.219444444444445</v>
      </c>
      <c r="EC121" s="5">
        <f t="shared" si="407"/>
        <v>1.8267898473165713</v>
      </c>
      <c r="ED121" s="5"/>
      <c r="EE121" s="150">
        <f t="shared" si="408"/>
        <v>1.6866732542690854</v>
      </c>
      <c r="EF121" s="150">
        <f t="shared" si="409"/>
        <v>2.9407609528377283</v>
      </c>
      <c r="EG121" s="150">
        <f t="shared" si="410"/>
        <v>0.59030120818692711</v>
      </c>
      <c r="EH121" s="150"/>
      <c r="EI121" s="456">
        <f t="shared" si="411"/>
        <v>3.4138400000000006E-2</v>
      </c>
      <c r="EJ121" s="456">
        <f t="shared" si="412"/>
        <v>0.9524556400021279</v>
      </c>
      <c r="EK121" s="456">
        <f t="shared" si="413"/>
        <v>1.8761388735638301E-2</v>
      </c>
      <c r="EL121" s="456">
        <f t="shared" si="414"/>
        <v>0.21701682958981905</v>
      </c>
      <c r="EM121">
        <f t="shared" si="415"/>
        <v>8.9999999999999993E-3</v>
      </c>
      <c r="EN121" s="144">
        <f t="shared" si="416"/>
        <v>27.761388735638299</v>
      </c>
      <c r="EP121" s="144">
        <f t="shared" si="438"/>
        <v>1231.3722583275851</v>
      </c>
      <c r="EQ121" s="150">
        <f t="shared" si="417"/>
        <v>0.308</v>
      </c>
      <c r="ER121" s="150">
        <f t="shared" si="418"/>
        <v>4.47865E-2</v>
      </c>
      <c r="ES121" s="456"/>
      <c r="EU121" s="144">
        <f t="shared" si="419"/>
        <v>352.78649999999999</v>
      </c>
      <c r="EV121" s="456">
        <f t="shared" si="420"/>
        <v>3.9828133333333335E-2</v>
      </c>
      <c r="EW121" s="456">
        <f t="shared" si="421"/>
        <v>0.12107304974429089</v>
      </c>
      <c r="EX121" s="456">
        <f t="shared" si="422"/>
        <v>1.7422775819347295E-3</v>
      </c>
      <c r="EY121" s="456">
        <f t="shared" si="423"/>
        <v>1.5370146189712981</v>
      </c>
      <c r="EZ121" s="456"/>
      <c r="FA121" s="538">
        <f t="shared" si="424"/>
        <v>0.59923787234042558</v>
      </c>
      <c r="FB121" s="144">
        <f t="shared" si="425"/>
        <v>2298.8959519712826</v>
      </c>
      <c r="FC121" s="150">
        <f t="shared" si="426"/>
        <v>3.8830547102988677</v>
      </c>
      <c r="FD121" s="5">
        <f t="shared" si="427"/>
        <v>13.760999999999999</v>
      </c>
      <c r="FE121" s="150">
        <f t="shared" si="428"/>
        <v>0.77992276865746046</v>
      </c>
      <c r="FF121" s="5">
        <f t="shared" si="429"/>
        <v>77.992276865746049</v>
      </c>
      <c r="FG121">
        <f t="shared" si="430"/>
        <v>11</v>
      </c>
      <c r="FI121" s="59">
        <f t="shared" si="431"/>
        <v>-50</v>
      </c>
      <c r="FJ121">
        <f t="shared" si="432"/>
        <v>-50</v>
      </c>
    </row>
    <row r="122" spans="5:166">
      <c r="E122" s="147">
        <v>12</v>
      </c>
      <c r="F122" s="188">
        <f t="shared" si="433"/>
        <v>0.48</v>
      </c>
      <c r="G122" s="188">
        <f t="shared" si="312"/>
        <v>0.10199999999999999</v>
      </c>
      <c r="H122" s="188">
        <f t="shared" si="313"/>
        <v>14.399999999999999</v>
      </c>
      <c r="I122" s="188">
        <f t="shared" si="314"/>
        <v>0.61199999999999999</v>
      </c>
      <c r="J122" s="465">
        <f t="shared" si="315"/>
        <v>19.906845048158605</v>
      </c>
      <c r="K122" s="379">
        <f t="shared" si="316"/>
        <v>30.770215829062796</v>
      </c>
      <c r="L122" s="149">
        <f t="shared" si="317"/>
        <v>50.6770608772214</v>
      </c>
      <c r="M122" s="379"/>
      <c r="N122" s="188">
        <f t="shared" si="318"/>
        <v>0.60718232858081078</v>
      </c>
      <c r="O122" s="149">
        <f t="shared" si="319"/>
        <v>175.67160135220297</v>
      </c>
      <c r="P122" s="149">
        <f t="shared" si="320"/>
        <v>7.4660430574686245</v>
      </c>
      <c r="Q122" s="188">
        <f t="shared" si="321"/>
        <v>5.8557200450734319</v>
      </c>
      <c r="R122" s="188">
        <f t="shared" si="322"/>
        <v>29.27860022536716</v>
      </c>
      <c r="S122" s="188">
        <f t="shared" si="323"/>
        <v>30</v>
      </c>
      <c r="T122" s="188">
        <f t="shared" si="324"/>
        <v>2.4839736929862299</v>
      </c>
      <c r="U122" s="188">
        <f t="shared" si="325"/>
        <v>0.58646542577650673</v>
      </c>
      <c r="V122" s="188">
        <f t="shared" si="326"/>
        <v>0.37941483484845834</v>
      </c>
      <c r="W122" s="172">
        <f t="shared" si="327"/>
        <v>350</v>
      </c>
      <c r="X122" s="379">
        <f t="shared" si="434"/>
        <v>350</v>
      </c>
      <c r="Z122" s="188">
        <f t="shared" si="328"/>
        <v>7.3477717513910772</v>
      </c>
      <c r="AA122" s="150">
        <f t="shared" si="329"/>
        <v>1.1223362040548261</v>
      </c>
      <c r="AB122" s="150">
        <f t="shared" si="330"/>
        <v>1.3843331364513862</v>
      </c>
      <c r="AC122" s="150"/>
      <c r="AD122" s="150">
        <f t="shared" si="331"/>
        <v>0.92572793909180973</v>
      </c>
      <c r="AE122" s="314">
        <f t="shared" si="332"/>
        <v>178.38070239297693</v>
      </c>
      <c r="AF122" s="456">
        <f t="shared" si="333"/>
        <v>0.94180591143705672</v>
      </c>
      <c r="AH122" s="150">
        <f t="shared" si="334"/>
        <v>4.2721975296705086</v>
      </c>
      <c r="AI122" s="150">
        <f t="shared" si="335"/>
        <v>6.0606060606060606</v>
      </c>
      <c r="AJ122" s="150">
        <f t="shared" si="336"/>
        <v>1.1019318299388439</v>
      </c>
      <c r="AL122" s="314">
        <f t="shared" si="337"/>
        <v>480</v>
      </c>
      <c r="AM122" s="144">
        <f t="shared" si="338"/>
        <v>178.38070239297693</v>
      </c>
      <c r="AO122" s="144">
        <f t="shared" si="339"/>
        <v>480</v>
      </c>
      <c r="AP122" s="144">
        <f t="shared" si="340"/>
        <v>178.38070239297693</v>
      </c>
      <c r="AR122" s="5">
        <f t="shared" si="274"/>
        <v>5.605987568077718</v>
      </c>
      <c r="AS122" s="5">
        <f t="shared" si="439"/>
        <v>1.4309072289425064</v>
      </c>
      <c r="AT122" s="5">
        <f t="shared" si="440"/>
        <v>4.1750803391352118</v>
      </c>
      <c r="AU122" s="150">
        <f t="shared" si="441"/>
        <v>0.25524623655795259</v>
      </c>
      <c r="AW122" s="5">
        <f t="shared" si="341"/>
        <v>2.2894515663080099</v>
      </c>
      <c r="AX122" s="5">
        <f t="shared" si="342"/>
        <v>2.432542289202261</v>
      </c>
      <c r="AY122" s="5">
        <f t="shared" si="343"/>
        <v>1.7765440137063715</v>
      </c>
      <c r="AZ122" s="5"/>
      <c r="BA122" s="150">
        <f t="shared" si="344"/>
        <v>1.7678080293820102</v>
      </c>
      <c r="BB122" s="150">
        <f t="shared" si="345"/>
        <v>2.8965812695419535</v>
      </c>
      <c r="BC122" s="150">
        <f t="shared" si="346"/>
        <v>0.5814329863745944</v>
      </c>
      <c r="BD122" s="150"/>
      <c r="BE122" s="456">
        <f t="shared" si="347"/>
        <v>3.7501742744970076E-2</v>
      </c>
      <c r="BF122" s="456">
        <f t="shared" si="348"/>
        <v>0.99985774114818127</v>
      </c>
      <c r="BG122" s="456">
        <f t="shared" si="349"/>
        <v>2.0513780775192347E-2</v>
      </c>
      <c r="BH122" s="456">
        <f t="shared" si="350"/>
        <v>0.23707243588620905</v>
      </c>
      <c r="BI122">
        <f t="shared" si="351"/>
        <v>8.9580802716713714E-3</v>
      </c>
      <c r="BJ122" s="144">
        <f t="shared" si="435"/>
        <v>29.471861046863715</v>
      </c>
      <c r="BK122">
        <f t="shared" si="352"/>
        <v>1.2961062335481668</v>
      </c>
      <c r="BL122" s="144">
        <f t="shared" si="436"/>
        <v>1303.903780826224</v>
      </c>
      <c r="BM122" s="150">
        <f t="shared" si="353"/>
        <v>0.32188799999999995</v>
      </c>
      <c r="BN122" s="150">
        <f t="shared" si="354"/>
        <v>6.8401199999999995E-2</v>
      </c>
      <c r="BO122" s="456"/>
      <c r="BQ122" s="144">
        <f t="shared" si="355"/>
        <v>390.28919999999994</v>
      </c>
      <c r="BR122" s="456">
        <f t="shared" si="356"/>
        <v>4.3752033202465089E-2</v>
      </c>
      <c r="BS122" s="456">
        <f t="shared" si="357"/>
        <v>0.11746256271485785</v>
      </c>
      <c r="BT122" s="456">
        <f t="shared" si="358"/>
        <v>1.6903215882223962E-3</v>
      </c>
      <c r="BU122" s="456">
        <f t="shared" si="359"/>
        <v>1.9214532308617081</v>
      </c>
      <c r="BV122" s="456"/>
      <c r="BW122" s="538">
        <f t="shared" si="360"/>
        <v>0.65520919152608603</v>
      </c>
      <c r="BX122" s="144">
        <f t="shared" si="361"/>
        <v>2739.5673398933395</v>
      </c>
      <c r="BY122" s="150">
        <f t="shared" si="362"/>
        <v>4.4337603207195633</v>
      </c>
      <c r="BZ122" s="5">
        <f t="shared" si="363"/>
        <v>15.011999999999999</v>
      </c>
      <c r="CA122" s="150">
        <f t="shared" si="364"/>
        <v>0.77199347067980839</v>
      </c>
      <c r="CB122" s="5">
        <f t="shared" si="365"/>
        <v>77.199347067980838</v>
      </c>
      <c r="CC122">
        <f t="shared" si="366"/>
        <v>12</v>
      </c>
      <c r="CE122" s="59">
        <f t="shared" si="367"/>
        <v>-50</v>
      </c>
      <c r="CF122">
        <f t="shared" si="368"/>
        <v>-50</v>
      </c>
      <c r="CG122" s="150">
        <f t="shared" si="369"/>
        <v>0.16252703218072273</v>
      </c>
      <c r="CH122" s="150">
        <f t="shared" si="370"/>
        <v>3.4305216685756083E-2</v>
      </c>
      <c r="CI122" s="147">
        <v>12</v>
      </c>
      <c r="CJ122" s="188">
        <f t="shared" si="437"/>
        <v>0.48</v>
      </c>
      <c r="CK122" s="188">
        <f t="shared" si="371"/>
        <v>0.10199999999999999</v>
      </c>
      <c r="CL122" s="188">
        <f t="shared" si="372"/>
        <v>14.399999999999999</v>
      </c>
      <c r="CM122" s="188">
        <f t="shared" si="373"/>
        <v>0.61199999999999999</v>
      </c>
      <c r="CN122" s="465">
        <f t="shared" si="374"/>
        <v>20</v>
      </c>
      <c r="CO122" s="379">
        <f t="shared" si="375"/>
        <v>30.7</v>
      </c>
      <c r="CP122" s="379">
        <f t="shared" si="376"/>
        <v>50.7</v>
      </c>
      <c r="CQ122" s="379"/>
      <c r="CR122" s="188">
        <f t="shared" si="377"/>
        <v>0.60317460317460314</v>
      </c>
      <c r="CS122" s="149">
        <f t="shared" si="378"/>
        <v>175.32871249897633</v>
      </c>
      <c r="CT122" s="149">
        <f t="shared" si="379"/>
        <v>7.4514702812064924</v>
      </c>
      <c r="CU122" s="188">
        <f t="shared" si="380"/>
        <v>5.8442904166325444</v>
      </c>
      <c r="CV122" s="188">
        <f t="shared" si="381"/>
        <v>29.22145208316272</v>
      </c>
      <c r="CW122" s="188">
        <f t="shared" si="382"/>
        <v>30</v>
      </c>
      <c r="CX122" s="188">
        <f t="shared" si="383"/>
        <v>2.4888315789473681</v>
      </c>
      <c r="CY122" s="188">
        <f t="shared" si="384"/>
        <v>0.58487542105263146</v>
      </c>
      <c r="CZ122" s="188">
        <f t="shared" si="385"/>
        <v>0.3810263329333104</v>
      </c>
      <c r="DA122" s="172">
        <f t="shared" si="386"/>
        <v>350</v>
      </c>
      <c r="DB122" s="379">
        <f t="shared" si="387"/>
        <v>350</v>
      </c>
      <c r="DD122" s="188">
        <f t="shared" si="388"/>
        <v>7.3619779020761014</v>
      </c>
      <c r="DE122" s="150">
        <f t="shared" si="389"/>
        <v>1.1270780501549733</v>
      </c>
      <c r="DF122" s="150">
        <f t="shared" si="390"/>
        <v>1.3928696857096292</v>
      </c>
      <c r="DG122" s="150"/>
      <c r="DH122" s="150">
        <f t="shared" si="391"/>
        <v>0.92784522751949461</v>
      </c>
      <c r="DI122" s="314">
        <f t="shared" si="392"/>
        <v>177.97364808510639</v>
      </c>
      <c r="DJ122" s="456">
        <f t="shared" si="393"/>
        <v>0.94395997276890675</v>
      </c>
      <c r="DL122" s="150">
        <f t="shared" si="394"/>
        <v>4.2721975296705086</v>
      </c>
      <c r="DM122" s="150">
        <f t="shared" si="395"/>
        <v>6.0606060606060606</v>
      </c>
      <c r="DN122" s="150">
        <f t="shared" si="396"/>
        <v>1.1016992274772037</v>
      </c>
      <c r="DP122" s="314">
        <f t="shared" si="397"/>
        <v>480</v>
      </c>
      <c r="DQ122" s="144">
        <f t="shared" si="398"/>
        <v>177.97364808510639</v>
      </c>
      <c r="DS122" s="144">
        <f t="shared" si="399"/>
        <v>480</v>
      </c>
      <c r="DT122" s="144">
        <f t="shared" si="400"/>
        <v>177.97364808510639</v>
      </c>
      <c r="DV122" s="5">
        <f t="shared" si="401"/>
        <v>5.6188093617196824</v>
      </c>
      <c r="DW122" s="5">
        <f t="shared" si="402"/>
        <v>1.4242424242424243</v>
      </c>
      <c r="DX122" s="5">
        <f t="shared" si="403"/>
        <v>4.1945669374772585</v>
      </c>
      <c r="DY122" s="150">
        <f t="shared" si="404"/>
        <v>0.25347762000000001</v>
      </c>
      <c r="EA122" s="5">
        <f t="shared" si="405"/>
        <v>2.2787878787878788</v>
      </c>
      <c r="EB122" s="5">
        <f t="shared" si="406"/>
        <v>2.4212121212121214</v>
      </c>
      <c r="EC122" s="5">
        <f t="shared" si="407"/>
        <v>1.7765224676374269</v>
      </c>
      <c r="ED122" s="5"/>
      <c r="EE122" s="150">
        <f t="shared" si="408"/>
        <v>1.7616727587979868</v>
      </c>
      <c r="EF122" s="150">
        <f t="shared" si="409"/>
        <v>2.9000185826540981</v>
      </c>
      <c r="EG122" s="150">
        <f t="shared" si="410"/>
        <v>0.58212296087968218</v>
      </c>
      <c r="EH122" s="150"/>
      <c r="EI122" s="456">
        <f t="shared" si="411"/>
        <v>3.724189090909092E-2</v>
      </c>
      <c r="EJ122" s="456">
        <f t="shared" si="412"/>
        <v>1.0390425163659578</v>
      </c>
      <c r="EK122" s="456">
        <f t="shared" si="413"/>
        <v>2.0466969529787236E-2</v>
      </c>
      <c r="EL122" s="456">
        <f t="shared" si="414"/>
        <v>0.23674563227980258</v>
      </c>
      <c r="EM122">
        <f t="shared" si="415"/>
        <v>8.9999999999999993E-3</v>
      </c>
      <c r="EN122" s="144">
        <f t="shared" si="416"/>
        <v>29.466969529787239</v>
      </c>
      <c r="EP122" s="144">
        <f t="shared" si="438"/>
        <v>1342.4970090846384</v>
      </c>
      <c r="EQ122" s="150">
        <f t="shared" si="417"/>
        <v>0.33599999999999997</v>
      </c>
      <c r="ER122" s="150">
        <f t="shared" si="418"/>
        <v>4.8857999999999992E-2</v>
      </c>
      <c r="ES122" s="456"/>
      <c r="EU122" s="144">
        <f t="shared" si="419"/>
        <v>384.858</v>
      </c>
      <c r="EV122" s="456">
        <f t="shared" si="420"/>
        <v>4.3448872727272742E-2</v>
      </c>
      <c r="EW122" s="456">
        <f t="shared" si="421"/>
        <v>0.11774150891634717</v>
      </c>
      <c r="EX122" s="456">
        <f t="shared" si="422"/>
        <v>1.69433570791664E-3</v>
      </c>
      <c r="EY122" s="456">
        <f t="shared" si="423"/>
        <v>1.9105103748983594</v>
      </c>
      <c r="EZ122" s="456"/>
      <c r="FA122" s="538">
        <f t="shared" si="424"/>
        <v>0.65371404255319154</v>
      </c>
      <c r="FB122" s="144">
        <f t="shared" si="425"/>
        <v>2727.1091348030873</v>
      </c>
      <c r="FC122" s="150">
        <f t="shared" si="426"/>
        <v>4.4544641438877264</v>
      </c>
      <c r="FD122" s="5">
        <f t="shared" si="427"/>
        <v>15.011999999999999</v>
      </c>
      <c r="FE122" s="150">
        <f t="shared" si="428"/>
        <v>0.77117240650576058</v>
      </c>
      <c r="FF122" s="5">
        <f t="shared" si="429"/>
        <v>77.117240650576065</v>
      </c>
      <c r="FG122">
        <f t="shared" si="430"/>
        <v>12</v>
      </c>
      <c r="FI122" s="59">
        <f t="shared" si="431"/>
        <v>-50</v>
      </c>
      <c r="FJ122">
        <f t="shared" si="432"/>
        <v>-50</v>
      </c>
    </row>
    <row r="123" spans="5:166">
      <c r="E123" s="147">
        <v>13</v>
      </c>
      <c r="F123" s="188">
        <f t="shared" si="433"/>
        <v>0.52</v>
      </c>
      <c r="G123" s="188">
        <f t="shared" si="312"/>
        <v>0.1105</v>
      </c>
      <c r="H123" s="188">
        <f t="shared" si="313"/>
        <v>15.600000000000001</v>
      </c>
      <c r="I123" s="188">
        <f t="shared" si="314"/>
        <v>0.66300000000000003</v>
      </c>
      <c r="J123" s="465">
        <f t="shared" si="315"/>
        <v>19.906845048158605</v>
      </c>
      <c r="K123" s="379">
        <f t="shared" si="316"/>
        <v>30.770215829062796</v>
      </c>
      <c r="L123" s="149">
        <f t="shared" si="317"/>
        <v>50.6770608772214</v>
      </c>
      <c r="M123" s="379"/>
      <c r="N123" s="188">
        <f t="shared" si="318"/>
        <v>0.60718232858081078</v>
      </c>
      <c r="O123" s="149">
        <f t="shared" si="319"/>
        <v>175.67160135220297</v>
      </c>
      <c r="P123" s="149">
        <f t="shared" si="320"/>
        <v>7.4660430574686245</v>
      </c>
      <c r="Q123" s="188">
        <f t="shared" si="321"/>
        <v>5.8557200450734319</v>
      </c>
      <c r="R123" s="188">
        <f t="shared" si="322"/>
        <v>29.27860022536716</v>
      </c>
      <c r="S123" s="188">
        <f t="shared" si="323"/>
        <v>30</v>
      </c>
      <c r="T123" s="188">
        <f t="shared" si="324"/>
        <v>2.690971500735083</v>
      </c>
      <c r="U123" s="188">
        <f t="shared" si="325"/>
        <v>0.63533754459121572</v>
      </c>
      <c r="V123" s="188">
        <f t="shared" si="326"/>
        <v>0.41103273775249666</v>
      </c>
      <c r="W123" s="172">
        <f t="shared" si="327"/>
        <v>350</v>
      </c>
      <c r="X123" s="379">
        <f t="shared" si="434"/>
        <v>350</v>
      </c>
      <c r="Z123" s="188">
        <f t="shared" si="328"/>
        <v>7.3477717513910772</v>
      </c>
      <c r="AA123" s="150">
        <f t="shared" si="329"/>
        <v>1.1223362040548261</v>
      </c>
      <c r="AB123" s="150">
        <f t="shared" si="330"/>
        <v>1.3843331364513862</v>
      </c>
      <c r="AC123" s="150"/>
      <c r="AD123" s="150">
        <f t="shared" si="331"/>
        <v>0.92572793909180973</v>
      </c>
      <c r="AE123" s="314">
        <f t="shared" si="332"/>
        <v>193.24576092572499</v>
      </c>
      <c r="AF123" s="456">
        <f t="shared" si="333"/>
        <v>0.94180591143705672</v>
      </c>
      <c r="AH123" s="150">
        <f t="shared" si="334"/>
        <v>4.4466441702591517</v>
      </c>
      <c r="AI123" s="150">
        <f t="shared" si="335"/>
        <v>6.0606060606060606</v>
      </c>
      <c r="AJ123" s="150">
        <f t="shared" si="336"/>
        <v>1.1104261491004144</v>
      </c>
      <c r="AL123" s="314">
        <f t="shared" si="337"/>
        <v>520</v>
      </c>
      <c r="AM123" s="144">
        <f t="shared" si="338"/>
        <v>193.24576092572499</v>
      </c>
      <c r="AO123" s="144">
        <f t="shared" si="339"/>
        <v>520</v>
      </c>
      <c r="AP123" s="144">
        <f t="shared" si="340"/>
        <v>193.24576092572499</v>
      </c>
      <c r="AR123" s="5">
        <f t="shared" si="274"/>
        <v>5.1747577551486632</v>
      </c>
      <c r="AS123" s="5">
        <f t="shared" si="439"/>
        <v>1.4309072289425064</v>
      </c>
      <c r="AT123" s="5">
        <f t="shared" si="440"/>
        <v>3.743850526206157</v>
      </c>
      <c r="AU123" s="150">
        <f t="shared" si="441"/>
        <v>0.27651675627111527</v>
      </c>
      <c r="AW123" s="5">
        <f t="shared" si="341"/>
        <v>2.4802391968336779</v>
      </c>
      <c r="AX123" s="5">
        <f t="shared" si="342"/>
        <v>2.6352541466357824</v>
      </c>
      <c r="AY123" s="5">
        <f t="shared" si="343"/>
        <v>1.72580507646328</v>
      </c>
      <c r="AZ123" s="5"/>
      <c r="BA123" s="150">
        <f t="shared" si="344"/>
        <v>1.8399929341738783</v>
      </c>
      <c r="BB123" s="150">
        <f t="shared" si="345"/>
        <v>2.8549177667682155</v>
      </c>
      <c r="BC123" s="150">
        <f t="shared" si="346"/>
        <v>0.5730698394139736</v>
      </c>
      <c r="BD123" s="150"/>
      <c r="BE123" s="456">
        <f t="shared" si="347"/>
        <v>4.0626887973717579E-2</v>
      </c>
      <c r="BF123" s="456">
        <f t="shared" si="348"/>
        <v>1.0831792195771963</v>
      </c>
      <c r="BG123" s="456">
        <f t="shared" si="349"/>
        <v>2.2223262506458376E-2</v>
      </c>
      <c r="BH123" s="456">
        <f t="shared" si="350"/>
        <v>0.25682847221005983</v>
      </c>
      <c r="BI123">
        <f t="shared" si="351"/>
        <v>8.9580802716713714E-3</v>
      </c>
      <c r="BJ123" s="144">
        <f t="shared" si="435"/>
        <v>31.18134277812975</v>
      </c>
      <c r="BK123">
        <f t="shared" si="352"/>
        <v>1.4051678525443476</v>
      </c>
      <c r="BL123" s="144">
        <f t="shared" si="436"/>
        <v>1411.8159225391034</v>
      </c>
      <c r="BM123" s="150">
        <f t="shared" si="353"/>
        <v>0.34871199999999997</v>
      </c>
      <c r="BN123" s="150">
        <f t="shared" si="354"/>
        <v>7.4101299999999995E-2</v>
      </c>
      <c r="BO123" s="456"/>
      <c r="BQ123" s="144">
        <f t="shared" si="355"/>
        <v>422.81329999999997</v>
      </c>
      <c r="BR123" s="456">
        <f t="shared" si="356"/>
        <v>4.7398035969337178E-2</v>
      </c>
      <c r="BS123" s="456">
        <f t="shared" si="357"/>
        <v>0.11410777637012341</v>
      </c>
      <c r="BT123" s="456">
        <f t="shared" si="358"/>
        <v>1.6420452042297876E-3</v>
      </c>
      <c r="BU123" s="456">
        <f t="shared" si="359"/>
        <v>2.3471188624378772</v>
      </c>
      <c r="BV123" s="456"/>
      <c r="BW123" s="538">
        <f t="shared" si="360"/>
        <v>0.70980995748659326</v>
      </c>
      <c r="BX123" s="144">
        <f t="shared" si="361"/>
        <v>3220.0766774681606</v>
      </c>
      <c r="BY123" s="150">
        <f t="shared" si="362"/>
        <v>5.0547059000072636</v>
      </c>
      <c r="BZ123" s="5">
        <f t="shared" si="363"/>
        <v>16.263000000000002</v>
      </c>
      <c r="CA123" s="150">
        <f t="shared" si="364"/>
        <v>0.76288696711940562</v>
      </c>
      <c r="CB123" s="5">
        <f t="shared" si="365"/>
        <v>76.28869671194056</v>
      </c>
      <c r="CC123">
        <f t="shared" si="366"/>
        <v>13</v>
      </c>
      <c r="CE123" s="59">
        <f t="shared" si="367"/>
        <v>-50</v>
      </c>
      <c r="CF123">
        <f t="shared" si="368"/>
        <v>-50</v>
      </c>
      <c r="CG123" s="150">
        <f t="shared" si="369"/>
        <v>0.17607095152911631</v>
      </c>
      <c r="CH123" s="150">
        <f t="shared" si="370"/>
        <v>3.7163984742902417E-2</v>
      </c>
      <c r="CI123" s="147">
        <v>13</v>
      </c>
      <c r="CJ123" s="188">
        <f t="shared" si="437"/>
        <v>0.52</v>
      </c>
      <c r="CK123" s="188">
        <f t="shared" si="371"/>
        <v>0.1105</v>
      </c>
      <c r="CL123" s="188">
        <f t="shared" si="372"/>
        <v>15.600000000000001</v>
      </c>
      <c r="CM123" s="188">
        <f t="shared" si="373"/>
        <v>0.66300000000000003</v>
      </c>
      <c r="CN123" s="465">
        <f t="shared" si="374"/>
        <v>20</v>
      </c>
      <c r="CO123" s="379">
        <f t="shared" si="375"/>
        <v>30.7</v>
      </c>
      <c r="CP123" s="379">
        <f t="shared" si="376"/>
        <v>50.7</v>
      </c>
      <c r="CQ123" s="379"/>
      <c r="CR123" s="188">
        <f t="shared" si="377"/>
        <v>0.60317460317460314</v>
      </c>
      <c r="CS123" s="149">
        <f t="shared" si="378"/>
        <v>175.32871249897633</v>
      </c>
      <c r="CT123" s="149">
        <f t="shared" si="379"/>
        <v>7.4514702812064924</v>
      </c>
      <c r="CU123" s="188">
        <f t="shared" si="380"/>
        <v>5.8442904166325444</v>
      </c>
      <c r="CV123" s="188">
        <f t="shared" si="381"/>
        <v>29.22145208316272</v>
      </c>
      <c r="CW123" s="188">
        <f t="shared" si="382"/>
        <v>30</v>
      </c>
      <c r="CX123" s="188">
        <f t="shared" si="383"/>
        <v>2.696234210526316</v>
      </c>
      <c r="CY123" s="188">
        <f t="shared" si="384"/>
        <v>0.63361503947368425</v>
      </c>
      <c r="CZ123" s="188">
        <f t="shared" si="385"/>
        <v>0.41277852734441972</v>
      </c>
      <c r="DA123" s="172">
        <f t="shared" si="386"/>
        <v>350</v>
      </c>
      <c r="DB123" s="379">
        <f t="shared" si="387"/>
        <v>350</v>
      </c>
      <c r="DD123" s="188">
        <f t="shared" si="388"/>
        <v>7.3619779020761014</v>
      </c>
      <c r="DE123" s="150">
        <f t="shared" si="389"/>
        <v>1.1270780501549733</v>
      </c>
      <c r="DF123" s="150">
        <f t="shared" si="390"/>
        <v>1.3928696857096292</v>
      </c>
      <c r="DG123" s="150"/>
      <c r="DH123" s="150">
        <f t="shared" si="391"/>
        <v>0.92784522751949461</v>
      </c>
      <c r="DI123" s="314">
        <f t="shared" si="392"/>
        <v>192.80478542553192</v>
      </c>
      <c r="DJ123" s="456">
        <f t="shared" si="393"/>
        <v>0.94395997276890675</v>
      </c>
      <c r="DL123" s="150">
        <f t="shared" si="394"/>
        <v>4.4466441702591517</v>
      </c>
      <c r="DM123" s="150">
        <f t="shared" si="395"/>
        <v>6.0606060606060606</v>
      </c>
      <c r="DN123" s="150">
        <f t="shared" si="396"/>
        <v>1.1101741631003039</v>
      </c>
      <c r="DP123" s="314">
        <f t="shared" si="397"/>
        <v>520</v>
      </c>
      <c r="DQ123" s="144">
        <f t="shared" si="398"/>
        <v>192.80478542553192</v>
      </c>
      <c r="DS123" s="144">
        <f t="shared" si="399"/>
        <v>520</v>
      </c>
      <c r="DT123" s="144">
        <f t="shared" si="400"/>
        <v>192.80478542553192</v>
      </c>
      <c r="DV123" s="5">
        <f t="shared" si="401"/>
        <v>5.1865932569720146</v>
      </c>
      <c r="DW123" s="5">
        <f t="shared" si="402"/>
        <v>1.4242424242424243</v>
      </c>
      <c r="DX123" s="5">
        <f t="shared" si="403"/>
        <v>3.7623508327295903</v>
      </c>
      <c r="DY123" s="150">
        <f t="shared" si="404"/>
        <v>0.27460075500000003</v>
      </c>
      <c r="EA123" s="5">
        <f t="shared" si="405"/>
        <v>2.468686868686869</v>
      </c>
      <c r="EB123" s="5">
        <f t="shared" si="406"/>
        <v>2.6229797979797982</v>
      </c>
      <c r="EC123" s="5">
        <f t="shared" si="407"/>
        <v>1.7262550879582825</v>
      </c>
      <c r="ED123" s="5"/>
      <c r="EE123" s="150">
        <f t="shared" si="408"/>
        <v>1.8336071420877351</v>
      </c>
      <c r="EF123" s="150">
        <f t="shared" si="409"/>
        <v>2.8586956077454464</v>
      </c>
      <c r="EG123" s="150">
        <f t="shared" si="410"/>
        <v>0.57382816833936467</v>
      </c>
      <c r="EH123" s="150"/>
      <c r="EI123" s="456">
        <f t="shared" si="411"/>
        <v>4.0345381818181821E-2</v>
      </c>
      <c r="EJ123" s="456">
        <f t="shared" si="412"/>
        <v>1.1256293927297876</v>
      </c>
      <c r="EK123" s="456">
        <f t="shared" si="413"/>
        <v>2.2172550323936172E-2</v>
      </c>
      <c r="EL123" s="456">
        <f t="shared" si="414"/>
        <v>0.25647443496978611</v>
      </c>
      <c r="EM123">
        <f t="shared" si="415"/>
        <v>8.9999999999999993E-3</v>
      </c>
      <c r="EN123" s="144">
        <f t="shared" si="416"/>
        <v>31.172550323936171</v>
      </c>
      <c r="EP123" s="144">
        <f t="shared" si="438"/>
        <v>1453.6217598416915</v>
      </c>
      <c r="EQ123" s="150">
        <f t="shared" si="417"/>
        <v>0.36399999999999999</v>
      </c>
      <c r="ER123" s="150">
        <f t="shared" si="418"/>
        <v>5.2929499999999997E-2</v>
      </c>
      <c r="ES123" s="456"/>
      <c r="EU123" s="144">
        <f t="shared" si="419"/>
        <v>416.92950000000002</v>
      </c>
      <c r="EV123" s="456">
        <f t="shared" si="420"/>
        <v>4.7069612121212127E-2</v>
      </c>
      <c r="EW123" s="456">
        <f t="shared" si="421"/>
        <v>0.11440996808840351</v>
      </c>
      <c r="EX123" s="456">
        <f t="shared" si="422"/>
        <v>1.6463938338985512E-3</v>
      </c>
      <c r="EY123" s="456">
        <f t="shared" si="423"/>
        <v>2.3337518008680309</v>
      </c>
      <c r="EZ123" s="456"/>
      <c r="FA123" s="538">
        <f t="shared" si="424"/>
        <v>0.70819021276595739</v>
      </c>
      <c r="FB123" s="144">
        <f t="shared" si="425"/>
        <v>3205.0679876775025</v>
      </c>
      <c r="FC123" s="150">
        <f t="shared" si="426"/>
        <v>5.0756192475191941</v>
      </c>
      <c r="FD123" s="5">
        <f t="shared" si="427"/>
        <v>16.263000000000002</v>
      </c>
      <c r="FE123" s="150">
        <f t="shared" si="428"/>
        <v>0.76213928424121058</v>
      </c>
      <c r="FF123" s="5">
        <f t="shared" si="429"/>
        <v>76.213928424121065</v>
      </c>
      <c r="FG123">
        <f t="shared" si="430"/>
        <v>13</v>
      </c>
      <c r="FI123" s="59">
        <f t="shared" si="431"/>
        <v>-50</v>
      </c>
      <c r="FJ123">
        <f t="shared" si="432"/>
        <v>-50</v>
      </c>
    </row>
    <row r="124" spans="5:166">
      <c r="E124" s="147">
        <v>14</v>
      </c>
      <c r="F124" s="188">
        <f t="shared" si="433"/>
        <v>0.56000000000000005</v>
      </c>
      <c r="G124" s="188">
        <f t="shared" si="312"/>
        <v>0.11900000000000001</v>
      </c>
      <c r="H124" s="188">
        <f t="shared" si="313"/>
        <v>16.8</v>
      </c>
      <c r="I124" s="188">
        <f t="shared" si="314"/>
        <v>0.71400000000000008</v>
      </c>
      <c r="J124" s="465">
        <f t="shared" si="315"/>
        <v>19.906845048158605</v>
      </c>
      <c r="K124" s="379">
        <f t="shared" si="316"/>
        <v>30.770215829062796</v>
      </c>
      <c r="L124" s="149">
        <f t="shared" si="317"/>
        <v>50.6770608772214</v>
      </c>
      <c r="M124" s="379"/>
      <c r="N124" s="188">
        <f t="shared" si="318"/>
        <v>0.60718232858081078</v>
      </c>
      <c r="O124" s="149">
        <f t="shared" si="319"/>
        <v>175.67160135220297</v>
      </c>
      <c r="P124" s="149">
        <f t="shared" si="320"/>
        <v>7.4660430574686245</v>
      </c>
      <c r="Q124" s="188">
        <f t="shared" si="321"/>
        <v>5.8557200450734319</v>
      </c>
      <c r="R124" s="188">
        <f t="shared" si="322"/>
        <v>29.27860022536716</v>
      </c>
      <c r="S124" s="188">
        <f t="shared" si="323"/>
        <v>30</v>
      </c>
      <c r="T124" s="188">
        <f t="shared" si="324"/>
        <v>2.8979693084839351</v>
      </c>
      <c r="U124" s="188">
        <f t="shared" si="325"/>
        <v>0.6842096634059246</v>
      </c>
      <c r="V124" s="188">
        <f t="shared" si="326"/>
        <v>0.44265064065653481</v>
      </c>
      <c r="W124" s="172">
        <f t="shared" si="327"/>
        <v>350</v>
      </c>
      <c r="X124" s="379">
        <f t="shared" si="434"/>
        <v>350</v>
      </c>
      <c r="Z124" s="188">
        <f t="shared" si="328"/>
        <v>7.3477717513910772</v>
      </c>
      <c r="AA124" s="150">
        <f t="shared" si="329"/>
        <v>1.1223362040548261</v>
      </c>
      <c r="AB124" s="150">
        <f t="shared" si="330"/>
        <v>1.3843331364513862</v>
      </c>
      <c r="AC124" s="150"/>
      <c r="AD124" s="150">
        <f t="shared" si="331"/>
        <v>0.92572793909180973</v>
      </c>
      <c r="AE124" s="314">
        <f t="shared" si="332"/>
        <v>208.11081945847312</v>
      </c>
      <c r="AF124" s="456">
        <f t="shared" si="333"/>
        <v>0.94180591143705672</v>
      </c>
      <c r="AH124" s="150">
        <f t="shared" si="334"/>
        <v>4.6145007336955315</v>
      </c>
      <c r="AI124" s="150">
        <f t="shared" si="335"/>
        <v>6.0606060606060606</v>
      </c>
      <c r="AJ124" s="150">
        <f t="shared" si="336"/>
        <v>1.1189204682619847</v>
      </c>
      <c r="AL124" s="314">
        <f t="shared" si="337"/>
        <v>560</v>
      </c>
      <c r="AM124" s="144">
        <f t="shared" si="338"/>
        <v>208.11081945847312</v>
      </c>
      <c r="AO124" s="144">
        <f t="shared" si="339"/>
        <v>560</v>
      </c>
      <c r="AP124" s="144">
        <f t="shared" si="340"/>
        <v>208.11081945847312</v>
      </c>
      <c r="AR124" s="5">
        <f t="shared" si="274"/>
        <v>4.8051322012094717</v>
      </c>
      <c r="AS124" s="5">
        <f t="shared" si="439"/>
        <v>1.4309072289425064</v>
      </c>
      <c r="AT124" s="5">
        <f t="shared" si="440"/>
        <v>3.3742249722669655</v>
      </c>
      <c r="AU124" s="150">
        <f t="shared" si="441"/>
        <v>0.29778727598427807</v>
      </c>
      <c r="AW124" s="5">
        <f t="shared" si="341"/>
        <v>2.6710268273593454</v>
      </c>
      <c r="AX124" s="5">
        <f t="shared" si="342"/>
        <v>2.8379660040693047</v>
      </c>
      <c r="AY124" s="5">
        <f t="shared" si="343"/>
        <v>1.6750661392201873</v>
      </c>
      <c r="AZ124" s="5"/>
      <c r="BA124" s="150">
        <f t="shared" si="344"/>
        <v>1.909450907164699</v>
      </c>
      <c r="BB124" s="150">
        <f t="shared" si="345"/>
        <v>2.8126371715804992</v>
      </c>
      <c r="BC124" s="150">
        <f t="shared" si="346"/>
        <v>0.56458282301840856</v>
      </c>
      <c r="BD124" s="150"/>
      <c r="BE124" s="456">
        <f t="shared" si="347"/>
        <v>4.3752033202465103E-2</v>
      </c>
      <c r="BF124" s="456">
        <f t="shared" si="348"/>
        <v>1.1665006980062118</v>
      </c>
      <c r="BG124" s="456">
        <f t="shared" si="349"/>
        <v>2.3932744237724412E-2</v>
      </c>
      <c r="BH124" s="456">
        <f t="shared" si="350"/>
        <v>0.27658450853391059</v>
      </c>
      <c r="BI124">
        <f t="shared" si="351"/>
        <v>8.9580802716713714E-3</v>
      </c>
      <c r="BJ124" s="144">
        <f t="shared" si="435"/>
        <v>32.890824509395785</v>
      </c>
      <c r="BK124">
        <f t="shared" si="352"/>
        <v>1.5143931369523964</v>
      </c>
      <c r="BL124" s="144">
        <f t="shared" si="436"/>
        <v>1519.7280642519831</v>
      </c>
      <c r="BM124" s="150">
        <f t="shared" si="353"/>
        <v>0.37553599999999998</v>
      </c>
      <c r="BN124" s="150">
        <f t="shared" si="354"/>
        <v>7.9801399999999995E-2</v>
      </c>
      <c r="BO124" s="456"/>
      <c r="BQ124" s="144">
        <f t="shared" si="355"/>
        <v>455.3374</v>
      </c>
      <c r="BR124" s="456">
        <f t="shared" si="356"/>
        <v>5.1044038736209288E-2</v>
      </c>
      <c r="BS124" s="456">
        <f t="shared" si="357"/>
        <v>0.11075299002538891</v>
      </c>
      <c r="BT124" s="456">
        <f t="shared" si="358"/>
        <v>1.5937688202371783E-3</v>
      </c>
      <c r="BU124" s="456">
        <f t="shared" si="359"/>
        <v>2.8248591088578929</v>
      </c>
      <c r="BV124" s="456"/>
      <c r="BW124" s="538">
        <f t="shared" si="360"/>
        <v>0.76441072344710048</v>
      </c>
      <c r="BX124" s="144">
        <f t="shared" si="361"/>
        <v>3752.6606298868287</v>
      </c>
      <c r="BY124" s="150">
        <f t="shared" si="362"/>
        <v>5.727726094138812</v>
      </c>
      <c r="BZ124" s="5">
        <f t="shared" si="363"/>
        <v>17.513999999999999</v>
      </c>
      <c r="CA124" s="150">
        <f t="shared" si="364"/>
        <v>0.75355848911827372</v>
      </c>
      <c r="CB124" s="5">
        <f t="shared" si="365"/>
        <v>75.355848911827366</v>
      </c>
      <c r="CC124">
        <f t="shared" si="366"/>
        <v>14.000000000000002</v>
      </c>
      <c r="CE124" s="59">
        <f t="shared" si="367"/>
        <v>-50</v>
      </c>
      <c r="CF124">
        <f t="shared" si="368"/>
        <v>-50</v>
      </c>
      <c r="CG124" s="150">
        <f t="shared" si="369"/>
        <v>0.18961487087750989</v>
      </c>
      <c r="CH124" s="150">
        <f t="shared" si="370"/>
        <v>4.0022752800048758E-2</v>
      </c>
      <c r="CI124" s="147">
        <v>14</v>
      </c>
      <c r="CJ124" s="188">
        <f t="shared" si="437"/>
        <v>0.56000000000000005</v>
      </c>
      <c r="CK124" s="188">
        <f t="shared" si="371"/>
        <v>0.11900000000000001</v>
      </c>
      <c r="CL124" s="188">
        <f t="shared" si="372"/>
        <v>16.8</v>
      </c>
      <c r="CM124" s="188">
        <f t="shared" si="373"/>
        <v>0.71400000000000008</v>
      </c>
      <c r="CN124" s="465">
        <f t="shared" si="374"/>
        <v>20</v>
      </c>
      <c r="CO124" s="379">
        <f t="shared" si="375"/>
        <v>30.7</v>
      </c>
      <c r="CP124" s="379">
        <f t="shared" si="376"/>
        <v>50.7</v>
      </c>
      <c r="CQ124" s="379"/>
      <c r="CR124" s="188">
        <f t="shared" si="377"/>
        <v>0.60317460317460314</v>
      </c>
      <c r="CS124" s="149">
        <f t="shared" si="378"/>
        <v>175.32871249897633</v>
      </c>
      <c r="CT124" s="149">
        <f t="shared" si="379"/>
        <v>7.4514702812064924</v>
      </c>
      <c r="CU124" s="188">
        <f t="shared" si="380"/>
        <v>5.8442904166325444</v>
      </c>
      <c r="CV124" s="188">
        <f t="shared" si="381"/>
        <v>29.22145208316272</v>
      </c>
      <c r="CW124" s="188">
        <f t="shared" si="382"/>
        <v>30</v>
      </c>
      <c r="CX124" s="188">
        <f t="shared" si="383"/>
        <v>2.903636842105263</v>
      </c>
      <c r="CY124" s="188">
        <f t="shared" si="384"/>
        <v>0.6823546578947367</v>
      </c>
      <c r="CZ124" s="188">
        <f t="shared" si="385"/>
        <v>0.44453072175552882</v>
      </c>
      <c r="DA124" s="172">
        <f t="shared" si="386"/>
        <v>350</v>
      </c>
      <c r="DB124" s="379">
        <f t="shared" si="387"/>
        <v>350</v>
      </c>
      <c r="DD124" s="188">
        <f t="shared" si="388"/>
        <v>7.3619779020761014</v>
      </c>
      <c r="DE124" s="150">
        <f t="shared" si="389"/>
        <v>1.1270780501549733</v>
      </c>
      <c r="DF124" s="150">
        <f t="shared" si="390"/>
        <v>1.3928696857096292</v>
      </c>
      <c r="DG124" s="150"/>
      <c r="DH124" s="150">
        <f t="shared" si="391"/>
        <v>0.92784522751949461</v>
      </c>
      <c r="DI124" s="314">
        <f t="shared" si="392"/>
        <v>207.63592276595747</v>
      </c>
      <c r="DJ124" s="456">
        <f t="shared" si="393"/>
        <v>0.94395997276890675</v>
      </c>
      <c r="DL124" s="150">
        <f t="shared" si="394"/>
        <v>4.6145007336955315</v>
      </c>
      <c r="DM124" s="150">
        <f t="shared" si="395"/>
        <v>6.0606060606060606</v>
      </c>
      <c r="DN124" s="150">
        <f t="shared" si="396"/>
        <v>1.1186490987234043</v>
      </c>
      <c r="DP124" s="314">
        <f t="shared" si="397"/>
        <v>560</v>
      </c>
      <c r="DQ124" s="144">
        <f t="shared" si="398"/>
        <v>207.63592276595747</v>
      </c>
      <c r="DS124" s="144">
        <f t="shared" si="399"/>
        <v>560</v>
      </c>
      <c r="DT124" s="144">
        <f t="shared" si="400"/>
        <v>207.63592276595747</v>
      </c>
      <c r="DV124" s="5">
        <f t="shared" si="401"/>
        <v>4.8161223100454418</v>
      </c>
      <c r="DW124" s="5">
        <f t="shared" si="402"/>
        <v>1.4242424242424243</v>
      </c>
      <c r="DX124" s="5">
        <f t="shared" si="403"/>
        <v>3.3918798858030175</v>
      </c>
      <c r="DY124" s="150">
        <f t="shared" si="404"/>
        <v>0.29572389000000004</v>
      </c>
      <c r="EA124" s="5">
        <f t="shared" si="405"/>
        <v>2.6585858585858588</v>
      </c>
      <c r="EB124" s="5">
        <f t="shared" si="406"/>
        <v>2.824747474747475</v>
      </c>
      <c r="EC124" s="5">
        <f t="shared" si="407"/>
        <v>1.6759877082791381</v>
      </c>
      <c r="ED124" s="5"/>
      <c r="EE124" s="150">
        <f t="shared" si="408"/>
        <v>1.9028240575364277</v>
      </c>
      <c r="EF124" s="150">
        <f t="shared" si="409"/>
        <v>2.8167664751887274</v>
      </c>
      <c r="EG124" s="150">
        <f t="shared" si="410"/>
        <v>0.56541170130807561</v>
      </c>
      <c r="EH124" s="150"/>
      <c r="EI124" s="456">
        <f t="shared" si="411"/>
        <v>4.3448872727272735E-2</v>
      </c>
      <c r="EJ124" s="456">
        <f t="shared" si="412"/>
        <v>1.2122162690936173</v>
      </c>
      <c r="EK124" s="456">
        <f t="shared" si="413"/>
        <v>2.3878131118085111E-2</v>
      </c>
      <c r="EL124" s="456">
        <f t="shared" si="414"/>
        <v>0.27620323765976973</v>
      </c>
      <c r="EM124">
        <f t="shared" si="415"/>
        <v>8.9999999999999993E-3</v>
      </c>
      <c r="EN124" s="144">
        <f t="shared" si="416"/>
        <v>32.878131118085108</v>
      </c>
      <c r="EP124" s="144">
        <f t="shared" si="438"/>
        <v>1564.7465105987451</v>
      </c>
      <c r="EQ124" s="150">
        <f t="shared" si="417"/>
        <v>0.39200000000000002</v>
      </c>
      <c r="ER124" s="150">
        <f t="shared" si="418"/>
        <v>5.7001000000000003E-2</v>
      </c>
      <c r="ES124" s="456"/>
      <c r="EU124" s="144">
        <f t="shared" si="419"/>
        <v>449.00100000000003</v>
      </c>
      <c r="EV124" s="456">
        <f t="shared" si="420"/>
        <v>5.069035151515152E-2</v>
      </c>
      <c r="EW124" s="456">
        <f t="shared" si="421"/>
        <v>0.11107842726045979</v>
      </c>
      <c r="EX124" s="456">
        <f t="shared" si="422"/>
        <v>1.5984519598804625E-3</v>
      </c>
      <c r="EY124" s="456">
        <f t="shared" si="423"/>
        <v>2.808771271876755</v>
      </c>
      <c r="EZ124" s="456"/>
      <c r="FA124" s="538">
        <f t="shared" si="424"/>
        <v>0.76266638297872358</v>
      </c>
      <c r="FB124" s="144">
        <f t="shared" si="425"/>
        <v>3734.8048855909706</v>
      </c>
      <c r="FC124" s="150">
        <f t="shared" si="426"/>
        <v>5.7485523961897158</v>
      </c>
      <c r="FD124" s="5">
        <f t="shared" si="427"/>
        <v>17.513999999999999</v>
      </c>
      <c r="FE124" s="150">
        <f t="shared" si="428"/>
        <v>0.75288384961869881</v>
      </c>
      <c r="FF124" s="5">
        <f t="shared" si="429"/>
        <v>75.28838496186988</v>
      </c>
      <c r="FG124">
        <f t="shared" si="430"/>
        <v>14.000000000000002</v>
      </c>
      <c r="FI124" s="59">
        <f t="shared" si="431"/>
        <v>-50</v>
      </c>
      <c r="FJ124">
        <f t="shared" si="432"/>
        <v>-50</v>
      </c>
    </row>
    <row r="125" spans="5:166">
      <c r="E125" s="147">
        <v>15</v>
      </c>
      <c r="F125" s="188">
        <f t="shared" si="433"/>
        <v>0.6</v>
      </c>
      <c r="G125" s="188">
        <f t="shared" si="312"/>
        <v>0.1275</v>
      </c>
      <c r="H125" s="188">
        <f t="shared" si="313"/>
        <v>18</v>
      </c>
      <c r="I125" s="188">
        <f t="shared" si="314"/>
        <v>0.76500000000000001</v>
      </c>
      <c r="J125" s="465">
        <f t="shared" si="315"/>
        <v>19.906845048158605</v>
      </c>
      <c r="K125" s="379">
        <f t="shared" si="316"/>
        <v>30.770215829062796</v>
      </c>
      <c r="L125" s="149">
        <f t="shared" si="317"/>
        <v>50.6770608772214</v>
      </c>
      <c r="M125" s="379"/>
      <c r="N125" s="188">
        <f t="shared" si="318"/>
        <v>0.60718232858081078</v>
      </c>
      <c r="O125" s="149">
        <f t="shared" si="319"/>
        <v>175.67160135220297</v>
      </c>
      <c r="P125" s="149">
        <f t="shared" si="320"/>
        <v>7.4660430574686245</v>
      </c>
      <c r="Q125" s="188">
        <f t="shared" si="321"/>
        <v>5.8557200450734319</v>
      </c>
      <c r="R125" s="188">
        <f t="shared" si="322"/>
        <v>29.27860022536716</v>
      </c>
      <c r="S125" s="188">
        <f t="shared" si="323"/>
        <v>30</v>
      </c>
      <c r="T125" s="188">
        <f t="shared" si="324"/>
        <v>3.1049671162327876</v>
      </c>
      <c r="U125" s="188">
        <f t="shared" si="325"/>
        <v>0.73308178222063347</v>
      </c>
      <c r="V125" s="188">
        <f t="shared" si="326"/>
        <v>0.47426854356057302</v>
      </c>
      <c r="W125" s="172">
        <f t="shared" si="327"/>
        <v>350</v>
      </c>
      <c r="X125" s="379">
        <f t="shared" si="434"/>
        <v>350</v>
      </c>
      <c r="Z125" s="188">
        <f t="shared" si="328"/>
        <v>7.3477717513910772</v>
      </c>
      <c r="AA125" s="150">
        <f t="shared" si="329"/>
        <v>1.1223362040548261</v>
      </c>
      <c r="AB125" s="150">
        <f t="shared" si="330"/>
        <v>1.3843331364513862</v>
      </c>
      <c r="AC125" s="150"/>
      <c r="AD125" s="150">
        <f t="shared" si="331"/>
        <v>0.92572793909180973</v>
      </c>
      <c r="AE125" s="314">
        <f t="shared" si="332"/>
        <v>222.97587799122115</v>
      </c>
      <c r="AF125" s="456">
        <f t="shared" si="333"/>
        <v>0.94180591143705672</v>
      </c>
      <c r="AH125" s="150">
        <f t="shared" si="334"/>
        <v>4.7764620448249664</v>
      </c>
      <c r="AI125" s="150">
        <f t="shared" si="335"/>
        <v>6.0606060606060606</v>
      </c>
      <c r="AJ125" s="150">
        <f t="shared" si="336"/>
        <v>1.1274147874235549</v>
      </c>
      <c r="AL125" s="314">
        <f t="shared" si="337"/>
        <v>600</v>
      </c>
      <c r="AM125" s="144">
        <f t="shared" si="338"/>
        <v>222.97587799122115</v>
      </c>
      <c r="AO125" s="144">
        <f t="shared" si="339"/>
        <v>600</v>
      </c>
      <c r="AP125" s="144">
        <f t="shared" si="340"/>
        <v>222.97587799122115</v>
      </c>
      <c r="AR125" s="5">
        <f t="shared" si="274"/>
        <v>4.4847900544621746</v>
      </c>
      <c r="AS125" s="5">
        <f t="shared" si="439"/>
        <v>1.4309072289425064</v>
      </c>
      <c r="AT125" s="5">
        <f t="shared" si="440"/>
        <v>3.0538828255196684</v>
      </c>
      <c r="AU125" s="150">
        <f t="shared" si="441"/>
        <v>0.31905779569744069</v>
      </c>
      <c r="AW125" s="5">
        <f t="shared" si="341"/>
        <v>2.8618144578850129</v>
      </c>
      <c r="AX125" s="5">
        <f t="shared" si="342"/>
        <v>3.0406778615028265</v>
      </c>
      <c r="AY125" s="5">
        <f t="shared" si="343"/>
        <v>1.624327201977096</v>
      </c>
      <c r="AZ125" s="5"/>
      <c r="BA125" s="150">
        <f t="shared" si="344"/>
        <v>1.9764694624340602</v>
      </c>
      <c r="BB125" s="150">
        <f t="shared" si="345"/>
        <v>2.769711223738657</v>
      </c>
      <c r="BC125" s="150">
        <f t="shared" si="346"/>
        <v>0.55596626448815567</v>
      </c>
      <c r="BD125" s="150"/>
      <c r="BE125" s="456">
        <f t="shared" si="347"/>
        <v>4.6877178431212592E-2</v>
      </c>
      <c r="BF125" s="456">
        <f t="shared" si="348"/>
        <v>1.2498221764352266</v>
      </c>
      <c r="BG125" s="456">
        <f t="shared" si="349"/>
        <v>2.5642225968990438E-2</v>
      </c>
      <c r="BH125" s="456">
        <f t="shared" si="350"/>
        <v>0.29634054485776129</v>
      </c>
      <c r="BI125">
        <f t="shared" si="351"/>
        <v>8.9580802716713714E-3</v>
      </c>
      <c r="BJ125" s="144">
        <f t="shared" si="435"/>
        <v>34.600306240661808</v>
      </c>
      <c r="BK125">
        <f t="shared" si="352"/>
        <v>1.6237824554604141</v>
      </c>
      <c r="BL125" s="144">
        <f t="shared" si="436"/>
        <v>1627.6402059648619</v>
      </c>
      <c r="BM125" s="150">
        <f t="shared" si="353"/>
        <v>0.40236</v>
      </c>
      <c r="BN125" s="150">
        <f t="shared" si="354"/>
        <v>8.5501499999999994E-2</v>
      </c>
      <c r="BO125" s="456"/>
      <c r="BQ125" s="144">
        <f t="shared" si="355"/>
        <v>487.86149999999998</v>
      </c>
      <c r="BR125" s="456">
        <f t="shared" si="356"/>
        <v>5.4690041503081356E-2</v>
      </c>
      <c r="BS125" s="456">
        <f t="shared" si="357"/>
        <v>0.10739820368065445</v>
      </c>
      <c r="BT125" s="456">
        <f t="shared" si="358"/>
        <v>1.5454924362445694E-3</v>
      </c>
      <c r="BU125" s="456">
        <f t="shared" si="359"/>
        <v>3.3566406560885724</v>
      </c>
      <c r="BV125" s="456"/>
      <c r="BW125" s="538">
        <f t="shared" si="360"/>
        <v>0.8190114894076076</v>
      </c>
      <c r="BX125" s="144">
        <f t="shared" si="361"/>
        <v>4339.2858831161611</v>
      </c>
      <c r="BY125" s="150">
        <f t="shared" si="362"/>
        <v>6.4547875890810218</v>
      </c>
      <c r="BZ125" s="5">
        <f t="shared" si="363"/>
        <v>18.765000000000001</v>
      </c>
      <c r="CA125" s="150">
        <f t="shared" si="364"/>
        <v>0.74405860611309671</v>
      </c>
      <c r="CB125" s="5">
        <f t="shared" si="365"/>
        <v>74.405860611309677</v>
      </c>
      <c r="CC125">
        <f t="shared" si="366"/>
        <v>15</v>
      </c>
      <c r="CE125" s="59">
        <f t="shared" si="367"/>
        <v>-50</v>
      </c>
      <c r="CF125">
        <f t="shared" si="368"/>
        <v>-50</v>
      </c>
      <c r="CG125" s="150">
        <f t="shared" si="369"/>
        <v>0.20315879022590339</v>
      </c>
      <c r="CH125" s="150">
        <f t="shared" si="370"/>
        <v>4.2881520857195099E-2</v>
      </c>
      <c r="CI125" s="147">
        <v>15</v>
      </c>
      <c r="CJ125" s="188">
        <f t="shared" si="437"/>
        <v>0.6</v>
      </c>
      <c r="CK125" s="188">
        <f t="shared" si="371"/>
        <v>0.1275</v>
      </c>
      <c r="CL125" s="188">
        <f t="shared" si="372"/>
        <v>18</v>
      </c>
      <c r="CM125" s="188">
        <f t="shared" si="373"/>
        <v>0.76500000000000001</v>
      </c>
      <c r="CN125" s="465">
        <f t="shared" si="374"/>
        <v>20</v>
      </c>
      <c r="CO125" s="379">
        <f t="shared" si="375"/>
        <v>30.7</v>
      </c>
      <c r="CP125" s="379">
        <f t="shared" si="376"/>
        <v>50.7</v>
      </c>
      <c r="CQ125" s="379"/>
      <c r="CR125" s="188">
        <f t="shared" si="377"/>
        <v>0.60317460317460314</v>
      </c>
      <c r="CS125" s="149">
        <f t="shared" si="378"/>
        <v>175.32871249897633</v>
      </c>
      <c r="CT125" s="149">
        <f t="shared" si="379"/>
        <v>7.4514702812064924</v>
      </c>
      <c r="CU125" s="188">
        <f t="shared" si="380"/>
        <v>5.8442904166325444</v>
      </c>
      <c r="CV125" s="188">
        <f t="shared" si="381"/>
        <v>29.22145208316272</v>
      </c>
      <c r="CW125" s="188">
        <f t="shared" si="382"/>
        <v>30</v>
      </c>
      <c r="CX125" s="188">
        <f t="shared" si="383"/>
        <v>3.1110394736842109</v>
      </c>
      <c r="CY125" s="188">
        <f t="shared" si="384"/>
        <v>0.73109427631578949</v>
      </c>
      <c r="CZ125" s="188">
        <f t="shared" si="385"/>
        <v>0.47628291616663815</v>
      </c>
      <c r="DA125" s="172">
        <f t="shared" si="386"/>
        <v>350</v>
      </c>
      <c r="DB125" s="379">
        <f t="shared" si="387"/>
        <v>350</v>
      </c>
      <c r="DD125" s="188">
        <f t="shared" si="388"/>
        <v>7.3619779020761014</v>
      </c>
      <c r="DE125" s="150">
        <f t="shared" si="389"/>
        <v>1.1270780501549733</v>
      </c>
      <c r="DF125" s="150">
        <f t="shared" si="390"/>
        <v>1.3928696857096292</v>
      </c>
      <c r="DG125" s="150"/>
      <c r="DH125" s="150">
        <f t="shared" si="391"/>
        <v>0.92784522751949461</v>
      </c>
      <c r="DI125" s="314">
        <f t="shared" si="392"/>
        <v>222.46706010638297</v>
      </c>
      <c r="DJ125" s="456">
        <f t="shared" si="393"/>
        <v>0.94395997276890675</v>
      </c>
      <c r="DL125" s="150">
        <f t="shared" si="394"/>
        <v>4.7764620448249664</v>
      </c>
      <c r="DM125" s="150">
        <f t="shared" si="395"/>
        <v>6.0606060606060606</v>
      </c>
      <c r="DN125" s="150">
        <f t="shared" si="396"/>
        <v>1.1271240343465045</v>
      </c>
      <c r="DP125" s="314">
        <f t="shared" si="397"/>
        <v>600</v>
      </c>
      <c r="DQ125" s="144">
        <f t="shared" si="398"/>
        <v>222.46706010638297</v>
      </c>
      <c r="DS125" s="144">
        <f t="shared" si="399"/>
        <v>600</v>
      </c>
      <c r="DT125" s="144">
        <f t="shared" si="400"/>
        <v>222.46706010638297</v>
      </c>
      <c r="DV125" s="5">
        <f t="shared" si="401"/>
        <v>4.4950474893757457</v>
      </c>
      <c r="DW125" s="5">
        <f t="shared" si="402"/>
        <v>1.4242424242424243</v>
      </c>
      <c r="DX125" s="5">
        <f t="shared" si="403"/>
        <v>3.0708050651333214</v>
      </c>
      <c r="DY125" s="150">
        <f t="shared" si="404"/>
        <v>0.31684702500000006</v>
      </c>
      <c r="EA125" s="5">
        <f t="shared" si="405"/>
        <v>2.8484848484848491</v>
      </c>
      <c r="EB125" s="5">
        <f t="shared" si="406"/>
        <v>3.0265151515151518</v>
      </c>
      <c r="EC125" s="5">
        <f t="shared" si="407"/>
        <v>1.6257203285999935</v>
      </c>
      <c r="ED125" s="5"/>
      <c r="EE125" s="150">
        <f t="shared" si="408"/>
        <v>1.9696100213909447</v>
      </c>
      <c r="EF125" s="150">
        <f t="shared" si="409"/>
        <v>2.7742037008394225</v>
      </c>
      <c r="EG125" s="150">
        <f t="shared" si="410"/>
        <v>0.55686804287234404</v>
      </c>
      <c r="EH125" s="150"/>
      <c r="EI125" s="456">
        <f t="shared" si="411"/>
        <v>4.6552363636363649E-2</v>
      </c>
      <c r="EJ125" s="456">
        <f t="shared" si="412"/>
        <v>1.2988031454574471</v>
      </c>
      <c r="EK125" s="456">
        <f t="shared" si="413"/>
        <v>2.5583711912234044E-2</v>
      </c>
      <c r="EL125" s="456">
        <f t="shared" si="414"/>
        <v>0.29593204034975323</v>
      </c>
      <c r="EM125">
        <f t="shared" si="415"/>
        <v>8.9999999999999993E-3</v>
      </c>
      <c r="EN125" s="144">
        <f t="shared" si="416"/>
        <v>34.583711912234044</v>
      </c>
      <c r="EP125" s="144">
        <f t="shared" si="438"/>
        <v>1675.8712613557977</v>
      </c>
      <c r="EQ125" s="150">
        <f t="shared" si="417"/>
        <v>0.42</v>
      </c>
      <c r="ER125" s="150">
        <f t="shared" si="418"/>
        <v>6.1072500000000002E-2</v>
      </c>
      <c r="ES125" s="456"/>
      <c r="EU125" s="144">
        <f t="shared" si="419"/>
        <v>481.07249999999999</v>
      </c>
      <c r="EV125" s="456">
        <f t="shared" si="420"/>
        <v>5.4311090909090927E-2</v>
      </c>
      <c r="EW125" s="456">
        <f t="shared" si="421"/>
        <v>0.10774688643251606</v>
      </c>
      <c r="EX125" s="456">
        <f t="shared" si="422"/>
        <v>1.5505100858623742E-3</v>
      </c>
      <c r="EY125" s="456">
        <f t="shared" si="423"/>
        <v>3.3375242734307387</v>
      </c>
      <c r="EZ125" s="456"/>
      <c r="FA125" s="538">
        <f t="shared" si="424"/>
        <v>0.81714255319148932</v>
      </c>
      <c r="FB125" s="144">
        <f t="shared" si="425"/>
        <v>4318.275314049697</v>
      </c>
      <c r="FC125" s="150">
        <f t="shared" si="426"/>
        <v>6.4752190754054952</v>
      </c>
      <c r="FD125" s="5">
        <f t="shared" si="427"/>
        <v>18.765000000000001</v>
      </c>
      <c r="FE125" s="150">
        <f t="shared" si="428"/>
        <v>0.74345630455660117</v>
      </c>
      <c r="FF125" s="5">
        <f t="shared" si="429"/>
        <v>74.345630455660114</v>
      </c>
      <c r="FG125">
        <f t="shared" si="430"/>
        <v>15</v>
      </c>
      <c r="FI125" s="59">
        <f t="shared" si="431"/>
        <v>-50</v>
      </c>
      <c r="FJ125">
        <f t="shared" si="432"/>
        <v>-50</v>
      </c>
    </row>
    <row r="126" spans="5:166">
      <c r="E126" s="147">
        <v>16</v>
      </c>
      <c r="F126" s="188">
        <f t="shared" si="433"/>
        <v>0.64</v>
      </c>
      <c r="G126" s="188">
        <f t="shared" si="312"/>
        <v>0.13600000000000001</v>
      </c>
      <c r="H126" s="188">
        <f t="shared" si="313"/>
        <v>19.2</v>
      </c>
      <c r="I126" s="188">
        <f t="shared" si="314"/>
        <v>0.81600000000000006</v>
      </c>
      <c r="J126" s="465">
        <f t="shared" si="315"/>
        <v>19.906845048158605</v>
      </c>
      <c r="K126" s="379">
        <f t="shared" si="316"/>
        <v>30.770215829062796</v>
      </c>
      <c r="L126" s="149">
        <f t="shared" si="317"/>
        <v>50.6770608772214</v>
      </c>
      <c r="M126" s="379"/>
      <c r="N126" s="188">
        <f t="shared" si="318"/>
        <v>0.60718232858081078</v>
      </c>
      <c r="O126" s="149">
        <f t="shared" si="319"/>
        <v>175.67160135220297</v>
      </c>
      <c r="P126" s="149">
        <f t="shared" si="320"/>
        <v>7.4660430574686245</v>
      </c>
      <c r="Q126" s="188">
        <f t="shared" si="321"/>
        <v>5.8557200450734319</v>
      </c>
      <c r="R126" s="188">
        <f t="shared" si="322"/>
        <v>29.27860022536716</v>
      </c>
      <c r="S126" s="188">
        <f t="shared" si="323"/>
        <v>30</v>
      </c>
      <c r="T126" s="188">
        <f t="shared" si="324"/>
        <v>3.3119649239816398</v>
      </c>
      <c r="U126" s="188">
        <f t="shared" si="325"/>
        <v>0.78195390103534224</v>
      </c>
      <c r="V126" s="188">
        <f t="shared" si="326"/>
        <v>0.50588644646461123</v>
      </c>
      <c r="W126" s="172">
        <f t="shared" si="327"/>
        <v>350</v>
      </c>
      <c r="X126" s="379">
        <f t="shared" si="434"/>
        <v>350</v>
      </c>
      <c r="Z126" s="188">
        <f t="shared" si="328"/>
        <v>7.3477717513910772</v>
      </c>
      <c r="AA126" s="150">
        <f t="shared" si="329"/>
        <v>1.1223362040548261</v>
      </c>
      <c r="AB126" s="150">
        <f t="shared" si="330"/>
        <v>1.3843331364513862</v>
      </c>
      <c r="AC126" s="150"/>
      <c r="AD126" s="150">
        <f t="shared" si="331"/>
        <v>0.92572793909180973</v>
      </c>
      <c r="AE126" s="314">
        <f t="shared" si="332"/>
        <v>237.84093652396922</v>
      </c>
      <c r="AF126" s="456">
        <f t="shared" si="333"/>
        <v>0.94180591143705672</v>
      </c>
      <c r="AH126" s="150">
        <f t="shared" si="334"/>
        <v>4.9331087875730448</v>
      </c>
      <c r="AI126" s="150">
        <f t="shared" si="335"/>
        <v>6.0606060606060606</v>
      </c>
      <c r="AJ126" s="150">
        <f t="shared" si="336"/>
        <v>1.1359091065851252</v>
      </c>
      <c r="AL126" s="314">
        <f t="shared" si="337"/>
        <v>640</v>
      </c>
      <c r="AM126" s="144">
        <f t="shared" si="338"/>
        <v>237.84093652396922</v>
      </c>
      <c r="AO126" s="144">
        <f t="shared" si="339"/>
        <v>640</v>
      </c>
      <c r="AP126" s="144">
        <f t="shared" si="340"/>
        <v>237.84093652396922</v>
      </c>
      <c r="AR126" s="5">
        <f t="shared" si="274"/>
        <v>4.2044906760582892</v>
      </c>
      <c r="AS126" s="5">
        <f t="shared" si="439"/>
        <v>1.4309072289425064</v>
      </c>
      <c r="AT126" s="5">
        <f t="shared" si="440"/>
        <v>2.773583447115783</v>
      </c>
      <c r="AU126" s="150">
        <f t="shared" si="441"/>
        <v>0.34032831541060338</v>
      </c>
      <c r="AW126" s="5">
        <f t="shared" si="341"/>
        <v>3.0526020884106804</v>
      </c>
      <c r="AX126" s="5">
        <f t="shared" si="342"/>
        <v>3.2433897189363483</v>
      </c>
      <c r="AY126" s="5">
        <f t="shared" si="343"/>
        <v>1.573588264734004</v>
      </c>
      <c r="AZ126" s="5"/>
      <c r="BA126" s="150">
        <f t="shared" si="344"/>
        <v>2.0412888832785709</v>
      </c>
      <c r="BB126" s="150">
        <f t="shared" si="345"/>
        <v>2.726109437798018</v>
      </c>
      <c r="BC126" s="150">
        <f t="shared" si="346"/>
        <v>0.54721404445645594</v>
      </c>
      <c r="BD126" s="150"/>
      <c r="BE126" s="456">
        <f t="shared" si="347"/>
        <v>5.0002323659960102E-2</v>
      </c>
      <c r="BF126" s="456">
        <f t="shared" si="348"/>
        <v>1.3331436548642417</v>
      </c>
      <c r="BG126" s="456">
        <f t="shared" si="349"/>
        <v>2.7351707700256463E-2</v>
      </c>
      <c r="BH126" s="456">
        <f t="shared" si="350"/>
        <v>0.31609658118161205</v>
      </c>
      <c r="BI126">
        <f t="shared" si="351"/>
        <v>8.9580802716713714E-3</v>
      </c>
      <c r="BJ126" s="144">
        <f t="shared" si="435"/>
        <v>36.309787971927832</v>
      </c>
      <c r="BK126">
        <f t="shared" si="352"/>
        <v>1.7333361778647245</v>
      </c>
      <c r="BL126" s="144">
        <f t="shared" si="436"/>
        <v>1735.5523476777416</v>
      </c>
      <c r="BM126" s="150">
        <f t="shared" si="353"/>
        <v>0.42918399999999995</v>
      </c>
      <c r="BN126" s="150">
        <f t="shared" si="354"/>
        <v>9.1201600000000008E-2</v>
      </c>
      <c r="BO126" s="456"/>
      <c r="BQ126" s="144">
        <f t="shared" si="355"/>
        <v>520.38559999999995</v>
      </c>
      <c r="BR126" s="456">
        <f t="shared" si="356"/>
        <v>5.8336044269953452E-2</v>
      </c>
      <c r="BS126" s="456">
        <f t="shared" si="357"/>
        <v>0.10404341733591996</v>
      </c>
      <c r="BT126" s="456">
        <f t="shared" si="358"/>
        <v>1.4972160522519606E-3</v>
      </c>
      <c r="BU126" s="456">
        <f t="shared" si="359"/>
        <v>3.9443610313716699</v>
      </c>
      <c r="BV126" s="456"/>
      <c r="BW126" s="538">
        <f t="shared" si="360"/>
        <v>0.87361225536811471</v>
      </c>
      <c r="BX126" s="144">
        <f t="shared" si="361"/>
        <v>4981.8499643979103</v>
      </c>
      <c r="BY126" s="150">
        <f t="shared" si="362"/>
        <v>7.2377879120756523</v>
      </c>
      <c r="BZ126" s="5">
        <f t="shared" si="363"/>
        <v>20.015999999999998</v>
      </c>
      <c r="CA126" s="150">
        <f t="shared" si="364"/>
        <v>0.73443001995077817</v>
      </c>
      <c r="CB126" s="5">
        <f t="shared" si="365"/>
        <v>73.443001995077822</v>
      </c>
      <c r="CC126">
        <f t="shared" si="366"/>
        <v>16</v>
      </c>
      <c r="CE126" s="59">
        <f t="shared" si="367"/>
        <v>-50</v>
      </c>
      <c r="CF126">
        <f t="shared" si="368"/>
        <v>-50</v>
      </c>
      <c r="CG126" s="150">
        <f t="shared" si="369"/>
        <v>0.21670270957429702</v>
      </c>
      <c r="CH126" s="150">
        <f t="shared" si="370"/>
        <v>4.5740288914341447E-2</v>
      </c>
      <c r="CI126" s="147">
        <v>16</v>
      </c>
      <c r="CJ126" s="188">
        <f t="shared" si="437"/>
        <v>0.64</v>
      </c>
      <c r="CK126" s="188">
        <f t="shared" si="371"/>
        <v>0.13600000000000001</v>
      </c>
      <c r="CL126" s="188">
        <f t="shared" si="372"/>
        <v>19.2</v>
      </c>
      <c r="CM126" s="188">
        <f t="shared" si="373"/>
        <v>0.81600000000000006</v>
      </c>
      <c r="CN126" s="465">
        <f t="shared" si="374"/>
        <v>20</v>
      </c>
      <c r="CO126" s="379">
        <f t="shared" si="375"/>
        <v>30.7</v>
      </c>
      <c r="CP126" s="379">
        <f t="shared" si="376"/>
        <v>50.7</v>
      </c>
      <c r="CQ126" s="379"/>
      <c r="CR126" s="188">
        <f t="shared" si="377"/>
        <v>0.60317460317460314</v>
      </c>
      <c r="CS126" s="149">
        <f t="shared" si="378"/>
        <v>175.32871249897633</v>
      </c>
      <c r="CT126" s="149">
        <f t="shared" si="379"/>
        <v>7.4514702812064924</v>
      </c>
      <c r="CU126" s="188">
        <f t="shared" si="380"/>
        <v>5.8442904166325444</v>
      </c>
      <c r="CV126" s="188">
        <f t="shared" si="381"/>
        <v>29.22145208316272</v>
      </c>
      <c r="CW126" s="188">
        <f t="shared" si="382"/>
        <v>30</v>
      </c>
      <c r="CX126" s="188">
        <f t="shared" si="383"/>
        <v>3.3184421052631579</v>
      </c>
      <c r="CY126" s="188">
        <f t="shared" si="384"/>
        <v>0.77983389473684217</v>
      </c>
      <c r="CZ126" s="188">
        <f t="shared" si="385"/>
        <v>0.50803511057774731</v>
      </c>
      <c r="DA126" s="172">
        <f t="shared" si="386"/>
        <v>350</v>
      </c>
      <c r="DB126" s="379">
        <f t="shared" si="387"/>
        <v>350</v>
      </c>
      <c r="DD126" s="188">
        <f t="shared" si="388"/>
        <v>7.3619779020761014</v>
      </c>
      <c r="DE126" s="150">
        <f t="shared" si="389"/>
        <v>1.1270780501549733</v>
      </c>
      <c r="DF126" s="150">
        <f t="shared" si="390"/>
        <v>1.3928696857096292</v>
      </c>
      <c r="DG126" s="150"/>
      <c r="DH126" s="150">
        <f t="shared" si="391"/>
        <v>0.92784522751949461</v>
      </c>
      <c r="DI126" s="314">
        <f t="shared" si="392"/>
        <v>237.29819744680853</v>
      </c>
      <c r="DJ126" s="456">
        <f t="shared" si="393"/>
        <v>0.94395997276890675</v>
      </c>
      <c r="DL126" s="150">
        <f t="shared" si="394"/>
        <v>4.9331087875730448</v>
      </c>
      <c r="DM126" s="150">
        <f t="shared" si="395"/>
        <v>6.0606060606060606</v>
      </c>
      <c r="DN126" s="150">
        <f t="shared" si="396"/>
        <v>1.135598969969605</v>
      </c>
      <c r="DP126" s="314">
        <f t="shared" si="397"/>
        <v>640</v>
      </c>
      <c r="DQ126" s="144">
        <f t="shared" si="398"/>
        <v>237.29819744680853</v>
      </c>
      <c r="DS126" s="144">
        <f t="shared" si="399"/>
        <v>640</v>
      </c>
      <c r="DT126" s="144">
        <f t="shared" si="400"/>
        <v>237.29819744680853</v>
      </c>
      <c r="DV126" s="5">
        <f t="shared" si="401"/>
        <v>4.2141070212897613</v>
      </c>
      <c r="DW126" s="5">
        <f t="shared" si="402"/>
        <v>1.4242424242424243</v>
      </c>
      <c r="DX126" s="5">
        <f t="shared" si="403"/>
        <v>2.789864597047337</v>
      </c>
      <c r="DY126" s="150">
        <f t="shared" si="404"/>
        <v>0.33797016000000007</v>
      </c>
      <c r="EA126" s="5">
        <f t="shared" si="405"/>
        <v>3.0383838383838389</v>
      </c>
      <c r="EB126" s="5">
        <f t="shared" si="406"/>
        <v>3.2282828282828291</v>
      </c>
      <c r="EC126" s="5">
        <f t="shared" si="407"/>
        <v>1.5754529489208489</v>
      </c>
      <c r="ED126" s="5"/>
      <c r="EE126" s="150">
        <f t="shared" si="408"/>
        <v>2.0342044830320969</v>
      </c>
      <c r="EF126" s="150">
        <f t="shared" si="409"/>
        <v>2.7309776585968568</v>
      </c>
      <c r="EG126" s="150">
        <f t="shared" si="410"/>
        <v>0.54819124616219206</v>
      </c>
      <c r="EH126" s="150"/>
      <c r="EI126" s="456">
        <f t="shared" si="411"/>
        <v>4.965585454545457E-2</v>
      </c>
      <c r="EJ126" s="456">
        <f t="shared" si="412"/>
        <v>1.3853900218212769</v>
      </c>
      <c r="EK126" s="456">
        <f t="shared" si="413"/>
        <v>2.7289292706382983E-2</v>
      </c>
      <c r="EL126" s="456">
        <f t="shared" si="414"/>
        <v>0.31566084303973679</v>
      </c>
      <c r="EM126">
        <f t="shared" si="415"/>
        <v>8.9999999999999993E-3</v>
      </c>
      <c r="EN126" s="144">
        <f t="shared" si="416"/>
        <v>36.28929270638298</v>
      </c>
      <c r="EP126" s="144">
        <f t="shared" si="438"/>
        <v>1786.9960121128513</v>
      </c>
      <c r="EQ126" s="150">
        <f t="shared" si="417"/>
        <v>0.44799999999999995</v>
      </c>
      <c r="ER126" s="150">
        <f t="shared" si="418"/>
        <v>6.5144000000000007E-2</v>
      </c>
      <c r="ES126" s="456"/>
      <c r="EU126" s="144">
        <f t="shared" si="419"/>
        <v>513.14399999999989</v>
      </c>
      <c r="EV126" s="456">
        <f t="shared" si="420"/>
        <v>5.7931830303030327E-2</v>
      </c>
      <c r="EW126" s="456">
        <f t="shared" si="421"/>
        <v>0.10441534560457238</v>
      </c>
      <c r="EX126" s="456">
        <f t="shared" si="422"/>
        <v>1.5025682118442851E-3</v>
      </c>
      <c r="EY126" s="456">
        <f t="shared" si="423"/>
        <v>3.9218975261765046</v>
      </c>
      <c r="EZ126" s="456"/>
      <c r="FA126" s="538">
        <f t="shared" si="424"/>
        <v>0.87161872340425539</v>
      </c>
      <c r="FB126" s="144">
        <f t="shared" si="425"/>
        <v>4957.3659937002067</v>
      </c>
      <c r="FC126" s="150">
        <f t="shared" si="426"/>
        <v>7.2575060058130578</v>
      </c>
      <c r="FD126" s="5">
        <f t="shared" si="427"/>
        <v>20.015999999999998</v>
      </c>
      <c r="FE126" s="150">
        <f t="shared" si="428"/>
        <v>0.73389904457951993</v>
      </c>
      <c r="FF126" s="5">
        <f t="shared" si="429"/>
        <v>73.389904457951999</v>
      </c>
      <c r="FG126">
        <f t="shared" si="430"/>
        <v>16</v>
      </c>
      <c r="FI126" s="59">
        <f t="shared" si="431"/>
        <v>-50</v>
      </c>
      <c r="FJ126">
        <f t="shared" si="432"/>
        <v>-50</v>
      </c>
    </row>
    <row r="127" spans="5:166">
      <c r="E127" s="147">
        <v>17</v>
      </c>
      <c r="F127" s="188">
        <f t="shared" si="433"/>
        <v>0.68</v>
      </c>
      <c r="G127" s="188">
        <f t="shared" si="312"/>
        <v>0.14450000000000002</v>
      </c>
      <c r="H127" s="188">
        <f t="shared" si="313"/>
        <v>20.400000000000002</v>
      </c>
      <c r="I127" s="188">
        <f t="shared" si="314"/>
        <v>0.8670000000000001</v>
      </c>
      <c r="J127" s="465">
        <f t="shared" si="315"/>
        <v>19.906845048158605</v>
      </c>
      <c r="K127" s="379">
        <f t="shared" si="316"/>
        <v>30.770215829062796</v>
      </c>
      <c r="L127" s="149">
        <f t="shared" si="317"/>
        <v>50.6770608772214</v>
      </c>
      <c r="M127" s="379"/>
      <c r="N127" s="188">
        <f t="shared" si="318"/>
        <v>0.60718232858081078</v>
      </c>
      <c r="O127" s="149">
        <f t="shared" si="319"/>
        <v>175.67160135220297</v>
      </c>
      <c r="P127" s="149">
        <f t="shared" si="320"/>
        <v>7.4660430574686245</v>
      </c>
      <c r="Q127" s="188">
        <f t="shared" si="321"/>
        <v>5.8557200450734319</v>
      </c>
      <c r="R127" s="188">
        <f t="shared" si="322"/>
        <v>29.27860022536716</v>
      </c>
      <c r="S127" s="188">
        <f t="shared" si="323"/>
        <v>30</v>
      </c>
      <c r="T127" s="188">
        <f t="shared" si="324"/>
        <v>3.5189627317304932</v>
      </c>
      <c r="U127" s="188">
        <f t="shared" si="325"/>
        <v>0.83082601985005144</v>
      </c>
      <c r="V127" s="188">
        <f t="shared" si="326"/>
        <v>0.53750434936864955</v>
      </c>
      <c r="W127" s="172">
        <f t="shared" si="327"/>
        <v>350</v>
      </c>
      <c r="X127" s="379">
        <f t="shared" si="434"/>
        <v>350</v>
      </c>
      <c r="Z127" s="188">
        <f t="shared" si="328"/>
        <v>7.3477717513910772</v>
      </c>
      <c r="AA127" s="150">
        <f t="shared" si="329"/>
        <v>1.1223362040548261</v>
      </c>
      <c r="AB127" s="150">
        <f t="shared" si="330"/>
        <v>1.3843331364513862</v>
      </c>
      <c r="AC127" s="150"/>
      <c r="AD127" s="150">
        <f t="shared" si="331"/>
        <v>0.92572793909180973</v>
      </c>
      <c r="AE127" s="314">
        <f t="shared" si="332"/>
        <v>252.70599505671734</v>
      </c>
      <c r="AF127" s="456">
        <f t="shared" si="333"/>
        <v>0.94180591143705672</v>
      </c>
      <c r="AH127" s="150">
        <f t="shared" si="334"/>
        <v>5.084932148456585</v>
      </c>
      <c r="AI127" s="150">
        <f t="shared" si="335"/>
        <v>6.0606060606060606</v>
      </c>
      <c r="AJ127" s="150">
        <f t="shared" si="336"/>
        <v>1.1444034257466957</v>
      </c>
      <c r="AL127" s="314">
        <f t="shared" si="337"/>
        <v>680</v>
      </c>
      <c r="AM127" s="144">
        <f t="shared" si="338"/>
        <v>252.70599505671734</v>
      </c>
      <c r="AO127" s="144">
        <f t="shared" si="339"/>
        <v>680</v>
      </c>
      <c r="AP127" s="144">
        <f t="shared" si="340"/>
        <v>252.70599505671734</v>
      </c>
      <c r="AR127" s="5">
        <f t="shared" si="274"/>
        <v>3.9571676951136827</v>
      </c>
      <c r="AS127" s="5">
        <f t="shared" si="439"/>
        <v>1.4309072289425064</v>
      </c>
      <c r="AT127" s="5">
        <f t="shared" si="440"/>
        <v>2.5262604661711761</v>
      </c>
      <c r="AU127" s="150">
        <f t="shared" si="441"/>
        <v>0.36159883512376617</v>
      </c>
      <c r="AW127" s="5">
        <f t="shared" si="341"/>
        <v>3.2433897189363483</v>
      </c>
      <c r="AX127" s="5">
        <f t="shared" si="342"/>
        <v>3.4461015763698697</v>
      </c>
      <c r="AY127" s="5">
        <f t="shared" si="343"/>
        <v>1.5228493274909114</v>
      </c>
      <c r="AZ127" s="5"/>
      <c r="BA127" s="150">
        <f t="shared" si="344"/>
        <v>2.1041124195391672</v>
      </c>
      <c r="BB127" s="150">
        <f t="shared" si="345"/>
        <v>2.6817988498019312</v>
      </c>
      <c r="BC127" s="150">
        <f t="shared" si="346"/>
        <v>0.53831954604293364</v>
      </c>
      <c r="BD127" s="150"/>
      <c r="BE127" s="456">
        <f t="shared" si="347"/>
        <v>5.3127468888707619E-2</v>
      </c>
      <c r="BF127" s="456">
        <f t="shared" si="348"/>
        <v>1.4164651332932572</v>
      </c>
      <c r="BG127" s="456">
        <f t="shared" si="349"/>
        <v>2.9061189431522496E-2</v>
      </c>
      <c r="BH127" s="456">
        <f t="shared" si="350"/>
        <v>0.33585261750546286</v>
      </c>
      <c r="BI127">
        <f t="shared" si="351"/>
        <v>8.9580802716713714E-3</v>
      </c>
      <c r="BJ127" s="144">
        <f t="shared" si="435"/>
        <v>38.019269703193864</v>
      </c>
      <c r="BK127">
        <f t="shared" si="352"/>
        <v>1.8430546750740382</v>
      </c>
      <c r="BL127" s="144">
        <f t="shared" si="436"/>
        <v>1843.4644893906213</v>
      </c>
      <c r="BM127" s="150">
        <f t="shared" si="353"/>
        <v>0.45600799999999997</v>
      </c>
      <c r="BN127" s="150">
        <f t="shared" si="354"/>
        <v>9.6901699999999993E-2</v>
      </c>
      <c r="BO127" s="456"/>
      <c r="BQ127" s="144">
        <f t="shared" si="355"/>
        <v>552.90969999999993</v>
      </c>
      <c r="BR127" s="456">
        <f t="shared" si="356"/>
        <v>6.1982047036825555E-2</v>
      </c>
      <c r="BS127" s="456">
        <f t="shared" si="357"/>
        <v>0.10068863099118545</v>
      </c>
      <c r="BT127" s="456">
        <f t="shared" si="358"/>
        <v>1.4489396682593508E-3</v>
      </c>
      <c r="BU127" s="456">
        <f t="shared" si="359"/>
        <v>4.5898554283570467</v>
      </c>
      <c r="BV127" s="456"/>
      <c r="BW127" s="538">
        <f t="shared" si="360"/>
        <v>0.92821302132862205</v>
      </c>
      <c r="BX127" s="144">
        <f t="shared" si="361"/>
        <v>5682.1880673819387</v>
      </c>
      <c r="BY127" s="150">
        <f t="shared" si="362"/>
        <v>8.0785622567725603</v>
      </c>
      <c r="BZ127" s="5">
        <f t="shared" si="363"/>
        <v>21.267000000000003</v>
      </c>
      <c r="CA127" s="150">
        <f t="shared" si="364"/>
        <v>0.72470923589449587</v>
      </c>
      <c r="CB127" s="5">
        <f t="shared" si="365"/>
        <v>72.470923589449583</v>
      </c>
      <c r="CC127">
        <f t="shared" si="366"/>
        <v>17</v>
      </c>
      <c r="CE127" s="59">
        <f t="shared" si="367"/>
        <v>-50</v>
      </c>
      <c r="CF127">
        <f t="shared" si="368"/>
        <v>-50</v>
      </c>
      <c r="CG127" s="150">
        <f t="shared" si="369"/>
        <v>0.23024662892269057</v>
      </c>
      <c r="CH127" s="150">
        <f t="shared" si="370"/>
        <v>4.8599056971487781E-2</v>
      </c>
      <c r="CI127" s="147">
        <v>17</v>
      </c>
      <c r="CJ127" s="188">
        <f t="shared" si="437"/>
        <v>0.68</v>
      </c>
      <c r="CK127" s="188">
        <f t="shared" si="371"/>
        <v>0.14450000000000002</v>
      </c>
      <c r="CL127" s="188">
        <f t="shared" si="372"/>
        <v>20.400000000000002</v>
      </c>
      <c r="CM127" s="188">
        <f t="shared" si="373"/>
        <v>0.8670000000000001</v>
      </c>
      <c r="CN127" s="465">
        <f t="shared" si="374"/>
        <v>20</v>
      </c>
      <c r="CO127" s="379">
        <f t="shared" si="375"/>
        <v>30.7</v>
      </c>
      <c r="CP127" s="379">
        <f t="shared" si="376"/>
        <v>50.7</v>
      </c>
      <c r="CQ127" s="379"/>
      <c r="CR127" s="188">
        <f t="shared" si="377"/>
        <v>0.60317460317460314</v>
      </c>
      <c r="CS127" s="149">
        <f t="shared" si="378"/>
        <v>175.32871249897633</v>
      </c>
      <c r="CT127" s="149">
        <f t="shared" si="379"/>
        <v>7.4514702812064924</v>
      </c>
      <c r="CU127" s="188">
        <f t="shared" si="380"/>
        <v>5.8442904166325444</v>
      </c>
      <c r="CV127" s="188">
        <f t="shared" si="381"/>
        <v>29.22145208316272</v>
      </c>
      <c r="CW127" s="188">
        <f t="shared" si="382"/>
        <v>30</v>
      </c>
      <c r="CX127" s="188">
        <f t="shared" si="383"/>
        <v>3.5258447368421058</v>
      </c>
      <c r="CY127" s="188">
        <f t="shared" si="384"/>
        <v>0.82857351315789485</v>
      </c>
      <c r="CZ127" s="188">
        <f t="shared" si="385"/>
        <v>0.53978730498885652</v>
      </c>
      <c r="DA127" s="172">
        <f t="shared" si="386"/>
        <v>350</v>
      </c>
      <c r="DB127" s="379">
        <f t="shared" si="387"/>
        <v>350</v>
      </c>
      <c r="DD127" s="188">
        <f t="shared" si="388"/>
        <v>7.3619779020761014</v>
      </c>
      <c r="DE127" s="150">
        <f t="shared" si="389"/>
        <v>1.1270780501549733</v>
      </c>
      <c r="DF127" s="150">
        <f t="shared" si="390"/>
        <v>1.3928696857096292</v>
      </c>
      <c r="DG127" s="150"/>
      <c r="DH127" s="150">
        <f t="shared" si="391"/>
        <v>0.92784522751949461</v>
      </c>
      <c r="DI127" s="314">
        <f t="shared" si="392"/>
        <v>252.12933478723406</v>
      </c>
      <c r="DJ127" s="456">
        <f t="shared" si="393"/>
        <v>0.94395997276890675</v>
      </c>
      <c r="DL127" s="150">
        <f t="shared" si="394"/>
        <v>5.084932148456585</v>
      </c>
      <c r="DM127" s="150">
        <f t="shared" si="395"/>
        <v>6.0606060606060606</v>
      </c>
      <c r="DN127" s="150">
        <f t="shared" si="396"/>
        <v>1.1440739055927052</v>
      </c>
      <c r="DP127" s="314">
        <f t="shared" si="397"/>
        <v>680</v>
      </c>
      <c r="DQ127" s="144">
        <f t="shared" si="398"/>
        <v>252.12933478723406</v>
      </c>
      <c r="DS127" s="144">
        <f t="shared" si="399"/>
        <v>680</v>
      </c>
      <c r="DT127" s="144">
        <f t="shared" si="400"/>
        <v>252.12933478723406</v>
      </c>
      <c r="DV127" s="5">
        <f t="shared" si="401"/>
        <v>3.9662183729785991</v>
      </c>
      <c r="DW127" s="5">
        <f t="shared" si="402"/>
        <v>1.4242424242424243</v>
      </c>
      <c r="DX127" s="5">
        <f t="shared" si="403"/>
        <v>2.5419759487361748</v>
      </c>
      <c r="DY127" s="150">
        <f t="shared" si="404"/>
        <v>0.35909329500000003</v>
      </c>
      <c r="EA127" s="5">
        <f t="shared" si="405"/>
        <v>3.2282828282828291</v>
      </c>
      <c r="EB127" s="5">
        <f t="shared" si="406"/>
        <v>3.4300505050505059</v>
      </c>
      <c r="EC127" s="5">
        <f t="shared" si="407"/>
        <v>1.5251855692417047</v>
      </c>
      <c r="ED127" s="5"/>
      <c r="EE127" s="150">
        <f t="shared" si="408"/>
        <v>2.0968099869115755</v>
      </c>
      <c r="EF127" s="150">
        <f t="shared" si="409"/>
        <v>2.6870563391486955</v>
      </c>
      <c r="EG127" s="150">
        <f t="shared" si="410"/>
        <v>0.53937488592373239</v>
      </c>
      <c r="EH127" s="150"/>
      <c r="EI127" s="456">
        <f t="shared" si="411"/>
        <v>5.2759345454545456E-2</v>
      </c>
      <c r="EJ127" s="456">
        <f t="shared" si="412"/>
        <v>1.4719768981851067</v>
      </c>
      <c r="EK127" s="456">
        <f t="shared" si="413"/>
        <v>2.8994873500531919E-2</v>
      </c>
      <c r="EL127" s="456">
        <f t="shared" si="414"/>
        <v>0.33538964572972035</v>
      </c>
      <c r="EM127">
        <f t="shared" si="415"/>
        <v>8.9999999999999993E-3</v>
      </c>
      <c r="EN127" s="144">
        <f t="shared" si="416"/>
        <v>37.994873500531916</v>
      </c>
      <c r="EP127" s="144">
        <f t="shared" si="438"/>
        <v>1898.1207628699042</v>
      </c>
      <c r="EQ127" s="150">
        <f t="shared" si="417"/>
        <v>0.47599999999999998</v>
      </c>
      <c r="ER127" s="150">
        <f t="shared" si="418"/>
        <v>6.9215499999999999E-2</v>
      </c>
      <c r="ES127" s="456"/>
      <c r="EU127" s="144">
        <f t="shared" si="419"/>
        <v>545.21550000000002</v>
      </c>
      <c r="EV127" s="456">
        <f t="shared" si="420"/>
        <v>6.1552569696969699E-2</v>
      </c>
      <c r="EW127" s="456">
        <f t="shared" si="421"/>
        <v>0.10108380477662865</v>
      </c>
      <c r="EX127" s="456">
        <f t="shared" si="422"/>
        <v>1.4546263378261968E-3</v>
      </c>
      <c r="EY127" s="456">
        <f t="shared" si="423"/>
        <v>4.5637157721643327</v>
      </c>
      <c r="EZ127" s="456"/>
      <c r="FA127" s="538">
        <f t="shared" si="424"/>
        <v>0.92609489361702135</v>
      </c>
      <c r="FB127" s="144">
        <f t="shared" si="425"/>
        <v>5653.9016665927784</v>
      </c>
      <c r="FC127" s="150">
        <f t="shared" si="426"/>
        <v>8.0972379294626826</v>
      </c>
      <c r="FD127" s="5">
        <f t="shared" si="427"/>
        <v>21.267000000000003</v>
      </c>
      <c r="FE127" s="150">
        <f t="shared" si="428"/>
        <v>0.72424832039184994</v>
      </c>
      <c r="FF127" s="5">
        <f t="shared" si="429"/>
        <v>72.424832039184992</v>
      </c>
      <c r="FG127">
        <f t="shared" si="430"/>
        <v>17</v>
      </c>
      <c r="FI127" s="59">
        <f t="shared" si="431"/>
        <v>-50</v>
      </c>
      <c r="FJ127">
        <f t="shared" si="432"/>
        <v>-50</v>
      </c>
    </row>
    <row r="128" spans="5:166">
      <c r="E128" s="147">
        <v>18</v>
      </c>
      <c r="F128" s="188">
        <f t="shared" si="433"/>
        <v>0.72</v>
      </c>
      <c r="G128" s="188">
        <f t="shared" si="312"/>
        <v>0.153</v>
      </c>
      <c r="H128" s="188">
        <f t="shared" si="313"/>
        <v>21.599999999999998</v>
      </c>
      <c r="I128" s="188">
        <f t="shared" si="314"/>
        <v>0.91799999999999993</v>
      </c>
      <c r="J128" s="465">
        <f t="shared" si="315"/>
        <v>19.906845048158605</v>
      </c>
      <c r="K128" s="379">
        <f t="shared" si="316"/>
        <v>30.770215829062796</v>
      </c>
      <c r="L128" s="149">
        <f t="shared" si="317"/>
        <v>50.6770608772214</v>
      </c>
      <c r="M128" s="379"/>
      <c r="N128" s="188">
        <f t="shared" si="318"/>
        <v>0.60718232858081078</v>
      </c>
      <c r="O128" s="149">
        <f t="shared" si="319"/>
        <v>175.67160135220297</v>
      </c>
      <c r="P128" s="149">
        <f t="shared" si="320"/>
        <v>7.4660430574686245</v>
      </c>
      <c r="Q128" s="188">
        <f t="shared" si="321"/>
        <v>5.8557200450734319</v>
      </c>
      <c r="R128" s="188">
        <f t="shared" si="322"/>
        <v>29.27860022536716</v>
      </c>
      <c r="S128" s="188">
        <f t="shared" si="323"/>
        <v>30</v>
      </c>
      <c r="T128" s="188">
        <f t="shared" si="324"/>
        <v>3.7259605394793449</v>
      </c>
      <c r="U128" s="188">
        <f t="shared" si="325"/>
        <v>0.8796981386647601</v>
      </c>
      <c r="V128" s="188">
        <f t="shared" si="326"/>
        <v>0.56912225227268753</v>
      </c>
      <c r="W128" s="172">
        <f t="shared" si="327"/>
        <v>350</v>
      </c>
      <c r="X128" s="379">
        <f t="shared" si="434"/>
        <v>350</v>
      </c>
      <c r="Z128" s="188">
        <f t="shared" si="328"/>
        <v>7.3477717513910772</v>
      </c>
      <c r="AA128" s="150">
        <f t="shared" si="329"/>
        <v>1.1223362040548261</v>
      </c>
      <c r="AB128" s="150">
        <f t="shared" si="330"/>
        <v>1.3843331364513862</v>
      </c>
      <c r="AC128" s="150"/>
      <c r="AD128" s="150">
        <f t="shared" si="331"/>
        <v>0.92572793909180973</v>
      </c>
      <c r="AE128" s="314">
        <f t="shared" si="332"/>
        <v>267.57105358946535</v>
      </c>
      <c r="AF128" s="456">
        <f t="shared" si="333"/>
        <v>0.94180591143705672</v>
      </c>
      <c r="AH128" s="150">
        <f t="shared" si="334"/>
        <v>5.2323520140357713</v>
      </c>
      <c r="AI128" s="150">
        <f t="shared" si="335"/>
        <v>6.0606060606060606</v>
      </c>
      <c r="AJ128" s="150">
        <f t="shared" si="336"/>
        <v>1.152897744908266</v>
      </c>
      <c r="AL128" s="314">
        <f t="shared" si="337"/>
        <v>720</v>
      </c>
      <c r="AM128" s="144">
        <f t="shared" si="338"/>
        <v>267.57105358946535</v>
      </c>
      <c r="AO128" s="144">
        <f t="shared" si="339"/>
        <v>720</v>
      </c>
      <c r="AP128" s="144">
        <f t="shared" si="340"/>
        <v>267.57105358946535</v>
      </c>
      <c r="AR128" s="5">
        <f t="shared" si="274"/>
        <v>3.7373250453851461</v>
      </c>
      <c r="AS128" s="5">
        <f t="shared" si="439"/>
        <v>1.4309072289425064</v>
      </c>
      <c r="AT128" s="5">
        <f t="shared" si="440"/>
        <v>2.3064178164426394</v>
      </c>
      <c r="AU128" s="150">
        <f t="shared" si="441"/>
        <v>0.3828693548369288</v>
      </c>
      <c r="AW128" s="5">
        <f t="shared" si="341"/>
        <v>3.4341773494620154</v>
      </c>
      <c r="AX128" s="5">
        <f t="shared" si="342"/>
        <v>3.6488134338033911</v>
      </c>
      <c r="AY128" s="5">
        <f t="shared" si="343"/>
        <v>1.4721103902478201</v>
      </c>
      <c r="AZ128" s="5"/>
      <c r="BA128" s="150">
        <f t="shared" si="344"/>
        <v>2.165113817590488</v>
      </c>
      <c r="BB128" s="150">
        <f t="shared" si="345"/>
        <v>2.6367437256484556</v>
      </c>
      <c r="BC128" s="150">
        <f t="shared" si="346"/>
        <v>0.52927559631381882</v>
      </c>
      <c r="BD128" s="150"/>
      <c r="BE128" s="456">
        <f t="shared" si="347"/>
        <v>5.6252614117455087E-2</v>
      </c>
      <c r="BF128" s="456">
        <f t="shared" si="348"/>
        <v>1.4997866117222718</v>
      </c>
      <c r="BG128" s="456">
        <f t="shared" si="349"/>
        <v>3.0770671162788518E-2</v>
      </c>
      <c r="BH128" s="456">
        <f t="shared" si="350"/>
        <v>0.35560865382931356</v>
      </c>
      <c r="BI128">
        <f t="shared" si="351"/>
        <v>8.9580802716713714E-3</v>
      </c>
      <c r="BJ128" s="144">
        <f t="shared" si="435"/>
        <v>39.728751434459895</v>
      </c>
      <c r="BK128">
        <f t="shared" si="352"/>
        <v>1.9529383191136385</v>
      </c>
      <c r="BL128" s="144">
        <f t="shared" si="436"/>
        <v>1951.3766311035001</v>
      </c>
      <c r="BM128" s="150">
        <f t="shared" si="353"/>
        <v>0.48283199999999998</v>
      </c>
      <c r="BN128" s="150">
        <f t="shared" si="354"/>
        <v>0.10260179999999998</v>
      </c>
      <c r="BO128" s="456"/>
      <c r="BQ128" s="144">
        <f t="shared" si="355"/>
        <v>585.43380000000002</v>
      </c>
      <c r="BR128" s="456">
        <f t="shared" si="356"/>
        <v>6.5628049803697602E-2</v>
      </c>
      <c r="BS128" s="456">
        <f t="shared" si="357"/>
        <v>9.7333844646450965E-2</v>
      </c>
      <c r="BT128" s="456">
        <f t="shared" si="358"/>
        <v>1.4006632842667424E-3</v>
      </c>
      <c r="BU128" s="456">
        <f t="shared" si="359"/>
        <v>5.2949024777625207</v>
      </c>
      <c r="BV128" s="456"/>
      <c r="BW128" s="538">
        <f t="shared" si="360"/>
        <v>0.98281378728912894</v>
      </c>
      <c r="BX128" s="144">
        <f t="shared" si="361"/>
        <v>6442.0788227860658</v>
      </c>
      <c r="BY128" s="150">
        <f t="shared" si="362"/>
        <v>8.9788892538895642</v>
      </c>
      <c r="BZ128" s="5">
        <f t="shared" si="363"/>
        <v>22.517999999999997</v>
      </c>
      <c r="CA128" s="150">
        <f t="shared" si="364"/>
        <v>0.71492774472067078</v>
      </c>
      <c r="CB128" s="5">
        <f t="shared" si="365"/>
        <v>71.492774472067083</v>
      </c>
      <c r="CC128">
        <f t="shared" si="366"/>
        <v>18</v>
      </c>
      <c r="CE128" s="59">
        <f t="shared" si="367"/>
        <v>-50</v>
      </c>
      <c r="CF128">
        <f t="shared" si="368"/>
        <v>-50</v>
      </c>
      <c r="CG128" s="150">
        <f t="shared" si="369"/>
        <v>0.24379054827108407</v>
      </c>
      <c r="CH128" s="150">
        <f t="shared" si="370"/>
        <v>5.1457825028634115E-2</v>
      </c>
      <c r="CI128" s="147">
        <v>18</v>
      </c>
      <c r="CJ128" s="188">
        <f t="shared" si="437"/>
        <v>0.72</v>
      </c>
      <c r="CK128" s="188">
        <f t="shared" si="371"/>
        <v>0.153</v>
      </c>
      <c r="CL128" s="188">
        <f t="shared" si="372"/>
        <v>21.599999999999998</v>
      </c>
      <c r="CM128" s="188">
        <f t="shared" si="373"/>
        <v>0.91799999999999993</v>
      </c>
      <c r="CN128" s="465">
        <f t="shared" si="374"/>
        <v>20</v>
      </c>
      <c r="CO128" s="379">
        <f t="shared" si="375"/>
        <v>30.7</v>
      </c>
      <c r="CP128" s="379">
        <f t="shared" si="376"/>
        <v>50.7</v>
      </c>
      <c r="CQ128" s="379"/>
      <c r="CR128" s="188">
        <f t="shared" si="377"/>
        <v>0.60317460317460314</v>
      </c>
      <c r="CS128" s="149">
        <f t="shared" si="378"/>
        <v>175.32871249897633</v>
      </c>
      <c r="CT128" s="149">
        <f t="shared" si="379"/>
        <v>7.4514702812064924</v>
      </c>
      <c r="CU128" s="188">
        <f t="shared" si="380"/>
        <v>5.8442904166325444</v>
      </c>
      <c r="CV128" s="188">
        <f t="shared" si="381"/>
        <v>29.22145208316272</v>
      </c>
      <c r="CW128" s="188">
        <f t="shared" si="382"/>
        <v>30</v>
      </c>
      <c r="CX128" s="188">
        <f t="shared" si="383"/>
        <v>3.7332473684210523</v>
      </c>
      <c r="CY128" s="188">
        <f t="shared" si="384"/>
        <v>0.87731313157894719</v>
      </c>
      <c r="CZ128" s="188">
        <f t="shared" si="385"/>
        <v>0.57153949939996562</v>
      </c>
      <c r="DA128" s="172">
        <f t="shared" si="386"/>
        <v>350</v>
      </c>
      <c r="DB128" s="379">
        <f t="shared" si="387"/>
        <v>350</v>
      </c>
      <c r="DD128" s="188">
        <f t="shared" si="388"/>
        <v>7.3619779020761014</v>
      </c>
      <c r="DE128" s="150">
        <f t="shared" si="389"/>
        <v>1.1270780501549733</v>
      </c>
      <c r="DF128" s="150">
        <f t="shared" si="390"/>
        <v>1.3928696857096292</v>
      </c>
      <c r="DG128" s="150"/>
      <c r="DH128" s="150">
        <f t="shared" si="391"/>
        <v>0.92784522751949461</v>
      </c>
      <c r="DI128" s="314">
        <f t="shared" si="392"/>
        <v>266.9604721276595</v>
      </c>
      <c r="DJ128" s="456">
        <f t="shared" si="393"/>
        <v>0.94395997276890675</v>
      </c>
      <c r="DL128" s="150">
        <f t="shared" si="394"/>
        <v>5.2323520140357713</v>
      </c>
      <c r="DM128" s="150">
        <f t="shared" si="395"/>
        <v>6.0606060606060606</v>
      </c>
      <c r="DN128" s="150">
        <f t="shared" si="396"/>
        <v>1.1525488412158054</v>
      </c>
      <c r="DP128" s="314">
        <f t="shared" si="397"/>
        <v>720</v>
      </c>
      <c r="DQ128" s="144">
        <f t="shared" si="398"/>
        <v>266.9604721276595</v>
      </c>
      <c r="DS128" s="144">
        <f t="shared" si="399"/>
        <v>720</v>
      </c>
      <c r="DT128" s="144">
        <f t="shared" si="400"/>
        <v>266.9604721276595</v>
      </c>
      <c r="DV128" s="5">
        <f t="shared" si="401"/>
        <v>3.7458729078131228</v>
      </c>
      <c r="DW128" s="5">
        <f t="shared" si="402"/>
        <v>1.4242424242424243</v>
      </c>
      <c r="DX128" s="5">
        <f t="shared" si="403"/>
        <v>2.3216304835706985</v>
      </c>
      <c r="DY128" s="150">
        <f t="shared" si="404"/>
        <v>0.38021642999999988</v>
      </c>
      <c r="EA128" s="5">
        <f t="shared" si="405"/>
        <v>3.418181818181818</v>
      </c>
      <c r="EB128" s="5">
        <f t="shared" si="406"/>
        <v>3.6318181818181818</v>
      </c>
      <c r="EC128" s="5">
        <f t="shared" si="407"/>
        <v>1.4749181895625609</v>
      </c>
      <c r="ED128" s="5"/>
      <c r="EE128" s="150">
        <f t="shared" si="408"/>
        <v>2.1575996764081053</v>
      </c>
      <c r="EF128" s="150">
        <f t="shared" si="409"/>
        <v>2.6424050726115431</v>
      </c>
      <c r="EG128" s="150">
        <f t="shared" si="410"/>
        <v>0.53041200284460155</v>
      </c>
      <c r="EH128" s="150"/>
      <c r="EI128" s="456">
        <f t="shared" si="411"/>
        <v>5.5862836363636328E-2</v>
      </c>
      <c r="EJ128" s="456">
        <f t="shared" si="412"/>
        <v>1.5585637745489358</v>
      </c>
      <c r="EK128" s="456">
        <f t="shared" si="413"/>
        <v>3.0700454294680848E-2</v>
      </c>
      <c r="EL128" s="456">
        <f t="shared" si="414"/>
        <v>0.3551184484197038</v>
      </c>
      <c r="EM128">
        <f t="shared" si="415"/>
        <v>8.9999999999999993E-3</v>
      </c>
      <c r="EN128" s="144">
        <f t="shared" si="416"/>
        <v>39.700454294680846</v>
      </c>
      <c r="EP128" s="144">
        <f t="shared" si="438"/>
        <v>2009.2455136269568</v>
      </c>
      <c r="EQ128" s="150">
        <f t="shared" si="417"/>
        <v>0.504</v>
      </c>
      <c r="ER128" s="150">
        <f t="shared" si="418"/>
        <v>7.3286999999999991E-2</v>
      </c>
      <c r="ES128" s="456"/>
      <c r="EU128" s="144">
        <f t="shared" si="419"/>
        <v>577.28700000000003</v>
      </c>
      <c r="EV128" s="456">
        <f t="shared" si="420"/>
        <v>6.5173309090909043E-2</v>
      </c>
      <c r="EW128" s="456">
        <f t="shared" si="421"/>
        <v>9.7752263948684998E-2</v>
      </c>
      <c r="EX128" s="456">
        <f t="shared" si="422"/>
        <v>1.4066844638081081E-3</v>
      </c>
      <c r="EY128" s="456">
        <f t="shared" si="423"/>
        <v>5.264747512643674</v>
      </c>
      <c r="EZ128" s="456"/>
      <c r="FA128" s="538">
        <f t="shared" si="424"/>
        <v>0.98057106382978687</v>
      </c>
      <c r="FB128" s="144">
        <f t="shared" si="425"/>
        <v>6409.6508339768634</v>
      </c>
      <c r="FC128" s="150">
        <f t="shared" si="426"/>
        <v>8.9961833476038198</v>
      </c>
      <c r="FD128" s="5">
        <f t="shared" si="427"/>
        <v>22.517999999999997</v>
      </c>
      <c r="FE128" s="150">
        <f t="shared" si="428"/>
        <v>0.71453541256724817</v>
      </c>
      <c r="FF128" s="5">
        <f t="shared" si="429"/>
        <v>71.453541256724819</v>
      </c>
      <c r="FG128">
        <f t="shared" si="430"/>
        <v>18</v>
      </c>
      <c r="FI128" s="59">
        <f t="shared" si="431"/>
        <v>-50</v>
      </c>
      <c r="FJ128">
        <f t="shared" si="432"/>
        <v>-50</v>
      </c>
    </row>
    <row r="129" spans="5:166">
      <c r="E129" s="147">
        <v>19</v>
      </c>
      <c r="F129" s="188">
        <f t="shared" si="433"/>
        <v>0.76</v>
      </c>
      <c r="G129" s="188">
        <f t="shared" si="312"/>
        <v>0.1615</v>
      </c>
      <c r="H129" s="188">
        <f t="shared" si="313"/>
        <v>22.8</v>
      </c>
      <c r="I129" s="188">
        <f t="shared" si="314"/>
        <v>0.96900000000000008</v>
      </c>
      <c r="J129" s="465">
        <f t="shared" si="315"/>
        <v>19.906845048158605</v>
      </c>
      <c r="K129" s="379">
        <f t="shared" si="316"/>
        <v>30.770215829062796</v>
      </c>
      <c r="L129" s="149">
        <f t="shared" si="317"/>
        <v>50.6770608772214</v>
      </c>
      <c r="M129" s="379"/>
      <c r="N129" s="188">
        <f t="shared" si="318"/>
        <v>0.60718232858081078</v>
      </c>
      <c r="O129" s="149">
        <f t="shared" si="319"/>
        <v>175.67160135220297</v>
      </c>
      <c r="P129" s="149">
        <f t="shared" si="320"/>
        <v>7.4660430574686245</v>
      </c>
      <c r="Q129" s="188">
        <f t="shared" si="321"/>
        <v>5.8557200450734319</v>
      </c>
      <c r="R129" s="188">
        <f t="shared" si="322"/>
        <v>29.27860022536716</v>
      </c>
      <c r="S129" s="188">
        <f t="shared" si="323"/>
        <v>30</v>
      </c>
      <c r="T129" s="188">
        <f t="shared" si="324"/>
        <v>3.9329583472281979</v>
      </c>
      <c r="U129" s="188">
        <f t="shared" si="325"/>
        <v>0.92857025747946909</v>
      </c>
      <c r="V129" s="188">
        <f t="shared" si="326"/>
        <v>0.60074015517672585</v>
      </c>
      <c r="W129" s="172">
        <f t="shared" si="327"/>
        <v>350</v>
      </c>
      <c r="X129" s="379">
        <f t="shared" si="434"/>
        <v>350</v>
      </c>
      <c r="Z129" s="188">
        <f t="shared" si="328"/>
        <v>7.3477717513910772</v>
      </c>
      <c r="AA129" s="150">
        <f t="shared" si="329"/>
        <v>1.1223362040548261</v>
      </c>
      <c r="AB129" s="150">
        <f t="shared" si="330"/>
        <v>1.3843331364513862</v>
      </c>
      <c r="AC129" s="150"/>
      <c r="AD129" s="150">
        <f t="shared" si="331"/>
        <v>0.92572793909180973</v>
      </c>
      <c r="AE129" s="314">
        <f t="shared" si="332"/>
        <v>282.4361121222135</v>
      </c>
      <c r="AF129" s="456">
        <f t="shared" si="333"/>
        <v>0.94180591143705672</v>
      </c>
      <c r="AH129" s="150">
        <f t="shared" si="334"/>
        <v>5.3757306706308396</v>
      </c>
      <c r="AI129" s="150">
        <f t="shared" si="335"/>
        <v>6.0606060606060606</v>
      </c>
      <c r="AJ129" s="150">
        <f t="shared" si="336"/>
        <v>1.1613920640698363</v>
      </c>
      <c r="AL129" s="314">
        <f t="shared" si="337"/>
        <v>760</v>
      </c>
      <c r="AM129" s="144">
        <f t="shared" si="338"/>
        <v>282.4361121222135</v>
      </c>
      <c r="AO129" s="144">
        <f t="shared" si="339"/>
        <v>760</v>
      </c>
      <c r="AP129" s="144">
        <f t="shared" si="340"/>
        <v>282.4361121222135</v>
      </c>
      <c r="AR129" s="5">
        <f t="shared" si="274"/>
        <v>3.5406237272069796</v>
      </c>
      <c r="AS129" s="5">
        <f t="shared" si="439"/>
        <v>1.4309072289425064</v>
      </c>
      <c r="AT129" s="5">
        <f t="shared" si="440"/>
        <v>2.1097164982644729</v>
      </c>
      <c r="AU129" s="150">
        <f t="shared" si="441"/>
        <v>0.40413987455009159</v>
      </c>
      <c r="AW129" s="5">
        <f t="shared" si="341"/>
        <v>3.6249649799876829</v>
      </c>
      <c r="AX129" s="5">
        <f t="shared" si="342"/>
        <v>3.8515252912369133</v>
      </c>
      <c r="AY129" s="5">
        <f t="shared" si="343"/>
        <v>1.4213714530047277</v>
      </c>
      <c r="AZ129" s="5"/>
      <c r="BA129" s="150">
        <f t="shared" si="344"/>
        <v>2.2244429891960711</v>
      </c>
      <c r="BB129" s="150">
        <f t="shared" si="345"/>
        <v>2.5909052237961223</v>
      </c>
      <c r="BC129" s="150">
        <f t="shared" si="346"/>
        <v>0.52007439857661386</v>
      </c>
      <c r="BD129" s="150"/>
      <c r="BE129" s="456">
        <f t="shared" si="347"/>
        <v>5.9377759346202631E-2</v>
      </c>
      <c r="BF129" s="456">
        <f t="shared" si="348"/>
        <v>1.5831080901512873</v>
      </c>
      <c r="BG129" s="456">
        <f t="shared" si="349"/>
        <v>3.2480152894054558E-2</v>
      </c>
      <c r="BH129" s="456">
        <f t="shared" si="350"/>
        <v>0.37536469015316437</v>
      </c>
      <c r="BI129">
        <f t="shared" si="351"/>
        <v>8.9580802716713714E-3</v>
      </c>
      <c r="BJ129" s="144">
        <f t="shared" si="435"/>
        <v>41.438233165725933</v>
      </c>
      <c r="BK129">
        <f t="shared" si="352"/>
        <v>2.0629874831295902</v>
      </c>
      <c r="BL129" s="144">
        <f t="shared" si="436"/>
        <v>2059.2887728163801</v>
      </c>
      <c r="BM129" s="150">
        <f t="shared" si="353"/>
        <v>0.50965599999999989</v>
      </c>
      <c r="BN129" s="150">
        <f t="shared" si="354"/>
        <v>0.10830189999999999</v>
      </c>
      <c r="BO129" s="456"/>
      <c r="BQ129" s="144">
        <f t="shared" si="355"/>
        <v>617.95789999999988</v>
      </c>
      <c r="BR129" s="456">
        <f t="shared" si="356"/>
        <v>6.9274052570569733E-2</v>
      </c>
      <c r="BS129" s="456">
        <f t="shared" si="357"/>
        <v>9.3979058301716489E-2</v>
      </c>
      <c r="BT129" s="456">
        <f t="shared" si="358"/>
        <v>1.3523869002741331E-3</v>
      </c>
      <c r="BU129" s="456">
        <f t="shared" si="359"/>
        <v>6.0612291785787384</v>
      </c>
      <c r="BV129" s="456"/>
      <c r="BW129" s="538">
        <f t="shared" si="360"/>
        <v>1.0374145532496364</v>
      </c>
      <c r="BX129" s="144">
        <f t="shared" si="361"/>
        <v>7263.249229600935</v>
      </c>
      <c r="BY129" s="150">
        <f t="shared" si="362"/>
        <v>9.9404959024173145</v>
      </c>
      <c r="BZ129" s="5">
        <f t="shared" si="363"/>
        <v>23.769000000000002</v>
      </c>
      <c r="CA129" s="150">
        <f t="shared" si="364"/>
        <v>0.70511288773960934</v>
      </c>
      <c r="CB129" s="5">
        <f t="shared" si="365"/>
        <v>70.511288773960928</v>
      </c>
      <c r="CC129">
        <f t="shared" si="366"/>
        <v>19</v>
      </c>
      <c r="CE129" s="59">
        <f t="shared" si="367"/>
        <v>-50</v>
      </c>
      <c r="CF129">
        <f t="shared" si="368"/>
        <v>-50</v>
      </c>
      <c r="CG129" s="150">
        <f t="shared" si="369"/>
        <v>0.2573344676194777</v>
      </c>
      <c r="CH129" s="150">
        <f t="shared" si="370"/>
        <v>5.4316593085780469E-2</v>
      </c>
      <c r="CI129" s="147">
        <v>19</v>
      </c>
      <c r="CJ129" s="188">
        <f t="shared" si="437"/>
        <v>0.76</v>
      </c>
      <c r="CK129" s="188">
        <f t="shared" si="371"/>
        <v>0.1615</v>
      </c>
      <c r="CL129" s="188">
        <f t="shared" si="372"/>
        <v>22.8</v>
      </c>
      <c r="CM129" s="188">
        <f t="shared" si="373"/>
        <v>0.96900000000000008</v>
      </c>
      <c r="CN129" s="465">
        <f t="shared" si="374"/>
        <v>20</v>
      </c>
      <c r="CO129" s="379">
        <f t="shared" si="375"/>
        <v>30.7</v>
      </c>
      <c r="CP129" s="379">
        <f t="shared" si="376"/>
        <v>50.7</v>
      </c>
      <c r="CQ129" s="379"/>
      <c r="CR129" s="188">
        <f t="shared" si="377"/>
        <v>0.60317460317460314</v>
      </c>
      <c r="CS129" s="149">
        <f t="shared" si="378"/>
        <v>175.32871249897633</v>
      </c>
      <c r="CT129" s="149">
        <f t="shared" si="379"/>
        <v>7.4514702812064924</v>
      </c>
      <c r="CU129" s="188">
        <f t="shared" si="380"/>
        <v>5.8442904166325444</v>
      </c>
      <c r="CV129" s="188">
        <f t="shared" si="381"/>
        <v>29.22145208316272</v>
      </c>
      <c r="CW129" s="188">
        <f t="shared" si="382"/>
        <v>30</v>
      </c>
      <c r="CX129" s="188">
        <f t="shared" si="383"/>
        <v>3.9406500000000002</v>
      </c>
      <c r="CY129" s="188">
        <f t="shared" si="384"/>
        <v>0.92605274999999998</v>
      </c>
      <c r="CZ129" s="188">
        <f t="shared" si="385"/>
        <v>0.60329169381107495</v>
      </c>
      <c r="DA129" s="172">
        <f t="shared" si="386"/>
        <v>350</v>
      </c>
      <c r="DB129" s="379">
        <f t="shared" si="387"/>
        <v>350</v>
      </c>
      <c r="DD129" s="188">
        <f t="shared" si="388"/>
        <v>7.3619779020761014</v>
      </c>
      <c r="DE129" s="150">
        <f t="shared" si="389"/>
        <v>1.1270780501549733</v>
      </c>
      <c r="DF129" s="150">
        <f t="shared" si="390"/>
        <v>1.3928696857096292</v>
      </c>
      <c r="DG129" s="150"/>
      <c r="DH129" s="150">
        <f t="shared" si="391"/>
        <v>0.92784522751949461</v>
      </c>
      <c r="DI129" s="314">
        <f t="shared" si="392"/>
        <v>281.79160946808508</v>
      </c>
      <c r="DJ129" s="456">
        <f t="shared" si="393"/>
        <v>0.94395997276890675</v>
      </c>
      <c r="DL129" s="150">
        <f t="shared" si="394"/>
        <v>5.3757306706308396</v>
      </c>
      <c r="DM129" s="150">
        <f t="shared" si="395"/>
        <v>6.0606060606060606</v>
      </c>
      <c r="DN129" s="150">
        <f t="shared" si="396"/>
        <v>1.1610237768389058</v>
      </c>
      <c r="DP129" s="314">
        <f t="shared" si="397"/>
        <v>760</v>
      </c>
      <c r="DQ129" s="144">
        <f t="shared" si="398"/>
        <v>281.79160946808508</v>
      </c>
      <c r="DS129" s="144">
        <f t="shared" si="399"/>
        <v>760</v>
      </c>
      <c r="DT129" s="144">
        <f t="shared" si="400"/>
        <v>281.79160946808508</v>
      </c>
      <c r="DV129" s="5">
        <f t="shared" si="401"/>
        <v>3.5487217021387472</v>
      </c>
      <c r="DW129" s="5">
        <f t="shared" si="402"/>
        <v>1.4242424242424243</v>
      </c>
      <c r="DX129" s="5">
        <f t="shared" si="403"/>
        <v>2.1244792778963228</v>
      </c>
      <c r="DY129" s="150">
        <f t="shared" si="404"/>
        <v>0.40133956500000001</v>
      </c>
      <c r="EA129" s="5">
        <f t="shared" si="405"/>
        <v>3.6080808080808087</v>
      </c>
      <c r="EB129" s="5">
        <f t="shared" si="406"/>
        <v>3.8335858585858587</v>
      </c>
      <c r="EC129" s="5">
        <f t="shared" si="407"/>
        <v>1.4246508098834165</v>
      </c>
      <c r="ED129" s="5"/>
      <c r="EE129" s="150">
        <f t="shared" si="408"/>
        <v>2.2167229430085769</v>
      </c>
      <c r="EF129" s="150">
        <f t="shared" si="409"/>
        <v>2.5969862082358528</v>
      </c>
      <c r="EG129" s="150">
        <f t="shared" si="410"/>
        <v>0.52129503926088139</v>
      </c>
      <c r="EH129" s="150"/>
      <c r="EI129" s="456">
        <f t="shared" si="411"/>
        <v>5.8966327272727284E-2</v>
      </c>
      <c r="EJ129" s="456">
        <f t="shared" si="412"/>
        <v>1.6451506509127662</v>
      </c>
      <c r="EK129" s="456">
        <f t="shared" si="413"/>
        <v>3.2406035088829784E-2</v>
      </c>
      <c r="EL129" s="456">
        <f t="shared" si="414"/>
        <v>0.37484725110968736</v>
      </c>
      <c r="EM129">
        <f t="shared" si="415"/>
        <v>8.9999999999999993E-3</v>
      </c>
      <c r="EN129" s="144">
        <f t="shared" si="416"/>
        <v>41.406035088829782</v>
      </c>
      <c r="EP129" s="144">
        <f t="shared" si="438"/>
        <v>2120.3702643840106</v>
      </c>
      <c r="EQ129" s="150">
        <f t="shared" si="417"/>
        <v>0.53199999999999992</v>
      </c>
      <c r="ER129" s="150">
        <f t="shared" si="418"/>
        <v>7.7358499999999997E-2</v>
      </c>
      <c r="ES129" s="456"/>
      <c r="EU129" s="144">
        <f t="shared" si="419"/>
        <v>609.35849999999994</v>
      </c>
      <c r="EV129" s="456">
        <f t="shared" si="420"/>
        <v>6.8794048484848491E-2</v>
      </c>
      <c r="EW129" s="456">
        <f t="shared" si="421"/>
        <v>9.4420723120741248E-2</v>
      </c>
      <c r="EX129" s="456">
        <f t="shared" si="422"/>
        <v>1.3587425897900194E-3</v>
      </c>
      <c r="EY129" s="456">
        <f t="shared" si="423"/>
        <v>6.0267099111842954</v>
      </c>
      <c r="EZ129" s="456"/>
      <c r="FA129" s="538">
        <f t="shared" si="424"/>
        <v>1.0350472340425532</v>
      </c>
      <c r="FB129" s="144">
        <f t="shared" si="425"/>
        <v>7226.3306594222277</v>
      </c>
      <c r="FC129" s="150">
        <f t="shared" si="426"/>
        <v>9.9560594238062396</v>
      </c>
      <c r="FD129" s="5">
        <f t="shared" si="427"/>
        <v>23.769000000000002</v>
      </c>
      <c r="FE129" s="150">
        <f t="shared" si="428"/>
        <v>0.70478749055136314</v>
      </c>
      <c r="FF129" s="5">
        <f t="shared" si="429"/>
        <v>70.478749055136319</v>
      </c>
      <c r="FG129">
        <f t="shared" si="430"/>
        <v>19</v>
      </c>
      <c r="FI129" s="59">
        <f t="shared" si="431"/>
        <v>-50</v>
      </c>
      <c r="FJ129">
        <f t="shared" si="432"/>
        <v>-50</v>
      </c>
    </row>
    <row r="130" spans="5:166">
      <c r="E130" s="147">
        <v>20</v>
      </c>
      <c r="F130" s="188">
        <f t="shared" si="433"/>
        <v>0.8</v>
      </c>
      <c r="G130" s="188">
        <f t="shared" si="312"/>
        <v>0.17</v>
      </c>
      <c r="H130" s="188">
        <f t="shared" si="313"/>
        <v>24</v>
      </c>
      <c r="I130" s="188">
        <f t="shared" si="314"/>
        <v>1.02</v>
      </c>
      <c r="J130" s="465">
        <f t="shared" si="315"/>
        <v>19.906845048158605</v>
      </c>
      <c r="K130" s="379">
        <f t="shared" si="316"/>
        <v>30.770215829062796</v>
      </c>
      <c r="L130" s="149">
        <f t="shared" si="317"/>
        <v>50.6770608772214</v>
      </c>
      <c r="M130" s="379"/>
      <c r="N130" s="188">
        <f t="shared" si="318"/>
        <v>0.60718232858081078</v>
      </c>
      <c r="O130" s="149">
        <f t="shared" si="319"/>
        <v>175.67160135220297</v>
      </c>
      <c r="P130" s="149">
        <f t="shared" si="320"/>
        <v>7.4660430574686245</v>
      </c>
      <c r="Q130" s="188">
        <f t="shared" si="321"/>
        <v>5.8557200450734319</v>
      </c>
      <c r="R130" s="188">
        <f t="shared" si="322"/>
        <v>29.27860022536716</v>
      </c>
      <c r="S130" s="188">
        <f t="shared" si="323"/>
        <v>30</v>
      </c>
      <c r="T130" s="188">
        <f t="shared" si="324"/>
        <v>4.1399561549770505</v>
      </c>
      <c r="U130" s="188">
        <f t="shared" si="325"/>
        <v>0.97744237629417807</v>
      </c>
      <c r="V130" s="188">
        <f t="shared" si="326"/>
        <v>0.63235805808076417</v>
      </c>
      <c r="W130" s="172">
        <f t="shared" si="327"/>
        <v>350</v>
      </c>
      <c r="X130" s="379">
        <f t="shared" si="434"/>
        <v>350</v>
      </c>
      <c r="Z130" s="188">
        <f t="shared" si="328"/>
        <v>7.3477717513910772</v>
      </c>
      <c r="AA130" s="150">
        <f t="shared" si="329"/>
        <v>1.1223362040548261</v>
      </c>
      <c r="AB130" s="150">
        <f t="shared" si="330"/>
        <v>1.3843331364513862</v>
      </c>
      <c r="AC130" s="150"/>
      <c r="AD130" s="150">
        <f t="shared" si="331"/>
        <v>0.92572793909180973</v>
      </c>
      <c r="AE130" s="314">
        <f t="shared" si="332"/>
        <v>297.3011706549616</v>
      </c>
      <c r="AF130" s="456">
        <f t="shared" si="333"/>
        <v>0.94180591143705672</v>
      </c>
      <c r="AH130" s="150">
        <f t="shared" si="334"/>
        <v>5.5153832947074486</v>
      </c>
      <c r="AI130" s="150">
        <f t="shared" si="335"/>
        <v>6.0606060606060606</v>
      </c>
      <c r="AJ130" s="150">
        <f t="shared" si="336"/>
        <v>1.1698863832314066</v>
      </c>
      <c r="AL130" s="314">
        <f t="shared" si="337"/>
        <v>800</v>
      </c>
      <c r="AM130" s="144">
        <f t="shared" si="338"/>
        <v>297.3011706549616</v>
      </c>
      <c r="AO130" s="144">
        <f t="shared" si="339"/>
        <v>800</v>
      </c>
      <c r="AP130" s="144">
        <f t="shared" si="340"/>
        <v>297.3011706549616</v>
      </c>
      <c r="AR130" s="5">
        <f t="shared" si="274"/>
        <v>3.3635925408466303</v>
      </c>
      <c r="AS130" s="5">
        <f t="shared" si="439"/>
        <v>1.4309072289425064</v>
      </c>
      <c r="AT130" s="5">
        <f t="shared" si="440"/>
        <v>1.9326853119041238</v>
      </c>
      <c r="AU130" s="150">
        <f t="shared" si="441"/>
        <v>0.42541039426325433</v>
      </c>
      <c r="AW130" s="5">
        <f t="shared" si="341"/>
        <v>3.8157526105133508</v>
      </c>
      <c r="AX130" s="5">
        <f t="shared" si="342"/>
        <v>4.0542371486704347</v>
      </c>
      <c r="AY130" s="5">
        <f t="shared" si="343"/>
        <v>1.3706325157616357</v>
      </c>
      <c r="AZ130" s="5"/>
      <c r="BA130" s="150">
        <f t="shared" si="344"/>
        <v>2.2822303523627592</v>
      </c>
      <c r="BB130" s="150">
        <f t="shared" si="345"/>
        <v>2.5442410032545211</v>
      </c>
      <c r="BC130" s="150">
        <f t="shared" si="346"/>
        <v>0.51070745369174397</v>
      </c>
      <c r="BD130" s="150"/>
      <c r="BE130" s="456">
        <f t="shared" si="347"/>
        <v>6.2502904574950127E-2</v>
      </c>
      <c r="BF130" s="456">
        <f t="shared" si="348"/>
        <v>1.6664295685803023</v>
      </c>
      <c r="BG130" s="456">
        <f t="shared" si="349"/>
        <v>3.4189634625320584E-2</v>
      </c>
      <c r="BH130" s="456">
        <f t="shared" si="350"/>
        <v>0.39512072647701513</v>
      </c>
      <c r="BI130">
        <f t="shared" si="351"/>
        <v>8.9580802716713714E-3</v>
      </c>
      <c r="BJ130" s="144">
        <f t="shared" si="435"/>
        <v>43.147714896991957</v>
      </c>
      <c r="BK130">
        <f t="shared" si="352"/>
        <v>2.1732025413929579</v>
      </c>
      <c r="BL130" s="144">
        <f t="shared" si="436"/>
        <v>2167.2009145292591</v>
      </c>
      <c r="BM130" s="150">
        <f t="shared" si="353"/>
        <v>0.53647999999999996</v>
      </c>
      <c r="BN130" s="150">
        <f t="shared" si="354"/>
        <v>0.11400199999999999</v>
      </c>
      <c r="BO130" s="456"/>
      <c r="BQ130" s="144">
        <f t="shared" si="355"/>
        <v>650.48199999999997</v>
      </c>
      <c r="BR130" s="456">
        <f t="shared" si="356"/>
        <v>7.2920055337441808E-2</v>
      </c>
      <c r="BS130" s="456">
        <f t="shared" si="357"/>
        <v>9.0624271956982014E-2</v>
      </c>
      <c r="BT130" s="456">
        <f t="shared" si="358"/>
        <v>1.3041105162815243E-3</v>
      </c>
      <c r="BU130" s="456">
        <f t="shared" si="359"/>
        <v>6.8905151515220684</v>
      </c>
      <c r="BV130" s="456"/>
      <c r="BW130" s="538">
        <f t="shared" si="360"/>
        <v>1.0920153192101436</v>
      </c>
      <c r="BX130" s="144">
        <f t="shared" si="361"/>
        <v>8147.3789085429171</v>
      </c>
      <c r="BY130" s="150">
        <f t="shared" si="362"/>
        <v>10.965061823072176</v>
      </c>
      <c r="BZ130" s="5">
        <f t="shared" si="363"/>
        <v>25.02</v>
      </c>
      <c r="CA130" s="150">
        <f t="shared" si="364"/>
        <v>0.69528850952141985</v>
      </c>
      <c r="CB130" s="5">
        <f t="shared" si="365"/>
        <v>69.52885095214198</v>
      </c>
      <c r="CC130">
        <f t="shared" si="366"/>
        <v>20</v>
      </c>
      <c r="CE130" s="59">
        <f t="shared" si="367"/>
        <v>-50</v>
      </c>
      <c r="CF130">
        <f t="shared" si="368"/>
        <v>-50</v>
      </c>
      <c r="CG130" s="150">
        <f t="shared" si="369"/>
        <v>0.27087838696787125</v>
      </c>
      <c r="CH130" s="150">
        <f t="shared" si="370"/>
        <v>5.7175361142926803E-2</v>
      </c>
      <c r="CI130" s="147">
        <v>20</v>
      </c>
      <c r="CJ130" s="188">
        <f t="shared" si="437"/>
        <v>0.8</v>
      </c>
      <c r="CK130" s="188">
        <f t="shared" si="371"/>
        <v>0.17</v>
      </c>
      <c r="CL130" s="188">
        <f t="shared" si="372"/>
        <v>24</v>
      </c>
      <c r="CM130" s="188">
        <f t="shared" si="373"/>
        <v>1.02</v>
      </c>
      <c r="CN130" s="465">
        <f t="shared" si="374"/>
        <v>20</v>
      </c>
      <c r="CO130" s="379">
        <f t="shared" si="375"/>
        <v>30.7</v>
      </c>
      <c r="CP130" s="379">
        <f t="shared" si="376"/>
        <v>50.7</v>
      </c>
      <c r="CQ130" s="379"/>
      <c r="CR130" s="188">
        <f t="shared" si="377"/>
        <v>0.60317460317460314</v>
      </c>
      <c r="CS130" s="149">
        <f t="shared" si="378"/>
        <v>175.32871249897633</v>
      </c>
      <c r="CT130" s="149">
        <f t="shared" si="379"/>
        <v>7.4514702812064924</v>
      </c>
      <c r="CU130" s="188">
        <f t="shared" si="380"/>
        <v>5.8442904166325444</v>
      </c>
      <c r="CV130" s="188">
        <f t="shared" si="381"/>
        <v>29.22145208316272</v>
      </c>
      <c r="CW130" s="188">
        <f t="shared" si="382"/>
        <v>30</v>
      </c>
      <c r="CX130" s="188">
        <f t="shared" si="383"/>
        <v>4.1480526315789472</v>
      </c>
      <c r="CY130" s="188">
        <f t="shared" si="384"/>
        <v>0.97479236842105266</v>
      </c>
      <c r="CZ130" s="188">
        <f t="shared" si="385"/>
        <v>0.63504388822218405</v>
      </c>
      <c r="DA130" s="172">
        <f t="shared" si="386"/>
        <v>350</v>
      </c>
      <c r="DB130" s="379">
        <f t="shared" si="387"/>
        <v>350</v>
      </c>
      <c r="DD130" s="188">
        <f t="shared" si="388"/>
        <v>7.3619779020761014</v>
      </c>
      <c r="DE130" s="150">
        <f t="shared" si="389"/>
        <v>1.1270780501549733</v>
      </c>
      <c r="DF130" s="150">
        <f t="shared" si="390"/>
        <v>1.3928696857096292</v>
      </c>
      <c r="DG130" s="150"/>
      <c r="DH130" s="150">
        <f t="shared" si="391"/>
        <v>0.92784522751949461</v>
      </c>
      <c r="DI130" s="314">
        <f t="shared" si="392"/>
        <v>296.62274680851067</v>
      </c>
      <c r="DJ130" s="456">
        <f t="shared" si="393"/>
        <v>0.94395997276890675</v>
      </c>
      <c r="DL130" s="150">
        <f t="shared" si="394"/>
        <v>5.5153832947074486</v>
      </c>
      <c r="DM130" s="150">
        <f t="shared" si="395"/>
        <v>6.0606060606060606</v>
      </c>
      <c r="DN130" s="150">
        <f t="shared" si="396"/>
        <v>1.1694987124620062</v>
      </c>
      <c r="DP130" s="314">
        <f t="shared" si="397"/>
        <v>800</v>
      </c>
      <c r="DQ130" s="144">
        <f t="shared" si="398"/>
        <v>296.62274680851067</v>
      </c>
      <c r="DS130" s="144">
        <f t="shared" si="399"/>
        <v>800</v>
      </c>
      <c r="DT130" s="144">
        <f t="shared" si="400"/>
        <v>296.62274680851067</v>
      </c>
      <c r="DV130" s="5">
        <f t="shared" si="401"/>
        <v>3.3712856170318091</v>
      </c>
      <c r="DW130" s="5">
        <f t="shared" si="402"/>
        <v>1.4242424242424243</v>
      </c>
      <c r="DX130" s="5">
        <f t="shared" si="403"/>
        <v>1.9470431927893848</v>
      </c>
      <c r="DY130" s="150">
        <f t="shared" si="404"/>
        <v>0.42246270000000008</v>
      </c>
      <c r="EA130" s="5">
        <f t="shared" si="405"/>
        <v>3.797979797979798</v>
      </c>
      <c r="EB130" s="5">
        <f t="shared" si="406"/>
        <v>4.0353535353535364</v>
      </c>
      <c r="EC130" s="5">
        <f t="shared" si="407"/>
        <v>1.3743834302042715</v>
      </c>
      <c r="ED130" s="5"/>
      <c r="EE130" s="150">
        <f t="shared" si="408"/>
        <v>2.2743097520972926</v>
      </c>
      <c r="EF130" s="150">
        <f t="shared" si="409"/>
        <v>2.5507587427609169</v>
      </c>
      <c r="EG130" s="150">
        <f t="shared" si="410"/>
        <v>0.51201576455650855</v>
      </c>
      <c r="EH130" s="150"/>
      <c r="EI130" s="456">
        <f t="shared" si="411"/>
        <v>6.2069818181818184E-2</v>
      </c>
      <c r="EJ130" s="456">
        <f t="shared" si="412"/>
        <v>1.7317375272765965</v>
      </c>
      <c r="EK130" s="456">
        <f t="shared" si="413"/>
        <v>3.411161588297873E-2</v>
      </c>
      <c r="EL130" s="456">
        <f t="shared" si="414"/>
        <v>0.39457605379967098</v>
      </c>
      <c r="EM130">
        <f t="shared" si="415"/>
        <v>8.9999999999999993E-3</v>
      </c>
      <c r="EN130" s="144">
        <f t="shared" si="416"/>
        <v>43.111615882978732</v>
      </c>
      <c r="EP130" s="144">
        <f t="shared" si="438"/>
        <v>2231.4950151410644</v>
      </c>
      <c r="EQ130" s="150">
        <f t="shared" si="417"/>
        <v>0.55999999999999994</v>
      </c>
      <c r="ER130" s="150">
        <f t="shared" si="418"/>
        <v>8.1430000000000002E-2</v>
      </c>
      <c r="ES130" s="456"/>
      <c r="EU130" s="144">
        <f t="shared" si="419"/>
        <v>641.42999999999995</v>
      </c>
      <c r="EV130" s="456">
        <f t="shared" si="420"/>
        <v>7.2414787878787884E-2</v>
      </c>
      <c r="EW130" s="456">
        <f t="shared" si="421"/>
        <v>9.1089182292797541E-2</v>
      </c>
      <c r="EX130" s="456">
        <f t="shared" si="422"/>
        <v>1.3108007157719302E-3</v>
      </c>
      <c r="EY130" s="456">
        <f t="shared" si="423"/>
        <v>6.8512730229054064</v>
      </c>
      <c r="EZ130" s="456"/>
      <c r="FA130" s="538">
        <f t="shared" si="424"/>
        <v>1.0895234042553192</v>
      </c>
      <c r="FB130" s="144">
        <f t="shared" si="425"/>
        <v>8105.6111980480828</v>
      </c>
      <c r="FC130" s="150">
        <f t="shared" si="426"/>
        <v>10.978536213189146</v>
      </c>
      <c r="FD130" s="5">
        <f t="shared" si="427"/>
        <v>25.02</v>
      </c>
      <c r="FE130" s="150">
        <f t="shared" si="428"/>
        <v>0.69502826036668597</v>
      </c>
      <c r="FF130" s="5">
        <f t="shared" si="429"/>
        <v>69.502826036668594</v>
      </c>
      <c r="FG130">
        <f t="shared" si="430"/>
        <v>20</v>
      </c>
      <c r="FI130" s="59">
        <f t="shared" si="431"/>
        <v>-50</v>
      </c>
      <c r="FJ130">
        <f t="shared" si="432"/>
        <v>-50</v>
      </c>
    </row>
    <row r="131" spans="5:166">
      <c r="E131" s="147">
        <v>21</v>
      </c>
      <c r="F131" s="188">
        <f t="shared" si="433"/>
        <v>0.84</v>
      </c>
      <c r="G131" s="188">
        <f t="shared" si="312"/>
        <v>0.17849999999999999</v>
      </c>
      <c r="H131" s="188">
        <f t="shared" si="313"/>
        <v>25.2</v>
      </c>
      <c r="I131" s="188">
        <f t="shared" si="314"/>
        <v>1.071</v>
      </c>
      <c r="J131" s="465">
        <f t="shared" si="315"/>
        <v>19.906845048158605</v>
      </c>
      <c r="K131" s="379">
        <f t="shared" si="316"/>
        <v>30.770215829062796</v>
      </c>
      <c r="L131" s="149">
        <f t="shared" si="317"/>
        <v>50.6770608772214</v>
      </c>
      <c r="M131" s="379"/>
      <c r="N131" s="188">
        <f t="shared" si="318"/>
        <v>0.60718232858081078</v>
      </c>
      <c r="O131" s="149">
        <f t="shared" si="319"/>
        <v>175.67160135220297</v>
      </c>
      <c r="P131" s="149">
        <f t="shared" si="320"/>
        <v>7.4660430574686245</v>
      </c>
      <c r="Q131" s="188">
        <f t="shared" si="321"/>
        <v>5.8557200450734319</v>
      </c>
      <c r="R131" s="188">
        <f t="shared" si="322"/>
        <v>29.27860022536716</v>
      </c>
      <c r="S131" s="188">
        <f t="shared" si="323"/>
        <v>30</v>
      </c>
      <c r="T131" s="188">
        <f t="shared" si="324"/>
        <v>4.3469539627259026</v>
      </c>
      <c r="U131" s="188">
        <f t="shared" si="325"/>
        <v>1.0263144951088867</v>
      </c>
      <c r="V131" s="188">
        <f t="shared" si="326"/>
        <v>0.66397596098480216</v>
      </c>
      <c r="W131" s="172">
        <f t="shared" si="327"/>
        <v>350</v>
      </c>
      <c r="X131" s="379">
        <f t="shared" si="434"/>
        <v>350</v>
      </c>
      <c r="Z131" s="188">
        <f t="shared" si="328"/>
        <v>7.3477717513910772</v>
      </c>
      <c r="AA131" s="150">
        <f t="shared" si="329"/>
        <v>1.1223362040548261</v>
      </c>
      <c r="AB131" s="150">
        <f t="shared" si="330"/>
        <v>1.3843331364513862</v>
      </c>
      <c r="AC131" s="150"/>
      <c r="AD131" s="150">
        <f t="shared" si="331"/>
        <v>0.92572793909180973</v>
      </c>
      <c r="AE131" s="314">
        <f t="shared" si="332"/>
        <v>312.16622918770958</v>
      </c>
      <c r="AF131" s="456">
        <f t="shared" si="333"/>
        <v>0.94180591143705672</v>
      </c>
      <c r="AH131" s="150">
        <f t="shared" si="334"/>
        <v>5.6515861076263265</v>
      </c>
      <c r="AI131" s="150">
        <f t="shared" si="335"/>
        <v>6.0606060606060606</v>
      </c>
      <c r="AJ131" s="150">
        <f t="shared" si="336"/>
        <v>1.1783807023929769</v>
      </c>
      <c r="AL131" s="314">
        <f t="shared" si="337"/>
        <v>840</v>
      </c>
      <c r="AM131" s="144">
        <f t="shared" si="338"/>
        <v>312.16622918770958</v>
      </c>
      <c r="AO131" s="144">
        <f t="shared" si="339"/>
        <v>840</v>
      </c>
      <c r="AP131" s="144">
        <f t="shared" si="340"/>
        <v>312.16622918770958</v>
      </c>
      <c r="AR131" s="5">
        <f t="shared" si="274"/>
        <v>3.2034214674729822</v>
      </c>
      <c r="AS131" s="5">
        <f t="shared" si="439"/>
        <v>1.4309072289425064</v>
      </c>
      <c r="AT131" s="5">
        <f t="shared" si="440"/>
        <v>1.7725142385304757</v>
      </c>
      <c r="AU131" s="150">
        <f t="shared" si="441"/>
        <v>0.4466809139764169</v>
      </c>
      <c r="AW131" s="5">
        <f t="shared" si="341"/>
        <v>4.0065402410390174</v>
      </c>
      <c r="AX131" s="5">
        <f t="shared" si="342"/>
        <v>4.256949006103957</v>
      </c>
      <c r="AY131" s="5">
        <f t="shared" si="343"/>
        <v>1.3198935785185446</v>
      </c>
      <c r="AZ131" s="5"/>
      <c r="BA131" s="150">
        <f t="shared" si="344"/>
        <v>2.3385902057239818</v>
      </c>
      <c r="BB131" s="150">
        <f t="shared" si="345"/>
        <v>2.4967047656038766</v>
      </c>
      <c r="BC131" s="150">
        <f t="shared" si="346"/>
        <v>0.50116546814179352</v>
      </c>
      <c r="BD131" s="150"/>
      <c r="BE131" s="456">
        <f t="shared" si="347"/>
        <v>6.562804980369763E-2</v>
      </c>
      <c r="BF131" s="456">
        <f t="shared" si="348"/>
        <v>1.7497510470093169</v>
      </c>
      <c r="BG131" s="456">
        <f t="shared" si="349"/>
        <v>3.5899116356586609E-2</v>
      </c>
      <c r="BH131" s="456">
        <f t="shared" si="350"/>
        <v>0.41487676280086577</v>
      </c>
      <c r="BI131">
        <f t="shared" si="351"/>
        <v>8.9580802716713714E-3</v>
      </c>
      <c r="BJ131" s="144">
        <f t="shared" si="435"/>
        <v>44.857196628257981</v>
      </c>
      <c r="BK131">
        <f t="shared" si="352"/>
        <v>2.2835838693040507</v>
      </c>
      <c r="BL131" s="144">
        <f t="shared" si="436"/>
        <v>2275.1130562421381</v>
      </c>
      <c r="BM131" s="150">
        <f t="shared" si="353"/>
        <v>0.56330399999999992</v>
      </c>
      <c r="BN131" s="150">
        <f t="shared" si="354"/>
        <v>0.11970209999999999</v>
      </c>
      <c r="BO131" s="456"/>
      <c r="BQ131" s="144">
        <f t="shared" si="355"/>
        <v>683.00609999999995</v>
      </c>
      <c r="BR131" s="456">
        <f t="shared" si="356"/>
        <v>7.6566058104313897E-2</v>
      </c>
      <c r="BS131" s="456">
        <f t="shared" si="357"/>
        <v>8.726948561224751E-2</v>
      </c>
      <c r="BT131" s="456">
        <f t="shared" si="358"/>
        <v>1.2558341322889152E-3</v>
      </c>
      <c r="BU131" s="456">
        <f t="shared" si="359"/>
        <v>7.7843963384494046</v>
      </c>
      <c r="BV131" s="456"/>
      <c r="BW131" s="538">
        <f t="shared" si="360"/>
        <v>1.1466160851706506</v>
      </c>
      <c r="BX131" s="144">
        <f t="shared" si="361"/>
        <v>9096.1038014689057</v>
      </c>
      <c r="BY131" s="150">
        <f t="shared" si="362"/>
        <v>12.054222957711044</v>
      </c>
      <c r="BZ131" s="5">
        <f t="shared" si="363"/>
        <v>26.271000000000001</v>
      </c>
      <c r="CA131" s="150">
        <f t="shared" si="364"/>
        <v>0.68547546426508832</v>
      </c>
      <c r="CB131" s="5">
        <f t="shared" si="365"/>
        <v>68.547546426508831</v>
      </c>
      <c r="CC131">
        <f t="shared" si="366"/>
        <v>21</v>
      </c>
      <c r="CE131" s="59">
        <f t="shared" si="367"/>
        <v>-50</v>
      </c>
      <c r="CF131">
        <f t="shared" si="368"/>
        <v>-50</v>
      </c>
      <c r="CG131" s="150">
        <f t="shared" si="369"/>
        <v>0.28442230631626481</v>
      </c>
      <c r="CH131" s="150">
        <f t="shared" si="370"/>
        <v>6.0034129200073144E-2</v>
      </c>
      <c r="CI131" s="147">
        <v>21</v>
      </c>
      <c r="CJ131" s="188">
        <f t="shared" si="437"/>
        <v>0.84</v>
      </c>
      <c r="CK131" s="188">
        <f t="shared" si="371"/>
        <v>0.17849999999999999</v>
      </c>
      <c r="CL131" s="188">
        <f t="shared" si="372"/>
        <v>25.2</v>
      </c>
      <c r="CM131" s="188">
        <f t="shared" si="373"/>
        <v>1.071</v>
      </c>
      <c r="CN131" s="465">
        <f t="shared" si="374"/>
        <v>20</v>
      </c>
      <c r="CO131" s="379">
        <f t="shared" si="375"/>
        <v>30.7</v>
      </c>
      <c r="CP131" s="379">
        <f t="shared" si="376"/>
        <v>50.7</v>
      </c>
      <c r="CQ131" s="379"/>
      <c r="CR131" s="188">
        <f t="shared" si="377"/>
        <v>0.60317460317460314</v>
      </c>
      <c r="CS131" s="149">
        <f t="shared" si="378"/>
        <v>175.32871249897633</v>
      </c>
      <c r="CT131" s="149">
        <f t="shared" si="379"/>
        <v>7.4514702812064924</v>
      </c>
      <c r="CU131" s="188">
        <f t="shared" si="380"/>
        <v>5.8442904166325444</v>
      </c>
      <c r="CV131" s="188">
        <f t="shared" si="381"/>
        <v>29.22145208316272</v>
      </c>
      <c r="CW131" s="188">
        <f t="shared" si="382"/>
        <v>30</v>
      </c>
      <c r="CX131" s="188">
        <f t="shared" si="383"/>
        <v>4.3554552631578947</v>
      </c>
      <c r="CY131" s="188">
        <f t="shared" si="384"/>
        <v>1.0235319868421053</v>
      </c>
      <c r="CZ131" s="188">
        <f t="shared" si="385"/>
        <v>0.66679608263329337</v>
      </c>
      <c r="DA131" s="172">
        <f t="shared" si="386"/>
        <v>350</v>
      </c>
      <c r="DB131" s="379">
        <f t="shared" si="387"/>
        <v>350</v>
      </c>
      <c r="DD131" s="188">
        <f t="shared" si="388"/>
        <v>7.3619779020761014</v>
      </c>
      <c r="DE131" s="150">
        <f t="shared" si="389"/>
        <v>1.1270780501549733</v>
      </c>
      <c r="DF131" s="150">
        <f t="shared" si="390"/>
        <v>1.3928696857096292</v>
      </c>
      <c r="DG131" s="150"/>
      <c r="DH131" s="150">
        <f t="shared" si="391"/>
        <v>0.92784522751949461</v>
      </c>
      <c r="DI131" s="314">
        <f t="shared" si="392"/>
        <v>311.4538841489362</v>
      </c>
      <c r="DJ131" s="456">
        <f t="shared" si="393"/>
        <v>0.94395997276890675</v>
      </c>
      <c r="DL131" s="150">
        <f t="shared" si="394"/>
        <v>5.6515861076263265</v>
      </c>
      <c r="DM131" s="150">
        <f t="shared" si="395"/>
        <v>6.0606060606060606</v>
      </c>
      <c r="DN131" s="150">
        <f t="shared" si="396"/>
        <v>1.1779736480851064</v>
      </c>
      <c r="DP131" s="314">
        <f t="shared" si="397"/>
        <v>840</v>
      </c>
      <c r="DQ131" s="144">
        <f t="shared" si="398"/>
        <v>311.4538841489362</v>
      </c>
      <c r="DS131" s="144">
        <f t="shared" si="399"/>
        <v>840</v>
      </c>
      <c r="DT131" s="144">
        <f t="shared" si="400"/>
        <v>311.4538841489362</v>
      </c>
      <c r="DV131" s="5">
        <f t="shared" si="401"/>
        <v>3.210748206696961</v>
      </c>
      <c r="DW131" s="5">
        <f t="shared" si="402"/>
        <v>1.4242424242424243</v>
      </c>
      <c r="DX131" s="5">
        <f t="shared" si="403"/>
        <v>1.7865057824545367</v>
      </c>
      <c r="DY131" s="150">
        <f t="shared" si="404"/>
        <v>0.44358583500000009</v>
      </c>
      <c r="EA131" s="5">
        <f t="shared" si="405"/>
        <v>3.9878787878787878</v>
      </c>
      <c r="EB131" s="5">
        <f t="shared" si="406"/>
        <v>4.2371212121212123</v>
      </c>
      <c r="EC131" s="5">
        <f t="shared" si="407"/>
        <v>1.324116050525127</v>
      </c>
      <c r="ED131" s="5"/>
      <c r="EE131" s="150">
        <f t="shared" si="408"/>
        <v>2.330474005628274</v>
      </c>
      <c r="EF131" s="150">
        <f t="shared" si="409"/>
        <v>2.5036778869845202</v>
      </c>
      <c r="EG131" s="150">
        <f t="shared" si="410"/>
        <v>0.50256518816046969</v>
      </c>
      <c r="EH131" s="150"/>
      <c r="EI131" s="456">
        <f t="shared" si="411"/>
        <v>6.5173309090909112E-2</v>
      </c>
      <c r="EJ131" s="456">
        <f t="shared" si="412"/>
        <v>1.818324403640426</v>
      </c>
      <c r="EK131" s="456">
        <f t="shared" si="413"/>
        <v>3.5817196677127669E-2</v>
      </c>
      <c r="EL131" s="456">
        <f t="shared" si="414"/>
        <v>0.41430485648965454</v>
      </c>
      <c r="EM131">
        <f t="shared" si="415"/>
        <v>8.9999999999999993E-3</v>
      </c>
      <c r="EN131" s="144">
        <f t="shared" si="416"/>
        <v>44.817196677127669</v>
      </c>
      <c r="EP131" s="144">
        <f t="shared" si="438"/>
        <v>2342.6197658981168</v>
      </c>
      <c r="EQ131" s="150">
        <f t="shared" si="417"/>
        <v>0.58799999999999997</v>
      </c>
      <c r="ER131" s="150">
        <f t="shared" si="418"/>
        <v>8.5501499999999994E-2</v>
      </c>
      <c r="ES131" s="456"/>
      <c r="EU131" s="144">
        <f t="shared" si="419"/>
        <v>673.50149999999996</v>
      </c>
      <c r="EV131" s="456">
        <f t="shared" si="420"/>
        <v>7.6035527272727305E-2</v>
      </c>
      <c r="EW131" s="456">
        <f t="shared" si="421"/>
        <v>8.7757641464853806E-2</v>
      </c>
      <c r="EX131" s="456">
        <f t="shared" si="422"/>
        <v>1.2628588417538415E-3</v>
      </c>
      <c r="EY131" s="456">
        <f t="shared" si="423"/>
        <v>7.7400634728219444</v>
      </c>
      <c r="EZ131" s="456"/>
      <c r="FA131" s="538">
        <f t="shared" si="424"/>
        <v>1.1439995744680853</v>
      </c>
      <c r="FB131" s="144">
        <f t="shared" si="425"/>
        <v>9049.1190748693643</v>
      </c>
      <c r="FC131" s="150">
        <f t="shared" si="426"/>
        <v>12.065240340767481</v>
      </c>
      <c r="FD131" s="5">
        <f t="shared" si="427"/>
        <v>26.271000000000001</v>
      </c>
      <c r="FE131" s="150">
        <f t="shared" si="428"/>
        <v>0.68527846670616066</v>
      </c>
      <c r="FF131" s="5">
        <f t="shared" si="429"/>
        <v>68.527846670616071</v>
      </c>
      <c r="FG131">
        <f t="shared" si="430"/>
        <v>21</v>
      </c>
      <c r="FI131" s="59">
        <f t="shared" si="431"/>
        <v>-50</v>
      </c>
      <c r="FJ131">
        <f t="shared" si="432"/>
        <v>-50</v>
      </c>
    </row>
    <row r="132" spans="5:166">
      <c r="E132" s="147">
        <v>22</v>
      </c>
      <c r="F132" s="188">
        <f t="shared" si="433"/>
        <v>0.88</v>
      </c>
      <c r="G132" s="188">
        <f t="shared" si="312"/>
        <v>0.187</v>
      </c>
      <c r="H132" s="188">
        <f t="shared" si="313"/>
        <v>26.4</v>
      </c>
      <c r="I132" s="188">
        <f t="shared" si="314"/>
        <v>1.1219999999999999</v>
      </c>
      <c r="J132" s="465">
        <f t="shared" si="315"/>
        <v>19.906845048158605</v>
      </c>
      <c r="K132" s="379">
        <f t="shared" si="316"/>
        <v>30.770215829062796</v>
      </c>
      <c r="L132" s="149">
        <f t="shared" si="317"/>
        <v>50.6770608772214</v>
      </c>
      <c r="M132" s="379"/>
      <c r="N132" s="188">
        <f t="shared" si="318"/>
        <v>0.60718232858081078</v>
      </c>
      <c r="O132" s="149">
        <f t="shared" si="319"/>
        <v>175.67160135220297</v>
      </c>
      <c r="P132" s="149">
        <f t="shared" si="320"/>
        <v>7.4660430574686245</v>
      </c>
      <c r="Q132" s="188">
        <f t="shared" si="321"/>
        <v>5.8557200450734319</v>
      </c>
      <c r="R132" s="188">
        <f t="shared" si="322"/>
        <v>29.27860022536716</v>
      </c>
      <c r="S132" s="188">
        <f t="shared" si="323"/>
        <v>30</v>
      </c>
      <c r="T132" s="188">
        <f t="shared" si="324"/>
        <v>4.5539517704747547</v>
      </c>
      <c r="U132" s="188">
        <f t="shared" si="325"/>
        <v>1.0751866139235955</v>
      </c>
      <c r="V132" s="188">
        <f t="shared" si="326"/>
        <v>0.69559386388884026</v>
      </c>
      <c r="W132" s="172">
        <f t="shared" si="327"/>
        <v>350</v>
      </c>
      <c r="X132" s="379">
        <f t="shared" si="434"/>
        <v>350</v>
      </c>
      <c r="Z132" s="188">
        <f t="shared" si="328"/>
        <v>7.3477717513910772</v>
      </c>
      <c r="AA132" s="150">
        <f t="shared" si="329"/>
        <v>1.1223362040548261</v>
      </c>
      <c r="AB132" s="150">
        <f t="shared" si="330"/>
        <v>1.3843331364513862</v>
      </c>
      <c r="AC132" s="150"/>
      <c r="AD132" s="150">
        <f t="shared" si="331"/>
        <v>0.92572793909180973</v>
      </c>
      <c r="AE132" s="314">
        <f t="shared" si="332"/>
        <v>327.03128772045773</v>
      </c>
      <c r="AF132" s="456">
        <f t="shared" si="333"/>
        <v>0.94180591143705672</v>
      </c>
      <c r="AH132" s="150">
        <f t="shared" si="334"/>
        <v>5.784582800539015</v>
      </c>
      <c r="AI132" s="150">
        <f t="shared" si="335"/>
        <v>6.0606060606060606</v>
      </c>
      <c r="AJ132" s="150">
        <f t="shared" si="336"/>
        <v>1.1868750215545472</v>
      </c>
      <c r="AL132" s="314">
        <f t="shared" si="337"/>
        <v>880</v>
      </c>
      <c r="AM132" s="144">
        <f t="shared" si="338"/>
        <v>327.03128772045773</v>
      </c>
      <c r="AO132" s="144">
        <f t="shared" si="339"/>
        <v>880</v>
      </c>
      <c r="AP132" s="144">
        <f t="shared" si="340"/>
        <v>327.03128772045773</v>
      </c>
      <c r="AR132" s="5">
        <f t="shared" si="274"/>
        <v>3.0578114007696646</v>
      </c>
      <c r="AS132" s="5">
        <f t="shared" si="439"/>
        <v>1.4309072289425064</v>
      </c>
      <c r="AT132" s="5">
        <f t="shared" si="440"/>
        <v>1.6269041718271582</v>
      </c>
      <c r="AU132" s="150">
        <f t="shared" si="441"/>
        <v>0.46795143368957964</v>
      </c>
      <c r="AW132" s="5">
        <f t="shared" si="341"/>
        <v>4.1973278715646858</v>
      </c>
      <c r="AX132" s="5">
        <f t="shared" si="342"/>
        <v>4.4596608635374784</v>
      </c>
      <c r="AY132" s="5">
        <f t="shared" si="343"/>
        <v>1.2691546412754522</v>
      </c>
      <c r="AZ132" s="5"/>
      <c r="BA132" s="150">
        <f t="shared" si="344"/>
        <v>2.3936233871205443</v>
      </c>
      <c r="BB132" s="150">
        <f t="shared" si="345"/>
        <v>2.4482457169444096</v>
      </c>
      <c r="BC132" s="150">
        <f t="shared" si="346"/>
        <v>0.49143824602818748</v>
      </c>
      <c r="BD132" s="150"/>
      <c r="BE132" s="456">
        <f t="shared" si="347"/>
        <v>6.8753195032445119E-2</v>
      </c>
      <c r="BF132" s="456">
        <f t="shared" si="348"/>
        <v>1.8330725254383324</v>
      </c>
      <c r="BG132" s="456">
        <f t="shared" si="349"/>
        <v>3.7608598087852642E-2</v>
      </c>
      <c r="BH132" s="456">
        <f t="shared" si="350"/>
        <v>0.43463279912471664</v>
      </c>
      <c r="BI132">
        <f t="shared" si="351"/>
        <v>8.9580802716713714E-3</v>
      </c>
      <c r="BJ132" s="144">
        <f t="shared" si="435"/>
        <v>46.566678359524012</v>
      </c>
      <c r="BK132">
        <f t="shared" si="352"/>
        <v>2.3941318433966901</v>
      </c>
      <c r="BL132" s="144">
        <f t="shared" si="436"/>
        <v>2383.025197955018</v>
      </c>
      <c r="BM132" s="150">
        <f t="shared" si="353"/>
        <v>0.59012799999999999</v>
      </c>
      <c r="BN132" s="150">
        <f t="shared" si="354"/>
        <v>0.12540219999999999</v>
      </c>
      <c r="BO132" s="456"/>
      <c r="BQ132" s="144">
        <f t="shared" si="355"/>
        <v>715.53020000000004</v>
      </c>
      <c r="BR132" s="456">
        <f t="shared" si="356"/>
        <v>8.0212060871185986E-2</v>
      </c>
      <c r="BS132" s="456">
        <f t="shared" si="357"/>
        <v>8.3914699267513063E-2</v>
      </c>
      <c r="BT132" s="456">
        <f t="shared" si="358"/>
        <v>1.2075577482963066E-3</v>
      </c>
      <c r="BU132" s="456">
        <f t="shared" si="359"/>
        <v>8.7444682438338752</v>
      </c>
      <c r="BV132" s="456"/>
      <c r="BW132" s="538">
        <f t="shared" si="360"/>
        <v>1.2012168511311578</v>
      </c>
      <c r="BX132" s="144">
        <f t="shared" si="361"/>
        <v>10111.019412852027</v>
      </c>
      <c r="BY132" s="150">
        <f t="shared" si="362"/>
        <v>13.209574810807046</v>
      </c>
      <c r="BZ132" s="5">
        <f t="shared" si="363"/>
        <v>27.521999999999998</v>
      </c>
      <c r="CA132" s="150">
        <f t="shared" si="364"/>
        <v>0.67569201848531923</v>
      </c>
      <c r="CB132" s="5">
        <f t="shared" si="365"/>
        <v>67.569201848531918</v>
      </c>
      <c r="CC132">
        <f t="shared" si="366"/>
        <v>22</v>
      </c>
      <c r="CE132" s="59">
        <f t="shared" si="367"/>
        <v>-50</v>
      </c>
      <c r="CF132">
        <f t="shared" si="368"/>
        <v>-50</v>
      </c>
      <c r="CG132" s="150">
        <f t="shared" si="369"/>
        <v>0.29796622566465836</v>
      </c>
      <c r="CH132" s="150">
        <f t="shared" si="370"/>
        <v>6.2892897257219471E-2</v>
      </c>
      <c r="CI132" s="147">
        <v>22</v>
      </c>
      <c r="CJ132" s="188">
        <f t="shared" si="437"/>
        <v>0.88</v>
      </c>
      <c r="CK132" s="188">
        <f t="shared" si="371"/>
        <v>0.187</v>
      </c>
      <c r="CL132" s="188">
        <f t="shared" si="372"/>
        <v>26.4</v>
      </c>
      <c r="CM132" s="188">
        <f t="shared" si="373"/>
        <v>1.1219999999999999</v>
      </c>
      <c r="CN132" s="465">
        <f t="shared" si="374"/>
        <v>20</v>
      </c>
      <c r="CO132" s="379">
        <f t="shared" si="375"/>
        <v>30.7</v>
      </c>
      <c r="CP132" s="379">
        <f t="shared" si="376"/>
        <v>50.7</v>
      </c>
      <c r="CQ132" s="379"/>
      <c r="CR132" s="188">
        <f t="shared" si="377"/>
        <v>0.60317460317460314</v>
      </c>
      <c r="CS132" s="149">
        <f t="shared" si="378"/>
        <v>175.32871249897633</v>
      </c>
      <c r="CT132" s="149">
        <f t="shared" si="379"/>
        <v>7.4514702812064924</v>
      </c>
      <c r="CU132" s="188">
        <f t="shared" si="380"/>
        <v>5.8442904166325444</v>
      </c>
      <c r="CV132" s="188">
        <f t="shared" si="381"/>
        <v>29.22145208316272</v>
      </c>
      <c r="CW132" s="188">
        <f t="shared" si="382"/>
        <v>30</v>
      </c>
      <c r="CX132" s="188">
        <f t="shared" si="383"/>
        <v>4.5628578947368421</v>
      </c>
      <c r="CY132" s="188">
        <f t="shared" si="384"/>
        <v>1.0722716052631578</v>
      </c>
      <c r="CZ132" s="188">
        <f t="shared" si="385"/>
        <v>0.69854827704440248</v>
      </c>
      <c r="DA132" s="172">
        <f t="shared" si="386"/>
        <v>350</v>
      </c>
      <c r="DB132" s="379">
        <f t="shared" si="387"/>
        <v>350</v>
      </c>
      <c r="DD132" s="188">
        <f t="shared" si="388"/>
        <v>7.3619779020761014</v>
      </c>
      <c r="DE132" s="150">
        <f t="shared" si="389"/>
        <v>1.1270780501549733</v>
      </c>
      <c r="DF132" s="150">
        <f t="shared" si="390"/>
        <v>1.3928696857096292</v>
      </c>
      <c r="DG132" s="150"/>
      <c r="DH132" s="150">
        <f t="shared" si="391"/>
        <v>0.92784522751949461</v>
      </c>
      <c r="DI132" s="314">
        <f t="shared" si="392"/>
        <v>326.28502148936172</v>
      </c>
      <c r="DJ132" s="456">
        <f t="shared" si="393"/>
        <v>0.94395997276890675</v>
      </c>
      <c r="DL132" s="150">
        <f t="shared" si="394"/>
        <v>5.784582800539015</v>
      </c>
      <c r="DM132" s="150">
        <f t="shared" si="395"/>
        <v>6.0606060606060606</v>
      </c>
      <c r="DN132" s="150">
        <f t="shared" si="396"/>
        <v>1.1864485837082066</v>
      </c>
      <c r="DP132" s="314">
        <f t="shared" si="397"/>
        <v>880</v>
      </c>
      <c r="DQ132" s="144">
        <f t="shared" si="398"/>
        <v>326.28502148936172</v>
      </c>
      <c r="DS132" s="144">
        <f t="shared" si="399"/>
        <v>880</v>
      </c>
      <c r="DT132" s="144">
        <f t="shared" si="400"/>
        <v>326.28502148936172</v>
      </c>
      <c r="DV132" s="5">
        <f t="shared" si="401"/>
        <v>3.0648051063925541</v>
      </c>
      <c r="DW132" s="5">
        <f t="shared" si="402"/>
        <v>1.4242424242424243</v>
      </c>
      <c r="DX132" s="5">
        <f t="shared" si="403"/>
        <v>1.6405626821501298</v>
      </c>
      <c r="DY132" s="150">
        <f t="shared" si="404"/>
        <v>0.46470897</v>
      </c>
      <c r="EA132" s="5">
        <f t="shared" si="405"/>
        <v>4.177777777777778</v>
      </c>
      <c r="EB132" s="5">
        <f t="shared" si="406"/>
        <v>4.43888888888889</v>
      </c>
      <c r="EC132" s="5">
        <f t="shared" si="407"/>
        <v>1.2738486708459829</v>
      </c>
      <c r="ED132" s="5"/>
      <c r="EE132" s="150">
        <f t="shared" si="408"/>
        <v>2.3853161914793044</v>
      </c>
      <c r="EF132" s="150">
        <f t="shared" si="409"/>
        <v>2.4556945575089943</v>
      </c>
      <c r="EG132" s="150">
        <f t="shared" si="410"/>
        <v>0.49293345752459383</v>
      </c>
      <c r="EH132" s="150"/>
      <c r="EI132" s="456">
        <f t="shared" si="411"/>
        <v>6.8276800000000012E-2</v>
      </c>
      <c r="EJ132" s="456">
        <f t="shared" si="412"/>
        <v>1.9049112800042558</v>
      </c>
      <c r="EK132" s="456">
        <f t="shared" si="413"/>
        <v>3.7522777471276601E-2</v>
      </c>
      <c r="EL132" s="456">
        <f t="shared" si="414"/>
        <v>0.4340336591796381</v>
      </c>
      <c r="EM132">
        <f t="shared" si="415"/>
        <v>8.9999999999999993E-3</v>
      </c>
      <c r="EN132" s="144">
        <f t="shared" si="416"/>
        <v>46.522777471276605</v>
      </c>
      <c r="EP132" s="144">
        <f t="shared" si="438"/>
        <v>2453.7445166551702</v>
      </c>
      <c r="EQ132" s="150">
        <f t="shared" si="417"/>
        <v>0.61599999999999999</v>
      </c>
      <c r="ER132" s="150">
        <f t="shared" si="418"/>
        <v>8.9573E-2</v>
      </c>
      <c r="ES132" s="456"/>
      <c r="EU132" s="144">
        <f t="shared" si="419"/>
        <v>705.57299999999998</v>
      </c>
      <c r="EV132" s="456">
        <f t="shared" si="420"/>
        <v>7.965626666666667E-2</v>
      </c>
      <c r="EW132" s="456">
        <f t="shared" si="421"/>
        <v>8.442610063691014E-2</v>
      </c>
      <c r="EX132" s="456">
        <f t="shared" si="422"/>
        <v>1.2149169677357528E-3</v>
      </c>
      <c r="EY132" s="456">
        <f t="shared" si="423"/>
        <v>8.6946676788597106</v>
      </c>
      <c r="EZ132" s="456"/>
      <c r="FA132" s="538">
        <f t="shared" si="424"/>
        <v>1.1984757446808512</v>
      </c>
      <c r="FB132" s="144">
        <f t="shared" si="425"/>
        <v>10058.440707811875</v>
      </c>
      <c r="FC132" s="150">
        <f t="shared" si="426"/>
        <v>13.217758224467044</v>
      </c>
      <c r="FD132" s="5">
        <f t="shared" si="427"/>
        <v>27.521999999999998</v>
      </c>
      <c r="FE132" s="150">
        <f t="shared" si="428"/>
        <v>0.6755562919239696</v>
      </c>
      <c r="FF132" s="5">
        <f t="shared" si="429"/>
        <v>67.555629192396964</v>
      </c>
      <c r="FG132">
        <f t="shared" si="430"/>
        <v>22</v>
      </c>
      <c r="FI132" s="59">
        <f t="shared" si="431"/>
        <v>-50</v>
      </c>
      <c r="FJ132">
        <f t="shared" si="432"/>
        <v>-50</v>
      </c>
    </row>
    <row r="133" spans="5:166">
      <c r="E133" s="147">
        <v>23</v>
      </c>
      <c r="F133" s="188">
        <f t="shared" si="433"/>
        <v>0.92</v>
      </c>
      <c r="G133" s="188">
        <f t="shared" si="312"/>
        <v>0.19550000000000001</v>
      </c>
      <c r="H133" s="188">
        <f t="shared" si="313"/>
        <v>27.6</v>
      </c>
      <c r="I133" s="188">
        <f t="shared" si="314"/>
        <v>1.173</v>
      </c>
      <c r="J133" s="465">
        <f t="shared" si="315"/>
        <v>19.906845048158605</v>
      </c>
      <c r="K133" s="379">
        <f t="shared" si="316"/>
        <v>30.770215829062796</v>
      </c>
      <c r="L133" s="149">
        <f t="shared" si="317"/>
        <v>50.6770608772214</v>
      </c>
      <c r="M133" s="379"/>
      <c r="N133" s="188">
        <f t="shared" si="318"/>
        <v>0.60718232858081078</v>
      </c>
      <c r="O133" s="149">
        <f t="shared" si="319"/>
        <v>175.67160135220297</v>
      </c>
      <c r="P133" s="149">
        <f t="shared" si="320"/>
        <v>7.4660430574686245</v>
      </c>
      <c r="Q133" s="188">
        <f t="shared" si="321"/>
        <v>5.8557200450734319</v>
      </c>
      <c r="R133" s="188">
        <f t="shared" si="322"/>
        <v>29.27860022536716</v>
      </c>
      <c r="S133" s="188">
        <f t="shared" si="323"/>
        <v>30</v>
      </c>
      <c r="T133" s="188">
        <f t="shared" si="324"/>
        <v>4.7609495782236086</v>
      </c>
      <c r="U133" s="188">
        <f t="shared" si="325"/>
        <v>1.1240587327383047</v>
      </c>
      <c r="V133" s="188">
        <f t="shared" si="326"/>
        <v>0.7272117667928788</v>
      </c>
      <c r="W133" s="172">
        <f t="shared" si="327"/>
        <v>350</v>
      </c>
      <c r="X133" s="379">
        <f t="shared" si="434"/>
        <v>350</v>
      </c>
      <c r="Z133" s="188">
        <f t="shared" si="328"/>
        <v>7.3477717513910772</v>
      </c>
      <c r="AA133" s="150">
        <f t="shared" si="329"/>
        <v>1.1223362040548261</v>
      </c>
      <c r="AB133" s="150">
        <f t="shared" si="330"/>
        <v>1.3843331364513862</v>
      </c>
      <c r="AC133" s="150"/>
      <c r="AD133" s="150">
        <f t="shared" si="331"/>
        <v>0.92572793909180973</v>
      </c>
      <c r="AE133" s="314">
        <f t="shared" si="332"/>
        <v>341.89634625320582</v>
      </c>
      <c r="AF133" s="456">
        <f t="shared" si="333"/>
        <v>0.94180591143705672</v>
      </c>
      <c r="AH133" s="150">
        <f t="shared" si="334"/>
        <v>5.9145896578434503</v>
      </c>
      <c r="AI133" s="150">
        <f t="shared" si="335"/>
        <v>6.0606060606060606</v>
      </c>
      <c r="AJ133" s="150">
        <f t="shared" si="336"/>
        <v>1.1953693407161177</v>
      </c>
      <c r="AL133" s="314">
        <f t="shared" si="337"/>
        <v>920</v>
      </c>
      <c r="AM133" s="144">
        <f t="shared" si="338"/>
        <v>341.89634625320582</v>
      </c>
      <c r="AO133" s="144">
        <f t="shared" si="339"/>
        <v>920</v>
      </c>
      <c r="AP133" s="144">
        <f t="shared" si="340"/>
        <v>341.89634625320582</v>
      </c>
      <c r="AR133" s="5">
        <f t="shared" si="274"/>
        <v>2.9248630789970704</v>
      </c>
      <c r="AS133" s="5">
        <f t="shared" si="439"/>
        <v>1.4309072289425064</v>
      </c>
      <c r="AT133" s="5">
        <f t="shared" si="440"/>
        <v>1.493955850054564</v>
      </c>
      <c r="AU133" s="150">
        <f t="shared" si="441"/>
        <v>0.48922195340274238</v>
      </c>
      <c r="AW133" s="5">
        <f t="shared" si="341"/>
        <v>4.3881155020903533</v>
      </c>
      <c r="AX133" s="5">
        <f t="shared" si="342"/>
        <v>4.6623727209710006</v>
      </c>
      <c r="AY133" s="5">
        <f t="shared" si="343"/>
        <v>1.2184157040323602</v>
      </c>
      <c r="AZ133" s="5"/>
      <c r="BA133" s="150">
        <f t="shared" si="344"/>
        <v>2.4474193936537971</v>
      </c>
      <c r="BB133" s="150">
        <f t="shared" si="345"/>
        <v>2.3988079319704161</v>
      </c>
      <c r="BC133" s="150">
        <f t="shared" si="346"/>
        <v>0.48151456142129223</v>
      </c>
      <c r="BD133" s="150"/>
      <c r="BE133" s="456">
        <f t="shared" si="347"/>
        <v>7.1878340261192636E-2</v>
      </c>
      <c r="BF133" s="456">
        <f t="shared" si="348"/>
        <v>1.9163940038673477</v>
      </c>
      <c r="BG133" s="456">
        <f t="shared" si="349"/>
        <v>3.9318079819118675E-2</v>
      </c>
      <c r="BH133" s="456">
        <f t="shared" si="350"/>
        <v>0.45438883544856745</v>
      </c>
      <c r="BI133">
        <f t="shared" si="351"/>
        <v>8.9580802716713714E-3</v>
      </c>
      <c r="BJ133" s="144">
        <f t="shared" si="435"/>
        <v>48.27616009079005</v>
      </c>
      <c r="BK133">
        <f t="shared" si="352"/>
        <v>2.5048468413424811</v>
      </c>
      <c r="BL133" s="144">
        <f t="shared" si="436"/>
        <v>2490.937339667898</v>
      </c>
      <c r="BM133" s="150">
        <f t="shared" si="353"/>
        <v>0.61695199999999994</v>
      </c>
      <c r="BN133" s="150">
        <f t="shared" si="354"/>
        <v>0.1311023</v>
      </c>
      <c r="BO133" s="456"/>
      <c r="BQ133" s="144">
        <f t="shared" si="355"/>
        <v>748.0542999999999</v>
      </c>
      <c r="BR133" s="456">
        <f t="shared" si="356"/>
        <v>8.3858063638058089E-2</v>
      </c>
      <c r="BS133" s="456">
        <f t="shared" si="357"/>
        <v>8.0559912922778587E-2</v>
      </c>
      <c r="BT133" s="456">
        <f t="shared" si="358"/>
        <v>1.1592813643036971E-3</v>
      </c>
      <c r="BU133" s="456">
        <f t="shared" si="359"/>
        <v>9.7722887939678209</v>
      </c>
      <c r="BV133" s="456"/>
      <c r="BW133" s="538">
        <f t="shared" si="360"/>
        <v>1.2558176170916651</v>
      </c>
      <c r="BX133" s="144">
        <f t="shared" si="361"/>
        <v>11193.683668984626</v>
      </c>
      <c r="BY133" s="150">
        <f t="shared" si="362"/>
        <v>14.432675308652524</v>
      </c>
      <c r="BZ133" s="5">
        <f t="shared" si="363"/>
        <v>28.773000000000003</v>
      </c>
      <c r="CA133" s="150">
        <f t="shared" si="364"/>
        <v>0.66595417834466331</v>
      </c>
      <c r="CB133" s="5">
        <f t="shared" si="365"/>
        <v>66.595417834466332</v>
      </c>
      <c r="CC133">
        <f t="shared" si="366"/>
        <v>23</v>
      </c>
      <c r="CE133" s="59">
        <f t="shared" si="367"/>
        <v>-50</v>
      </c>
      <c r="CF133">
        <f t="shared" si="368"/>
        <v>-50</v>
      </c>
      <c r="CG133" s="150">
        <f t="shared" si="369"/>
        <v>0.31151014501305191</v>
      </c>
      <c r="CH133" s="150">
        <f t="shared" si="370"/>
        <v>6.5751665314365826E-2</v>
      </c>
      <c r="CI133" s="147">
        <v>23</v>
      </c>
      <c r="CJ133" s="188">
        <f t="shared" si="437"/>
        <v>0.92</v>
      </c>
      <c r="CK133" s="188">
        <f t="shared" si="371"/>
        <v>0.19550000000000001</v>
      </c>
      <c r="CL133" s="188">
        <f t="shared" si="372"/>
        <v>27.6</v>
      </c>
      <c r="CM133" s="188">
        <f t="shared" si="373"/>
        <v>1.173</v>
      </c>
      <c r="CN133" s="465">
        <f t="shared" si="374"/>
        <v>20</v>
      </c>
      <c r="CO133" s="379">
        <f t="shared" si="375"/>
        <v>30.7</v>
      </c>
      <c r="CP133" s="379">
        <f t="shared" si="376"/>
        <v>50.7</v>
      </c>
      <c r="CQ133" s="379"/>
      <c r="CR133" s="188">
        <f t="shared" si="377"/>
        <v>0.60317460317460314</v>
      </c>
      <c r="CS133" s="149">
        <f t="shared" si="378"/>
        <v>175.32871249897633</v>
      </c>
      <c r="CT133" s="149">
        <f t="shared" si="379"/>
        <v>7.4514702812064924</v>
      </c>
      <c r="CU133" s="188">
        <f t="shared" si="380"/>
        <v>5.8442904166325444</v>
      </c>
      <c r="CV133" s="188">
        <f t="shared" si="381"/>
        <v>29.22145208316272</v>
      </c>
      <c r="CW133" s="188">
        <f t="shared" si="382"/>
        <v>30</v>
      </c>
      <c r="CX133" s="188">
        <f t="shared" si="383"/>
        <v>4.7702605263157905</v>
      </c>
      <c r="CY133" s="188">
        <f t="shared" si="384"/>
        <v>1.1210112236842107</v>
      </c>
      <c r="CZ133" s="188">
        <f t="shared" si="385"/>
        <v>0.73030047145551191</v>
      </c>
      <c r="DA133" s="172">
        <f t="shared" si="386"/>
        <v>350</v>
      </c>
      <c r="DB133" s="379">
        <f t="shared" si="387"/>
        <v>350</v>
      </c>
      <c r="DD133" s="188">
        <f t="shared" si="388"/>
        <v>7.3619779020761014</v>
      </c>
      <c r="DE133" s="150">
        <f t="shared" si="389"/>
        <v>1.1270780501549733</v>
      </c>
      <c r="DF133" s="150">
        <f t="shared" si="390"/>
        <v>1.3928696857096292</v>
      </c>
      <c r="DG133" s="150"/>
      <c r="DH133" s="150">
        <f t="shared" si="391"/>
        <v>0.92784522751949461</v>
      </c>
      <c r="DI133" s="314">
        <f t="shared" si="392"/>
        <v>341.11615882978725</v>
      </c>
      <c r="DJ133" s="456">
        <f t="shared" si="393"/>
        <v>0.94395997276890675</v>
      </c>
      <c r="DL133" s="150">
        <f t="shared" si="394"/>
        <v>5.9145896578434503</v>
      </c>
      <c r="DM133" s="150">
        <f t="shared" si="395"/>
        <v>6.0606060606060606</v>
      </c>
      <c r="DN133" s="150">
        <f t="shared" si="396"/>
        <v>1.194923519331307</v>
      </c>
      <c r="DP133" s="314">
        <f t="shared" si="397"/>
        <v>920</v>
      </c>
      <c r="DQ133" s="144">
        <f t="shared" si="398"/>
        <v>341.11615882978725</v>
      </c>
      <c r="DS133" s="144">
        <f t="shared" si="399"/>
        <v>920</v>
      </c>
      <c r="DT133" s="144">
        <f t="shared" si="400"/>
        <v>341.11615882978725</v>
      </c>
      <c r="DV133" s="5">
        <f t="shared" si="401"/>
        <v>2.9315527104624426</v>
      </c>
      <c r="DW133" s="5">
        <f t="shared" si="402"/>
        <v>1.4242424242424243</v>
      </c>
      <c r="DX133" s="5">
        <f t="shared" si="403"/>
        <v>1.5073102862200183</v>
      </c>
      <c r="DY133" s="150">
        <f t="shared" si="404"/>
        <v>0.48583210500000013</v>
      </c>
      <c r="EA133" s="5">
        <f t="shared" si="405"/>
        <v>4.3676767676767687</v>
      </c>
      <c r="EB133" s="5">
        <f t="shared" si="406"/>
        <v>4.6406565656565668</v>
      </c>
      <c r="EC133" s="5">
        <f t="shared" si="407"/>
        <v>1.2235812911668382</v>
      </c>
      <c r="ED133" s="5"/>
      <c r="EE133" s="150">
        <f t="shared" si="408"/>
        <v>2.4389254961473461</v>
      </c>
      <c r="EF133" s="150">
        <f t="shared" si="409"/>
        <v>2.4067547772432731</v>
      </c>
      <c r="EG133" s="150">
        <f t="shared" si="410"/>
        <v>0.4831097377858708</v>
      </c>
      <c r="EH133" s="150"/>
      <c r="EI133" s="456">
        <f t="shared" si="411"/>
        <v>7.138029090909094E-2</v>
      </c>
      <c r="EJ133" s="456">
        <f t="shared" si="412"/>
        <v>1.9914981563680858</v>
      </c>
      <c r="EK133" s="456">
        <f t="shared" si="413"/>
        <v>3.9228358265425534E-2</v>
      </c>
      <c r="EL133" s="456">
        <f t="shared" si="414"/>
        <v>0.4537624618696216</v>
      </c>
      <c r="EM133">
        <f t="shared" si="415"/>
        <v>8.9999999999999993E-3</v>
      </c>
      <c r="EN133" s="144">
        <f t="shared" si="416"/>
        <v>48.228358265425534</v>
      </c>
      <c r="EP133" s="144">
        <f t="shared" si="438"/>
        <v>2564.8692674122235</v>
      </c>
      <c r="EQ133" s="150">
        <f t="shared" si="417"/>
        <v>0.64400000000000002</v>
      </c>
      <c r="ER133" s="150">
        <f t="shared" si="418"/>
        <v>9.3644500000000006E-2</v>
      </c>
      <c r="ES133" s="456"/>
      <c r="EU133" s="144">
        <f t="shared" si="419"/>
        <v>737.64449999999999</v>
      </c>
      <c r="EV133" s="456">
        <f t="shared" si="420"/>
        <v>8.327700606060609E-2</v>
      </c>
      <c r="EW133" s="456">
        <f t="shared" si="421"/>
        <v>8.1094559808966446E-2</v>
      </c>
      <c r="EX133" s="456">
        <f t="shared" si="422"/>
        <v>1.1669750937176643E-3</v>
      </c>
      <c r="EY133" s="456">
        <f t="shared" si="423"/>
        <v>9.7166346947750757</v>
      </c>
      <c r="EZ133" s="456"/>
      <c r="FA133" s="538">
        <f t="shared" si="424"/>
        <v>1.2529519148936172</v>
      </c>
      <c r="FB133" s="144">
        <f t="shared" si="425"/>
        <v>11135.125150631982</v>
      </c>
      <c r="FC133" s="150">
        <f t="shared" si="426"/>
        <v>14.437638918044208</v>
      </c>
      <c r="FD133" s="5">
        <f t="shared" si="427"/>
        <v>28.773000000000003</v>
      </c>
      <c r="FE133" s="150">
        <f t="shared" si="428"/>
        <v>0.66587768013735071</v>
      </c>
      <c r="FF133" s="5">
        <f t="shared" si="429"/>
        <v>66.587768013735072</v>
      </c>
      <c r="FG133">
        <f t="shared" si="430"/>
        <v>23</v>
      </c>
      <c r="FI133" s="59">
        <f t="shared" si="431"/>
        <v>-50</v>
      </c>
      <c r="FJ133">
        <f t="shared" si="432"/>
        <v>-50</v>
      </c>
    </row>
    <row r="134" spans="5:166">
      <c r="E134" s="147">
        <v>24</v>
      </c>
      <c r="F134" s="188">
        <f t="shared" si="433"/>
        <v>0.96</v>
      </c>
      <c r="G134" s="188">
        <f t="shared" si="312"/>
        <v>0.20399999999999999</v>
      </c>
      <c r="H134" s="188">
        <f t="shared" si="313"/>
        <v>28.799999999999997</v>
      </c>
      <c r="I134" s="188">
        <f t="shared" si="314"/>
        <v>1.224</v>
      </c>
      <c r="J134" s="465">
        <f t="shared" si="315"/>
        <v>19.90605692478881</v>
      </c>
      <c r="K134" s="379">
        <f t="shared" si="316"/>
        <v>30.770809879456465</v>
      </c>
      <c r="L134" s="149">
        <f t="shared" si="317"/>
        <v>50.676866804245279</v>
      </c>
      <c r="M134" s="379"/>
      <c r="N134" s="188">
        <f t="shared" si="318"/>
        <v>0.60719637617530742</v>
      </c>
      <c r="O134" s="149">
        <f t="shared" si="319"/>
        <v>175.6687105395124</v>
      </c>
      <c r="P134" s="149">
        <f t="shared" si="320"/>
        <v>7.4659201979292753</v>
      </c>
      <c r="Q134" s="188">
        <f t="shared" si="321"/>
        <v>5.8556236846504133</v>
      </c>
      <c r="R134" s="188">
        <f t="shared" si="322"/>
        <v>29.278118423252067</v>
      </c>
      <c r="S134" s="188">
        <f t="shared" si="323"/>
        <v>30</v>
      </c>
      <c r="T134" s="188">
        <f t="shared" si="324"/>
        <v>4.9680291387519118</v>
      </c>
      <c r="U134" s="188">
        <f t="shared" si="325"/>
        <v>1.1729965929644657</v>
      </c>
      <c r="V134" s="188">
        <f t="shared" si="326"/>
        <v>0.75882750709538471</v>
      </c>
      <c r="W134" s="172">
        <f t="shared" si="327"/>
        <v>350</v>
      </c>
      <c r="X134" s="379">
        <f t="shared" si="434"/>
        <v>350</v>
      </c>
      <c r="Z134" s="188">
        <f t="shared" si="328"/>
        <v>7.3476508380979642</v>
      </c>
      <c r="AA134" s="150">
        <f t="shared" si="329"/>
        <v>1.1222960680705503</v>
      </c>
      <c r="AB134" s="150">
        <f t="shared" si="330"/>
        <v>1.3842608517042783</v>
      </c>
      <c r="AC134" s="150"/>
      <c r="AD134" s="150">
        <f t="shared" si="331"/>
        <v>0.92571006731499261</v>
      </c>
      <c r="AE134" s="314">
        <f t="shared" si="332"/>
        <v>356.76829242867097</v>
      </c>
      <c r="AF134" s="456">
        <f t="shared" si="333"/>
        <v>0.94178772926458076</v>
      </c>
      <c r="AH134" s="150">
        <f t="shared" si="334"/>
        <v>6.0417996875968658</v>
      </c>
      <c r="AI134" s="150">
        <f t="shared" si="335"/>
        <v>6.0606060606060606</v>
      </c>
      <c r="AJ134" s="150">
        <f t="shared" si="336"/>
        <v>1.2</v>
      </c>
      <c r="AL134" s="314">
        <f t="shared" si="337"/>
        <v>960</v>
      </c>
      <c r="AM134" s="144">
        <f t="shared" si="338"/>
        <v>350</v>
      </c>
      <c r="AO134" s="144">
        <f t="shared" si="339"/>
        <v>960</v>
      </c>
      <c r="AP134" s="144">
        <f t="shared" si="340"/>
        <v>350</v>
      </c>
      <c r="AR134" s="5">
        <f t="shared" ref="AR134:AR197" si="442">1/AM134*1000</f>
        <v>2.8571428571428572</v>
      </c>
      <c r="AS134" s="5">
        <f t="shared" si="439"/>
        <v>1.4309638816202013</v>
      </c>
      <c r="AT134" s="5">
        <f t="shared" si="440"/>
        <v>1.4261789755226559</v>
      </c>
      <c r="AU134" s="150">
        <f t="shared" si="441"/>
        <v>0.50083735856707046</v>
      </c>
      <c r="AW134" s="5">
        <f t="shared" si="341"/>
        <v>4.5790844211846444</v>
      </c>
      <c r="AX134" s="5">
        <f t="shared" si="342"/>
        <v>4.865277197508683</v>
      </c>
      <c r="AY134" s="5">
        <f t="shared" si="343"/>
        <v>1.2137586963736857</v>
      </c>
      <c r="AZ134" s="5"/>
      <c r="BA134" s="150">
        <f t="shared" si="344"/>
        <v>2.476303016130295</v>
      </c>
      <c r="BB134" s="150">
        <f t="shared" si="345"/>
        <v>2.3713759000931907</v>
      </c>
      <c r="BC134" s="150">
        <f t="shared" si="346"/>
        <v>0.47600810856101383</v>
      </c>
      <c r="BD134" s="150"/>
      <c r="BE134" s="456">
        <f t="shared" si="347"/>
        <v>7.3584919532351953E-2</v>
      </c>
      <c r="BF134" s="456">
        <f t="shared" si="348"/>
        <v>1.9618090103764649</v>
      </c>
      <c r="BG134" s="456">
        <f t="shared" si="349"/>
        <v>4.0250000000000001E-2</v>
      </c>
      <c r="BH134" s="456">
        <f t="shared" si="350"/>
        <v>0.46515523216987126</v>
      </c>
      <c r="BI134">
        <f t="shared" si="351"/>
        <v>8.9577256161549636E-3</v>
      </c>
      <c r="BJ134" s="144">
        <f t="shared" si="435"/>
        <v>49.207725616154967</v>
      </c>
      <c r="BK134">
        <f t="shared" si="352"/>
        <v>2.5652676577197506</v>
      </c>
      <c r="BL134" s="144">
        <f t="shared" si="436"/>
        <v>2549.756887694843</v>
      </c>
      <c r="BM134" s="150">
        <f t="shared" si="353"/>
        <v>0.6437759999999999</v>
      </c>
      <c r="BN134" s="150">
        <f t="shared" si="354"/>
        <v>0.13680239999999999</v>
      </c>
      <c r="BO134" s="456"/>
      <c r="BQ134" s="144">
        <f t="shared" si="355"/>
        <v>780.57839999999987</v>
      </c>
      <c r="BR134" s="456">
        <f t="shared" si="356"/>
        <v>8.5849072787743952E-2</v>
      </c>
      <c r="BS134" s="456">
        <f t="shared" si="357"/>
        <v>7.8727931233599058E-2</v>
      </c>
      <c r="BT134" s="456">
        <f t="shared" si="358"/>
        <v>1.1329185970791696E-3</v>
      </c>
      <c r="BU134" s="456">
        <f t="shared" si="359"/>
        <v>10.361681881138685</v>
      </c>
      <c r="BV134" s="456"/>
      <c r="BW134" s="538">
        <f t="shared" si="360"/>
        <v>1.2855831037649221</v>
      </c>
      <c r="BX134" s="144">
        <f t="shared" si="361"/>
        <v>11812.97490752203</v>
      </c>
      <c r="BY134" s="150">
        <f t="shared" si="362"/>
        <v>15.143310195216872</v>
      </c>
      <c r="BZ134" s="5">
        <f t="shared" si="363"/>
        <v>30.023999999999997</v>
      </c>
      <c r="CA134" s="150">
        <f t="shared" si="364"/>
        <v>0.6647285364179043</v>
      </c>
      <c r="CB134" s="5">
        <f t="shared" si="365"/>
        <v>66.472853641790437</v>
      </c>
      <c r="CC134">
        <f t="shared" si="366"/>
        <v>24</v>
      </c>
      <c r="CE134" s="59">
        <f t="shared" si="367"/>
        <v>-50</v>
      </c>
      <c r="CF134">
        <f t="shared" si="368"/>
        <v>-50</v>
      </c>
      <c r="CG134" s="150">
        <f t="shared" si="369"/>
        <v>0.32232706501642899</v>
      </c>
      <c r="CH134" s="150">
        <f t="shared" si="370"/>
        <v>6.8034834948422274E-2</v>
      </c>
      <c r="CI134" s="147">
        <v>24</v>
      </c>
      <c r="CJ134" s="188">
        <f t="shared" si="437"/>
        <v>0.96</v>
      </c>
      <c r="CK134" s="188">
        <f t="shared" si="371"/>
        <v>0.20399999999999999</v>
      </c>
      <c r="CL134" s="188">
        <f t="shared" si="372"/>
        <v>28.799999999999997</v>
      </c>
      <c r="CM134" s="188">
        <f t="shared" si="373"/>
        <v>1.224</v>
      </c>
      <c r="CN134" s="465">
        <f t="shared" si="374"/>
        <v>20</v>
      </c>
      <c r="CO134" s="379">
        <f t="shared" si="375"/>
        <v>30.7</v>
      </c>
      <c r="CP134" s="379">
        <f t="shared" si="376"/>
        <v>50.7</v>
      </c>
      <c r="CQ134" s="379"/>
      <c r="CR134" s="188">
        <f t="shared" si="377"/>
        <v>0.60317460317460314</v>
      </c>
      <c r="CS134" s="149">
        <f t="shared" si="378"/>
        <v>175.32871249897633</v>
      </c>
      <c r="CT134" s="149">
        <f t="shared" si="379"/>
        <v>7.4514702812064924</v>
      </c>
      <c r="CU134" s="188">
        <f t="shared" si="380"/>
        <v>5.8442904166325444</v>
      </c>
      <c r="CV134" s="188">
        <f t="shared" si="381"/>
        <v>29.22145208316272</v>
      </c>
      <c r="CW134" s="188">
        <f t="shared" si="382"/>
        <v>30</v>
      </c>
      <c r="CX134" s="188">
        <f t="shared" si="383"/>
        <v>4.9776631578947361</v>
      </c>
      <c r="CY134" s="188">
        <f t="shared" si="384"/>
        <v>1.1697508421052629</v>
      </c>
      <c r="CZ134" s="188">
        <f t="shared" si="385"/>
        <v>0.76205266586662079</v>
      </c>
      <c r="DA134" s="172">
        <f t="shared" si="386"/>
        <v>350</v>
      </c>
      <c r="DB134" s="379">
        <f t="shared" si="387"/>
        <v>350</v>
      </c>
      <c r="DD134" s="188">
        <f t="shared" si="388"/>
        <v>7.3619779020761014</v>
      </c>
      <c r="DE134" s="150">
        <f t="shared" si="389"/>
        <v>1.1270780501549733</v>
      </c>
      <c r="DF134" s="150">
        <f t="shared" si="390"/>
        <v>1.3928696857096292</v>
      </c>
      <c r="DG134" s="150"/>
      <c r="DH134" s="150">
        <f t="shared" si="391"/>
        <v>0.92784522751949461</v>
      </c>
      <c r="DI134" s="314">
        <f t="shared" si="392"/>
        <v>355.94729617021278</v>
      </c>
      <c r="DJ134" s="456">
        <f t="shared" si="393"/>
        <v>0.94395997276890675</v>
      </c>
      <c r="DL134" s="150">
        <f t="shared" si="394"/>
        <v>6.0417996875968658</v>
      </c>
      <c r="DM134" s="150">
        <f t="shared" si="395"/>
        <v>6.0606060606060606</v>
      </c>
      <c r="DN134" s="150">
        <f t="shared" si="396"/>
        <v>1.2</v>
      </c>
      <c r="DP134" s="314">
        <f t="shared" si="397"/>
        <v>960</v>
      </c>
      <c r="DQ134" s="144">
        <f t="shared" si="398"/>
        <v>350</v>
      </c>
      <c r="DS134" s="144">
        <f t="shared" si="399"/>
        <v>960</v>
      </c>
      <c r="DT134" s="144">
        <f t="shared" si="400"/>
        <v>350</v>
      </c>
      <c r="DV134" s="5">
        <f t="shared" si="401"/>
        <v>2.8571428571428572</v>
      </c>
      <c r="DW134" s="5">
        <f t="shared" si="402"/>
        <v>1.4242424242424243</v>
      </c>
      <c r="DX134" s="5">
        <f t="shared" si="403"/>
        <v>1.4329004329004329</v>
      </c>
      <c r="DY134" s="150">
        <f t="shared" si="404"/>
        <v>0.49848484848484848</v>
      </c>
      <c r="EA134" s="5">
        <f t="shared" si="405"/>
        <v>4.5575757575757576</v>
      </c>
      <c r="EB134" s="5">
        <f t="shared" si="406"/>
        <v>4.8424242424242427</v>
      </c>
      <c r="EC134" s="5">
        <f t="shared" si="407"/>
        <v>1.2137509549274252</v>
      </c>
      <c r="ED134" s="5"/>
      <c r="EE134" s="150">
        <f t="shared" si="408"/>
        <v>2.470480382618768</v>
      </c>
      <c r="EF134" s="150">
        <f t="shared" si="409"/>
        <v>2.3769573756780749</v>
      </c>
      <c r="EG134" s="150">
        <f t="shared" si="410"/>
        <v>0.4771284824486105</v>
      </c>
      <c r="EH134" s="150"/>
      <c r="EI134" s="456">
        <f t="shared" si="411"/>
        <v>7.3239279850850089E-2</v>
      </c>
      <c r="EJ134" s="456">
        <f t="shared" si="412"/>
        <v>2.0433636363636367</v>
      </c>
      <c r="EK134" s="456">
        <f t="shared" si="413"/>
        <v>4.0250000000000001E-2</v>
      </c>
      <c r="EL134" s="456">
        <f t="shared" si="414"/>
        <v>0.46558000125000004</v>
      </c>
      <c r="EM134">
        <f t="shared" si="415"/>
        <v>8.9999999999999993E-3</v>
      </c>
      <c r="EN134" s="144">
        <f t="shared" si="416"/>
        <v>49.25</v>
      </c>
      <c r="EP134" s="144">
        <f t="shared" si="438"/>
        <v>2631.4329174644868</v>
      </c>
      <c r="EQ134" s="150">
        <f t="shared" si="417"/>
        <v>0.67199999999999993</v>
      </c>
      <c r="ER134" s="150">
        <f t="shared" si="418"/>
        <v>9.7715999999999983E-2</v>
      </c>
      <c r="ES134" s="456"/>
      <c r="EU134" s="144">
        <f t="shared" si="419"/>
        <v>769.71600000000001</v>
      </c>
      <c r="EV134" s="456">
        <f t="shared" si="420"/>
        <v>8.5445826492658444E-2</v>
      </c>
      <c r="EW134" s="456">
        <f t="shared" si="421"/>
        <v>7.9098969121065607E-2</v>
      </c>
      <c r="EX134" s="456">
        <f t="shared" si="422"/>
        <v>1.1382579438185701E-3</v>
      </c>
      <c r="EY134" s="456">
        <f t="shared" si="423"/>
        <v>10.361681881138685</v>
      </c>
      <c r="EZ134" s="456"/>
      <c r="FA134" s="538">
        <f t="shared" si="424"/>
        <v>1.2855831037649221</v>
      </c>
      <c r="FB134" s="144">
        <f t="shared" si="425"/>
        <v>11812.948038461149</v>
      </c>
      <c r="FC134" s="150">
        <f t="shared" si="426"/>
        <v>15.214096955925637</v>
      </c>
      <c r="FD134" s="5">
        <f t="shared" si="427"/>
        <v>30.023999999999997</v>
      </c>
      <c r="FE134" s="150">
        <f t="shared" si="428"/>
        <v>0.66368839585033035</v>
      </c>
      <c r="FF134" s="5">
        <f t="shared" si="429"/>
        <v>66.368839585033029</v>
      </c>
      <c r="FG134">
        <f t="shared" si="430"/>
        <v>24</v>
      </c>
      <c r="FI134" s="59">
        <f t="shared" si="431"/>
        <v>-50</v>
      </c>
      <c r="FJ134">
        <f t="shared" si="432"/>
        <v>-50</v>
      </c>
    </row>
    <row r="135" spans="5:166">
      <c r="E135" s="147">
        <v>25</v>
      </c>
      <c r="F135" s="188">
        <f t="shared" si="433"/>
        <v>1</v>
      </c>
      <c r="G135" s="188">
        <f t="shared" si="312"/>
        <v>0.21249999999999999</v>
      </c>
      <c r="H135" s="188">
        <f t="shared" si="313"/>
        <v>30</v>
      </c>
      <c r="I135" s="188">
        <f t="shared" si="314"/>
        <v>1.2749999999999999</v>
      </c>
      <c r="J135" s="465">
        <f t="shared" si="315"/>
        <v>19.904119750360284</v>
      </c>
      <c r="K135" s="379">
        <f t="shared" si="316"/>
        <v>30.772270030590136</v>
      </c>
      <c r="L135" s="149">
        <f t="shared" si="317"/>
        <v>50.676389780950416</v>
      </c>
      <c r="M135" s="379"/>
      <c r="N135" s="188">
        <f t="shared" si="318"/>
        <v>0.60723090503494448</v>
      </c>
      <c r="O135" s="149">
        <f t="shared" si="319"/>
        <v>175.66160380692088</v>
      </c>
      <c r="P135" s="149">
        <f t="shared" si="320"/>
        <v>7.4656181617941355</v>
      </c>
      <c r="Q135" s="188">
        <f t="shared" si="321"/>
        <v>5.8553867935640289</v>
      </c>
      <c r="R135" s="188">
        <f t="shared" si="322"/>
        <v>29.276933967820145</v>
      </c>
      <c r="S135" s="188">
        <f t="shared" si="323"/>
        <v>30</v>
      </c>
      <c r="T135" s="188">
        <f t="shared" si="324"/>
        <v>5.1752397188069619</v>
      </c>
      <c r="U135" s="188">
        <f t="shared" si="325"/>
        <v>1.2220398080127326</v>
      </c>
      <c r="V135" s="188">
        <f t="shared" si="326"/>
        <v>0.79043979057161062</v>
      </c>
      <c r="W135" s="172">
        <f t="shared" si="327"/>
        <v>350</v>
      </c>
      <c r="X135" s="379">
        <f t="shared" si="434"/>
        <v>350</v>
      </c>
      <c r="Z135" s="188">
        <f t="shared" si="328"/>
        <v>7.347353586586741</v>
      </c>
      <c r="AA135" s="150">
        <f t="shared" si="329"/>
        <v>1.1221974141858728</v>
      </c>
      <c r="AB135" s="150">
        <f t="shared" si="330"/>
        <v>1.384083174384618</v>
      </c>
      <c r="AC135" s="150"/>
      <c r="AD135" s="150">
        <f t="shared" si="331"/>
        <v>0.92566614216410525</v>
      </c>
      <c r="AE135" s="314">
        <f t="shared" si="332"/>
        <v>371.65127288301545</v>
      </c>
      <c r="AF135" s="456">
        <f t="shared" si="333"/>
        <v>0.94174304122501795</v>
      </c>
      <c r="AH135" s="150">
        <f t="shared" si="334"/>
        <v>6.1663859844663058</v>
      </c>
      <c r="AI135" s="150">
        <f t="shared" si="335"/>
        <v>6.1663859844663058</v>
      </c>
      <c r="AJ135" s="150">
        <f t="shared" si="336"/>
        <v>1.2783554991557371</v>
      </c>
      <c r="AL135" s="314">
        <f t="shared" si="337"/>
        <v>1000</v>
      </c>
      <c r="AM135" s="144">
        <f t="shared" si="338"/>
        <v>350</v>
      </c>
      <c r="AO135" s="144">
        <f t="shared" si="339"/>
        <v>1000</v>
      </c>
      <c r="AP135" s="144">
        <f t="shared" si="340"/>
        <v>350</v>
      </c>
      <c r="AR135" s="5">
        <f t="shared" si="442"/>
        <v>2.8571428571428572</v>
      </c>
      <c r="AS135" s="5">
        <f t="shared" si="439"/>
        <v>1.4560811776902134</v>
      </c>
      <c r="AT135" s="5">
        <f t="shared" si="440"/>
        <v>1.4010616794526438</v>
      </c>
      <c r="AU135" s="150">
        <f t="shared" si="441"/>
        <v>0.50962841219157462</v>
      </c>
      <c r="AW135" s="5">
        <f t="shared" si="341"/>
        <v>4.8536039256340446</v>
      </c>
      <c r="AX135" s="5">
        <f t="shared" si="342"/>
        <v>5.1569541709861726</v>
      </c>
      <c r="AY135" s="5">
        <f t="shared" si="343"/>
        <v>1.2421859485771114</v>
      </c>
      <c r="AZ135" s="5"/>
      <c r="BA135" s="150">
        <f t="shared" si="344"/>
        <v>2.5415396805555681</v>
      </c>
      <c r="BB135" s="150">
        <f t="shared" si="345"/>
        <v>2.3914244460099732</v>
      </c>
      <c r="BC135" s="150">
        <f t="shared" si="346"/>
        <v>0.48003246860484805</v>
      </c>
      <c r="BD135" s="150"/>
      <c r="BE135" s="456">
        <f t="shared" si="347"/>
        <v>7.7513087374061998E-2</v>
      </c>
      <c r="BF135" s="456">
        <f t="shared" si="348"/>
        <v>1.996031022760959</v>
      </c>
      <c r="BG135" s="456">
        <f t="shared" si="349"/>
        <v>4.0250000000000001E-2</v>
      </c>
      <c r="BH135" s="456">
        <f t="shared" si="350"/>
        <v>0.46514647516293156</v>
      </c>
      <c r="BI135">
        <f t="shared" si="351"/>
        <v>8.9568538876621268E-3</v>
      </c>
      <c r="BJ135" s="144">
        <f t="shared" si="435"/>
        <v>49.206853887662128</v>
      </c>
      <c r="BK135">
        <f t="shared" si="352"/>
        <v>2.6076443913379408</v>
      </c>
      <c r="BL135" s="144">
        <f t="shared" si="436"/>
        <v>2587.897439185615</v>
      </c>
      <c r="BM135" s="150">
        <f t="shared" si="353"/>
        <v>0.67059999999999997</v>
      </c>
      <c r="BN135" s="150">
        <f t="shared" si="354"/>
        <v>0.14250249999999998</v>
      </c>
      <c r="BO135" s="456"/>
      <c r="BQ135" s="144">
        <f t="shared" si="355"/>
        <v>813.10249999999996</v>
      </c>
      <c r="BR135" s="456">
        <f t="shared" si="356"/>
        <v>9.0431935269739E-2</v>
      </c>
      <c r="BS135" s="456">
        <f t="shared" si="357"/>
        <v>8.0064752333637496E-2</v>
      </c>
      <c r="BT135" s="456">
        <f t="shared" si="358"/>
        <v>1.1521558545743221E-3</v>
      </c>
      <c r="BU135" s="456">
        <f t="shared" si="359"/>
        <v>10.819741374162291</v>
      </c>
      <c r="BV135" s="456"/>
      <c r="BW135" s="538">
        <f t="shared" si="360"/>
        <v>1.3308510638297872</v>
      </c>
      <c r="BX135" s="144">
        <f t="shared" si="361"/>
        <v>12322.241281450028</v>
      </c>
      <c r="BY135" s="150">
        <f t="shared" si="362"/>
        <v>15.723241220635643</v>
      </c>
      <c r="BZ135" s="5">
        <f t="shared" si="363"/>
        <v>31.274999999999999</v>
      </c>
      <c r="CA135" s="150">
        <f t="shared" si="364"/>
        <v>0.66545043362746092</v>
      </c>
      <c r="CB135" s="5">
        <f t="shared" si="365"/>
        <v>66.5450433627461</v>
      </c>
      <c r="CC135">
        <f t="shared" si="366"/>
        <v>25</v>
      </c>
      <c r="CE135" s="59">
        <f t="shared" si="367"/>
        <v>-50</v>
      </c>
      <c r="CF135">
        <f t="shared" si="368"/>
        <v>-50</v>
      </c>
      <c r="CG135" s="150">
        <f t="shared" si="369"/>
        <v>0.32897368315797892</v>
      </c>
      <c r="CH135" s="150">
        <f t="shared" si="370"/>
        <v>6.9437762649211185E-2</v>
      </c>
      <c r="CI135" s="147">
        <v>25</v>
      </c>
      <c r="CJ135" s="188">
        <f t="shared" si="437"/>
        <v>1</v>
      </c>
      <c r="CK135" s="188">
        <f t="shared" si="371"/>
        <v>0.21249999999999999</v>
      </c>
      <c r="CL135" s="188">
        <f t="shared" si="372"/>
        <v>30</v>
      </c>
      <c r="CM135" s="188">
        <f t="shared" si="373"/>
        <v>1.2749999999999999</v>
      </c>
      <c r="CN135" s="465">
        <f t="shared" si="374"/>
        <v>20</v>
      </c>
      <c r="CO135" s="379">
        <f t="shared" si="375"/>
        <v>30.7</v>
      </c>
      <c r="CP135" s="379">
        <f t="shared" si="376"/>
        <v>50.7</v>
      </c>
      <c r="CQ135" s="379"/>
      <c r="CR135" s="188">
        <f t="shared" si="377"/>
        <v>0.60317460317460314</v>
      </c>
      <c r="CS135" s="149">
        <f t="shared" si="378"/>
        <v>175.32871249897633</v>
      </c>
      <c r="CT135" s="149">
        <f t="shared" si="379"/>
        <v>7.4514702812064924</v>
      </c>
      <c r="CU135" s="188">
        <f t="shared" si="380"/>
        <v>5.8442904166325444</v>
      </c>
      <c r="CV135" s="188">
        <f t="shared" si="381"/>
        <v>29.22145208316272</v>
      </c>
      <c r="CW135" s="188">
        <f t="shared" si="382"/>
        <v>30</v>
      </c>
      <c r="CX135" s="188">
        <f t="shared" si="383"/>
        <v>5.1850657894736845</v>
      </c>
      <c r="CY135" s="188">
        <f t="shared" si="384"/>
        <v>1.2184904605263158</v>
      </c>
      <c r="CZ135" s="188">
        <f t="shared" si="385"/>
        <v>0.79380486027773012</v>
      </c>
      <c r="DA135" s="172">
        <f t="shared" si="386"/>
        <v>350</v>
      </c>
      <c r="DB135" s="379">
        <f t="shared" si="387"/>
        <v>350</v>
      </c>
      <c r="DD135" s="188">
        <f t="shared" si="388"/>
        <v>7.3619779020761014</v>
      </c>
      <c r="DE135" s="150">
        <f t="shared" si="389"/>
        <v>1.1270780501549733</v>
      </c>
      <c r="DF135" s="150">
        <f t="shared" si="390"/>
        <v>1.3928696857096292</v>
      </c>
      <c r="DG135" s="150"/>
      <c r="DH135" s="150">
        <f t="shared" si="391"/>
        <v>0.92784522751949461</v>
      </c>
      <c r="DI135" s="314">
        <f t="shared" si="392"/>
        <v>370.77843351063825</v>
      </c>
      <c r="DJ135" s="456">
        <f t="shared" si="393"/>
        <v>0.94395997276890675</v>
      </c>
      <c r="DL135" s="150">
        <f t="shared" si="394"/>
        <v>6.1663859844663058</v>
      </c>
      <c r="DM135" s="150">
        <f t="shared" si="395"/>
        <v>6.1663859844663058</v>
      </c>
      <c r="DN135" s="150">
        <f t="shared" si="396"/>
        <v>1.2783554991557371</v>
      </c>
      <c r="DP135" s="314">
        <f t="shared" si="397"/>
        <v>1000</v>
      </c>
      <c r="DQ135" s="144">
        <f t="shared" si="398"/>
        <v>350</v>
      </c>
      <c r="DS135" s="144">
        <f t="shared" si="399"/>
        <v>1000</v>
      </c>
      <c r="DT135" s="144">
        <f t="shared" si="400"/>
        <v>350</v>
      </c>
      <c r="DV135" s="5">
        <f t="shared" si="401"/>
        <v>2.8571428571428572</v>
      </c>
      <c r="DW135" s="5">
        <f t="shared" si="402"/>
        <v>1.449100706349582</v>
      </c>
      <c r="DX135" s="5">
        <f t="shared" si="403"/>
        <v>1.4080421507932752</v>
      </c>
      <c r="DY135" s="150">
        <f t="shared" si="404"/>
        <v>0.5071852472223537</v>
      </c>
      <c r="EA135" s="5">
        <f t="shared" si="405"/>
        <v>4.8303356878319397</v>
      </c>
      <c r="EB135" s="5">
        <f t="shared" si="406"/>
        <v>5.1322316683214364</v>
      </c>
      <c r="EC135" s="5">
        <f t="shared" si="407"/>
        <v>1.2423901330528899</v>
      </c>
      <c r="ED135" s="5"/>
      <c r="EE135" s="150">
        <f t="shared" si="408"/>
        <v>2.5354402751408136</v>
      </c>
      <c r="EF135" s="150">
        <f t="shared" si="409"/>
        <v>2.3973744084863187</v>
      </c>
      <c r="EG135" s="150">
        <f t="shared" si="410"/>
        <v>0.48122680914961907</v>
      </c>
      <c r="EH135" s="150"/>
      <c r="EI135" s="456">
        <f t="shared" si="411"/>
        <v>7.7141488665673497E-2</v>
      </c>
      <c r="EJ135" s="456">
        <f t="shared" si="412"/>
        <v>2.0790278665927375</v>
      </c>
      <c r="EK135" s="456">
        <f t="shared" si="413"/>
        <v>4.0250000000000001E-2</v>
      </c>
      <c r="EL135" s="456">
        <f t="shared" si="414"/>
        <v>0.46558000125000004</v>
      </c>
      <c r="EM135">
        <f t="shared" si="415"/>
        <v>8.9999999999999993E-3</v>
      </c>
      <c r="EN135" s="144">
        <f t="shared" si="416"/>
        <v>49.25</v>
      </c>
      <c r="EP135" s="144">
        <f t="shared" si="438"/>
        <v>2670.999356508411</v>
      </c>
      <c r="EQ135" s="150">
        <f t="shared" si="417"/>
        <v>0.7</v>
      </c>
      <c r="ER135" s="150">
        <f t="shared" si="418"/>
        <v>0.10178749999999999</v>
      </c>
      <c r="ES135" s="456"/>
      <c r="EU135" s="144">
        <f t="shared" si="419"/>
        <v>801.78750000000002</v>
      </c>
      <c r="EV135" s="456">
        <f t="shared" si="420"/>
        <v>8.9998403443285746E-2</v>
      </c>
      <c r="EW135" s="456">
        <f t="shared" si="421"/>
        <v>8.046365676251177E-2</v>
      </c>
      <c r="EX135" s="456">
        <f t="shared" si="422"/>
        <v>1.1578962092216195E-3</v>
      </c>
      <c r="EY135" s="456">
        <f t="shared" si="423"/>
        <v>10.819741374162291</v>
      </c>
      <c r="EZ135" s="456"/>
      <c r="FA135" s="538">
        <f t="shared" si="424"/>
        <v>1.3308510638297872</v>
      </c>
      <c r="FB135" s="144">
        <f t="shared" si="425"/>
        <v>12322.212394407097</v>
      </c>
      <c r="FC135" s="150">
        <f t="shared" si="426"/>
        <v>15.794999250915508</v>
      </c>
      <c r="FD135" s="5">
        <f t="shared" si="427"/>
        <v>31.274999999999999</v>
      </c>
      <c r="FE135" s="150">
        <f t="shared" si="428"/>
        <v>0.66443595703672553</v>
      </c>
      <c r="FF135" s="5">
        <f t="shared" si="429"/>
        <v>66.443595703672557</v>
      </c>
      <c r="FG135">
        <f t="shared" si="430"/>
        <v>25</v>
      </c>
      <c r="FI135" s="59">
        <f t="shared" si="431"/>
        <v>-50</v>
      </c>
      <c r="FJ135">
        <f t="shared" si="432"/>
        <v>-50</v>
      </c>
    </row>
    <row r="136" spans="5:166">
      <c r="E136" s="147">
        <v>26</v>
      </c>
      <c r="F136" s="188">
        <f t="shared" si="433"/>
        <v>1.04</v>
      </c>
      <c r="G136" s="188">
        <f t="shared" si="312"/>
        <v>0.221</v>
      </c>
      <c r="H136" s="188">
        <f t="shared" si="313"/>
        <v>31.200000000000003</v>
      </c>
      <c r="I136" s="188">
        <f t="shared" si="314"/>
        <v>1.3260000000000001</v>
      </c>
      <c r="J136" s="465">
        <f t="shared" si="315"/>
        <v>19.902220947223789</v>
      </c>
      <c r="K136" s="379">
        <f t="shared" si="316"/>
        <v>30.773701259245414</v>
      </c>
      <c r="L136" s="149">
        <f t="shared" si="317"/>
        <v>50.675922206469203</v>
      </c>
      <c r="M136" s="379"/>
      <c r="N136" s="188">
        <f t="shared" si="318"/>
        <v>0.60726475058241558</v>
      </c>
      <c r="O136" s="149">
        <f t="shared" si="319"/>
        <v>175.65463613911751</v>
      </c>
      <c r="P136" s="149">
        <f t="shared" si="320"/>
        <v>7.4653220359124939</v>
      </c>
      <c r="Q136" s="188">
        <f t="shared" si="321"/>
        <v>5.8551545379705834</v>
      </c>
      <c r="R136" s="188">
        <f t="shared" si="322"/>
        <v>29.275772689852918</v>
      </c>
      <c r="S136" s="188">
        <f t="shared" si="323"/>
        <v>30</v>
      </c>
      <c r="T136" s="188">
        <f t="shared" si="324"/>
        <v>5.3824628044872709</v>
      </c>
      <c r="U136" s="188">
        <f t="shared" si="325"/>
        <v>1.2710930728873753</v>
      </c>
      <c r="V136" s="188">
        <f t="shared" si="326"/>
        <v>0.82205175672490693</v>
      </c>
      <c r="W136" s="172">
        <f t="shared" si="327"/>
        <v>350</v>
      </c>
      <c r="X136" s="379">
        <f t="shared" si="434"/>
        <v>350</v>
      </c>
      <c r="Z136" s="188">
        <f t="shared" si="328"/>
        <v>7.3470621517033319</v>
      </c>
      <c r="AA136" s="150">
        <f t="shared" si="329"/>
        <v>1.12210071262167</v>
      </c>
      <c r="AB136" s="150">
        <f t="shared" si="330"/>
        <v>1.3839090103768361</v>
      </c>
      <c r="AC136" s="150"/>
      <c r="AD136" s="150">
        <f t="shared" si="331"/>
        <v>0.92562309112202468</v>
      </c>
      <c r="AE136" s="314">
        <f t="shared" si="332"/>
        <v>386.53530084939638</v>
      </c>
      <c r="AF136" s="456">
        <f t="shared" si="333"/>
        <v>0.94169924247571724</v>
      </c>
      <c r="AH136" s="150">
        <f t="shared" si="334"/>
        <v>6.2885044926277498</v>
      </c>
      <c r="AI136" s="150">
        <f t="shared" si="335"/>
        <v>6.2885044926277498</v>
      </c>
      <c r="AJ136" s="150">
        <f t="shared" si="336"/>
        <v>1.3688136533493993</v>
      </c>
      <c r="AL136" s="314">
        <f t="shared" si="337"/>
        <v>1040</v>
      </c>
      <c r="AM136" s="144">
        <f t="shared" si="338"/>
        <v>350</v>
      </c>
      <c r="AO136" s="144">
        <f t="shared" si="339"/>
        <v>1040</v>
      </c>
      <c r="AP136" s="144">
        <f t="shared" si="340"/>
        <v>350</v>
      </c>
      <c r="AR136" s="5">
        <f t="shared" si="442"/>
        <v>2.8571428571428572</v>
      </c>
      <c r="AS136" s="5">
        <f t="shared" si="439"/>
        <v>1.4850589385841011</v>
      </c>
      <c r="AT136" s="5">
        <f t="shared" si="440"/>
        <v>1.3720839185587561</v>
      </c>
      <c r="AU136" s="150">
        <f t="shared" si="441"/>
        <v>0.51977062850443534</v>
      </c>
      <c r="AW136" s="5">
        <f t="shared" si="341"/>
        <v>5.1482043204248846</v>
      </c>
      <c r="AX136" s="5">
        <f t="shared" si="342"/>
        <v>5.4699670904514397</v>
      </c>
      <c r="AY136" s="5">
        <f t="shared" si="343"/>
        <v>1.2652746401151165</v>
      </c>
      <c r="AZ136" s="5"/>
      <c r="BA136" s="150">
        <f t="shared" si="344"/>
        <v>2.6175357106734118</v>
      </c>
      <c r="BB136" s="150">
        <f t="shared" si="345"/>
        <v>2.4134318722335584</v>
      </c>
      <c r="BC136" s="150">
        <f t="shared" si="346"/>
        <v>0.48445003619949761</v>
      </c>
      <c r="BD136" s="150"/>
      <c r="BE136" s="456">
        <f t="shared" si="347"/>
        <v>8.2217918359806755E-2</v>
      </c>
      <c r="BF136" s="456">
        <f t="shared" si="348"/>
        <v>2.0355414455101974</v>
      </c>
      <c r="BG136" s="456">
        <f t="shared" si="349"/>
        <v>4.0250000000000001E-2</v>
      </c>
      <c r="BH136" s="456">
        <f t="shared" si="350"/>
        <v>0.46513789169361203</v>
      </c>
      <c r="BI136">
        <f t="shared" si="351"/>
        <v>8.9559994262507041E-3</v>
      </c>
      <c r="BJ136" s="144">
        <f t="shared" si="435"/>
        <v>49.205999426250699</v>
      </c>
      <c r="BK136">
        <f t="shared" si="352"/>
        <v>2.6570005390081608</v>
      </c>
      <c r="BL136" s="144">
        <f t="shared" si="436"/>
        <v>2632.1032549898673</v>
      </c>
      <c r="BM136" s="150">
        <f t="shared" si="353"/>
        <v>0.69742399999999993</v>
      </c>
      <c r="BN136" s="150">
        <f t="shared" si="354"/>
        <v>0.14820259999999999</v>
      </c>
      <c r="BO136" s="456"/>
      <c r="BQ136" s="144">
        <f t="shared" si="355"/>
        <v>845.62659999999994</v>
      </c>
      <c r="BR136" s="456">
        <f t="shared" si="356"/>
        <v>9.5920904753107883E-2</v>
      </c>
      <c r="BS136" s="456">
        <f t="shared" si="357"/>
        <v>8.1545147626778905E-2</v>
      </c>
      <c r="BT136" s="456">
        <f t="shared" si="358"/>
        <v>1.1734591878684727E-3</v>
      </c>
      <c r="BU136" s="456">
        <f t="shared" si="359"/>
        <v>11.363406792063676</v>
      </c>
      <c r="BV136" s="456"/>
      <c r="BW136" s="538">
        <f t="shared" si="360"/>
        <v>1.3840851063829787</v>
      </c>
      <c r="BX136" s="144">
        <f t="shared" si="361"/>
        <v>12926.13141001441</v>
      </c>
      <c r="BY136" s="150">
        <f t="shared" si="362"/>
        <v>16.403861265004277</v>
      </c>
      <c r="BZ136" s="5">
        <f t="shared" si="363"/>
        <v>32.526000000000003</v>
      </c>
      <c r="CA136" s="150">
        <f t="shared" si="364"/>
        <v>0.6647474396838996</v>
      </c>
      <c r="CB136" s="5">
        <f t="shared" si="365"/>
        <v>66.474743968389959</v>
      </c>
      <c r="CC136">
        <f t="shared" si="366"/>
        <v>26</v>
      </c>
      <c r="CE136" s="59">
        <f t="shared" si="367"/>
        <v>-50</v>
      </c>
      <c r="CF136">
        <f t="shared" si="368"/>
        <v>-50</v>
      </c>
      <c r="CG136" s="150">
        <f t="shared" si="369"/>
        <v>0.33548864597620498</v>
      </c>
      <c r="CH136" s="150">
        <f t="shared" si="370"/>
        <v>7.0812901345710416E-2</v>
      </c>
      <c r="CI136" s="147">
        <v>26</v>
      </c>
      <c r="CJ136" s="188">
        <f t="shared" si="437"/>
        <v>1.04</v>
      </c>
      <c r="CK136" s="188">
        <f t="shared" si="371"/>
        <v>0.221</v>
      </c>
      <c r="CL136" s="188">
        <f t="shared" si="372"/>
        <v>31.200000000000003</v>
      </c>
      <c r="CM136" s="188">
        <f t="shared" si="373"/>
        <v>1.3260000000000001</v>
      </c>
      <c r="CN136" s="465">
        <f t="shared" si="374"/>
        <v>20</v>
      </c>
      <c r="CO136" s="379">
        <f t="shared" si="375"/>
        <v>30.7</v>
      </c>
      <c r="CP136" s="379">
        <f t="shared" si="376"/>
        <v>50.7</v>
      </c>
      <c r="CQ136" s="379"/>
      <c r="CR136" s="188">
        <f t="shared" si="377"/>
        <v>0.60317460317460314</v>
      </c>
      <c r="CS136" s="149">
        <f t="shared" si="378"/>
        <v>175.32871249897633</v>
      </c>
      <c r="CT136" s="149">
        <f t="shared" si="379"/>
        <v>7.4514702812064924</v>
      </c>
      <c r="CU136" s="188">
        <f t="shared" si="380"/>
        <v>5.8442904166325444</v>
      </c>
      <c r="CV136" s="188">
        <f t="shared" si="381"/>
        <v>29.22145208316272</v>
      </c>
      <c r="CW136" s="188">
        <f t="shared" si="382"/>
        <v>30</v>
      </c>
      <c r="CX136" s="188">
        <f t="shared" si="383"/>
        <v>5.3924684210526319</v>
      </c>
      <c r="CY136" s="188">
        <f t="shared" si="384"/>
        <v>1.2672300789473685</v>
      </c>
      <c r="CZ136" s="188">
        <f t="shared" si="385"/>
        <v>0.82555705468883944</v>
      </c>
      <c r="DA136" s="172">
        <f t="shared" si="386"/>
        <v>350</v>
      </c>
      <c r="DB136" s="379">
        <f t="shared" si="387"/>
        <v>350</v>
      </c>
      <c r="DD136" s="188">
        <f t="shared" si="388"/>
        <v>7.3619779020761014</v>
      </c>
      <c r="DE136" s="150">
        <f t="shared" si="389"/>
        <v>1.1270780501549733</v>
      </c>
      <c r="DF136" s="150">
        <f t="shared" si="390"/>
        <v>1.3928696857096292</v>
      </c>
      <c r="DG136" s="150"/>
      <c r="DH136" s="150">
        <f t="shared" si="391"/>
        <v>0.92784522751949461</v>
      </c>
      <c r="DI136" s="314">
        <f t="shared" si="392"/>
        <v>385.60957085106384</v>
      </c>
      <c r="DJ136" s="456">
        <f t="shared" si="393"/>
        <v>0.94395997276890675</v>
      </c>
      <c r="DL136" s="150">
        <f t="shared" si="394"/>
        <v>6.2885044926277498</v>
      </c>
      <c r="DM136" s="150">
        <f t="shared" si="395"/>
        <v>6.2885044926277498</v>
      </c>
      <c r="DN136" s="150">
        <f t="shared" si="396"/>
        <v>1.3688136533493993</v>
      </c>
      <c r="DP136" s="314">
        <f t="shared" si="397"/>
        <v>1040</v>
      </c>
      <c r="DQ136" s="144">
        <f t="shared" si="398"/>
        <v>350</v>
      </c>
      <c r="DS136" s="144">
        <f t="shared" si="399"/>
        <v>1040</v>
      </c>
      <c r="DT136" s="144">
        <f t="shared" si="400"/>
        <v>350</v>
      </c>
      <c r="DV136" s="5">
        <f t="shared" si="401"/>
        <v>2.8571428571428572</v>
      </c>
      <c r="DW136" s="5">
        <f t="shared" si="402"/>
        <v>1.4777985557675211</v>
      </c>
      <c r="DX136" s="5">
        <f t="shared" si="403"/>
        <v>1.3793443013753361</v>
      </c>
      <c r="DY136" s="150">
        <f t="shared" si="404"/>
        <v>0.51722949451863232</v>
      </c>
      <c r="EA136" s="5">
        <f t="shared" si="405"/>
        <v>5.1230349933274066</v>
      </c>
      <c r="EB136" s="5">
        <f t="shared" si="406"/>
        <v>5.4432246804103688</v>
      </c>
      <c r="EC136" s="5">
        <f t="shared" si="407"/>
        <v>1.2657512412620731</v>
      </c>
      <c r="ED136" s="5"/>
      <c r="EE136" s="150">
        <f t="shared" si="408"/>
        <v>2.6111293669420146</v>
      </c>
      <c r="EF136" s="150">
        <f t="shared" si="409"/>
        <v>2.4198087855493386</v>
      </c>
      <c r="EG136" s="150">
        <f t="shared" si="410"/>
        <v>0.48573007891469216</v>
      </c>
      <c r="EH136" s="150"/>
      <c r="EI136" s="456">
        <f t="shared" si="411"/>
        <v>8.181595885088408E-2</v>
      </c>
      <c r="EJ136" s="456">
        <f t="shared" si="412"/>
        <v>2.1202007322119094</v>
      </c>
      <c r="EK136" s="456">
        <f t="shared" si="413"/>
        <v>4.0250000000000001E-2</v>
      </c>
      <c r="EL136" s="456">
        <f t="shared" si="414"/>
        <v>0.46558000125000004</v>
      </c>
      <c r="EM136">
        <f t="shared" si="415"/>
        <v>8.9999999999999993E-3</v>
      </c>
      <c r="EN136" s="144">
        <f t="shared" si="416"/>
        <v>49.25</v>
      </c>
      <c r="EP136" s="144">
        <f t="shared" si="438"/>
        <v>2716.8466923127935</v>
      </c>
      <c r="EQ136" s="150">
        <f t="shared" si="417"/>
        <v>0.72799999999999998</v>
      </c>
      <c r="ER136" s="150">
        <f t="shared" si="418"/>
        <v>0.10585899999999999</v>
      </c>
      <c r="ES136" s="456"/>
      <c r="EU136" s="144">
        <f t="shared" si="419"/>
        <v>833.85900000000004</v>
      </c>
      <c r="EV136" s="456">
        <f t="shared" si="420"/>
        <v>9.5451951992698084E-2</v>
      </c>
      <c r="EW136" s="456">
        <f t="shared" si="421"/>
        <v>8.1976643820704714E-2</v>
      </c>
      <c r="EX136" s="456">
        <f t="shared" si="422"/>
        <v>1.1796685478123654E-3</v>
      </c>
      <c r="EY136" s="456">
        <f t="shared" si="423"/>
        <v>11.363406792063676</v>
      </c>
      <c r="EZ136" s="456"/>
      <c r="FA136" s="538">
        <f t="shared" si="424"/>
        <v>1.3840851063829787</v>
      </c>
      <c r="FB136" s="144">
        <f t="shared" si="425"/>
        <v>12926.10016280787</v>
      </c>
      <c r="FC136" s="150">
        <f t="shared" si="426"/>
        <v>16.476805855120663</v>
      </c>
      <c r="FD136" s="5">
        <f t="shared" si="427"/>
        <v>32.526000000000003</v>
      </c>
      <c r="FE136" s="150">
        <f t="shared" si="428"/>
        <v>0.66375791002998497</v>
      </c>
      <c r="FF136" s="5">
        <f t="shared" si="429"/>
        <v>66.375791002998497</v>
      </c>
      <c r="FG136">
        <f t="shared" si="430"/>
        <v>26</v>
      </c>
      <c r="FI136" s="59">
        <f t="shared" si="431"/>
        <v>-50</v>
      </c>
      <c r="FJ136">
        <f t="shared" si="432"/>
        <v>-50</v>
      </c>
    </row>
    <row r="137" spans="5:166">
      <c r="E137" s="147">
        <v>27</v>
      </c>
      <c r="F137" s="188">
        <f t="shared" si="433"/>
        <v>1.08</v>
      </c>
      <c r="G137" s="188">
        <f t="shared" si="312"/>
        <v>0.22950000000000001</v>
      </c>
      <c r="H137" s="188">
        <f t="shared" si="313"/>
        <v>32.400000000000006</v>
      </c>
      <c r="I137" s="188">
        <f t="shared" si="314"/>
        <v>1.377</v>
      </c>
      <c r="J137" s="465">
        <f t="shared" si="315"/>
        <v>19.900358321708975</v>
      </c>
      <c r="K137" s="379">
        <f t="shared" si="316"/>
        <v>30.775105218908003</v>
      </c>
      <c r="L137" s="149">
        <f t="shared" si="317"/>
        <v>50.675463540616974</v>
      </c>
      <c r="M137" s="379"/>
      <c r="N137" s="188">
        <f t="shared" si="318"/>
        <v>0.60729795188240154</v>
      </c>
      <c r="O137" s="149">
        <f t="shared" si="319"/>
        <v>175.64779958578254</v>
      </c>
      <c r="P137" s="149">
        <f t="shared" si="320"/>
        <v>7.4650314823957569</v>
      </c>
      <c r="Q137" s="188">
        <f t="shared" si="321"/>
        <v>5.8549266528594179</v>
      </c>
      <c r="R137" s="188">
        <f t="shared" si="322"/>
        <v>29.274633264297091</v>
      </c>
      <c r="S137" s="188">
        <f t="shared" si="323"/>
        <v>30</v>
      </c>
      <c r="T137" s="188">
        <f t="shared" si="324"/>
        <v>5.5896981580955343</v>
      </c>
      <c r="U137" s="188">
        <f t="shared" si="325"/>
        <v>1.3201561961017441</v>
      </c>
      <c r="V137" s="188">
        <f t="shared" si="326"/>
        <v>0.85366341255944556</v>
      </c>
      <c r="W137" s="172">
        <f t="shared" si="327"/>
        <v>350</v>
      </c>
      <c r="X137" s="379">
        <f t="shared" si="434"/>
        <v>350</v>
      </c>
      <c r="Z137" s="188">
        <f t="shared" si="328"/>
        <v>7.3467762009117124</v>
      </c>
      <c r="AA137" s="150">
        <f t="shared" si="329"/>
        <v>1.1220058517645672</v>
      </c>
      <c r="AB137" s="150">
        <f t="shared" si="330"/>
        <v>1.3837381588295725</v>
      </c>
      <c r="AC137" s="150"/>
      <c r="AD137" s="150">
        <f t="shared" si="331"/>
        <v>0.92558086421578167</v>
      </c>
      <c r="AE137" s="314">
        <f t="shared" si="332"/>
        <v>401.42035597808211</v>
      </c>
      <c r="AF137" s="456">
        <f t="shared" si="333"/>
        <v>0.94165628217578246</v>
      </c>
      <c r="AH137" s="150">
        <f t="shared" si="334"/>
        <v>6.4082962945057638</v>
      </c>
      <c r="AI137" s="150">
        <f t="shared" si="335"/>
        <v>6.4082962945057638</v>
      </c>
      <c r="AJ137" s="150">
        <f t="shared" si="336"/>
        <v>1.4575483214071876</v>
      </c>
      <c r="AL137" s="314">
        <f t="shared" si="337"/>
        <v>1080</v>
      </c>
      <c r="AM137" s="144">
        <f t="shared" si="338"/>
        <v>350</v>
      </c>
      <c r="AO137" s="144">
        <f t="shared" si="339"/>
        <v>1080</v>
      </c>
      <c r="AP137" s="144">
        <f t="shared" si="340"/>
        <v>350</v>
      </c>
      <c r="AR137" s="5">
        <f t="shared" si="442"/>
        <v>2.8571428571428572</v>
      </c>
      <c r="AS137" s="5">
        <f t="shared" si="439"/>
        <v>1.5134899632093948</v>
      </c>
      <c r="AT137" s="5">
        <f t="shared" si="440"/>
        <v>1.3436528939334624</v>
      </c>
      <c r="AU137" s="150">
        <f t="shared" si="441"/>
        <v>0.52972148712328815</v>
      </c>
      <c r="AW137" s="5">
        <f t="shared" si="341"/>
        <v>5.4485638675538217</v>
      </c>
      <c r="AX137" s="5">
        <f t="shared" si="342"/>
        <v>5.7890991092759352</v>
      </c>
      <c r="AY137" s="5">
        <f t="shared" si="343"/>
        <v>1.2868332809025582</v>
      </c>
      <c r="AZ137" s="5"/>
      <c r="BA137" s="150">
        <f t="shared" si="344"/>
        <v>2.6928102457244449</v>
      </c>
      <c r="BB137" s="150">
        <f t="shared" si="345"/>
        <v>2.4337920083205229</v>
      </c>
      <c r="BC137" s="150">
        <f t="shared" si="346"/>
        <v>0.48853694197787723</v>
      </c>
      <c r="BD137" s="150"/>
      <c r="BE137" s="456">
        <f t="shared" si="347"/>
        <v>8.7014724233742555E-2</v>
      </c>
      <c r="BF137" s="456">
        <f t="shared" si="348"/>
        <v>2.074298373154694</v>
      </c>
      <c r="BG137" s="456">
        <f t="shared" si="349"/>
        <v>4.0250000000000001E-2</v>
      </c>
      <c r="BH137" s="456">
        <f t="shared" si="350"/>
        <v>0.46512947184084052</v>
      </c>
      <c r="BI137">
        <f t="shared" si="351"/>
        <v>8.955161244769038E-3</v>
      </c>
      <c r="BJ137" s="144">
        <f t="shared" si="435"/>
        <v>49.205161244769037</v>
      </c>
      <c r="BK137">
        <f t="shared" si="352"/>
        <v>2.7058797936230885</v>
      </c>
      <c r="BL137" s="144">
        <f t="shared" si="436"/>
        <v>2675.6477304740461</v>
      </c>
      <c r="BM137" s="150">
        <f t="shared" si="353"/>
        <v>0.724248</v>
      </c>
      <c r="BN137" s="150">
        <f t="shared" si="354"/>
        <v>0.15390269999999998</v>
      </c>
      <c r="BO137" s="456"/>
      <c r="BQ137" s="144">
        <f t="shared" si="355"/>
        <v>878.15069999999992</v>
      </c>
      <c r="BR137" s="456">
        <f t="shared" si="356"/>
        <v>0.10151717827269964</v>
      </c>
      <c r="BS137" s="456">
        <f t="shared" si="357"/>
        <v>8.2926809556707823E-2</v>
      </c>
      <c r="BT137" s="456">
        <f t="shared" si="358"/>
        <v>1.1933417183854788E-3</v>
      </c>
      <c r="BU137" s="456">
        <f t="shared" si="359"/>
        <v>11.912326114503072</v>
      </c>
      <c r="BV137" s="456"/>
      <c r="BW137" s="538">
        <f t="shared" si="360"/>
        <v>1.4373191489361707</v>
      </c>
      <c r="BX137" s="144">
        <f t="shared" si="361"/>
        <v>13535.282592987036</v>
      </c>
      <c r="BY137" s="150">
        <f t="shared" si="362"/>
        <v>17.089081023461084</v>
      </c>
      <c r="BZ137" s="5">
        <f t="shared" si="363"/>
        <v>33.777000000000008</v>
      </c>
      <c r="CA137" s="150">
        <f t="shared" si="364"/>
        <v>0.66403778943419989</v>
      </c>
      <c r="CB137" s="5">
        <f t="shared" si="365"/>
        <v>66.403778943419994</v>
      </c>
      <c r="CC137">
        <f t="shared" si="366"/>
        <v>27</v>
      </c>
      <c r="CE137" s="59">
        <f t="shared" si="367"/>
        <v>-50</v>
      </c>
      <c r="CF137">
        <f t="shared" si="368"/>
        <v>-50</v>
      </c>
      <c r="CG137" s="150">
        <f t="shared" si="369"/>
        <v>0.34187948014961128</v>
      </c>
      <c r="CH137" s="150">
        <f t="shared" si="370"/>
        <v>7.2161839723405355E-2</v>
      </c>
      <c r="CI137" s="147">
        <v>27</v>
      </c>
      <c r="CJ137" s="188">
        <f t="shared" si="437"/>
        <v>1.08</v>
      </c>
      <c r="CK137" s="188">
        <f t="shared" si="371"/>
        <v>0.22950000000000001</v>
      </c>
      <c r="CL137" s="188">
        <f t="shared" si="372"/>
        <v>32.400000000000006</v>
      </c>
      <c r="CM137" s="188">
        <f t="shared" si="373"/>
        <v>1.377</v>
      </c>
      <c r="CN137" s="465">
        <f t="shared" si="374"/>
        <v>20</v>
      </c>
      <c r="CO137" s="379">
        <f t="shared" si="375"/>
        <v>30.7</v>
      </c>
      <c r="CP137" s="379">
        <f t="shared" si="376"/>
        <v>50.7</v>
      </c>
      <c r="CQ137" s="379"/>
      <c r="CR137" s="188">
        <f t="shared" si="377"/>
        <v>0.60317460317460314</v>
      </c>
      <c r="CS137" s="149">
        <f t="shared" si="378"/>
        <v>175.32871249897633</v>
      </c>
      <c r="CT137" s="149">
        <f t="shared" si="379"/>
        <v>7.4514702812064924</v>
      </c>
      <c r="CU137" s="188">
        <f t="shared" si="380"/>
        <v>5.8442904166325444</v>
      </c>
      <c r="CV137" s="188">
        <f t="shared" si="381"/>
        <v>29.22145208316272</v>
      </c>
      <c r="CW137" s="188">
        <f t="shared" si="382"/>
        <v>30</v>
      </c>
      <c r="CX137" s="188">
        <f t="shared" si="383"/>
        <v>5.5998710526315802</v>
      </c>
      <c r="CY137" s="188">
        <f t="shared" si="384"/>
        <v>1.3159696973684212</v>
      </c>
      <c r="CZ137" s="188">
        <f t="shared" si="385"/>
        <v>0.85730924909994877</v>
      </c>
      <c r="DA137" s="172">
        <f t="shared" si="386"/>
        <v>350</v>
      </c>
      <c r="DB137" s="379">
        <f t="shared" si="387"/>
        <v>350</v>
      </c>
      <c r="DD137" s="188">
        <f t="shared" si="388"/>
        <v>7.3619779020761014</v>
      </c>
      <c r="DE137" s="150">
        <f t="shared" si="389"/>
        <v>1.1270780501549733</v>
      </c>
      <c r="DF137" s="150">
        <f t="shared" si="390"/>
        <v>1.3928696857096292</v>
      </c>
      <c r="DG137" s="150"/>
      <c r="DH137" s="150">
        <f t="shared" si="391"/>
        <v>0.92784522751949461</v>
      </c>
      <c r="DI137" s="314">
        <f t="shared" si="392"/>
        <v>400.44070819148942</v>
      </c>
      <c r="DJ137" s="456">
        <f t="shared" si="393"/>
        <v>0.94395997276890675</v>
      </c>
      <c r="DL137" s="150">
        <f t="shared" si="394"/>
        <v>6.4082962945057638</v>
      </c>
      <c r="DM137" s="150">
        <f t="shared" si="395"/>
        <v>6.4082962945057638</v>
      </c>
      <c r="DN137" s="150">
        <f t="shared" si="396"/>
        <v>1.4575483214071876</v>
      </c>
      <c r="DP137" s="314">
        <f t="shared" si="397"/>
        <v>1080</v>
      </c>
      <c r="DQ137" s="144">
        <f t="shared" si="398"/>
        <v>350</v>
      </c>
      <c r="DS137" s="144">
        <f t="shared" si="399"/>
        <v>1080</v>
      </c>
      <c r="DT137" s="144">
        <f t="shared" si="400"/>
        <v>350</v>
      </c>
      <c r="DV137" s="5">
        <f t="shared" si="401"/>
        <v>2.8571428571428572</v>
      </c>
      <c r="DW137" s="5">
        <f t="shared" si="402"/>
        <v>1.5059496292088543</v>
      </c>
      <c r="DX137" s="5">
        <f t="shared" si="403"/>
        <v>1.3511932279340029</v>
      </c>
      <c r="DY137" s="150">
        <f t="shared" si="404"/>
        <v>0.52708237022309901</v>
      </c>
      <c r="EA137" s="5">
        <f t="shared" si="405"/>
        <v>5.4214186651518759</v>
      </c>
      <c r="EB137" s="5">
        <f t="shared" si="406"/>
        <v>5.7602573317238672</v>
      </c>
      <c r="EC137" s="5">
        <f t="shared" si="407"/>
        <v>1.2876076642665206</v>
      </c>
      <c r="ED137" s="5"/>
      <c r="EE137" s="150">
        <f t="shared" si="408"/>
        <v>2.6860939667077997</v>
      </c>
      <c r="EF137" s="150">
        <f t="shared" si="409"/>
        <v>2.4406114518843904</v>
      </c>
      <c r="EG137" s="150">
        <f t="shared" si="410"/>
        <v>0.48990581413017809</v>
      </c>
      <c r="EH137" s="150"/>
      <c r="EI137" s="456">
        <f t="shared" si="411"/>
        <v>8.6581209575808504E-2</v>
      </c>
      <c r="EJ137" s="456">
        <f t="shared" si="412"/>
        <v>2.1605891371740911</v>
      </c>
      <c r="EK137" s="456">
        <f t="shared" si="413"/>
        <v>4.0250000000000001E-2</v>
      </c>
      <c r="EL137" s="456">
        <f t="shared" si="414"/>
        <v>0.46558000125000004</v>
      </c>
      <c r="EM137">
        <f t="shared" si="415"/>
        <v>8.9999999999999993E-3</v>
      </c>
      <c r="EN137" s="144">
        <f t="shared" si="416"/>
        <v>49.25</v>
      </c>
      <c r="EP137" s="144">
        <f t="shared" si="438"/>
        <v>2762.0003479998995</v>
      </c>
      <c r="EQ137" s="150">
        <f t="shared" si="417"/>
        <v>0.75600000000000001</v>
      </c>
      <c r="ER137" s="150">
        <f t="shared" si="418"/>
        <v>0.1099305</v>
      </c>
      <c r="ES137" s="456"/>
      <c r="EU137" s="144">
        <f t="shared" si="419"/>
        <v>865.93050000000005</v>
      </c>
      <c r="EV137" s="456">
        <f t="shared" si="420"/>
        <v>0.10101141117177659</v>
      </c>
      <c r="EW137" s="456">
        <f t="shared" si="421"/>
        <v>8.3392179626969251E-2</v>
      </c>
      <c r="EX137" s="456">
        <f t="shared" si="422"/>
        <v>1.2000385335927629E-3</v>
      </c>
      <c r="EY137" s="456">
        <f t="shared" si="423"/>
        <v>11.912326114503072</v>
      </c>
      <c r="EZ137" s="456"/>
      <c r="FA137" s="538">
        <f t="shared" si="424"/>
        <v>1.4373191489361707</v>
      </c>
      <c r="FB137" s="144">
        <f t="shared" si="425"/>
        <v>13535.24889277158</v>
      </c>
      <c r="FC137" s="150">
        <f t="shared" si="426"/>
        <v>17.163179740771483</v>
      </c>
      <c r="FD137" s="5">
        <f t="shared" si="427"/>
        <v>33.777000000000008</v>
      </c>
      <c r="FE137" s="150">
        <f t="shared" si="428"/>
        <v>0.66307186531117757</v>
      </c>
      <c r="FF137" s="5">
        <f t="shared" si="429"/>
        <v>66.30718653111775</v>
      </c>
      <c r="FG137">
        <f t="shared" si="430"/>
        <v>27</v>
      </c>
      <c r="FI137" s="59">
        <f t="shared" si="431"/>
        <v>-50</v>
      </c>
      <c r="FJ137">
        <f t="shared" si="432"/>
        <v>-50</v>
      </c>
    </row>
    <row r="138" spans="5:166">
      <c r="E138" s="147">
        <v>28</v>
      </c>
      <c r="F138" s="188">
        <f t="shared" si="433"/>
        <v>1.1200000000000001</v>
      </c>
      <c r="G138" s="188">
        <f t="shared" si="312"/>
        <v>0.23800000000000002</v>
      </c>
      <c r="H138" s="188">
        <f t="shared" si="313"/>
        <v>33.6</v>
      </c>
      <c r="I138" s="188">
        <f t="shared" si="314"/>
        <v>1.4280000000000002</v>
      </c>
      <c r="J138" s="465">
        <f t="shared" si="315"/>
        <v>19.898529881524208</v>
      </c>
      <c r="K138" s="379">
        <f t="shared" si="316"/>
        <v>30.776483411273812</v>
      </c>
      <c r="L138" s="149">
        <f t="shared" si="317"/>
        <v>50.67501329279802</v>
      </c>
      <c r="M138" s="379"/>
      <c r="N138" s="188">
        <f t="shared" si="318"/>
        <v>0.60733054441344947</v>
      </c>
      <c r="O138" s="149">
        <f t="shared" si="319"/>
        <v>175.64108692643546</v>
      </c>
      <c r="P138" s="149">
        <f t="shared" si="320"/>
        <v>7.4647461943735056</v>
      </c>
      <c r="Q138" s="188">
        <f t="shared" si="321"/>
        <v>5.854702897547849</v>
      </c>
      <c r="R138" s="188">
        <f t="shared" si="322"/>
        <v>29.273514487739245</v>
      </c>
      <c r="S138" s="188">
        <f t="shared" si="323"/>
        <v>30</v>
      </c>
      <c r="T138" s="188">
        <f t="shared" si="324"/>
        <v>5.7969455552747062</v>
      </c>
      <c r="U138" s="188">
        <f t="shared" si="325"/>
        <v>1.369228996916436</v>
      </c>
      <c r="V138" s="188">
        <f t="shared" si="326"/>
        <v>0.88527476468642607</v>
      </c>
      <c r="W138" s="172">
        <f t="shared" si="327"/>
        <v>350</v>
      </c>
      <c r="X138" s="379">
        <f t="shared" si="434"/>
        <v>350</v>
      </c>
      <c r="Z138" s="188">
        <f t="shared" si="328"/>
        <v>7.3464954322026683</v>
      </c>
      <c r="AA138" s="150">
        <f t="shared" si="329"/>
        <v>1.1219127302472871</v>
      </c>
      <c r="AB138" s="150">
        <f t="shared" si="330"/>
        <v>1.3835704373295452</v>
      </c>
      <c r="AC138" s="150"/>
      <c r="AD138" s="150">
        <f t="shared" si="331"/>
        <v>0.92553941605992995</v>
      </c>
      <c r="AE138" s="314">
        <f t="shared" si="332"/>
        <v>416.30641906130427</v>
      </c>
      <c r="AF138" s="456">
        <f t="shared" si="333"/>
        <v>0.94161411415151641</v>
      </c>
      <c r="AH138" s="150">
        <f t="shared" si="334"/>
        <v>6.5258895211728181</v>
      </c>
      <c r="AI138" s="150">
        <f t="shared" si="335"/>
        <v>6.5258895211728181</v>
      </c>
      <c r="AJ138" s="150">
        <f t="shared" si="336"/>
        <v>1.5446544152346351</v>
      </c>
      <c r="AL138" s="314">
        <f t="shared" si="337"/>
        <v>1120</v>
      </c>
      <c r="AM138" s="144">
        <f t="shared" si="338"/>
        <v>350</v>
      </c>
      <c r="AO138" s="144">
        <f t="shared" si="339"/>
        <v>1120</v>
      </c>
      <c r="AP138" s="144">
        <f t="shared" si="340"/>
        <v>350</v>
      </c>
      <c r="AR138" s="5">
        <f t="shared" si="442"/>
        <v>2.8571428571428572</v>
      </c>
      <c r="AS138" s="5">
        <f t="shared" si="439"/>
        <v>1.5414043616353243</v>
      </c>
      <c r="AT138" s="5">
        <f t="shared" si="440"/>
        <v>1.3157384955075329</v>
      </c>
      <c r="AU138" s="150">
        <f t="shared" si="441"/>
        <v>0.53949152657236354</v>
      </c>
      <c r="AW138" s="5">
        <f t="shared" si="341"/>
        <v>5.7545762834385439</v>
      </c>
      <c r="AX138" s="5">
        <f t="shared" si="342"/>
        <v>6.1142373011534534</v>
      </c>
      <c r="AY138" s="5">
        <f t="shared" si="343"/>
        <v>1.3068897318862618</v>
      </c>
      <c r="AZ138" s="5"/>
      <c r="BA138" s="150">
        <f t="shared" si="344"/>
        <v>2.7673966048804517</v>
      </c>
      <c r="BB138" s="150">
        <f t="shared" si="345"/>
        <v>2.4525724136776503</v>
      </c>
      <c r="BC138" s="150">
        <f t="shared" si="346"/>
        <v>0.49230674719167911</v>
      </c>
      <c r="BD138" s="150"/>
      <c r="BE138" s="456">
        <f t="shared" si="347"/>
        <v>9.1901807624446205E-2</v>
      </c>
      <c r="BF138" s="456">
        <f t="shared" si="348"/>
        <v>2.1123433004617795</v>
      </c>
      <c r="BG138" s="456">
        <f t="shared" si="349"/>
        <v>4.0250000000000001E-2</v>
      </c>
      <c r="BH138" s="456">
        <f t="shared" si="350"/>
        <v>0.46512120659429951</v>
      </c>
      <c r="BI138">
        <f t="shared" si="351"/>
        <v>8.9543384466858941E-3</v>
      </c>
      <c r="BJ138" s="144">
        <f t="shared" si="435"/>
        <v>49.204338446685895</v>
      </c>
      <c r="BK138">
        <f t="shared" si="352"/>
        <v>2.7543228367398229</v>
      </c>
      <c r="BL138" s="144">
        <f t="shared" si="436"/>
        <v>2718.5706531272108</v>
      </c>
      <c r="BM138" s="150">
        <f t="shared" si="353"/>
        <v>0.75107199999999996</v>
      </c>
      <c r="BN138" s="150">
        <f t="shared" si="354"/>
        <v>0.15960279999999999</v>
      </c>
      <c r="BO138" s="456"/>
      <c r="BQ138" s="144">
        <f t="shared" si="355"/>
        <v>910.6748</v>
      </c>
      <c r="BR138" s="456">
        <f t="shared" si="356"/>
        <v>0.10721877556185391</v>
      </c>
      <c r="BS138" s="456">
        <f t="shared" si="357"/>
        <v>8.4211560220656609E-2</v>
      </c>
      <c r="BT138" s="456">
        <f t="shared" si="358"/>
        <v>1.2118296666522592E-3</v>
      </c>
      <c r="BU138" s="456">
        <f t="shared" si="359"/>
        <v>12.466352653255591</v>
      </c>
      <c r="BV138" s="456"/>
      <c r="BW138" s="538">
        <f t="shared" si="360"/>
        <v>1.4905531914893619</v>
      </c>
      <c r="BX138" s="144">
        <f t="shared" si="361"/>
        <v>14149.548010194116</v>
      </c>
      <c r="BY138" s="150">
        <f t="shared" si="362"/>
        <v>17.778793463321325</v>
      </c>
      <c r="BZ138" s="5">
        <f t="shared" si="363"/>
        <v>35.027999999999999</v>
      </c>
      <c r="CA138" s="150">
        <f t="shared" si="364"/>
        <v>0.66332374497099189</v>
      </c>
      <c r="CB138" s="5">
        <f t="shared" si="365"/>
        <v>66.332374497099195</v>
      </c>
      <c r="CC138">
        <f t="shared" si="366"/>
        <v>28.000000000000004</v>
      </c>
      <c r="CE138" s="59">
        <f t="shared" si="367"/>
        <v>-50</v>
      </c>
      <c r="CF138">
        <f t="shared" si="368"/>
        <v>-50</v>
      </c>
      <c r="CG138" s="150">
        <f t="shared" si="369"/>
        <v>0.348153021408388</v>
      </c>
      <c r="CH138" s="150">
        <f t="shared" si="370"/>
        <v>7.3486020626616938E-2</v>
      </c>
      <c r="CI138" s="147">
        <v>28</v>
      </c>
      <c r="CJ138" s="188">
        <f t="shared" si="437"/>
        <v>1.1200000000000001</v>
      </c>
      <c r="CK138" s="188">
        <f t="shared" si="371"/>
        <v>0.23800000000000002</v>
      </c>
      <c r="CL138" s="188">
        <f t="shared" si="372"/>
        <v>33.6</v>
      </c>
      <c r="CM138" s="188">
        <f t="shared" si="373"/>
        <v>1.4280000000000002</v>
      </c>
      <c r="CN138" s="465">
        <f t="shared" si="374"/>
        <v>20</v>
      </c>
      <c r="CO138" s="379">
        <f t="shared" si="375"/>
        <v>30.7</v>
      </c>
      <c r="CP138" s="379">
        <f t="shared" si="376"/>
        <v>50.7</v>
      </c>
      <c r="CQ138" s="379"/>
      <c r="CR138" s="188">
        <f t="shared" si="377"/>
        <v>0.60317460317460314</v>
      </c>
      <c r="CS138" s="149">
        <f t="shared" si="378"/>
        <v>175.32871249897633</v>
      </c>
      <c r="CT138" s="149">
        <f t="shared" si="379"/>
        <v>7.4514702812064924</v>
      </c>
      <c r="CU138" s="188">
        <f t="shared" si="380"/>
        <v>5.8442904166325444</v>
      </c>
      <c r="CV138" s="188">
        <f t="shared" si="381"/>
        <v>29.22145208316272</v>
      </c>
      <c r="CW138" s="188">
        <f t="shared" si="382"/>
        <v>30</v>
      </c>
      <c r="CX138" s="188">
        <f t="shared" si="383"/>
        <v>5.8072736842105259</v>
      </c>
      <c r="CY138" s="188">
        <f t="shared" si="384"/>
        <v>1.3647093157894734</v>
      </c>
      <c r="CZ138" s="188">
        <f t="shared" si="385"/>
        <v>0.88906144351105765</v>
      </c>
      <c r="DA138" s="172">
        <f t="shared" si="386"/>
        <v>350</v>
      </c>
      <c r="DB138" s="379">
        <f t="shared" si="387"/>
        <v>350</v>
      </c>
      <c r="DD138" s="188">
        <f t="shared" si="388"/>
        <v>7.3619779020761014</v>
      </c>
      <c r="DE138" s="150">
        <f t="shared" si="389"/>
        <v>1.1270780501549733</v>
      </c>
      <c r="DF138" s="150">
        <f t="shared" si="390"/>
        <v>1.3928696857096292</v>
      </c>
      <c r="DG138" s="150"/>
      <c r="DH138" s="150">
        <f t="shared" si="391"/>
        <v>0.92784522751949461</v>
      </c>
      <c r="DI138" s="314">
        <f t="shared" si="392"/>
        <v>415.27184553191495</v>
      </c>
      <c r="DJ138" s="456">
        <f t="shared" si="393"/>
        <v>0.94395997276890675</v>
      </c>
      <c r="DL138" s="150">
        <f t="shared" si="394"/>
        <v>6.5258895211728181</v>
      </c>
      <c r="DM138" s="150">
        <f t="shared" si="395"/>
        <v>6.5258895211728181</v>
      </c>
      <c r="DN138" s="150">
        <f t="shared" si="396"/>
        <v>1.5446544152346351</v>
      </c>
      <c r="DP138" s="314">
        <f t="shared" si="397"/>
        <v>1120</v>
      </c>
      <c r="DQ138" s="144">
        <f t="shared" si="398"/>
        <v>350</v>
      </c>
      <c r="DS138" s="144">
        <f t="shared" si="399"/>
        <v>1120</v>
      </c>
      <c r="DT138" s="144">
        <f t="shared" si="400"/>
        <v>350</v>
      </c>
      <c r="DV138" s="5">
        <f t="shared" si="401"/>
        <v>2.8571428571428572</v>
      </c>
      <c r="DW138" s="5">
        <f t="shared" si="402"/>
        <v>1.5335840374756124</v>
      </c>
      <c r="DX138" s="5">
        <f t="shared" si="403"/>
        <v>1.3235588196672448</v>
      </c>
      <c r="DY138" s="150">
        <f t="shared" si="404"/>
        <v>0.53675441311646432</v>
      </c>
      <c r="EA138" s="5">
        <f t="shared" si="405"/>
        <v>5.7253804065756206</v>
      </c>
      <c r="EB138" s="5">
        <f t="shared" si="406"/>
        <v>6.0832166819865963</v>
      </c>
      <c r="EC138" s="5">
        <f t="shared" si="407"/>
        <v>1.3079875394358655</v>
      </c>
      <c r="ED138" s="5"/>
      <c r="EE138" s="150">
        <f t="shared" si="408"/>
        <v>2.7603674764279815</v>
      </c>
      <c r="EF138" s="150">
        <f t="shared" si="409"/>
        <v>2.4598502640830668</v>
      </c>
      <c r="EG138" s="150">
        <f t="shared" si="410"/>
        <v>0.49376763570190474</v>
      </c>
      <c r="EH138" s="150"/>
      <c r="EI138" s="456">
        <f t="shared" si="411"/>
        <v>9.143554325905659E-2</v>
      </c>
      <c r="EJ138" s="456">
        <f t="shared" si="412"/>
        <v>2.2002362815110215</v>
      </c>
      <c r="EK138" s="456">
        <f t="shared" si="413"/>
        <v>4.0250000000000001E-2</v>
      </c>
      <c r="EL138" s="456">
        <f t="shared" si="414"/>
        <v>0.46558000125000004</v>
      </c>
      <c r="EM138">
        <f t="shared" si="415"/>
        <v>8.9999999999999993E-3</v>
      </c>
      <c r="EN138" s="144">
        <f t="shared" si="416"/>
        <v>49.25</v>
      </c>
      <c r="EP138" s="144">
        <f t="shared" si="438"/>
        <v>2806.5018260200782</v>
      </c>
      <c r="EQ138" s="150">
        <f t="shared" si="417"/>
        <v>0.78400000000000003</v>
      </c>
      <c r="ER138" s="150">
        <f t="shared" si="418"/>
        <v>0.11400200000000001</v>
      </c>
      <c r="ES138" s="456"/>
      <c r="EU138" s="144">
        <f t="shared" si="419"/>
        <v>898.00200000000007</v>
      </c>
      <c r="EV138" s="456">
        <f t="shared" si="420"/>
        <v>0.10667480046889936</v>
      </c>
      <c r="EW138" s="456">
        <f t="shared" si="421"/>
        <v>8.471208650393347E-2</v>
      </c>
      <c r="EX138" s="456">
        <f t="shared" si="422"/>
        <v>1.2190323903332446E-3</v>
      </c>
      <c r="EY138" s="456">
        <f t="shared" si="423"/>
        <v>12.466352653255591</v>
      </c>
      <c r="EZ138" s="456"/>
      <c r="FA138" s="538">
        <f t="shared" si="424"/>
        <v>1.4905531914893619</v>
      </c>
      <c r="FB138" s="144">
        <f t="shared" si="425"/>
        <v>14149.511764108118</v>
      </c>
      <c r="FC138" s="150">
        <f t="shared" si="426"/>
        <v>17.854015590128196</v>
      </c>
      <c r="FD138" s="5">
        <f t="shared" si="427"/>
        <v>35.027999999999999</v>
      </c>
      <c r="FE138" s="150">
        <f t="shared" si="428"/>
        <v>0.6623801988088156</v>
      </c>
      <c r="FF138" s="5">
        <f t="shared" si="429"/>
        <v>66.238019880881566</v>
      </c>
      <c r="FG138">
        <f t="shared" si="430"/>
        <v>28.000000000000004</v>
      </c>
      <c r="FI138" s="59">
        <f t="shared" si="431"/>
        <v>-50</v>
      </c>
      <c r="FJ138">
        <f t="shared" si="432"/>
        <v>-50</v>
      </c>
    </row>
    <row r="139" spans="5:166">
      <c r="E139" s="147">
        <v>29</v>
      </c>
      <c r="F139" s="188">
        <f t="shared" si="433"/>
        <v>1.1599999999999999</v>
      </c>
      <c r="G139" s="188">
        <f t="shared" si="312"/>
        <v>0.24649999999999997</v>
      </c>
      <c r="H139" s="188">
        <f t="shared" si="313"/>
        <v>34.799999999999997</v>
      </c>
      <c r="I139" s="188">
        <f t="shared" si="314"/>
        <v>1.4789999999999999</v>
      </c>
      <c r="J139" s="465">
        <f t="shared" si="315"/>
        <v>19.896733810788184</v>
      </c>
      <c r="K139" s="379">
        <f t="shared" si="316"/>
        <v>30.777837205068906</v>
      </c>
      <c r="L139" s="149">
        <f t="shared" si="317"/>
        <v>50.67457101585709</v>
      </c>
      <c r="M139" s="379"/>
      <c r="N139" s="188">
        <f t="shared" si="318"/>
        <v>0.60736256051260706</v>
      </c>
      <c r="O139" s="149">
        <f t="shared" si="319"/>
        <v>175.63449157994441</v>
      </c>
      <c r="P139" s="149">
        <f t="shared" si="320"/>
        <v>7.4644658921476355</v>
      </c>
      <c r="Q139" s="188">
        <f t="shared" si="321"/>
        <v>5.8544830526648139</v>
      </c>
      <c r="R139" s="188">
        <f t="shared" si="322"/>
        <v>29.272415263324067</v>
      </c>
      <c r="S139" s="188">
        <f t="shared" si="323"/>
        <v>30</v>
      </c>
      <c r="T139" s="188">
        <f t="shared" si="324"/>
        <v>6.0042047838049628</v>
      </c>
      <c r="U139" s="188">
        <f t="shared" si="325"/>
        <v>1.4183113043700832</v>
      </c>
      <c r="V139" s="188">
        <f t="shared" si="326"/>
        <v>0.91688581935951363</v>
      </c>
      <c r="W139" s="172">
        <f t="shared" si="327"/>
        <v>350</v>
      </c>
      <c r="X139" s="379">
        <f t="shared" si="434"/>
        <v>350</v>
      </c>
      <c r="Z139" s="188">
        <f t="shared" si="328"/>
        <v>7.3462195703088584</v>
      </c>
      <c r="AA139" s="150">
        <f t="shared" si="329"/>
        <v>1.1218212556782654</v>
      </c>
      <c r="AB139" s="150">
        <f t="shared" si="330"/>
        <v>1.3834056796154657</v>
      </c>
      <c r="AC139" s="150"/>
      <c r="AD139" s="150">
        <f t="shared" si="331"/>
        <v>0.92549870528775224</v>
      </c>
      <c r="AE139" s="314">
        <f t="shared" si="332"/>
        <v>431.19347193027465</v>
      </c>
      <c r="AF139" s="456">
        <f t="shared" si="333"/>
        <v>0.9415726963177482</v>
      </c>
      <c r="AH139" s="150">
        <f t="shared" si="334"/>
        <v>6.6414009581510802</v>
      </c>
      <c r="AI139" s="150">
        <f t="shared" si="335"/>
        <v>6.6414009581510802</v>
      </c>
      <c r="AJ139" s="150">
        <f t="shared" si="336"/>
        <v>1.6302184426259405</v>
      </c>
      <c r="AL139" s="314">
        <f t="shared" si="337"/>
        <v>1160</v>
      </c>
      <c r="AM139" s="144">
        <f t="shared" si="338"/>
        <v>350</v>
      </c>
      <c r="AO139" s="144">
        <f t="shared" si="339"/>
        <v>1160</v>
      </c>
      <c r="AP139" s="144">
        <f t="shared" si="340"/>
        <v>350</v>
      </c>
      <c r="AR139" s="5">
        <f t="shared" si="442"/>
        <v>2.8571428571428572</v>
      </c>
      <c r="AS139" s="5">
        <f t="shared" si="439"/>
        <v>1.5688295777664398</v>
      </c>
      <c r="AT139" s="5">
        <f t="shared" si="440"/>
        <v>1.2883132793764174</v>
      </c>
      <c r="AU139" s="150">
        <f t="shared" si="441"/>
        <v>0.54909035221825397</v>
      </c>
      <c r="AW139" s="5">
        <f t="shared" si="341"/>
        <v>6.0661410340302337</v>
      </c>
      <c r="AX139" s="5">
        <f t="shared" si="342"/>
        <v>6.4452748486571227</v>
      </c>
      <c r="AY139" s="5">
        <f t="shared" si="343"/>
        <v>1.3254703465890796</v>
      </c>
      <c r="AZ139" s="5"/>
      <c r="BA139" s="150">
        <f t="shared" si="344"/>
        <v>2.8413254386783402</v>
      </c>
      <c r="BB139" s="150">
        <f t="shared" si="345"/>
        <v>2.4698340480311827</v>
      </c>
      <c r="BC139" s="150">
        <f t="shared" si="346"/>
        <v>0.49577168833364393</v>
      </c>
      <c r="BD139" s="150"/>
      <c r="BE139" s="456">
        <f t="shared" si="347"/>
        <v>9.6877562981767959E-2</v>
      </c>
      <c r="BF139" s="456">
        <f t="shared" si="348"/>
        <v>2.14971404798486</v>
      </c>
      <c r="BG139" s="456">
        <f t="shared" si="349"/>
        <v>4.0250000000000001E-2</v>
      </c>
      <c r="BH139" s="456">
        <f t="shared" si="350"/>
        <v>0.46511308774150212</v>
      </c>
      <c r="BI139">
        <f t="shared" si="351"/>
        <v>8.9535302148546821E-3</v>
      </c>
      <c r="BJ139" s="144">
        <f t="shared" si="435"/>
        <v>49.203530214854688</v>
      </c>
      <c r="BK139">
        <f t="shared" si="352"/>
        <v>2.8023668256647696</v>
      </c>
      <c r="BL139" s="144">
        <f t="shared" si="436"/>
        <v>2760.9082289229846</v>
      </c>
      <c r="BM139" s="150">
        <f t="shared" si="353"/>
        <v>0.77789599999999992</v>
      </c>
      <c r="BN139" s="150">
        <f t="shared" si="354"/>
        <v>0.16530289999999997</v>
      </c>
      <c r="BO139" s="456"/>
      <c r="BQ139" s="144">
        <f t="shared" si="355"/>
        <v>943.19889999999987</v>
      </c>
      <c r="BR139" s="456">
        <f t="shared" si="356"/>
        <v>0.11302382347872927</v>
      </c>
      <c r="BS139" s="456">
        <f t="shared" si="357"/>
        <v>8.5401123147397381E-2</v>
      </c>
      <c r="BT139" s="456">
        <f t="shared" si="358"/>
        <v>1.228947834765959E-3</v>
      </c>
      <c r="BU139" s="456">
        <f t="shared" si="359"/>
        <v>13.025348935544372</v>
      </c>
      <c r="BV139" s="456"/>
      <c r="BW139" s="538">
        <f t="shared" si="360"/>
        <v>1.5437872340425534</v>
      </c>
      <c r="BX139" s="144">
        <f t="shared" si="361"/>
        <v>14768.790064047816</v>
      </c>
      <c r="BY139" s="150">
        <f t="shared" si="362"/>
        <v>18.472897192970802</v>
      </c>
      <c r="BZ139" s="5">
        <f t="shared" si="363"/>
        <v>36.278999999999996</v>
      </c>
      <c r="CA139" s="150">
        <f t="shared" si="364"/>
        <v>0.66260717637118871</v>
      </c>
      <c r="CB139" s="5">
        <f t="shared" si="365"/>
        <v>66.260717637118873</v>
      </c>
      <c r="CC139">
        <f t="shared" si="366"/>
        <v>28.999999999999996</v>
      </c>
      <c r="CE139" s="59">
        <f t="shared" si="367"/>
        <v>-50</v>
      </c>
      <c r="CF139">
        <f t="shared" si="368"/>
        <v>-50</v>
      </c>
      <c r="CG139" s="150">
        <f t="shared" si="369"/>
        <v>0.354315500203153</v>
      </c>
      <c r="CH139" s="150">
        <f t="shared" si="370"/>
        <v>7.4786759140938158E-2</v>
      </c>
      <c r="CI139" s="147">
        <v>29</v>
      </c>
      <c r="CJ139" s="188">
        <f t="shared" si="437"/>
        <v>1.1599999999999999</v>
      </c>
      <c r="CK139" s="188">
        <f t="shared" si="371"/>
        <v>0.24649999999999997</v>
      </c>
      <c r="CL139" s="188">
        <f t="shared" si="372"/>
        <v>34.799999999999997</v>
      </c>
      <c r="CM139" s="188">
        <f t="shared" si="373"/>
        <v>1.4789999999999999</v>
      </c>
      <c r="CN139" s="465">
        <f t="shared" si="374"/>
        <v>20</v>
      </c>
      <c r="CO139" s="379">
        <f t="shared" si="375"/>
        <v>30.7</v>
      </c>
      <c r="CP139" s="379">
        <f t="shared" si="376"/>
        <v>50.7</v>
      </c>
      <c r="CQ139" s="379"/>
      <c r="CR139" s="188">
        <f t="shared" si="377"/>
        <v>0.60317460317460314</v>
      </c>
      <c r="CS139" s="149">
        <f t="shared" si="378"/>
        <v>175.32871249897633</v>
      </c>
      <c r="CT139" s="149">
        <f t="shared" si="379"/>
        <v>7.4514702812064924</v>
      </c>
      <c r="CU139" s="188">
        <f t="shared" si="380"/>
        <v>5.8442904166325444</v>
      </c>
      <c r="CV139" s="188">
        <f t="shared" si="381"/>
        <v>29.22145208316272</v>
      </c>
      <c r="CW139" s="188">
        <f t="shared" si="382"/>
        <v>30</v>
      </c>
      <c r="CX139" s="188">
        <f t="shared" si="383"/>
        <v>6.0146763157894734</v>
      </c>
      <c r="CY139" s="188">
        <f t="shared" si="384"/>
        <v>1.4134489342105261</v>
      </c>
      <c r="CZ139" s="188">
        <f t="shared" si="385"/>
        <v>0.92081363792216697</v>
      </c>
      <c r="DA139" s="172">
        <f t="shared" si="386"/>
        <v>350</v>
      </c>
      <c r="DB139" s="379">
        <f t="shared" si="387"/>
        <v>350</v>
      </c>
      <c r="DD139" s="188">
        <f t="shared" si="388"/>
        <v>7.3619779020761014</v>
      </c>
      <c r="DE139" s="150">
        <f t="shared" si="389"/>
        <v>1.1270780501549733</v>
      </c>
      <c r="DF139" s="150">
        <f t="shared" si="390"/>
        <v>1.3928696857096292</v>
      </c>
      <c r="DG139" s="150"/>
      <c r="DH139" s="150">
        <f t="shared" si="391"/>
        <v>0.92784522751949461</v>
      </c>
      <c r="DI139" s="314">
        <f t="shared" si="392"/>
        <v>430.10298287234042</v>
      </c>
      <c r="DJ139" s="456">
        <f t="shared" si="393"/>
        <v>0.94395997276890675</v>
      </c>
      <c r="DL139" s="150">
        <f t="shared" si="394"/>
        <v>6.6414009581510802</v>
      </c>
      <c r="DM139" s="150">
        <f t="shared" si="395"/>
        <v>6.6414009581510802</v>
      </c>
      <c r="DN139" s="150">
        <f t="shared" si="396"/>
        <v>1.6302184426259405</v>
      </c>
      <c r="DP139" s="314">
        <f t="shared" si="397"/>
        <v>1160</v>
      </c>
      <c r="DQ139" s="144">
        <f t="shared" si="398"/>
        <v>350</v>
      </c>
      <c r="DS139" s="144">
        <f t="shared" si="399"/>
        <v>1160</v>
      </c>
      <c r="DT139" s="144">
        <f t="shared" si="400"/>
        <v>350</v>
      </c>
      <c r="DV139" s="5">
        <f t="shared" si="401"/>
        <v>2.8571428571428572</v>
      </c>
      <c r="DW139" s="5">
        <f t="shared" si="402"/>
        <v>1.5607292251655036</v>
      </c>
      <c r="DX139" s="5">
        <f t="shared" si="403"/>
        <v>1.2964136319773536</v>
      </c>
      <c r="DY139" s="150">
        <f t="shared" si="404"/>
        <v>0.54625522880792621</v>
      </c>
      <c r="EA139" s="5">
        <f t="shared" si="405"/>
        <v>6.0348196706399468</v>
      </c>
      <c r="EB139" s="5">
        <f t="shared" si="406"/>
        <v>6.4119959000549427</v>
      </c>
      <c r="EC139" s="5">
        <f t="shared" si="407"/>
        <v>1.3269174821415264</v>
      </c>
      <c r="ED139" s="5"/>
      <c r="EE139" s="150">
        <f t="shared" si="408"/>
        <v>2.8339806242619408</v>
      </c>
      <c r="EF139" s="150">
        <f t="shared" si="409"/>
        <v>2.4775865013253298</v>
      </c>
      <c r="EG139" s="150">
        <f t="shared" si="410"/>
        <v>0.49732784424680365</v>
      </c>
      <c r="EH139" s="150"/>
      <c r="EI139" s="456">
        <f t="shared" si="411"/>
        <v>9.6377354144305205E-2</v>
      </c>
      <c r="EJ139" s="456">
        <f t="shared" si="412"/>
        <v>2.2391815400454278</v>
      </c>
      <c r="EK139" s="456">
        <f t="shared" si="413"/>
        <v>4.0250000000000001E-2</v>
      </c>
      <c r="EL139" s="456">
        <f t="shared" si="414"/>
        <v>0.46558000125000004</v>
      </c>
      <c r="EM139">
        <f t="shared" si="415"/>
        <v>8.9999999999999993E-3</v>
      </c>
      <c r="EN139" s="144">
        <f t="shared" si="416"/>
        <v>49.25</v>
      </c>
      <c r="EP139" s="144">
        <f t="shared" si="438"/>
        <v>2850.388895439733</v>
      </c>
      <c r="EQ139" s="150">
        <f t="shared" si="417"/>
        <v>0.81199999999999994</v>
      </c>
      <c r="ER139" s="150">
        <f t="shared" si="418"/>
        <v>0.11807349999999998</v>
      </c>
      <c r="ES139" s="456"/>
      <c r="EU139" s="144">
        <f t="shared" si="419"/>
        <v>930.07349999999985</v>
      </c>
      <c r="EV139" s="456">
        <f t="shared" si="420"/>
        <v>0.11244024650168941</v>
      </c>
      <c r="EW139" s="456">
        <f t="shared" si="421"/>
        <v>8.5938088201692825E-2</v>
      </c>
      <c r="EX139" s="456">
        <f t="shared" si="422"/>
        <v>1.2366749233158651E-3</v>
      </c>
      <c r="EY139" s="456">
        <f t="shared" si="423"/>
        <v>13.025348935544372</v>
      </c>
      <c r="EZ139" s="456"/>
      <c r="FA139" s="538">
        <f t="shared" si="424"/>
        <v>1.5437872340425534</v>
      </c>
      <c r="FB139" s="144">
        <f t="shared" si="425"/>
        <v>14768.751179213623</v>
      </c>
      <c r="FC139" s="150">
        <f t="shared" si="426"/>
        <v>18.549213574653358</v>
      </c>
      <c r="FD139" s="5">
        <f t="shared" si="427"/>
        <v>36.278999999999996</v>
      </c>
      <c r="FE139" s="150">
        <f t="shared" si="428"/>
        <v>0.66168488146350057</v>
      </c>
      <c r="FF139" s="5">
        <f t="shared" si="429"/>
        <v>66.168488146350057</v>
      </c>
      <c r="FG139">
        <f t="shared" si="430"/>
        <v>28.999999999999996</v>
      </c>
      <c r="FI139" s="59">
        <f t="shared" si="431"/>
        <v>-50</v>
      </c>
      <c r="FJ139">
        <f t="shared" si="432"/>
        <v>-50</v>
      </c>
    </row>
    <row r="140" spans="5:166">
      <c r="E140" s="147">
        <v>30</v>
      </c>
      <c r="F140" s="188">
        <f t="shared" si="433"/>
        <v>1.2</v>
      </c>
      <c r="G140" s="188">
        <f t="shared" si="312"/>
        <v>0.255</v>
      </c>
      <c r="H140" s="188">
        <f t="shared" si="313"/>
        <v>36</v>
      </c>
      <c r="I140" s="188">
        <f t="shared" si="314"/>
        <v>1.53</v>
      </c>
      <c r="J140" s="465">
        <f t="shared" si="315"/>
        <v>19.894968448906202</v>
      </c>
      <c r="K140" s="379">
        <f t="shared" si="316"/>
        <v>30.779167851971614</v>
      </c>
      <c r="L140" s="149">
        <f t="shared" si="317"/>
        <v>50.674136300877819</v>
      </c>
      <c r="M140" s="379"/>
      <c r="N140" s="188">
        <f t="shared" si="318"/>
        <v>0.60739402975159207</v>
      </c>
      <c r="O140" s="149">
        <f t="shared" si="319"/>
        <v>175.6280075279692</v>
      </c>
      <c r="P140" s="149">
        <f t="shared" si="320"/>
        <v>7.4641903199386892</v>
      </c>
      <c r="Q140" s="188">
        <f t="shared" si="321"/>
        <v>5.8542669175989737</v>
      </c>
      <c r="R140" s="188">
        <f t="shared" si="322"/>
        <v>29.271334587994868</v>
      </c>
      <c r="S140" s="188">
        <f t="shared" si="323"/>
        <v>30</v>
      </c>
      <c r="T140" s="188">
        <f t="shared" si="324"/>
        <v>6.2114756425472804</v>
      </c>
      <c r="U140" s="188">
        <f t="shared" si="325"/>
        <v>1.4674029564282751</v>
      </c>
      <c r="V140" s="188">
        <f t="shared" si="326"/>
        <v>0.94849658250595448</v>
      </c>
      <c r="W140" s="172">
        <f t="shared" si="327"/>
        <v>350</v>
      </c>
      <c r="X140" s="379">
        <f t="shared" si="434"/>
        <v>350</v>
      </c>
      <c r="Z140" s="188">
        <f t="shared" si="328"/>
        <v>7.3459483635026874</v>
      </c>
      <c r="AA140" s="150">
        <f t="shared" si="329"/>
        <v>1.1217313435668796</v>
      </c>
      <c r="AB140" s="150">
        <f t="shared" si="330"/>
        <v>1.3832437336439696</v>
      </c>
      <c r="AC140" s="150"/>
      <c r="AD140" s="150">
        <f t="shared" si="331"/>
        <v>0.92545869407004899</v>
      </c>
      <c r="AE140" s="314">
        <f t="shared" si="332"/>
        <v>446.08149736475696</v>
      </c>
      <c r="AF140" s="456">
        <f t="shared" si="333"/>
        <v>0.94153199018826295</v>
      </c>
      <c r="AH140" s="150">
        <f t="shared" si="334"/>
        <v>6.7549374039517938</v>
      </c>
      <c r="AI140" s="150">
        <f t="shared" si="335"/>
        <v>6.7549374039517938</v>
      </c>
      <c r="AJ140" s="150">
        <f t="shared" si="336"/>
        <v>1.714319513589432</v>
      </c>
      <c r="AL140" s="314">
        <f t="shared" si="337"/>
        <v>1200</v>
      </c>
      <c r="AM140" s="144">
        <f t="shared" si="338"/>
        <v>350</v>
      </c>
      <c r="AO140" s="144">
        <f t="shared" si="339"/>
        <v>1200</v>
      </c>
      <c r="AP140" s="144">
        <f t="shared" si="340"/>
        <v>350</v>
      </c>
      <c r="AR140" s="5">
        <f t="shared" si="442"/>
        <v>2.8571428571428572</v>
      </c>
      <c r="AS140" s="5">
        <f t="shared" si="439"/>
        <v>1.5957907085959164</v>
      </c>
      <c r="AT140" s="5">
        <f t="shared" si="440"/>
        <v>1.2613521485469408</v>
      </c>
      <c r="AU140" s="150">
        <f t="shared" si="441"/>
        <v>0.55852674800857072</v>
      </c>
      <c r="AW140" s="5">
        <f t="shared" si="341"/>
        <v>6.3831628343836648</v>
      </c>
      <c r="AX140" s="5">
        <f t="shared" si="342"/>
        <v>6.782110511532645</v>
      </c>
      <c r="AY140" s="5">
        <f t="shared" si="343"/>
        <v>1.3426001023178409</v>
      </c>
      <c r="AZ140" s="5"/>
      <c r="BA140" s="150">
        <f t="shared" si="344"/>
        <v>2.9146250271241176</v>
      </c>
      <c r="BB140" s="150">
        <f t="shared" si="345"/>
        <v>2.4856320247787198</v>
      </c>
      <c r="BC140" s="150">
        <f t="shared" si="346"/>
        <v>0.49894282835846682</v>
      </c>
      <c r="BD140" s="150"/>
      <c r="BE140" s="456">
        <f t="shared" si="347"/>
        <v>0.10194046858485917</v>
      </c>
      <c r="BF140" s="456">
        <f t="shared" si="348"/>
        <v>2.1864452020213094</v>
      </c>
      <c r="BG140" s="456">
        <f t="shared" si="349"/>
        <v>4.0250000000000001E-2</v>
      </c>
      <c r="BH140" s="456">
        <f t="shared" si="350"/>
        <v>0.46510510777225966</v>
      </c>
      <c r="BI140">
        <f t="shared" si="351"/>
        <v>8.9527358020077899E-3</v>
      </c>
      <c r="BJ140" s="144">
        <f t="shared" si="435"/>
        <v>49.202735802007794</v>
      </c>
      <c r="BK140">
        <f t="shared" si="352"/>
        <v>2.8500458224718903</v>
      </c>
      <c r="BL140" s="144">
        <f t="shared" si="436"/>
        <v>2802.6935141804356</v>
      </c>
      <c r="BM140" s="150">
        <f t="shared" si="353"/>
        <v>0.80471999999999999</v>
      </c>
      <c r="BN140" s="150">
        <f t="shared" si="354"/>
        <v>0.17100299999999999</v>
      </c>
      <c r="BO140" s="456"/>
      <c r="BQ140" s="144">
        <f t="shared" si="355"/>
        <v>975.72299999999996</v>
      </c>
      <c r="BR140" s="456">
        <f t="shared" si="356"/>
        <v>0.11893054668233569</v>
      </c>
      <c r="BS140" s="456">
        <f t="shared" si="357"/>
        <v>8.6497131876477812E-2</v>
      </c>
      <c r="BT140" s="456">
        <f t="shared" si="358"/>
        <v>1.2447197298517325E-3</v>
      </c>
      <c r="BU140" s="456">
        <f t="shared" si="359"/>
        <v>13.589185825599449</v>
      </c>
      <c r="BV140" s="456"/>
      <c r="BW140" s="538">
        <f t="shared" si="360"/>
        <v>1.5970212765957452</v>
      </c>
      <c r="BX140" s="144">
        <f t="shared" si="361"/>
        <v>15392.879500483859</v>
      </c>
      <c r="BY140" s="150">
        <f t="shared" si="362"/>
        <v>19.171296014664293</v>
      </c>
      <c r="BZ140" s="5">
        <f t="shared" si="363"/>
        <v>37.53</v>
      </c>
      <c r="CA140" s="150">
        <f t="shared" si="364"/>
        <v>0.66188963282768454</v>
      </c>
      <c r="CB140" s="5">
        <f t="shared" si="365"/>
        <v>66.188963282768455</v>
      </c>
      <c r="CC140">
        <f t="shared" si="366"/>
        <v>30</v>
      </c>
      <c r="CE140" s="59">
        <f t="shared" si="367"/>
        <v>-50</v>
      </c>
      <c r="CF140">
        <f t="shared" si="368"/>
        <v>-50</v>
      </c>
      <c r="CG140" s="150">
        <f t="shared" si="369"/>
        <v>0.36037261418236483</v>
      </c>
      <c r="CH140" s="150">
        <f t="shared" si="370"/>
        <v>7.6065257891325302E-2</v>
      </c>
      <c r="CI140" s="147">
        <v>30</v>
      </c>
      <c r="CJ140" s="188">
        <f t="shared" si="437"/>
        <v>1.2</v>
      </c>
      <c r="CK140" s="188">
        <f t="shared" si="371"/>
        <v>0.255</v>
      </c>
      <c r="CL140" s="188">
        <f t="shared" si="372"/>
        <v>36</v>
      </c>
      <c r="CM140" s="188">
        <f t="shared" si="373"/>
        <v>1.53</v>
      </c>
      <c r="CN140" s="465">
        <f t="shared" si="374"/>
        <v>20</v>
      </c>
      <c r="CO140" s="379">
        <f t="shared" si="375"/>
        <v>30.7</v>
      </c>
      <c r="CP140" s="379">
        <f t="shared" si="376"/>
        <v>50.7</v>
      </c>
      <c r="CQ140" s="379"/>
      <c r="CR140" s="188">
        <f t="shared" si="377"/>
        <v>0.60317460317460314</v>
      </c>
      <c r="CS140" s="149">
        <f t="shared" si="378"/>
        <v>175.32871249897633</v>
      </c>
      <c r="CT140" s="149">
        <f t="shared" si="379"/>
        <v>7.4514702812064924</v>
      </c>
      <c r="CU140" s="188">
        <f t="shared" si="380"/>
        <v>5.8442904166325444</v>
      </c>
      <c r="CV140" s="188">
        <f t="shared" si="381"/>
        <v>29.22145208316272</v>
      </c>
      <c r="CW140" s="188">
        <f t="shared" si="382"/>
        <v>30</v>
      </c>
      <c r="CX140" s="188">
        <f t="shared" si="383"/>
        <v>6.2220789473684217</v>
      </c>
      <c r="CY140" s="188">
        <f t="shared" si="384"/>
        <v>1.462188552631579</v>
      </c>
      <c r="CZ140" s="188">
        <f t="shared" si="385"/>
        <v>0.9525658323332763</v>
      </c>
      <c r="DA140" s="172">
        <f t="shared" si="386"/>
        <v>350</v>
      </c>
      <c r="DB140" s="379">
        <f t="shared" si="387"/>
        <v>350</v>
      </c>
      <c r="DD140" s="188">
        <f t="shared" si="388"/>
        <v>7.3619779020761014</v>
      </c>
      <c r="DE140" s="150">
        <f t="shared" si="389"/>
        <v>1.1270780501549733</v>
      </c>
      <c r="DF140" s="150">
        <f t="shared" si="390"/>
        <v>1.3928696857096292</v>
      </c>
      <c r="DG140" s="150"/>
      <c r="DH140" s="150">
        <f t="shared" si="391"/>
        <v>0.92784522751949461</v>
      </c>
      <c r="DI140" s="314">
        <f t="shared" si="392"/>
        <v>444.93412021276595</v>
      </c>
      <c r="DJ140" s="456">
        <f t="shared" si="393"/>
        <v>0.94395997276890675</v>
      </c>
      <c r="DL140" s="150">
        <f t="shared" si="394"/>
        <v>6.7549374039517938</v>
      </c>
      <c r="DM140" s="150">
        <f t="shared" si="395"/>
        <v>6.7549374039517938</v>
      </c>
      <c r="DN140" s="150">
        <f t="shared" si="396"/>
        <v>1.714319513589432</v>
      </c>
      <c r="DP140" s="314">
        <f t="shared" si="397"/>
        <v>1200</v>
      </c>
      <c r="DQ140" s="144">
        <f t="shared" si="398"/>
        <v>350</v>
      </c>
      <c r="DS140" s="144">
        <f t="shared" si="399"/>
        <v>1200</v>
      </c>
      <c r="DT140" s="144">
        <f t="shared" si="400"/>
        <v>350</v>
      </c>
      <c r="DV140" s="5">
        <f t="shared" si="401"/>
        <v>2.8571428571428572</v>
      </c>
      <c r="DW140" s="5">
        <f t="shared" si="402"/>
        <v>1.5874102899286715</v>
      </c>
      <c r="DX140" s="5">
        <f t="shared" si="403"/>
        <v>1.2697325672141857</v>
      </c>
      <c r="DY140" s="150">
        <f t="shared" si="404"/>
        <v>0.555593601475035</v>
      </c>
      <c r="EA140" s="5">
        <f t="shared" si="405"/>
        <v>6.3496411597146851</v>
      </c>
      <c r="EB140" s="5">
        <f t="shared" si="406"/>
        <v>6.7464937321968534</v>
      </c>
      <c r="EC140" s="5">
        <f t="shared" si="407"/>
        <v>1.3444227182267847</v>
      </c>
      <c r="ED140" s="5"/>
      <c r="EE140" s="150">
        <f t="shared" si="408"/>
        <v>2.9069617631375366</v>
      </c>
      <c r="EF140" s="150">
        <f t="shared" si="409"/>
        <v>2.4938756194964382</v>
      </c>
      <c r="EG140" s="150">
        <f t="shared" si="410"/>
        <v>0.50059757146738115</v>
      </c>
      <c r="EH140" s="150"/>
      <c r="EI140" s="456">
        <f t="shared" si="411"/>
        <v>0.10140512030812435</v>
      </c>
      <c r="EJ140" s="456">
        <f t="shared" si="412"/>
        <v>2.2774609204293674</v>
      </c>
      <c r="EK140" s="456">
        <f t="shared" si="413"/>
        <v>4.0250000000000001E-2</v>
      </c>
      <c r="EL140" s="456">
        <f t="shared" si="414"/>
        <v>0.46558000125000004</v>
      </c>
      <c r="EM140">
        <f t="shared" si="415"/>
        <v>8.9999999999999993E-3</v>
      </c>
      <c r="EN140" s="144">
        <f t="shared" si="416"/>
        <v>49.25</v>
      </c>
      <c r="EP140" s="144">
        <f t="shared" si="438"/>
        <v>2893.6960419874918</v>
      </c>
      <c r="EQ140" s="150">
        <f t="shared" si="417"/>
        <v>0.84</v>
      </c>
      <c r="ER140" s="150">
        <f t="shared" si="418"/>
        <v>0.122145</v>
      </c>
      <c r="ES140" s="456"/>
      <c r="EU140" s="144">
        <f t="shared" si="419"/>
        <v>962.14499999999998</v>
      </c>
      <c r="EV140" s="456">
        <f t="shared" si="420"/>
        <v>0.11830597369281173</v>
      </c>
      <c r="EW140" s="456">
        <f t="shared" si="421"/>
        <v>8.7071818477262405E-2</v>
      </c>
      <c r="EX140" s="456">
        <f t="shared" si="422"/>
        <v>1.2529896427951989E-3</v>
      </c>
      <c r="EY140" s="456">
        <f t="shared" si="423"/>
        <v>13.589185825599449</v>
      </c>
      <c r="EZ140" s="456"/>
      <c r="FA140" s="538">
        <f t="shared" si="424"/>
        <v>1.5970212765957452</v>
      </c>
      <c r="FB140" s="144">
        <f t="shared" si="425"/>
        <v>15392.837884008064</v>
      </c>
      <c r="FC140" s="150">
        <f t="shared" si="426"/>
        <v>19.248678925995556</v>
      </c>
      <c r="FD140" s="5">
        <f t="shared" si="427"/>
        <v>37.53</v>
      </c>
      <c r="FE140" s="150">
        <f t="shared" si="428"/>
        <v>0.66098755219218852</v>
      </c>
      <c r="FF140" s="5">
        <f t="shared" si="429"/>
        <v>66.098755219218859</v>
      </c>
      <c r="FG140">
        <f t="shared" si="430"/>
        <v>30</v>
      </c>
      <c r="FI140" s="59">
        <f t="shared" si="431"/>
        <v>-50</v>
      </c>
      <c r="FJ140">
        <f t="shared" si="432"/>
        <v>-50</v>
      </c>
    </row>
    <row r="141" spans="5:166">
      <c r="E141" s="147">
        <v>31</v>
      </c>
      <c r="F141" s="188">
        <f t="shared" si="433"/>
        <v>1.24</v>
      </c>
      <c r="G141" s="188">
        <f t="shared" si="312"/>
        <v>0.26350000000000001</v>
      </c>
      <c r="H141" s="188">
        <f t="shared" si="313"/>
        <v>37.200000000000003</v>
      </c>
      <c r="I141" s="188">
        <f t="shared" si="314"/>
        <v>1.581</v>
      </c>
      <c r="J141" s="465">
        <f t="shared" si="315"/>
        <v>19.893232272591348</v>
      </c>
      <c r="K141" s="379">
        <f t="shared" si="316"/>
        <v>30.780476500164077</v>
      </c>
      <c r="L141" s="149">
        <f t="shared" si="317"/>
        <v>50.673708772755425</v>
      </c>
      <c r="M141" s="379"/>
      <c r="N141" s="188">
        <f t="shared" si="318"/>
        <v>0.60742497925695771</v>
      </c>
      <c r="O141" s="149">
        <f t="shared" si="319"/>
        <v>175.62162924980223</v>
      </c>
      <c r="P141" s="149">
        <f t="shared" si="320"/>
        <v>7.4639192431165933</v>
      </c>
      <c r="Q141" s="188">
        <f t="shared" si="321"/>
        <v>5.8540543083267407</v>
      </c>
      <c r="R141" s="188">
        <f t="shared" si="322"/>
        <v>29.270271541633704</v>
      </c>
      <c r="S141" s="188">
        <f t="shared" si="323"/>
        <v>30</v>
      </c>
      <c r="T141" s="188">
        <f t="shared" si="324"/>
        <v>6.4187579405114592</v>
      </c>
      <c r="U141" s="188">
        <f t="shared" si="325"/>
        <v>1.5165037992327259</v>
      </c>
      <c r="V141" s="188">
        <f t="shared" si="326"/>
        <v>0.9801070597540309</v>
      </c>
      <c r="W141" s="172">
        <f t="shared" si="327"/>
        <v>350</v>
      </c>
      <c r="X141" s="379">
        <f t="shared" si="434"/>
        <v>350</v>
      </c>
      <c r="Z141" s="188">
        <f t="shared" si="328"/>
        <v>7.3456815808709059</v>
      </c>
      <c r="AA141" s="150">
        <f t="shared" si="329"/>
        <v>1.1216429164086923</v>
      </c>
      <c r="AB141" s="150">
        <f t="shared" si="330"/>
        <v>1.3830844599434913</v>
      </c>
      <c r="AC141" s="150"/>
      <c r="AD141" s="150">
        <f t="shared" si="331"/>
        <v>0.92541934770557055</v>
      </c>
      <c r="AE141" s="314">
        <f t="shared" si="332"/>
        <v>460.97047901328648</v>
      </c>
      <c r="AF141" s="456">
        <f t="shared" si="333"/>
        <v>0.94149196045912265</v>
      </c>
      <c r="AH141" s="150">
        <f t="shared" si="334"/>
        <v>6.866596826353204</v>
      </c>
      <c r="AI141" s="150">
        <f t="shared" si="335"/>
        <v>6.866596826353204</v>
      </c>
      <c r="AJ141" s="150">
        <f t="shared" si="336"/>
        <v>1.797030196849736</v>
      </c>
      <c r="AL141" s="314">
        <f t="shared" si="337"/>
        <v>1240</v>
      </c>
      <c r="AM141" s="144">
        <f t="shared" si="338"/>
        <v>350</v>
      </c>
      <c r="AO141" s="144">
        <f t="shared" si="339"/>
        <v>1240</v>
      </c>
      <c r="AP141" s="144">
        <f t="shared" si="340"/>
        <v>350</v>
      </c>
      <c r="AR141" s="5">
        <f t="shared" si="442"/>
        <v>2.8571428571428572</v>
      </c>
      <c r="AS141" s="5">
        <f t="shared" si="439"/>
        <v>1.6223107759278219</v>
      </c>
      <c r="AT141" s="5">
        <f t="shared" si="440"/>
        <v>1.2348320812150353</v>
      </c>
      <c r="AU141" s="150">
        <f t="shared" si="441"/>
        <v>0.56780877157473764</v>
      </c>
      <c r="AW141" s="5">
        <f t="shared" si="341"/>
        <v>6.7055512071683312</v>
      </c>
      <c r="AX141" s="5">
        <f t="shared" si="342"/>
        <v>7.1246481576163516</v>
      </c>
      <c r="AY141" s="5">
        <f t="shared" si="343"/>
        <v>1.3583027159173191</v>
      </c>
      <c r="AZ141" s="5"/>
      <c r="BA141" s="150">
        <f t="shared" si="344"/>
        <v>2.9873215356946576</v>
      </c>
      <c r="BB141" s="150">
        <f t="shared" si="345"/>
        <v>2.5000162503327306</v>
      </c>
      <c r="BC141" s="150">
        <f t="shared" si="346"/>
        <v>0.50183018501871235</v>
      </c>
      <c r="BD141" s="150"/>
      <c r="BE141" s="456">
        <f t="shared" si="347"/>
        <v>0.10708907949150105</v>
      </c>
      <c r="BF141" s="456">
        <f t="shared" si="348"/>
        <v>2.2225684890687316</v>
      </c>
      <c r="BG141" s="456">
        <f t="shared" si="349"/>
        <v>4.0250000000000001E-2</v>
      </c>
      <c r="BH141" s="456">
        <f t="shared" si="350"/>
        <v>0.46509725979736982</v>
      </c>
      <c r="BI141">
        <f t="shared" si="351"/>
        <v>8.9519545226661064E-3</v>
      </c>
      <c r="BJ141" s="144">
        <f t="shared" si="435"/>
        <v>49.201954522666114</v>
      </c>
      <c r="BK141">
        <f t="shared" si="352"/>
        <v>2.8973911588458288</v>
      </c>
      <c r="BL141" s="144">
        <f t="shared" si="436"/>
        <v>2843.9567828802687</v>
      </c>
      <c r="BM141" s="150">
        <f t="shared" si="353"/>
        <v>0.83154399999999995</v>
      </c>
      <c r="BN141" s="150">
        <f t="shared" si="354"/>
        <v>0.1767031</v>
      </c>
      <c r="BO141" s="456"/>
      <c r="BQ141" s="144">
        <f t="shared" si="355"/>
        <v>1008.2470999999999</v>
      </c>
      <c r="BR141" s="456">
        <f t="shared" si="356"/>
        <v>0.12493725940675122</v>
      </c>
      <c r="BS141" s="456">
        <f t="shared" si="357"/>
        <v>8.7501137526988168E-2</v>
      </c>
      <c r="BT141" s="456">
        <f t="shared" si="358"/>
        <v>1.2591676729795753E-3</v>
      </c>
      <c r="BU141" s="456">
        <f t="shared" si="359"/>
        <v>14.157741756599076</v>
      </c>
      <c r="BV141" s="456"/>
      <c r="BW141" s="538">
        <f t="shared" si="360"/>
        <v>1.6502553191489362</v>
      </c>
      <c r="BX141" s="144">
        <f t="shared" si="361"/>
        <v>16021.694640354732</v>
      </c>
      <c r="BY141" s="150">
        <f t="shared" si="362"/>
        <v>19.873898523235003</v>
      </c>
      <c r="BZ141" s="5">
        <f t="shared" si="363"/>
        <v>38.781000000000006</v>
      </c>
      <c r="CA141" s="150">
        <f t="shared" si="364"/>
        <v>0.66117239951643014</v>
      </c>
      <c r="CB141" s="5">
        <f t="shared" si="365"/>
        <v>66.117239951643015</v>
      </c>
      <c r="CC141">
        <f t="shared" si="366"/>
        <v>31</v>
      </c>
      <c r="CE141" s="59">
        <f t="shared" si="367"/>
        <v>-50</v>
      </c>
      <c r="CF141">
        <f t="shared" si="368"/>
        <v>-50</v>
      </c>
      <c r="CG141" s="150">
        <f t="shared" si="369"/>
        <v>0.36632958987918607</v>
      </c>
      <c r="CH141" s="150">
        <f t="shared" si="370"/>
        <v>7.7322620062585529E-2</v>
      </c>
      <c r="CI141" s="147">
        <v>31</v>
      </c>
      <c r="CJ141" s="188">
        <f t="shared" si="437"/>
        <v>1.24</v>
      </c>
      <c r="CK141" s="188">
        <f t="shared" si="371"/>
        <v>0.26350000000000001</v>
      </c>
      <c r="CL141" s="188">
        <f t="shared" si="372"/>
        <v>37.200000000000003</v>
      </c>
      <c r="CM141" s="188">
        <f t="shared" si="373"/>
        <v>1.581</v>
      </c>
      <c r="CN141" s="465">
        <f t="shared" si="374"/>
        <v>20</v>
      </c>
      <c r="CO141" s="379">
        <f t="shared" si="375"/>
        <v>30.7</v>
      </c>
      <c r="CP141" s="379">
        <f t="shared" si="376"/>
        <v>50.7</v>
      </c>
      <c r="CQ141" s="379"/>
      <c r="CR141" s="188">
        <f t="shared" si="377"/>
        <v>0.60317460317460314</v>
      </c>
      <c r="CS141" s="149">
        <f t="shared" si="378"/>
        <v>175.32871249897633</v>
      </c>
      <c r="CT141" s="149">
        <f t="shared" si="379"/>
        <v>7.4514702812064924</v>
      </c>
      <c r="CU141" s="188">
        <f t="shared" si="380"/>
        <v>5.8442904166325444</v>
      </c>
      <c r="CV141" s="188">
        <f t="shared" si="381"/>
        <v>29.22145208316272</v>
      </c>
      <c r="CW141" s="188">
        <f t="shared" si="382"/>
        <v>30</v>
      </c>
      <c r="CX141" s="188">
        <f t="shared" si="383"/>
        <v>6.4294815789473692</v>
      </c>
      <c r="CY141" s="188">
        <f t="shared" si="384"/>
        <v>1.5109281710526317</v>
      </c>
      <c r="CZ141" s="188">
        <f t="shared" si="385"/>
        <v>0.98431802674438551</v>
      </c>
      <c r="DA141" s="172">
        <f t="shared" si="386"/>
        <v>350</v>
      </c>
      <c r="DB141" s="379">
        <f t="shared" si="387"/>
        <v>350</v>
      </c>
      <c r="DD141" s="188">
        <f t="shared" si="388"/>
        <v>7.3619779020761014</v>
      </c>
      <c r="DE141" s="150">
        <f t="shared" si="389"/>
        <v>1.1270780501549733</v>
      </c>
      <c r="DF141" s="150">
        <f t="shared" si="390"/>
        <v>1.3928696857096292</v>
      </c>
      <c r="DG141" s="150"/>
      <c r="DH141" s="150">
        <f t="shared" si="391"/>
        <v>0.92784522751949461</v>
      </c>
      <c r="DI141" s="314">
        <f t="shared" si="392"/>
        <v>459.76525755319147</v>
      </c>
      <c r="DJ141" s="456">
        <f t="shared" si="393"/>
        <v>0.94395997276890675</v>
      </c>
      <c r="DL141" s="150">
        <f t="shared" si="394"/>
        <v>6.866596826353204</v>
      </c>
      <c r="DM141" s="150">
        <f t="shared" si="395"/>
        <v>6.866596826353204</v>
      </c>
      <c r="DN141" s="150">
        <f t="shared" si="396"/>
        <v>1.797030196849736</v>
      </c>
      <c r="DP141" s="314">
        <f t="shared" si="397"/>
        <v>1240</v>
      </c>
      <c r="DQ141" s="144">
        <f t="shared" si="398"/>
        <v>350</v>
      </c>
      <c r="DS141" s="144">
        <f t="shared" si="399"/>
        <v>1240</v>
      </c>
      <c r="DT141" s="144">
        <f t="shared" si="400"/>
        <v>350</v>
      </c>
      <c r="DV141" s="5">
        <f t="shared" si="401"/>
        <v>2.8571428571428572</v>
      </c>
      <c r="DW141" s="5">
        <f t="shared" si="402"/>
        <v>1.6136502541930029</v>
      </c>
      <c r="DX141" s="5">
        <f t="shared" si="403"/>
        <v>1.2434926029498543</v>
      </c>
      <c r="DY141" s="150">
        <f t="shared" si="404"/>
        <v>0.56477758896755104</v>
      </c>
      <c r="EA141" s="5">
        <f t="shared" si="405"/>
        <v>6.6697543839977458</v>
      </c>
      <c r="EB141" s="5">
        <f t="shared" si="406"/>
        <v>7.0866140329976055</v>
      </c>
      <c r="EC141" s="5">
        <f t="shared" si="407"/>
        <v>1.3605272008745464</v>
      </c>
      <c r="ED141" s="5"/>
      <c r="EE141" s="150">
        <f t="shared" si="408"/>
        <v>2.9793371271856408</v>
      </c>
      <c r="EF141" s="150">
        <f t="shared" si="409"/>
        <v>2.5087678914379734</v>
      </c>
      <c r="EG141" s="150">
        <f t="shared" si="410"/>
        <v>0.50358690866979927</v>
      </c>
      <c r="EH141" s="150"/>
      <c r="EI141" s="456">
        <f t="shared" si="411"/>
        <v>0.10651739660912145</v>
      </c>
      <c r="EJ141" s="456">
        <f t="shared" si="412"/>
        <v>2.3151074529891145</v>
      </c>
      <c r="EK141" s="456">
        <f t="shared" si="413"/>
        <v>4.0250000000000001E-2</v>
      </c>
      <c r="EL141" s="456">
        <f t="shared" si="414"/>
        <v>0.46558000125000004</v>
      </c>
      <c r="EM141">
        <f t="shared" si="415"/>
        <v>8.9999999999999993E-3</v>
      </c>
      <c r="EN141" s="144">
        <f t="shared" si="416"/>
        <v>49.25</v>
      </c>
      <c r="EP141" s="144">
        <f t="shared" si="438"/>
        <v>2936.4548508482358</v>
      </c>
      <c r="EQ141" s="150">
        <f t="shared" si="417"/>
        <v>0.86799999999999999</v>
      </c>
      <c r="ER141" s="150">
        <f t="shared" si="418"/>
        <v>0.12621650000000001</v>
      </c>
      <c r="ES141" s="456"/>
      <c r="EU141" s="144">
        <f t="shared" si="419"/>
        <v>994.21650000000011</v>
      </c>
      <c r="EV141" s="456">
        <f t="shared" si="420"/>
        <v>0.12427029604397502</v>
      </c>
      <c r="EW141" s="456">
        <f t="shared" si="421"/>
        <v>8.8114828663541894E-2</v>
      </c>
      <c r="EX141" s="456">
        <f t="shared" si="422"/>
        <v>1.2679988729180239E-3</v>
      </c>
      <c r="EY141" s="456">
        <f t="shared" si="423"/>
        <v>14.157741756599076</v>
      </c>
      <c r="EZ141" s="456"/>
      <c r="FA141" s="538">
        <f t="shared" si="424"/>
        <v>1.6502553191489362</v>
      </c>
      <c r="FB141" s="144">
        <f t="shared" si="425"/>
        <v>16021.650199328447</v>
      </c>
      <c r="FC141" s="150">
        <f t="shared" si="426"/>
        <v>19.952321550176684</v>
      </c>
      <c r="FD141" s="5">
        <f t="shared" si="427"/>
        <v>38.781000000000006</v>
      </c>
      <c r="FE141" s="150">
        <f t="shared" si="428"/>
        <v>0.66028957628198948</v>
      </c>
      <c r="FF141" s="5">
        <f t="shared" si="429"/>
        <v>66.028957628198953</v>
      </c>
      <c r="FG141">
        <f t="shared" si="430"/>
        <v>31</v>
      </c>
      <c r="FI141" s="59">
        <f t="shared" si="431"/>
        <v>-50</v>
      </c>
      <c r="FJ141">
        <f t="shared" si="432"/>
        <v>-50</v>
      </c>
    </row>
    <row r="142" spans="5:166">
      <c r="E142" s="147">
        <v>32</v>
      </c>
      <c r="F142" s="188">
        <f t="shared" si="433"/>
        <v>1.28</v>
      </c>
      <c r="G142" s="188">
        <f t="shared" ref="G142:G173" si="443">IF(PLOT_TYPE=1, E142/100*Iout2, min_I*EXP(Q142*rr/100))</f>
        <v>0.27200000000000002</v>
      </c>
      <c r="H142" s="188">
        <f t="shared" ref="H142:H173" si="444">F142*Vout</f>
        <v>38.4</v>
      </c>
      <c r="I142" s="188">
        <f t="shared" ref="I142:I173" si="445">Vout2*G142</f>
        <v>1.6320000000000001</v>
      </c>
      <c r="J142" s="465">
        <f t="shared" ref="J142:J173" si="446">VIN_min-(F142/CG142/Nps+G142/CH142/(Nps/Nsec1sec2))*(Rdcr_pri+RON/1000)</f>
        <v>19.891523880476637</v>
      </c>
      <c r="K142" s="379">
        <f t="shared" ref="K142:K173" si="447">MAX((S142+Vfwd2+Rdcr_sec*F142/CG142)*Nps,(Vout2+Vfwd22+Rdcr_sec2*G142/CH142)*Nps/Nsec1sec2)</f>
        <v>30.781764205930951</v>
      </c>
      <c r="L142" s="149">
        <f t="shared" ref="L142:L173" si="448">MAX((Vout+Vfwd2+F142/CG142*Rdcr_sec)*Nps+J142, (Vout2+Vfwd22+G142/CH142*Rdcr_sec2)*Nps/Nsec1sec2+J142)</f>
        <v>50.673288086407588</v>
      </c>
      <c r="M142" s="379"/>
      <c r="N142" s="188">
        <f t="shared" ref="N142:N173" si="449">MAX((Vout+Vfwd2+F142/CG142*Rdcr_sec)*Nps/((Vout+Vfwd2+F142/CG142*Rdcr_sec)*Nps+J142), (Vout2+Vfwd22+G142/CH142*Rdcr_sec2)*Nps/Nsec1sec2/((Vout2+Vfwd22+G142/CH142*Rdcr_sec2)*Nps/Nsec1sec2+J142))</f>
        <v>0.60745543398411783</v>
      </c>
      <c r="O142" s="149">
        <f t="shared" ref="O142:O173" si="450">N142*J142*Isw_max*0.5*Efficiency*Pout/(Pout+Pout2)</f>
        <v>175.61535166659951</v>
      </c>
      <c r="P142" s="149">
        <f t="shared" ref="P142:P173" si="451">N142*J142*Isw_max*0.5*Efficiency*(Pout2/Pout_total)</f>
        <v>7.4636524458304789</v>
      </c>
      <c r="Q142" s="188">
        <f t="shared" si="321"/>
        <v>5.8538450555533172</v>
      </c>
      <c r="R142" s="188">
        <f t="shared" ref="R142:R173" si="452">O142/Vout2</f>
        <v>29.269225277766584</v>
      </c>
      <c r="S142" s="188">
        <f t="shared" ref="S142:S173" si="453">MIN(Vout,O142/F142)</f>
        <v>30</v>
      </c>
      <c r="T142" s="188">
        <f t="shared" ref="T142:T173" si="454">MIN(2*(Vout*F142+Vout2*G142)/(Efficiency*J142*N142), Isw_max)</f>
        <v>6.6260514960303265</v>
      </c>
      <c r="U142" s="188">
        <f t="shared" si="325"/>
        <v>1.5656136864359889</v>
      </c>
      <c r="V142" s="188">
        <f t="shared" si="326"/>
        <v>1.0117172564573829</v>
      </c>
      <c r="W142" s="172">
        <f t="shared" si="327"/>
        <v>350</v>
      </c>
      <c r="X142" s="379">
        <f t="shared" si="434"/>
        <v>350</v>
      </c>
      <c r="Z142" s="188">
        <f t="shared" si="328"/>
        <v>7.3454190099819936</v>
      </c>
      <c r="AA142" s="150">
        <f t="shared" si="329"/>
        <v>1.1215559029025204</v>
      </c>
      <c r="AB142" s="150">
        <f t="shared" ref="AB142:AB173" si="455">0.5*AA142*Z142*Nps*W142/1000*(Pout/(Pout+Pout2))</f>
        <v>1.382927730205368</v>
      </c>
      <c r="AC142" s="150"/>
      <c r="AD142" s="150">
        <f t="shared" si="331"/>
        <v>0.92538063427047157</v>
      </c>
      <c r="AE142" s="314">
        <f t="shared" ref="AE142:AE173" si="456">MAX(10, F142/(0.5*AD142/1000000*Isw_min*Nps)/1000*Pout_total/Pout)</f>
        <v>475.86040132248246</v>
      </c>
      <c r="AF142" s="456">
        <f t="shared" ref="AF142:AF173" si="457">0.5*AD142/1000000*Isw_min*Nps*W142*1000*(Pout/Pout_total)</f>
        <v>0.94145257465203125</v>
      </c>
      <c r="AH142" s="150">
        <f t="shared" ref="AH142:AH173" si="458">SQRT((H142+I142)/(0.5*L*Fsw_DCM))</f>
        <v>6.9764693520476948</v>
      </c>
      <c r="AI142" s="150">
        <f t="shared" ref="AI142:AI173" si="459">MAX(IF(F142&gt;AB142,T142,AH142),Isw_min)</f>
        <v>6.9764693520476948</v>
      </c>
      <c r="AJ142" s="150">
        <f t="shared" ref="AJ142:AJ173" si="460">IF(F142&gt;AF142, (AI142-Isw_min)/1.08*0.8+1.2, AE142*0.2/350+1)</f>
        <v>1.8784172529197289</v>
      </c>
      <c r="AL142" s="314">
        <f t="shared" ref="AL142:AL173" si="461">F142*1000</f>
        <v>1280</v>
      </c>
      <c r="AM142" s="144">
        <f t="shared" ref="AM142:AM173" si="462">IF(F142&gt;AF142, X142, AE142)</f>
        <v>350</v>
      </c>
      <c r="AO142" s="144">
        <f t="shared" si="339"/>
        <v>1280</v>
      </c>
      <c r="AP142" s="144">
        <f t="shared" si="340"/>
        <v>350</v>
      </c>
      <c r="AR142" s="5">
        <f t="shared" si="442"/>
        <v>2.8571428571428572</v>
      </c>
      <c r="AS142" s="5">
        <f t="shared" si="439"/>
        <v>1.6484109589414964</v>
      </c>
      <c r="AT142" s="5">
        <f t="shared" si="440"/>
        <v>1.2087318982013608</v>
      </c>
      <c r="AU142" s="150">
        <f t="shared" si="441"/>
        <v>0.57694383562952367</v>
      </c>
      <c r="AW142" s="5">
        <f t="shared" si="341"/>
        <v>7.0332200914837184</v>
      </c>
      <c r="AX142" s="5">
        <f t="shared" si="342"/>
        <v>7.4727963472014514</v>
      </c>
      <c r="AY142" s="5">
        <f t="shared" si="343"/>
        <v>1.3726007463347529</v>
      </c>
      <c r="AZ142" s="5"/>
      <c r="BA142" s="150">
        <f t="shared" si="344"/>
        <v>3.0594392363471017</v>
      </c>
      <c r="BB142" s="150">
        <f t="shared" si="345"/>
        <v>2.5130319693254899</v>
      </c>
      <c r="BC142" s="150">
        <f t="shared" si="346"/>
        <v>0.50444284030422037</v>
      </c>
      <c r="BD142" s="150"/>
      <c r="BE142" s="456">
        <f t="shared" si="347"/>
        <v>0.11232202129080165</v>
      </c>
      <c r="BF142" s="456">
        <f t="shared" ref="BF142:BF173" si="463">0.5*L142*AI142*AM142*1000*Tfall</f>
        <v>2.2581130963184806</v>
      </c>
      <c r="BG142" s="456">
        <f t="shared" si="349"/>
        <v>4.0250000000000001E-2</v>
      </c>
      <c r="BH142" s="456">
        <f t="shared" si="350"/>
        <v>0.46508953747902443</v>
      </c>
      <c r="BI142">
        <f t="shared" si="351"/>
        <v>8.9511857462144864E-3</v>
      </c>
      <c r="BJ142" s="144">
        <f t="shared" si="435"/>
        <v>49.201185746214485</v>
      </c>
      <c r="BK142">
        <f t="shared" ref="BK142:BK173" si="464">(BF142+BG142*0+BH142+BI142*0+BE142*(1+RdsonTC*(Ta-25)))/(1-BE142*RdsonTC*ThetaJA)</f>
        <v>2.944431748095357</v>
      </c>
      <c r="BL142" s="144">
        <f t="shared" si="436"/>
        <v>2884.725840834521</v>
      </c>
      <c r="BM142" s="150">
        <f t="shared" ref="BM142:BM173" si="465">Vfwd2*F142*(1+Diode_TC/1000*(Ta-25))</f>
        <v>0.85836799999999991</v>
      </c>
      <c r="BN142" s="150">
        <f t="shared" ref="BN142:BN173" si="466">Vfwd2*G142*(1+Diode_TC/1000*(Ta-25))</f>
        <v>0.18240320000000002</v>
      </c>
      <c r="BO142" s="456"/>
      <c r="BQ142" s="144">
        <f t="shared" si="355"/>
        <v>1040.7711999999999</v>
      </c>
      <c r="BR142" s="456">
        <f t="shared" si="356"/>
        <v>0.13104235817260193</v>
      </c>
      <c r="BS142" s="456">
        <f t="shared" si="357"/>
        <v>8.8414615503927305E-2</v>
      </c>
      <c r="BT142" s="456">
        <f t="shared" si="358"/>
        <v>1.2723128956709459E-3</v>
      </c>
      <c r="BU142" s="456">
        <f t="shared" si="359"/>
        <v>14.73090205599058</v>
      </c>
      <c r="BV142" s="456"/>
      <c r="BW142" s="538">
        <f t="shared" ref="BW142:BW173" si="467">0.5*Lleak*0.000000001*AI142^2*AM142*1000</f>
        <v>1.7034893617021274</v>
      </c>
      <c r="BX142" s="144">
        <f t="shared" si="361"/>
        <v>16655.120704264911</v>
      </c>
      <c r="BY142" s="150">
        <f t="shared" si="362"/>
        <v>20.580617745099431</v>
      </c>
      <c r="BZ142" s="5">
        <f t="shared" si="363"/>
        <v>40.031999999999996</v>
      </c>
      <c r="CA142" s="150">
        <f t="shared" si="364"/>
        <v>0.66045654336116533</v>
      </c>
      <c r="CB142" s="5">
        <f t="shared" si="365"/>
        <v>66.045654336116527</v>
      </c>
      <c r="CC142">
        <f t="shared" si="366"/>
        <v>32</v>
      </c>
      <c r="CE142" s="59">
        <f t="shared" ref="CE142:CE173" si="468">IF(ABS(F142-Ioutmax_Vinmin)&lt;Iout/200, AM142, -50)</f>
        <v>-50</v>
      </c>
      <c r="CF142">
        <f t="shared" ref="CF142:CF173" si="469">IF(ABS(F142-Ioutmax_Vinmin)&lt;Iout/200, (O142+P142)*CA142, -50)</f>
        <v>-50</v>
      </c>
      <c r="CG142" s="150">
        <f t="shared" si="369"/>
        <v>0.37219123550867461</v>
      </c>
      <c r="CH142" s="150">
        <f t="shared" ref="CH142:CH173" si="470">MIN(SQRT(2*DT142*1000*Ls2_*(CM142+CK142*Vfwd22))/(Vout2+Vfwd22), 1-DY142)</f>
        <v>7.8559860543486723E-2</v>
      </c>
      <c r="CI142" s="147">
        <v>32</v>
      </c>
      <c r="CJ142" s="188">
        <f t="shared" si="437"/>
        <v>1.28</v>
      </c>
      <c r="CK142" s="188">
        <f t="shared" si="371"/>
        <v>0.27200000000000002</v>
      </c>
      <c r="CL142" s="188">
        <f t="shared" si="372"/>
        <v>38.4</v>
      </c>
      <c r="CM142" s="188">
        <f t="shared" si="373"/>
        <v>1.6320000000000001</v>
      </c>
      <c r="CN142" s="465">
        <f t="shared" si="374"/>
        <v>20</v>
      </c>
      <c r="CO142" s="379">
        <f t="shared" ref="CO142:CO173" si="471">(CW142+Vfwd2)*Nps</f>
        <v>30.7</v>
      </c>
      <c r="CP142" s="379">
        <f t="shared" ref="CP142:CP173" si="472">(Vout+Vfwd2)*Nps+CN142</f>
        <v>50.7</v>
      </c>
      <c r="CQ142" s="379"/>
      <c r="CR142" s="188">
        <f t="shared" si="377"/>
        <v>0.60317460317460314</v>
      </c>
      <c r="CS142" s="149">
        <f t="shared" si="378"/>
        <v>175.32871249897633</v>
      </c>
      <c r="CT142" s="149">
        <f t="shared" si="379"/>
        <v>7.4514702812064924</v>
      </c>
      <c r="CU142" s="188">
        <f t="shared" si="380"/>
        <v>5.8442904166325444</v>
      </c>
      <c r="CV142" s="188">
        <f t="shared" si="381"/>
        <v>29.22145208316272</v>
      </c>
      <c r="CW142" s="188">
        <f t="shared" si="382"/>
        <v>30</v>
      </c>
      <c r="CX142" s="188">
        <f t="shared" si="383"/>
        <v>6.6368842105263157</v>
      </c>
      <c r="CY142" s="188">
        <f t="shared" si="384"/>
        <v>1.5596677894736843</v>
      </c>
      <c r="CZ142" s="188">
        <f t="shared" si="385"/>
        <v>1.0160702211554946</v>
      </c>
      <c r="DA142" s="172">
        <f t="shared" si="386"/>
        <v>350</v>
      </c>
      <c r="DB142" s="379">
        <f t="shared" si="387"/>
        <v>350</v>
      </c>
      <c r="DD142" s="188">
        <f t="shared" si="388"/>
        <v>7.3619779020761014</v>
      </c>
      <c r="DE142" s="150">
        <f t="shared" si="389"/>
        <v>1.1270780501549733</v>
      </c>
      <c r="DF142" s="150">
        <f t="shared" si="390"/>
        <v>1.3928696857096292</v>
      </c>
      <c r="DG142" s="150"/>
      <c r="DH142" s="150">
        <f t="shared" si="391"/>
        <v>0.92784522751949461</v>
      </c>
      <c r="DI142" s="314">
        <f t="shared" si="392"/>
        <v>474.59639489361706</v>
      </c>
      <c r="DJ142" s="456">
        <f t="shared" si="393"/>
        <v>0.94395997276890675</v>
      </c>
      <c r="DL142" s="150">
        <f t="shared" si="394"/>
        <v>6.9764693520476948</v>
      </c>
      <c r="DM142" s="150">
        <f t="shared" si="395"/>
        <v>6.9764693520476948</v>
      </c>
      <c r="DN142" s="150">
        <f t="shared" si="396"/>
        <v>1.8784172529197289</v>
      </c>
      <c r="DP142" s="314">
        <f t="shared" si="397"/>
        <v>1280</v>
      </c>
      <c r="DQ142" s="144">
        <f t="shared" si="398"/>
        <v>350</v>
      </c>
      <c r="DS142" s="144">
        <f t="shared" si="399"/>
        <v>1280</v>
      </c>
      <c r="DT142" s="144">
        <f t="shared" si="400"/>
        <v>350</v>
      </c>
      <c r="DV142" s="5">
        <f t="shared" si="401"/>
        <v>2.8571428571428572</v>
      </c>
      <c r="DW142" s="5">
        <f t="shared" si="402"/>
        <v>1.6394702977312083</v>
      </c>
      <c r="DX142" s="5">
        <f t="shared" si="403"/>
        <v>1.2176725594116489</v>
      </c>
      <c r="DY142" s="150">
        <f t="shared" si="404"/>
        <v>0.5738146042059229</v>
      </c>
      <c r="EA142" s="5">
        <f t="shared" si="405"/>
        <v>6.9950732703198222</v>
      </c>
      <c r="EB142" s="5">
        <f t="shared" si="406"/>
        <v>7.432265349714811</v>
      </c>
      <c r="EC142" s="5">
        <f t="shared" si="407"/>
        <v>1.3752537141590386</v>
      </c>
      <c r="ED142" s="5"/>
      <c r="EE142" s="150">
        <f t="shared" si="408"/>
        <v>3.0511310531297147</v>
      </c>
      <c r="EF142" s="150">
        <f t="shared" si="409"/>
        <v>2.5223089532051359</v>
      </c>
      <c r="EG142" s="150">
        <f t="shared" si="410"/>
        <v>0.50630501641452319</v>
      </c>
      <c r="EH142" s="150"/>
      <c r="EI142" s="456">
        <f t="shared" si="411"/>
        <v>0.1117128084404693</v>
      </c>
      <c r="EJ142" s="456">
        <f t="shared" si="412"/>
        <v>2.3521515243896407</v>
      </c>
      <c r="EK142" s="456">
        <f t="shared" si="413"/>
        <v>4.0250000000000001E-2</v>
      </c>
      <c r="EL142" s="456">
        <f t="shared" si="414"/>
        <v>0.46558000125000004</v>
      </c>
      <c r="EM142">
        <f t="shared" si="415"/>
        <v>8.9999999999999993E-3</v>
      </c>
      <c r="EN142" s="144">
        <f t="shared" si="416"/>
        <v>49.25</v>
      </c>
      <c r="EP142" s="144">
        <f t="shared" si="438"/>
        <v>2978.6943340801104</v>
      </c>
      <c r="EQ142" s="150">
        <f t="shared" si="417"/>
        <v>0.89599999999999991</v>
      </c>
      <c r="ER142" s="150">
        <f t="shared" ref="ER142:ER173" si="473">Vfwd22*CK142*(1+Diode_TC/1000*(Ta-25))</f>
        <v>0.13028800000000001</v>
      </c>
      <c r="ES142" s="456"/>
      <c r="EU142" s="144">
        <f t="shared" si="419"/>
        <v>1026.2879999999998</v>
      </c>
      <c r="EV142" s="456">
        <f t="shared" si="420"/>
        <v>0.13033160984721417</v>
      </c>
      <c r="EW142" s="456">
        <f t="shared" si="421"/>
        <v>8.906859437586305E-2</v>
      </c>
      <c r="EX142" s="456">
        <f t="shared" si="422"/>
        <v>1.281723848232553E-3</v>
      </c>
      <c r="EY142" s="456">
        <f t="shared" si="423"/>
        <v>14.73090205599058</v>
      </c>
      <c r="EZ142" s="456"/>
      <c r="FA142" s="538">
        <f t="shared" si="424"/>
        <v>1.7034893617021274</v>
      </c>
      <c r="FB142" s="144">
        <f t="shared" si="425"/>
        <v>16655.073345764016</v>
      </c>
      <c r="FC142" s="150">
        <f t="shared" si="426"/>
        <v>20.660055679844131</v>
      </c>
      <c r="FD142" s="5">
        <f t="shared" si="427"/>
        <v>40.031999999999996</v>
      </c>
      <c r="FE142" s="150">
        <f t="shared" si="428"/>
        <v>0.65959209243417749</v>
      </c>
      <c r="FF142" s="5">
        <f t="shared" si="429"/>
        <v>65.959209243417746</v>
      </c>
      <c r="FG142">
        <f t="shared" si="430"/>
        <v>32</v>
      </c>
      <c r="FI142" s="59">
        <f t="shared" si="431"/>
        <v>-50</v>
      </c>
      <c r="FJ142">
        <f t="shared" si="432"/>
        <v>-50</v>
      </c>
    </row>
    <row r="143" spans="5:166">
      <c r="E143" s="147">
        <v>33</v>
      </c>
      <c r="F143" s="188">
        <f t="shared" ref="F143:F174" si="474">IF(PLOT_TYPE=1, E143/100*Iout_max, min_I*EXP(O143*rr/100))</f>
        <v>1.32</v>
      </c>
      <c r="G143" s="188">
        <f t="shared" si="443"/>
        <v>0.28050000000000003</v>
      </c>
      <c r="H143" s="188">
        <f t="shared" si="444"/>
        <v>39.6</v>
      </c>
      <c r="I143" s="188">
        <f t="shared" si="445"/>
        <v>1.6830000000000003</v>
      </c>
      <c r="J143" s="465">
        <f t="shared" si="446"/>
        <v>19.88984197987579</v>
      </c>
      <c r="K143" s="379">
        <f t="shared" si="447"/>
        <v>30.783031943638452</v>
      </c>
      <c r="L143" s="149">
        <f t="shared" si="448"/>
        <v>50.672873923514246</v>
      </c>
      <c r="M143" s="379"/>
      <c r="N143" s="188">
        <f t="shared" si="449"/>
        <v>0.60748541695311054</v>
      </c>
      <c r="O143" s="149">
        <f t="shared" si="450"/>
        <v>175.60917009339914</v>
      </c>
      <c r="P143" s="149">
        <f t="shared" si="451"/>
        <v>7.463389728969462</v>
      </c>
      <c r="Q143" s="188">
        <f t="shared" si="321"/>
        <v>5.8536390031133045</v>
      </c>
      <c r="R143" s="188">
        <f t="shared" si="452"/>
        <v>29.268195015566523</v>
      </c>
      <c r="S143" s="188">
        <f t="shared" si="453"/>
        <v>30</v>
      </c>
      <c r="T143" s="188">
        <f t="shared" si="454"/>
        <v>6.8333561360250759</v>
      </c>
      <c r="U143" s="188">
        <f t="shared" si="325"/>
        <v>1.6147324786095874</v>
      </c>
      <c r="V143" s="188">
        <f t="shared" si="326"/>
        <v>1.0433271777166522</v>
      </c>
      <c r="W143" s="172">
        <f t="shared" si="327"/>
        <v>350</v>
      </c>
      <c r="X143" s="379">
        <f t="shared" si="434"/>
        <v>349.88772812580254</v>
      </c>
      <c r="Z143" s="188">
        <f t="shared" si="328"/>
        <v>7.3451604548792249</v>
      </c>
      <c r="AA143" s="150">
        <f t="shared" si="329"/>
        <v>1.121470237276827</v>
      </c>
      <c r="AB143" s="150">
        <f t="shared" si="455"/>
        <v>1.3827734260716644</v>
      </c>
      <c r="AC143" s="150"/>
      <c r="AD143" s="150">
        <f t="shared" si="331"/>
        <v>0.92534252431671504</v>
      </c>
      <c r="AE143" s="314">
        <f t="shared" si="456"/>
        <v>490.75124947415861</v>
      </c>
      <c r="AF143" s="456">
        <f t="shared" si="457"/>
        <v>0.94141380280750031</v>
      </c>
      <c r="AH143" s="150">
        <f t="shared" si="458"/>
        <v>7.0846381181001536</v>
      </c>
      <c r="AI143" s="150">
        <f t="shared" si="459"/>
        <v>7.0846381181001536</v>
      </c>
      <c r="AJ143" s="150">
        <f t="shared" si="460"/>
        <v>1.9585422648104394</v>
      </c>
      <c r="AL143" s="314">
        <f t="shared" si="461"/>
        <v>1320</v>
      </c>
      <c r="AM143" s="144">
        <f t="shared" si="462"/>
        <v>349.88772812580254</v>
      </c>
      <c r="AO143" s="144">
        <f t="shared" si="339"/>
        <v>1320</v>
      </c>
      <c r="AP143" s="144">
        <f t="shared" si="340"/>
        <v>349.88772812580254</v>
      </c>
      <c r="AR143" s="5">
        <f t="shared" si="442"/>
        <v>2.8580596563262399</v>
      </c>
      <c r="AS143" s="5">
        <f t="shared" si="439"/>
        <v>1.6741107942818689</v>
      </c>
      <c r="AT143" s="5">
        <f t="shared" si="440"/>
        <v>1.183948862044371</v>
      </c>
      <c r="AU143" s="150">
        <f t="shared" si="441"/>
        <v>0.58575082244216581</v>
      </c>
      <c r="AW143" s="5">
        <f t="shared" si="341"/>
        <v>7.3660874948402233</v>
      </c>
      <c r="AX143" s="5">
        <f t="shared" si="342"/>
        <v>7.8264679632677385</v>
      </c>
      <c r="AY143" s="5">
        <f t="shared" si="343"/>
        <v>1.3865894011861437</v>
      </c>
      <c r="AZ143" s="5"/>
      <c r="BA143" s="150">
        <f t="shared" si="344"/>
        <v>3.1304984828160913</v>
      </c>
      <c r="BB143" s="150">
        <f t="shared" si="345"/>
        <v>2.5252931919120232</v>
      </c>
      <c r="BC143" s="150">
        <f t="shared" si="346"/>
        <v>0.50690404494572494</v>
      </c>
      <c r="BD143" s="150"/>
      <c r="BE143" s="456">
        <f t="shared" si="347"/>
        <v>0.1176002490109662</v>
      </c>
      <c r="BF143" s="456">
        <f t="shared" si="463"/>
        <v>2.2923703722474058</v>
      </c>
      <c r="BG143" s="456">
        <f t="shared" si="349"/>
        <v>4.0237088734467297E-2</v>
      </c>
      <c r="BH143" s="456">
        <f t="shared" si="350"/>
        <v>0.4649327474838062</v>
      </c>
      <c r="BI143">
        <f t="shared" si="351"/>
        <v>8.9504288909441048E-3</v>
      </c>
      <c r="BJ143" s="144">
        <f t="shared" si="435"/>
        <v>49.187517625411402</v>
      </c>
      <c r="BK143">
        <f t="shared" si="464"/>
        <v>2.9902072666867867</v>
      </c>
      <c r="BL143" s="144">
        <f t="shared" si="436"/>
        <v>2924.0908863675891</v>
      </c>
      <c r="BM143" s="150">
        <f t="shared" si="465"/>
        <v>0.88519199999999987</v>
      </c>
      <c r="BN143" s="150">
        <f t="shared" si="466"/>
        <v>0.1881033</v>
      </c>
      <c r="BO143" s="456"/>
      <c r="BQ143" s="144">
        <f t="shared" si="355"/>
        <v>1073.2952999999998</v>
      </c>
      <c r="BR143" s="456">
        <f t="shared" si="356"/>
        <v>0.13720029051279389</v>
      </c>
      <c r="BS143" s="456">
        <f t="shared" si="357"/>
        <v>8.9279479871641004E-2</v>
      </c>
      <c r="BT143" s="456">
        <f t="shared" si="358"/>
        <v>1.2847585539116876E-3</v>
      </c>
      <c r="BU143" s="456">
        <f t="shared" si="359"/>
        <v>15.29628472836591</v>
      </c>
      <c r="BV143" s="456"/>
      <c r="BW143" s="538">
        <f t="shared" si="467"/>
        <v>1.7561598881723413</v>
      </c>
      <c r="BX143" s="144">
        <f t="shared" si="361"/>
        <v>17280.209145476598</v>
      </c>
      <c r="BY143" s="150">
        <f t="shared" si="362"/>
        <v>21.277595331844186</v>
      </c>
      <c r="BZ143" s="5">
        <f t="shared" si="363"/>
        <v>41.283000000000001</v>
      </c>
      <c r="CA143" s="150">
        <f t="shared" si="364"/>
        <v>0.65988822166764771</v>
      </c>
      <c r="CB143" s="5">
        <f t="shared" si="365"/>
        <v>65.988822166764777</v>
      </c>
      <c r="CC143">
        <f t="shared" si="366"/>
        <v>33</v>
      </c>
      <c r="CE143" s="59">
        <f t="shared" si="468"/>
        <v>-50</v>
      </c>
      <c r="CF143">
        <f t="shared" si="469"/>
        <v>-50</v>
      </c>
      <c r="CG143" s="150">
        <f t="shared" si="369"/>
        <v>0.37796198639267248</v>
      </c>
      <c r="CH143" s="150">
        <f t="shared" si="470"/>
        <v>7.9777915514766429E-2</v>
      </c>
      <c r="CI143" s="147">
        <v>33</v>
      </c>
      <c r="CJ143" s="188">
        <f t="shared" si="437"/>
        <v>1.32</v>
      </c>
      <c r="CK143" s="188">
        <f t="shared" si="371"/>
        <v>0.28050000000000003</v>
      </c>
      <c r="CL143" s="188">
        <f t="shared" si="372"/>
        <v>39.6</v>
      </c>
      <c r="CM143" s="188">
        <f t="shared" si="373"/>
        <v>1.6830000000000003</v>
      </c>
      <c r="CN143" s="465">
        <f t="shared" si="374"/>
        <v>20</v>
      </c>
      <c r="CO143" s="379">
        <f t="shared" si="471"/>
        <v>30.7</v>
      </c>
      <c r="CP143" s="379">
        <f t="shared" si="472"/>
        <v>50.7</v>
      </c>
      <c r="CQ143" s="379"/>
      <c r="CR143" s="188">
        <f t="shared" si="377"/>
        <v>0.60317460317460314</v>
      </c>
      <c r="CS143" s="149">
        <f t="shared" si="378"/>
        <v>175.32871249897633</v>
      </c>
      <c r="CT143" s="149">
        <f t="shared" si="379"/>
        <v>7.4514702812064924</v>
      </c>
      <c r="CU143" s="188">
        <f t="shared" si="380"/>
        <v>5.8442904166325444</v>
      </c>
      <c r="CV143" s="188">
        <f t="shared" si="381"/>
        <v>29.22145208316272</v>
      </c>
      <c r="CW143" s="188">
        <f t="shared" si="382"/>
        <v>30</v>
      </c>
      <c r="CX143" s="188">
        <f t="shared" si="383"/>
        <v>6.8442868421052632</v>
      </c>
      <c r="CY143" s="188">
        <f t="shared" si="384"/>
        <v>1.6084074078947366</v>
      </c>
      <c r="CZ143" s="188">
        <f t="shared" si="385"/>
        <v>1.0478224155666036</v>
      </c>
      <c r="DA143" s="172">
        <f t="shared" si="386"/>
        <v>350</v>
      </c>
      <c r="DB143" s="379">
        <f t="shared" si="387"/>
        <v>350</v>
      </c>
      <c r="DD143" s="188">
        <f t="shared" si="388"/>
        <v>7.3619779020761014</v>
      </c>
      <c r="DE143" s="150">
        <f t="shared" si="389"/>
        <v>1.1270780501549733</v>
      </c>
      <c r="DF143" s="150">
        <f t="shared" si="390"/>
        <v>1.3928696857096292</v>
      </c>
      <c r="DG143" s="150"/>
      <c r="DH143" s="150">
        <f t="shared" si="391"/>
        <v>0.92784522751949461</v>
      </c>
      <c r="DI143" s="314">
        <f t="shared" si="392"/>
        <v>489.42753223404264</v>
      </c>
      <c r="DJ143" s="456">
        <f t="shared" si="393"/>
        <v>0.94395997276890675</v>
      </c>
      <c r="DL143" s="150">
        <f t="shared" si="394"/>
        <v>7.0846381181001536</v>
      </c>
      <c r="DM143" s="150">
        <f t="shared" si="395"/>
        <v>7.0846381181001536</v>
      </c>
      <c r="DN143" s="150">
        <f t="shared" si="396"/>
        <v>1.9585422648104394</v>
      </c>
      <c r="DP143" s="314">
        <f t="shared" si="397"/>
        <v>1320</v>
      </c>
      <c r="DQ143" s="144">
        <f t="shared" si="398"/>
        <v>350</v>
      </c>
      <c r="DS143" s="144">
        <f t="shared" si="399"/>
        <v>1320</v>
      </c>
      <c r="DT143" s="144">
        <f t="shared" si="400"/>
        <v>350</v>
      </c>
      <c r="DV143" s="5">
        <f t="shared" si="401"/>
        <v>2.8571428571428572</v>
      </c>
      <c r="DW143" s="5">
        <f t="shared" si="402"/>
        <v>1.6648899577535361</v>
      </c>
      <c r="DX143" s="5">
        <f t="shared" si="403"/>
        <v>1.1922528993893211</v>
      </c>
      <c r="DY143" s="150">
        <f t="shared" si="404"/>
        <v>0.58271148521373761</v>
      </c>
      <c r="EA143" s="5">
        <f t="shared" si="405"/>
        <v>7.3255158141155592</v>
      </c>
      <c r="EB143" s="5">
        <f t="shared" si="406"/>
        <v>7.7833605524977827</v>
      </c>
      <c r="EC143" s="5">
        <f t="shared" si="407"/>
        <v>1.3886239651710917</v>
      </c>
      <c r="ED143" s="5"/>
      <c r="EE143" s="150">
        <f t="shared" si="408"/>
        <v>3.1223661723631357</v>
      </c>
      <c r="EF143" s="150">
        <f t="shared" si="409"/>
        <v>2.5345402721838162</v>
      </c>
      <c r="EG143" s="150">
        <f t="shared" si="410"/>
        <v>0.50876021848182063</v>
      </c>
      <c r="EH143" s="150"/>
      <c r="EI143" s="456">
        <f t="shared" si="411"/>
        <v>0.11699004617181143</v>
      </c>
      <c r="EJ143" s="456">
        <f t="shared" si="412"/>
        <v>2.388621164708058</v>
      </c>
      <c r="EK143" s="456">
        <f t="shared" si="413"/>
        <v>4.0250000000000001E-2</v>
      </c>
      <c r="EL143" s="456">
        <f t="shared" si="414"/>
        <v>0.46558000125000004</v>
      </c>
      <c r="EM143">
        <f t="shared" si="415"/>
        <v>8.9999999999999993E-3</v>
      </c>
      <c r="EN143" s="144">
        <f t="shared" si="416"/>
        <v>49.25</v>
      </c>
      <c r="EP143" s="144">
        <f t="shared" si="438"/>
        <v>3020.4412121298697</v>
      </c>
      <c r="EQ143" s="150">
        <f t="shared" si="417"/>
        <v>0.92399999999999993</v>
      </c>
      <c r="ER143" s="150">
        <f t="shared" si="473"/>
        <v>0.13435950000000002</v>
      </c>
      <c r="ES143" s="456"/>
      <c r="EU143" s="144">
        <f t="shared" si="419"/>
        <v>1058.3594999999998</v>
      </c>
      <c r="EV143" s="456">
        <f t="shared" si="420"/>
        <v>0.13648838720044668</v>
      </c>
      <c r="EW143" s="456">
        <f t="shared" si="421"/>
        <v>8.9934521478502588E-2</v>
      </c>
      <c r="EX143" s="456">
        <f t="shared" si="422"/>
        <v>1.2941847995483495E-3</v>
      </c>
      <c r="EY143" s="456">
        <f t="shared" si="423"/>
        <v>15.308558350259574</v>
      </c>
      <c r="EZ143" s="456"/>
      <c r="FA143" s="538">
        <f t="shared" si="424"/>
        <v>1.7567234042553193</v>
      </c>
      <c r="FB143" s="144">
        <f t="shared" si="425"/>
        <v>17292.998847993393</v>
      </c>
      <c r="FC143" s="150">
        <f t="shared" si="426"/>
        <v>21.371799560123261</v>
      </c>
      <c r="FD143" s="5">
        <f t="shared" si="427"/>
        <v>41.283000000000001</v>
      </c>
      <c r="FE143" s="150">
        <f t="shared" si="428"/>
        <v>0.65889605089846337</v>
      </c>
      <c r="FF143" s="5">
        <f t="shared" si="429"/>
        <v>65.889605089846341</v>
      </c>
      <c r="FG143">
        <f t="shared" si="430"/>
        <v>33</v>
      </c>
      <c r="FI143" s="59">
        <f t="shared" si="431"/>
        <v>-50</v>
      </c>
      <c r="FJ143">
        <f t="shared" si="432"/>
        <v>-50</v>
      </c>
    </row>
    <row r="144" spans="5:166">
      <c r="E144" s="147">
        <v>34</v>
      </c>
      <c r="F144" s="188">
        <f t="shared" si="474"/>
        <v>1.36</v>
      </c>
      <c r="G144" s="188">
        <f t="shared" si="443"/>
        <v>0.28900000000000003</v>
      </c>
      <c r="H144" s="188">
        <f t="shared" si="444"/>
        <v>40.800000000000004</v>
      </c>
      <c r="I144" s="188">
        <f t="shared" si="445"/>
        <v>1.7340000000000002</v>
      </c>
      <c r="J144" s="465">
        <f t="shared" si="446"/>
        <v>19.888185375337009</v>
      </c>
      <c r="K144" s="379">
        <f t="shared" si="447"/>
        <v>30.784280614362018</v>
      </c>
      <c r="L144" s="149">
        <f t="shared" si="448"/>
        <v>50.672465989699027</v>
      </c>
      <c r="M144" s="379"/>
      <c r="N144" s="188">
        <f t="shared" si="449"/>
        <v>0.60751494945243067</v>
      </c>
      <c r="O144" s="149">
        <f t="shared" si="450"/>
        <v>175.6030801976373</v>
      </c>
      <c r="P144" s="149">
        <f t="shared" si="451"/>
        <v>7.4631309083995845</v>
      </c>
      <c r="Q144" s="188">
        <f t="shared" si="321"/>
        <v>5.8534360065879101</v>
      </c>
      <c r="R144" s="188">
        <f t="shared" si="452"/>
        <v>29.26718003293955</v>
      </c>
      <c r="S144" s="188">
        <f t="shared" si="453"/>
        <v>30</v>
      </c>
      <c r="T144" s="188">
        <f t="shared" si="454"/>
        <v>7.0406716953491779</v>
      </c>
      <c r="U144" s="188">
        <f t="shared" si="325"/>
        <v>1.6638600427154555</v>
      </c>
      <c r="V144" s="188">
        <f t="shared" si="326"/>
        <v>1.0749368283988054</v>
      </c>
      <c r="W144" s="172">
        <f t="shared" si="327"/>
        <v>350</v>
      </c>
      <c r="X144" s="379">
        <f t="shared" si="434"/>
        <v>340.27530443805205</v>
      </c>
      <c r="Z144" s="188">
        <f t="shared" si="328"/>
        <v>7.344905734345553</v>
      </c>
      <c r="AA144" s="150">
        <f t="shared" si="329"/>
        <v>1.1213858587073409</v>
      </c>
      <c r="AB144" s="150">
        <f t="shared" si="455"/>
        <v>1.3826214380871684</v>
      </c>
      <c r="AC144" s="150"/>
      <c r="AD144" s="150">
        <f t="shared" si="331"/>
        <v>0.92530499061131988</v>
      </c>
      <c r="AE144" s="314">
        <f t="shared" si="456"/>
        <v>505.64300932916223</v>
      </c>
      <c r="AF144" s="456">
        <f t="shared" si="457"/>
        <v>0.94137561721956808</v>
      </c>
      <c r="AH144" s="150">
        <f t="shared" si="458"/>
        <v>7.1911800080942623</v>
      </c>
      <c r="AI144" s="150">
        <f t="shared" si="459"/>
        <v>7.1911800080942623</v>
      </c>
      <c r="AJ144" s="150">
        <f t="shared" si="460"/>
        <v>2.0374621833245938</v>
      </c>
      <c r="AL144" s="314">
        <f t="shared" si="461"/>
        <v>1360</v>
      </c>
      <c r="AM144" s="144">
        <f t="shared" si="462"/>
        <v>340.27530443805205</v>
      </c>
      <c r="AO144" s="144">
        <f t="shared" si="339"/>
        <v>1360</v>
      </c>
      <c r="AP144" s="144">
        <f t="shared" si="340"/>
        <v>340.27530443805205</v>
      </c>
      <c r="AR144" s="5">
        <f t="shared" si="442"/>
        <v>2.9387968711142611</v>
      </c>
      <c r="AS144" s="5">
        <f t="shared" si="439"/>
        <v>1.6994283490516946</v>
      </c>
      <c r="AT144" s="5">
        <f t="shared" si="440"/>
        <v>1.2393685220625665</v>
      </c>
      <c r="AU144" s="150">
        <f t="shared" si="441"/>
        <v>0.57827349884422152</v>
      </c>
      <c r="AW144" s="5">
        <f t="shared" si="341"/>
        <v>7.7040751823676823</v>
      </c>
      <c r="AX144" s="5">
        <f t="shared" si="342"/>
        <v>8.1855798812656637</v>
      </c>
      <c r="AY144" s="5">
        <f t="shared" si="343"/>
        <v>1.4956037450449178</v>
      </c>
      <c r="AZ144" s="5"/>
      <c r="BA144" s="150">
        <f t="shared" si="344"/>
        <v>3.1572296860880025</v>
      </c>
      <c r="BB144" s="150">
        <f t="shared" si="345"/>
        <v>2.5863000931181763</v>
      </c>
      <c r="BC144" s="150">
        <f t="shared" si="346"/>
        <v>0.51915000715322157</v>
      </c>
      <c r="BD144" s="150"/>
      <c r="BE144" s="456">
        <f t="shared" si="347"/>
        <v>0.11961719148858417</v>
      </c>
      <c r="BF144" s="456">
        <f t="shared" si="463"/>
        <v>2.2629007164153911</v>
      </c>
      <c r="BG144" s="456">
        <f t="shared" si="349"/>
        <v>3.913166001037599E-2</v>
      </c>
      <c r="BH144" s="456">
        <f t="shared" si="350"/>
        <v>0.45215242569679115</v>
      </c>
      <c r="BI144">
        <f t="shared" si="351"/>
        <v>8.9496834189016546E-3</v>
      </c>
      <c r="BJ144" s="144">
        <f t="shared" si="435"/>
        <v>48.081343429277645</v>
      </c>
      <c r="BK144">
        <f t="shared" si="464"/>
        <v>2.9508327240482588</v>
      </c>
      <c r="BL144" s="144">
        <f t="shared" si="436"/>
        <v>2882.751677030044</v>
      </c>
      <c r="BM144" s="150">
        <f t="shared" si="465"/>
        <v>0.91201599999999994</v>
      </c>
      <c r="BN144" s="150">
        <f t="shared" si="466"/>
        <v>0.19380339999999999</v>
      </c>
      <c r="BO144" s="456"/>
      <c r="BQ144" s="144">
        <f t="shared" si="355"/>
        <v>1105.8193999999999</v>
      </c>
      <c r="BR144" s="456">
        <f t="shared" si="356"/>
        <v>0.13955339007001485</v>
      </c>
      <c r="BS144" s="456">
        <f t="shared" si="357"/>
        <v>9.3645274403283227E-2</v>
      </c>
      <c r="BT144" s="456">
        <f t="shared" si="358"/>
        <v>1.3475836496359501E-3</v>
      </c>
      <c r="BU144" s="456">
        <f t="shared" si="359"/>
        <v>14.809707549918087</v>
      </c>
      <c r="BV144" s="456"/>
      <c r="BW144" s="538">
        <f t="shared" si="467"/>
        <v>1.7596680606648156</v>
      </c>
      <c r="BX144" s="144">
        <f t="shared" si="361"/>
        <v>16803.921858705839</v>
      </c>
      <c r="BY144" s="150">
        <f t="shared" si="362"/>
        <v>20.792492935735879</v>
      </c>
      <c r="BZ144" s="5">
        <f t="shared" si="363"/>
        <v>42.534000000000006</v>
      </c>
      <c r="CA144" s="150">
        <f t="shared" si="364"/>
        <v>0.67166201739868603</v>
      </c>
      <c r="CB144" s="5">
        <f t="shared" si="365"/>
        <v>67.166201739868598</v>
      </c>
      <c r="CC144">
        <f t="shared" si="366"/>
        <v>34</v>
      </c>
      <c r="CE144" s="59">
        <f t="shared" si="468"/>
        <v>-50</v>
      </c>
      <c r="CF144">
        <f t="shared" si="469"/>
        <v>-50</v>
      </c>
      <c r="CG144" s="150">
        <f t="shared" si="369"/>
        <v>0.38364594423285098</v>
      </c>
      <c r="CH144" s="150">
        <f t="shared" si="470"/>
        <v>8.0977650738647253E-2</v>
      </c>
      <c r="CI144" s="147">
        <v>34</v>
      </c>
      <c r="CJ144" s="188">
        <f t="shared" si="437"/>
        <v>1.36</v>
      </c>
      <c r="CK144" s="188">
        <f t="shared" si="371"/>
        <v>0.28900000000000003</v>
      </c>
      <c r="CL144" s="188">
        <f t="shared" si="372"/>
        <v>40.800000000000004</v>
      </c>
      <c r="CM144" s="188">
        <f t="shared" si="373"/>
        <v>1.7340000000000002</v>
      </c>
      <c r="CN144" s="465">
        <f t="shared" si="374"/>
        <v>20</v>
      </c>
      <c r="CO144" s="379">
        <f t="shared" si="471"/>
        <v>30.7</v>
      </c>
      <c r="CP144" s="379">
        <f t="shared" si="472"/>
        <v>50.7</v>
      </c>
      <c r="CQ144" s="379"/>
      <c r="CR144" s="188">
        <f t="shared" si="377"/>
        <v>0.60317460317460314</v>
      </c>
      <c r="CS144" s="149">
        <f t="shared" si="378"/>
        <v>175.32871249897633</v>
      </c>
      <c r="CT144" s="149">
        <f t="shared" si="379"/>
        <v>7.4514702812064924</v>
      </c>
      <c r="CU144" s="188">
        <f t="shared" si="380"/>
        <v>5.8442904166325444</v>
      </c>
      <c r="CV144" s="188">
        <f t="shared" si="381"/>
        <v>29.22145208316272</v>
      </c>
      <c r="CW144" s="188">
        <f t="shared" si="382"/>
        <v>30</v>
      </c>
      <c r="CX144" s="188">
        <f t="shared" si="383"/>
        <v>7.0516894736842115</v>
      </c>
      <c r="CY144" s="188">
        <f t="shared" si="384"/>
        <v>1.6571470263157897</v>
      </c>
      <c r="CZ144" s="188">
        <f t="shared" si="385"/>
        <v>1.079574609977713</v>
      </c>
      <c r="DA144" s="172">
        <f t="shared" si="386"/>
        <v>350</v>
      </c>
      <c r="DB144" s="379">
        <f t="shared" si="387"/>
        <v>350</v>
      </c>
      <c r="DD144" s="188">
        <f t="shared" si="388"/>
        <v>7.3619779020761014</v>
      </c>
      <c r="DE144" s="150">
        <f t="shared" si="389"/>
        <v>1.1270780501549733</v>
      </c>
      <c r="DF144" s="150">
        <f t="shared" si="390"/>
        <v>1.3928696857096292</v>
      </c>
      <c r="DG144" s="150"/>
      <c r="DH144" s="150">
        <f t="shared" si="391"/>
        <v>0.92784522751949461</v>
      </c>
      <c r="DI144" s="314">
        <f t="shared" si="392"/>
        <v>504.25866957446812</v>
      </c>
      <c r="DJ144" s="456">
        <f t="shared" si="393"/>
        <v>0.94395997276890675</v>
      </c>
      <c r="DL144" s="150">
        <f t="shared" si="394"/>
        <v>7.1911800080942623</v>
      </c>
      <c r="DM144" s="150">
        <f t="shared" si="395"/>
        <v>7.1911800080942623</v>
      </c>
      <c r="DN144" s="150">
        <f t="shared" si="396"/>
        <v>2.0374621833245938</v>
      </c>
      <c r="DP144" s="314">
        <f t="shared" si="397"/>
        <v>1360</v>
      </c>
      <c r="DQ144" s="144">
        <f t="shared" si="398"/>
        <v>350</v>
      </c>
      <c r="DS144" s="144">
        <f t="shared" si="399"/>
        <v>1360</v>
      </c>
      <c r="DT144" s="144">
        <f t="shared" si="400"/>
        <v>350</v>
      </c>
      <c r="DV144" s="5">
        <f t="shared" si="401"/>
        <v>2.8571428571428572</v>
      </c>
      <c r="DW144" s="5">
        <f t="shared" si="402"/>
        <v>1.6899273019021517</v>
      </c>
      <c r="DX144" s="5">
        <f t="shared" si="403"/>
        <v>1.1672155552407055</v>
      </c>
      <c r="DY144" s="150">
        <f t="shared" si="404"/>
        <v>0.59147455566575302</v>
      </c>
      <c r="EA144" s="5">
        <f t="shared" si="405"/>
        <v>7.6610037686230887</v>
      </c>
      <c r="EB144" s="5">
        <f t="shared" si="406"/>
        <v>8.139816504162031</v>
      </c>
      <c r="EC144" s="5">
        <f t="shared" si="407"/>
        <v>1.4006586662888465</v>
      </c>
      <c r="ED144" s="5"/>
      <c r="EE144" s="150">
        <f t="shared" si="408"/>
        <v>3.1930635783642085</v>
      </c>
      <c r="EF144" s="150">
        <f t="shared" si="409"/>
        <v>2.5454995498072113</v>
      </c>
      <c r="EG144" s="150">
        <f t="shared" si="410"/>
        <v>0.5109600827093782</v>
      </c>
      <c r="EH144" s="150"/>
      <c r="EI144" s="456">
        <f t="shared" si="411"/>
        <v>0.12234786018571253</v>
      </c>
      <c r="EJ144" s="456">
        <f t="shared" si="412"/>
        <v>2.4245422956290215</v>
      </c>
      <c r="EK144" s="456">
        <f t="shared" si="413"/>
        <v>4.0250000000000001E-2</v>
      </c>
      <c r="EL144" s="456">
        <f t="shared" si="414"/>
        <v>0.46558000125000004</v>
      </c>
      <c r="EM144">
        <f t="shared" si="415"/>
        <v>8.9999999999999993E-3</v>
      </c>
      <c r="EN144" s="144">
        <f t="shared" si="416"/>
        <v>49.25</v>
      </c>
      <c r="EP144" s="144">
        <f t="shared" si="438"/>
        <v>3061.7201570647339</v>
      </c>
      <c r="EQ144" s="150">
        <f t="shared" si="417"/>
        <v>0.95199999999999996</v>
      </c>
      <c r="ER144" s="150">
        <f t="shared" si="473"/>
        <v>0.138431</v>
      </c>
      <c r="ES144" s="456"/>
      <c r="EU144" s="144">
        <f t="shared" si="419"/>
        <v>1090.431</v>
      </c>
      <c r="EV144" s="456">
        <f t="shared" si="420"/>
        <v>0.14273917021666463</v>
      </c>
      <c r="EW144" s="456">
        <f t="shared" si="421"/>
        <v>9.0713951412962013E-2</v>
      </c>
      <c r="EX144" s="456">
        <f t="shared" si="422"/>
        <v>1.3054010306118729E-3</v>
      </c>
      <c r="EY144" s="456">
        <f t="shared" si="423"/>
        <v>15.890608037655559</v>
      </c>
      <c r="EZ144" s="456"/>
      <c r="FA144" s="538">
        <f t="shared" si="424"/>
        <v>1.8099574468085111</v>
      </c>
      <c r="FB144" s="144">
        <f t="shared" si="425"/>
        <v>17935.324007124309</v>
      </c>
      <c r="FC144" s="150">
        <f t="shared" si="426"/>
        <v>22.087475164189041</v>
      </c>
      <c r="FD144" s="5">
        <f t="shared" si="427"/>
        <v>42.534000000000006</v>
      </c>
      <c r="FE144" s="150">
        <f t="shared" si="428"/>
        <v>0.65820224456235954</v>
      </c>
      <c r="FF144" s="5">
        <f t="shared" si="429"/>
        <v>65.820224456235948</v>
      </c>
      <c r="FG144">
        <f t="shared" si="430"/>
        <v>34</v>
      </c>
      <c r="FI144" s="59">
        <f t="shared" si="431"/>
        <v>-50</v>
      </c>
      <c r="FJ144">
        <f t="shared" si="432"/>
        <v>-50</v>
      </c>
    </row>
    <row r="145" spans="5:166">
      <c r="E145" s="147">
        <v>35</v>
      </c>
      <c r="F145" s="188">
        <f t="shared" si="474"/>
        <v>1.4</v>
      </c>
      <c r="G145" s="188">
        <f t="shared" si="443"/>
        <v>0.29749999999999999</v>
      </c>
      <c r="H145" s="188">
        <f t="shared" si="444"/>
        <v>42</v>
      </c>
      <c r="I145" s="188">
        <f t="shared" si="445"/>
        <v>1.7849999999999999</v>
      </c>
      <c r="J145" s="465">
        <f t="shared" si="446"/>
        <v>19.886552958701586</v>
      </c>
      <c r="K145" s="379">
        <f t="shared" si="447"/>
        <v>30.785511053379658</v>
      </c>
      <c r="L145" s="149">
        <f t="shared" si="448"/>
        <v>50.672064012081243</v>
      </c>
      <c r="M145" s="379"/>
      <c r="N145" s="188">
        <f t="shared" si="449"/>
        <v>0.60754405121606592</v>
      </c>
      <c r="O145" s="149">
        <f t="shared" si="450"/>
        <v>175.59707796311901</v>
      </c>
      <c r="P145" s="149">
        <f t="shared" si="451"/>
        <v>7.4628758134325572</v>
      </c>
      <c r="Q145" s="188">
        <f t="shared" si="321"/>
        <v>5.8532359321039671</v>
      </c>
      <c r="R145" s="188">
        <f t="shared" si="452"/>
        <v>29.266179660519835</v>
      </c>
      <c r="S145" s="188">
        <f t="shared" si="453"/>
        <v>30</v>
      </c>
      <c r="T145" s="188">
        <f t="shared" si="454"/>
        <v>7.2479980162003947</v>
      </c>
      <c r="U145" s="188">
        <f t="shared" si="325"/>
        <v>1.7129962516322403</v>
      </c>
      <c r="V145" s="188">
        <f t="shared" si="326"/>
        <v>1.1065462131544543</v>
      </c>
      <c r="W145" s="172">
        <f t="shared" si="327"/>
        <v>350</v>
      </c>
      <c r="X145" s="379">
        <f t="shared" si="434"/>
        <v>331.1760015505003</v>
      </c>
      <c r="Z145" s="188">
        <f t="shared" si="328"/>
        <v>7.344654680396598</v>
      </c>
      <c r="AA145" s="150">
        <f t="shared" si="329"/>
        <v>1.1213027108112403</v>
      </c>
      <c r="AB145" s="150">
        <f t="shared" si="455"/>
        <v>1.3824716647891653</v>
      </c>
      <c r="AC145" s="150"/>
      <c r="AD145" s="150">
        <f t="shared" si="331"/>
        <v>0.92526800790988961</v>
      </c>
      <c r="AE145" s="314">
        <f t="shared" si="456"/>
        <v>520.53566737704136</v>
      </c>
      <c r="AF145" s="456">
        <f t="shared" si="457"/>
        <v>0.94133799220539605</v>
      </c>
      <c r="AH145" s="150">
        <f t="shared" si="458"/>
        <v>7.296166291497987</v>
      </c>
      <c r="AI145" s="150">
        <f t="shared" si="459"/>
        <v>7.2479980162003947</v>
      </c>
      <c r="AJ145" s="150">
        <f t="shared" si="460"/>
        <v>2.0795495967365438</v>
      </c>
      <c r="AL145" s="314">
        <f t="shared" si="461"/>
        <v>1400</v>
      </c>
      <c r="AM145" s="144">
        <f t="shared" si="462"/>
        <v>331.1760015505003</v>
      </c>
      <c r="AO145" s="144">
        <f t="shared" si="339"/>
        <v>1400</v>
      </c>
      <c r="AP145" s="144">
        <f t="shared" si="340"/>
        <v>331.1760015505003</v>
      </c>
      <c r="AR145" s="5">
        <f t="shared" si="442"/>
        <v>3.0195424647866949</v>
      </c>
      <c r="AS145" s="5">
        <f t="shared" si="439"/>
        <v>1.7129962516322403</v>
      </c>
      <c r="AT145" s="5">
        <f t="shared" si="440"/>
        <v>1.3065462131544545</v>
      </c>
      <c r="AU145" s="150">
        <f t="shared" si="441"/>
        <v>0.56730324928656006</v>
      </c>
      <c r="AW145" s="5">
        <f t="shared" si="341"/>
        <v>7.9939825076171207</v>
      </c>
      <c r="AX145" s="5">
        <f t="shared" si="342"/>
        <v>8.4936064143431906</v>
      </c>
      <c r="AY145" s="5">
        <f t="shared" si="343"/>
        <v>1.6231760777199222</v>
      </c>
      <c r="AZ145" s="5"/>
      <c r="BA145" s="150">
        <f t="shared" si="344"/>
        <v>3.1518466122566382</v>
      </c>
      <c r="BB145" s="150">
        <f t="shared" si="345"/>
        <v>2.6404210826909726</v>
      </c>
      <c r="BC145" s="150">
        <f t="shared" si="346"/>
        <v>0.53001375502169945</v>
      </c>
      <c r="BD145" s="150"/>
      <c r="BE145" s="456">
        <f t="shared" si="347"/>
        <v>0.11920964480632378</v>
      </c>
      <c r="BF145" s="456">
        <f t="shared" si="463"/>
        <v>2.2197720955670586</v>
      </c>
      <c r="BG145" s="456">
        <f t="shared" si="349"/>
        <v>3.8085240178307542E-2</v>
      </c>
      <c r="BH145" s="456">
        <f t="shared" si="350"/>
        <v>0.44005443452601806</v>
      </c>
      <c r="BI145">
        <f t="shared" si="351"/>
        <v>8.948948831415714E-3</v>
      </c>
      <c r="BJ145" s="144">
        <f t="shared" si="435"/>
        <v>47.034189009723256</v>
      </c>
      <c r="BK145">
        <f t="shared" si="464"/>
        <v>2.8931695248303839</v>
      </c>
      <c r="BL145" s="144">
        <f t="shared" si="436"/>
        <v>2826.0703639091239</v>
      </c>
      <c r="BM145" s="150">
        <f t="shared" si="465"/>
        <v>0.93883999999999979</v>
      </c>
      <c r="BN145" s="150">
        <f t="shared" si="466"/>
        <v>0.19950349999999997</v>
      </c>
      <c r="BO145" s="456"/>
      <c r="BQ145" s="144">
        <f t="shared" si="355"/>
        <v>1138.3434999999997</v>
      </c>
      <c r="BR145" s="456">
        <f t="shared" si="356"/>
        <v>0.13907791894071106</v>
      </c>
      <c r="BS145" s="456">
        <f t="shared" si="357"/>
        <v>9.7605528914865555E-2</v>
      </c>
      <c r="BT145" s="456">
        <f t="shared" si="358"/>
        <v>1.4045729025610101E-3</v>
      </c>
      <c r="BU145" s="456">
        <f t="shared" si="359"/>
        <v>14.114396545387246</v>
      </c>
      <c r="BV145" s="456"/>
      <c r="BW145" s="538">
        <f t="shared" si="467"/>
        <v>1.7397826278477559</v>
      </c>
      <c r="BX145" s="144">
        <f t="shared" si="361"/>
        <v>16092.267193993137</v>
      </c>
      <c r="BY145" s="150">
        <f t="shared" si="362"/>
        <v>20.056681057902264</v>
      </c>
      <c r="BZ145" s="5">
        <f t="shared" si="363"/>
        <v>43.784999999999997</v>
      </c>
      <c r="CA145" s="150">
        <f t="shared" si="364"/>
        <v>0.68583720344532395</v>
      </c>
      <c r="CB145" s="5">
        <f t="shared" si="365"/>
        <v>68.583720344532395</v>
      </c>
      <c r="CC145">
        <f t="shared" si="366"/>
        <v>35</v>
      </c>
      <c r="CE145" s="59">
        <f t="shared" si="468"/>
        <v>-50</v>
      </c>
      <c r="CF145">
        <f t="shared" si="469"/>
        <v>-50</v>
      </c>
      <c r="CG145" s="150">
        <f t="shared" si="369"/>
        <v>0.38924691122054761</v>
      </c>
      <c r="CH145" s="150">
        <f t="shared" si="470"/>
        <v>8.215986875853358E-2</v>
      </c>
      <c r="CI145" s="147">
        <v>35</v>
      </c>
      <c r="CJ145" s="188">
        <f t="shared" si="437"/>
        <v>1.4</v>
      </c>
      <c r="CK145" s="188">
        <f t="shared" si="371"/>
        <v>0.29749999999999999</v>
      </c>
      <c r="CL145" s="188">
        <f t="shared" si="372"/>
        <v>42</v>
      </c>
      <c r="CM145" s="188">
        <f t="shared" si="373"/>
        <v>1.7849999999999999</v>
      </c>
      <c r="CN145" s="465">
        <f t="shared" si="374"/>
        <v>20</v>
      </c>
      <c r="CO145" s="379">
        <f t="shared" si="471"/>
        <v>30.7</v>
      </c>
      <c r="CP145" s="379">
        <f t="shared" si="472"/>
        <v>50.7</v>
      </c>
      <c r="CQ145" s="379"/>
      <c r="CR145" s="188">
        <f t="shared" si="377"/>
        <v>0.60317460317460314</v>
      </c>
      <c r="CS145" s="149">
        <f t="shared" si="378"/>
        <v>175.32871249897633</v>
      </c>
      <c r="CT145" s="149">
        <f t="shared" si="379"/>
        <v>7.4514702812064924</v>
      </c>
      <c r="CU145" s="188">
        <f t="shared" si="380"/>
        <v>5.8442904166325444</v>
      </c>
      <c r="CV145" s="188">
        <f t="shared" si="381"/>
        <v>29.22145208316272</v>
      </c>
      <c r="CW145" s="188">
        <f t="shared" si="382"/>
        <v>30</v>
      </c>
      <c r="CX145" s="188">
        <f t="shared" si="383"/>
        <v>7.2590921052631572</v>
      </c>
      <c r="CY145" s="188">
        <f t="shared" si="384"/>
        <v>1.7058866447368422</v>
      </c>
      <c r="CZ145" s="188">
        <f t="shared" si="385"/>
        <v>1.1113268043888223</v>
      </c>
      <c r="DA145" s="172">
        <f t="shared" si="386"/>
        <v>350</v>
      </c>
      <c r="DB145" s="379">
        <f t="shared" si="387"/>
        <v>350</v>
      </c>
      <c r="DD145" s="188">
        <f t="shared" si="388"/>
        <v>7.3619779020761014</v>
      </c>
      <c r="DE145" s="150">
        <f t="shared" si="389"/>
        <v>1.1270780501549733</v>
      </c>
      <c r="DF145" s="150">
        <f t="shared" si="390"/>
        <v>1.3928696857096292</v>
      </c>
      <c r="DG145" s="150"/>
      <c r="DH145" s="150">
        <f t="shared" si="391"/>
        <v>0.92784522751949461</v>
      </c>
      <c r="DI145" s="314">
        <f t="shared" si="392"/>
        <v>519.08980691489353</v>
      </c>
      <c r="DJ145" s="456">
        <f t="shared" si="393"/>
        <v>0.94395997276890675</v>
      </c>
      <c r="DL145" s="150">
        <f t="shared" si="394"/>
        <v>7.296166291497987</v>
      </c>
      <c r="DM145" s="150">
        <f t="shared" si="395"/>
        <v>7.2590921052631572</v>
      </c>
      <c r="DN145" s="150">
        <f t="shared" si="396"/>
        <v>2.0877674404867381</v>
      </c>
      <c r="DP145" s="314">
        <f t="shared" si="397"/>
        <v>1400</v>
      </c>
      <c r="DQ145" s="144">
        <f t="shared" si="398"/>
        <v>350</v>
      </c>
      <c r="DS145" s="144">
        <f t="shared" si="399"/>
        <v>1400</v>
      </c>
      <c r="DT145" s="144">
        <f t="shared" si="400"/>
        <v>350</v>
      </c>
      <c r="DV145" s="5">
        <f t="shared" si="401"/>
        <v>2.8571428571428572</v>
      </c>
      <c r="DW145" s="5">
        <f t="shared" si="402"/>
        <v>1.7058866447368422</v>
      </c>
      <c r="DX145" s="5">
        <f t="shared" si="403"/>
        <v>1.1512562124060151</v>
      </c>
      <c r="DY145" s="150">
        <f t="shared" si="404"/>
        <v>0.59706032565789469</v>
      </c>
      <c r="EA145" s="5">
        <f t="shared" si="405"/>
        <v>7.9608043421052628</v>
      </c>
      <c r="EB145" s="5">
        <f t="shared" si="406"/>
        <v>8.4583546134868417</v>
      </c>
      <c r="EC145" s="5">
        <f t="shared" si="407"/>
        <v>1.4221400270897833</v>
      </c>
      <c r="ED145" s="5"/>
      <c r="EE145" s="150">
        <f t="shared" si="408"/>
        <v>3.238402203066769</v>
      </c>
      <c r="EF145" s="150">
        <f t="shared" si="409"/>
        <v>2.5519116316097579</v>
      </c>
      <c r="EG145" s="150">
        <f t="shared" si="410"/>
        <v>0.51224718482197407</v>
      </c>
      <c r="EH145" s="150"/>
      <c r="EI145" s="456">
        <f t="shared" si="411"/>
        <v>0.12584698594593244</v>
      </c>
      <c r="EJ145" s="456">
        <f t="shared" si="412"/>
        <v>2.4474391987500002</v>
      </c>
      <c r="EK145" s="456">
        <f t="shared" si="413"/>
        <v>4.0250000000000001E-2</v>
      </c>
      <c r="EL145" s="456">
        <f t="shared" si="414"/>
        <v>0.46558000125000004</v>
      </c>
      <c r="EM145">
        <f t="shared" si="415"/>
        <v>8.9999999999999993E-3</v>
      </c>
      <c r="EN145" s="144">
        <f t="shared" si="416"/>
        <v>49.25</v>
      </c>
      <c r="EP145" s="144">
        <f t="shared" si="438"/>
        <v>3088.1161859459326</v>
      </c>
      <c r="EQ145" s="150">
        <f t="shared" si="417"/>
        <v>0.97999999999999987</v>
      </c>
      <c r="ER145" s="150">
        <f t="shared" si="473"/>
        <v>0.14250249999999998</v>
      </c>
      <c r="ES145" s="456"/>
      <c r="EU145" s="144">
        <f t="shared" si="419"/>
        <v>1122.5025000000001</v>
      </c>
      <c r="EV145" s="456">
        <f t="shared" si="420"/>
        <v>0.14682148360358785</v>
      </c>
      <c r="EW145" s="456">
        <f t="shared" si="421"/>
        <v>9.1171541657632471E-2</v>
      </c>
      <c r="EX145" s="456">
        <f t="shared" si="422"/>
        <v>1.3119858917901882E-3</v>
      </c>
      <c r="EY145" s="456">
        <f t="shared" si="423"/>
        <v>16.268438969573722</v>
      </c>
      <c r="EZ145" s="456"/>
      <c r="FA145" s="538">
        <f t="shared" si="424"/>
        <v>1.8443046367442864</v>
      </c>
      <c r="FB145" s="144">
        <f t="shared" si="425"/>
        <v>18352.04861747102</v>
      </c>
      <c r="FC145" s="150">
        <f t="shared" si="426"/>
        <v>22.562667303416951</v>
      </c>
      <c r="FD145" s="5">
        <f t="shared" si="427"/>
        <v>43.784999999999997</v>
      </c>
      <c r="FE145" s="150">
        <f t="shared" si="428"/>
        <v>0.65993277201088629</v>
      </c>
      <c r="FF145" s="5">
        <f t="shared" si="429"/>
        <v>65.993277201088631</v>
      </c>
      <c r="FG145">
        <f t="shared" si="430"/>
        <v>35</v>
      </c>
      <c r="FI145" s="59">
        <f t="shared" si="431"/>
        <v>-50</v>
      </c>
      <c r="FJ145">
        <f t="shared" si="432"/>
        <v>-50</v>
      </c>
    </row>
    <row r="146" spans="5:166">
      <c r="E146" s="147">
        <v>36</v>
      </c>
      <c r="F146" s="188">
        <f t="shared" si="474"/>
        <v>1.44</v>
      </c>
      <c r="G146" s="188">
        <f t="shared" si="443"/>
        <v>0.30599999999999999</v>
      </c>
      <c r="H146" s="188">
        <f t="shared" si="444"/>
        <v>43.199999999999996</v>
      </c>
      <c r="I146" s="188">
        <f t="shared" si="445"/>
        <v>1.8359999999999999</v>
      </c>
      <c r="J146" s="465">
        <f t="shared" si="446"/>
        <v>19.884129860706132</v>
      </c>
      <c r="K146" s="379">
        <f t="shared" si="447"/>
        <v>30.787337470883916</v>
      </c>
      <c r="L146" s="149">
        <f t="shared" si="448"/>
        <v>50.671467331590051</v>
      </c>
      <c r="M146" s="379"/>
      <c r="N146" s="188">
        <f t="shared" si="449"/>
        <v>0.60758724963329025</v>
      </c>
      <c r="O146" s="149">
        <f t="shared" si="450"/>
        <v>175.58816617131922</v>
      </c>
      <c r="P146" s="149">
        <f t="shared" si="451"/>
        <v>7.4624970622810647</v>
      </c>
      <c r="Q146" s="188">
        <f t="shared" si="321"/>
        <v>5.8529388723773073</v>
      </c>
      <c r="R146" s="188">
        <f t="shared" si="452"/>
        <v>29.264694361886537</v>
      </c>
      <c r="S146" s="188">
        <f t="shared" si="453"/>
        <v>30</v>
      </c>
      <c r="T146" s="188">
        <f t="shared" si="454"/>
        <v>7.4554620486989158</v>
      </c>
      <c r="U146" s="188">
        <f t="shared" si="325"/>
        <v>1.7622431494037991</v>
      </c>
      <c r="V146" s="188">
        <f t="shared" si="326"/>
        <v>1.138152062094471</v>
      </c>
      <c r="W146" s="172">
        <f t="shared" si="327"/>
        <v>350</v>
      </c>
      <c r="X146" s="379">
        <f t="shared" si="434"/>
        <v>322.53952537771744</v>
      </c>
      <c r="Z146" s="188">
        <f t="shared" si="328"/>
        <v>7.3442819291292514</v>
      </c>
      <c r="AA146" s="150">
        <f t="shared" si="329"/>
        <v>1.1211792867620278</v>
      </c>
      <c r="AB146" s="150">
        <f t="shared" si="455"/>
        <v>1.3822493387425105</v>
      </c>
      <c r="AC146" s="150"/>
      <c r="AD146" s="150">
        <f t="shared" si="331"/>
        <v>0.92521311762626646</v>
      </c>
      <c r="AE146" s="314">
        <f t="shared" si="456"/>
        <v>535.43987926910449</v>
      </c>
      <c r="AF146" s="456">
        <f t="shared" si="457"/>
        <v>0.94128214859150738</v>
      </c>
      <c r="AH146" s="150">
        <f t="shared" si="458"/>
        <v>7.3996631813595668</v>
      </c>
      <c r="AI146" s="150">
        <f t="shared" si="459"/>
        <v>7.4554620486989158</v>
      </c>
      <c r="AJ146" s="150">
        <f t="shared" si="460"/>
        <v>2.2332266578465596</v>
      </c>
      <c r="AL146" s="314">
        <f t="shared" si="461"/>
        <v>1440</v>
      </c>
      <c r="AM146" s="144">
        <f t="shared" si="462"/>
        <v>322.53952537771744</v>
      </c>
      <c r="AO146" s="144">
        <f t="shared" si="339"/>
        <v>1440</v>
      </c>
      <c r="AP146" s="144">
        <f t="shared" si="340"/>
        <v>322.53952537771744</v>
      </c>
      <c r="AR146" s="5">
        <f t="shared" si="442"/>
        <v>3.1003952114982702</v>
      </c>
      <c r="AS146" s="5">
        <f t="shared" si="439"/>
        <v>1.7622431494037991</v>
      </c>
      <c r="AT146" s="5">
        <f t="shared" si="440"/>
        <v>1.3381520620944711</v>
      </c>
      <c r="AU146" s="150">
        <f t="shared" si="441"/>
        <v>0.56839306900883535</v>
      </c>
      <c r="AW146" s="5">
        <f t="shared" si="341"/>
        <v>8.458767117138235</v>
      </c>
      <c r="AX146" s="5">
        <f t="shared" si="342"/>
        <v>8.9874400619593739</v>
      </c>
      <c r="AY146" s="5">
        <f t="shared" si="343"/>
        <v>1.7101480216056271</v>
      </c>
      <c r="AZ146" s="5"/>
      <c r="BA146" s="150">
        <f t="shared" si="344"/>
        <v>3.2451765062613331</v>
      </c>
      <c r="BB146" s="150">
        <f t="shared" si="345"/>
        <v>2.7125770179729378</v>
      </c>
      <c r="BC146" s="150">
        <f t="shared" si="346"/>
        <v>0.54449767141541394</v>
      </c>
      <c r="BD146" s="150"/>
      <c r="BE146" s="456">
        <f t="shared" si="347"/>
        <v>0.12637404668148614</v>
      </c>
      <c r="BF146" s="456">
        <f t="shared" si="463"/>
        <v>2.2237392202153785</v>
      </c>
      <c r="BG146" s="456">
        <f t="shared" si="349"/>
        <v>3.7092045418437511E-2</v>
      </c>
      <c r="BH146" s="456">
        <f t="shared" si="350"/>
        <v>0.42856851083606667</v>
      </c>
      <c r="BI146">
        <f t="shared" si="351"/>
        <v>8.9478584373177596E-3</v>
      </c>
      <c r="BJ146" s="144">
        <f t="shared" si="435"/>
        <v>46.03990385575527</v>
      </c>
      <c r="BK146">
        <f t="shared" si="464"/>
        <v>2.8998758146131163</v>
      </c>
      <c r="BL146" s="144">
        <f t="shared" si="436"/>
        <v>2824.7216815886864</v>
      </c>
      <c r="BM146" s="150">
        <f t="shared" si="465"/>
        <v>0.96566399999999997</v>
      </c>
      <c r="BN146" s="150">
        <f t="shared" si="466"/>
        <v>0.20520359999999996</v>
      </c>
      <c r="BO146" s="456"/>
      <c r="BQ146" s="144">
        <f t="shared" si="355"/>
        <v>1170.8676</v>
      </c>
      <c r="BR146" s="456">
        <f t="shared" si="356"/>
        <v>0.14743638779506718</v>
      </c>
      <c r="BS146" s="456">
        <f t="shared" si="357"/>
        <v>0.10301303709808939</v>
      </c>
      <c r="BT146" s="456">
        <f t="shared" si="358"/>
        <v>1.4823885708840404E-3</v>
      </c>
      <c r="BU146" s="456">
        <f t="shared" si="359"/>
        <v>14.177960766545771</v>
      </c>
      <c r="BV146" s="456"/>
      <c r="BW146" s="538">
        <f t="shared" si="467"/>
        <v>1.7928009356177801</v>
      </c>
      <c r="BX146" s="144">
        <f t="shared" si="361"/>
        <v>16222.69351562759</v>
      </c>
      <c r="BY146" s="150">
        <f t="shared" si="362"/>
        <v>20.218282797216279</v>
      </c>
      <c r="BZ146" s="5">
        <f t="shared" si="363"/>
        <v>45.035999999999994</v>
      </c>
      <c r="CA146" s="150">
        <f t="shared" si="364"/>
        <v>0.69016159659517728</v>
      </c>
      <c r="CB146" s="5">
        <f t="shared" si="365"/>
        <v>69.016159659517726</v>
      </c>
      <c r="CC146">
        <f t="shared" si="366"/>
        <v>36</v>
      </c>
      <c r="CE146" s="59">
        <f t="shared" si="468"/>
        <v>-50</v>
      </c>
      <c r="CF146">
        <f t="shared" si="469"/>
        <v>-50</v>
      </c>
      <c r="CG146" s="150">
        <f t="shared" si="369"/>
        <v>0.39199567588303091</v>
      </c>
      <c r="CH146" s="150">
        <f t="shared" si="470"/>
        <v>8.2740061272353602E-2</v>
      </c>
      <c r="CI146" s="147">
        <v>36</v>
      </c>
      <c r="CJ146" s="188">
        <f t="shared" si="437"/>
        <v>1.44</v>
      </c>
      <c r="CK146" s="188">
        <f t="shared" si="371"/>
        <v>0.30599999999999999</v>
      </c>
      <c r="CL146" s="188">
        <f t="shared" si="372"/>
        <v>43.199999999999996</v>
      </c>
      <c r="CM146" s="188">
        <f t="shared" si="373"/>
        <v>1.8359999999999999</v>
      </c>
      <c r="CN146" s="465">
        <f t="shared" si="374"/>
        <v>20</v>
      </c>
      <c r="CO146" s="379">
        <f t="shared" si="471"/>
        <v>30.7</v>
      </c>
      <c r="CP146" s="379">
        <f t="shared" si="472"/>
        <v>50.7</v>
      </c>
      <c r="CQ146" s="379"/>
      <c r="CR146" s="188">
        <f t="shared" si="377"/>
        <v>0.60317460317460314</v>
      </c>
      <c r="CS146" s="149">
        <f t="shared" si="378"/>
        <v>175.32871249897633</v>
      </c>
      <c r="CT146" s="149">
        <f t="shared" si="379"/>
        <v>7.4514702812064924</v>
      </c>
      <c r="CU146" s="188">
        <f t="shared" si="380"/>
        <v>5.8442904166325444</v>
      </c>
      <c r="CV146" s="188">
        <f t="shared" si="381"/>
        <v>29.22145208316272</v>
      </c>
      <c r="CW146" s="188">
        <f t="shared" si="382"/>
        <v>30</v>
      </c>
      <c r="CX146" s="188">
        <f t="shared" si="383"/>
        <v>7.4664947368421046</v>
      </c>
      <c r="CY146" s="188">
        <f t="shared" si="384"/>
        <v>1.7546262631578944</v>
      </c>
      <c r="CZ146" s="188">
        <f t="shared" si="385"/>
        <v>1.1430789987999312</v>
      </c>
      <c r="DA146" s="172">
        <f t="shared" si="386"/>
        <v>350</v>
      </c>
      <c r="DB146" s="379">
        <f t="shared" si="387"/>
        <v>345.1006605566065</v>
      </c>
      <c r="DD146" s="188">
        <f t="shared" si="388"/>
        <v>7.3619779020761014</v>
      </c>
      <c r="DE146" s="150">
        <f t="shared" si="389"/>
        <v>1.1270780501549733</v>
      </c>
      <c r="DF146" s="150">
        <f t="shared" si="390"/>
        <v>1.3928696857096292</v>
      </c>
      <c r="DG146" s="150"/>
      <c r="DH146" s="150">
        <f t="shared" si="391"/>
        <v>0.92784522751949461</v>
      </c>
      <c r="DI146" s="314">
        <f t="shared" si="392"/>
        <v>533.920944255319</v>
      </c>
      <c r="DJ146" s="456">
        <f t="shared" si="393"/>
        <v>0.94395997276890675</v>
      </c>
      <c r="DL146" s="150">
        <f t="shared" si="394"/>
        <v>7.3996631813595668</v>
      </c>
      <c r="DM146" s="150">
        <f t="shared" si="395"/>
        <v>7.4664947368421046</v>
      </c>
      <c r="DN146" s="150">
        <f t="shared" si="396"/>
        <v>2.2413990194341067</v>
      </c>
      <c r="DP146" s="314">
        <f t="shared" si="397"/>
        <v>1440</v>
      </c>
      <c r="DQ146" s="144">
        <f t="shared" si="398"/>
        <v>345.1006605566065</v>
      </c>
      <c r="DS146" s="144">
        <f t="shared" si="399"/>
        <v>1440</v>
      </c>
      <c r="DT146" s="144">
        <f t="shared" si="400"/>
        <v>345.1006605566065</v>
      </c>
      <c r="DV146" s="5">
        <f t="shared" si="401"/>
        <v>2.8977052619578254</v>
      </c>
      <c r="DW146" s="5">
        <f t="shared" si="402"/>
        <v>1.7546262631578944</v>
      </c>
      <c r="DX146" s="5">
        <f t="shared" si="403"/>
        <v>1.143078998799931</v>
      </c>
      <c r="DY146" s="150">
        <f t="shared" si="404"/>
        <v>0.60552268244575935</v>
      </c>
      <c r="EA146" s="5">
        <f t="shared" si="405"/>
        <v>8.4222060631578941</v>
      </c>
      <c r="EB146" s="5">
        <f t="shared" si="406"/>
        <v>8.948593942105262</v>
      </c>
      <c r="EC146" s="5">
        <f t="shared" si="407"/>
        <v>1.4523827278869708</v>
      </c>
      <c r="ED146" s="5"/>
      <c r="EE146" s="150">
        <f t="shared" si="408"/>
        <v>3.3544501634195449</v>
      </c>
      <c r="EF146" s="150">
        <f t="shared" si="409"/>
        <v>2.5971144611029793</v>
      </c>
      <c r="EG146" s="150">
        <f t="shared" si="410"/>
        <v>0.52132078355755573</v>
      </c>
      <c r="EH146" s="150"/>
      <c r="EI146" s="456">
        <f t="shared" si="411"/>
        <v>0.13502803078638492</v>
      </c>
      <c r="EJ146" s="456">
        <f t="shared" si="412"/>
        <v>2.482127659574469</v>
      </c>
      <c r="EK146" s="456">
        <f t="shared" si="413"/>
        <v>3.9686575964009749E-2</v>
      </c>
      <c r="EL146" s="456">
        <f t="shared" si="414"/>
        <v>0.45906275992377343</v>
      </c>
      <c r="EM146">
        <f t="shared" si="415"/>
        <v>8.9999999999999993E-3</v>
      </c>
      <c r="EN146" s="144">
        <f t="shared" si="416"/>
        <v>48.686575964009748</v>
      </c>
      <c r="EP146" s="144">
        <f t="shared" si="438"/>
        <v>3124.9050262486376</v>
      </c>
      <c r="EQ146" s="150">
        <f t="shared" si="417"/>
        <v>1.008</v>
      </c>
      <c r="ER146" s="150">
        <f t="shared" si="473"/>
        <v>0.14657399999999998</v>
      </c>
      <c r="ES146" s="456"/>
      <c r="EU146" s="144">
        <f t="shared" si="419"/>
        <v>1154.5740000000001</v>
      </c>
      <c r="EV146" s="456">
        <f t="shared" si="420"/>
        <v>0.15753270258411575</v>
      </c>
      <c r="EW146" s="456">
        <f t="shared" si="421"/>
        <v>9.4430049336983068E-2</v>
      </c>
      <c r="EX146" s="456">
        <f t="shared" si="422"/>
        <v>1.3588767968453195E-3</v>
      </c>
      <c r="EY146" s="456">
        <f t="shared" si="423"/>
        <v>16.851027564949892</v>
      </c>
      <c r="EZ146" s="456"/>
      <c r="FA146" s="538">
        <f t="shared" si="424"/>
        <v>1.9238859240509689</v>
      </c>
      <c r="FB146" s="144">
        <f t="shared" si="425"/>
        <v>19028.235117718803</v>
      </c>
      <c r="FC146" s="150">
        <f t="shared" si="426"/>
        <v>23.307714143967441</v>
      </c>
      <c r="FD146" s="5">
        <f t="shared" si="427"/>
        <v>45.035999999999994</v>
      </c>
      <c r="FE146" s="150">
        <f t="shared" si="428"/>
        <v>0.65896330868308883</v>
      </c>
      <c r="FF146" s="5">
        <f t="shared" si="429"/>
        <v>65.89633086830888</v>
      </c>
      <c r="FG146">
        <f t="shared" si="430"/>
        <v>36</v>
      </c>
      <c r="FI146" s="59">
        <f t="shared" si="431"/>
        <v>-50</v>
      </c>
      <c r="FJ146">
        <f t="shared" si="432"/>
        <v>-50</v>
      </c>
    </row>
    <row r="147" spans="5:166">
      <c r="E147" s="147">
        <v>37</v>
      </c>
      <c r="F147" s="188">
        <f t="shared" si="474"/>
        <v>1.48</v>
      </c>
      <c r="G147" s="188">
        <f t="shared" si="443"/>
        <v>0.3145</v>
      </c>
      <c r="H147" s="188">
        <f t="shared" si="444"/>
        <v>44.4</v>
      </c>
      <c r="I147" s="188">
        <f t="shared" si="445"/>
        <v>1.887</v>
      </c>
      <c r="J147" s="465">
        <f t="shared" si="446"/>
        <v>19.880911245725745</v>
      </c>
      <c r="K147" s="379">
        <f t="shared" si="447"/>
        <v>30.789763511741803</v>
      </c>
      <c r="L147" s="149">
        <f t="shared" si="448"/>
        <v>50.670674757467552</v>
      </c>
      <c r="M147" s="379"/>
      <c r="N147" s="188">
        <f t="shared" si="449"/>
        <v>0.60764463191215323</v>
      </c>
      <c r="O147" s="149">
        <f t="shared" si="450"/>
        <v>175.57632433670821</v>
      </c>
      <c r="P147" s="149">
        <f t="shared" si="451"/>
        <v>7.4619937843100983</v>
      </c>
      <c r="Q147" s="188">
        <f t="shared" si="321"/>
        <v>5.8525441445569406</v>
      </c>
      <c r="R147" s="188">
        <f t="shared" si="452"/>
        <v>29.262720722784703</v>
      </c>
      <c r="S147" s="188">
        <f t="shared" si="453"/>
        <v>30</v>
      </c>
      <c r="T147" s="188">
        <f t="shared" si="454"/>
        <v>7.6630750218595827</v>
      </c>
      <c r="U147" s="188">
        <f t="shared" si="325"/>
        <v>1.8116097475402855</v>
      </c>
      <c r="V147" s="188">
        <f t="shared" si="326"/>
        <v>1.1697541161368459</v>
      </c>
      <c r="W147" s="172">
        <f t="shared" si="327"/>
        <v>350</v>
      </c>
      <c r="X147" s="379">
        <f t="shared" si="434"/>
        <v>314.33059620038716</v>
      </c>
      <c r="Z147" s="188">
        <f t="shared" si="328"/>
        <v>7.3437866237004306</v>
      </c>
      <c r="AA147" s="150">
        <f t="shared" si="329"/>
        <v>1.1210153373938478</v>
      </c>
      <c r="AB147" s="150">
        <f t="shared" si="455"/>
        <v>1.3819540066669487</v>
      </c>
      <c r="AC147" s="150"/>
      <c r="AD147" s="150">
        <f t="shared" si="331"/>
        <v>0.9251402166173075</v>
      </c>
      <c r="AE147" s="314">
        <f t="shared" si="456"/>
        <v>550.3565739058314</v>
      </c>
      <c r="AF147" s="456">
        <f t="shared" si="457"/>
        <v>0.94120798144337647</v>
      </c>
      <c r="AH147" s="150">
        <f t="shared" si="458"/>
        <v>7.5017323227335488</v>
      </c>
      <c r="AI147" s="150">
        <f t="shared" si="459"/>
        <v>7.6630750218595827</v>
      </c>
      <c r="AJ147" s="150">
        <f t="shared" si="460"/>
        <v>2.3870140453729793</v>
      </c>
      <c r="AL147" s="314">
        <f t="shared" si="461"/>
        <v>1480</v>
      </c>
      <c r="AM147" s="144">
        <f t="shared" si="462"/>
        <v>314.33059620038716</v>
      </c>
      <c r="AO147" s="144">
        <f t="shared" si="339"/>
        <v>1480</v>
      </c>
      <c r="AP147" s="144">
        <f t="shared" si="340"/>
        <v>314.33059620038716</v>
      </c>
      <c r="AR147" s="5">
        <f t="shared" si="442"/>
        <v>3.1813638636771318</v>
      </c>
      <c r="AS147" s="5">
        <f t="shared" si="439"/>
        <v>1.8116097475402855</v>
      </c>
      <c r="AT147" s="5">
        <f t="shared" si="440"/>
        <v>1.3697541161368463</v>
      </c>
      <c r="AU147" s="150">
        <f t="shared" si="441"/>
        <v>0.56944437202677078</v>
      </c>
      <c r="AW147" s="5">
        <f t="shared" si="341"/>
        <v>8.9372747545320745</v>
      </c>
      <c r="AX147" s="5">
        <f t="shared" si="342"/>
        <v>9.4958544266903289</v>
      </c>
      <c r="AY147" s="5">
        <f t="shared" si="343"/>
        <v>1.7994524556978866</v>
      </c>
      <c r="AZ147" s="5"/>
      <c r="BA147" s="150">
        <f t="shared" si="344"/>
        <v>3.3386285470456949</v>
      </c>
      <c r="BB147" s="150">
        <f t="shared" si="345"/>
        <v>2.7847167144914735</v>
      </c>
      <c r="BC147" s="150">
        <f t="shared" si="346"/>
        <v>0.55897832818965376</v>
      </c>
      <c r="BD147" s="150"/>
      <c r="BE147" s="456">
        <f t="shared" si="347"/>
        <v>0.13375728690178137</v>
      </c>
      <c r="BF147" s="456">
        <f t="shared" si="463"/>
        <v>2.2274568004531856</v>
      </c>
      <c r="BG147" s="456">
        <f t="shared" si="349"/>
        <v>3.6148018563044525E-2</v>
      </c>
      <c r="BH147" s="456">
        <f t="shared" si="350"/>
        <v>0.41764798040403389</v>
      </c>
      <c r="BI147">
        <f t="shared" si="351"/>
        <v>8.9464100605765855E-3</v>
      </c>
      <c r="BJ147" s="144">
        <f t="shared" si="435"/>
        <v>45.094428623621113</v>
      </c>
      <c r="BK147">
        <f t="shared" si="464"/>
        <v>2.9073750403659839</v>
      </c>
      <c r="BL147" s="144">
        <f t="shared" si="436"/>
        <v>2823.9564963826224</v>
      </c>
      <c r="BM147" s="150">
        <f t="shared" si="465"/>
        <v>0.99248800000000004</v>
      </c>
      <c r="BN147" s="150">
        <f t="shared" si="466"/>
        <v>0.21090369999999997</v>
      </c>
      <c r="BO147" s="456"/>
      <c r="BQ147" s="144">
        <f t="shared" si="355"/>
        <v>1203.3917000000001</v>
      </c>
      <c r="BR147" s="456">
        <f t="shared" si="356"/>
        <v>0.15605016805207828</v>
      </c>
      <c r="BS147" s="456">
        <f t="shared" si="357"/>
        <v>0.10856506051955461</v>
      </c>
      <c r="BT147" s="456">
        <f t="shared" si="358"/>
        <v>1.5622838569285015E-3</v>
      </c>
      <c r="BU147" s="456">
        <f t="shared" si="359"/>
        <v>14.237847547074141</v>
      </c>
      <c r="BV147" s="456"/>
      <c r="BW147" s="538">
        <f t="shared" si="467"/>
        <v>1.8458347207972141</v>
      </c>
      <c r="BX147" s="144">
        <f t="shared" si="361"/>
        <v>16349.859780299916</v>
      </c>
      <c r="BY147" s="150">
        <f t="shared" si="362"/>
        <v>20.377207976682541</v>
      </c>
      <c r="BZ147" s="5">
        <f t="shared" si="363"/>
        <v>46.286999999999999</v>
      </c>
      <c r="CA147" s="150">
        <f t="shared" si="364"/>
        <v>0.69433060715564221</v>
      </c>
      <c r="CB147" s="5">
        <f t="shared" si="365"/>
        <v>69.433060715564224</v>
      </c>
      <c r="CC147">
        <f t="shared" si="366"/>
        <v>37</v>
      </c>
      <c r="CE147" s="59">
        <f t="shared" si="468"/>
        <v>-50</v>
      </c>
      <c r="CF147">
        <f t="shared" si="469"/>
        <v>-50</v>
      </c>
      <c r="CG147" s="150">
        <f t="shared" si="369"/>
        <v>0.39199567588303091</v>
      </c>
      <c r="CH147" s="150">
        <f t="shared" si="470"/>
        <v>8.2740061272353602E-2</v>
      </c>
      <c r="CI147" s="147">
        <v>37</v>
      </c>
      <c r="CJ147" s="188">
        <f t="shared" si="437"/>
        <v>1.48</v>
      </c>
      <c r="CK147" s="188">
        <f t="shared" si="371"/>
        <v>0.3145</v>
      </c>
      <c r="CL147" s="188">
        <f t="shared" si="372"/>
        <v>44.4</v>
      </c>
      <c r="CM147" s="188">
        <f t="shared" si="373"/>
        <v>1.887</v>
      </c>
      <c r="CN147" s="465">
        <f t="shared" si="374"/>
        <v>20</v>
      </c>
      <c r="CO147" s="379">
        <f t="shared" si="471"/>
        <v>30.7</v>
      </c>
      <c r="CP147" s="379">
        <f t="shared" si="472"/>
        <v>50.7</v>
      </c>
      <c r="CQ147" s="379"/>
      <c r="CR147" s="188">
        <f t="shared" si="377"/>
        <v>0.60317460317460314</v>
      </c>
      <c r="CS147" s="149">
        <f t="shared" si="378"/>
        <v>175.32871249897633</v>
      </c>
      <c r="CT147" s="149">
        <f t="shared" si="379"/>
        <v>7.4514702812064924</v>
      </c>
      <c r="CU147" s="188">
        <f t="shared" si="380"/>
        <v>5.8442904166325444</v>
      </c>
      <c r="CV147" s="188">
        <f t="shared" si="381"/>
        <v>29.22145208316272</v>
      </c>
      <c r="CW147" s="188">
        <f t="shared" si="382"/>
        <v>30</v>
      </c>
      <c r="CX147" s="188">
        <f t="shared" si="383"/>
        <v>7.673897368421053</v>
      </c>
      <c r="CY147" s="188">
        <f t="shared" si="384"/>
        <v>1.8033658815789475</v>
      </c>
      <c r="CZ147" s="188">
        <f t="shared" si="385"/>
        <v>1.1748311932110407</v>
      </c>
      <c r="DA147" s="172">
        <f t="shared" si="386"/>
        <v>350</v>
      </c>
      <c r="DB147" s="379">
        <f t="shared" si="387"/>
        <v>335.77361567669811</v>
      </c>
      <c r="DD147" s="188">
        <f t="shared" si="388"/>
        <v>7.3619779020761014</v>
      </c>
      <c r="DE147" s="150">
        <f t="shared" si="389"/>
        <v>1.1270780501549733</v>
      </c>
      <c r="DF147" s="150">
        <f t="shared" si="390"/>
        <v>1.3928696857096292</v>
      </c>
      <c r="DG147" s="150"/>
      <c r="DH147" s="150">
        <f t="shared" si="391"/>
        <v>0.92784522751949461</v>
      </c>
      <c r="DI147" s="314">
        <f t="shared" si="392"/>
        <v>548.75208159574458</v>
      </c>
      <c r="DJ147" s="456">
        <f t="shared" si="393"/>
        <v>0.94395997276890675</v>
      </c>
      <c r="DL147" s="150">
        <f t="shared" si="394"/>
        <v>7.5017323227335488</v>
      </c>
      <c r="DM147" s="150">
        <f t="shared" si="395"/>
        <v>7.673897368421053</v>
      </c>
      <c r="DN147" s="150">
        <f t="shared" si="396"/>
        <v>2.3950305983814757</v>
      </c>
      <c r="DP147" s="314">
        <f t="shared" si="397"/>
        <v>1480</v>
      </c>
      <c r="DQ147" s="144">
        <f t="shared" si="398"/>
        <v>335.77361567669811</v>
      </c>
      <c r="DS147" s="144">
        <f t="shared" si="399"/>
        <v>1480</v>
      </c>
      <c r="DT147" s="144">
        <f t="shared" si="400"/>
        <v>335.77361567669811</v>
      </c>
      <c r="DV147" s="5">
        <f t="shared" si="401"/>
        <v>2.9781970747899882</v>
      </c>
      <c r="DW147" s="5">
        <f t="shared" si="402"/>
        <v>1.8033658815789475</v>
      </c>
      <c r="DX147" s="5">
        <f t="shared" si="403"/>
        <v>1.1748311932110407</v>
      </c>
      <c r="DY147" s="150">
        <f t="shared" si="404"/>
        <v>0.60552268244575935</v>
      </c>
      <c r="EA147" s="5">
        <f t="shared" si="405"/>
        <v>8.8966050157894738</v>
      </c>
      <c r="EB147" s="5">
        <f t="shared" si="406"/>
        <v>9.452642829276316</v>
      </c>
      <c r="EC147" s="5">
        <f t="shared" si="407"/>
        <v>1.5341913228991233</v>
      </c>
      <c r="ED147" s="5"/>
      <c r="EE147" s="150">
        <f t="shared" si="408"/>
        <v>3.4476293346256437</v>
      </c>
      <c r="EF147" s="150">
        <f t="shared" si="409"/>
        <v>2.669256529466951</v>
      </c>
      <c r="EG147" s="150">
        <f t="shared" si="410"/>
        <v>0.53580191643415453</v>
      </c>
      <c r="EH147" s="150"/>
      <c r="EI147" s="456">
        <f t="shared" si="411"/>
        <v>0.14263377634765509</v>
      </c>
      <c r="EJ147" s="456">
        <f t="shared" si="412"/>
        <v>2.4821276595744681</v>
      </c>
      <c r="EK147" s="456">
        <f t="shared" si="413"/>
        <v>3.8613965802820283E-2</v>
      </c>
      <c r="EL147" s="456">
        <f t="shared" si="414"/>
        <v>0.44665565830421189</v>
      </c>
      <c r="EM147">
        <f t="shared" si="415"/>
        <v>8.9999999999999993E-3</v>
      </c>
      <c r="EN147" s="144">
        <f t="shared" si="416"/>
        <v>47.613965802820282</v>
      </c>
      <c r="EP147" s="144">
        <f t="shared" si="438"/>
        <v>3119.031060029155</v>
      </c>
      <c r="EQ147" s="150">
        <f t="shared" si="417"/>
        <v>1.036</v>
      </c>
      <c r="ER147" s="150">
        <f t="shared" si="473"/>
        <v>0.15064549999999999</v>
      </c>
      <c r="ES147" s="456"/>
      <c r="EU147" s="144">
        <f t="shared" si="419"/>
        <v>1186.6455000000001</v>
      </c>
      <c r="EV147" s="456">
        <f t="shared" si="420"/>
        <v>0.1664060724055976</v>
      </c>
      <c r="EW147" s="456">
        <f t="shared" si="421"/>
        <v>9.9749025881427339E-2</v>
      </c>
      <c r="EX147" s="456">
        <f t="shared" si="422"/>
        <v>1.4354184682725635E-3</v>
      </c>
      <c r="EY147" s="456">
        <f t="shared" si="423"/>
        <v>16.851027564949888</v>
      </c>
      <c r="EZ147" s="456"/>
      <c r="FA147" s="538">
        <f t="shared" si="424"/>
        <v>1.9773271997190514</v>
      </c>
      <c r="FB147" s="144">
        <f t="shared" si="425"/>
        <v>19095.94528142424</v>
      </c>
      <c r="FC147" s="150">
        <f t="shared" si="426"/>
        <v>23.401621841453395</v>
      </c>
      <c r="FD147" s="5">
        <f t="shared" si="427"/>
        <v>46.286999999999999</v>
      </c>
      <c r="FE147" s="150">
        <f t="shared" si="428"/>
        <v>0.66419737938434542</v>
      </c>
      <c r="FF147" s="5">
        <f t="shared" si="429"/>
        <v>66.419737938434537</v>
      </c>
      <c r="FG147">
        <f t="shared" si="430"/>
        <v>37</v>
      </c>
      <c r="FI147" s="59">
        <f t="shared" si="431"/>
        <v>-50</v>
      </c>
      <c r="FJ147">
        <f t="shared" si="432"/>
        <v>-50</v>
      </c>
    </row>
    <row r="148" spans="5:166">
      <c r="E148" s="147">
        <v>38</v>
      </c>
      <c r="F148" s="188">
        <f t="shared" si="474"/>
        <v>1.52</v>
      </c>
      <c r="G148" s="188">
        <f t="shared" si="443"/>
        <v>0.32300000000000001</v>
      </c>
      <c r="H148" s="188">
        <f t="shared" si="444"/>
        <v>45.6</v>
      </c>
      <c r="I148" s="188">
        <f t="shared" si="445"/>
        <v>1.9380000000000002</v>
      </c>
      <c r="J148" s="465">
        <f t="shared" si="446"/>
        <v>19.877692630745361</v>
      </c>
      <c r="K148" s="379">
        <f t="shared" si="447"/>
        <v>30.792189552599687</v>
      </c>
      <c r="L148" s="149">
        <f t="shared" si="448"/>
        <v>50.669882183345052</v>
      </c>
      <c r="M148" s="379"/>
      <c r="N148" s="188">
        <f t="shared" si="449"/>
        <v>0.60770201598615381</v>
      </c>
      <c r="O148" s="149">
        <f t="shared" si="450"/>
        <v>175.56447765216296</v>
      </c>
      <c r="P148" s="149">
        <f t="shared" si="451"/>
        <v>7.4614903002169237</v>
      </c>
      <c r="Q148" s="188">
        <f t="shared" si="321"/>
        <v>5.8521492550720984</v>
      </c>
      <c r="R148" s="188">
        <f t="shared" si="452"/>
        <v>29.260746275360493</v>
      </c>
      <c r="S148" s="188">
        <f t="shared" si="453"/>
        <v>30</v>
      </c>
      <c r="T148" s="188">
        <f t="shared" si="454"/>
        <v>7.8707162194615981</v>
      </c>
      <c r="U148" s="188">
        <f t="shared" si="325"/>
        <v>1.8609990062051982</v>
      </c>
      <c r="V148" s="188">
        <f t="shared" si="326"/>
        <v>1.2013554985519488</v>
      </c>
      <c r="W148" s="172">
        <f t="shared" si="327"/>
        <v>350</v>
      </c>
      <c r="X148" s="379">
        <f t="shared" si="434"/>
        <v>306.52707991783399</v>
      </c>
      <c r="Z148" s="188">
        <f t="shared" si="328"/>
        <v>7.3432911154146323</v>
      </c>
      <c r="AA148" s="150">
        <f t="shared" si="329"/>
        <v>1.1208513828967028</v>
      </c>
      <c r="AB148" s="150">
        <f t="shared" si="455"/>
        <v>1.3816586573640033</v>
      </c>
      <c r="AC148" s="150"/>
      <c r="AD148" s="150">
        <f t="shared" si="331"/>
        <v>0.92506732709573092</v>
      </c>
      <c r="AE148" s="314">
        <f t="shared" si="456"/>
        <v>565.27561257807304</v>
      </c>
      <c r="AF148" s="456">
        <f t="shared" si="457"/>
        <v>0.94113382598214024</v>
      </c>
      <c r="AH148" s="150">
        <f t="shared" si="458"/>
        <v>7.6024312220711465</v>
      </c>
      <c r="AI148" s="150">
        <f t="shared" si="459"/>
        <v>7.8707162194615981</v>
      </c>
      <c r="AJ148" s="150">
        <f t="shared" si="460"/>
        <v>2.5408223398929906</v>
      </c>
      <c r="AL148" s="314">
        <f t="shared" si="461"/>
        <v>1520</v>
      </c>
      <c r="AM148" s="144">
        <f t="shared" si="462"/>
        <v>306.52707991783399</v>
      </c>
      <c r="AO148" s="144">
        <f t="shared" si="339"/>
        <v>1520</v>
      </c>
      <c r="AP148" s="144">
        <f t="shared" si="340"/>
        <v>306.52707991783399</v>
      </c>
      <c r="AR148" s="5">
        <f t="shared" si="442"/>
        <v>3.2623545047571478</v>
      </c>
      <c r="AS148" s="5">
        <f t="shared" si="439"/>
        <v>1.8609990062051982</v>
      </c>
      <c r="AT148" s="5">
        <f t="shared" si="440"/>
        <v>1.4013554985519496</v>
      </c>
      <c r="AU148" s="150">
        <f t="shared" si="441"/>
        <v>0.57044659110207041</v>
      </c>
      <c r="AW148" s="5">
        <f t="shared" si="341"/>
        <v>9.4290616314396729</v>
      </c>
      <c r="AX148" s="5">
        <f t="shared" si="342"/>
        <v>10.018377983404651</v>
      </c>
      <c r="AY148" s="5">
        <f t="shared" si="343"/>
        <v>1.8910293629153936</v>
      </c>
      <c r="AZ148" s="5"/>
      <c r="BA148" s="150">
        <f t="shared" si="344"/>
        <v>3.4321093889604053</v>
      </c>
      <c r="BB148" s="150">
        <f t="shared" si="345"/>
        <v>2.8568415132420677</v>
      </c>
      <c r="BC148" s="150">
        <f t="shared" si="346"/>
        <v>0.57345599452347495</v>
      </c>
      <c r="BD148" s="150"/>
      <c r="BE148" s="456">
        <f t="shared" si="347"/>
        <v>0.14135249829348201</v>
      </c>
      <c r="BF148" s="456">
        <f t="shared" si="463"/>
        <v>2.230980967570348</v>
      </c>
      <c r="BG148" s="456">
        <f t="shared" si="349"/>
        <v>3.5250614190550915E-2</v>
      </c>
      <c r="BH148" s="456">
        <f t="shared" si="350"/>
        <v>0.40726678388504445</v>
      </c>
      <c r="BI148">
        <f t="shared" si="351"/>
        <v>8.9449616838354132E-3</v>
      </c>
      <c r="BJ148" s="144">
        <f t="shared" si="435"/>
        <v>44.195575874386329</v>
      </c>
      <c r="BK148">
        <f t="shared" si="464"/>
        <v>2.9156899005707881</v>
      </c>
      <c r="BL148" s="144">
        <f t="shared" si="436"/>
        <v>2823.7958256232605</v>
      </c>
      <c r="BM148" s="150">
        <f t="shared" si="465"/>
        <v>1.0193119999999998</v>
      </c>
      <c r="BN148" s="150">
        <f t="shared" si="466"/>
        <v>0.21660379999999999</v>
      </c>
      <c r="BO148" s="456"/>
      <c r="BQ148" s="144">
        <f t="shared" si="355"/>
        <v>1235.9157999999998</v>
      </c>
      <c r="BR148" s="456">
        <f t="shared" si="356"/>
        <v>0.16491124800906234</v>
      </c>
      <c r="BS148" s="456">
        <f t="shared" si="357"/>
        <v>0.1142616080449652</v>
      </c>
      <c r="BT148" s="456">
        <f t="shared" si="358"/>
        <v>1.6442588882745388E-3</v>
      </c>
      <c r="BU148" s="456">
        <f t="shared" si="359"/>
        <v>14.294789337105417</v>
      </c>
      <c r="BV148" s="456"/>
      <c r="BW148" s="538">
        <f t="shared" si="467"/>
        <v>1.8988792823392855</v>
      </c>
      <c r="BX148" s="144">
        <f t="shared" si="361"/>
        <v>16474.485734387006</v>
      </c>
      <c r="BY148" s="150">
        <f t="shared" si="362"/>
        <v>20.534197360010268</v>
      </c>
      <c r="BZ148" s="5">
        <f t="shared" si="363"/>
        <v>47.538000000000004</v>
      </c>
      <c r="CA148" s="150">
        <f t="shared" si="364"/>
        <v>0.6983467824402374</v>
      </c>
      <c r="CB148" s="5">
        <f t="shared" si="365"/>
        <v>69.834678244023735</v>
      </c>
      <c r="CC148">
        <f t="shared" si="366"/>
        <v>38</v>
      </c>
      <c r="CE148" s="59">
        <f t="shared" si="468"/>
        <v>-50</v>
      </c>
      <c r="CF148">
        <f t="shared" si="469"/>
        <v>-50</v>
      </c>
      <c r="CG148" s="150">
        <f t="shared" si="369"/>
        <v>0.39199567588303091</v>
      </c>
      <c r="CH148" s="150">
        <f t="shared" si="470"/>
        <v>8.2740061272353616E-2</v>
      </c>
      <c r="CI148" s="147">
        <v>38</v>
      </c>
      <c r="CJ148" s="188">
        <f t="shared" si="437"/>
        <v>1.52</v>
      </c>
      <c r="CK148" s="188">
        <f t="shared" si="371"/>
        <v>0.32300000000000001</v>
      </c>
      <c r="CL148" s="188">
        <f t="shared" si="372"/>
        <v>45.6</v>
      </c>
      <c r="CM148" s="188">
        <f t="shared" si="373"/>
        <v>1.9380000000000002</v>
      </c>
      <c r="CN148" s="465">
        <f t="shared" si="374"/>
        <v>20</v>
      </c>
      <c r="CO148" s="379">
        <f t="shared" si="471"/>
        <v>30.7</v>
      </c>
      <c r="CP148" s="379">
        <f t="shared" si="472"/>
        <v>50.7</v>
      </c>
      <c r="CQ148" s="379"/>
      <c r="CR148" s="188">
        <f t="shared" si="377"/>
        <v>0.60317460317460314</v>
      </c>
      <c r="CS148" s="149">
        <f t="shared" si="378"/>
        <v>175.32871249897633</v>
      </c>
      <c r="CT148" s="149">
        <f t="shared" si="379"/>
        <v>7.4514702812064924</v>
      </c>
      <c r="CU148" s="188">
        <f t="shared" si="380"/>
        <v>5.8442904166325444</v>
      </c>
      <c r="CV148" s="188">
        <f t="shared" si="381"/>
        <v>29.22145208316272</v>
      </c>
      <c r="CW148" s="188">
        <f t="shared" si="382"/>
        <v>30</v>
      </c>
      <c r="CX148" s="188">
        <f t="shared" si="383"/>
        <v>7.8813000000000004</v>
      </c>
      <c r="CY148" s="188">
        <f t="shared" si="384"/>
        <v>1.8521055</v>
      </c>
      <c r="CZ148" s="188">
        <f t="shared" si="385"/>
        <v>1.2065833876221499</v>
      </c>
      <c r="DA148" s="172">
        <f t="shared" si="386"/>
        <v>350</v>
      </c>
      <c r="DB148" s="379">
        <f t="shared" si="387"/>
        <v>326.93746789573237</v>
      </c>
      <c r="DD148" s="188">
        <f t="shared" si="388"/>
        <v>7.3619779020761014</v>
      </c>
      <c r="DE148" s="150">
        <f t="shared" si="389"/>
        <v>1.1270780501549733</v>
      </c>
      <c r="DF148" s="150">
        <f t="shared" si="390"/>
        <v>1.3928696857096292</v>
      </c>
      <c r="DG148" s="150"/>
      <c r="DH148" s="150">
        <f t="shared" si="391"/>
        <v>0.92784522751949461</v>
      </c>
      <c r="DI148" s="314">
        <f t="shared" si="392"/>
        <v>563.58321893617017</v>
      </c>
      <c r="DJ148" s="456">
        <f t="shared" si="393"/>
        <v>0.94395997276890675</v>
      </c>
      <c r="DL148" s="150">
        <f t="shared" si="394"/>
        <v>7.6024312220711465</v>
      </c>
      <c r="DM148" s="150">
        <f t="shared" si="395"/>
        <v>7.8813000000000004</v>
      </c>
      <c r="DN148" s="150">
        <f t="shared" si="396"/>
        <v>2.5486621773288443</v>
      </c>
      <c r="DP148" s="314">
        <f t="shared" si="397"/>
        <v>1520</v>
      </c>
      <c r="DQ148" s="144">
        <f t="shared" si="398"/>
        <v>326.93746789573237</v>
      </c>
      <c r="DS148" s="144">
        <f t="shared" si="399"/>
        <v>1520</v>
      </c>
      <c r="DT148" s="144">
        <f t="shared" si="400"/>
        <v>326.93746789573237</v>
      </c>
      <c r="DV148" s="5">
        <f t="shared" si="401"/>
        <v>3.0586888876221496</v>
      </c>
      <c r="DW148" s="5">
        <f t="shared" si="402"/>
        <v>1.8521055</v>
      </c>
      <c r="DX148" s="5">
        <f t="shared" si="403"/>
        <v>1.2065833876221497</v>
      </c>
      <c r="DY148" s="150">
        <f t="shared" si="404"/>
        <v>0.60552268244575935</v>
      </c>
      <c r="EA148" s="5">
        <f t="shared" si="405"/>
        <v>9.3840012000000002</v>
      </c>
      <c r="EB148" s="5">
        <f t="shared" si="406"/>
        <v>9.9705012750000002</v>
      </c>
      <c r="EC148" s="5">
        <f t="shared" si="407"/>
        <v>1.6182412492814713</v>
      </c>
      <c r="ED148" s="5"/>
      <c r="EE148" s="150">
        <f t="shared" si="408"/>
        <v>3.5408085058317424</v>
      </c>
      <c r="EF148" s="150">
        <f t="shared" si="409"/>
        <v>2.7413985978309232</v>
      </c>
      <c r="EG148" s="150">
        <f t="shared" si="410"/>
        <v>0.55028304931075323</v>
      </c>
      <c r="EH148" s="150"/>
      <c r="EI148" s="456">
        <f t="shared" si="411"/>
        <v>0.15044789849964499</v>
      </c>
      <c r="EJ148" s="456">
        <f t="shared" si="412"/>
        <v>2.4821276595744686</v>
      </c>
      <c r="EK148" s="456">
        <f t="shared" si="413"/>
        <v>3.7597808808009225E-2</v>
      </c>
      <c r="EL148" s="456">
        <f t="shared" si="414"/>
        <v>0.43490156203304836</v>
      </c>
      <c r="EM148">
        <f t="shared" si="415"/>
        <v>8.9999999999999993E-3</v>
      </c>
      <c r="EN148" s="144">
        <f t="shared" si="416"/>
        <v>46.597808808009226</v>
      </c>
      <c r="EP148" s="144">
        <f t="shared" si="438"/>
        <v>3114.0749289151713</v>
      </c>
      <c r="EQ148" s="150">
        <f t="shared" si="417"/>
        <v>1.0639999999999998</v>
      </c>
      <c r="ER148" s="150">
        <f t="shared" si="473"/>
        <v>0.15471699999999999</v>
      </c>
      <c r="ES148" s="456"/>
      <c r="EU148" s="144">
        <f t="shared" si="419"/>
        <v>1218.7169999999999</v>
      </c>
      <c r="EV148" s="456">
        <f t="shared" si="420"/>
        <v>0.17552254824958582</v>
      </c>
      <c r="EW148" s="456">
        <f t="shared" si="421"/>
        <v>0.10521372781065093</v>
      </c>
      <c r="EX148" s="456">
        <f t="shared" si="422"/>
        <v>1.5140571717937043E-3</v>
      </c>
      <c r="EY148" s="456">
        <f t="shared" si="423"/>
        <v>16.851027564949874</v>
      </c>
      <c r="EZ148" s="456"/>
      <c r="FA148" s="538">
        <f t="shared" si="424"/>
        <v>2.0307684753871333</v>
      </c>
      <c r="FB148" s="144">
        <f t="shared" si="425"/>
        <v>19164.046373569039</v>
      </c>
      <c r="FC148" s="150">
        <f t="shared" si="426"/>
        <v>23.49683830248421</v>
      </c>
      <c r="FD148" s="5">
        <f t="shared" si="427"/>
        <v>47.538000000000004</v>
      </c>
      <c r="FE148" s="150">
        <f t="shared" si="428"/>
        <v>0.6692209222405946</v>
      </c>
      <c r="FF148" s="5">
        <f t="shared" si="429"/>
        <v>66.922092224059455</v>
      </c>
      <c r="FG148">
        <f t="shared" si="430"/>
        <v>38</v>
      </c>
      <c r="FI148" s="59">
        <f t="shared" si="431"/>
        <v>-50</v>
      </c>
      <c r="FJ148">
        <f t="shared" si="432"/>
        <v>-50</v>
      </c>
    </row>
    <row r="149" spans="5:166">
      <c r="E149" s="147">
        <v>39</v>
      </c>
      <c r="F149" s="188">
        <f t="shared" si="474"/>
        <v>1.56</v>
      </c>
      <c r="G149" s="188">
        <f t="shared" si="443"/>
        <v>0.33150000000000002</v>
      </c>
      <c r="H149" s="188">
        <f t="shared" si="444"/>
        <v>46.800000000000004</v>
      </c>
      <c r="I149" s="188">
        <f t="shared" si="445"/>
        <v>1.9890000000000001</v>
      </c>
      <c r="J149" s="465">
        <f t="shared" si="446"/>
        <v>19.874474015764974</v>
      </c>
      <c r="K149" s="379">
        <f t="shared" si="447"/>
        <v>30.794615593457575</v>
      </c>
      <c r="L149" s="149">
        <f t="shared" si="448"/>
        <v>50.669089609222553</v>
      </c>
      <c r="M149" s="379"/>
      <c r="N149" s="188">
        <f t="shared" si="449"/>
        <v>0.60775940185537658</v>
      </c>
      <c r="O149" s="149">
        <f t="shared" si="450"/>
        <v>175.55262611745579</v>
      </c>
      <c r="P149" s="149">
        <f t="shared" si="451"/>
        <v>7.4609866099918696</v>
      </c>
      <c r="Q149" s="188">
        <f t="shared" si="321"/>
        <v>5.8517542039151929</v>
      </c>
      <c r="R149" s="188">
        <f t="shared" si="452"/>
        <v>29.258771019575963</v>
      </c>
      <c r="S149" s="188">
        <f t="shared" si="453"/>
        <v>30</v>
      </c>
      <c r="T149" s="188">
        <f t="shared" si="454"/>
        <v>8.0783856644386809</v>
      </c>
      <c r="U149" s="188">
        <f t="shared" si="325"/>
        <v>1.9104109418314277</v>
      </c>
      <c r="V149" s="188">
        <f t="shared" si="326"/>
        <v>1.2329562129987532</v>
      </c>
      <c r="W149" s="172">
        <f t="shared" si="327"/>
        <v>350</v>
      </c>
      <c r="X149" s="379">
        <f t="shared" si="434"/>
        <v>299.09966620186907</v>
      </c>
      <c r="Z149" s="188">
        <f t="shared" si="328"/>
        <v>7.3427954042623371</v>
      </c>
      <c r="AA149" s="150">
        <f t="shared" si="329"/>
        <v>1.1206874232703525</v>
      </c>
      <c r="AB149" s="150">
        <f t="shared" si="455"/>
        <v>1.3813632908496167</v>
      </c>
      <c r="AC149" s="150"/>
      <c r="AD149" s="150">
        <f t="shared" si="331"/>
        <v>0.92499444905882144</v>
      </c>
      <c r="AE149" s="314">
        <f t="shared" si="456"/>
        <v>580.1969952858301</v>
      </c>
      <c r="AF149" s="456">
        <f t="shared" si="457"/>
        <v>0.941059682205036</v>
      </c>
      <c r="AH149" s="150">
        <f t="shared" si="458"/>
        <v>7.7018136260688035</v>
      </c>
      <c r="AI149" s="150">
        <f t="shared" si="459"/>
        <v>8.0783856644386809</v>
      </c>
      <c r="AJ149" s="150">
        <f t="shared" si="460"/>
        <v>2.6946515583945336</v>
      </c>
      <c r="AL149" s="314">
        <f t="shared" si="461"/>
        <v>1560</v>
      </c>
      <c r="AM149" s="144">
        <f t="shared" si="462"/>
        <v>299.09966620186907</v>
      </c>
      <c r="AO149" s="144">
        <f t="shared" si="339"/>
        <v>1560</v>
      </c>
      <c r="AP149" s="144">
        <f t="shared" si="340"/>
        <v>299.09966620186907</v>
      </c>
      <c r="AR149" s="5">
        <f t="shared" si="442"/>
        <v>3.3433671548301813</v>
      </c>
      <c r="AS149" s="5">
        <f t="shared" si="439"/>
        <v>1.9104109418314277</v>
      </c>
      <c r="AT149" s="5">
        <f t="shared" si="440"/>
        <v>1.4329562129987536</v>
      </c>
      <c r="AU149" s="150">
        <f t="shared" si="441"/>
        <v>0.5714032750101784</v>
      </c>
      <c r="AW149" s="5">
        <f t="shared" si="341"/>
        <v>9.9341368975234232</v>
      </c>
      <c r="AX149" s="5">
        <f t="shared" si="342"/>
        <v>10.555020453618638</v>
      </c>
      <c r="AY149" s="5">
        <f t="shared" si="343"/>
        <v>1.9848797808256304</v>
      </c>
      <c r="AZ149" s="5"/>
      <c r="BA149" s="150">
        <f t="shared" si="344"/>
        <v>3.5256185124910697</v>
      </c>
      <c r="BB149" s="150">
        <f t="shared" si="345"/>
        <v>2.9289524132736116</v>
      </c>
      <c r="BC149" s="150">
        <f t="shared" si="346"/>
        <v>0.5879308709567298</v>
      </c>
      <c r="BD149" s="150"/>
      <c r="BE149" s="456">
        <f t="shared" si="347"/>
        <v>0.14915983074743694</v>
      </c>
      <c r="BF149" s="456">
        <f t="shared" si="463"/>
        <v>2.2343257004596611</v>
      </c>
      <c r="BG149" s="456">
        <f t="shared" si="349"/>
        <v>3.4396461613214947E-2</v>
      </c>
      <c r="BH149" s="456">
        <f t="shared" si="350"/>
        <v>0.39738592880122253</v>
      </c>
      <c r="BI149">
        <f t="shared" si="351"/>
        <v>8.9435133070942391E-3</v>
      </c>
      <c r="BJ149" s="144">
        <f t="shared" si="435"/>
        <v>43.339974920309189</v>
      </c>
      <c r="BK149">
        <f t="shared" si="464"/>
        <v>2.9248006483869005</v>
      </c>
      <c r="BL149" s="144">
        <f t="shared" si="436"/>
        <v>2824.2114349286294</v>
      </c>
      <c r="BM149" s="150">
        <f t="shared" si="465"/>
        <v>1.0461359999999997</v>
      </c>
      <c r="BN149" s="150">
        <f t="shared" si="466"/>
        <v>0.2223039</v>
      </c>
      <c r="BO149" s="456"/>
      <c r="BQ149" s="144">
        <f t="shared" si="355"/>
        <v>1268.4398999999996</v>
      </c>
      <c r="BR149" s="456">
        <f t="shared" si="356"/>
        <v>0.17401980253867641</v>
      </c>
      <c r="BS149" s="456">
        <f t="shared" si="357"/>
        <v>0.12010267134909837</v>
      </c>
      <c r="BT149" s="456">
        <f t="shared" si="358"/>
        <v>1.7283135451196944E-3</v>
      </c>
      <c r="BU149" s="456">
        <f t="shared" si="359"/>
        <v>14.348988314158129</v>
      </c>
      <c r="BV149" s="456"/>
      <c r="BW149" s="538">
        <f t="shared" si="467"/>
        <v>1.9519338415802299</v>
      </c>
      <c r="BX149" s="144">
        <f t="shared" si="361"/>
        <v>16596.772943171254</v>
      </c>
      <c r="BY149" s="150">
        <f t="shared" si="362"/>
        <v>20.689424278099885</v>
      </c>
      <c r="BZ149" s="5">
        <f t="shared" si="363"/>
        <v>48.789000000000001</v>
      </c>
      <c r="CA149" s="150">
        <f t="shared" si="364"/>
        <v>0.70221799798903417</v>
      </c>
      <c r="CB149" s="5">
        <f t="shared" si="365"/>
        <v>70.221799798903419</v>
      </c>
      <c r="CC149">
        <f t="shared" si="366"/>
        <v>39</v>
      </c>
      <c r="CE149" s="59">
        <f t="shared" si="468"/>
        <v>-50</v>
      </c>
      <c r="CF149">
        <f t="shared" si="469"/>
        <v>-50</v>
      </c>
      <c r="CG149" s="150">
        <f t="shared" si="369"/>
        <v>0.39199567588303103</v>
      </c>
      <c r="CH149" s="150">
        <f t="shared" si="470"/>
        <v>8.2740061272353616E-2</v>
      </c>
      <c r="CI149" s="147">
        <v>39</v>
      </c>
      <c r="CJ149" s="188">
        <f t="shared" si="437"/>
        <v>1.56</v>
      </c>
      <c r="CK149" s="188">
        <f t="shared" si="371"/>
        <v>0.33150000000000002</v>
      </c>
      <c r="CL149" s="188">
        <f t="shared" si="372"/>
        <v>46.800000000000004</v>
      </c>
      <c r="CM149" s="188">
        <f t="shared" si="373"/>
        <v>1.9890000000000001</v>
      </c>
      <c r="CN149" s="465">
        <f t="shared" si="374"/>
        <v>20</v>
      </c>
      <c r="CO149" s="379">
        <f t="shared" si="471"/>
        <v>30.7</v>
      </c>
      <c r="CP149" s="379">
        <f t="shared" si="472"/>
        <v>50.7</v>
      </c>
      <c r="CQ149" s="379"/>
      <c r="CR149" s="188">
        <f t="shared" si="377"/>
        <v>0.60317460317460314</v>
      </c>
      <c r="CS149" s="149">
        <f t="shared" si="378"/>
        <v>175.32871249897633</v>
      </c>
      <c r="CT149" s="149">
        <f t="shared" si="379"/>
        <v>7.4514702812064924</v>
      </c>
      <c r="CU149" s="188">
        <f t="shared" si="380"/>
        <v>5.8442904166325444</v>
      </c>
      <c r="CV149" s="188">
        <f t="shared" si="381"/>
        <v>29.22145208316272</v>
      </c>
      <c r="CW149" s="188">
        <f t="shared" si="382"/>
        <v>30</v>
      </c>
      <c r="CX149" s="188">
        <f t="shared" si="383"/>
        <v>8.088702631578947</v>
      </c>
      <c r="CY149" s="188">
        <f t="shared" si="384"/>
        <v>1.9008451184210524</v>
      </c>
      <c r="CZ149" s="188">
        <f t="shared" si="385"/>
        <v>1.2383355820332589</v>
      </c>
      <c r="DA149" s="172">
        <f t="shared" si="386"/>
        <v>350</v>
      </c>
      <c r="DB149" s="379">
        <f t="shared" si="387"/>
        <v>318.55445589840599</v>
      </c>
      <c r="DD149" s="188">
        <f t="shared" si="388"/>
        <v>7.3619779020761014</v>
      </c>
      <c r="DE149" s="150">
        <f t="shared" si="389"/>
        <v>1.1270780501549733</v>
      </c>
      <c r="DF149" s="150">
        <f t="shared" si="390"/>
        <v>1.3928696857096292</v>
      </c>
      <c r="DG149" s="150"/>
      <c r="DH149" s="150">
        <f t="shared" si="391"/>
        <v>0.92784522751949461</v>
      </c>
      <c r="DI149" s="314">
        <f t="shared" si="392"/>
        <v>578.41435627659564</v>
      </c>
      <c r="DJ149" s="456">
        <f t="shared" si="393"/>
        <v>0.94395997276890675</v>
      </c>
      <c r="DL149" s="150">
        <f t="shared" si="394"/>
        <v>7.7018136260688035</v>
      </c>
      <c r="DM149" s="150">
        <f t="shared" si="395"/>
        <v>8.088702631578947</v>
      </c>
      <c r="DN149" s="150">
        <f t="shared" si="396"/>
        <v>2.7022937562762124</v>
      </c>
      <c r="DP149" s="314">
        <f t="shared" si="397"/>
        <v>1560</v>
      </c>
      <c r="DQ149" s="144">
        <f t="shared" si="398"/>
        <v>318.55445589840599</v>
      </c>
      <c r="DS149" s="144">
        <f t="shared" si="399"/>
        <v>1560</v>
      </c>
      <c r="DT149" s="144">
        <f t="shared" si="400"/>
        <v>318.55445589840599</v>
      </c>
      <c r="DV149" s="5">
        <f t="shared" si="401"/>
        <v>3.1391807004543111</v>
      </c>
      <c r="DW149" s="5">
        <f t="shared" si="402"/>
        <v>1.9008451184210524</v>
      </c>
      <c r="DX149" s="5">
        <f t="shared" si="403"/>
        <v>1.2383355820332587</v>
      </c>
      <c r="DY149" s="150">
        <f t="shared" si="404"/>
        <v>0.60552268244575946</v>
      </c>
      <c r="EA149" s="5">
        <f t="shared" si="405"/>
        <v>9.8843946157894731</v>
      </c>
      <c r="EB149" s="5">
        <f t="shared" si="406"/>
        <v>10.502169279276314</v>
      </c>
      <c r="EC149" s="5">
        <f t="shared" si="407"/>
        <v>1.7045325070340149</v>
      </c>
      <c r="ED149" s="5"/>
      <c r="EE149" s="150">
        <f t="shared" si="408"/>
        <v>3.6339876770378408</v>
      </c>
      <c r="EF149" s="150">
        <f t="shared" si="409"/>
        <v>2.8135406661948936</v>
      </c>
      <c r="EG149" s="150">
        <f t="shared" si="410"/>
        <v>0.56476418218735192</v>
      </c>
      <c r="EH149" s="150"/>
      <c r="EI149" s="456">
        <f t="shared" si="411"/>
        <v>0.15847039724235459</v>
      </c>
      <c r="EJ149" s="456">
        <f t="shared" si="412"/>
        <v>2.482127659574469</v>
      </c>
      <c r="EK149" s="456">
        <f t="shared" si="413"/>
        <v>3.6633762428316695E-2</v>
      </c>
      <c r="EL149" s="456">
        <f t="shared" si="414"/>
        <v>0.42375023992963701</v>
      </c>
      <c r="EM149">
        <f t="shared" si="415"/>
        <v>8.9999999999999993E-3</v>
      </c>
      <c r="EN149" s="144">
        <f t="shared" si="416"/>
        <v>45.633762428316693</v>
      </c>
      <c r="EP149" s="144">
        <f t="shared" si="438"/>
        <v>3109.9820591747771</v>
      </c>
      <c r="EQ149" s="150">
        <f t="shared" si="417"/>
        <v>1.0919999999999999</v>
      </c>
      <c r="ER149" s="150">
        <f t="shared" si="473"/>
        <v>0.1587885</v>
      </c>
      <c r="ES149" s="456"/>
      <c r="EU149" s="144">
        <f t="shared" si="419"/>
        <v>1250.7884999999999</v>
      </c>
      <c r="EV149" s="456">
        <f t="shared" si="420"/>
        <v>0.18488213011608035</v>
      </c>
      <c r="EW149" s="456">
        <f t="shared" si="421"/>
        <v>0.11082415512465368</v>
      </c>
      <c r="EX149" s="456">
        <f t="shared" si="422"/>
        <v>1.5947929074087422E-3</v>
      </c>
      <c r="EY149" s="456">
        <f t="shared" si="423"/>
        <v>16.851027564949906</v>
      </c>
      <c r="EZ149" s="456"/>
      <c r="FA149" s="538">
        <f t="shared" si="424"/>
        <v>2.0842097510552162</v>
      </c>
      <c r="FB149" s="144">
        <f t="shared" si="425"/>
        <v>19232.538394153264</v>
      </c>
      <c r="FC149" s="150">
        <f t="shared" si="426"/>
        <v>23.593308953328041</v>
      </c>
      <c r="FD149" s="5">
        <f t="shared" si="427"/>
        <v>48.789000000000001</v>
      </c>
      <c r="FE149" s="150">
        <f t="shared" si="428"/>
        <v>0.67404591958318216</v>
      </c>
      <c r="FF149" s="5">
        <f t="shared" si="429"/>
        <v>67.404591958318221</v>
      </c>
      <c r="FG149">
        <f t="shared" si="430"/>
        <v>39</v>
      </c>
      <c r="FI149" s="59">
        <f t="shared" si="431"/>
        <v>-50</v>
      </c>
      <c r="FJ149">
        <f t="shared" si="432"/>
        <v>-50</v>
      </c>
    </row>
    <row r="150" spans="5:166">
      <c r="E150" s="147">
        <v>40</v>
      </c>
      <c r="F150" s="188">
        <f t="shared" si="474"/>
        <v>1.6</v>
      </c>
      <c r="G150" s="188">
        <f t="shared" si="443"/>
        <v>0.34</v>
      </c>
      <c r="H150" s="188">
        <f t="shared" si="444"/>
        <v>48</v>
      </c>
      <c r="I150" s="188">
        <f t="shared" si="445"/>
        <v>2.04</v>
      </c>
      <c r="J150" s="465">
        <f t="shared" si="446"/>
        <v>19.871255400784591</v>
      </c>
      <c r="K150" s="379">
        <f t="shared" si="447"/>
        <v>30.797041634315459</v>
      </c>
      <c r="L150" s="149">
        <f t="shared" si="448"/>
        <v>50.668297035100053</v>
      </c>
      <c r="M150" s="379"/>
      <c r="N150" s="188">
        <f t="shared" si="449"/>
        <v>0.60781678951990548</v>
      </c>
      <c r="O150" s="149">
        <f t="shared" si="450"/>
        <v>175.54076973235919</v>
      </c>
      <c r="P150" s="149">
        <f t="shared" si="451"/>
        <v>7.4604827136252645</v>
      </c>
      <c r="Q150" s="188">
        <f t="shared" si="321"/>
        <v>5.8513589910786399</v>
      </c>
      <c r="R150" s="188">
        <f t="shared" si="452"/>
        <v>29.2567949553932</v>
      </c>
      <c r="S150" s="188">
        <f t="shared" si="453"/>
        <v>30</v>
      </c>
      <c r="T150" s="188">
        <f t="shared" si="454"/>
        <v>8.2860833797365068</v>
      </c>
      <c r="U150" s="188">
        <f t="shared" si="325"/>
        <v>1.9598455708653366</v>
      </c>
      <c r="V150" s="188">
        <f t="shared" si="326"/>
        <v>1.2645562631369032</v>
      </c>
      <c r="W150" s="172">
        <f t="shared" si="327"/>
        <v>350</v>
      </c>
      <c r="X150" s="379">
        <f t="shared" si="434"/>
        <v>292.02180365359123</v>
      </c>
      <c r="Z150" s="188">
        <f t="shared" si="328"/>
        <v>7.3422994902340264</v>
      </c>
      <c r="AA150" s="150">
        <f t="shared" si="329"/>
        <v>1.1205234585145556</v>
      </c>
      <c r="AB150" s="150">
        <f t="shared" si="455"/>
        <v>1.3810679071397323</v>
      </c>
      <c r="AC150" s="150"/>
      <c r="AD150" s="150">
        <f t="shared" si="331"/>
        <v>0.92492158250386536</v>
      </c>
      <c r="AE150" s="314">
        <f t="shared" si="456"/>
        <v>595.1207220291019</v>
      </c>
      <c r="AF150" s="456">
        <f t="shared" si="457"/>
        <v>0.94098555010930285</v>
      </c>
      <c r="AH150" s="150">
        <f t="shared" si="458"/>
        <v>7.7999298570612794</v>
      </c>
      <c r="AI150" s="150">
        <f t="shared" si="459"/>
        <v>8.2860833797365068</v>
      </c>
      <c r="AJ150" s="150">
        <f t="shared" si="460"/>
        <v>2.8485017178744045</v>
      </c>
      <c r="AL150" s="314">
        <f t="shared" si="461"/>
        <v>1600</v>
      </c>
      <c r="AM150" s="144">
        <f t="shared" si="462"/>
        <v>292.02180365359123</v>
      </c>
      <c r="AO150" s="144">
        <f t="shared" si="339"/>
        <v>1600</v>
      </c>
      <c r="AP150" s="144">
        <f t="shared" si="340"/>
        <v>292.02180365359123</v>
      </c>
      <c r="AR150" s="5">
        <f t="shared" si="442"/>
        <v>3.4244018340022406</v>
      </c>
      <c r="AS150" s="5">
        <f t="shared" si="439"/>
        <v>1.9598455708653366</v>
      </c>
      <c r="AT150" s="5">
        <f t="shared" si="440"/>
        <v>1.464556263136904</v>
      </c>
      <c r="AU150" s="150">
        <f t="shared" si="441"/>
        <v>0.57231763848659778</v>
      </c>
      <c r="AW150" s="5">
        <f t="shared" si="341"/>
        <v>10.452509711281795</v>
      </c>
      <c r="AX150" s="5">
        <f t="shared" si="342"/>
        <v>11.105791568236908</v>
      </c>
      <c r="AY150" s="5">
        <f t="shared" si="343"/>
        <v>2.0810047481891778</v>
      </c>
      <c r="AZ150" s="5"/>
      <c r="BA150" s="150">
        <f t="shared" si="344"/>
        <v>3.6191554486813939</v>
      </c>
      <c r="BB150" s="150">
        <f t="shared" si="345"/>
        <v>3.0010503223430964</v>
      </c>
      <c r="BC150" s="150">
        <f t="shared" si="346"/>
        <v>0.60240313970417769</v>
      </c>
      <c r="BD150" s="150"/>
      <c r="BE150" s="456">
        <f t="shared" si="347"/>
        <v>0.15717943394064265</v>
      </c>
      <c r="BF150" s="456">
        <f t="shared" si="463"/>
        <v>2.2375036622054978</v>
      </c>
      <c r="BG150" s="456">
        <f t="shared" si="349"/>
        <v>3.3582507420162992E-2</v>
      </c>
      <c r="BH150" s="456">
        <f t="shared" si="350"/>
        <v>0.387970092967584</v>
      </c>
      <c r="BI150">
        <f t="shared" si="351"/>
        <v>8.942064930353065E-3</v>
      </c>
      <c r="BJ150" s="144">
        <f t="shared" si="435"/>
        <v>42.52457235051606</v>
      </c>
      <c r="BK150">
        <f t="shared" si="464"/>
        <v>2.9346900835236842</v>
      </c>
      <c r="BL150" s="144">
        <f t="shared" si="436"/>
        <v>2825.1777614642401</v>
      </c>
      <c r="BM150" s="150">
        <f t="shared" si="465"/>
        <v>1.0729599999999999</v>
      </c>
      <c r="BN150" s="150">
        <f t="shared" si="466"/>
        <v>0.22800399999999998</v>
      </c>
      <c r="BO150" s="456"/>
      <c r="BQ150" s="144">
        <f t="shared" si="355"/>
        <v>1300.9639999999999</v>
      </c>
      <c r="BR150" s="456">
        <f t="shared" si="356"/>
        <v>0.1833760062640831</v>
      </c>
      <c r="BS150" s="456">
        <f t="shared" si="357"/>
        <v>0.12608824252129847</v>
      </c>
      <c r="BT150" s="456">
        <f t="shared" si="358"/>
        <v>1.8144477136272552E-3</v>
      </c>
      <c r="BU150" s="456">
        <f t="shared" si="359"/>
        <v>14.400628595906579</v>
      </c>
      <c r="BV150" s="456"/>
      <c r="BW150" s="538">
        <f t="shared" si="467"/>
        <v>2.0049976931504192</v>
      </c>
      <c r="BX150" s="144">
        <f t="shared" si="361"/>
        <v>16716.904985556008</v>
      </c>
      <c r="BY150" s="150">
        <f t="shared" si="362"/>
        <v>20.843046747020246</v>
      </c>
      <c r="BZ150" s="5">
        <f t="shared" si="363"/>
        <v>50.04</v>
      </c>
      <c r="CA150" s="150">
        <f t="shared" si="364"/>
        <v>0.70595159627648996</v>
      </c>
      <c r="CB150" s="5">
        <f t="shared" si="365"/>
        <v>70.595159627648997</v>
      </c>
      <c r="CC150">
        <f t="shared" si="366"/>
        <v>40</v>
      </c>
      <c r="CE150" s="59">
        <f t="shared" si="468"/>
        <v>-50</v>
      </c>
      <c r="CF150">
        <f t="shared" si="469"/>
        <v>-50</v>
      </c>
      <c r="CG150" s="150">
        <f t="shared" si="369"/>
        <v>0.39199567588303091</v>
      </c>
      <c r="CH150" s="150">
        <f t="shared" si="470"/>
        <v>8.2740061272353602E-2</v>
      </c>
      <c r="CI150" s="147">
        <v>40</v>
      </c>
      <c r="CJ150" s="188">
        <f t="shared" si="437"/>
        <v>1.6</v>
      </c>
      <c r="CK150" s="188">
        <f t="shared" si="371"/>
        <v>0.34</v>
      </c>
      <c r="CL150" s="188">
        <f t="shared" si="372"/>
        <v>48</v>
      </c>
      <c r="CM150" s="188">
        <f t="shared" si="373"/>
        <v>2.04</v>
      </c>
      <c r="CN150" s="465">
        <f t="shared" si="374"/>
        <v>20</v>
      </c>
      <c r="CO150" s="379">
        <f t="shared" si="471"/>
        <v>30.7</v>
      </c>
      <c r="CP150" s="379">
        <f t="shared" si="472"/>
        <v>50.7</v>
      </c>
      <c r="CQ150" s="379"/>
      <c r="CR150" s="188">
        <f t="shared" si="377"/>
        <v>0.60317460317460314</v>
      </c>
      <c r="CS150" s="149">
        <f t="shared" si="378"/>
        <v>175.32871249897633</v>
      </c>
      <c r="CT150" s="149">
        <f t="shared" si="379"/>
        <v>7.4514702812064924</v>
      </c>
      <c r="CU150" s="188">
        <f t="shared" si="380"/>
        <v>5.8442904166325444</v>
      </c>
      <c r="CV150" s="188">
        <f t="shared" si="381"/>
        <v>29.22145208316272</v>
      </c>
      <c r="CW150" s="188">
        <f t="shared" si="382"/>
        <v>30</v>
      </c>
      <c r="CX150" s="188">
        <f t="shared" si="383"/>
        <v>8.2961052631578944</v>
      </c>
      <c r="CY150" s="188">
        <f t="shared" si="384"/>
        <v>1.9495847368421053</v>
      </c>
      <c r="CZ150" s="188">
        <f t="shared" si="385"/>
        <v>1.2700877764443681</v>
      </c>
      <c r="DA150" s="172">
        <f t="shared" si="386"/>
        <v>350</v>
      </c>
      <c r="DB150" s="379">
        <f t="shared" si="387"/>
        <v>310.59059450094577</v>
      </c>
      <c r="DD150" s="188">
        <f t="shared" si="388"/>
        <v>7.3619779020761014</v>
      </c>
      <c r="DE150" s="150">
        <f t="shared" si="389"/>
        <v>1.1270780501549733</v>
      </c>
      <c r="DF150" s="150">
        <f t="shared" si="390"/>
        <v>1.3928696857096292</v>
      </c>
      <c r="DG150" s="150"/>
      <c r="DH150" s="150">
        <f t="shared" si="391"/>
        <v>0.92784522751949461</v>
      </c>
      <c r="DI150" s="314">
        <f t="shared" si="392"/>
        <v>593.24549361702134</v>
      </c>
      <c r="DJ150" s="456">
        <f t="shared" si="393"/>
        <v>0.94395997276890675</v>
      </c>
      <c r="DL150" s="150">
        <f t="shared" si="394"/>
        <v>7.7999298570612794</v>
      </c>
      <c r="DM150" s="150">
        <f t="shared" si="395"/>
        <v>8.2961052631578944</v>
      </c>
      <c r="DN150" s="150">
        <f t="shared" si="396"/>
        <v>2.8559253352235805</v>
      </c>
      <c r="DP150" s="314">
        <f t="shared" si="397"/>
        <v>1600</v>
      </c>
      <c r="DQ150" s="144">
        <f t="shared" si="398"/>
        <v>310.59059450094577</v>
      </c>
      <c r="DS150" s="144">
        <f t="shared" si="399"/>
        <v>1600</v>
      </c>
      <c r="DT150" s="144">
        <f t="shared" si="400"/>
        <v>310.59059450094577</v>
      </c>
      <c r="DV150" s="5">
        <f t="shared" si="401"/>
        <v>3.2196725132864734</v>
      </c>
      <c r="DW150" s="5">
        <f t="shared" si="402"/>
        <v>1.9495847368421053</v>
      </c>
      <c r="DX150" s="5">
        <f t="shared" si="403"/>
        <v>1.2700877764443681</v>
      </c>
      <c r="DY150" s="150">
        <f t="shared" si="404"/>
        <v>0.60552268244575935</v>
      </c>
      <c r="EA150" s="5">
        <f t="shared" si="405"/>
        <v>10.397785263157896</v>
      </c>
      <c r="EB150" s="5">
        <f t="shared" si="406"/>
        <v>11.047646842105266</v>
      </c>
      <c r="EC150" s="5">
        <f t="shared" si="407"/>
        <v>1.7930650961567547</v>
      </c>
      <c r="ED150" s="5"/>
      <c r="EE150" s="150">
        <f t="shared" si="408"/>
        <v>3.7271668482439391</v>
      </c>
      <c r="EF150" s="150">
        <f t="shared" si="409"/>
        <v>2.8856827345588663</v>
      </c>
      <c r="EG150" s="150">
        <f t="shared" si="410"/>
        <v>0.57924531506395083</v>
      </c>
      <c r="EH150" s="150"/>
      <c r="EI150" s="456">
        <f t="shared" si="411"/>
        <v>0.1667012725757839</v>
      </c>
      <c r="EJ150" s="456">
        <f t="shared" si="412"/>
        <v>2.4821276595744686</v>
      </c>
      <c r="EK150" s="456">
        <f t="shared" si="413"/>
        <v>3.5717918367608764E-2</v>
      </c>
      <c r="EL150" s="456">
        <f t="shared" si="414"/>
        <v>0.41315648393139603</v>
      </c>
      <c r="EM150">
        <f t="shared" si="415"/>
        <v>8.9999999999999993E-3</v>
      </c>
      <c r="EN150" s="144">
        <f t="shared" si="416"/>
        <v>44.717918367608767</v>
      </c>
      <c r="EP150" s="144">
        <f t="shared" si="438"/>
        <v>3106.703334449257</v>
      </c>
      <c r="EQ150" s="150">
        <f t="shared" si="417"/>
        <v>1.1199999999999999</v>
      </c>
      <c r="ER150" s="150">
        <f t="shared" si="473"/>
        <v>0.16286</v>
      </c>
      <c r="ES150" s="456"/>
      <c r="EU150" s="144">
        <f t="shared" si="419"/>
        <v>1282.8599999999999</v>
      </c>
      <c r="EV150" s="456">
        <f t="shared" si="420"/>
        <v>0.19448481800508122</v>
      </c>
      <c r="EW150" s="456">
        <f t="shared" si="421"/>
        <v>0.11658030782343591</v>
      </c>
      <c r="EX150" s="456">
        <f t="shared" si="422"/>
        <v>1.6776256751176782E-3</v>
      </c>
      <c r="EY150" s="456">
        <f t="shared" si="423"/>
        <v>16.851027564949892</v>
      </c>
      <c r="EZ150" s="456"/>
      <c r="FA150" s="538">
        <f t="shared" si="424"/>
        <v>2.1376510267232987</v>
      </c>
      <c r="FB150" s="144">
        <f t="shared" si="425"/>
        <v>19301.421343176822</v>
      </c>
      <c r="FC150" s="150">
        <f t="shared" si="426"/>
        <v>23.690984677626084</v>
      </c>
      <c r="FD150" s="5">
        <f t="shared" si="427"/>
        <v>50.04</v>
      </c>
      <c r="FE150" s="150">
        <f t="shared" si="428"/>
        <v>0.67868346284523184</v>
      </c>
      <c r="FF150" s="5">
        <f t="shared" si="429"/>
        <v>67.868346284523184</v>
      </c>
      <c r="FG150">
        <f t="shared" si="430"/>
        <v>40</v>
      </c>
      <c r="FI150" s="59">
        <f t="shared" si="431"/>
        <v>-50</v>
      </c>
      <c r="FJ150">
        <f t="shared" si="432"/>
        <v>-50</v>
      </c>
    </row>
    <row r="151" spans="5:166">
      <c r="E151" s="147">
        <v>41</v>
      </c>
      <c r="F151" s="188">
        <f t="shared" si="474"/>
        <v>1.64</v>
      </c>
      <c r="G151" s="188">
        <f t="shared" si="443"/>
        <v>0.34849999999999998</v>
      </c>
      <c r="H151" s="188">
        <f t="shared" si="444"/>
        <v>49.199999999999996</v>
      </c>
      <c r="I151" s="188">
        <f t="shared" si="445"/>
        <v>2.0909999999999997</v>
      </c>
      <c r="J151" s="465">
        <f t="shared" si="446"/>
        <v>19.868036785804204</v>
      </c>
      <c r="K151" s="379">
        <f t="shared" si="447"/>
        <v>30.799467675173346</v>
      </c>
      <c r="L151" s="149">
        <f t="shared" si="448"/>
        <v>50.667504460977554</v>
      </c>
      <c r="M151" s="379"/>
      <c r="N151" s="188">
        <f t="shared" si="449"/>
        <v>0.60787417897982488</v>
      </c>
      <c r="O151" s="149">
        <f t="shared" si="450"/>
        <v>175.52890849664544</v>
      </c>
      <c r="P151" s="149">
        <f t="shared" si="451"/>
        <v>7.4599786111074309</v>
      </c>
      <c r="Q151" s="188">
        <f t="shared" si="321"/>
        <v>5.8509636165548482</v>
      </c>
      <c r="R151" s="188">
        <f t="shared" si="452"/>
        <v>29.254818082774239</v>
      </c>
      <c r="S151" s="188">
        <f t="shared" si="453"/>
        <v>30</v>
      </c>
      <c r="T151" s="188">
        <f t="shared" si="454"/>
        <v>8.4938093883127159</v>
      </c>
      <c r="U151" s="188">
        <f t="shared" si="325"/>
        <v>2.0093029097667778</v>
      </c>
      <c r="V151" s="188">
        <f t="shared" si="326"/>
        <v>1.2961556526267164</v>
      </c>
      <c r="W151" s="172">
        <f t="shared" si="327"/>
        <v>350</v>
      </c>
      <c r="X151" s="379">
        <f t="shared" si="434"/>
        <v>285.2693826502429</v>
      </c>
      <c r="Z151" s="188">
        <f t="shared" si="328"/>
        <v>7.3418033733201762</v>
      </c>
      <c r="AA151" s="150">
        <f t="shared" si="329"/>
        <v>1.1203594886290715</v>
      </c>
      <c r="AB151" s="150">
        <f t="shared" si="455"/>
        <v>1.3807725062502949</v>
      </c>
      <c r="AC151" s="150"/>
      <c r="AD151" s="150">
        <f t="shared" si="331"/>
        <v>0.92484872742814905</v>
      </c>
      <c r="AE151" s="314">
        <f t="shared" si="456"/>
        <v>610.04679280788901</v>
      </c>
      <c r="AF151" s="456">
        <f t="shared" si="457"/>
        <v>0.94091142969217989</v>
      </c>
      <c r="AH151" s="150">
        <f t="shared" si="458"/>
        <v>7.8968271109004835</v>
      </c>
      <c r="AI151" s="150">
        <f t="shared" si="459"/>
        <v>8.4938093883127159</v>
      </c>
      <c r="AJ151" s="150">
        <f t="shared" si="460"/>
        <v>3.0023728353382628</v>
      </c>
      <c r="AL151" s="314">
        <f t="shared" si="461"/>
        <v>1640</v>
      </c>
      <c r="AM151" s="144">
        <f t="shared" si="462"/>
        <v>285.2693826502429</v>
      </c>
      <c r="AO151" s="144">
        <f t="shared" si="339"/>
        <v>1640</v>
      </c>
      <c r="AP151" s="144">
        <f t="shared" si="340"/>
        <v>285.2693826502429</v>
      </c>
      <c r="AR151" s="5">
        <f t="shared" si="442"/>
        <v>3.505458562393494</v>
      </c>
      <c r="AS151" s="5">
        <f t="shared" si="439"/>
        <v>2.0093029097667778</v>
      </c>
      <c r="AT151" s="5">
        <f t="shared" si="440"/>
        <v>1.4961556526267161</v>
      </c>
      <c r="AU151" s="150">
        <f t="shared" si="441"/>
        <v>0.57319260062650546</v>
      </c>
      <c r="AW151" s="5">
        <f t="shared" si="341"/>
        <v>10.984189240058384</v>
      </c>
      <c r="AX151" s="5">
        <f t="shared" si="342"/>
        <v>11.670701067562035</v>
      </c>
      <c r="AY151" s="5">
        <f t="shared" si="343"/>
        <v>2.1794053049607944</v>
      </c>
      <c r="AZ151" s="5"/>
      <c r="BA151" s="150">
        <f t="shared" si="344"/>
        <v>3.7127197732613886</v>
      </c>
      <c r="BB151" s="150">
        <f t="shared" si="345"/>
        <v>3.0731360671572703</v>
      </c>
      <c r="BC151" s="150">
        <f t="shared" si="346"/>
        <v>0.61687296671129965</v>
      </c>
      <c r="BD151" s="150"/>
      <c r="BE151" s="456">
        <f t="shared" si="347"/>
        <v>0.16541145737719318</v>
      </c>
      <c r="BF151" s="456">
        <f t="shared" si="463"/>
        <v>2.240526351342766</v>
      </c>
      <c r="BG151" s="456">
        <f t="shared" si="349"/>
        <v>3.2805979004777934E-2</v>
      </c>
      <c r="BH151" s="456">
        <f t="shared" si="350"/>
        <v>0.37898720257294738</v>
      </c>
      <c r="BI151">
        <f t="shared" si="351"/>
        <v>8.9406165536118909E-3</v>
      </c>
      <c r="BJ151" s="144">
        <f t="shared" si="435"/>
        <v>41.746595558389828</v>
      </c>
      <c r="BK151">
        <f t="shared" si="464"/>
        <v>2.945343286440274</v>
      </c>
      <c r="BL151" s="144">
        <f t="shared" si="436"/>
        <v>2826.6716068512965</v>
      </c>
      <c r="BM151" s="150">
        <f t="shared" si="465"/>
        <v>1.0997839999999999</v>
      </c>
      <c r="BN151" s="150">
        <f t="shared" si="466"/>
        <v>0.23370409999999997</v>
      </c>
      <c r="BO151" s="456"/>
      <c r="BQ151" s="144">
        <f t="shared" si="355"/>
        <v>1333.4880999999998</v>
      </c>
      <c r="BR151" s="456">
        <f t="shared" si="356"/>
        <v>0.19298003360672536</v>
      </c>
      <c r="BS151" s="456">
        <f t="shared" si="357"/>
        <v>0.13221831402167997</v>
      </c>
      <c r="BT151" s="456">
        <f t="shared" si="358"/>
        <v>1.902661285296001E-3</v>
      </c>
      <c r="BU151" s="456">
        <f t="shared" si="359"/>
        <v>14.449878208381197</v>
      </c>
      <c r="BV151" s="456"/>
      <c r="BW151" s="538">
        <f t="shared" si="467"/>
        <v>2.0580701965488206</v>
      </c>
      <c r="BX151" s="144">
        <f t="shared" si="361"/>
        <v>16835.049413843721</v>
      </c>
      <c r="BY151" s="150">
        <f t="shared" si="362"/>
        <v>20.995209120695016</v>
      </c>
      <c r="BZ151" s="5">
        <f t="shared" si="363"/>
        <v>51.290999999999997</v>
      </c>
      <c r="CA151" s="150">
        <f t="shared" si="364"/>
        <v>0.70955443125202911</v>
      </c>
      <c r="CB151" s="5">
        <f t="shared" si="365"/>
        <v>70.955443125202905</v>
      </c>
      <c r="CC151">
        <f t="shared" si="366"/>
        <v>41</v>
      </c>
      <c r="CE151" s="59">
        <f t="shared" si="468"/>
        <v>-50</v>
      </c>
      <c r="CF151">
        <f t="shared" si="469"/>
        <v>-50</v>
      </c>
      <c r="CG151" s="150">
        <f t="shared" si="369"/>
        <v>0.39199567588303091</v>
      </c>
      <c r="CH151" s="150">
        <f t="shared" si="470"/>
        <v>8.2740061272353602E-2</v>
      </c>
      <c r="CI151" s="147">
        <v>41</v>
      </c>
      <c r="CJ151" s="188">
        <f t="shared" si="437"/>
        <v>1.64</v>
      </c>
      <c r="CK151" s="188">
        <f t="shared" si="371"/>
        <v>0.34849999999999998</v>
      </c>
      <c r="CL151" s="188">
        <f t="shared" si="372"/>
        <v>49.199999999999996</v>
      </c>
      <c r="CM151" s="188">
        <f t="shared" si="373"/>
        <v>2.0909999999999997</v>
      </c>
      <c r="CN151" s="465">
        <f t="shared" si="374"/>
        <v>20</v>
      </c>
      <c r="CO151" s="379">
        <f t="shared" si="471"/>
        <v>30.7</v>
      </c>
      <c r="CP151" s="379">
        <f t="shared" si="472"/>
        <v>50.7</v>
      </c>
      <c r="CQ151" s="379"/>
      <c r="CR151" s="188">
        <f t="shared" si="377"/>
        <v>0.60317460317460314</v>
      </c>
      <c r="CS151" s="149">
        <f t="shared" si="378"/>
        <v>175.32871249897633</v>
      </c>
      <c r="CT151" s="149">
        <f t="shared" si="379"/>
        <v>7.4514702812064924</v>
      </c>
      <c r="CU151" s="188">
        <f t="shared" si="380"/>
        <v>5.8442904166325444</v>
      </c>
      <c r="CV151" s="188">
        <f t="shared" si="381"/>
        <v>29.22145208316272</v>
      </c>
      <c r="CW151" s="188">
        <f t="shared" si="382"/>
        <v>30</v>
      </c>
      <c r="CX151" s="188">
        <f t="shared" si="383"/>
        <v>8.5035078947368419</v>
      </c>
      <c r="CY151" s="188">
        <f t="shared" si="384"/>
        <v>1.9983243552631578</v>
      </c>
      <c r="CZ151" s="188">
        <f t="shared" si="385"/>
        <v>1.3018399708554775</v>
      </c>
      <c r="DA151" s="172">
        <f t="shared" si="386"/>
        <v>350</v>
      </c>
      <c r="DB151" s="379">
        <f t="shared" si="387"/>
        <v>303.0152141472642</v>
      </c>
      <c r="DD151" s="188">
        <f t="shared" si="388"/>
        <v>7.3619779020761014</v>
      </c>
      <c r="DE151" s="150">
        <f t="shared" si="389"/>
        <v>1.1270780501549733</v>
      </c>
      <c r="DF151" s="150">
        <f t="shared" si="390"/>
        <v>1.3928696857096292</v>
      </c>
      <c r="DG151" s="150"/>
      <c r="DH151" s="150">
        <f t="shared" si="391"/>
        <v>0.92784522751949461</v>
      </c>
      <c r="DI151" s="314">
        <f t="shared" si="392"/>
        <v>608.0766309574467</v>
      </c>
      <c r="DJ151" s="456">
        <f t="shared" si="393"/>
        <v>0.94395997276890675</v>
      </c>
      <c r="DL151" s="150">
        <f t="shared" si="394"/>
        <v>7.8968271109004835</v>
      </c>
      <c r="DM151" s="150">
        <f t="shared" si="395"/>
        <v>8.5035078947368419</v>
      </c>
      <c r="DN151" s="150">
        <f t="shared" si="396"/>
        <v>3.0095569141709491</v>
      </c>
      <c r="DP151" s="314">
        <f t="shared" si="397"/>
        <v>1640</v>
      </c>
      <c r="DQ151" s="144">
        <f t="shared" si="398"/>
        <v>303.0152141472642</v>
      </c>
      <c r="DS151" s="144">
        <f t="shared" si="399"/>
        <v>1640</v>
      </c>
      <c r="DT151" s="144">
        <f t="shared" si="400"/>
        <v>303.0152141472642</v>
      </c>
      <c r="DV151" s="5">
        <f t="shared" si="401"/>
        <v>3.3001643261186349</v>
      </c>
      <c r="DW151" s="5">
        <f t="shared" si="402"/>
        <v>1.9983243552631578</v>
      </c>
      <c r="DX151" s="5">
        <f t="shared" si="403"/>
        <v>1.3018399708554771</v>
      </c>
      <c r="DY151" s="150">
        <f t="shared" si="404"/>
        <v>0.60552268244575946</v>
      </c>
      <c r="EA151" s="5">
        <f t="shared" si="405"/>
        <v>10.924173142105262</v>
      </c>
      <c r="EB151" s="5">
        <f t="shared" si="406"/>
        <v>11.60693396348684</v>
      </c>
      <c r="EC151" s="5">
        <f t="shared" si="407"/>
        <v>1.8838390166496901</v>
      </c>
      <c r="ED151" s="5"/>
      <c r="EE151" s="150">
        <f t="shared" si="408"/>
        <v>3.8203460194500378</v>
      </c>
      <c r="EF151" s="150">
        <f t="shared" si="409"/>
        <v>2.9578248029228371</v>
      </c>
      <c r="EG151" s="150">
        <f t="shared" si="410"/>
        <v>0.59372644794054941</v>
      </c>
      <c r="EH151" s="150"/>
      <c r="EI151" s="456">
        <f t="shared" si="411"/>
        <v>0.175140524499933</v>
      </c>
      <c r="EJ151" s="456">
        <f t="shared" si="412"/>
        <v>2.4821276595744686</v>
      </c>
      <c r="EK151" s="456">
        <f t="shared" si="413"/>
        <v>3.4846749626935389E-2</v>
      </c>
      <c r="EL151" s="456">
        <f t="shared" si="414"/>
        <v>0.40307949651843517</v>
      </c>
      <c r="EM151">
        <f t="shared" si="415"/>
        <v>8.9999999999999993E-3</v>
      </c>
      <c r="EN151" s="144">
        <f t="shared" si="416"/>
        <v>43.846749626935392</v>
      </c>
      <c r="EP151" s="144">
        <f t="shared" si="438"/>
        <v>3104.1944302197726</v>
      </c>
      <c r="EQ151" s="150">
        <f t="shared" si="417"/>
        <v>1.1479999999999999</v>
      </c>
      <c r="ER151" s="150">
        <f t="shared" si="473"/>
        <v>0.16693149999999998</v>
      </c>
      <c r="ES151" s="456"/>
      <c r="EU151" s="144">
        <f t="shared" si="419"/>
        <v>1314.9314999999999</v>
      </c>
      <c r="EV151" s="456">
        <f t="shared" si="420"/>
        <v>0.20433061191658849</v>
      </c>
      <c r="EW151" s="456">
        <f t="shared" si="421"/>
        <v>0.12248218590699729</v>
      </c>
      <c r="EX151" s="456">
        <f t="shared" si="422"/>
        <v>1.7625554749205097E-3</v>
      </c>
      <c r="EY151" s="456">
        <f t="shared" si="423"/>
        <v>16.851027564949906</v>
      </c>
      <c r="EZ151" s="456"/>
      <c r="FA151" s="538">
        <f t="shared" si="424"/>
        <v>2.1910923023913811</v>
      </c>
      <c r="FB151" s="144">
        <f t="shared" si="425"/>
        <v>19370.695220639795</v>
      </c>
      <c r="FC151" s="150">
        <f t="shared" si="426"/>
        <v>23.789821150859567</v>
      </c>
      <c r="FD151" s="5">
        <f t="shared" si="427"/>
        <v>51.290999999999997</v>
      </c>
      <c r="FE151" s="150">
        <f t="shared" si="428"/>
        <v>0.68314383372207954</v>
      </c>
      <c r="FF151" s="5">
        <f t="shared" si="429"/>
        <v>68.314383372207956</v>
      </c>
      <c r="FG151">
        <f t="shared" si="430"/>
        <v>41</v>
      </c>
      <c r="FI151" s="59">
        <f t="shared" si="431"/>
        <v>-50</v>
      </c>
      <c r="FJ151">
        <f t="shared" si="432"/>
        <v>-50</v>
      </c>
    </row>
    <row r="152" spans="5:166">
      <c r="E152" s="147">
        <v>42</v>
      </c>
      <c r="F152" s="188">
        <f t="shared" si="474"/>
        <v>1.68</v>
      </c>
      <c r="G152" s="188">
        <f t="shared" si="443"/>
        <v>0.35699999999999998</v>
      </c>
      <c r="H152" s="188">
        <f t="shared" si="444"/>
        <v>50.4</v>
      </c>
      <c r="I152" s="188">
        <f t="shared" si="445"/>
        <v>2.1419999999999999</v>
      </c>
      <c r="J152" s="465">
        <f t="shared" si="446"/>
        <v>19.864818170823821</v>
      </c>
      <c r="K152" s="379">
        <f t="shared" si="447"/>
        <v>30.801893716031238</v>
      </c>
      <c r="L152" s="149">
        <f t="shared" si="448"/>
        <v>50.666711886855055</v>
      </c>
      <c r="M152" s="379"/>
      <c r="N152" s="188">
        <f t="shared" si="449"/>
        <v>0.60793157023521915</v>
      </c>
      <c r="O152" s="149">
        <f t="shared" si="450"/>
        <v>175.51704241008707</v>
      </c>
      <c r="P152" s="149">
        <f t="shared" si="451"/>
        <v>7.4594743024286991</v>
      </c>
      <c r="Q152" s="188">
        <f t="shared" si="321"/>
        <v>5.8505680803362354</v>
      </c>
      <c r="R152" s="188">
        <f t="shared" si="452"/>
        <v>29.25284040168118</v>
      </c>
      <c r="S152" s="188">
        <f t="shared" si="453"/>
        <v>30</v>
      </c>
      <c r="T152" s="188">
        <f t="shared" si="454"/>
        <v>8.7015637131369203</v>
      </c>
      <c r="U152" s="188">
        <f t="shared" si="325"/>
        <v>2.0587829750091018</v>
      </c>
      <c r="V152" s="188">
        <f t="shared" si="326"/>
        <v>1.3277543851291838</v>
      </c>
      <c r="W152" s="172">
        <f t="shared" si="327"/>
        <v>350</v>
      </c>
      <c r="X152" s="379">
        <f t="shared" si="434"/>
        <v>278.82046095887961</v>
      </c>
      <c r="Z152" s="188">
        <f t="shared" si="328"/>
        <v>7.3413070535112706</v>
      </c>
      <c r="AA152" s="150">
        <f t="shared" si="329"/>
        <v>1.1201955136136599</v>
      </c>
      <c r="AB152" s="150">
        <f t="shared" si="455"/>
        <v>1.3804770881972541</v>
      </c>
      <c r="AC152" s="150"/>
      <c r="AD152" s="150">
        <f t="shared" si="331"/>
        <v>0.92477588382896025</v>
      </c>
      <c r="AE152" s="314">
        <f t="shared" si="456"/>
        <v>624.97520762219142</v>
      </c>
      <c r="AF152" s="456">
        <f t="shared" si="457"/>
        <v>0.94083732095090788</v>
      </c>
      <c r="AH152" s="150">
        <f t="shared" si="458"/>
        <v>7.9925497223245214</v>
      </c>
      <c r="AI152" s="150">
        <f t="shared" si="459"/>
        <v>8.7015637131369203</v>
      </c>
      <c r="AJ152" s="150">
        <f t="shared" si="460"/>
        <v>3.1562649278006369</v>
      </c>
      <c r="AL152" s="314">
        <f t="shared" si="461"/>
        <v>1680</v>
      </c>
      <c r="AM152" s="144">
        <f t="shared" si="462"/>
        <v>278.82046095887961</v>
      </c>
      <c r="AO152" s="144">
        <f t="shared" si="339"/>
        <v>1680</v>
      </c>
      <c r="AP152" s="144">
        <f t="shared" si="340"/>
        <v>278.82046095887961</v>
      </c>
      <c r="AR152" s="5">
        <f t="shared" si="442"/>
        <v>3.5865373601382857</v>
      </c>
      <c r="AS152" s="5">
        <f t="shared" si="439"/>
        <v>2.0587829750091018</v>
      </c>
      <c r="AT152" s="5">
        <f t="shared" si="440"/>
        <v>1.5277543851291839</v>
      </c>
      <c r="AU152" s="150">
        <f t="shared" si="441"/>
        <v>0.57403081810633128</v>
      </c>
      <c r="AW152" s="5">
        <f t="shared" si="341"/>
        <v>11.529184660050969</v>
      </c>
      <c r="AX152" s="5">
        <f t="shared" si="342"/>
        <v>12.249758701304154</v>
      </c>
      <c r="AY152" s="5">
        <f t="shared" si="343"/>
        <v>2.2800824922905165</v>
      </c>
      <c r="AZ152" s="5"/>
      <c r="BA152" s="150">
        <f t="shared" si="344"/>
        <v>3.8063111015755471</v>
      </c>
      <c r="BB152" s="150">
        <f t="shared" si="345"/>
        <v>3.1452104022651799</v>
      </c>
      <c r="BC152" s="150">
        <f t="shared" si="346"/>
        <v>0.63134050343930659</v>
      </c>
      <c r="BD152" s="150"/>
      <c r="BE152" s="456">
        <f t="shared" si="347"/>
        <v>0.17385605042372707</v>
      </c>
      <c r="BF152" s="456">
        <f t="shared" si="463"/>
        <v>2.2434042327192163</v>
      </c>
      <c r="BG152" s="456">
        <f t="shared" si="349"/>
        <v>3.2064353010271156E-2</v>
      </c>
      <c r="BH152" s="456">
        <f t="shared" si="350"/>
        <v>0.37040806715492158</v>
      </c>
      <c r="BI152">
        <f t="shared" si="351"/>
        <v>8.9391681768707185E-3</v>
      </c>
      <c r="BJ152" s="144">
        <f t="shared" si="435"/>
        <v>41.003521187141871</v>
      </c>
      <c r="BK152">
        <f t="shared" si="464"/>
        <v>2.9567473892641467</v>
      </c>
      <c r="BL152" s="144">
        <f t="shared" si="436"/>
        <v>2828.6718714850072</v>
      </c>
      <c r="BM152" s="150">
        <f t="shared" si="465"/>
        <v>1.1266079999999998</v>
      </c>
      <c r="BN152" s="150">
        <f t="shared" si="466"/>
        <v>0.23940419999999998</v>
      </c>
      <c r="BO152" s="456"/>
      <c r="BQ152" s="144">
        <f t="shared" si="355"/>
        <v>1366.0121999999999</v>
      </c>
      <c r="BR152" s="456">
        <f t="shared" si="356"/>
        <v>0.20283205882768157</v>
      </c>
      <c r="BS152" s="456">
        <f t="shared" si="357"/>
        <v>0.13849287864323931</v>
      </c>
      <c r="BT152" s="456">
        <f t="shared" si="358"/>
        <v>1.9929541564149855E-3</v>
      </c>
      <c r="BU152" s="456">
        <f t="shared" si="359"/>
        <v>14.496890802834093</v>
      </c>
      <c r="BV152" s="456"/>
      <c r="BW152" s="538">
        <f t="shared" si="467"/>
        <v>2.1111507688536046</v>
      </c>
      <c r="BX152" s="144">
        <f t="shared" si="361"/>
        <v>16951.359463315031</v>
      </c>
      <c r="BY152" s="150">
        <f t="shared" si="362"/>
        <v>21.14604353480004</v>
      </c>
      <c r="BZ152" s="5">
        <f t="shared" si="363"/>
        <v>52.542000000000002</v>
      </c>
      <c r="CA152" s="150">
        <f t="shared" si="364"/>
        <v>0.71303290845531031</v>
      </c>
      <c r="CB152" s="5">
        <f t="shared" si="365"/>
        <v>71.303290845531038</v>
      </c>
      <c r="CC152">
        <f t="shared" si="366"/>
        <v>42</v>
      </c>
      <c r="CE152" s="59">
        <f t="shared" si="468"/>
        <v>-50</v>
      </c>
      <c r="CF152">
        <f t="shared" si="469"/>
        <v>-50</v>
      </c>
      <c r="CG152" s="150">
        <f t="shared" si="369"/>
        <v>0.39199567588303091</v>
      </c>
      <c r="CH152" s="150">
        <f t="shared" si="470"/>
        <v>8.2740061272353602E-2</v>
      </c>
      <c r="CI152" s="147">
        <v>42</v>
      </c>
      <c r="CJ152" s="188">
        <f t="shared" si="437"/>
        <v>1.68</v>
      </c>
      <c r="CK152" s="188">
        <f t="shared" si="371"/>
        <v>0.35699999999999998</v>
      </c>
      <c r="CL152" s="188">
        <f t="shared" si="372"/>
        <v>50.4</v>
      </c>
      <c r="CM152" s="188">
        <f t="shared" si="373"/>
        <v>2.1419999999999999</v>
      </c>
      <c r="CN152" s="465">
        <f t="shared" si="374"/>
        <v>20</v>
      </c>
      <c r="CO152" s="379">
        <f t="shared" si="471"/>
        <v>30.7</v>
      </c>
      <c r="CP152" s="379">
        <f t="shared" si="472"/>
        <v>50.7</v>
      </c>
      <c r="CQ152" s="379"/>
      <c r="CR152" s="188">
        <f t="shared" si="377"/>
        <v>0.60317460317460314</v>
      </c>
      <c r="CS152" s="149">
        <f t="shared" si="378"/>
        <v>175.32871249897633</v>
      </c>
      <c r="CT152" s="149">
        <f t="shared" si="379"/>
        <v>7.4514702812064924</v>
      </c>
      <c r="CU152" s="188">
        <f t="shared" si="380"/>
        <v>5.8442904166325444</v>
      </c>
      <c r="CV152" s="188">
        <f t="shared" si="381"/>
        <v>29.22145208316272</v>
      </c>
      <c r="CW152" s="188">
        <f t="shared" si="382"/>
        <v>30</v>
      </c>
      <c r="CX152" s="188">
        <f t="shared" si="383"/>
        <v>8.7109105263157893</v>
      </c>
      <c r="CY152" s="188">
        <f t="shared" si="384"/>
        <v>2.0470639736842107</v>
      </c>
      <c r="CZ152" s="188">
        <f t="shared" si="385"/>
        <v>1.3335921652665867</v>
      </c>
      <c r="DA152" s="172">
        <f t="shared" si="386"/>
        <v>350</v>
      </c>
      <c r="DB152" s="379">
        <f t="shared" si="387"/>
        <v>295.8005661913769</v>
      </c>
      <c r="DD152" s="188">
        <f t="shared" si="388"/>
        <v>7.3619779020761014</v>
      </c>
      <c r="DE152" s="150">
        <f t="shared" si="389"/>
        <v>1.1270780501549733</v>
      </c>
      <c r="DF152" s="150">
        <f t="shared" si="390"/>
        <v>1.3928696857096292</v>
      </c>
      <c r="DG152" s="150"/>
      <c r="DH152" s="150">
        <f t="shared" si="391"/>
        <v>0.92784522751949461</v>
      </c>
      <c r="DI152" s="314">
        <f t="shared" si="392"/>
        <v>622.90776829787239</v>
      </c>
      <c r="DJ152" s="456">
        <f t="shared" si="393"/>
        <v>0.94395997276890675</v>
      </c>
      <c r="DL152" s="150">
        <f t="shared" si="394"/>
        <v>7.9925497223245214</v>
      </c>
      <c r="DM152" s="150">
        <f t="shared" si="395"/>
        <v>8.7109105263157893</v>
      </c>
      <c r="DN152" s="150">
        <f t="shared" si="396"/>
        <v>3.1631884931183176</v>
      </c>
      <c r="DP152" s="314">
        <f t="shared" si="397"/>
        <v>1680</v>
      </c>
      <c r="DQ152" s="144">
        <f t="shared" si="398"/>
        <v>295.8005661913769</v>
      </c>
      <c r="DS152" s="144">
        <f t="shared" si="399"/>
        <v>1680</v>
      </c>
      <c r="DT152" s="144">
        <f t="shared" si="400"/>
        <v>295.8005661913769</v>
      </c>
      <c r="DV152" s="5">
        <f t="shared" si="401"/>
        <v>3.3806561389507972</v>
      </c>
      <c r="DW152" s="5">
        <f t="shared" si="402"/>
        <v>2.0470639736842107</v>
      </c>
      <c r="DX152" s="5">
        <f t="shared" si="403"/>
        <v>1.3335921652665865</v>
      </c>
      <c r="DY152" s="150">
        <f t="shared" si="404"/>
        <v>0.60552268244575946</v>
      </c>
      <c r="EA152" s="5">
        <f t="shared" si="405"/>
        <v>11.463558252631579</v>
      </c>
      <c r="EB152" s="5">
        <f t="shared" si="406"/>
        <v>12.180030643421052</v>
      </c>
      <c r="EC152" s="5">
        <f t="shared" si="407"/>
        <v>1.9768542685128221</v>
      </c>
      <c r="ED152" s="5"/>
      <c r="EE152" s="150">
        <f t="shared" si="408"/>
        <v>3.9135251906561366</v>
      </c>
      <c r="EF152" s="150">
        <f t="shared" si="409"/>
        <v>3.0299668712868089</v>
      </c>
      <c r="EG152" s="150">
        <f t="shared" si="410"/>
        <v>0.60820758081714821</v>
      </c>
      <c r="EH152" s="150"/>
      <c r="EI152" s="456">
        <f t="shared" si="411"/>
        <v>0.18378815301480181</v>
      </c>
      <c r="EJ152" s="456">
        <f t="shared" si="412"/>
        <v>2.4821276595744681</v>
      </c>
      <c r="EK152" s="456">
        <f t="shared" si="413"/>
        <v>3.4017065112008346E-2</v>
      </c>
      <c r="EL152" s="456">
        <f t="shared" si="414"/>
        <v>0.39348236564894851</v>
      </c>
      <c r="EM152">
        <f t="shared" si="415"/>
        <v>8.9999999999999993E-3</v>
      </c>
      <c r="EN152" s="144">
        <f t="shared" si="416"/>
        <v>43.017065112008346</v>
      </c>
      <c r="EP152" s="144">
        <f t="shared" si="438"/>
        <v>3102.4152433502268</v>
      </c>
      <c r="EQ152" s="150">
        <f t="shared" si="417"/>
        <v>1.1759999999999999</v>
      </c>
      <c r="ER152" s="150">
        <f t="shared" si="473"/>
        <v>0.17100299999999999</v>
      </c>
      <c r="ES152" s="456"/>
      <c r="EU152" s="144">
        <f t="shared" si="419"/>
        <v>1347.0029999999999</v>
      </c>
      <c r="EV152" s="456">
        <f t="shared" si="420"/>
        <v>0.2144195118506021</v>
      </c>
      <c r="EW152" s="456">
        <f t="shared" si="421"/>
        <v>0.12852978937533802</v>
      </c>
      <c r="EX152" s="456">
        <f t="shared" si="422"/>
        <v>1.8495823068172394E-3</v>
      </c>
      <c r="EY152" s="456">
        <f t="shared" si="423"/>
        <v>16.851027564949892</v>
      </c>
      <c r="EZ152" s="456"/>
      <c r="FA152" s="538">
        <f t="shared" si="424"/>
        <v>2.2445335780594631</v>
      </c>
      <c r="FB152" s="144">
        <f t="shared" si="425"/>
        <v>19440.360026542112</v>
      </c>
      <c r="FC152" s="150">
        <f t="shared" si="426"/>
        <v>23.889778269892339</v>
      </c>
      <c r="FD152" s="5">
        <f t="shared" si="427"/>
        <v>52.542000000000002</v>
      </c>
      <c r="FE152" s="150">
        <f t="shared" si="428"/>
        <v>0.68743657663525948</v>
      </c>
      <c r="FF152" s="5">
        <f t="shared" si="429"/>
        <v>68.743657663525951</v>
      </c>
      <c r="FG152">
        <f t="shared" si="430"/>
        <v>42</v>
      </c>
      <c r="FI152" s="59">
        <f t="shared" si="431"/>
        <v>-50</v>
      </c>
      <c r="FJ152">
        <f t="shared" si="432"/>
        <v>-50</v>
      </c>
    </row>
    <row r="153" spans="5:166">
      <c r="E153" s="147">
        <v>43</v>
      </c>
      <c r="F153" s="188">
        <f t="shared" si="474"/>
        <v>1.72</v>
      </c>
      <c r="G153" s="188">
        <f t="shared" si="443"/>
        <v>0.36549999999999999</v>
      </c>
      <c r="H153" s="188">
        <f t="shared" si="444"/>
        <v>51.6</v>
      </c>
      <c r="I153" s="188">
        <f t="shared" si="445"/>
        <v>2.1930000000000001</v>
      </c>
      <c r="J153" s="465">
        <f t="shared" si="446"/>
        <v>19.861599555843434</v>
      </c>
      <c r="K153" s="379">
        <f t="shared" si="447"/>
        <v>30.804319756889122</v>
      </c>
      <c r="L153" s="149">
        <f t="shared" si="448"/>
        <v>50.665919312732555</v>
      </c>
      <c r="M153" s="379"/>
      <c r="N153" s="188">
        <f t="shared" si="449"/>
        <v>0.60798896328617225</v>
      </c>
      <c r="O153" s="149">
        <f t="shared" si="450"/>
        <v>175.5051714724562</v>
      </c>
      <c r="P153" s="149">
        <f t="shared" si="451"/>
        <v>7.4589697875793872</v>
      </c>
      <c r="Q153" s="188">
        <f t="shared" si="321"/>
        <v>5.8501723824152068</v>
      </c>
      <c r="R153" s="188">
        <f t="shared" si="452"/>
        <v>29.250861912076033</v>
      </c>
      <c r="S153" s="188">
        <f t="shared" si="453"/>
        <v>30</v>
      </c>
      <c r="T153" s="188">
        <f t="shared" si="454"/>
        <v>8.9093463771907189</v>
      </c>
      <c r="U153" s="188">
        <f t="shared" si="325"/>
        <v>2.1082857830791757</v>
      </c>
      <c r="V153" s="188">
        <f t="shared" si="326"/>
        <v>1.3593524643059725</v>
      </c>
      <c r="W153" s="172">
        <f t="shared" si="327"/>
        <v>350</v>
      </c>
      <c r="X153" s="379">
        <f t="shared" si="434"/>
        <v>272.6550255366522</v>
      </c>
      <c r="Z153" s="188">
        <f t="shared" si="328"/>
        <v>7.3408105307977802</v>
      </c>
      <c r="AA153" s="150">
        <f t="shared" si="329"/>
        <v>1.120031533468079</v>
      </c>
      <c r="AB153" s="150">
        <f t="shared" si="455"/>
        <v>1.3801816529965572</v>
      </c>
      <c r="AC153" s="150"/>
      <c r="AD153" s="150">
        <f t="shared" si="331"/>
        <v>0.92470305170358746</v>
      </c>
      <c r="AE153" s="314">
        <f t="shared" si="456"/>
        <v>639.9059664720088</v>
      </c>
      <c r="AF153" s="456">
        <f t="shared" si="457"/>
        <v>0.94076322388272826</v>
      </c>
      <c r="AH153" s="150">
        <f t="shared" si="458"/>
        <v>8.0871394020510543</v>
      </c>
      <c r="AI153" s="150">
        <f t="shared" si="459"/>
        <v>8.9093463771907189</v>
      </c>
      <c r="AJ153" s="150">
        <f t="shared" si="460"/>
        <v>3.3101780122849318</v>
      </c>
      <c r="AL153" s="314">
        <f t="shared" si="461"/>
        <v>1720</v>
      </c>
      <c r="AM153" s="144">
        <f t="shared" si="462"/>
        <v>272.6550255366522</v>
      </c>
      <c r="AO153" s="144">
        <f t="shared" si="339"/>
        <v>1720</v>
      </c>
      <c r="AP153" s="144">
        <f t="shared" si="340"/>
        <v>272.6550255366522</v>
      </c>
      <c r="AR153" s="5">
        <f t="shared" si="442"/>
        <v>3.6676382473851485</v>
      </c>
      <c r="AS153" s="5">
        <f t="shared" si="439"/>
        <v>2.1082857830791757</v>
      </c>
      <c r="AT153" s="5">
        <f t="shared" si="440"/>
        <v>1.5593524643059729</v>
      </c>
      <c r="AU153" s="150">
        <f t="shared" si="441"/>
        <v>0.57483471402401343</v>
      </c>
      <c r="AW153" s="5">
        <f t="shared" si="341"/>
        <v>12.087505156320606</v>
      </c>
      <c r="AX153" s="5">
        <f t="shared" si="342"/>
        <v>12.842974228590645</v>
      </c>
      <c r="AY153" s="5">
        <f t="shared" si="343"/>
        <v>2.3830373525247377</v>
      </c>
      <c r="AZ153" s="5"/>
      <c r="BA153" s="150">
        <f t="shared" si="344"/>
        <v>3.899929084186661</v>
      </c>
      <c r="BB153" s="150">
        <f t="shared" si="345"/>
        <v>3.2172740178045487</v>
      </c>
      <c r="BC153" s="150">
        <f t="shared" si="346"/>
        <v>0.64580588842007447</v>
      </c>
      <c r="BD153" s="150"/>
      <c r="BE153" s="456">
        <f t="shared" si="347"/>
        <v>0.18251336234022009</v>
      </c>
      <c r="BF153" s="456">
        <f t="shared" si="463"/>
        <v>2.2461468510993643</v>
      </c>
      <c r="BG153" s="456">
        <f t="shared" si="349"/>
        <v>3.1355327936715006E-2</v>
      </c>
      <c r="BH153" s="456">
        <f t="shared" si="350"/>
        <v>0.36220606271511474</v>
      </c>
      <c r="BI153">
        <f t="shared" si="351"/>
        <v>8.9377198001295444E-3</v>
      </c>
      <c r="BJ153" s="144">
        <f t="shared" si="435"/>
        <v>40.293047736844549</v>
      </c>
      <c r="BK153">
        <f t="shared" si="464"/>
        <v>2.9688913778212349</v>
      </c>
      <c r="BL153" s="144">
        <f t="shared" si="436"/>
        <v>2831.1593238915443</v>
      </c>
      <c r="BM153" s="150">
        <f t="shared" si="465"/>
        <v>1.153432</v>
      </c>
      <c r="BN153" s="150">
        <f t="shared" si="466"/>
        <v>0.24510429999999997</v>
      </c>
      <c r="BO153" s="456"/>
      <c r="BQ153" s="144">
        <f t="shared" si="355"/>
        <v>1398.5363</v>
      </c>
      <c r="BR153" s="456">
        <f t="shared" si="356"/>
        <v>0.21293225606359012</v>
      </c>
      <c r="BS153" s="456">
        <f t="shared" si="357"/>
        <v>0.14491192947896314</v>
      </c>
      <c r="BT153" s="456">
        <f t="shared" si="358"/>
        <v>2.0853262275902086E-3</v>
      </c>
      <c r="BU153" s="456">
        <f t="shared" si="359"/>
        <v>14.541807157846339</v>
      </c>
      <c r="BV153" s="456"/>
      <c r="BW153" s="538">
        <f t="shared" si="467"/>
        <v>2.1642388783941007</v>
      </c>
      <c r="BX153" s="144">
        <f t="shared" si="361"/>
        <v>17065.975548010585</v>
      </c>
      <c r="BY153" s="150">
        <f t="shared" si="362"/>
        <v>21.295671171902129</v>
      </c>
      <c r="BZ153" s="5">
        <f t="shared" si="363"/>
        <v>53.792999999999999</v>
      </c>
      <c r="CA153" s="150">
        <f t="shared" si="364"/>
        <v>0.71639302121688264</v>
      </c>
      <c r="CB153" s="5">
        <f t="shared" si="365"/>
        <v>71.63930212168826</v>
      </c>
      <c r="CC153">
        <f t="shared" si="366"/>
        <v>43</v>
      </c>
      <c r="CE153" s="59">
        <f t="shared" si="468"/>
        <v>-50</v>
      </c>
      <c r="CF153">
        <f t="shared" si="469"/>
        <v>-50</v>
      </c>
      <c r="CG153" s="150">
        <f t="shared" si="369"/>
        <v>0.39199567588303097</v>
      </c>
      <c r="CH153" s="150">
        <f t="shared" si="470"/>
        <v>8.2740061272353602E-2</v>
      </c>
      <c r="CI153" s="147">
        <v>43</v>
      </c>
      <c r="CJ153" s="188">
        <f t="shared" si="437"/>
        <v>1.72</v>
      </c>
      <c r="CK153" s="188">
        <f t="shared" si="371"/>
        <v>0.36549999999999999</v>
      </c>
      <c r="CL153" s="188">
        <f t="shared" si="372"/>
        <v>51.6</v>
      </c>
      <c r="CM153" s="188">
        <f t="shared" si="373"/>
        <v>2.1930000000000001</v>
      </c>
      <c r="CN153" s="465">
        <f t="shared" si="374"/>
        <v>20</v>
      </c>
      <c r="CO153" s="379">
        <f t="shared" si="471"/>
        <v>30.7</v>
      </c>
      <c r="CP153" s="379">
        <f t="shared" si="472"/>
        <v>50.7</v>
      </c>
      <c r="CQ153" s="379"/>
      <c r="CR153" s="188">
        <f t="shared" si="377"/>
        <v>0.60317460317460314</v>
      </c>
      <c r="CS153" s="149">
        <f t="shared" si="378"/>
        <v>175.32871249897633</v>
      </c>
      <c r="CT153" s="149">
        <f t="shared" si="379"/>
        <v>7.4514702812064924</v>
      </c>
      <c r="CU153" s="188">
        <f t="shared" si="380"/>
        <v>5.8442904166325444</v>
      </c>
      <c r="CV153" s="188">
        <f t="shared" si="381"/>
        <v>29.22145208316272</v>
      </c>
      <c r="CW153" s="188">
        <f t="shared" si="382"/>
        <v>30</v>
      </c>
      <c r="CX153" s="188">
        <f t="shared" si="383"/>
        <v>8.9183131578947368</v>
      </c>
      <c r="CY153" s="188">
        <f t="shared" si="384"/>
        <v>2.0958035921052631</v>
      </c>
      <c r="CZ153" s="188">
        <f t="shared" si="385"/>
        <v>1.3653443596776957</v>
      </c>
      <c r="DA153" s="172">
        <f t="shared" si="386"/>
        <v>350</v>
      </c>
      <c r="DB153" s="379">
        <f t="shared" si="387"/>
        <v>288.92148325669376</v>
      </c>
      <c r="DD153" s="188">
        <f t="shared" si="388"/>
        <v>7.3619779020761014</v>
      </c>
      <c r="DE153" s="150">
        <f t="shared" si="389"/>
        <v>1.1270780501549733</v>
      </c>
      <c r="DF153" s="150">
        <f t="shared" si="390"/>
        <v>1.3928696857096292</v>
      </c>
      <c r="DG153" s="150"/>
      <c r="DH153" s="150">
        <f t="shared" si="391"/>
        <v>0.92784522751949461</v>
      </c>
      <c r="DI153" s="314">
        <f t="shared" si="392"/>
        <v>637.73890563829798</v>
      </c>
      <c r="DJ153" s="456">
        <f t="shared" si="393"/>
        <v>0.94395997276890675</v>
      </c>
      <c r="DL153" s="150">
        <f t="shared" si="394"/>
        <v>8.0871394020510543</v>
      </c>
      <c r="DM153" s="150">
        <f t="shared" si="395"/>
        <v>8.9183131578947368</v>
      </c>
      <c r="DN153" s="150">
        <f t="shared" si="396"/>
        <v>3.3168200720656857</v>
      </c>
      <c r="DP153" s="314">
        <f t="shared" si="397"/>
        <v>1720</v>
      </c>
      <c r="DQ153" s="144">
        <f t="shared" si="398"/>
        <v>288.92148325669376</v>
      </c>
      <c r="DS153" s="144">
        <f t="shared" si="399"/>
        <v>1720</v>
      </c>
      <c r="DT153" s="144">
        <f t="shared" si="400"/>
        <v>288.92148325669376</v>
      </c>
      <c r="DV153" s="5">
        <f t="shared" si="401"/>
        <v>3.4611479517829586</v>
      </c>
      <c r="DW153" s="5">
        <f t="shared" si="402"/>
        <v>2.0958035921052631</v>
      </c>
      <c r="DX153" s="5">
        <f t="shared" si="403"/>
        <v>1.3653443596776955</v>
      </c>
      <c r="DY153" s="150">
        <f t="shared" si="404"/>
        <v>0.60552268244575946</v>
      </c>
      <c r="EA153" s="5">
        <f t="shared" si="405"/>
        <v>12.01594059473684</v>
      </c>
      <c r="EB153" s="5">
        <f t="shared" si="406"/>
        <v>12.766936881907894</v>
      </c>
      <c r="EC153" s="5">
        <f t="shared" si="407"/>
        <v>2.0721108517461495</v>
      </c>
      <c r="ED153" s="5"/>
      <c r="EE153" s="150">
        <f t="shared" si="408"/>
        <v>4.0067043618622353</v>
      </c>
      <c r="EF153" s="150">
        <f t="shared" si="409"/>
        <v>3.1021089396507806</v>
      </c>
      <c r="EG153" s="150">
        <f t="shared" si="410"/>
        <v>0.62268871369374701</v>
      </c>
      <c r="EH153" s="150"/>
      <c r="EI153" s="456">
        <f t="shared" si="411"/>
        <v>0.19264415812039037</v>
      </c>
      <c r="EJ153" s="456">
        <f t="shared" si="412"/>
        <v>2.4821276595744686</v>
      </c>
      <c r="EK153" s="456">
        <f t="shared" si="413"/>
        <v>3.3225970574519779E-2</v>
      </c>
      <c r="EL153" s="456">
        <f t="shared" si="414"/>
        <v>0.38433161295943818</v>
      </c>
      <c r="EM153">
        <f t="shared" si="415"/>
        <v>8.9999999999999993E-3</v>
      </c>
      <c r="EN153" s="144">
        <f t="shared" si="416"/>
        <v>42.225970574519778</v>
      </c>
      <c r="EP153" s="144">
        <f t="shared" si="438"/>
        <v>3101.329401228817</v>
      </c>
      <c r="EQ153" s="150">
        <f t="shared" si="417"/>
        <v>1.204</v>
      </c>
      <c r="ER153" s="150">
        <f t="shared" si="473"/>
        <v>0.17507449999999999</v>
      </c>
      <c r="ES153" s="456"/>
      <c r="EU153" s="144">
        <f t="shared" si="419"/>
        <v>1379.0744999999999</v>
      </c>
      <c r="EV153" s="456">
        <f t="shared" si="420"/>
        <v>0.22475151780712208</v>
      </c>
      <c r="EW153" s="456">
        <f t="shared" si="421"/>
        <v>0.13472311822845806</v>
      </c>
      <c r="EX153" s="456">
        <f t="shared" si="422"/>
        <v>1.9387061708078662E-3</v>
      </c>
      <c r="EY153" s="456">
        <f t="shared" si="423"/>
        <v>16.851027564949874</v>
      </c>
      <c r="EZ153" s="456"/>
      <c r="FA153" s="538">
        <f t="shared" si="424"/>
        <v>2.297974853727546</v>
      </c>
      <c r="FB153" s="144">
        <f t="shared" si="425"/>
        <v>19510.415760883807</v>
      </c>
      <c r="FC153" s="150">
        <f t="shared" si="426"/>
        <v>23.990819662112624</v>
      </c>
      <c r="FD153" s="5">
        <f t="shared" si="427"/>
        <v>53.792999999999999</v>
      </c>
      <c r="FE153" s="150">
        <f t="shared" si="428"/>
        <v>0.69157056356544289</v>
      </c>
      <c r="FF153" s="5">
        <f t="shared" si="429"/>
        <v>69.157056356544288</v>
      </c>
      <c r="FG153">
        <f t="shared" si="430"/>
        <v>43</v>
      </c>
      <c r="FI153" s="59">
        <f t="shared" si="431"/>
        <v>-50</v>
      </c>
      <c r="FJ153">
        <f t="shared" si="432"/>
        <v>-50</v>
      </c>
    </row>
    <row r="154" spans="5:166">
      <c r="E154" s="147">
        <v>44</v>
      </c>
      <c r="F154" s="188">
        <f t="shared" si="474"/>
        <v>1.76</v>
      </c>
      <c r="G154" s="188">
        <f t="shared" si="443"/>
        <v>0.374</v>
      </c>
      <c r="H154" s="188">
        <f t="shared" si="444"/>
        <v>52.8</v>
      </c>
      <c r="I154" s="188">
        <f t="shared" si="445"/>
        <v>2.2439999999999998</v>
      </c>
      <c r="J154" s="465">
        <f t="shared" si="446"/>
        <v>19.85838094086305</v>
      </c>
      <c r="K154" s="379">
        <f t="shared" si="447"/>
        <v>30.806745797747009</v>
      </c>
      <c r="L154" s="149">
        <f t="shared" si="448"/>
        <v>50.665126738610056</v>
      </c>
      <c r="M154" s="379"/>
      <c r="N154" s="188">
        <f t="shared" si="449"/>
        <v>0.60804635813276875</v>
      </c>
      <c r="O154" s="149">
        <f t="shared" si="450"/>
        <v>175.49329568352539</v>
      </c>
      <c r="P154" s="149">
        <f t="shared" si="451"/>
        <v>7.4584650665498282</v>
      </c>
      <c r="Q154" s="188">
        <f t="shared" si="321"/>
        <v>5.8497765227841798</v>
      </c>
      <c r="R154" s="188">
        <f t="shared" si="452"/>
        <v>29.248882613920898</v>
      </c>
      <c r="S154" s="188">
        <f t="shared" si="453"/>
        <v>30</v>
      </c>
      <c r="T154" s="188">
        <f t="shared" si="454"/>
        <v>9.1171574034677025</v>
      </c>
      <c r="U154" s="188">
        <f t="shared" si="325"/>
        <v>2.1578113504773921</v>
      </c>
      <c r="V154" s="188">
        <f t="shared" si="326"/>
        <v>1.3909498938194245</v>
      </c>
      <c r="W154" s="172">
        <f t="shared" si="327"/>
        <v>350</v>
      </c>
      <c r="X154" s="379">
        <f t="shared" si="434"/>
        <v>266.75478506969506</v>
      </c>
      <c r="Z154" s="188">
        <f t="shared" si="328"/>
        <v>7.3403138051701902</v>
      </c>
      <c r="AA154" s="150">
        <f t="shared" si="329"/>
        <v>1.1198675481920894</v>
      </c>
      <c r="AB154" s="150">
        <f t="shared" si="455"/>
        <v>1.3798862006641583</v>
      </c>
      <c r="AC154" s="150"/>
      <c r="AD154" s="150">
        <f t="shared" si="331"/>
        <v>0.92463023104931996</v>
      </c>
      <c r="AE154" s="314">
        <f t="shared" si="456"/>
        <v>654.83906935734115</v>
      </c>
      <c r="AF154" s="456">
        <f t="shared" si="457"/>
        <v>0.94068913848488334</v>
      </c>
      <c r="AH154" s="150">
        <f t="shared" si="458"/>
        <v>8.1806354491924154</v>
      </c>
      <c r="AI154" s="150">
        <f t="shared" si="459"/>
        <v>9.1171574034677025</v>
      </c>
      <c r="AJ154" s="150">
        <f t="shared" si="460"/>
        <v>3.4641121058234381</v>
      </c>
      <c r="AL154" s="314">
        <f t="shared" si="461"/>
        <v>1760</v>
      </c>
      <c r="AM154" s="144">
        <f t="shared" si="462"/>
        <v>266.75478506969506</v>
      </c>
      <c r="AO154" s="144">
        <f t="shared" si="339"/>
        <v>1760</v>
      </c>
      <c r="AP154" s="144">
        <f t="shared" si="340"/>
        <v>266.75478506969506</v>
      </c>
      <c r="AR154" s="5">
        <f t="shared" si="442"/>
        <v>3.748761244296817</v>
      </c>
      <c r="AS154" s="5">
        <f t="shared" si="439"/>
        <v>2.1578113504773921</v>
      </c>
      <c r="AT154" s="5">
        <f t="shared" si="440"/>
        <v>1.5909498938194249</v>
      </c>
      <c r="AU154" s="150">
        <f t="shared" si="441"/>
        <v>0.57560650301754512</v>
      </c>
      <c r="AW154" s="5">
        <f t="shared" si="341"/>
        <v>12.659159922800701</v>
      </c>
      <c r="AX154" s="5">
        <f t="shared" si="342"/>
        <v>13.450357417975743</v>
      </c>
      <c r="AY154" s="5">
        <f t="shared" si="343"/>
        <v>2.4882709292073031</v>
      </c>
      <c r="AZ154" s="5"/>
      <c r="BA154" s="150">
        <f t="shared" si="344"/>
        <v>3.993573403052523</v>
      </c>
      <c r="BB154" s="150">
        <f t="shared" si="345"/>
        <v>3.2893275462708034</v>
      </c>
      <c r="BC154" s="150">
        <f t="shared" si="346"/>
        <v>0.660269248614897</v>
      </c>
      <c r="BD154" s="150"/>
      <c r="BE154" s="456">
        <f t="shared" si="347"/>
        <v>0.19138354230682211</v>
      </c>
      <c r="BF154" s="456">
        <f t="shared" si="463"/>
        <v>2.2487629301083421</v>
      </c>
      <c r="BG154" s="456">
        <f t="shared" si="349"/>
        <v>3.0676800283014935E-2</v>
      </c>
      <c r="BH154" s="456">
        <f t="shared" si="350"/>
        <v>0.35435685572690495</v>
      </c>
      <c r="BI154">
        <f t="shared" si="351"/>
        <v>8.9362714233883721E-3</v>
      </c>
      <c r="BJ154" s="144">
        <f t="shared" si="435"/>
        <v>39.613071706403311</v>
      </c>
      <c r="BK154">
        <f t="shared" si="464"/>
        <v>2.9817659201371556</v>
      </c>
      <c r="BL154" s="144">
        <f t="shared" si="436"/>
        <v>2834.1163998484731</v>
      </c>
      <c r="BM154" s="150">
        <f t="shared" si="465"/>
        <v>1.180256</v>
      </c>
      <c r="BN154" s="150">
        <f t="shared" si="466"/>
        <v>0.25080439999999998</v>
      </c>
      <c r="BO154" s="456"/>
      <c r="BQ154" s="144">
        <f t="shared" si="355"/>
        <v>1431.0604000000001</v>
      </c>
      <c r="BR154" s="456">
        <f t="shared" si="356"/>
        <v>0.22328079935795914</v>
      </c>
      <c r="BS154" s="456">
        <f t="shared" si="357"/>
        <v>0.15147545989318265</v>
      </c>
      <c r="BT154" s="456">
        <f t="shared" si="358"/>
        <v>2.1797774033324034E-3</v>
      </c>
      <c r="BU154" s="456">
        <f t="shared" si="359"/>
        <v>14.584756497308637</v>
      </c>
      <c r="BV154" s="456"/>
      <c r="BW154" s="538">
        <f t="shared" si="467"/>
        <v>2.2173340392393506</v>
      </c>
      <c r="BX154" s="144">
        <f t="shared" si="361"/>
        <v>17179.026573202464</v>
      </c>
      <c r="BY154" s="150">
        <f t="shared" si="362"/>
        <v>21.444203373050936</v>
      </c>
      <c r="BZ154" s="5">
        <f t="shared" si="363"/>
        <v>55.043999999999997</v>
      </c>
      <c r="CA154" s="150">
        <f t="shared" si="364"/>
        <v>0.71964038338745495</v>
      </c>
      <c r="CB154" s="5">
        <f t="shared" si="365"/>
        <v>71.964038338745496</v>
      </c>
      <c r="CC154">
        <f t="shared" si="366"/>
        <v>44</v>
      </c>
      <c r="CE154" s="59">
        <f t="shared" si="468"/>
        <v>-50</v>
      </c>
      <c r="CF154">
        <f t="shared" si="469"/>
        <v>-50</v>
      </c>
      <c r="CG154" s="150">
        <f t="shared" si="369"/>
        <v>0.39199567588303091</v>
      </c>
      <c r="CH154" s="150">
        <f t="shared" si="470"/>
        <v>8.2740061272353602E-2</v>
      </c>
      <c r="CI154" s="147">
        <v>44</v>
      </c>
      <c r="CJ154" s="188">
        <f t="shared" si="437"/>
        <v>1.76</v>
      </c>
      <c r="CK154" s="188">
        <f t="shared" si="371"/>
        <v>0.374</v>
      </c>
      <c r="CL154" s="188">
        <f t="shared" si="372"/>
        <v>52.8</v>
      </c>
      <c r="CM154" s="188">
        <f t="shared" si="373"/>
        <v>2.2439999999999998</v>
      </c>
      <c r="CN154" s="465">
        <f t="shared" si="374"/>
        <v>20</v>
      </c>
      <c r="CO154" s="379">
        <f t="shared" si="471"/>
        <v>30.7</v>
      </c>
      <c r="CP154" s="379">
        <f t="shared" si="472"/>
        <v>50.7</v>
      </c>
      <c r="CQ154" s="379"/>
      <c r="CR154" s="188">
        <f t="shared" si="377"/>
        <v>0.60317460317460314</v>
      </c>
      <c r="CS154" s="149">
        <f t="shared" si="378"/>
        <v>175.32871249897633</v>
      </c>
      <c r="CT154" s="149">
        <f t="shared" si="379"/>
        <v>7.4514702812064924</v>
      </c>
      <c r="CU154" s="188">
        <f t="shared" si="380"/>
        <v>5.8442904166325444</v>
      </c>
      <c r="CV154" s="188">
        <f t="shared" si="381"/>
        <v>29.22145208316272</v>
      </c>
      <c r="CW154" s="188">
        <f t="shared" si="382"/>
        <v>30</v>
      </c>
      <c r="CX154" s="188">
        <f t="shared" si="383"/>
        <v>9.1257157894736842</v>
      </c>
      <c r="CY154" s="188">
        <f t="shared" si="384"/>
        <v>2.1445432105263156</v>
      </c>
      <c r="CZ154" s="188">
        <f t="shared" si="385"/>
        <v>1.397096554088805</v>
      </c>
      <c r="DA154" s="172">
        <f t="shared" si="386"/>
        <v>350</v>
      </c>
      <c r="DB154" s="379">
        <f t="shared" si="387"/>
        <v>282.35508590995073</v>
      </c>
      <c r="DD154" s="188">
        <f t="shared" si="388"/>
        <v>7.3619779020761014</v>
      </c>
      <c r="DE154" s="150">
        <f t="shared" si="389"/>
        <v>1.1270780501549733</v>
      </c>
      <c r="DF154" s="150">
        <f t="shared" si="390"/>
        <v>1.3928696857096292</v>
      </c>
      <c r="DG154" s="150"/>
      <c r="DH154" s="150">
        <f t="shared" si="391"/>
        <v>0.92784522751949461</v>
      </c>
      <c r="DI154" s="314">
        <f t="shared" si="392"/>
        <v>652.57004297872345</v>
      </c>
      <c r="DJ154" s="456">
        <f t="shared" si="393"/>
        <v>0.94395997276890675</v>
      </c>
      <c r="DL154" s="150">
        <f t="shared" si="394"/>
        <v>8.1806354491924154</v>
      </c>
      <c r="DM154" s="150">
        <f t="shared" si="395"/>
        <v>9.1257157894736842</v>
      </c>
      <c r="DN154" s="150">
        <f t="shared" si="396"/>
        <v>3.4704516510130548</v>
      </c>
      <c r="DP154" s="314">
        <f t="shared" si="397"/>
        <v>1760</v>
      </c>
      <c r="DQ154" s="144">
        <f t="shared" si="398"/>
        <v>282.35508590995073</v>
      </c>
      <c r="DS154" s="144">
        <f t="shared" si="399"/>
        <v>1760</v>
      </c>
      <c r="DT154" s="144">
        <f t="shared" si="400"/>
        <v>282.35508590995073</v>
      </c>
      <c r="DV154" s="5">
        <f t="shared" si="401"/>
        <v>3.5416397646151205</v>
      </c>
      <c r="DW154" s="5">
        <f t="shared" si="402"/>
        <v>2.1445432105263156</v>
      </c>
      <c r="DX154" s="5">
        <f t="shared" si="403"/>
        <v>1.397096554088805</v>
      </c>
      <c r="DY154" s="150">
        <f t="shared" si="404"/>
        <v>0.60552268244575935</v>
      </c>
      <c r="EA154" s="5">
        <f t="shared" si="405"/>
        <v>12.581320168421051</v>
      </c>
      <c r="EB154" s="5">
        <f t="shared" si="406"/>
        <v>13.367652678947367</v>
      </c>
      <c r="EC154" s="5">
        <f t="shared" si="407"/>
        <v>2.1696087663496733</v>
      </c>
      <c r="ED154" s="5"/>
      <c r="EE154" s="150">
        <f t="shared" si="408"/>
        <v>4.0998835330683328</v>
      </c>
      <c r="EF154" s="150">
        <f t="shared" si="409"/>
        <v>3.1742510080147524</v>
      </c>
      <c r="EG154" s="150">
        <f t="shared" si="410"/>
        <v>0.63716984657034581</v>
      </c>
      <c r="EH154" s="150"/>
      <c r="EI154" s="456">
        <f t="shared" si="411"/>
        <v>0.20170853981669851</v>
      </c>
      <c r="EJ154" s="456">
        <f t="shared" si="412"/>
        <v>2.482127659574469</v>
      </c>
      <c r="EK154" s="456">
        <f t="shared" si="413"/>
        <v>3.2470834879644341E-2</v>
      </c>
      <c r="EL154" s="456">
        <f t="shared" si="414"/>
        <v>0.37559680357399644</v>
      </c>
      <c r="EM154">
        <f t="shared" si="415"/>
        <v>8.9999999999999993E-3</v>
      </c>
      <c r="EN154" s="144">
        <f t="shared" si="416"/>
        <v>41.470834879644343</v>
      </c>
      <c r="EP154" s="144">
        <f t="shared" si="438"/>
        <v>3100.9038378448085</v>
      </c>
      <c r="EQ154" s="150">
        <f t="shared" si="417"/>
        <v>1.232</v>
      </c>
      <c r="ER154" s="150">
        <f t="shared" si="473"/>
        <v>0.179146</v>
      </c>
      <c r="ES154" s="456"/>
      <c r="EU154" s="144">
        <f t="shared" si="419"/>
        <v>1411.146</v>
      </c>
      <c r="EV154" s="456">
        <f t="shared" si="420"/>
        <v>0.23532662978614824</v>
      </c>
      <c r="EW154" s="456">
        <f t="shared" si="421"/>
        <v>0.14106217246635741</v>
      </c>
      <c r="EX154" s="456">
        <f t="shared" si="422"/>
        <v>2.0299270668923904E-3</v>
      </c>
      <c r="EY154" s="456">
        <f t="shared" si="423"/>
        <v>16.851027564949874</v>
      </c>
      <c r="EZ154" s="456"/>
      <c r="FA154" s="538">
        <f t="shared" si="424"/>
        <v>2.3514161293956284</v>
      </c>
      <c r="FB154" s="144">
        <f t="shared" si="425"/>
        <v>19580.862423664901</v>
      </c>
      <c r="FC154" s="150">
        <f t="shared" si="426"/>
        <v>24.092912261509706</v>
      </c>
      <c r="FD154" s="5">
        <f t="shared" si="427"/>
        <v>55.043999999999997</v>
      </c>
      <c r="FE154" s="150">
        <f t="shared" si="428"/>
        <v>0.69555405217360344</v>
      </c>
      <c r="FF154" s="5">
        <f t="shared" si="429"/>
        <v>69.555405217360345</v>
      </c>
      <c r="FG154">
        <f t="shared" si="430"/>
        <v>44</v>
      </c>
      <c r="FI154" s="59">
        <f t="shared" si="431"/>
        <v>-50</v>
      </c>
      <c r="FJ154">
        <f t="shared" si="432"/>
        <v>-50</v>
      </c>
    </row>
    <row r="155" spans="5:166">
      <c r="E155" s="147">
        <v>45</v>
      </c>
      <c r="F155" s="188">
        <f t="shared" si="474"/>
        <v>1.8</v>
      </c>
      <c r="G155" s="188">
        <f t="shared" si="443"/>
        <v>0.38250000000000001</v>
      </c>
      <c r="H155" s="188">
        <f t="shared" si="444"/>
        <v>54</v>
      </c>
      <c r="I155" s="188">
        <f t="shared" si="445"/>
        <v>2.2949999999999999</v>
      </c>
      <c r="J155" s="465">
        <f t="shared" si="446"/>
        <v>19.855162325882663</v>
      </c>
      <c r="K155" s="379">
        <f t="shared" si="447"/>
        <v>30.809171838604893</v>
      </c>
      <c r="L155" s="149">
        <f t="shared" si="448"/>
        <v>50.664334164487556</v>
      </c>
      <c r="M155" s="379"/>
      <c r="N155" s="188">
        <f t="shared" si="449"/>
        <v>0.60810375477509271</v>
      </c>
      <c r="O155" s="149">
        <f t="shared" si="450"/>
        <v>175.48141504306679</v>
      </c>
      <c r="P155" s="149">
        <f t="shared" si="451"/>
        <v>7.4579601393303383</v>
      </c>
      <c r="Q155" s="188">
        <f t="shared" si="321"/>
        <v>5.8493805014355598</v>
      </c>
      <c r="R155" s="188">
        <f t="shared" si="452"/>
        <v>29.246902507177797</v>
      </c>
      <c r="S155" s="188">
        <f t="shared" si="453"/>
        <v>30</v>
      </c>
      <c r="T155" s="188">
        <f t="shared" si="454"/>
        <v>9.3249968149734759</v>
      </c>
      <c r="U155" s="188">
        <f t="shared" si="325"/>
        <v>2.207359693717688</v>
      </c>
      <c r="V155" s="188">
        <f t="shared" si="326"/>
        <v>1.4225466773325621</v>
      </c>
      <c r="W155" s="172">
        <f t="shared" si="327"/>
        <v>350</v>
      </c>
      <c r="X155" s="379">
        <f t="shared" si="434"/>
        <v>261.10298872026385</v>
      </c>
      <c r="Z155" s="188">
        <f t="shared" si="328"/>
        <v>7.339816876618972</v>
      </c>
      <c r="AA155" s="150">
        <f t="shared" si="329"/>
        <v>1.1197035577854491</v>
      </c>
      <c r="AB155" s="150">
        <f t="shared" si="455"/>
        <v>1.3795907312160098</v>
      </c>
      <c r="AC155" s="150"/>
      <c r="AD155" s="150">
        <f t="shared" si="331"/>
        <v>0.9245574218634478</v>
      </c>
      <c r="AE155" s="314">
        <f t="shared" si="456"/>
        <v>669.77451627818868</v>
      </c>
      <c r="AF155" s="456">
        <f t="shared" si="457"/>
        <v>0.94061506475461587</v>
      </c>
      <c r="AH155" s="150">
        <f t="shared" si="458"/>
        <v>8.2730749420611733</v>
      </c>
      <c r="AI155" s="150">
        <f t="shared" si="459"/>
        <v>9.3249968149734759</v>
      </c>
      <c r="AJ155" s="150">
        <f t="shared" si="460"/>
        <v>3.6180672254573443</v>
      </c>
      <c r="AL155" s="314">
        <f t="shared" si="461"/>
        <v>1800</v>
      </c>
      <c r="AM155" s="144">
        <f t="shared" si="462"/>
        <v>261.10298872026385</v>
      </c>
      <c r="AO155" s="144">
        <f t="shared" si="339"/>
        <v>1800</v>
      </c>
      <c r="AP155" s="144">
        <f t="shared" si="340"/>
        <v>261.10298872026385</v>
      </c>
      <c r="AR155" s="5">
        <f t="shared" si="442"/>
        <v>3.8299063710502494</v>
      </c>
      <c r="AS155" s="5">
        <f t="shared" si="439"/>
        <v>2.207359693717688</v>
      </c>
      <c r="AT155" s="5">
        <f t="shared" si="440"/>
        <v>1.6225466773325614</v>
      </c>
      <c r="AU155" s="150">
        <f t="shared" si="441"/>
        <v>0.57634821321033458</v>
      </c>
      <c r="AW155" s="5">
        <f t="shared" si="341"/>
        <v>13.24415816230613</v>
      </c>
      <c r="AX155" s="5">
        <f t="shared" si="342"/>
        <v>14.071918047450263</v>
      </c>
      <c r="AY155" s="5">
        <f t="shared" si="343"/>
        <v>2.5957842670806079</v>
      </c>
      <c r="AZ155" s="5"/>
      <c r="BA155" s="150">
        <f t="shared" si="344"/>
        <v>4.087243768190274</v>
      </c>
      <c r="BB155" s="150">
        <f t="shared" si="345"/>
        <v>3.3613715684497047</v>
      </c>
      <c r="BC155" s="150">
        <f t="shared" si="346"/>
        <v>0.67473070060534646</v>
      </c>
      <c r="BD155" s="150"/>
      <c r="BE155" s="456">
        <f t="shared" si="347"/>
        <v>0.20046673944732277</v>
      </c>
      <c r="BF155" s="456">
        <f t="shared" si="463"/>
        <v>2.2512604586763132</v>
      </c>
      <c r="BG155" s="456">
        <f t="shared" si="349"/>
        <v>3.0026843702830344E-2</v>
      </c>
      <c r="BH155" s="456">
        <f t="shared" si="350"/>
        <v>0.34683816200889372</v>
      </c>
      <c r="BI155">
        <f t="shared" si="351"/>
        <v>8.934823046647198E-3</v>
      </c>
      <c r="BJ155" s="144">
        <f t="shared" si="435"/>
        <v>38.961666749477544</v>
      </c>
      <c r="BK155">
        <f t="shared" si="464"/>
        <v>2.9953632175528502</v>
      </c>
      <c r="BL155" s="144">
        <f t="shared" si="436"/>
        <v>2837.5270268820072</v>
      </c>
      <c r="BM155" s="150">
        <f t="shared" si="465"/>
        <v>1.2070799999999999</v>
      </c>
      <c r="BN155" s="150">
        <f t="shared" si="466"/>
        <v>0.25650449999999997</v>
      </c>
      <c r="BO155" s="456"/>
      <c r="BQ155" s="144">
        <f t="shared" si="355"/>
        <v>1463.5844999999999</v>
      </c>
      <c r="BR155" s="456">
        <f t="shared" si="356"/>
        <v>0.23387786268854321</v>
      </c>
      <c r="BS155" s="456">
        <f t="shared" si="357"/>
        <v>0.15818346349654838</v>
      </c>
      <c r="BT155" s="456">
        <f t="shared" si="358"/>
        <v>2.2763075916969085E-3</v>
      </c>
      <c r="BU155" s="456">
        <f t="shared" si="359"/>
        <v>14.625857650024404</v>
      </c>
      <c r="BV155" s="456"/>
      <c r="BW155" s="538">
        <f t="shared" si="467"/>
        <v>2.2704358063829178</v>
      </c>
      <c r="BX155" s="144">
        <f t="shared" si="361"/>
        <v>17290.63109018411</v>
      </c>
      <c r="BY155" s="150">
        <f t="shared" si="362"/>
        <v>21.591742617066117</v>
      </c>
      <c r="BZ155" s="5">
        <f t="shared" si="363"/>
        <v>56.295000000000002</v>
      </c>
      <c r="CA155" s="150">
        <f t="shared" si="364"/>
        <v>0.72278025898164788</v>
      </c>
      <c r="CB155" s="5">
        <f t="shared" si="365"/>
        <v>72.278025898164785</v>
      </c>
      <c r="CC155">
        <f t="shared" si="366"/>
        <v>45</v>
      </c>
      <c r="CE155" s="59">
        <f t="shared" si="468"/>
        <v>-50</v>
      </c>
      <c r="CF155">
        <f t="shared" si="469"/>
        <v>-50</v>
      </c>
      <c r="CG155" s="150">
        <f t="shared" si="369"/>
        <v>0.39199567588303097</v>
      </c>
      <c r="CH155" s="150">
        <f t="shared" si="470"/>
        <v>8.2740061272353616E-2</v>
      </c>
      <c r="CI155" s="147">
        <v>45</v>
      </c>
      <c r="CJ155" s="188">
        <f t="shared" si="437"/>
        <v>1.8</v>
      </c>
      <c r="CK155" s="188">
        <f t="shared" si="371"/>
        <v>0.38250000000000001</v>
      </c>
      <c r="CL155" s="188">
        <f t="shared" si="372"/>
        <v>54</v>
      </c>
      <c r="CM155" s="188">
        <f t="shared" si="373"/>
        <v>2.2949999999999999</v>
      </c>
      <c r="CN155" s="465">
        <f t="shared" si="374"/>
        <v>20</v>
      </c>
      <c r="CO155" s="379">
        <f t="shared" si="471"/>
        <v>30.7</v>
      </c>
      <c r="CP155" s="379">
        <f t="shared" si="472"/>
        <v>50.7</v>
      </c>
      <c r="CQ155" s="379"/>
      <c r="CR155" s="188">
        <f t="shared" si="377"/>
        <v>0.60317460317460314</v>
      </c>
      <c r="CS155" s="149">
        <f t="shared" si="378"/>
        <v>175.32871249897633</v>
      </c>
      <c r="CT155" s="149">
        <f t="shared" si="379"/>
        <v>7.4514702812064924</v>
      </c>
      <c r="CU155" s="188">
        <f t="shared" si="380"/>
        <v>5.8442904166325444</v>
      </c>
      <c r="CV155" s="188">
        <f t="shared" si="381"/>
        <v>29.22145208316272</v>
      </c>
      <c r="CW155" s="188">
        <f t="shared" si="382"/>
        <v>30</v>
      </c>
      <c r="CX155" s="188">
        <f t="shared" si="383"/>
        <v>9.3331184210526317</v>
      </c>
      <c r="CY155" s="188">
        <f t="shared" si="384"/>
        <v>2.1932828289473685</v>
      </c>
      <c r="CZ155" s="188">
        <f t="shared" si="385"/>
        <v>1.4288487484999142</v>
      </c>
      <c r="DA155" s="172">
        <f t="shared" si="386"/>
        <v>350</v>
      </c>
      <c r="DB155" s="379">
        <f t="shared" si="387"/>
        <v>276.08052844528515</v>
      </c>
      <c r="DD155" s="188">
        <f t="shared" si="388"/>
        <v>7.3619779020761014</v>
      </c>
      <c r="DE155" s="150">
        <f t="shared" si="389"/>
        <v>1.1270780501549733</v>
      </c>
      <c r="DF155" s="150">
        <f t="shared" si="390"/>
        <v>1.3928696857096292</v>
      </c>
      <c r="DG155" s="150"/>
      <c r="DH155" s="150">
        <f t="shared" si="391"/>
        <v>0.92784522751949461</v>
      </c>
      <c r="DI155" s="314">
        <f t="shared" si="392"/>
        <v>667.40118031914915</v>
      </c>
      <c r="DJ155" s="456">
        <f t="shared" si="393"/>
        <v>0.94395997276890675</v>
      </c>
      <c r="DL155" s="150">
        <f t="shared" si="394"/>
        <v>8.2730749420611733</v>
      </c>
      <c r="DM155" s="150">
        <f t="shared" si="395"/>
        <v>9.3331184210526317</v>
      </c>
      <c r="DN155" s="150">
        <f t="shared" si="396"/>
        <v>3.6240832299604229</v>
      </c>
      <c r="DP155" s="314">
        <f t="shared" si="397"/>
        <v>1800</v>
      </c>
      <c r="DQ155" s="144">
        <f t="shared" si="398"/>
        <v>276.08052844528515</v>
      </c>
      <c r="DS155" s="144">
        <f t="shared" si="399"/>
        <v>1800</v>
      </c>
      <c r="DT155" s="144">
        <f t="shared" si="400"/>
        <v>276.08052844528515</v>
      </c>
      <c r="DV155" s="5">
        <f t="shared" si="401"/>
        <v>3.6221315774472824</v>
      </c>
      <c r="DW155" s="5">
        <f t="shared" si="402"/>
        <v>2.1932828289473685</v>
      </c>
      <c r="DX155" s="5">
        <f t="shared" si="403"/>
        <v>1.4288487484999139</v>
      </c>
      <c r="DY155" s="150">
        <f t="shared" si="404"/>
        <v>0.60552268244575946</v>
      </c>
      <c r="EA155" s="5">
        <f t="shared" si="405"/>
        <v>13.159696973684211</v>
      </c>
      <c r="EB155" s="5">
        <f t="shared" si="406"/>
        <v>13.982178034539473</v>
      </c>
      <c r="EC155" s="5">
        <f t="shared" si="407"/>
        <v>2.2693480123233929</v>
      </c>
      <c r="ED155" s="5"/>
      <c r="EE155" s="150">
        <f t="shared" si="408"/>
        <v>4.193062704274432</v>
      </c>
      <c r="EF155" s="150">
        <f t="shared" si="409"/>
        <v>3.2463930763787237</v>
      </c>
      <c r="EG155" s="150">
        <f t="shared" si="410"/>
        <v>0.6516509794469445</v>
      </c>
      <c r="EH155" s="150"/>
      <c r="EI155" s="456">
        <f t="shared" si="411"/>
        <v>0.21098129810372654</v>
      </c>
      <c r="EJ155" s="456">
        <f t="shared" si="412"/>
        <v>2.482127659574469</v>
      </c>
      <c r="EK155" s="456">
        <f t="shared" si="413"/>
        <v>3.1749260771207793E-2</v>
      </c>
      <c r="EL155" s="456">
        <f t="shared" si="414"/>
        <v>0.36725020793901869</v>
      </c>
      <c r="EM155">
        <f t="shared" si="415"/>
        <v>8.9999999999999993E-3</v>
      </c>
      <c r="EN155" s="144">
        <f t="shared" si="416"/>
        <v>40.749260771207794</v>
      </c>
      <c r="EP155" s="144">
        <f t="shared" si="438"/>
        <v>3101.1084263884218</v>
      </c>
      <c r="EQ155" s="150">
        <f t="shared" si="417"/>
        <v>1.26</v>
      </c>
      <c r="ER155" s="150">
        <f t="shared" si="473"/>
        <v>0.18321750000000001</v>
      </c>
      <c r="ES155" s="456"/>
      <c r="EU155" s="144">
        <f t="shared" si="419"/>
        <v>1443.2175</v>
      </c>
      <c r="EV155" s="456">
        <f t="shared" si="420"/>
        <v>0.24614484778768095</v>
      </c>
      <c r="EW155" s="456">
        <f t="shared" si="421"/>
        <v>0.14754695208903598</v>
      </c>
      <c r="EX155" s="456">
        <f t="shared" si="422"/>
        <v>2.1232449950708103E-3</v>
      </c>
      <c r="EY155" s="456">
        <f t="shared" si="423"/>
        <v>16.851027564949902</v>
      </c>
      <c r="EZ155" s="456"/>
      <c r="FA155" s="538">
        <f t="shared" si="424"/>
        <v>2.4048574050637113</v>
      </c>
      <c r="FB155" s="144">
        <f t="shared" si="425"/>
        <v>19651.700014885402</v>
      </c>
      <c r="FC155" s="150">
        <f t="shared" si="426"/>
        <v>24.196025941273824</v>
      </c>
      <c r="FD155" s="5">
        <f t="shared" si="427"/>
        <v>56.295000000000002</v>
      </c>
      <c r="FE155" s="150">
        <f t="shared" si="428"/>
        <v>0.69939473800561047</v>
      </c>
      <c r="FF155" s="5">
        <f t="shared" si="429"/>
        <v>69.939473800561046</v>
      </c>
      <c r="FG155">
        <f t="shared" si="430"/>
        <v>45</v>
      </c>
      <c r="FI155" s="59">
        <f t="shared" si="431"/>
        <v>-50</v>
      </c>
      <c r="FJ155">
        <f t="shared" si="432"/>
        <v>-50</v>
      </c>
    </row>
    <row r="156" spans="5:166" s="59" customFormat="1">
      <c r="E156" s="147">
        <v>46</v>
      </c>
      <c r="F156" s="188">
        <f t="shared" si="474"/>
        <v>1.84</v>
      </c>
      <c r="G156" s="188">
        <f t="shared" si="443"/>
        <v>0.39100000000000001</v>
      </c>
      <c r="H156" s="188">
        <f t="shared" si="444"/>
        <v>55.2</v>
      </c>
      <c r="I156" s="188">
        <f t="shared" si="445"/>
        <v>2.3460000000000001</v>
      </c>
      <c r="J156" s="465">
        <f t="shared" si="446"/>
        <v>19.85194371090228</v>
      </c>
      <c r="K156" s="379">
        <f t="shared" si="447"/>
        <v>30.811597879462781</v>
      </c>
      <c r="L156" s="149">
        <f t="shared" si="448"/>
        <v>50.663541590365057</v>
      </c>
      <c r="M156" s="379"/>
      <c r="N156" s="188">
        <f t="shared" si="449"/>
        <v>0.60816115321322861</v>
      </c>
      <c r="O156" s="149">
        <f t="shared" si="450"/>
        <v>175.46952955085288</v>
      </c>
      <c r="P156" s="149">
        <f t="shared" si="451"/>
        <v>7.457455005911247</v>
      </c>
      <c r="Q156" s="188">
        <f t="shared" si="321"/>
        <v>5.8489843183617625</v>
      </c>
      <c r="R156" s="188">
        <f t="shared" si="452"/>
        <v>29.244921591808815</v>
      </c>
      <c r="S156" s="188">
        <f t="shared" si="453"/>
        <v>30</v>
      </c>
      <c r="T156" s="188">
        <f t="shared" si="454"/>
        <v>9.5328646347256516</v>
      </c>
      <c r="U156" s="188">
        <f t="shared" si="325"/>
        <v>2.2569308293275516</v>
      </c>
      <c r="V156" s="188">
        <f t="shared" si="326"/>
        <v>1.454142818509085</v>
      </c>
      <c r="W156" s="172">
        <f t="shared" si="327"/>
        <v>350</v>
      </c>
      <c r="X156" s="379">
        <f t="shared" si="434"/>
        <v>255.6842672991182</v>
      </c>
      <c r="Z156" s="188">
        <f t="shared" si="328"/>
        <v>7.3393197451346071</v>
      </c>
      <c r="AA156" s="462">
        <f t="shared" si="329"/>
        <v>1.1195395622479185</v>
      </c>
      <c r="AB156" s="150">
        <f t="shared" si="455"/>
        <v>1.3792952446680697</v>
      </c>
      <c r="AC156" s="462"/>
      <c r="AD156" s="462">
        <f t="shared" si="331"/>
        <v>0.92448462414326216</v>
      </c>
      <c r="AE156" s="314">
        <f t="shared" si="456"/>
        <v>684.71230723455119</v>
      </c>
      <c r="AF156" s="456">
        <f t="shared" si="457"/>
        <v>0.9405410026891704</v>
      </c>
      <c r="AH156" s="150">
        <f t="shared" si="458"/>
        <v>8.3644929099938512</v>
      </c>
      <c r="AI156" s="462">
        <f t="shared" si="459"/>
        <v>9.5328646347256516</v>
      </c>
      <c r="AJ156" s="462">
        <f t="shared" si="460"/>
        <v>3.7720433882367344</v>
      </c>
      <c r="AL156" s="484">
        <f t="shared" si="461"/>
        <v>1840</v>
      </c>
      <c r="AM156" s="485">
        <f t="shared" si="462"/>
        <v>255.6842672991182</v>
      </c>
      <c r="AO156" s="59">
        <f t="shared" si="339"/>
        <v>1840</v>
      </c>
      <c r="AP156" s="59">
        <f t="shared" si="340"/>
        <v>255.6842672991182</v>
      </c>
      <c r="AR156" s="167">
        <f t="shared" si="442"/>
        <v>3.9110736478366368</v>
      </c>
      <c r="AS156" s="5">
        <f t="shared" si="439"/>
        <v>2.2569308293275516</v>
      </c>
      <c r="AT156" s="5">
        <f t="shared" si="440"/>
        <v>1.6541428185090852</v>
      </c>
      <c r="AU156" s="150">
        <f t="shared" si="441"/>
        <v>0.57706170544140623</v>
      </c>
      <c r="AW156" s="5">
        <f t="shared" si="341"/>
        <v>13.842509086542316</v>
      </c>
      <c r="AX156" s="5">
        <f t="shared" si="342"/>
        <v>14.707665904451211</v>
      </c>
      <c r="AY156" s="5">
        <f t="shared" si="343"/>
        <v>2.7055784120866906</v>
      </c>
      <c r="AZ156" s="5"/>
      <c r="BA156" s="150">
        <f t="shared" si="344"/>
        <v>4.1809399147573183</v>
      </c>
      <c r="BB156" s="150">
        <f t="shared" si="345"/>
        <v>3.4334066186317562</v>
      </c>
      <c r="BC156" s="150">
        <f t="shared" si="346"/>
        <v>0.68919035163996678</v>
      </c>
      <c r="BD156" s="150"/>
      <c r="BE156" s="456">
        <f t="shared" si="347"/>
        <v>0.20976310284973118</v>
      </c>
      <c r="BF156" s="456">
        <f t="shared" si="463"/>
        <v>2.2536467667876878</v>
      </c>
      <c r="BG156" s="456">
        <f t="shared" si="349"/>
        <v>2.9403690739398598E-2</v>
      </c>
      <c r="BH156" s="456">
        <f t="shared" si="350"/>
        <v>0.33962953543138807</v>
      </c>
      <c r="BI156">
        <f t="shared" si="351"/>
        <v>8.9333746699060256E-3</v>
      </c>
      <c r="BJ156" s="144">
        <f t="shared" si="435"/>
        <v>38.337065409304621</v>
      </c>
      <c r="BK156">
        <f t="shared" si="464"/>
        <v>3.009676875236333</v>
      </c>
      <c r="BL156" s="144">
        <f t="shared" si="436"/>
        <v>2841.3764704781115</v>
      </c>
      <c r="BM156" s="150">
        <f t="shared" si="465"/>
        <v>1.2339039999999999</v>
      </c>
      <c r="BN156" s="150">
        <f t="shared" si="466"/>
        <v>0.26220460000000001</v>
      </c>
      <c r="BO156" s="456"/>
      <c r="BP156"/>
      <c r="BQ156" s="144">
        <f t="shared" si="355"/>
        <v>1496.1085999999998</v>
      </c>
      <c r="BR156" s="456">
        <f t="shared" si="356"/>
        <v>0.24472361999135306</v>
      </c>
      <c r="BS156" s="456">
        <f t="shared" si="357"/>
        <v>0.16503593412410092</v>
      </c>
      <c r="BT156" s="456">
        <f t="shared" si="358"/>
        <v>2.3749167039681055E-3</v>
      </c>
      <c r="BU156" s="456">
        <f t="shared" si="359"/>
        <v>14.66522007266021</v>
      </c>
      <c r="BV156" s="456"/>
      <c r="BW156" s="538">
        <f t="shared" si="467"/>
        <v>2.3235437715234468</v>
      </c>
      <c r="BX156" s="144">
        <f t="shared" si="361"/>
        <v>17400.89831500308</v>
      </c>
      <c r="BY156" s="150">
        <f t="shared" si="362"/>
        <v>21.738383385481193</v>
      </c>
      <c r="BZ156" s="5">
        <f t="shared" si="363"/>
        <v>57.546000000000006</v>
      </c>
      <c r="CA156" s="150">
        <f t="shared" si="364"/>
        <v>0.7258175890731341</v>
      </c>
      <c r="CB156" s="5">
        <f t="shared" si="365"/>
        <v>72.581758907313414</v>
      </c>
      <c r="CC156">
        <f t="shared" si="366"/>
        <v>46</v>
      </c>
      <c r="CE156" s="59">
        <f t="shared" si="468"/>
        <v>-50</v>
      </c>
      <c r="CF156">
        <f t="shared" si="469"/>
        <v>-50</v>
      </c>
      <c r="CG156" s="150">
        <f t="shared" si="369"/>
        <v>0.39199567588303086</v>
      </c>
      <c r="CH156" s="150">
        <f t="shared" si="470"/>
        <v>8.2740061272353588E-2</v>
      </c>
      <c r="CI156" s="147">
        <v>46</v>
      </c>
      <c r="CJ156" s="188">
        <f t="shared" si="437"/>
        <v>1.84</v>
      </c>
      <c r="CK156" s="188">
        <f t="shared" si="371"/>
        <v>0.39100000000000001</v>
      </c>
      <c r="CL156" s="188">
        <f t="shared" si="372"/>
        <v>55.2</v>
      </c>
      <c r="CM156" s="188">
        <f t="shared" si="373"/>
        <v>2.3460000000000001</v>
      </c>
      <c r="CN156" s="465">
        <f t="shared" si="374"/>
        <v>20</v>
      </c>
      <c r="CO156" s="379">
        <f t="shared" si="471"/>
        <v>30.7</v>
      </c>
      <c r="CP156" s="379">
        <f t="shared" si="472"/>
        <v>50.7</v>
      </c>
      <c r="CQ156" s="379"/>
      <c r="CR156" s="188">
        <f t="shared" si="377"/>
        <v>0.60317460317460314</v>
      </c>
      <c r="CS156" s="149">
        <f t="shared" si="378"/>
        <v>175.32871249897633</v>
      </c>
      <c r="CT156" s="149">
        <f t="shared" si="379"/>
        <v>7.4514702812064924</v>
      </c>
      <c r="CU156" s="188">
        <f t="shared" si="380"/>
        <v>5.8442904166325444</v>
      </c>
      <c r="CV156" s="188">
        <f t="shared" si="381"/>
        <v>29.22145208316272</v>
      </c>
      <c r="CW156" s="188">
        <f t="shared" si="382"/>
        <v>30</v>
      </c>
      <c r="CX156" s="188">
        <f t="shared" si="383"/>
        <v>9.5405210526315809</v>
      </c>
      <c r="CY156" s="188">
        <f t="shared" si="384"/>
        <v>2.2420224473684214</v>
      </c>
      <c r="CZ156" s="188">
        <f t="shared" si="385"/>
        <v>1.4606009429110238</v>
      </c>
      <c r="DA156" s="172">
        <f t="shared" si="386"/>
        <v>350</v>
      </c>
      <c r="DB156" s="379">
        <f t="shared" si="387"/>
        <v>270.07877782690929</v>
      </c>
      <c r="DD156" s="188">
        <f t="shared" si="388"/>
        <v>7.3619779020761014</v>
      </c>
      <c r="DE156" s="462">
        <f t="shared" si="389"/>
        <v>1.1270780501549733</v>
      </c>
      <c r="DF156" s="150">
        <f t="shared" si="390"/>
        <v>1.3928696857096292</v>
      </c>
      <c r="DG156" s="462"/>
      <c r="DH156" s="462">
        <f t="shared" si="391"/>
        <v>0.92784522751949461</v>
      </c>
      <c r="DI156" s="314">
        <f t="shared" si="392"/>
        <v>682.23231765957451</v>
      </c>
      <c r="DJ156" s="456">
        <f t="shared" si="393"/>
        <v>0.94395997276890675</v>
      </c>
      <c r="DL156" s="150">
        <f t="shared" si="394"/>
        <v>8.3644929099938512</v>
      </c>
      <c r="DM156" s="462">
        <f t="shared" si="395"/>
        <v>9.5405210526315809</v>
      </c>
      <c r="DN156" s="462">
        <f t="shared" si="396"/>
        <v>3.7777148089077928</v>
      </c>
      <c r="DP156" s="484">
        <f t="shared" si="397"/>
        <v>1840</v>
      </c>
      <c r="DQ156" s="485">
        <f t="shared" si="398"/>
        <v>270.07877782690929</v>
      </c>
      <c r="DS156" s="59">
        <f t="shared" si="399"/>
        <v>1840</v>
      </c>
      <c r="DT156" s="59">
        <f t="shared" si="400"/>
        <v>270.07877782690929</v>
      </c>
      <c r="DV156" s="167">
        <f t="shared" si="401"/>
        <v>3.7026233902794452</v>
      </c>
      <c r="DW156" s="5">
        <f t="shared" si="402"/>
        <v>2.2420224473684214</v>
      </c>
      <c r="DX156" s="5">
        <f t="shared" si="403"/>
        <v>1.4606009429110238</v>
      </c>
      <c r="DY156" s="150">
        <f t="shared" si="404"/>
        <v>0.60552268244575935</v>
      </c>
      <c r="EA156" s="5">
        <f t="shared" si="405"/>
        <v>13.751071010526319</v>
      </c>
      <c r="EB156" s="5">
        <f t="shared" si="406"/>
        <v>14.610512948684214</v>
      </c>
      <c r="EC156" s="5">
        <f t="shared" si="407"/>
        <v>2.3713285896673093</v>
      </c>
      <c r="ED156" s="5"/>
      <c r="EE156" s="150">
        <f t="shared" si="408"/>
        <v>4.2862418754805311</v>
      </c>
      <c r="EF156" s="150">
        <f t="shared" si="409"/>
        <v>3.3185351447426963</v>
      </c>
      <c r="EG156" s="150">
        <f t="shared" si="410"/>
        <v>0.66613211232354352</v>
      </c>
      <c r="EH156" s="150"/>
      <c r="EI156" s="456">
        <f t="shared" si="411"/>
        <v>0.22046243298147436</v>
      </c>
      <c r="EJ156" s="456">
        <f t="shared" si="412"/>
        <v>2.4821276595744681</v>
      </c>
      <c r="EK156" s="456">
        <f t="shared" si="413"/>
        <v>3.1059059450094569E-2</v>
      </c>
      <c r="EL156" s="456">
        <f t="shared" si="414"/>
        <v>0.35926650776643121</v>
      </c>
      <c r="EM156">
        <f t="shared" si="415"/>
        <v>8.9999999999999993E-3</v>
      </c>
      <c r="EN156" s="144">
        <f t="shared" si="416"/>
        <v>40.059059450094566</v>
      </c>
      <c r="EO156"/>
      <c r="EP156" s="144">
        <f t="shared" si="438"/>
        <v>3101.9156597724682</v>
      </c>
      <c r="EQ156" s="150">
        <f t="shared" si="417"/>
        <v>1.288</v>
      </c>
      <c r="ER156" s="150">
        <f t="shared" si="473"/>
        <v>0.18728900000000001</v>
      </c>
      <c r="ES156" s="456"/>
      <c r="ET156"/>
      <c r="EU156" s="144">
        <f t="shared" si="419"/>
        <v>1475.289</v>
      </c>
      <c r="EV156" s="456">
        <f t="shared" si="420"/>
        <v>0.25720617181172006</v>
      </c>
      <c r="EW156" s="456">
        <f t="shared" si="421"/>
        <v>0.154177457096494</v>
      </c>
      <c r="EX156" s="456">
        <f t="shared" si="422"/>
        <v>2.2186599553431301E-3</v>
      </c>
      <c r="EY156" s="456">
        <f t="shared" si="423"/>
        <v>16.851027564949874</v>
      </c>
      <c r="EZ156" s="456"/>
      <c r="FA156" s="538">
        <f t="shared" si="424"/>
        <v>2.4582986807317937</v>
      </c>
      <c r="FB156" s="144">
        <f t="shared" si="425"/>
        <v>19722.928534545226</v>
      </c>
      <c r="FC156" s="150">
        <f t="shared" si="426"/>
        <v>24.300133194317691</v>
      </c>
      <c r="FD156" s="5">
        <f t="shared" si="427"/>
        <v>57.546000000000006</v>
      </c>
      <c r="FE156" s="150">
        <f t="shared" si="428"/>
        <v>0.70309980146985407</v>
      </c>
      <c r="FF156" s="5">
        <f t="shared" si="429"/>
        <v>70.30998014698541</v>
      </c>
      <c r="FG156">
        <f t="shared" si="430"/>
        <v>46</v>
      </c>
      <c r="FI156" s="59">
        <f t="shared" si="431"/>
        <v>-50</v>
      </c>
      <c r="FJ156">
        <f t="shared" si="432"/>
        <v>-50</v>
      </c>
    </row>
    <row r="157" spans="5:166">
      <c r="E157" s="147">
        <v>47</v>
      </c>
      <c r="F157" s="188">
        <f t="shared" si="474"/>
        <v>1.88</v>
      </c>
      <c r="G157" s="188">
        <f t="shared" si="443"/>
        <v>0.39949999999999997</v>
      </c>
      <c r="H157" s="188">
        <f t="shared" si="444"/>
        <v>56.4</v>
      </c>
      <c r="I157" s="188">
        <f t="shared" si="445"/>
        <v>2.3969999999999998</v>
      </c>
      <c r="J157" s="465">
        <f t="shared" si="446"/>
        <v>19.848725095921893</v>
      </c>
      <c r="K157" s="379">
        <f t="shared" si="447"/>
        <v>30.814023920320668</v>
      </c>
      <c r="L157" s="149">
        <f t="shared" si="448"/>
        <v>50.662749016242557</v>
      </c>
      <c r="M157" s="379"/>
      <c r="N157" s="188">
        <f t="shared" si="449"/>
        <v>0.6082185534472605</v>
      </c>
      <c r="O157" s="149">
        <f t="shared" si="450"/>
        <v>175.45763920665578</v>
      </c>
      <c r="P157" s="149">
        <f t="shared" si="451"/>
        <v>7.4569496662828696</v>
      </c>
      <c r="Q157" s="188">
        <f t="shared" si="321"/>
        <v>5.8485879735551931</v>
      </c>
      <c r="R157" s="188">
        <f t="shared" si="452"/>
        <v>29.242939867775963</v>
      </c>
      <c r="S157" s="188">
        <f t="shared" si="453"/>
        <v>30</v>
      </c>
      <c r="T157" s="188">
        <f t="shared" si="454"/>
        <v>9.7407608857538808</v>
      </c>
      <c r="U157" s="188">
        <f t="shared" si="325"/>
        <v>2.3065247738480443</v>
      </c>
      <c r="V157" s="188">
        <f t="shared" si="326"/>
        <v>1.4857383210133761</v>
      </c>
      <c r="W157" s="172">
        <f t="shared" si="327"/>
        <v>350</v>
      </c>
      <c r="X157" s="379">
        <f t="shared" si="434"/>
        <v>250.48449369159425</v>
      </c>
      <c r="Z157" s="188">
        <f t="shared" si="328"/>
        <v>7.3388224107075688</v>
      </c>
      <c r="AA157" s="150">
        <f t="shared" si="329"/>
        <v>1.1193755615792558</v>
      </c>
      <c r="AB157" s="150">
        <f t="shared" si="455"/>
        <v>1.3789997410362949</v>
      </c>
      <c r="AC157" s="150"/>
      <c r="AD157" s="150">
        <f t="shared" si="331"/>
        <v>0.92441183788605474</v>
      </c>
      <c r="AE157" s="314">
        <f t="shared" si="456"/>
        <v>699.65244222642889</v>
      </c>
      <c r="AF157" s="456">
        <f t="shared" si="457"/>
        <v>0.9404669522857908</v>
      </c>
      <c r="AH157" s="150">
        <f t="shared" si="458"/>
        <v>8.4549224884509897</v>
      </c>
      <c r="AI157" s="150">
        <f t="shared" si="459"/>
        <v>9.7407608857538808</v>
      </c>
      <c r="AJ157" s="150">
        <f t="shared" si="460"/>
        <v>3.9260406112206079</v>
      </c>
      <c r="AL157" s="314">
        <f t="shared" si="461"/>
        <v>1880</v>
      </c>
      <c r="AM157" s="144">
        <f t="shared" si="462"/>
        <v>250.48449369159425</v>
      </c>
      <c r="AO157">
        <f t="shared" si="339"/>
        <v>1880</v>
      </c>
      <c r="AP157">
        <f t="shared" si="340"/>
        <v>250.48449369159425</v>
      </c>
      <c r="AR157" s="5">
        <f t="shared" si="442"/>
        <v>3.9922630948614204</v>
      </c>
      <c r="AS157" s="5">
        <f t="shared" si="439"/>
        <v>2.3065247738480443</v>
      </c>
      <c r="AT157" s="5">
        <f t="shared" si="440"/>
        <v>1.6857383210133761</v>
      </c>
      <c r="AU157" s="150">
        <f t="shared" si="441"/>
        <v>0.5777486901644463</v>
      </c>
      <c r="AW157" s="5">
        <f t="shared" si="341"/>
        <v>14.454221916114411</v>
      </c>
      <c r="AX157" s="5">
        <f t="shared" si="342"/>
        <v>15.357610785871559</v>
      </c>
      <c r="AY157" s="5">
        <f t="shared" si="343"/>
        <v>2.8176544113683208</v>
      </c>
      <c r="AZ157" s="5"/>
      <c r="BA157" s="150">
        <f t="shared" si="344"/>
        <v>4.2746616004893756</v>
      </c>
      <c r="BB157" s="150">
        <f t="shared" si="345"/>
        <v>3.5054331892078783</v>
      </c>
      <c r="BC157" s="150">
        <f t="shared" si="346"/>
        <v>0.70364830055676597</v>
      </c>
      <c r="BD157" s="150"/>
      <c r="BE157" s="456">
        <f t="shared" si="347"/>
        <v>0.21927278158438071</v>
      </c>
      <c r="BF157" s="456">
        <f t="shared" si="463"/>
        <v>2.2559285920477237</v>
      </c>
      <c r="BG157" s="456">
        <f t="shared" si="349"/>
        <v>2.8805716774533342E-2</v>
      </c>
      <c r="BH157" s="456">
        <f t="shared" si="350"/>
        <v>0.33271218223668925</v>
      </c>
      <c r="BI157">
        <f t="shared" si="351"/>
        <v>8.9319262931648515E-3</v>
      </c>
      <c r="BJ157" s="144">
        <f t="shared" si="435"/>
        <v>37.737643067698194</v>
      </c>
      <c r="BK157">
        <f t="shared" si="464"/>
        <v>3.0247017893947192</v>
      </c>
      <c r="BL157" s="144">
        <f t="shared" si="436"/>
        <v>2845.6511989364917</v>
      </c>
      <c r="BM157" s="150">
        <f t="shared" si="465"/>
        <v>1.2607279999999998</v>
      </c>
      <c r="BN157" s="150">
        <f t="shared" si="466"/>
        <v>0.26790469999999994</v>
      </c>
      <c r="BO157" s="456"/>
      <c r="BQ157" s="144">
        <f t="shared" si="355"/>
        <v>1528.6326999999997</v>
      </c>
      <c r="BR157" s="456">
        <f t="shared" si="356"/>
        <v>0.25581824518177748</v>
      </c>
      <c r="BS157" s="456">
        <f t="shared" si="357"/>
        <v>0.17203286581600163</v>
      </c>
      <c r="BT157" s="456">
        <f t="shared" si="358"/>
        <v>2.4756046543821242E-3</v>
      </c>
      <c r="BU157" s="456">
        <f t="shared" si="359"/>
        <v>14.702944754433604</v>
      </c>
      <c r="BV157" s="456"/>
      <c r="BW157" s="538">
        <f t="shared" si="467"/>
        <v>2.3766575593567261</v>
      </c>
      <c r="BX157" s="144">
        <f t="shared" si="361"/>
        <v>17509.92902944249</v>
      </c>
      <c r="BY157" s="150">
        <f t="shared" si="362"/>
        <v>21.884212928378982</v>
      </c>
      <c r="BZ157" s="5">
        <f t="shared" si="363"/>
        <v>58.796999999999997</v>
      </c>
      <c r="CA157" s="150">
        <f t="shared" si="364"/>
        <v>0.72875701623616285</v>
      </c>
      <c r="CB157" s="5">
        <f t="shared" si="365"/>
        <v>72.87570162361628</v>
      </c>
      <c r="CC157">
        <f t="shared" si="366"/>
        <v>47</v>
      </c>
      <c r="CE157" s="59">
        <f t="shared" si="468"/>
        <v>-50</v>
      </c>
      <c r="CF157">
        <f t="shared" si="469"/>
        <v>-50</v>
      </c>
      <c r="CG157" s="150">
        <f t="shared" si="369"/>
        <v>0.39199567588303091</v>
      </c>
      <c r="CH157" s="150">
        <f t="shared" si="470"/>
        <v>8.2740061272353588E-2</v>
      </c>
      <c r="CI157" s="147">
        <v>47</v>
      </c>
      <c r="CJ157" s="188">
        <f t="shared" si="437"/>
        <v>1.88</v>
      </c>
      <c r="CK157" s="188">
        <f t="shared" si="371"/>
        <v>0.39949999999999997</v>
      </c>
      <c r="CL157" s="188">
        <f t="shared" si="372"/>
        <v>56.4</v>
      </c>
      <c r="CM157" s="188">
        <f t="shared" si="373"/>
        <v>2.3969999999999998</v>
      </c>
      <c r="CN157" s="465">
        <f t="shared" si="374"/>
        <v>20</v>
      </c>
      <c r="CO157" s="379">
        <f t="shared" si="471"/>
        <v>30.7</v>
      </c>
      <c r="CP157" s="379">
        <f t="shared" si="472"/>
        <v>50.7</v>
      </c>
      <c r="CQ157" s="379"/>
      <c r="CR157" s="188">
        <f t="shared" si="377"/>
        <v>0.60317460317460314</v>
      </c>
      <c r="CS157" s="149">
        <f t="shared" si="378"/>
        <v>175.32871249897633</v>
      </c>
      <c r="CT157" s="149">
        <f t="shared" si="379"/>
        <v>7.4514702812064924</v>
      </c>
      <c r="CU157" s="188">
        <f t="shared" si="380"/>
        <v>5.8442904166325444</v>
      </c>
      <c r="CV157" s="188">
        <f t="shared" si="381"/>
        <v>29.22145208316272</v>
      </c>
      <c r="CW157" s="188">
        <f t="shared" si="382"/>
        <v>30</v>
      </c>
      <c r="CX157" s="188">
        <f t="shared" si="383"/>
        <v>9.7479236842105266</v>
      </c>
      <c r="CY157" s="188">
        <f t="shared" si="384"/>
        <v>2.2907620657894738</v>
      </c>
      <c r="CZ157" s="188">
        <f t="shared" si="385"/>
        <v>1.4923531373221328</v>
      </c>
      <c r="DA157" s="172">
        <f t="shared" si="386"/>
        <v>350</v>
      </c>
      <c r="DB157" s="379">
        <f t="shared" si="387"/>
        <v>264.33242085186868</v>
      </c>
      <c r="DD157" s="188">
        <f t="shared" si="388"/>
        <v>7.3619779020761014</v>
      </c>
      <c r="DE157" s="150">
        <f t="shared" si="389"/>
        <v>1.1270780501549733</v>
      </c>
      <c r="DF157" s="150">
        <f t="shared" si="390"/>
        <v>1.3928696857096292</v>
      </c>
      <c r="DG157" s="150"/>
      <c r="DH157" s="150">
        <f t="shared" si="391"/>
        <v>0.92784522751949461</v>
      </c>
      <c r="DI157" s="314">
        <f t="shared" si="392"/>
        <v>697.06345499999986</v>
      </c>
      <c r="DJ157" s="456">
        <f t="shared" si="393"/>
        <v>0.94395997276890675</v>
      </c>
      <c r="DL157" s="150">
        <f t="shared" si="394"/>
        <v>8.4549224884509897</v>
      </c>
      <c r="DM157" s="150">
        <f t="shared" si="395"/>
        <v>9.7479236842105266</v>
      </c>
      <c r="DN157" s="150">
        <f t="shared" si="396"/>
        <v>3.93134638785516</v>
      </c>
      <c r="DP157" s="314">
        <f t="shared" si="397"/>
        <v>1880</v>
      </c>
      <c r="DQ157" s="144">
        <f t="shared" si="398"/>
        <v>264.33242085186868</v>
      </c>
      <c r="DS157">
        <f t="shared" si="399"/>
        <v>1880</v>
      </c>
      <c r="DT157">
        <f t="shared" si="400"/>
        <v>264.33242085186868</v>
      </c>
      <c r="DV157" s="5">
        <f t="shared" si="401"/>
        <v>3.7831152031116071</v>
      </c>
      <c r="DW157" s="5">
        <f t="shared" si="402"/>
        <v>2.2907620657894738</v>
      </c>
      <c r="DX157" s="5">
        <f t="shared" si="403"/>
        <v>1.4923531373221333</v>
      </c>
      <c r="DY157" s="150">
        <f t="shared" si="404"/>
        <v>0.60552268244575924</v>
      </c>
      <c r="EA157" s="5">
        <f t="shared" si="405"/>
        <v>14.355442278947367</v>
      </c>
      <c r="EB157" s="5">
        <f t="shared" si="406"/>
        <v>15.252657421381578</v>
      </c>
      <c r="EC157" s="5">
        <f t="shared" si="407"/>
        <v>2.4755504983814203</v>
      </c>
      <c r="ED157" s="5"/>
      <c r="EE157" s="150">
        <f t="shared" si="408"/>
        <v>4.3794210466866277</v>
      </c>
      <c r="EF157" s="150">
        <f t="shared" si="409"/>
        <v>3.3906772131066685</v>
      </c>
      <c r="EG157" s="150">
        <f t="shared" si="410"/>
        <v>0.68061324520014232</v>
      </c>
      <c r="EH157" s="150"/>
      <c r="EI157" s="456">
        <f t="shared" si="411"/>
        <v>0.23015194444994158</v>
      </c>
      <c r="EJ157" s="456">
        <f t="shared" si="412"/>
        <v>2.4821276595744681</v>
      </c>
      <c r="EK157" s="456">
        <f t="shared" si="413"/>
        <v>3.03982283979649E-2</v>
      </c>
      <c r="EL157" s="456">
        <f t="shared" si="414"/>
        <v>0.35162253951608163</v>
      </c>
      <c r="EM157">
        <f t="shared" si="415"/>
        <v>8.9999999999999993E-3</v>
      </c>
      <c r="EN157" s="144">
        <f t="shared" si="416"/>
        <v>39.3982283979649</v>
      </c>
      <c r="EP157" s="144">
        <f t="shared" si="438"/>
        <v>3103.300371938456</v>
      </c>
      <c r="EQ157" s="150">
        <f t="shared" si="417"/>
        <v>1.3159999999999998</v>
      </c>
      <c r="ER157" s="150">
        <f t="shared" si="473"/>
        <v>0.19136049999999999</v>
      </c>
      <c r="ES157" s="456"/>
      <c r="EU157" s="144">
        <f t="shared" si="419"/>
        <v>1507.3604999999998</v>
      </c>
      <c r="EV157" s="456">
        <f t="shared" si="420"/>
        <v>0.26851060185826514</v>
      </c>
      <c r="EW157" s="456">
        <f t="shared" si="421"/>
        <v>0.16095368748873126</v>
      </c>
      <c r="EX157" s="456">
        <f t="shared" si="422"/>
        <v>2.3161719477093456E-3</v>
      </c>
      <c r="EY157" s="456">
        <f t="shared" si="423"/>
        <v>16.851027564949874</v>
      </c>
      <c r="EZ157" s="456"/>
      <c r="FA157" s="538">
        <f t="shared" si="424"/>
        <v>2.5117399563998748</v>
      </c>
      <c r="FB157" s="144">
        <f t="shared" si="425"/>
        <v>19794.547982644457</v>
      </c>
      <c r="FC157" s="150">
        <f t="shared" si="426"/>
        <v>24.405208854582909</v>
      </c>
      <c r="FD157" s="5">
        <f t="shared" si="427"/>
        <v>58.796999999999997</v>
      </c>
      <c r="FE157" s="150">
        <f t="shared" si="428"/>
        <v>0.70667595018736529</v>
      </c>
      <c r="FF157" s="5">
        <f t="shared" si="429"/>
        <v>70.667595018736534</v>
      </c>
      <c r="FG157">
        <f t="shared" si="430"/>
        <v>47</v>
      </c>
      <c r="FI157" s="59">
        <f t="shared" si="431"/>
        <v>-50</v>
      </c>
      <c r="FJ157">
        <f t="shared" si="432"/>
        <v>-50</v>
      </c>
    </row>
    <row r="158" spans="5:166">
      <c r="E158" s="147">
        <v>48</v>
      </c>
      <c r="F158" s="188">
        <f t="shared" si="474"/>
        <v>1.92</v>
      </c>
      <c r="G158" s="188">
        <f t="shared" si="443"/>
        <v>0.40799999999999997</v>
      </c>
      <c r="H158" s="188">
        <f t="shared" si="444"/>
        <v>57.599999999999994</v>
      </c>
      <c r="I158" s="188">
        <f t="shared" si="445"/>
        <v>2.448</v>
      </c>
      <c r="J158" s="465">
        <f t="shared" si="446"/>
        <v>19.845506480941509</v>
      </c>
      <c r="K158" s="379">
        <f t="shared" si="447"/>
        <v>30.816449961178556</v>
      </c>
      <c r="L158" s="149">
        <f t="shared" si="448"/>
        <v>50.661956442120065</v>
      </c>
      <c r="M158" s="379"/>
      <c r="N158" s="188">
        <f t="shared" si="449"/>
        <v>0.60827595547727276</v>
      </c>
      <c r="O158" s="149">
        <f t="shared" si="450"/>
        <v>175.44574401024789</v>
      </c>
      <c r="P158" s="149">
        <f t="shared" si="451"/>
        <v>7.4564441204355338</v>
      </c>
      <c r="Q158" s="188">
        <f t="shared" si="321"/>
        <v>5.8481914670082631</v>
      </c>
      <c r="R158" s="188">
        <f t="shared" si="452"/>
        <v>29.240957335041315</v>
      </c>
      <c r="S158" s="188">
        <f t="shared" si="453"/>
        <v>30</v>
      </c>
      <c r="T158" s="188">
        <f t="shared" si="454"/>
        <v>9.9486855910998457</v>
      </c>
      <c r="U158" s="188">
        <f t="shared" si="325"/>
        <v>2.3561415438338034</v>
      </c>
      <c r="V158" s="188">
        <f t="shared" si="326"/>
        <v>1.5173331885104981</v>
      </c>
      <c r="W158" s="172">
        <f t="shared" si="327"/>
        <v>350</v>
      </c>
      <c r="X158" s="379">
        <f t="shared" si="434"/>
        <v>245.49065986828788</v>
      </c>
      <c r="Z158" s="188">
        <f t="shared" si="328"/>
        <v>7.3383248733283306</v>
      </c>
      <c r="AA158" s="150">
        <f t="shared" si="329"/>
        <v>1.1192115557792206</v>
      </c>
      <c r="AB158" s="150">
        <f t="shared" si="455"/>
        <v>1.3787042203366442</v>
      </c>
      <c r="AC158" s="150"/>
      <c r="AD158" s="150">
        <f t="shared" si="331"/>
        <v>0.9243390630891184</v>
      </c>
      <c r="AE158" s="314">
        <f t="shared" si="456"/>
        <v>714.59492125382178</v>
      </c>
      <c r="AF158" s="456">
        <f t="shared" si="457"/>
        <v>0.94039291354172372</v>
      </c>
      <c r="AH158" s="150">
        <f t="shared" si="458"/>
        <v>8.5443950593410172</v>
      </c>
      <c r="AI158" s="150">
        <f t="shared" si="459"/>
        <v>9.9486855910998457</v>
      </c>
      <c r="AJ158" s="150">
        <f t="shared" si="460"/>
        <v>4.0800589114768782</v>
      </c>
      <c r="AL158" s="314">
        <f t="shared" si="461"/>
        <v>1920</v>
      </c>
      <c r="AM158" s="144">
        <f t="shared" si="462"/>
        <v>245.49065986828788</v>
      </c>
      <c r="AO158">
        <f t="shared" si="339"/>
        <v>1920</v>
      </c>
      <c r="AP158">
        <f t="shared" si="340"/>
        <v>245.49065986828788</v>
      </c>
      <c r="AR158" s="5">
        <f t="shared" si="442"/>
        <v>4.0734747323443017</v>
      </c>
      <c r="AS158" s="5">
        <f t="shared" si="439"/>
        <v>2.3561415438338034</v>
      </c>
      <c r="AT158" s="5">
        <f t="shared" si="440"/>
        <v>1.7173331885104983</v>
      </c>
      <c r="AU158" s="150">
        <f t="shared" si="441"/>
        <v>0.57841074233884693</v>
      </c>
      <c r="AW158" s="5">
        <f t="shared" si="341"/>
        <v>15.079305880536342</v>
      </c>
      <c r="AX158" s="5">
        <f t="shared" si="342"/>
        <v>16.021762498069862</v>
      </c>
      <c r="AY158" s="5">
        <f t="shared" si="343"/>
        <v>2.9320133132701045</v>
      </c>
      <c r="AZ158" s="5"/>
      <c r="BA158" s="150">
        <f t="shared" si="344"/>
        <v>4.3684086034456637</v>
      </c>
      <c r="BB158" s="150">
        <f t="shared" si="345"/>
        <v>3.5774517347303671</v>
      </c>
      <c r="BC158" s="150">
        <f t="shared" si="346"/>
        <v>0.71810463859837637</v>
      </c>
      <c r="BD158" s="150"/>
      <c r="BE158" s="456">
        <f t="shared" si="347"/>
        <v>0.22899592471989716</v>
      </c>
      <c r="BF158" s="456">
        <f t="shared" si="463"/>
        <v>2.2581121383394778</v>
      </c>
      <c r="BG158" s="456">
        <f t="shared" si="349"/>
        <v>2.8231425884853108E-2</v>
      </c>
      <c r="BH158" s="456">
        <f t="shared" si="350"/>
        <v>0.32606879742242539</v>
      </c>
      <c r="BI158">
        <f t="shared" si="351"/>
        <v>8.9304779164236792E-3</v>
      </c>
      <c r="BJ158" s="144">
        <f t="shared" si="435"/>
        <v>37.161903801276793</v>
      </c>
      <c r="BK158">
        <f t="shared" si="464"/>
        <v>3.0404340489201336</v>
      </c>
      <c r="BL158" s="144">
        <f t="shared" si="436"/>
        <v>2850.3387642830767</v>
      </c>
      <c r="BM158" s="150">
        <f t="shared" si="465"/>
        <v>1.2875519999999998</v>
      </c>
      <c r="BN158" s="150">
        <f t="shared" si="466"/>
        <v>0.27360479999999998</v>
      </c>
      <c r="BO158" s="456"/>
      <c r="BQ158" s="144">
        <f t="shared" si="355"/>
        <v>1561.1567999999997</v>
      </c>
      <c r="BR158" s="456">
        <f t="shared" si="356"/>
        <v>0.26716191217321333</v>
      </c>
      <c r="BS158" s="456">
        <f t="shared" si="357"/>
        <v>0.17917425280055438</v>
      </c>
      <c r="BT158" s="456">
        <f t="shared" si="358"/>
        <v>2.5783713598825238E-3</v>
      </c>
      <c r="BU158" s="456">
        <f t="shared" si="359"/>
        <v>14.739125019160115</v>
      </c>
      <c r="BV158" s="456"/>
      <c r="BW158" s="538">
        <f t="shared" si="467"/>
        <v>2.4297768243083318</v>
      </c>
      <c r="BX158" s="144">
        <f t="shared" si="361"/>
        <v>17617.816379802098</v>
      </c>
      <c r="BY158" s="150">
        <f t="shared" si="362"/>
        <v>22.029311944085173</v>
      </c>
      <c r="BZ158" s="5">
        <f t="shared" si="363"/>
        <v>60.047999999999995</v>
      </c>
      <c r="CA158" s="150">
        <f t="shared" si="364"/>
        <v>0.73160290679240869</v>
      </c>
      <c r="CB158" s="5">
        <f t="shared" si="365"/>
        <v>73.160290679240873</v>
      </c>
      <c r="CC158">
        <f t="shared" si="366"/>
        <v>48</v>
      </c>
      <c r="CE158" s="59">
        <f t="shared" si="468"/>
        <v>-50</v>
      </c>
      <c r="CF158">
        <f t="shared" si="469"/>
        <v>-50</v>
      </c>
      <c r="CG158" s="150">
        <f t="shared" si="369"/>
        <v>0.39199567588303091</v>
      </c>
      <c r="CH158" s="150">
        <f t="shared" si="470"/>
        <v>8.2740061272353616E-2</v>
      </c>
      <c r="CI158" s="147">
        <v>48</v>
      </c>
      <c r="CJ158" s="188">
        <f t="shared" si="437"/>
        <v>1.92</v>
      </c>
      <c r="CK158" s="188">
        <f t="shared" si="371"/>
        <v>0.40799999999999997</v>
      </c>
      <c r="CL158" s="188">
        <f t="shared" si="372"/>
        <v>57.599999999999994</v>
      </c>
      <c r="CM158" s="188">
        <f t="shared" si="373"/>
        <v>2.448</v>
      </c>
      <c r="CN158" s="465">
        <f t="shared" si="374"/>
        <v>20</v>
      </c>
      <c r="CO158" s="379">
        <f t="shared" si="471"/>
        <v>30.7</v>
      </c>
      <c r="CP158" s="379">
        <f t="shared" si="472"/>
        <v>50.7</v>
      </c>
      <c r="CQ158" s="379"/>
      <c r="CR158" s="188">
        <f t="shared" si="377"/>
        <v>0.60317460317460314</v>
      </c>
      <c r="CS158" s="149">
        <f t="shared" si="378"/>
        <v>175.32871249897633</v>
      </c>
      <c r="CT158" s="149">
        <f t="shared" si="379"/>
        <v>7.4514702812064924</v>
      </c>
      <c r="CU158" s="188">
        <f t="shared" si="380"/>
        <v>5.8442904166325444</v>
      </c>
      <c r="CV158" s="188">
        <f t="shared" si="381"/>
        <v>29.22145208316272</v>
      </c>
      <c r="CW158" s="188">
        <f t="shared" si="382"/>
        <v>30</v>
      </c>
      <c r="CX158" s="188">
        <f t="shared" si="383"/>
        <v>9.9553263157894722</v>
      </c>
      <c r="CY158" s="188">
        <f t="shared" si="384"/>
        <v>2.3395016842105258</v>
      </c>
      <c r="CZ158" s="188">
        <f t="shared" si="385"/>
        <v>1.5241053317332416</v>
      </c>
      <c r="DA158" s="172">
        <f t="shared" si="386"/>
        <v>350</v>
      </c>
      <c r="DB158" s="379">
        <f t="shared" si="387"/>
        <v>258.82549541745487</v>
      </c>
      <c r="DD158" s="188">
        <f t="shared" si="388"/>
        <v>7.3619779020761014</v>
      </c>
      <c r="DE158" s="150">
        <f t="shared" si="389"/>
        <v>1.1270780501549733</v>
      </c>
      <c r="DF158" s="150">
        <f t="shared" si="390"/>
        <v>1.3928696857096292</v>
      </c>
      <c r="DG158" s="150"/>
      <c r="DH158" s="150">
        <f t="shared" si="391"/>
        <v>0.92784522751949461</v>
      </c>
      <c r="DI158" s="314">
        <f t="shared" si="392"/>
        <v>711.89459234042556</v>
      </c>
      <c r="DJ158" s="456">
        <f t="shared" si="393"/>
        <v>0.94395997276890675</v>
      </c>
      <c r="DL158" s="150">
        <f t="shared" si="394"/>
        <v>8.5443950593410172</v>
      </c>
      <c r="DM158" s="150">
        <f t="shared" si="395"/>
        <v>9.9553263157894722</v>
      </c>
      <c r="DN158" s="150">
        <f t="shared" si="396"/>
        <v>4.0849779668025272</v>
      </c>
      <c r="DP158" s="314">
        <f t="shared" si="397"/>
        <v>1920</v>
      </c>
      <c r="DQ158" s="144">
        <f t="shared" si="398"/>
        <v>258.82549541745487</v>
      </c>
      <c r="DS158">
        <f t="shared" si="399"/>
        <v>1920</v>
      </c>
      <c r="DT158">
        <f t="shared" si="400"/>
        <v>258.82549541745487</v>
      </c>
      <c r="DV158" s="5">
        <f t="shared" si="401"/>
        <v>3.8636070159437668</v>
      </c>
      <c r="DW158" s="5">
        <f t="shared" si="402"/>
        <v>2.3395016842105258</v>
      </c>
      <c r="DX158" s="5">
        <f t="shared" si="403"/>
        <v>1.5241053317332409</v>
      </c>
      <c r="DY158" s="150">
        <f t="shared" si="404"/>
        <v>0.60552268244575946</v>
      </c>
      <c r="EA158" s="5">
        <f t="shared" si="405"/>
        <v>14.972810778947364</v>
      </c>
      <c r="EB158" s="5">
        <f t="shared" si="406"/>
        <v>15.908611452631574</v>
      </c>
      <c r="EC158" s="5">
        <f t="shared" si="407"/>
        <v>2.5820137384657253</v>
      </c>
      <c r="ED158" s="5"/>
      <c r="EE158" s="150">
        <f t="shared" si="408"/>
        <v>4.4726002178927269</v>
      </c>
      <c r="EF158" s="150">
        <f t="shared" si="409"/>
        <v>3.462819281470638</v>
      </c>
      <c r="EG158" s="150">
        <f t="shared" si="410"/>
        <v>0.69509437807674079</v>
      </c>
      <c r="EH158" s="150"/>
      <c r="EI158" s="456">
        <f t="shared" si="411"/>
        <v>0.24004983250912881</v>
      </c>
      <c r="EJ158" s="456">
        <f t="shared" si="412"/>
        <v>2.482127659574469</v>
      </c>
      <c r="EK158" s="456">
        <f t="shared" si="413"/>
        <v>2.9764931973007315E-2</v>
      </c>
      <c r="EL158" s="456">
        <f t="shared" si="414"/>
        <v>0.3442970699428301</v>
      </c>
      <c r="EM158">
        <f t="shared" si="415"/>
        <v>8.9999999999999993E-3</v>
      </c>
      <c r="EN158" s="144">
        <f t="shared" si="416"/>
        <v>38.764931973007315</v>
      </c>
      <c r="EP158" s="144">
        <f t="shared" si="438"/>
        <v>3105.2394939994351</v>
      </c>
      <c r="EQ158" s="150">
        <f t="shared" si="417"/>
        <v>1.3439999999999999</v>
      </c>
      <c r="ER158" s="150">
        <f t="shared" si="473"/>
        <v>0.19543199999999997</v>
      </c>
      <c r="ES158" s="456"/>
      <c r="EU158" s="144">
        <f t="shared" si="419"/>
        <v>1539.432</v>
      </c>
      <c r="EV158" s="456">
        <f t="shared" si="420"/>
        <v>0.28005813792731699</v>
      </c>
      <c r="EW158" s="456">
        <f t="shared" si="421"/>
        <v>0.16787564326574758</v>
      </c>
      <c r="EX158" s="456">
        <f t="shared" si="422"/>
        <v>2.4157809721694554E-3</v>
      </c>
      <c r="EY158" s="456">
        <f t="shared" si="423"/>
        <v>16.851027564949909</v>
      </c>
      <c r="EZ158" s="456"/>
      <c r="FA158" s="538">
        <f t="shared" si="424"/>
        <v>2.5651812320679581</v>
      </c>
      <c r="FB158" s="144">
        <f t="shared" si="425"/>
        <v>19866.558359183098</v>
      </c>
      <c r="FC158" s="150">
        <f t="shared" si="426"/>
        <v>24.511229853182535</v>
      </c>
      <c r="FD158" s="5">
        <f t="shared" si="427"/>
        <v>60.047999999999995</v>
      </c>
      <c r="FE158" s="150">
        <f t="shared" si="428"/>
        <v>0.71012945723677245</v>
      </c>
      <c r="FF158" s="5">
        <f t="shared" si="429"/>
        <v>71.012945723677248</v>
      </c>
      <c r="FG158">
        <f t="shared" si="430"/>
        <v>48</v>
      </c>
      <c r="FI158" s="59">
        <f t="shared" si="431"/>
        <v>-50</v>
      </c>
      <c r="FJ158">
        <f t="shared" si="432"/>
        <v>-50</v>
      </c>
    </row>
    <row r="159" spans="5:166">
      <c r="E159" s="147">
        <v>49</v>
      </c>
      <c r="F159" s="188">
        <f t="shared" si="474"/>
        <v>1.96</v>
      </c>
      <c r="G159" s="188">
        <f t="shared" si="443"/>
        <v>0.41649999999999998</v>
      </c>
      <c r="H159" s="188">
        <f t="shared" si="444"/>
        <v>58.8</v>
      </c>
      <c r="I159" s="188">
        <f t="shared" si="445"/>
        <v>2.4989999999999997</v>
      </c>
      <c r="J159" s="465">
        <f t="shared" si="446"/>
        <v>19.842287865961122</v>
      </c>
      <c r="K159" s="379">
        <f t="shared" si="447"/>
        <v>30.81887600203644</v>
      </c>
      <c r="L159" s="149">
        <f t="shared" si="448"/>
        <v>50.661163867997558</v>
      </c>
      <c r="M159" s="379"/>
      <c r="N159" s="188">
        <f t="shared" si="449"/>
        <v>0.60833335930334975</v>
      </c>
      <c r="O159" s="149">
        <f t="shared" si="450"/>
        <v>175.43384396140141</v>
      </c>
      <c r="P159" s="149">
        <f t="shared" si="451"/>
        <v>7.4559383683595595</v>
      </c>
      <c r="Q159" s="188">
        <f t="shared" si="321"/>
        <v>5.8477947987133803</v>
      </c>
      <c r="R159" s="188">
        <f t="shared" si="452"/>
        <v>29.238973993566901</v>
      </c>
      <c r="S159" s="188">
        <f t="shared" si="453"/>
        <v>30</v>
      </c>
      <c r="T159" s="188">
        <f t="shared" si="454"/>
        <v>10.15663877381729</v>
      </c>
      <c r="U159" s="188">
        <f t="shared" si="325"/>
        <v>2.4057811558530684</v>
      </c>
      <c r="V159" s="188">
        <f t="shared" si="326"/>
        <v>1.5489274246662001</v>
      </c>
      <c r="W159" s="172">
        <f t="shared" si="327"/>
        <v>350</v>
      </c>
      <c r="X159" s="379">
        <f t="shared" si="434"/>
        <v>240.69076822591896</v>
      </c>
      <c r="Z159" s="188">
        <f t="shared" si="328"/>
        <v>7.3378271329873694</v>
      </c>
      <c r="AA159" s="150">
        <f t="shared" si="329"/>
        <v>1.1190475448475721</v>
      </c>
      <c r="AB159" s="150">
        <f t="shared" si="455"/>
        <v>1.3784086825850816</v>
      </c>
      <c r="AC159" s="150"/>
      <c r="AD159" s="150">
        <f t="shared" si="331"/>
        <v>0.92426629974974661</v>
      </c>
      <c r="AE159" s="314">
        <f t="shared" si="456"/>
        <v>729.53974431672964</v>
      </c>
      <c r="AF159" s="456">
        <f t="shared" si="457"/>
        <v>0.94031888645421491</v>
      </c>
      <c r="AH159" s="150">
        <f t="shared" si="458"/>
        <v>8.6329403782528278</v>
      </c>
      <c r="AI159" s="150">
        <f t="shared" si="459"/>
        <v>10.15663877381729</v>
      </c>
      <c r="AJ159" s="150">
        <f t="shared" si="460"/>
        <v>4.2340983060823927</v>
      </c>
      <c r="AL159" s="314">
        <f t="shared" si="461"/>
        <v>1960</v>
      </c>
      <c r="AM159" s="144">
        <f t="shared" si="462"/>
        <v>240.69076822591896</v>
      </c>
      <c r="AO159">
        <f t="shared" si="339"/>
        <v>1960</v>
      </c>
      <c r="AP159">
        <f t="shared" si="340"/>
        <v>240.69076822591896</v>
      </c>
      <c r="AR159" s="5">
        <f t="shared" si="442"/>
        <v>4.1547085805192685</v>
      </c>
      <c r="AS159" s="5">
        <f t="shared" si="439"/>
        <v>2.4057811558530684</v>
      </c>
      <c r="AT159" s="5">
        <f t="shared" si="440"/>
        <v>1.7489274246662001</v>
      </c>
      <c r="AU159" s="150">
        <f t="shared" si="441"/>
        <v>0.57904931458571429</v>
      </c>
      <c r="AW159" s="5">
        <f t="shared" si="341"/>
        <v>15.717770218240046</v>
      </c>
      <c r="AX159" s="5">
        <f t="shared" si="342"/>
        <v>16.700130856880051</v>
      </c>
      <c r="AY159" s="5">
        <f t="shared" si="343"/>
        <v>3.048656167339582</v>
      </c>
      <c r="AZ159" s="5"/>
      <c r="BA159" s="150">
        <f t="shared" si="344"/>
        <v>4.4621807200191403</v>
      </c>
      <c r="BB159" s="150">
        <f t="shared" si="345"/>
        <v>3.6494626755103652</v>
      </c>
      <c r="BC159" s="150">
        <f t="shared" si="346"/>
        <v>0.73255945013417667</v>
      </c>
      <c r="BD159" s="150"/>
      <c r="BE159" s="456">
        <f t="shared" si="347"/>
        <v>0.23893268133732642</v>
      </c>
      <c r="BF159" s="456">
        <f t="shared" si="463"/>
        <v>2.2602031276463035</v>
      </c>
      <c r="BG159" s="456">
        <f t="shared" si="349"/>
        <v>2.7679438345980682E-2</v>
      </c>
      <c r="BH159" s="456">
        <f t="shared" si="350"/>
        <v>0.31968342018878759</v>
      </c>
      <c r="BI159">
        <f t="shared" si="351"/>
        <v>8.9290295396825051E-3</v>
      </c>
      <c r="BJ159" s="144">
        <f t="shared" si="435"/>
        <v>36.608467885663188</v>
      </c>
      <c r="BK159">
        <f t="shared" si="464"/>
        <v>3.0568708495577037</v>
      </c>
      <c r="BL159" s="144">
        <f t="shared" si="436"/>
        <v>2855.4276970580809</v>
      </c>
      <c r="BM159" s="150">
        <f t="shared" si="465"/>
        <v>1.3143759999999998</v>
      </c>
      <c r="BN159" s="150">
        <f t="shared" si="466"/>
        <v>0.27930489999999997</v>
      </c>
      <c r="BO159" s="456"/>
      <c r="BQ159" s="144">
        <f t="shared" si="355"/>
        <v>1593.6808999999998</v>
      </c>
      <c r="BR159" s="456">
        <f t="shared" si="356"/>
        <v>0.27875479489354749</v>
      </c>
      <c r="BS159" s="456">
        <f t="shared" si="357"/>
        <v>0.18646008947920584</v>
      </c>
      <c r="BT159" s="456">
        <f t="shared" si="358"/>
        <v>2.6832167399044368E-3</v>
      </c>
      <c r="BU159" s="456">
        <f t="shared" si="359"/>
        <v>14.77384723796969</v>
      </c>
      <c r="BV159" s="456"/>
      <c r="BW159" s="538">
        <f t="shared" si="467"/>
        <v>2.4829012476469741</v>
      </c>
      <c r="BX159" s="144">
        <f t="shared" si="361"/>
        <v>17724.646586729323</v>
      </c>
      <c r="BY159" s="150">
        <f t="shared" si="362"/>
        <v>22.173755183787403</v>
      </c>
      <c r="BZ159" s="5">
        <f t="shared" si="363"/>
        <v>61.298999999999999</v>
      </c>
      <c r="CA159" s="150">
        <f t="shared" si="364"/>
        <v>0.73435937109101046</v>
      </c>
      <c r="CB159" s="5">
        <f t="shared" si="365"/>
        <v>73.435937109101047</v>
      </c>
      <c r="CC159">
        <f t="shared" si="366"/>
        <v>49</v>
      </c>
      <c r="CE159" s="59">
        <f t="shared" si="468"/>
        <v>-50</v>
      </c>
      <c r="CF159">
        <f t="shared" si="469"/>
        <v>-50</v>
      </c>
      <c r="CG159" s="150">
        <f t="shared" si="369"/>
        <v>0.39199567588303091</v>
      </c>
      <c r="CH159" s="150">
        <f t="shared" si="470"/>
        <v>8.2740061272353588E-2</v>
      </c>
      <c r="CI159" s="147">
        <v>49</v>
      </c>
      <c r="CJ159" s="188">
        <f t="shared" si="437"/>
        <v>1.96</v>
      </c>
      <c r="CK159" s="188">
        <f t="shared" si="371"/>
        <v>0.41649999999999998</v>
      </c>
      <c r="CL159" s="188">
        <f t="shared" si="372"/>
        <v>58.8</v>
      </c>
      <c r="CM159" s="188">
        <f t="shared" si="373"/>
        <v>2.4989999999999997</v>
      </c>
      <c r="CN159" s="465">
        <f t="shared" si="374"/>
        <v>20</v>
      </c>
      <c r="CO159" s="379">
        <f t="shared" si="471"/>
        <v>30.7</v>
      </c>
      <c r="CP159" s="379">
        <f t="shared" si="472"/>
        <v>50.7</v>
      </c>
      <c r="CQ159" s="379"/>
      <c r="CR159" s="188">
        <f t="shared" si="377"/>
        <v>0.60317460317460314</v>
      </c>
      <c r="CS159" s="149">
        <f t="shared" si="378"/>
        <v>175.32871249897633</v>
      </c>
      <c r="CT159" s="149">
        <f t="shared" si="379"/>
        <v>7.4514702812064924</v>
      </c>
      <c r="CU159" s="188">
        <f t="shared" si="380"/>
        <v>5.8442904166325444</v>
      </c>
      <c r="CV159" s="188">
        <f t="shared" si="381"/>
        <v>29.22145208316272</v>
      </c>
      <c r="CW159" s="188">
        <f t="shared" si="382"/>
        <v>30</v>
      </c>
      <c r="CX159" s="188">
        <f t="shared" si="383"/>
        <v>10.162728947368421</v>
      </c>
      <c r="CY159" s="188">
        <f t="shared" si="384"/>
        <v>2.3882413026315792</v>
      </c>
      <c r="CZ159" s="188">
        <f t="shared" si="385"/>
        <v>1.5558575261443512</v>
      </c>
      <c r="DA159" s="172">
        <f t="shared" si="386"/>
        <v>350</v>
      </c>
      <c r="DB159" s="379">
        <f t="shared" si="387"/>
        <v>253.54334244975163</v>
      </c>
      <c r="DD159" s="188">
        <f t="shared" si="388"/>
        <v>7.3619779020761014</v>
      </c>
      <c r="DE159" s="150">
        <f t="shared" si="389"/>
        <v>1.1270780501549733</v>
      </c>
      <c r="DF159" s="150">
        <f t="shared" si="390"/>
        <v>1.3928696857096292</v>
      </c>
      <c r="DG159" s="150"/>
      <c r="DH159" s="150">
        <f t="shared" si="391"/>
        <v>0.92784522751949461</v>
      </c>
      <c r="DI159" s="314">
        <f t="shared" si="392"/>
        <v>726.72572968085103</v>
      </c>
      <c r="DJ159" s="456">
        <f t="shared" si="393"/>
        <v>0.94395997276890675</v>
      </c>
      <c r="DL159" s="150">
        <f t="shared" si="394"/>
        <v>8.6329403782528278</v>
      </c>
      <c r="DM159" s="150">
        <f t="shared" si="395"/>
        <v>10.162728947368421</v>
      </c>
      <c r="DN159" s="150">
        <f t="shared" si="396"/>
        <v>4.2386095457498971</v>
      </c>
      <c r="DP159" s="314">
        <f t="shared" si="397"/>
        <v>1960</v>
      </c>
      <c r="DQ159" s="144">
        <f t="shared" si="398"/>
        <v>253.54334244975163</v>
      </c>
      <c r="DS159">
        <f t="shared" si="399"/>
        <v>1960</v>
      </c>
      <c r="DT159">
        <f t="shared" si="400"/>
        <v>253.54334244975163</v>
      </c>
      <c r="DV159" s="5">
        <f t="shared" si="401"/>
        <v>3.94409882877593</v>
      </c>
      <c r="DW159" s="5">
        <f t="shared" si="402"/>
        <v>2.3882413026315792</v>
      </c>
      <c r="DX159" s="5">
        <f t="shared" si="403"/>
        <v>1.5558575261443508</v>
      </c>
      <c r="DY159" s="150">
        <f t="shared" si="404"/>
        <v>0.60552268244575946</v>
      </c>
      <c r="EA159" s="5">
        <f t="shared" si="405"/>
        <v>15.603176510526318</v>
      </c>
      <c r="EB159" s="5">
        <f t="shared" si="406"/>
        <v>16.57837504243421</v>
      </c>
      <c r="EC159" s="5">
        <f t="shared" si="407"/>
        <v>2.6907183099202299</v>
      </c>
      <c r="ED159" s="5"/>
      <c r="EE159" s="150">
        <f t="shared" si="408"/>
        <v>4.5657793890988261</v>
      </c>
      <c r="EF159" s="150">
        <f t="shared" si="409"/>
        <v>3.5349613498346106</v>
      </c>
      <c r="EG159" s="150">
        <f t="shared" si="410"/>
        <v>0.70957551095333959</v>
      </c>
      <c r="EH159" s="150"/>
      <c r="EI159" s="456">
        <f t="shared" si="411"/>
        <v>0.25015609715903581</v>
      </c>
      <c r="EJ159" s="456">
        <f t="shared" si="412"/>
        <v>2.482127659574469</v>
      </c>
      <c r="EK159" s="456">
        <f t="shared" si="413"/>
        <v>2.915748438172144E-2</v>
      </c>
      <c r="EL159" s="456">
        <f t="shared" si="414"/>
        <v>0.33727059912767021</v>
      </c>
      <c r="EM159">
        <f t="shared" si="415"/>
        <v>8.9999999999999993E-3</v>
      </c>
      <c r="EN159" s="144">
        <f t="shared" si="416"/>
        <v>38.157484381721439</v>
      </c>
      <c r="EP159" s="144">
        <f t="shared" si="438"/>
        <v>3107.7118402428969</v>
      </c>
      <c r="EQ159" s="150">
        <f t="shared" si="417"/>
        <v>1.3719999999999999</v>
      </c>
      <c r="ER159" s="150">
        <f t="shared" si="473"/>
        <v>0.19950349999999997</v>
      </c>
      <c r="ES159" s="456"/>
      <c r="EU159" s="144">
        <f t="shared" si="419"/>
        <v>1571.5035</v>
      </c>
      <c r="EV159" s="456">
        <f t="shared" si="420"/>
        <v>0.2918487800188751</v>
      </c>
      <c r="EW159" s="456">
        <f t="shared" si="421"/>
        <v>0.17494332442754346</v>
      </c>
      <c r="EX159" s="456">
        <f t="shared" si="422"/>
        <v>2.5174870287234647E-3</v>
      </c>
      <c r="EY159" s="456">
        <f t="shared" si="423"/>
        <v>16.851027564949892</v>
      </c>
      <c r="EZ159" s="456"/>
      <c r="FA159" s="538">
        <f t="shared" si="424"/>
        <v>2.618622507736041</v>
      </c>
      <c r="FB159" s="144">
        <f t="shared" si="425"/>
        <v>19938.959664161077</v>
      </c>
      <c r="FC159" s="150">
        <f t="shared" si="426"/>
        <v>24.618175004403973</v>
      </c>
      <c r="FD159" s="5">
        <f t="shared" si="427"/>
        <v>61.298999999999999</v>
      </c>
      <c r="FE159" s="150">
        <f t="shared" si="428"/>
        <v>0.71346619575024339</v>
      </c>
      <c r="FF159" s="5">
        <f t="shared" si="429"/>
        <v>71.346619575024334</v>
      </c>
      <c r="FG159">
        <f t="shared" si="430"/>
        <v>49</v>
      </c>
      <c r="FI159" s="59">
        <f t="shared" si="431"/>
        <v>-50</v>
      </c>
      <c r="FJ159">
        <f t="shared" si="432"/>
        <v>-50</v>
      </c>
    </row>
    <row r="160" spans="5:166">
      <c r="E160" s="147">
        <v>50</v>
      </c>
      <c r="F160" s="188">
        <f t="shared" si="474"/>
        <v>2</v>
      </c>
      <c r="G160" s="188">
        <f t="shared" si="443"/>
        <v>0.42499999999999999</v>
      </c>
      <c r="H160" s="188">
        <f t="shared" si="444"/>
        <v>60</v>
      </c>
      <c r="I160" s="188">
        <f t="shared" si="445"/>
        <v>2.5499999999999998</v>
      </c>
      <c r="J160" s="465">
        <f t="shared" si="446"/>
        <v>19.839069250980739</v>
      </c>
      <c r="K160" s="379">
        <f t="shared" si="447"/>
        <v>30.821302042894327</v>
      </c>
      <c r="L160" s="149">
        <f t="shared" si="448"/>
        <v>50.660371293875066</v>
      </c>
      <c r="M160" s="379"/>
      <c r="N160" s="188">
        <f t="shared" si="449"/>
        <v>0.60839076492557564</v>
      </c>
      <c r="O160" s="149">
        <f t="shared" si="450"/>
        <v>175.42193905988867</v>
      </c>
      <c r="P160" s="149">
        <f t="shared" si="451"/>
        <v>7.455432410045268</v>
      </c>
      <c r="Q160" s="188">
        <f t="shared" si="321"/>
        <v>5.847397968662956</v>
      </c>
      <c r="R160" s="188">
        <f t="shared" si="452"/>
        <v>29.236989843314777</v>
      </c>
      <c r="S160" s="188">
        <f t="shared" si="453"/>
        <v>30</v>
      </c>
      <c r="T160" s="188">
        <f t="shared" si="454"/>
        <v>10.364620456972004</v>
      </c>
      <c r="U160" s="188">
        <f t="shared" si="325"/>
        <v>2.4554436264876824</v>
      </c>
      <c r="V160" s="188">
        <f t="shared" si="326"/>
        <v>1.5805210331469135</v>
      </c>
      <c r="W160" s="172">
        <f t="shared" si="327"/>
        <v>350</v>
      </c>
      <c r="X160" s="379">
        <f t="shared" si="434"/>
        <v>236.07373534751406</v>
      </c>
      <c r="Z160" s="188">
        <f t="shared" si="328"/>
        <v>7.3373291896751613</v>
      </c>
      <c r="AA160" s="150">
        <f t="shared" si="329"/>
        <v>1.1188835287840695</v>
      </c>
      <c r="AB160" s="150">
        <f t="shared" si="455"/>
        <v>1.3781131277975711</v>
      </c>
      <c r="AC160" s="150"/>
      <c r="AD160" s="150">
        <f t="shared" si="331"/>
        <v>0.92419354786523367</v>
      </c>
      <c r="AE160" s="314">
        <f t="shared" si="456"/>
        <v>744.48691141515292</v>
      </c>
      <c r="AF160" s="456">
        <f t="shared" si="457"/>
        <v>0.94024487102051224</v>
      </c>
      <c r="AH160" s="150">
        <f t="shared" si="458"/>
        <v>8.7205866900596192</v>
      </c>
      <c r="AI160" s="150">
        <f t="shared" si="459"/>
        <v>10.364620456972004</v>
      </c>
      <c r="AJ160" s="150">
        <f t="shared" si="460"/>
        <v>4.3881588121229207</v>
      </c>
      <c r="AL160" s="314">
        <f t="shared" si="461"/>
        <v>2000</v>
      </c>
      <c r="AM160" s="144">
        <f t="shared" si="462"/>
        <v>236.07373534751406</v>
      </c>
      <c r="AO160">
        <f t="shared" si="339"/>
        <v>2000</v>
      </c>
      <c r="AP160">
        <f t="shared" si="340"/>
        <v>236.07373534751406</v>
      </c>
      <c r="AR160" s="5">
        <f t="shared" si="442"/>
        <v>4.235964659634595</v>
      </c>
      <c r="AS160" s="5">
        <f t="shared" si="439"/>
        <v>2.4554436264876824</v>
      </c>
      <c r="AT160" s="5">
        <f t="shared" si="440"/>
        <v>1.7805210331469126</v>
      </c>
      <c r="AU160" s="150">
        <f t="shared" si="441"/>
        <v>0.5796657488401934</v>
      </c>
      <c r="AW160" s="5">
        <f t="shared" si="341"/>
        <v>16.369624176584548</v>
      </c>
      <c r="AX160" s="5">
        <f t="shared" si="342"/>
        <v>17.392725687621084</v>
      </c>
      <c r="AY160" s="5">
        <f t="shared" si="343"/>
        <v>3.1675840243283226</v>
      </c>
      <c r="AZ160" s="5"/>
      <c r="BA160" s="150">
        <f t="shared" si="344"/>
        <v>4.5559777631761049</v>
      </c>
      <c r="BB160" s="150">
        <f t="shared" si="345"/>
        <v>3.7214664008124205</v>
      </c>
      <c r="BC160" s="150">
        <f t="shared" si="346"/>
        <v>0.74701281330153924</v>
      </c>
      <c r="BD160" s="150"/>
      <c r="BE160" s="456">
        <f t="shared" si="347"/>
        <v>0.24908320054266173</v>
      </c>
      <c r="BF160" s="456">
        <f t="shared" si="463"/>
        <v>2.2622068459512361</v>
      </c>
      <c r="BG160" s="456">
        <f t="shared" si="349"/>
        <v>2.714847956496412E-2</v>
      </c>
      <c r="BH160" s="456">
        <f t="shared" si="350"/>
        <v>0.313541305907588</v>
      </c>
      <c r="BI160">
        <f t="shared" si="351"/>
        <v>8.9275811629413327E-3</v>
      </c>
      <c r="BJ160" s="144">
        <f t="shared" si="435"/>
        <v>36.07606072790545</v>
      </c>
      <c r="BK160">
        <f t="shared" si="464"/>
        <v>3.0740104189777302</v>
      </c>
      <c r="BL160" s="144">
        <f t="shared" si="436"/>
        <v>2860.9074131293914</v>
      </c>
      <c r="BM160" s="150">
        <f t="shared" si="465"/>
        <v>1.3411999999999999</v>
      </c>
      <c r="BN160" s="150">
        <f t="shared" si="466"/>
        <v>0.28500499999999995</v>
      </c>
      <c r="BO160" s="456"/>
      <c r="BQ160" s="144">
        <f t="shared" si="355"/>
        <v>1626.2049999999999</v>
      </c>
      <c r="BR160" s="456">
        <f t="shared" si="356"/>
        <v>0.29059706729977203</v>
      </c>
      <c r="BS160" s="456">
        <f t="shared" si="357"/>
        <v>0.19389037041326054</v>
      </c>
      <c r="BT160" s="456">
        <f t="shared" si="358"/>
        <v>2.7901407161834012E-3</v>
      </c>
      <c r="BU160" s="456">
        <f t="shared" si="359"/>
        <v>14.807191464071295</v>
      </c>
      <c r="BV160" s="456"/>
      <c r="BW160" s="538">
        <f t="shared" si="467"/>
        <v>2.5360305349277708</v>
      </c>
      <c r="BX160" s="144">
        <f t="shared" si="361"/>
        <v>17830.49957742828</v>
      </c>
      <c r="BY160" s="150">
        <f t="shared" si="362"/>
        <v>22.317611990557673</v>
      </c>
      <c r="BZ160" s="5">
        <f t="shared" si="363"/>
        <v>62.55</v>
      </c>
      <c r="CA160" s="150">
        <f t="shared" si="364"/>
        <v>0.7370302820227731</v>
      </c>
      <c r="CB160" s="5">
        <f t="shared" si="365"/>
        <v>73.703028202277309</v>
      </c>
      <c r="CC160">
        <f t="shared" si="366"/>
        <v>50</v>
      </c>
      <c r="CE160" s="59">
        <f t="shared" si="468"/>
        <v>-50</v>
      </c>
      <c r="CF160">
        <f t="shared" si="469"/>
        <v>-50</v>
      </c>
      <c r="CG160" s="150">
        <f t="shared" si="369"/>
        <v>0.39199567588303091</v>
      </c>
      <c r="CH160" s="150">
        <f t="shared" si="470"/>
        <v>8.2740061272353602E-2</v>
      </c>
      <c r="CI160" s="147">
        <v>50</v>
      </c>
      <c r="CJ160" s="188">
        <f t="shared" si="437"/>
        <v>2</v>
      </c>
      <c r="CK160" s="188">
        <f t="shared" si="371"/>
        <v>0.42499999999999999</v>
      </c>
      <c r="CL160" s="188">
        <f t="shared" si="372"/>
        <v>60</v>
      </c>
      <c r="CM160" s="188">
        <f t="shared" si="373"/>
        <v>2.5499999999999998</v>
      </c>
      <c r="CN160" s="465">
        <f t="shared" si="374"/>
        <v>20</v>
      </c>
      <c r="CO160" s="379">
        <f t="shared" si="471"/>
        <v>30.7</v>
      </c>
      <c r="CP160" s="379">
        <f t="shared" si="472"/>
        <v>50.7</v>
      </c>
      <c r="CQ160" s="379"/>
      <c r="CR160" s="188">
        <f t="shared" si="377"/>
        <v>0.60317460317460314</v>
      </c>
      <c r="CS160" s="149">
        <f t="shared" si="378"/>
        <v>175.32871249897633</v>
      </c>
      <c r="CT160" s="149">
        <f t="shared" si="379"/>
        <v>7.4514702812064924</v>
      </c>
      <c r="CU160" s="188">
        <f t="shared" si="380"/>
        <v>5.8442904166325444</v>
      </c>
      <c r="CV160" s="188">
        <f t="shared" si="381"/>
        <v>29.22145208316272</v>
      </c>
      <c r="CW160" s="188">
        <f t="shared" si="382"/>
        <v>30</v>
      </c>
      <c r="CX160" s="188">
        <f t="shared" si="383"/>
        <v>10.370131578947369</v>
      </c>
      <c r="CY160" s="188">
        <f t="shared" si="384"/>
        <v>2.4369809210526316</v>
      </c>
      <c r="CZ160" s="188">
        <f t="shared" si="385"/>
        <v>1.5876097205554602</v>
      </c>
      <c r="DA160" s="172">
        <f t="shared" si="386"/>
        <v>350</v>
      </c>
      <c r="DB160" s="379">
        <f t="shared" si="387"/>
        <v>248.47247560075661</v>
      </c>
      <c r="DD160" s="188">
        <f t="shared" si="388"/>
        <v>7.3619779020761014</v>
      </c>
      <c r="DE160" s="150">
        <f t="shared" si="389"/>
        <v>1.1270780501549733</v>
      </c>
      <c r="DF160" s="150">
        <f t="shared" si="390"/>
        <v>1.3928696857096292</v>
      </c>
      <c r="DG160" s="150"/>
      <c r="DH160" s="150">
        <f t="shared" si="391"/>
        <v>0.92784522751949461</v>
      </c>
      <c r="DI160" s="314">
        <f t="shared" si="392"/>
        <v>741.5568670212765</v>
      </c>
      <c r="DJ160" s="456">
        <f t="shared" si="393"/>
        <v>0.94395997276890675</v>
      </c>
      <c r="DL160" s="150">
        <f t="shared" si="394"/>
        <v>8.7205866900596192</v>
      </c>
      <c r="DM160" s="150">
        <f t="shared" si="395"/>
        <v>10.370131578947369</v>
      </c>
      <c r="DN160" s="150">
        <f t="shared" si="396"/>
        <v>4.3922411246972652</v>
      </c>
      <c r="DP160" s="314">
        <f t="shared" si="397"/>
        <v>2000</v>
      </c>
      <c r="DQ160" s="144">
        <f t="shared" si="398"/>
        <v>248.47247560075661</v>
      </c>
      <c r="DS160">
        <f t="shared" si="399"/>
        <v>2000</v>
      </c>
      <c r="DT160">
        <f t="shared" si="400"/>
        <v>248.47247560075661</v>
      </c>
      <c r="DV160" s="5">
        <f t="shared" si="401"/>
        <v>4.0245906416080919</v>
      </c>
      <c r="DW160" s="5">
        <f t="shared" si="402"/>
        <v>2.4369809210526316</v>
      </c>
      <c r="DX160" s="5">
        <f t="shared" si="403"/>
        <v>1.5876097205554602</v>
      </c>
      <c r="DY160" s="150">
        <f t="shared" si="404"/>
        <v>0.60552268244575935</v>
      </c>
      <c r="EA160" s="5">
        <f t="shared" si="405"/>
        <v>16.246539473684212</v>
      </c>
      <c r="EB160" s="5">
        <f t="shared" si="406"/>
        <v>17.261948190789475</v>
      </c>
      <c r="EC160" s="5">
        <f t="shared" si="407"/>
        <v>2.8016642127449294</v>
      </c>
      <c r="ED160" s="5"/>
      <c r="EE160" s="150">
        <f t="shared" si="408"/>
        <v>4.6589585603049244</v>
      </c>
      <c r="EF160" s="150">
        <f t="shared" si="409"/>
        <v>3.6071034181985828</v>
      </c>
      <c r="EG160" s="150">
        <f t="shared" si="410"/>
        <v>0.72405664382993851</v>
      </c>
      <c r="EH160" s="150"/>
      <c r="EI160" s="456">
        <f t="shared" si="411"/>
        <v>0.26047073839966239</v>
      </c>
      <c r="EJ160" s="456">
        <f t="shared" si="412"/>
        <v>2.482127659574469</v>
      </c>
      <c r="EK160" s="456">
        <f t="shared" si="413"/>
        <v>2.857433469408701E-2</v>
      </c>
      <c r="EL160" s="456">
        <f t="shared" si="414"/>
        <v>0.33052518714511675</v>
      </c>
      <c r="EM160">
        <f t="shared" si="415"/>
        <v>8.9999999999999993E-3</v>
      </c>
      <c r="EN160" s="144">
        <f t="shared" si="416"/>
        <v>37.574334694087014</v>
      </c>
      <c r="EP160" s="144">
        <f t="shared" si="438"/>
        <v>3110.6979198133354</v>
      </c>
      <c r="EQ160" s="150">
        <f t="shared" si="417"/>
        <v>1.4</v>
      </c>
      <c r="ER160" s="150">
        <f t="shared" si="473"/>
        <v>0.20357499999999998</v>
      </c>
      <c r="ES160" s="456"/>
      <c r="EU160" s="144">
        <f t="shared" si="419"/>
        <v>1603.575</v>
      </c>
      <c r="EV160" s="456">
        <f t="shared" si="420"/>
        <v>0.30388252813293948</v>
      </c>
      <c r="EW160" s="456">
        <f t="shared" si="421"/>
        <v>0.18215673097411861</v>
      </c>
      <c r="EX160" s="456">
        <f t="shared" si="422"/>
        <v>2.6212901173713722E-3</v>
      </c>
      <c r="EY160" s="456">
        <f t="shared" si="423"/>
        <v>16.851027564949906</v>
      </c>
      <c r="EZ160" s="456"/>
      <c r="FA160" s="538">
        <f t="shared" si="424"/>
        <v>2.6720637834041234</v>
      </c>
      <c r="FB160" s="144">
        <f t="shared" si="425"/>
        <v>20011.751897578459</v>
      </c>
      <c r="FC160" s="150">
        <f t="shared" si="426"/>
        <v>24.726024817391792</v>
      </c>
      <c r="FD160" s="5">
        <f t="shared" si="427"/>
        <v>62.55</v>
      </c>
      <c r="FE160" s="150">
        <f t="shared" si="428"/>
        <v>0.7166916702596593</v>
      </c>
      <c r="FF160" s="5">
        <f t="shared" si="429"/>
        <v>71.669167025965933</v>
      </c>
      <c r="FG160">
        <f t="shared" si="430"/>
        <v>50</v>
      </c>
      <c r="FI160" s="59">
        <f t="shared" si="431"/>
        <v>-50</v>
      </c>
      <c r="FJ160">
        <f t="shared" si="432"/>
        <v>-50</v>
      </c>
    </row>
    <row r="161" spans="5:166">
      <c r="E161" s="147">
        <v>51</v>
      </c>
      <c r="F161" s="188">
        <f t="shared" si="474"/>
        <v>2.04</v>
      </c>
      <c r="G161" s="188">
        <f t="shared" si="443"/>
        <v>0.4335</v>
      </c>
      <c r="H161" s="188">
        <f t="shared" si="444"/>
        <v>61.2</v>
      </c>
      <c r="I161" s="188">
        <f t="shared" si="445"/>
        <v>2.601</v>
      </c>
      <c r="J161" s="465">
        <f t="shared" si="446"/>
        <v>19.835850636000352</v>
      </c>
      <c r="K161" s="379">
        <f t="shared" si="447"/>
        <v>30.823728083752211</v>
      </c>
      <c r="L161" s="149">
        <f t="shared" si="448"/>
        <v>50.65957871975256</v>
      </c>
      <c r="M161" s="379"/>
      <c r="N161" s="188">
        <f t="shared" si="449"/>
        <v>0.60844817234403492</v>
      </c>
      <c r="O161" s="149">
        <f t="shared" si="450"/>
        <v>175.41002930548186</v>
      </c>
      <c r="P161" s="149">
        <f t="shared" si="451"/>
        <v>7.4549262454829774</v>
      </c>
      <c r="Q161" s="188">
        <f t="shared" si="321"/>
        <v>5.8470009768493956</v>
      </c>
      <c r="R161" s="188">
        <f t="shared" si="452"/>
        <v>29.235004884246976</v>
      </c>
      <c r="S161" s="188">
        <f t="shared" si="453"/>
        <v>30</v>
      </c>
      <c r="T161" s="188">
        <f t="shared" si="454"/>
        <v>10.572630663641862</v>
      </c>
      <c r="U161" s="188">
        <f t="shared" si="325"/>
        <v>2.5051289723331163</v>
      </c>
      <c r="V161" s="188">
        <f t="shared" si="326"/>
        <v>1.6121140176197581</v>
      </c>
      <c r="W161" s="172">
        <f t="shared" si="327"/>
        <v>350</v>
      </c>
      <c r="X161" s="379">
        <f t="shared" si="434"/>
        <v>231.62930655680228</v>
      </c>
      <c r="Z161" s="188">
        <f t="shared" si="328"/>
        <v>7.3368310433821726</v>
      </c>
      <c r="AA161" s="150">
        <f t="shared" si="329"/>
        <v>1.1187195075884715</v>
      </c>
      <c r="AB161" s="150">
        <f t="shared" si="455"/>
        <v>1.3778175559900769</v>
      </c>
      <c r="AC161" s="150"/>
      <c r="AD161" s="150">
        <f t="shared" si="331"/>
        <v>0.92412080743287517</v>
      </c>
      <c r="AE161" s="314">
        <f t="shared" si="456"/>
        <v>759.43642254909093</v>
      </c>
      <c r="AF161" s="456">
        <f t="shared" si="457"/>
        <v>0.94017086723786458</v>
      </c>
      <c r="AH161" s="150">
        <f t="shared" si="458"/>
        <v>8.8073608341671736</v>
      </c>
      <c r="AI161" s="150">
        <f t="shared" si="459"/>
        <v>10.572630663641862</v>
      </c>
      <c r="AJ161" s="150">
        <f t="shared" si="460"/>
        <v>4.5422404466931861</v>
      </c>
      <c r="AL161" s="314">
        <f t="shared" si="461"/>
        <v>2040</v>
      </c>
      <c r="AM161" s="144">
        <f t="shared" si="462"/>
        <v>231.62930655680228</v>
      </c>
      <c r="AO161">
        <f t="shared" si="339"/>
        <v>2040</v>
      </c>
      <c r="AP161">
        <f t="shared" si="340"/>
        <v>231.62930655680228</v>
      </c>
      <c r="AR161" s="5">
        <f t="shared" si="442"/>
        <v>4.3172429899528746</v>
      </c>
      <c r="AS161" s="5">
        <f t="shared" si="439"/>
        <v>2.5051289723331163</v>
      </c>
      <c r="AT161" s="5">
        <f t="shared" si="440"/>
        <v>1.8121140176197583</v>
      </c>
      <c r="AU161" s="150">
        <f t="shared" si="441"/>
        <v>0.58026128669687438</v>
      </c>
      <c r="AW161" s="5">
        <f t="shared" si="341"/>
        <v>17.034877011865195</v>
      </c>
      <c r="AX161" s="5">
        <f t="shared" si="342"/>
        <v>18.099556825106767</v>
      </c>
      <c r="AY161" s="5">
        <f t="shared" si="343"/>
        <v>3.2887979361930371</v>
      </c>
      <c r="AZ161" s="5"/>
      <c r="BA161" s="150">
        <f t="shared" si="344"/>
        <v>4.6497995608949294</v>
      </c>
      <c r="BB161" s="150">
        <f t="shared" si="345"/>
        <v>3.7934632716978594</v>
      </c>
      <c r="BC161" s="150">
        <f t="shared" si="346"/>
        <v>0.76146480057658172</v>
      </c>
      <c r="BD161" s="150"/>
      <c r="BE161" s="456">
        <f t="shared" si="347"/>
        <v>0.25944763147798416</v>
      </c>
      <c r="BF161" s="456">
        <f t="shared" si="463"/>
        <v>2.2641281839883263</v>
      </c>
      <c r="BG161" s="456">
        <f t="shared" si="349"/>
        <v>2.6637370254032264E-2</v>
      </c>
      <c r="BH161" s="456">
        <f t="shared" si="350"/>
        <v>0.30762881245120732</v>
      </c>
      <c r="BI161">
        <f t="shared" si="351"/>
        <v>8.9261327862001586E-3</v>
      </c>
      <c r="BJ161" s="144">
        <f t="shared" si="435"/>
        <v>35.563503040232426</v>
      </c>
      <c r="BK161">
        <f t="shared" si="464"/>
        <v>3.0918519513787692</v>
      </c>
      <c r="BL161" s="144">
        <f t="shared" si="436"/>
        <v>2866.7681309577506</v>
      </c>
      <c r="BM161" s="150">
        <f t="shared" si="465"/>
        <v>1.3680239999999999</v>
      </c>
      <c r="BN161" s="150">
        <f t="shared" si="466"/>
        <v>0.29070509999999999</v>
      </c>
      <c r="BO161" s="456"/>
      <c r="BQ161" s="144">
        <f t="shared" si="355"/>
        <v>1658.7291</v>
      </c>
      <c r="BR161" s="456">
        <f t="shared" si="356"/>
        <v>0.30268890339098148</v>
      </c>
      <c r="BS161" s="456">
        <f t="shared" si="357"/>
        <v>0.20146509031208878</v>
      </c>
      <c r="BT161" s="456">
        <f t="shared" si="358"/>
        <v>2.8991432125856672E-3</v>
      </c>
      <c r="BU161" s="456">
        <f t="shared" si="359"/>
        <v>14.839231999317878</v>
      </c>
      <c r="BV161" s="456"/>
      <c r="BW161" s="538">
        <f t="shared" si="467"/>
        <v>2.5891644137222936</v>
      </c>
      <c r="BX161" s="144">
        <f t="shared" si="361"/>
        <v>17935.449549955825</v>
      </c>
      <c r="BY161" s="150">
        <f t="shared" si="362"/>
        <v>22.460946780913581</v>
      </c>
      <c r="BZ161" s="5">
        <f t="shared" si="363"/>
        <v>63.801000000000002</v>
      </c>
      <c r="CA161" s="150">
        <f t="shared" si="364"/>
        <v>0.73961929194619902</v>
      </c>
      <c r="CB161" s="5">
        <f t="shared" si="365"/>
        <v>73.961929194619898</v>
      </c>
      <c r="CC161">
        <f t="shared" si="366"/>
        <v>51</v>
      </c>
      <c r="CE161" s="59">
        <f t="shared" si="468"/>
        <v>-50</v>
      </c>
      <c r="CF161">
        <f t="shared" si="469"/>
        <v>-50</v>
      </c>
      <c r="CG161" s="150">
        <f t="shared" si="369"/>
        <v>0.39199567588303091</v>
      </c>
      <c r="CH161" s="150">
        <f t="shared" si="470"/>
        <v>8.2740061272353602E-2</v>
      </c>
      <c r="CI161" s="147">
        <v>51</v>
      </c>
      <c r="CJ161" s="188">
        <f t="shared" si="437"/>
        <v>2.04</v>
      </c>
      <c r="CK161" s="188">
        <f t="shared" si="371"/>
        <v>0.4335</v>
      </c>
      <c r="CL161" s="188">
        <f t="shared" si="372"/>
        <v>61.2</v>
      </c>
      <c r="CM161" s="188">
        <f t="shared" si="373"/>
        <v>2.601</v>
      </c>
      <c r="CN161" s="465">
        <f t="shared" si="374"/>
        <v>20</v>
      </c>
      <c r="CO161" s="379">
        <f t="shared" si="471"/>
        <v>30.7</v>
      </c>
      <c r="CP161" s="379">
        <f t="shared" si="472"/>
        <v>50.7</v>
      </c>
      <c r="CQ161" s="379"/>
      <c r="CR161" s="188">
        <f t="shared" si="377"/>
        <v>0.60317460317460314</v>
      </c>
      <c r="CS161" s="149">
        <f t="shared" si="378"/>
        <v>175.32871249897633</v>
      </c>
      <c r="CT161" s="149">
        <f t="shared" si="379"/>
        <v>7.4514702812064924</v>
      </c>
      <c r="CU161" s="188">
        <f t="shared" si="380"/>
        <v>5.8442904166325444</v>
      </c>
      <c r="CV161" s="188">
        <f t="shared" si="381"/>
        <v>29.22145208316272</v>
      </c>
      <c r="CW161" s="188">
        <f t="shared" si="382"/>
        <v>30</v>
      </c>
      <c r="CX161" s="188">
        <f t="shared" si="383"/>
        <v>10.577534210526316</v>
      </c>
      <c r="CY161" s="188">
        <f t="shared" si="384"/>
        <v>2.4857205394736845</v>
      </c>
      <c r="CZ161" s="188">
        <f t="shared" si="385"/>
        <v>1.6193619149665697</v>
      </c>
      <c r="DA161" s="172">
        <f t="shared" si="386"/>
        <v>350</v>
      </c>
      <c r="DB161" s="379">
        <f t="shared" si="387"/>
        <v>243.60046627525159</v>
      </c>
      <c r="DD161" s="188">
        <f t="shared" si="388"/>
        <v>7.3619779020761014</v>
      </c>
      <c r="DE161" s="150">
        <f t="shared" si="389"/>
        <v>1.1270780501549733</v>
      </c>
      <c r="DF161" s="150">
        <f t="shared" si="390"/>
        <v>1.3928696857096292</v>
      </c>
      <c r="DG161" s="150"/>
      <c r="DH161" s="150">
        <f t="shared" si="391"/>
        <v>0.92784522751949461</v>
      </c>
      <c r="DI161" s="314">
        <f t="shared" si="392"/>
        <v>756.3880043617022</v>
      </c>
      <c r="DJ161" s="456">
        <f t="shared" si="393"/>
        <v>0.94395997276890675</v>
      </c>
      <c r="DL161" s="150">
        <f t="shared" si="394"/>
        <v>8.8073608341671736</v>
      </c>
      <c r="DM161" s="150">
        <f t="shared" si="395"/>
        <v>10.577534210526316</v>
      </c>
      <c r="DN161" s="150">
        <f t="shared" si="396"/>
        <v>4.5458727036446342</v>
      </c>
      <c r="DP161" s="314">
        <f t="shared" si="397"/>
        <v>2040</v>
      </c>
      <c r="DQ161" s="144">
        <f t="shared" si="398"/>
        <v>243.60046627525159</v>
      </c>
      <c r="DS161">
        <f t="shared" si="399"/>
        <v>2040</v>
      </c>
      <c r="DT161">
        <f t="shared" si="400"/>
        <v>243.60046627525159</v>
      </c>
      <c r="DV161" s="5">
        <f t="shared" si="401"/>
        <v>4.1050824544402529</v>
      </c>
      <c r="DW161" s="5">
        <f t="shared" si="402"/>
        <v>2.4857205394736845</v>
      </c>
      <c r="DX161" s="5">
        <f t="shared" si="403"/>
        <v>1.6193619149665683</v>
      </c>
      <c r="DY161" s="150">
        <f t="shared" si="404"/>
        <v>0.60552268244575957</v>
      </c>
      <c r="EA161" s="5">
        <f t="shared" si="405"/>
        <v>16.902899668421057</v>
      </c>
      <c r="EB161" s="5">
        <f t="shared" si="406"/>
        <v>17.95933089769737</v>
      </c>
      <c r="EC161" s="5">
        <f t="shared" si="407"/>
        <v>2.914851446939823</v>
      </c>
      <c r="ED161" s="5"/>
      <c r="EE161" s="150">
        <f t="shared" si="408"/>
        <v>4.7521377315110236</v>
      </c>
      <c r="EF161" s="150">
        <f t="shared" si="409"/>
        <v>3.6792454865625541</v>
      </c>
      <c r="EG161" s="150">
        <f t="shared" si="410"/>
        <v>0.7385377767065372</v>
      </c>
      <c r="EH161" s="150"/>
      <c r="EI161" s="456">
        <f t="shared" si="411"/>
        <v>0.27099375623100885</v>
      </c>
      <c r="EJ161" s="456">
        <f t="shared" si="412"/>
        <v>2.482127659574469</v>
      </c>
      <c r="EK161" s="456">
        <f t="shared" si="413"/>
        <v>2.8014053621653934E-2</v>
      </c>
      <c r="EL161" s="456">
        <f t="shared" si="414"/>
        <v>0.32404430112266353</v>
      </c>
      <c r="EM161">
        <f t="shared" si="415"/>
        <v>8.9999999999999993E-3</v>
      </c>
      <c r="EN161" s="144">
        <f t="shared" si="416"/>
        <v>37.014053621653936</v>
      </c>
      <c r="EP161" s="144">
        <f t="shared" si="438"/>
        <v>3114.1797705497952</v>
      </c>
      <c r="EQ161" s="150">
        <f t="shared" si="417"/>
        <v>1.4279999999999999</v>
      </c>
      <c r="ER161" s="150">
        <f t="shared" si="473"/>
        <v>0.20764649999999998</v>
      </c>
      <c r="ES161" s="456"/>
      <c r="EU161" s="144">
        <f t="shared" si="419"/>
        <v>1635.6465000000001</v>
      </c>
      <c r="EV161" s="456">
        <f t="shared" si="420"/>
        <v>0.31615938226951029</v>
      </c>
      <c r="EW161" s="456">
        <f t="shared" si="421"/>
        <v>0.18951586290547295</v>
      </c>
      <c r="EX161" s="456">
        <f t="shared" si="422"/>
        <v>2.7271902381131754E-3</v>
      </c>
      <c r="EY161" s="456">
        <f t="shared" si="423"/>
        <v>16.851027564949906</v>
      </c>
      <c r="EZ161" s="456"/>
      <c r="FA161" s="538">
        <f t="shared" si="424"/>
        <v>2.7255050590722054</v>
      </c>
      <c r="FB161" s="144">
        <f t="shared" si="425"/>
        <v>20084.935059435207</v>
      </c>
      <c r="FC161" s="150">
        <f t="shared" si="426"/>
        <v>24.834761329985003</v>
      </c>
      <c r="FD161" s="5">
        <f t="shared" si="427"/>
        <v>63.801000000000002</v>
      </c>
      <c r="FE161" s="150">
        <f t="shared" si="428"/>
        <v>0.71981104514320304</v>
      </c>
      <c r="FF161" s="5">
        <f t="shared" si="429"/>
        <v>71.981104514320307</v>
      </c>
      <c r="FG161">
        <f t="shared" si="430"/>
        <v>51</v>
      </c>
      <c r="FI161" s="59">
        <f t="shared" si="431"/>
        <v>-50</v>
      </c>
      <c r="FJ161">
        <f t="shared" si="432"/>
        <v>-50</v>
      </c>
    </row>
    <row r="162" spans="5:166">
      <c r="E162" s="147">
        <v>52</v>
      </c>
      <c r="F162" s="188">
        <f t="shared" si="474"/>
        <v>2.08</v>
      </c>
      <c r="G162" s="188">
        <f t="shared" si="443"/>
        <v>0.442</v>
      </c>
      <c r="H162" s="188">
        <f t="shared" si="444"/>
        <v>62.400000000000006</v>
      </c>
      <c r="I162" s="188">
        <f t="shared" si="445"/>
        <v>2.6520000000000001</v>
      </c>
      <c r="J162" s="465">
        <f t="shared" si="446"/>
        <v>19.832632021019968</v>
      </c>
      <c r="K162" s="379">
        <f t="shared" si="447"/>
        <v>30.826154124610099</v>
      </c>
      <c r="L162" s="149">
        <f t="shared" si="448"/>
        <v>50.658786145630067</v>
      </c>
      <c r="M162" s="379"/>
      <c r="N162" s="188">
        <f t="shared" si="449"/>
        <v>0.60850558155881174</v>
      </c>
      <c r="O162" s="149">
        <f t="shared" si="450"/>
        <v>175.39811469795319</v>
      </c>
      <c r="P162" s="149">
        <f t="shared" si="451"/>
        <v>7.4544198746630093</v>
      </c>
      <c r="Q162" s="188">
        <f t="shared" si="321"/>
        <v>5.8466038232651067</v>
      </c>
      <c r="R162" s="188">
        <f t="shared" si="452"/>
        <v>29.233019116325533</v>
      </c>
      <c r="S162" s="188">
        <f t="shared" si="453"/>
        <v>30</v>
      </c>
      <c r="T162" s="188">
        <f t="shared" si="454"/>
        <v>10.780669416916814</v>
      </c>
      <c r="U162" s="188">
        <f t="shared" si="325"/>
        <v>2.554837209998472</v>
      </c>
      <c r="V162" s="188">
        <f t="shared" si="326"/>
        <v>1.6437063817525406</v>
      </c>
      <c r="W162" s="172">
        <f t="shared" si="327"/>
        <v>350</v>
      </c>
      <c r="X162" s="379">
        <f t="shared" si="434"/>
        <v>227.3479798802928</v>
      </c>
      <c r="Z162" s="188">
        <f t="shared" si="328"/>
        <v>7.3363326940988864</v>
      </c>
      <c r="AA162" s="150">
        <f t="shared" si="329"/>
        <v>1.1185554812605381</v>
      </c>
      <c r="AB162" s="150">
        <f t="shared" si="455"/>
        <v>1.3775219671785708</v>
      </c>
      <c r="AC162" s="150"/>
      <c r="AD162" s="150">
        <f t="shared" si="331"/>
        <v>0.92404807844996684</v>
      </c>
      <c r="AE162" s="314">
        <f t="shared" si="456"/>
        <v>774.38827771854415</v>
      </c>
      <c r="AF162" s="456">
        <f t="shared" si="457"/>
        <v>0.9400968751035198</v>
      </c>
      <c r="AH162" s="150">
        <f t="shared" si="458"/>
        <v>8.8932883405183034</v>
      </c>
      <c r="AI162" s="150">
        <f t="shared" si="459"/>
        <v>10.780669416916814</v>
      </c>
      <c r="AJ162" s="150">
        <f t="shared" si="460"/>
        <v>4.6963432268968539</v>
      </c>
      <c r="AL162" s="314">
        <f t="shared" si="461"/>
        <v>2080</v>
      </c>
      <c r="AM162" s="144">
        <f t="shared" si="462"/>
        <v>227.3479798802928</v>
      </c>
      <c r="AO162">
        <f t="shared" si="339"/>
        <v>2080</v>
      </c>
      <c r="AP162">
        <f t="shared" si="340"/>
        <v>227.3479798802928</v>
      </c>
      <c r="AR162" s="5">
        <f t="shared" si="442"/>
        <v>4.3985435917510127</v>
      </c>
      <c r="AS162" s="5">
        <f t="shared" si="439"/>
        <v>2.554837209998472</v>
      </c>
      <c r="AT162" s="5">
        <f t="shared" si="440"/>
        <v>1.8437063817525408</v>
      </c>
      <c r="AU162" s="150">
        <f t="shared" si="441"/>
        <v>0.58083707861615597</v>
      </c>
      <c r="AW162" s="5">
        <f t="shared" si="341"/>
        <v>17.713537989322738</v>
      </c>
      <c r="AX162" s="5">
        <f t="shared" si="342"/>
        <v>18.820634113655412</v>
      </c>
      <c r="AY162" s="5">
        <f t="shared" si="343"/>
        <v>3.412298956096659</v>
      </c>
      <c r="AZ162" s="5"/>
      <c r="BA162" s="150">
        <f t="shared" si="344"/>
        <v>4.7436459547781062</v>
      </c>
      <c r="BB162" s="150">
        <f t="shared" si="345"/>
        <v>3.8654536235611814</v>
      </c>
      <c r="BC162" s="150">
        <f t="shared" si="346"/>
        <v>0.77591547928330018</v>
      </c>
      <c r="BD162" s="150"/>
      <c r="BE162" s="456">
        <f t="shared" si="347"/>
        <v>0.27002612333139231</v>
      </c>
      <c r="BF162" s="456">
        <f t="shared" si="463"/>
        <v>2.2659716735071971</v>
      </c>
      <c r="BG162" s="456">
        <f t="shared" si="349"/>
        <v>2.6145017686233674E-2</v>
      </c>
      <c r="BH162" s="456">
        <f t="shared" si="350"/>
        <v>0.30193329903688715</v>
      </c>
      <c r="BI162">
        <f t="shared" si="351"/>
        <v>8.9246844094589863E-3</v>
      </c>
      <c r="BJ162" s="144">
        <f t="shared" si="435"/>
        <v>35.069702095692655</v>
      </c>
      <c r="BK162">
        <f t="shared" si="464"/>
        <v>3.1103955504527461</v>
      </c>
      <c r="BL162" s="144">
        <f t="shared" si="436"/>
        <v>2873.0007979711695</v>
      </c>
      <c r="BM162" s="150">
        <f t="shared" si="465"/>
        <v>1.3948479999999999</v>
      </c>
      <c r="BN162" s="150">
        <f t="shared" si="466"/>
        <v>0.29640519999999998</v>
      </c>
      <c r="BO162" s="456"/>
      <c r="BQ162" s="144">
        <f t="shared" si="355"/>
        <v>1691.2531999999999</v>
      </c>
      <c r="BR162" s="456">
        <f t="shared" si="356"/>
        <v>0.31503047721995769</v>
      </c>
      <c r="BS162" s="456">
        <f t="shared" si="357"/>
        <v>0.20918424402263175</v>
      </c>
      <c r="BT162" s="456">
        <f t="shared" si="358"/>
        <v>3.0102241549571675E-3</v>
      </c>
      <c r="BU162" s="456">
        <f t="shared" si="359"/>
        <v>14.870037900958973</v>
      </c>
      <c r="BV162" s="456"/>
      <c r="BW162" s="538">
        <f t="shared" si="467"/>
        <v>2.6423026315985298</v>
      </c>
      <c r="BX162" s="144">
        <f t="shared" si="361"/>
        <v>18039.56547795505</v>
      </c>
      <c r="BY162" s="150">
        <f t="shared" si="362"/>
        <v>22.603819475926219</v>
      </c>
      <c r="BZ162" s="5">
        <f t="shared" si="363"/>
        <v>65.052000000000007</v>
      </c>
      <c r="CA162" s="150">
        <f t="shared" si="364"/>
        <v>0.74212984818270822</v>
      </c>
      <c r="CB162" s="5">
        <f t="shared" si="365"/>
        <v>74.212984818270826</v>
      </c>
      <c r="CC162">
        <f t="shared" si="366"/>
        <v>52</v>
      </c>
      <c r="CE162" s="59">
        <f t="shared" si="468"/>
        <v>-50</v>
      </c>
      <c r="CF162">
        <f t="shared" si="469"/>
        <v>-50</v>
      </c>
      <c r="CG162" s="150">
        <f t="shared" si="369"/>
        <v>0.39199567588303091</v>
      </c>
      <c r="CH162" s="150">
        <f t="shared" si="470"/>
        <v>8.2740061272353602E-2</v>
      </c>
      <c r="CI162" s="147">
        <v>52</v>
      </c>
      <c r="CJ162" s="188">
        <f t="shared" si="437"/>
        <v>2.08</v>
      </c>
      <c r="CK162" s="188">
        <f t="shared" si="371"/>
        <v>0.442</v>
      </c>
      <c r="CL162" s="188">
        <f t="shared" si="372"/>
        <v>62.400000000000006</v>
      </c>
      <c r="CM162" s="188">
        <f t="shared" si="373"/>
        <v>2.6520000000000001</v>
      </c>
      <c r="CN162" s="465">
        <f t="shared" si="374"/>
        <v>20</v>
      </c>
      <c r="CO162" s="379">
        <f t="shared" si="471"/>
        <v>30.7</v>
      </c>
      <c r="CP162" s="379">
        <f t="shared" si="472"/>
        <v>50.7</v>
      </c>
      <c r="CQ162" s="379"/>
      <c r="CR162" s="188">
        <f t="shared" si="377"/>
        <v>0.60317460317460314</v>
      </c>
      <c r="CS162" s="149">
        <f t="shared" si="378"/>
        <v>175.32871249897633</v>
      </c>
      <c r="CT162" s="149">
        <f t="shared" si="379"/>
        <v>7.4514702812064924</v>
      </c>
      <c r="CU162" s="188">
        <f t="shared" si="380"/>
        <v>5.8442904166325444</v>
      </c>
      <c r="CV162" s="188">
        <f t="shared" si="381"/>
        <v>29.22145208316272</v>
      </c>
      <c r="CW162" s="188">
        <f t="shared" si="382"/>
        <v>30</v>
      </c>
      <c r="CX162" s="188">
        <f t="shared" si="383"/>
        <v>10.784936842105264</v>
      </c>
      <c r="CY162" s="188">
        <f t="shared" si="384"/>
        <v>2.534460157894737</v>
      </c>
      <c r="CZ162" s="188">
        <f t="shared" si="385"/>
        <v>1.6511141093776789</v>
      </c>
      <c r="DA162" s="172">
        <f t="shared" si="386"/>
        <v>350</v>
      </c>
      <c r="DB162" s="379">
        <f t="shared" si="387"/>
        <v>238.91584192380444</v>
      </c>
      <c r="DD162" s="188">
        <f t="shared" si="388"/>
        <v>7.3619779020761014</v>
      </c>
      <c r="DE162" s="150">
        <f t="shared" si="389"/>
        <v>1.1270780501549733</v>
      </c>
      <c r="DF162" s="150">
        <f t="shared" si="390"/>
        <v>1.3928696857096292</v>
      </c>
      <c r="DG162" s="150"/>
      <c r="DH162" s="150">
        <f t="shared" si="391"/>
        <v>0.92784522751949461</v>
      </c>
      <c r="DI162" s="314">
        <f t="shared" si="392"/>
        <v>771.21914170212767</v>
      </c>
      <c r="DJ162" s="456">
        <f t="shared" si="393"/>
        <v>0.94395997276890675</v>
      </c>
      <c r="DL162" s="150">
        <f t="shared" si="394"/>
        <v>8.8932883405183034</v>
      </c>
      <c r="DM162" s="150">
        <f t="shared" si="395"/>
        <v>10.784936842105264</v>
      </c>
      <c r="DN162" s="150">
        <f t="shared" si="396"/>
        <v>4.6995042825920024</v>
      </c>
      <c r="DP162" s="314">
        <f t="shared" si="397"/>
        <v>2080</v>
      </c>
      <c r="DQ162" s="144">
        <f t="shared" si="398"/>
        <v>238.91584192380444</v>
      </c>
      <c r="DS162">
        <f t="shared" si="399"/>
        <v>2080</v>
      </c>
      <c r="DT162">
        <f t="shared" si="400"/>
        <v>238.91584192380444</v>
      </c>
      <c r="DV162" s="5">
        <f t="shared" si="401"/>
        <v>4.1855742672724148</v>
      </c>
      <c r="DW162" s="5">
        <f t="shared" si="402"/>
        <v>2.534460157894737</v>
      </c>
      <c r="DX162" s="5">
        <f t="shared" si="403"/>
        <v>1.6511141093776778</v>
      </c>
      <c r="DY162" s="150">
        <f t="shared" si="404"/>
        <v>0.60552268244575957</v>
      </c>
      <c r="EA162" s="5">
        <f t="shared" si="405"/>
        <v>17.572257094736845</v>
      </c>
      <c r="EB162" s="5">
        <f t="shared" si="406"/>
        <v>18.670523163157895</v>
      </c>
      <c r="EC162" s="5">
        <f t="shared" si="407"/>
        <v>3.0302800125049143</v>
      </c>
      <c r="ED162" s="5"/>
      <c r="EE162" s="150">
        <f t="shared" si="408"/>
        <v>4.8453169027171219</v>
      </c>
      <c r="EF162" s="150">
        <f t="shared" si="409"/>
        <v>3.7513875549265254</v>
      </c>
      <c r="EG162" s="150">
        <f t="shared" si="410"/>
        <v>0.753018909583136</v>
      </c>
      <c r="EH162" s="150"/>
      <c r="EI162" s="456">
        <f t="shared" si="411"/>
        <v>0.28172515065307491</v>
      </c>
      <c r="EJ162" s="456">
        <f t="shared" si="412"/>
        <v>2.4821276595744686</v>
      </c>
      <c r="EK162" s="456">
        <f t="shared" si="413"/>
        <v>2.7475321821237512E-2</v>
      </c>
      <c r="EL162" s="456">
        <f t="shared" si="414"/>
        <v>0.31781267994722767</v>
      </c>
      <c r="EM162">
        <f t="shared" si="415"/>
        <v>8.9999999999999993E-3</v>
      </c>
      <c r="EN162" s="144">
        <f t="shared" si="416"/>
        <v>36.475321821237515</v>
      </c>
      <c r="EP162" s="144">
        <f t="shared" si="438"/>
        <v>3118.1408119960092</v>
      </c>
      <c r="EQ162" s="150">
        <f t="shared" si="417"/>
        <v>1.456</v>
      </c>
      <c r="ER162" s="150">
        <f t="shared" si="473"/>
        <v>0.21171799999999999</v>
      </c>
      <c r="ES162" s="456"/>
      <c r="EU162" s="144">
        <f t="shared" si="419"/>
        <v>1667.7180000000001</v>
      </c>
      <c r="EV162" s="456">
        <f t="shared" si="420"/>
        <v>0.32867934242858737</v>
      </c>
      <c r="EW162" s="456">
        <f t="shared" si="421"/>
        <v>0.1970207202216066</v>
      </c>
      <c r="EX162" s="456">
        <f t="shared" si="422"/>
        <v>2.8351873909488756E-3</v>
      </c>
      <c r="EY162" s="456">
        <f t="shared" si="423"/>
        <v>16.851027564949874</v>
      </c>
      <c r="EZ162" s="456"/>
      <c r="FA162" s="538">
        <f t="shared" si="424"/>
        <v>2.7789463347402878</v>
      </c>
      <c r="FB162" s="144">
        <f t="shared" si="425"/>
        <v>20158.509149731301</v>
      </c>
      <c r="FC162" s="150">
        <f t="shared" si="426"/>
        <v>24.944367961727313</v>
      </c>
      <c r="FD162" s="5">
        <f t="shared" si="427"/>
        <v>65.052000000000007</v>
      </c>
      <c r="FE162" s="150">
        <f t="shared" si="428"/>
        <v>0.72282917048013118</v>
      </c>
      <c r="FF162" s="5">
        <f t="shared" si="429"/>
        <v>72.282917048013118</v>
      </c>
      <c r="FG162">
        <f t="shared" si="430"/>
        <v>52</v>
      </c>
      <c r="FI162" s="59">
        <f t="shared" si="431"/>
        <v>-50</v>
      </c>
      <c r="FJ162">
        <f t="shared" si="432"/>
        <v>-50</v>
      </c>
    </row>
    <row r="163" spans="5:166">
      <c r="E163" s="147">
        <v>53</v>
      </c>
      <c r="F163" s="188">
        <f t="shared" si="474"/>
        <v>2.12</v>
      </c>
      <c r="G163" s="188">
        <f t="shared" si="443"/>
        <v>0.45050000000000001</v>
      </c>
      <c r="H163" s="188">
        <f t="shared" si="444"/>
        <v>63.6</v>
      </c>
      <c r="I163" s="188">
        <f t="shared" si="445"/>
        <v>2.7030000000000003</v>
      </c>
      <c r="J163" s="465">
        <f t="shared" si="446"/>
        <v>19.829413406039581</v>
      </c>
      <c r="K163" s="379">
        <f t="shared" si="447"/>
        <v>30.82858016546799</v>
      </c>
      <c r="L163" s="149">
        <f t="shared" si="448"/>
        <v>50.657993571507575</v>
      </c>
      <c r="M163" s="379"/>
      <c r="N163" s="188">
        <f t="shared" si="449"/>
        <v>0.60856299256999047</v>
      </c>
      <c r="O163" s="149">
        <f t="shared" si="450"/>
        <v>175.38619523707487</v>
      </c>
      <c r="P163" s="149">
        <f t="shared" si="451"/>
        <v>7.4539132975756806</v>
      </c>
      <c r="Q163" s="188">
        <f t="shared" si="321"/>
        <v>5.8462065079024956</v>
      </c>
      <c r="R163" s="188">
        <f t="shared" si="452"/>
        <v>29.23103253951248</v>
      </c>
      <c r="S163" s="188">
        <f t="shared" si="453"/>
        <v>30</v>
      </c>
      <c r="T163" s="188">
        <f t="shared" si="454"/>
        <v>10.988736739898908</v>
      </c>
      <c r="U163" s="188">
        <f t="shared" si="325"/>
        <v>2.6045683561065078</v>
      </c>
      <c r="V163" s="188">
        <f t="shared" si="326"/>
        <v>1.6752981292137572</v>
      </c>
      <c r="W163" s="172">
        <f t="shared" si="327"/>
        <v>350</v>
      </c>
      <c r="X163" s="379">
        <f t="shared" si="434"/>
        <v>223.22093823037454</v>
      </c>
      <c r="Z163" s="188">
        <f t="shared" si="328"/>
        <v>7.3358341418157673</v>
      </c>
      <c r="AA163" s="150">
        <f t="shared" si="329"/>
        <v>1.1183914498000269</v>
      </c>
      <c r="AB163" s="150">
        <f t="shared" si="455"/>
        <v>1.3772263613790194</v>
      </c>
      <c r="AC163" s="150"/>
      <c r="AD163" s="150">
        <f t="shared" si="331"/>
        <v>0.92397536091380583</v>
      </c>
      <c r="AE163" s="314">
        <f t="shared" si="456"/>
        <v>789.34247692351266</v>
      </c>
      <c r="AF163" s="456">
        <f t="shared" si="457"/>
        <v>0.94002289461472877</v>
      </c>
      <c r="AH163" s="150">
        <f t="shared" si="458"/>
        <v>8.9783935173267864</v>
      </c>
      <c r="AI163" s="150">
        <f t="shared" si="459"/>
        <v>10.988736739898908</v>
      </c>
      <c r="AJ163" s="150">
        <f t="shared" si="460"/>
        <v>4.8504671698465529</v>
      </c>
      <c r="AL163" s="314">
        <f t="shared" si="461"/>
        <v>2120</v>
      </c>
      <c r="AM163" s="144">
        <f t="shared" si="462"/>
        <v>223.22093823037454</v>
      </c>
      <c r="AO163">
        <f t="shared" si="339"/>
        <v>2120</v>
      </c>
      <c r="AP163">
        <f t="shared" si="340"/>
        <v>223.22093823037454</v>
      </c>
      <c r="AR163" s="5">
        <f t="shared" si="442"/>
        <v>4.4798664853202643</v>
      </c>
      <c r="AS163" s="5">
        <f t="shared" si="439"/>
        <v>2.6045683561065078</v>
      </c>
      <c r="AT163" s="5">
        <f t="shared" si="440"/>
        <v>1.8752981292137565</v>
      </c>
      <c r="AU163" s="150">
        <f t="shared" si="441"/>
        <v>0.58139419213523902</v>
      </c>
      <c r="AW163" s="5">
        <f t="shared" si="341"/>
        <v>18.405616383152655</v>
      </c>
      <c r="AX163" s="5">
        <f t="shared" si="342"/>
        <v>19.555967407099697</v>
      </c>
      <c r="AY163" s="5">
        <f t="shared" si="343"/>
        <v>3.5380881384094724</v>
      </c>
      <c r="AZ163" s="5"/>
      <c r="BA163" s="150">
        <f t="shared" si="344"/>
        <v>4.8375167988155736</v>
      </c>
      <c r="BB163" s="150">
        <f t="shared" si="345"/>
        <v>3.9374377683975008</v>
      </c>
      <c r="BC163" s="150">
        <f t="shared" si="346"/>
        <v>0.79036491204871362</v>
      </c>
      <c r="BD163" s="150"/>
      <c r="BE163" s="456">
        <f t="shared" si="347"/>
        <v>0.28081882534587449</v>
      </c>
      <c r="BF163" s="456">
        <f t="shared" si="463"/>
        <v>2.2677415196167621</v>
      </c>
      <c r="BG163" s="456">
        <f t="shared" si="349"/>
        <v>2.5670407896493073E-2</v>
      </c>
      <c r="BH163" s="456">
        <f t="shared" si="350"/>
        <v>0.29644303600771305</v>
      </c>
      <c r="BI163">
        <f t="shared" si="351"/>
        <v>8.9232360327178122E-3</v>
      </c>
      <c r="BJ163" s="144">
        <f t="shared" si="435"/>
        <v>34.593643929210884</v>
      </c>
      <c r="BK163">
        <f t="shared" si="464"/>
        <v>3.1296421797146392</v>
      </c>
      <c r="BL163" s="144">
        <f t="shared" si="436"/>
        <v>2879.5970248995595</v>
      </c>
      <c r="BM163" s="150">
        <f t="shared" si="465"/>
        <v>1.4216719999999998</v>
      </c>
      <c r="BN163" s="150">
        <f t="shared" si="466"/>
        <v>0.30210529999999997</v>
      </c>
      <c r="BO163" s="456"/>
      <c r="BQ163" s="144">
        <f t="shared" si="355"/>
        <v>1723.7772999999997</v>
      </c>
      <c r="BR163" s="456">
        <f t="shared" si="356"/>
        <v>0.32762196290352025</v>
      </c>
      <c r="BS163" s="456">
        <f t="shared" si="357"/>
        <v>0.21704782652004329</v>
      </c>
      <c r="BT163" s="456">
        <f t="shared" si="358"/>
        <v>3.1233834709888542E-3</v>
      </c>
      <c r="BU163" s="456">
        <f t="shared" si="359"/>
        <v>14.899673435808953</v>
      </c>
      <c r="BV163" s="456"/>
      <c r="BW163" s="538">
        <f t="shared" si="467"/>
        <v>2.6954449543192469</v>
      </c>
      <c r="BX163" s="144">
        <f t="shared" si="361"/>
        <v>18142.911563022753</v>
      </c>
      <c r="BY163" s="150">
        <f t="shared" si="362"/>
        <v>22.746285887922312</v>
      </c>
      <c r="BZ163" s="5">
        <f t="shared" si="363"/>
        <v>66.302999999999997</v>
      </c>
      <c r="CA163" s="150">
        <f t="shared" si="364"/>
        <v>0.74456520722074226</v>
      </c>
      <c r="CB163" s="5">
        <f t="shared" si="365"/>
        <v>74.456520722074231</v>
      </c>
      <c r="CC163">
        <f t="shared" si="366"/>
        <v>53</v>
      </c>
      <c r="CE163" s="59">
        <f t="shared" si="468"/>
        <v>-50</v>
      </c>
      <c r="CF163">
        <f t="shared" si="469"/>
        <v>-50</v>
      </c>
      <c r="CG163" s="150">
        <f t="shared" si="369"/>
        <v>0.39199567588303091</v>
      </c>
      <c r="CH163" s="150">
        <f t="shared" si="470"/>
        <v>8.2740061272353602E-2</v>
      </c>
      <c r="CI163" s="147">
        <v>53</v>
      </c>
      <c r="CJ163" s="188">
        <f t="shared" si="437"/>
        <v>2.12</v>
      </c>
      <c r="CK163" s="188">
        <f t="shared" si="371"/>
        <v>0.45050000000000001</v>
      </c>
      <c r="CL163" s="188">
        <f t="shared" si="372"/>
        <v>63.6</v>
      </c>
      <c r="CM163" s="188">
        <f t="shared" si="373"/>
        <v>2.7030000000000003</v>
      </c>
      <c r="CN163" s="465">
        <f t="shared" si="374"/>
        <v>20</v>
      </c>
      <c r="CO163" s="379">
        <f t="shared" si="471"/>
        <v>30.7</v>
      </c>
      <c r="CP163" s="379">
        <f t="shared" si="472"/>
        <v>50.7</v>
      </c>
      <c r="CQ163" s="379"/>
      <c r="CR163" s="188">
        <f t="shared" si="377"/>
        <v>0.60317460317460314</v>
      </c>
      <c r="CS163" s="149">
        <f t="shared" si="378"/>
        <v>175.32871249897633</v>
      </c>
      <c r="CT163" s="149">
        <f t="shared" si="379"/>
        <v>7.4514702812064924</v>
      </c>
      <c r="CU163" s="188">
        <f t="shared" si="380"/>
        <v>5.8442904166325444</v>
      </c>
      <c r="CV163" s="188">
        <f t="shared" si="381"/>
        <v>29.22145208316272</v>
      </c>
      <c r="CW163" s="188">
        <f t="shared" si="382"/>
        <v>30</v>
      </c>
      <c r="CX163" s="188">
        <f t="shared" si="383"/>
        <v>10.992339473684209</v>
      </c>
      <c r="CY163" s="188">
        <f t="shared" si="384"/>
        <v>2.5831997763157895</v>
      </c>
      <c r="CZ163" s="188">
        <f t="shared" si="385"/>
        <v>1.6828663037887879</v>
      </c>
      <c r="DA163" s="172">
        <f t="shared" si="386"/>
        <v>350</v>
      </c>
      <c r="DB163" s="379">
        <f t="shared" si="387"/>
        <v>234.40799584977037</v>
      </c>
      <c r="DD163" s="188">
        <f t="shared" si="388"/>
        <v>7.3619779020761014</v>
      </c>
      <c r="DE163" s="150">
        <f t="shared" si="389"/>
        <v>1.1270780501549733</v>
      </c>
      <c r="DF163" s="150">
        <f t="shared" si="390"/>
        <v>1.3928696857096292</v>
      </c>
      <c r="DG163" s="150"/>
      <c r="DH163" s="150">
        <f t="shared" si="391"/>
        <v>0.92784522751949461</v>
      </c>
      <c r="DI163" s="314">
        <f t="shared" si="392"/>
        <v>786.05027904255326</v>
      </c>
      <c r="DJ163" s="456">
        <f t="shared" si="393"/>
        <v>0.94395997276890675</v>
      </c>
      <c r="DL163" s="150">
        <f t="shared" si="394"/>
        <v>8.9783935173267864</v>
      </c>
      <c r="DM163" s="150">
        <f t="shared" si="395"/>
        <v>10.992339473684209</v>
      </c>
      <c r="DN163" s="150">
        <f t="shared" si="396"/>
        <v>4.8531358615393696</v>
      </c>
      <c r="DP163" s="314">
        <f t="shared" si="397"/>
        <v>2120</v>
      </c>
      <c r="DQ163" s="144">
        <f t="shared" si="398"/>
        <v>234.40799584977037</v>
      </c>
      <c r="DS163">
        <f t="shared" si="399"/>
        <v>2120</v>
      </c>
      <c r="DT163">
        <f t="shared" si="400"/>
        <v>234.40799584977037</v>
      </c>
      <c r="DV163" s="5">
        <f t="shared" si="401"/>
        <v>4.2660660801045776</v>
      </c>
      <c r="DW163" s="5">
        <f t="shared" si="402"/>
        <v>2.5831997763157895</v>
      </c>
      <c r="DX163" s="5">
        <f t="shared" si="403"/>
        <v>1.6828663037887881</v>
      </c>
      <c r="DY163" s="150">
        <f t="shared" si="404"/>
        <v>0.60552268244575935</v>
      </c>
      <c r="EA163" s="5">
        <f t="shared" si="405"/>
        <v>18.254611752631579</v>
      </c>
      <c r="EB163" s="5">
        <f t="shared" si="406"/>
        <v>19.395524987171054</v>
      </c>
      <c r="EC163" s="5">
        <f t="shared" si="407"/>
        <v>3.1479499094402037</v>
      </c>
      <c r="ED163" s="5"/>
      <c r="EE163" s="150">
        <f t="shared" si="408"/>
        <v>4.9384960739232193</v>
      </c>
      <c r="EF163" s="150">
        <f t="shared" si="409"/>
        <v>3.8235296232904972</v>
      </c>
      <c r="EG163" s="150">
        <f t="shared" si="410"/>
        <v>0.76750004245973469</v>
      </c>
      <c r="EH163" s="150"/>
      <c r="EI163" s="456">
        <f t="shared" si="411"/>
        <v>0.29266492166586061</v>
      </c>
      <c r="EJ163" s="456">
        <f t="shared" si="412"/>
        <v>2.4821276595744681</v>
      </c>
      <c r="EK163" s="456">
        <f t="shared" si="413"/>
        <v>2.6956919522723596E-2</v>
      </c>
      <c r="EL163" s="456">
        <f t="shared" si="414"/>
        <v>0.31181621428784601</v>
      </c>
      <c r="EM163">
        <f t="shared" si="415"/>
        <v>8.9999999999999993E-3</v>
      </c>
      <c r="EN163" s="144">
        <f t="shared" si="416"/>
        <v>35.956919522723595</v>
      </c>
      <c r="EP163" s="144">
        <f t="shared" si="438"/>
        <v>3122.5657150508982</v>
      </c>
      <c r="EQ163" s="150">
        <f t="shared" si="417"/>
        <v>1.484</v>
      </c>
      <c r="ER163" s="150">
        <f t="shared" si="473"/>
        <v>0.2157895</v>
      </c>
      <c r="ES163" s="456"/>
      <c r="EU163" s="144">
        <f t="shared" si="419"/>
        <v>1699.7895000000001</v>
      </c>
      <c r="EV163" s="456">
        <f t="shared" si="420"/>
        <v>0.34144240861017072</v>
      </c>
      <c r="EW163" s="456">
        <f t="shared" si="421"/>
        <v>0.20467130292251962</v>
      </c>
      <c r="EX163" s="456">
        <f t="shared" si="422"/>
        <v>2.9452815758784731E-3</v>
      </c>
      <c r="EY163" s="456">
        <f t="shared" si="423"/>
        <v>16.851027564949874</v>
      </c>
      <c r="EZ163" s="456"/>
      <c r="FA163" s="538">
        <f t="shared" si="424"/>
        <v>2.8323876104083698</v>
      </c>
      <c r="FB163" s="144">
        <f t="shared" si="425"/>
        <v>20232.474168466815</v>
      </c>
      <c r="FC163" s="150">
        <f t="shared" si="426"/>
        <v>25.054829383517706</v>
      </c>
      <c r="FD163" s="5">
        <f t="shared" si="427"/>
        <v>66.302999999999997</v>
      </c>
      <c r="FE163" s="150">
        <f t="shared" si="428"/>
        <v>0.72575060558479121</v>
      </c>
      <c r="FF163" s="5">
        <f t="shared" si="429"/>
        <v>72.575060558479123</v>
      </c>
      <c r="FG163">
        <f t="shared" si="430"/>
        <v>53</v>
      </c>
      <c r="FI163" s="59">
        <f t="shared" si="431"/>
        <v>-50</v>
      </c>
      <c r="FJ163">
        <f t="shared" si="432"/>
        <v>-50</v>
      </c>
    </row>
    <row r="164" spans="5:166">
      <c r="E164" s="147">
        <v>54</v>
      </c>
      <c r="F164" s="188">
        <f t="shared" si="474"/>
        <v>2.16</v>
      </c>
      <c r="G164" s="188">
        <f t="shared" si="443"/>
        <v>0.45900000000000002</v>
      </c>
      <c r="H164" s="188">
        <f t="shared" si="444"/>
        <v>64.800000000000011</v>
      </c>
      <c r="I164" s="188">
        <f t="shared" si="445"/>
        <v>2.754</v>
      </c>
      <c r="J164" s="465">
        <f t="shared" si="446"/>
        <v>19.826194791059198</v>
      </c>
      <c r="K164" s="379">
        <f t="shared" si="447"/>
        <v>30.831006206325874</v>
      </c>
      <c r="L164" s="149">
        <f t="shared" si="448"/>
        <v>50.657200997385075</v>
      </c>
      <c r="M164" s="379"/>
      <c r="N164" s="188">
        <f t="shared" si="449"/>
        <v>0.60862040537765538</v>
      </c>
      <c r="O164" s="149">
        <f t="shared" si="450"/>
        <v>175.37427092261913</v>
      </c>
      <c r="P164" s="149">
        <f t="shared" si="451"/>
        <v>7.453406514211312</v>
      </c>
      <c r="Q164" s="188">
        <f t="shared" si="321"/>
        <v>5.845809030753971</v>
      </c>
      <c r="R164" s="188">
        <f t="shared" si="452"/>
        <v>29.229045153769857</v>
      </c>
      <c r="S164" s="188">
        <f t="shared" si="453"/>
        <v>30</v>
      </c>
      <c r="T164" s="188">
        <f t="shared" si="454"/>
        <v>11.1968326557023</v>
      </c>
      <c r="U164" s="188">
        <f t="shared" si="325"/>
        <v>2.6543224272936419</v>
      </c>
      <c r="V164" s="188">
        <f t="shared" si="326"/>
        <v>1.7068892636725961</v>
      </c>
      <c r="W164" s="172">
        <f t="shared" si="327"/>
        <v>350</v>
      </c>
      <c r="X164" s="379">
        <f t="shared" si="434"/>
        <v>219.23998879082103</v>
      </c>
      <c r="Z164" s="188">
        <f t="shared" si="328"/>
        <v>7.3353353865232895</v>
      </c>
      <c r="AA164" s="150">
        <f t="shared" si="329"/>
        <v>1.1182274132066989</v>
      </c>
      <c r="AB164" s="150">
        <f t="shared" si="455"/>
        <v>1.3769307386073979</v>
      </c>
      <c r="AC164" s="150"/>
      <c r="AD164" s="150">
        <f t="shared" si="331"/>
        <v>0.92390265482169021</v>
      </c>
      <c r="AE164" s="314">
        <f t="shared" si="456"/>
        <v>804.29902016399603</v>
      </c>
      <c r="AF164" s="456">
        <f t="shared" si="457"/>
        <v>0.93994892576874223</v>
      </c>
      <c r="AH164" s="150">
        <f t="shared" si="458"/>
        <v>9.0626995313953014</v>
      </c>
      <c r="AI164" s="150">
        <f t="shared" si="459"/>
        <v>11.1968326557023</v>
      </c>
      <c r="AJ164" s="150">
        <f t="shared" si="460"/>
        <v>5.0046122926638814</v>
      </c>
      <c r="AL164" s="314">
        <f t="shared" si="461"/>
        <v>2160</v>
      </c>
      <c r="AM164" s="144">
        <f t="shared" si="462"/>
        <v>219.23998879082103</v>
      </c>
      <c r="AO164">
        <f t="shared" si="339"/>
        <v>2160</v>
      </c>
      <c r="AP164">
        <f t="shared" si="340"/>
        <v>219.23998879082103</v>
      </c>
      <c r="AR164" s="5">
        <f t="shared" si="442"/>
        <v>4.561211690966239</v>
      </c>
      <c r="AS164" s="5">
        <f t="shared" si="439"/>
        <v>2.6543224272936419</v>
      </c>
      <c r="AT164" s="5">
        <f t="shared" si="440"/>
        <v>1.9068892636725971</v>
      </c>
      <c r="AU164" s="150">
        <f t="shared" si="441"/>
        <v>0.58193361920708286</v>
      </c>
      <c r="AW164" s="5">
        <f t="shared" si="341"/>
        <v>19.111121476514221</v>
      </c>
      <c r="AX164" s="5">
        <f t="shared" si="342"/>
        <v>20.305566568796362</v>
      </c>
      <c r="AY164" s="5">
        <f t="shared" si="343"/>
        <v>3.6661665387102125</v>
      </c>
      <c r="AZ164" s="5"/>
      <c r="BA164" s="150">
        <f t="shared" si="344"/>
        <v>4.9314119582804228</v>
      </c>
      <c r="BB164" s="150">
        <f t="shared" si="345"/>
        <v>4.0094159968337264</v>
      </c>
      <c r="BC164" s="150">
        <f t="shared" si="346"/>
        <v>0.80481315721058544</v>
      </c>
      <c r="BD164" s="150"/>
      <c r="BE164" s="456">
        <f t="shared" si="347"/>
        <v>0.29182588682725386</v>
      </c>
      <c r="BF164" s="456">
        <f t="shared" si="463"/>
        <v>2.2694416296939317</v>
      </c>
      <c r="BG164" s="456">
        <f t="shared" si="349"/>
        <v>2.5212598710944421E-2</v>
      </c>
      <c r="BH164" s="456">
        <f t="shared" si="350"/>
        <v>0.29114712419519034</v>
      </c>
      <c r="BI164">
        <f t="shared" si="351"/>
        <v>8.9217876559766381E-3</v>
      </c>
      <c r="BJ164" s="144">
        <f t="shared" si="435"/>
        <v>34.134386366921056</v>
      </c>
      <c r="BK164">
        <f t="shared" si="464"/>
        <v>3.1495936193435643</v>
      </c>
      <c r="BL164" s="144">
        <f t="shared" si="436"/>
        <v>2886.5490270832975</v>
      </c>
      <c r="BM164" s="150">
        <f t="shared" si="465"/>
        <v>1.448496</v>
      </c>
      <c r="BN164" s="150">
        <f t="shared" si="466"/>
        <v>0.30780539999999995</v>
      </c>
      <c r="BO164" s="456"/>
      <c r="BQ164" s="144">
        <f t="shared" si="355"/>
        <v>1756.3013999999998</v>
      </c>
      <c r="BR164" s="456">
        <f t="shared" si="356"/>
        <v>0.34046353463179618</v>
      </c>
      <c r="BS164" s="456">
        <f t="shared" si="357"/>
        <v>0.22505583289932657</v>
      </c>
      <c r="BT164" s="456">
        <f t="shared" si="358"/>
        <v>3.2386210900963524E-3</v>
      </c>
      <c r="BU164" s="456">
        <f t="shared" si="359"/>
        <v>14.928198488081186</v>
      </c>
      <c r="BV164" s="456"/>
      <c r="BW164" s="538">
        <f t="shared" si="467"/>
        <v>2.7485911642317018</v>
      </c>
      <c r="BX164" s="144">
        <f t="shared" si="361"/>
        <v>18245.547640934106</v>
      </c>
      <c r="BY164" s="150">
        <f t="shared" si="362"/>
        <v>22.888398068017406</v>
      </c>
      <c r="BZ164" s="5">
        <f t="shared" si="363"/>
        <v>67.554000000000016</v>
      </c>
      <c r="CA164" s="150">
        <f t="shared" si="364"/>
        <v>0.74692844775296496</v>
      </c>
      <c r="CB164" s="5">
        <f t="shared" si="365"/>
        <v>74.692844775296493</v>
      </c>
      <c r="CC164">
        <f t="shared" si="366"/>
        <v>54</v>
      </c>
      <c r="CE164" s="59">
        <f t="shared" si="468"/>
        <v>-50</v>
      </c>
      <c r="CF164">
        <f t="shared" si="469"/>
        <v>-50</v>
      </c>
      <c r="CG164" s="150">
        <f t="shared" si="369"/>
        <v>0.39199567588303091</v>
      </c>
      <c r="CH164" s="150">
        <f t="shared" si="470"/>
        <v>8.2740061272353588E-2</v>
      </c>
      <c r="CI164" s="147">
        <v>54</v>
      </c>
      <c r="CJ164" s="188">
        <f t="shared" si="437"/>
        <v>2.16</v>
      </c>
      <c r="CK164" s="188">
        <f t="shared" si="371"/>
        <v>0.45900000000000002</v>
      </c>
      <c r="CL164" s="188">
        <f t="shared" si="372"/>
        <v>64.800000000000011</v>
      </c>
      <c r="CM164" s="188">
        <f t="shared" si="373"/>
        <v>2.754</v>
      </c>
      <c r="CN164" s="465">
        <f t="shared" si="374"/>
        <v>20</v>
      </c>
      <c r="CO164" s="379">
        <f t="shared" si="471"/>
        <v>30.7</v>
      </c>
      <c r="CP164" s="379">
        <f t="shared" si="472"/>
        <v>50.7</v>
      </c>
      <c r="CQ164" s="379"/>
      <c r="CR164" s="188">
        <f t="shared" si="377"/>
        <v>0.60317460317460314</v>
      </c>
      <c r="CS164" s="149">
        <f t="shared" si="378"/>
        <v>175.32871249897633</v>
      </c>
      <c r="CT164" s="149">
        <f t="shared" si="379"/>
        <v>7.4514702812064924</v>
      </c>
      <c r="CU164" s="188">
        <f t="shared" si="380"/>
        <v>5.8442904166325444</v>
      </c>
      <c r="CV164" s="188">
        <f t="shared" si="381"/>
        <v>29.22145208316272</v>
      </c>
      <c r="CW164" s="188">
        <f t="shared" si="382"/>
        <v>30</v>
      </c>
      <c r="CX164" s="188">
        <f t="shared" si="383"/>
        <v>11.19974210526316</v>
      </c>
      <c r="CY164" s="188">
        <f t="shared" si="384"/>
        <v>2.6319393947368424</v>
      </c>
      <c r="CZ164" s="188">
        <f t="shared" si="385"/>
        <v>1.7146184981998975</v>
      </c>
      <c r="DA164" s="172">
        <f t="shared" si="386"/>
        <v>350</v>
      </c>
      <c r="DB164" s="379">
        <f t="shared" si="387"/>
        <v>230.06710703773754</v>
      </c>
      <c r="DD164" s="188">
        <f t="shared" si="388"/>
        <v>7.3619779020761014</v>
      </c>
      <c r="DE164" s="150">
        <f t="shared" si="389"/>
        <v>1.1270780501549733</v>
      </c>
      <c r="DF164" s="150">
        <f t="shared" si="390"/>
        <v>1.3928696857096292</v>
      </c>
      <c r="DG164" s="150"/>
      <c r="DH164" s="150">
        <f t="shared" si="391"/>
        <v>0.92784522751949461</v>
      </c>
      <c r="DI164" s="314">
        <f t="shared" si="392"/>
        <v>800.88141638297884</v>
      </c>
      <c r="DJ164" s="456">
        <f t="shared" si="393"/>
        <v>0.94395997276890675</v>
      </c>
      <c r="DL164" s="150">
        <f t="shared" si="394"/>
        <v>9.0626995313953014</v>
      </c>
      <c r="DM164" s="150">
        <f t="shared" si="395"/>
        <v>11.19974210526316</v>
      </c>
      <c r="DN164" s="150">
        <f t="shared" si="396"/>
        <v>5.0067674404867404</v>
      </c>
      <c r="DP164" s="314">
        <f t="shared" si="397"/>
        <v>2160</v>
      </c>
      <c r="DQ164" s="144">
        <f t="shared" si="398"/>
        <v>230.06710703773754</v>
      </c>
      <c r="DS164">
        <f t="shared" si="399"/>
        <v>2160</v>
      </c>
      <c r="DT164">
        <f t="shared" si="400"/>
        <v>230.06710703773754</v>
      </c>
      <c r="DV164" s="5">
        <f t="shared" si="401"/>
        <v>4.3465578929367403</v>
      </c>
      <c r="DW164" s="5">
        <f t="shared" si="402"/>
        <v>2.6319393947368424</v>
      </c>
      <c r="DX164" s="5">
        <f t="shared" si="403"/>
        <v>1.714618498199898</v>
      </c>
      <c r="DY164" s="150">
        <f t="shared" si="404"/>
        <v>0.60552268244575924</v>
      </c>
      <c r="EA164" s="5">
        <f t="shared" si="405"/>
        <v>18.949963642105264</v>
      </c>
      <c r="EB164" s="5">
        <f t="shared" si="406"/>
        <v>20.134336369736843</v>
      </c>
      <c r="EC164" s="5">
        <f t="shared" si="407"/>
        <v>3.2678611377456881</v>
      </c>
      <c r="ED164" s="5"/>
      <c r="EE164" s="150">
        <f t="shared" si="408"/>
        <v>5.0316752451293185</v>
      </c>
      <c r="EF164" s="150">
        <f t="shared" si="409"/>
        <v>3.8956716916544702</v>
      </c>
      <c r="EG164" s="150">
        <f t="shared" si="410"/>
        <v>0.78198117533633393</v>
      </c>
      <c r="EH164" s="150"/>
      <c r="EI164" s="456">
        <f t="shared" si="411"/>
        <v>0.3038130692693663</v>
      </c>
      <c r="EJ164" s="456">
        <f t="shared" si="412"/>
        <v>2.4821276595744681</v>
      </c>
      <c r="EK164" s="456">
        <f t="shared" si="413"/>
        <v>2.645771730933982E-2</v>
      </c>
      <c r="EL164" s="456">
        <f t="shared" si="414"/>
        <v>0.30604183994918216</v>
      </c>
      <c r="EM164">
        <f t="shared" si="415"/>
        <v>8.9999999999999993E-3</v>
      </c>
      <c r="EN164" s="144">
        <f t="shared" si="416"/>
        <v>35.45771730933982</v>
      </c>
      <c r="EP164" s="144">
        <f t="shared" si="438"/>
        <v>3127.4402861023559</v>
      </c>
      <c r="EQ164" s="150">
        <f t="shared" si="417"/>
        <v>1.512</v>
      </c>
      <c r="ER164" s="150">
        <f t="shared" si="473"/>
        <v>0.219861</v>
      </c>
      <c r="ES164" s="456"/>
      <c r="EU164" s="144">
        <f t="shared" si="419"/>
        <v>1731.8610000000001</v>
      </c>
      <c r="EV164" s="456">
        <f t="shared" si="420"/>
        <v>0.35444858081426067</v>
      </c>
      <c r="EW164" s="456">
        <f t="shared" si="421"/>
        <v>0.21246761100821204</v>
      </c>
      <c r="EX164" s="456">
        <f t="shared" si="422"/>
        <v>3.0574727929019714E-3</v>
      </c>
      <c r="EY164" s="456">
        <f t="shared" si="423"/>
        <v>16.851027564949906</v>
      </c>
      <c r="EZ164" s="456"/>
      <c r="FA164" s="538">
        <f t="shared" si="424"/>
        <v>2.8858288860764536</v>
      </c>
      <c r="FB164" s="144">
        <f t="shared" si="425"/>
        <v>20306.830115641733</v>
      </c>
      <c r="FC164" s="150">
        <f t="shared" si="426"/>
        <v>25.166131401744089</v>
      </c>
      <c r="FD164" s="5">
        <f t="shared" si="427"/>
        <v>67.554000000000016</v>
      </c>
      <c r="FE164" s="150">
        <f t="shared" si="428"/>
        <v>0.72857964045906531</v>
      </c>
      <c r="FF164" s="5">
        <f t="shared" si="429"/>
        <v>72.857964045906527</v>
      </c>
      <c r="FG164">
        <f t="shared" si="430"/>
        <v>54</v>
      </c>
      <c r="FI164" s="59">
        <f t="shared" si="431"/>
        <v>-50</v>
      </c>
      <c r="FJ164">
        <f t="shared" si="432"/>
        <v>-50</v>
      </c>
    </row>
    <row r="165" spans="5:166">
      <c r="E165" s="147">
        <v>55</v>
      </c>
      <c r="F165" s="188">
        <f t="shared" si="474"/>
        <v>2.2000000000000002</v>
      </c>
      <c r="G165" s="188">
        <f t="shared" si="443"/>
        <v>0.46750000000000003</v>
      </c>
      <c r="H165" s="188">
        <f t="shared" si="444"/>
        <v>66</v>
      </c>
      <c r="I165" s="188">
        <f t="shared" si="445"/>
        <v>2.8050000000000002</v>
      </c>
      <c r="J165" s="465">
        <f t="shared" si="446"/>
        <v>19.822976176078811</v>
      </c>
      <c r="K165" s="379">
        <f t="shared" si="447"/>
        <v>30.833432247183762</v>
      </c>
      <c r="L165" s="149">
        <f t="shared" si="448"/>
        <v>50.656408423262576</v>
      </c>
      <c r="M165" s="379"/>
      <c r="N165" s="188">
        <f t="shared" si="449"/>
        <v>0.60867781998189097</v>
      </c>
      <c r="O165" s="149">
        <f t="shared" si="450"/>
        <v>175.36234175435817</v>
      </c>
      <c r="P165" s="149">
        <f t="shared" si="451"/>
        <v>7.4528995245602205</v>
      </c>
      <c r="Q165" s="188">
        <f t="shared" si="321"/>
        <v>5.8454113918119388</v>
      </c>
      <c r="R165" s="188">
        <f t="shared" si="452"/>
        <v>29.227056959059695</v>
      </c>
      <c r="S165" s="188">
        <f t="shared" si="453"/>
        <v>30</v>
      </c>
      <c r="T165" s="188">
        <f t="shared" si="454"/>
        <v>11.404957187453251</v>
      </c>
      <c r="U165" s="188">
        <f t="shared" si="325"/>
        <v>2.7040994402099701</v>
      </c>
      <c r="V165" s="188">
        <f t="shared" si="326"/>
        <v>1.7384797887989345</v>
      </c>
      <c r="W165" s="172">
        <f t="shared" si="327"/>
        <v>350</v>
      </c>
      <c r="X165" s="379">
        <f t="shared" si="434"/>
        <v>215.39750872781107</v>
      </c>
      <c r="Z165" s="188">
        <f t="shared" si="328"/>
        <v>7.3348364282119212</v>
      </c>
      <c r="AA165" s="150">
        <f t="shared" si="329"/>
        <v>1.1180633714803112</v>
      </c>
      <c r="AB165" s="150">
        <f t="shared" si="455"/>
        <v>1.3766350988796781</v>
      </c>
      <c r="AC165" s="150"/>
      <c r="AD165" s="150">
        <f t="shared" si="331"/>
        <v>0.92382996017091834</v>
      </c>
      <c r="AE165" s="314">
        <f t="shared" si="456"/>
        <v>819.2579074399946</v>
      </c>
      <c r="AF165" s="456">
        <f t="shared" si="457"/>
        <v>0.93987496856281194</v>
      </c>
      <c r="AH165" s="150">
        <f t="shared" si="458"/>
        <v>9.1462284817693842</v>
      </c>
      <c r="AI165" s="150">
        <f t="shared" si="459"/>
        <v>11.404957187453251</v>
      </c>
      <c r="AJ165" s="150">
        <f t="shared" si="460"/>
        <v>5.1587786124794004</v>
      </c>
      <c r="AL165" s="314">
        <f t="shared" si="461"/>
        <v>2200</v>
      </c>
      <c r="AM165" s="144">
        <f t="shared" si="462"/>
        <v>215.39750872781107</v>
      </c>
      <c r="AO165">
        <f t="shared" si="339"/>
        <v>2200</v>
      </c>
      <c r="AP165">
        <f t="shared" si="340"/>
        <v>215.39750872781107</v>
      </c>
      <c r="AR165" s="5">
        <f t="shared" si="442"/>
        <v>4.6425792290089047</v>
      </c>
      <c r="AS165" s="5">
        <f t="shared" si="439"/>
        <v>2.7040994402099701</v>
      </c>
      <c r="AT165" s="5">
        <f t="shared" si="440"/>
        <v>1.9384797887989347</v>
      </c>
      <c r="AU165" s="150">
        <f t="shared" si="441"/>
        <v>0.58245628277349604</v>
      </c>
      <c r="AW165" s="5">
        <f t="shared" si="341"/>
        <v>19.830062561539783</v>
      </c>
      <c r="AX165" s="5">
        <f t="shared" si="342"/>
        <v>21.069441471636019</v>
      </c>
      <c r="AY165" s="5">
        <f t="shared" si="343"/>
        <v>3.7965352137871458</v>
      </c>
      <c r="AZ165" s="5"/>
      <c r="BA165" s="150">
        <f t="shared" si="344"/>
        <v>5.0253313087407534</v>
      </c>
      <c r="BB165" s="150">
        <f t="shared" si="345"/>
        <v>4.0813885799517076</v>
      </c>
      <c r="BC165" s="150">
        <f t="shared" si="346"/>
        <v>0.81926026918338291</v>
      </c>
      <c r="BD165" s="150"/>
      <c r="BE165" s="456">
        <f t="shared" si="347"/>
        <v>0.30304745715132064</v>
      </c>
      <c r="BF165" s="456">
        <f t="shared" si="463"/>
        <v>2.2710756392755034</v>
      </c>
      <c r="BG165" s="456">
        <f t="shared" si="349"/>
        <v>2.4770713503698274E-2</v>
      </c>
      <c r="BH165" s="456">
        <f t="shared" si="350"/>
        <v>0.28603542269685917</v>
      </c>
      <c r="BI165">
        <f t="shared" si="351"/>
        <v>8.920339279235464E-3</v>
      </c>
      <c r="BJ165" s="144">
        <f t="shared" si="435"/>
        <v>33.691052782933738</v>
      </c>
      <c r="BK165">
        <f t="shared" si="464"/>
        <v>3.1702524288039999</v>
      </c>
      <c r="BL165" s="144">
        <f t="shared" si="436"/>
        <v>2893.8495719066173</v>
      </c>
      <c r="BM165" s="150">
        <f t="shared" si="465"/>
        <v>1.47532</v>
      </c>
      <c r="BN165" s="150">
        <f t="shared" si="466"/>
        <v>0.31350549999999999</v>
      </c>
      <c r="BO165" s="456"/>
      <c r="BQ165" s="144">
        <f t="shared" si="355"/>
        <v>1788.8254999999999</v>
      </c>
      <c r="BR165" s="456">
        <f t="shared" si="356"/>
        <v>0.35355536667654075</v>
      </c>
      <c r="BS165" s="456">
        <f t="shared" si="357"/>
        <v>0.23320825836784304</v>
      </c>
      <c r="BT165" s="456">
        <f t="shared" si="358"/>
        <v>3.3559369433121449E-3</v>
      </c>
      <c r="BU165" s="456">
        <f t="shared" si="359"/>
        <v>14.955668926303291</v>
      </c>
      <c r="BV165" s="456"/>
      <c r="BW165" s="538">
        <f t="shared" si="467"/>
        <v>2.8017410588253866</v>
      </c>
      <c r="BX165" s="144">
        <f t="shared" si="361"/>
        <v>18347.529547116374</v>
      </c>
      <c r="BY165" s="150">
        <f t="shared" si="362"/>
        <v>23.030204619022989</v>
      </c>
      <c r="BZ165" s="5">
        <f t="shared" si="363"/>
        <v>68.805000000000007</v>
      </c>
      <c r="CA165" s="150">
        <f t="shared" si="364"/>
        <v>0.74922248265723967</v>
      </c>
      <c r="CB165" s="5">
        <f t="shared" si="365"/>
        <v>74.922248265723965</v>
      </c>
      <c r="CC165">
        <f t="shared" si="366"/>
        <v>55.000000000000007</v>
      </c>
      <c r="CE165" s="59">
        <f t="shared" si="468"/>
        <v>-50</v>
      </c>
      <c r="CF165">
        <f t="shared" si="469"/>
        <v>-50</v>
      </c>
      <c r="CG165" s="150">
        <f t="shared" si="369"/>
        <v>0.39199567588303091</v>
      </c>
      <c r="CH165" s="150">
        <f t="shared" si="470"/>
        <v>8.2740061272353602E-2</v>
      </c>
      <c r="CI165" s="147">
        <v>55</v>
      </c>
      <c r="CJ165" s="188">
        <f t="shared" si="437"/>
        <v>2.2000000000000002</v>
      </c>
      <c r="CK165" s="188">
        <f t="shared" si="371"/>
        <v>0.46750000000000003</v>
      </c>
      <c r="CL165" s="188">
        <f t="shared" si="372"/>
        <v>66</v>
      </c>
      <c r="CM165" s="188">
        <f t="shared" si="373"/>
        <v>2.8050000000000002</v>
      </c>
      <c r="CN165" s="465">
        <f t="shared" si="374"/>
        <v>20</v>
      </c>
      <c r="CO165" s="379">
        <f t="shared" si="471"/>
        <v>30.7</v>
      </c>
      <c r="CP165" s="379">
        <f t="shared" si="472"/>
        <v>50.7</v>
      </c>
      <c r="CQ165" s="379"/>
      <c r="CR165" s="188">
        <f t="shared" si="377"/>
        <v>0.60317460317460314</v>
      </c>
      <c r="CS165" s="149">
        <f t="shared" si="378"/>
        <v>175.32871249897633</v>
      </c>
      <c r="CT165" s="149">
        <f t="shared" si="379"/>
        <v>7.4514702812064924</v>
      </c>
      <c r="CU165" s="188">
        <f t="shared" si="380"/>
        <v>5.8442904166325444</v>
      </c>
      <c r="CV165" s="188">
        <f t="shared" si="381"/>
        <v>29.22145208316272</v>
      </c>
      <c r="CW165" s="188">
        <f t="shared" si="382"/>
        <v>30</v>
      </c>
      <c r="CX165" s="188">
        <f t="shared" si="383"/>
        <v>11.407144736842106</v>
      </c>
      <c r="CY165" s="188">
        <f t="shared" si="384"/>
        <v>2.6806790131578948</v>
      </c>
      <c r="CZ165" s="188">
        <f t="shared" si="385"/>
        <v>1.7463706926110065</v>
      </c>
      <c r="DA165" s="172">
        <f t="shared" si="386"/>
        <v>350</v>
      </c>
      <c r="DB165" s="379">
        <f t="shared" si="387"/>
        <v>225.88406872796054</v>
      </c>
      <c r="DD165" s="188">
        <f t="shared" si="388"/>
        <v>7.3619779020761014</v>
      </c>
      <c r="DE165" s="150">
        <f t="shared" si="389"/>
        <v>1.1270780501549733</v>
      </c>
      <c r="DF165" s="150">
        <f t="shared" si="390"/>
        <v>1.3928696857096292</v>
      </c>
      <c r="DG165" s="150"/>
      <c r="DH165" s="150">
        <f t="shared" si="391"/>
        <v>0.92784522751949461</v>
      </c>
      <c r="DI165" s="314">
        <f t="shared" si="392"/>
        <v>815.71255372340431</v>
      </c>
      <c r="DJ165" s="456">
        <f t="shared" si="393"/>
        <v>0.94395997276890675</v>
      </c>
      <c r="DL165" s="150">
        <f t="shared" si="394"/>
        <v>9.1462284817693842</v>
      </c>
      <c r="DM165" s="150">
        <f t="shared" si="395"/>
        <v>11.407144736842106</v>
      </c>
      <c r="DN165" s="150">
        <f t="shared" si="396"/>
        <v>5.1603990194341076</v>
      </c>
      <c r="DP165" s="314">
        <f t="shared" si="397"/>
        <v>2200</v>
      </c>
      <c r="DQ165" s="144">
        <f t="shared" si="398"/>
        <v>225.88406872796054</v>
      </c>
      <c r="DS165">
        <f t="shared" si="399"/>
        <v>2200</v>
      </c>
      <c r="DT165">
        <f t="shared" si="400"/>
        <v>225.88406872796054</v>
      </c>
      <c r="DV165" s="5">
        <f t="shared" si="401"/>
        <v>4.4270497057689013</v>
      </c>
      <c r="DW165" s="5">
        <f t="shared" si="402"/>
        <v>2.6806790131578948</v>
      </c>
      <c r="DX165" s="5">
        <f t="shared" si="403"/>
        <v>1.7463706926110065</v>
      </c>
      <c r="DY165" s="150">
        <f t="shared" si="404"/>
        <v>0.60552268244575935</v>
      </c>
      <c r="EA165" s="5">
        <f t="shared" si="405"/>
        <v>19.658312763157898</v>
      </c>
      <c r="EB165" s="5">
        <f t="shared" si="406"/>
        <v>20.886957310855266</v>
      </c>
      <c r="EC165" s="5">
        <f t="shared" si="407"/>
        <v>3.3900136974213653</v>
      </c>
      <c r="ED165" s="5"/>
      <c r="EE165" s="150">
        <f t="shared" si="408"/>
        <v>5.1248544163354168</v>
      </c>
      <c r="EF165" s="150">
        <f t="shared" si="409"/>
        <v>3.9678137600184411</v>
      </c>
      <c r="EG165" s="150">
        <f t="shared" si="410"/>
        <v>0.79646230821293251</v>
      </c>
      <c r="EH165" s="150"/>
      <c r="EI165" s="456">
        <f t="shared" si="411"/>
        <v>0.31516959346359152</v>
      </c>
      <c r="EJ165" s="456">
        <f t="shared" si="412"/>
        <v>2.4821276595744686</v>
      </c>
      <c r="EK165" s="456">
        <f t="shared" si="413"/>
        <v>2.5976667903715465E-2</v>
      </c>
      <c r="EL165" s="456">
        <f t="shared" si="414"/>
        <v>0.30047744285919709</v>
      </c>
      <c r="EM165">
        <f t="shared" si="415"/>
        <v>8.9999999999999993E-3</v>
      </c>
      <c r="EN165" s="144">
        <f t="shared" si="416"/>
        <v>34.976667903715466</v>
      </c>
      <c r="EP165" s="144">
        <f t="shared" si="438"/>
        <v>3132.7513638009727</v>
      </c>
      <c r="EQ165" s="150">
        <f t="shared" si="417"/>
        <v>1.54</v>
      </c>
      <c r="ER165" s="150">
        <f t="shared" si="473"/>
        <v>0.22393250000000001</v>
      </c>
      <c r="ES165" s="456"/>
      <c r="EU165" s="144">
        <f t="shared" si="419"/>
        <v>1763.9325000000001</v>
      </c>
      <c r="EV165" s="456">
        <f t="shared" si="420"/>
        <v>0.36769785904085678</v>
      </c>
      <c r="EW165" s="456">
        <f t="shared" si="421"/>
        <v>0.22040964447868353</v>
      </c>
      <c r="EX165" s="456">
        <f t="shared" si="422"/>
        <v>3.1717610420193615E-3</v>
      </c>
      <c r="EY165" s="456">
        <f t="shared" si="423"/>
        <v>16.851027564949906</v>
      </c>
      <c r="EZ165" s="456"/>
      <c r="FA165" s="538">
        <f t="shared" si="424"/>
        <v>2.9392701617445356</v>
      </c>
      <c r="FB165" s="144">
        <f t="shared" si="425"/>
        <v>20381.576991255999</v>
      </c>
      <c r="FC165" s="150">
        <f t="shared" si="426"/>
        <v>25.278260855056974</v>
      </c>
      <c r="FD165" s="5">
        <f t="shared" si="427"/>
        <v>68.805000000000007</v>
      </c>
      <c r="FE165" s="150">
        <f t="shared" si="428"/>
        <v>0.73132031537469544</v>
      </c>
      <c r="FF165" s="5">
        <f t="shared" si="429"/>
        <v>73.132031537469544</v>
      </c>
      <c r="FG165">
        <f t="shared" si="430"/>
        <v>55.000000000000007</v>
      </c>
      <c r="FI165" s="59">
        <f t="shared" si="431"/>
        <v>-50</v>
      </c>
      <c r="FJ165">
        <f t="shared" si="432"/>
        <v>-50</v>
      </c>
    </row>
    <row r="166" spans="5:166">
      <c r="E166" s="147">
        <v>56</v>
      </c>
      <c r="F166" s="188">
        <f t="shared" si="474"/>
        <v>2.2400000000000002</v>
      </c>
      <c r="G166" s="188">
        <f t="shared" si="443"/>
        <v>0.47600000000000003</v>
      </c>
      <c r="H166" s="188">
        <f t="shared" si="444"/>
        <v>67.2</v>
      </c>
      <c r="I166" s="188">
        <f t="shared" si="445"/>
        <v>2.8560000000000003</v>
      </c>
      <c r="J166" s="465">
        <f t="shared" si="446"/>
        <v>19.819757561098427</v>
      </c>
      <c r="K166" s="379">
        <f t="shared" si="447"/>
        <v>30.835858288041646</v>
      </c>
      <c r="L166" s="149">
        <f t="shared" si="448"/>
        <v>50.655615849140077</v>
      </c>
      <c r="M166" s="379"/>
      <c r="N166" s="188">
        <f t="shared" si="449"/>
        <v>0.60873523638278126</v>
      </c>
      <c r="O166" s="149">
        <f t="shared" si="450"/>
        <v>175.35040773206407</v>
      </c>
      <c r="P166" s="149">
        <f t="shared" si="451"/>
        <v>7.4523923286127225</v>
      </c>
      <c r="Q166" s="188">
        <f t="shared" si="321"/>
        <v>5.8450135910688026</v>
      </c>
      <c r="R166" s="188">
        <f t="shared" si="452"/>
        <v>29.225067955344013</v>
      </c>
      <c r="S166" s="188">
        <f t="shared" si="453"/>
        <v>30</v>
      </c>
      <c r="T166" s="188">
        <f t="shared" si="454"/>
        <v>11.613110358290161</v>
      </c>
      <c r="U166" s="188">
        <f t="shared" si="325"/>
        <v>2.7538994115192796</v>
      </c>
      <c r="V166" s="188">
        <f t="shared" si="326"/>
        <v>1.7700697082633459</v>
      </c>
      <c r="W166" s="172">
        <f t="shared" si="327"/>
        <v>350</v>
      </c>
      <c r="X166" s="379">
        <f t="shared" si="434"/>
        <v>211.68639646950427</v>
      </c>
      <c r="Z166" s="188">
        <f t="shared" si="328"/>
        <v>7.3343372668721383</v>
      </c>
      <c r="AA166" s="150">
        <f t="shared" si="329"/>
        <v>1.1178993246206246</v>
      </c>
      <c r="AB166" s="150">
        <f t="shared" si="455"/>
        <v>1.3763394422118389</v>
      </c>
      <c r="AC166" s="150"/>
      <c r="AD166" s="150">
        <f t="shared" si="331"/>
        <v>0.92375727695878995</v>
      </c>
      <c r="AE166" s="314">
        <f t="shared" si="456"/>
        <v>834.21913875150813</v>
      </c>
      <c r="AF166" s="456">
        <f t="shared" si="457"/>
        <v>0.93980102299419066</v>
      </c>
      <c r="AH166" s="150">
        <f t="shared" si="458"/>
        <v>9.229001467391063</v>
      </c>
      <c r="AI166" s="150">
        <f t="shared" si="459"/>
        <v>11.613110358290161</v>
      </c>
      <c r="AJ166" s="150">
        <f t="shared" si="460"/>
        <v>5.3129661464326672</v>
      </c>
      <c r="AL166" s="314">
        <f t="shared" si="461"/>
        <v>2240</v>
      </c>
      <c r="AM166" s="144">
        <f t="shared" si="462"/>
        <v>211.68639646950427</v>
      </c>
      <c r="AO166">
        <f t="shared" si="339"/>
        <v>2240</v>
      </c>
      <c r="AP166">
        <f t="shared" si="340"/>
        <v>211.68639646950427</v>
      </c>
      <c r="AR166" s="5">
        <f t="shared" si="442"/>
        <v>4.723969119782625</v>
      </c>
      <c r="AS166" s="5">
        <f t="shared" si="439"/>
        <v>2.7538994115192796</v>
      </c>
      <c r="AT166" s="5">
        <f t="shared" si="440"/>
        <v>1.9700697082633454</v>
      </c>
      <c r="AU166" s="150">
        <f t="shared" si="441"/>
        <v>0.58296304266400478</v>
      </c>
      <c r="AW166" s="5">
        <f t="shared" si="341"/>
        <v>20.562448939343959</v>
      </c>
      <c r="AX166" s="5">
        <f t="shared" si="342"/>
        <v>21.847601998052955</v>
      </c>
      <c r="AY166" s="5">
        <f t="shared" si="343"/>
        <v>3.9291952216392212</v>
      </c>
      <c r="AZ166" s="5"/>
      <c r="BA166" s="150">
        <f t="shared" si="344"/>
        <v>5.1192747351736596</v>
      </c>
      <c r="BB166" s="150">
        <f t="shared" si="345"/>
        <v>4.1533557709278242</v>
      </c>
      <c r="BC166" s="150">
        <f t="shared" si="346"/>
        <v>0.83370629878739655</v>
      </c>
      <c r="BD166" s="150"/>
      <c r="BE166" s="456">
        <f t="shared" si="347"/>
        <v>0.3144836857702481</v>
      </c>
      <c r="BF166" s="456">
        <f t="shared" si="463"/>
        <v>2.2726469352942567</v>
      </c>
      <c r="BG166" s="456">
        <f t="shared" si="349"/>
        <v>2.4343935593992994E-2</v>
      </c>
      <c r="BH166" s="456">
        <f t="shared" si="350"/>
        <v>0.28109848406193716</v>
      </c>
      <c r="BI166">
        <f t="shared" si="351"/>
        <v>8.9188909024942916E-3</v>
      </c>
      <c r="BJ166" s="144">
        <f t="shared" si="435"/>
        <v>33.262826496487286</v>
      </c>
      <c r="BK166">
        <f t="shared" si="464"/>
        <v>3.1916219146191915</v>
      </c>
      <c r="BL166" s="144">
        <f t="shared" si="436"/>
        <v>2901.4919316229293</v>
      </c>
      <c r="BM166" s="150">
        <f t="shared" si="465"/>
        <v>1.5021439999999999</v>
      </c>
      <c r="BN166" s="150">
        <f t="shared" si="466"/>
        <v>0.31920559999999998</v>
      </c>
      <c r="BO166" s="456"/>
      <c r="BQ166" s="144">
        <f t="shared" si="355"/>
        <v>1821.3496</v>
      </c>
      <c r="BR166" s="456">
        <f t="shared" si="356"/>
        <v>0.3668976333986228</v>
      </c>
      <c r="BS166" s="456">
        <f t="shared" si="357"/>
        <v>0.24150509823859248</v>
      </c>
      <c r="BT166" s="456">
        <f t="shared" si="358"/>
        <v>3.4753309631888984E-3</v>
      </c>
      <c r="BU166" s="456">
        <f t="shared" si="359"/>
        <v>14.982136934018534</v>
      </c>
      <c r="BV166" s="456"/>
      <c r="BW166" s="538">
        <f t="shared" si="467"/>
        <v>2.8548944494377233</v>
      </c>
      <c r="BX166" s="144">
        <f t="shared" si="361"/>
        <v>18448.909446056659</v>
      </c>
      <c r="BY166" s="150">
        <f t="shared" si="362"/>
        <v>23.17175097767959</v>
      </c>
      <c r="BZ166" s="5">
        <f t="shared" si="363"/>
        <v>70.055999999999997</v>
      </c>
      <c r="CA166" s="150">
        <f t="shared" si="364"/>
        <v>0.75145007002016673</v>
      </c>
      <c r="CB166" s="5">
        <f t="shared" si="365"/>
        <v>75.145007002016669</v>
      </c>
      <c r="CC166">
        <f t="shared" si="366"/>
        <v>56.000000000000007</v>
      </c>
      <c r="CE166" s="59">
        <f t="shared" si="468"/>
        <v>-50</v>
      </c>
      <c r="CF166">
        <f t="shared" si="469"/>
        <v>-50</v>
      </c>
      <c r="CG166" s="150">
        <f t="shared" si="369"/>
        <v>0.39199567588303097</v>
      </c>
      <c r="CH166" s="150">
        <f t="shared" si="470"/>
        <v>8.2740061272353602E-2</v>
      </c>
      <c r="CI166" s="147">
        <v>56</v>
      </c>
      <c r="CJ166" s="188">
        <f t="shared" si="437"/>
        <v>2.2400000000000002</v>
      </c>
      <c r="CK166" s="188">
        <f t="shared" si="371"/>
        <v>0.47600000000000003</v>
      </c>
      <c r="CL166" s="188">
        <f t="shared" si="372"/>
        <v>67.2</v>
      </c>
      <c r="CM166" s="188">
        <f t="shared" si="373"/>
        <v>2.8560000000000003</v>
      </c>
      <c r="CN166" s="465">
        <f t="shared" si="374"/>
        <v>20</v>
      </c>
      <c r="CO166" s="379">
        <f t="shared" si="471"/>
        <v>30.7</v>
      </c>
      <c r="CP166" s="379">
        <f t="shared" si="472"/>
        <v>50.7</v>
      </c>
      <c r="CQ166" s="379"/>
      <c r="CR166" s="188">
        <f t="shared" si="377"/>
        <v>0.60317460317460314</v>
      </c>
      <c r="CS166" s="149">
        <f t="shared" si="378"/>
        <v>175.32871249897633</v>
      </c>
      <c r="CT166" s="149">
        <f t="shared" si="379"/>
        <v>7.4514702812064924</v>
      </c>
      <c r="CU166" s="188">
        <f t="shared" si="380"/>
        <v>5.8442904166325444</v>
      </c>
      <c r="CV166" s="188">
        <f t="shared" si="381"/>
        <v>29.22145208316272</v>
      </c>
      <c r="CW166" s="188">
        <f t="shared" si="382"/>
        <v>30</v>
      </c>
      <c r="CX166" s="188">
        <f t="shared" si="383"/>
        <v>11.614547368421052</v>
      </c>
      <c r="CY166" s="188">
        <f t="shared" si="384"/>
        <v>2.7294186315789468</v>
      </c>
      <c r="CZ166" s="188">
        <f t="shared" si="385"/>
        <v>1.7781228870221153</v>
      </c>
      <c r="DA166" s="172">
        <f t="shared" si="386"/>
        <v>350</v>
      </c>
      <c r="DB166" s="379">
        <f t="shared" si="387"/>
        <v>221.8504246435327</v>
      </c>
      <c r="DD166" s="188">
        <f t="shared" si="388"/>
        <v>7.3619779020761014</v>
      </c>
      <c r="DE166" s="150">
        <f t="shared" si="389"/>
        <v>1.1270780501549733</v>
      </c>
      <c r="DF166" s="150">
        <f t="shared" si="390"/>
        <v>1.3928696857096292</v>
      </c>
      <c r="DG166" s="150"/>
      <c r="DH166" s="150">
        <f t="shared" si="391"/>
        <v>0.92784522751949461</v>
      </c>
      <c r="DI166" s="314">
        <f t="shared" si="392"/>
        <v>830.5436910638299</v>
      </c>
      <c r="DJ166" s="456">
        <f t="shared" si="393"/>
        <v>0.94395997276890675</v>
      </c>
      <c r="DL166" s="150">
        <f t="shared" si="394"/>
        <v>9.229001467391063</v>
      </c>
      <c r="DM166" s="150">
        <f t="shared" si="395"/>
        <v>11.614547368421052</v>
      </c>
      <c r="DN166" s="150">
        <f t="shared" si="396"/>
        <v>5.3140305983814748</v>
      </c>
      <c r="DP166" s="314">
        <f t="shared" si="397"/>
        <v>2240</v>
      </c>
      <c r="DQ166" s="144">
        <f t="shared" si="398"/>
        <v>221.8504246435327</v>
      </c>
      <c r="DS166">
        <f t="shared" si="399"/>
        <v>2240</v>
      </c>
      <c r="DT166">
        <f t="shared" si="400"/>
        <v>221.8504246435327</v>
      </c>
      <c r="DV166" s="5">
        <f t="shared" si="401"/>
        <v>4.5075415186010623</v>
      </c>
      <c r="DW166" s="5">
        <f t="shared" si="402"/>
        <v>2.7294186315789468</v>
      </c>
      <c r="DX166" s="5">
        <f t="shared" si="403"/>
        <v>1.7781228870221155</v>
      </c>
      <c r="DY166" s="150">
        <f t="shared" si="404"/>
        <v>0.60552268244575935</v>
      </c>
      <c r="EA166" s="5">
        <f t="shared" si="405"/>
        <v>20.379659115789472</v>
      </c>
      <c r="EB166" s="5">
        <f t="shared" si="406"/>
        <v>21.653387810526315</v>
      </c>
      <c r="EC166" s="5">
        <f t="shared" si="407"/>
        <v>3.5144075884672401</v>
      </c>
      <c r="ED166" s="5"/>
      <c r="EE166" s="150">
        <f t="shared" si="408"/>
        <v>5.2180335875415143</v>
      </c>
      <c r="EF166" s="150">
        <f t="shared" si="409"/>
        <v>4.0399558283824124</v>
      </c>
      <c r="EG166" s="150">
        <f t="shared" si="410"/>
        <v>0.81094344108953109</v>
      </c>
      <c r="EH166" s="150"/>
      <c r="EI166" s="456">
        <f t="shared" si="411"/>
        <v>0.3267344942485364</v>
      </c>
      <c r="EJ166" s="456">
        <f t="shared" si="412"/>
        <v>2.4821276595744681</v>
      </c>
      <c r="EK166" s="456">
        <f t="shared" si="413"/>
        <v>2.5512798834006263E-2</v>
      </c>
      <c r="EL166" s="456">
        <f t="shared" si="414"/>
        <v>0.29511177423671142</v>
      </c>
      <c r="EM166">
        <f t="shared" si="415"/>
        <v>8.9999999999999993E-3</v>
      </c>
      <c r="EN166" s="144">
        <f t="shared" si="416"/>
        <v>34.512798834006261</v>
      </c>
      <c r="EP166" s="144">
        <f t="shared" si="438"/>
        <v>3138.4867268937223</v>
      </c>
      <c r="EQ166" s="150">
        <f t="shared" si="417"/>
        <v>1.5680000000000001</v>
      </c>
      <c r="ER166" s="150">
        <f t="shared" si="473"/>
        <v>0.22800400000000001</v>
      </c>
      <c r="ES166" s="456"/>
      <c r="EU166" s="144">
        <f t="shared" si="419"/>
        <v>1796.0040000000001</v>
      </c>
      <c r="EV166" s="456">
        <f t="shared" si="420"/>
        <v>0.38119024328995915</v>
      </c>
      <c r="EW166" s="456">
        <f t="shared" si="421"/>
        <v>0.22849740333393434</v>
      </c>
      <c r="EX166" s="456">
        <f t="shared" si="422"/>
        <v>3.2881463232306493E-3</v>
      </c>
      <c r="EY166" s="456">
        <f t="shared" si="423"/>
        <v>16.851027564949902</v>
      </c>
      <c r="EZ166" s="456"/>
      <c r="FA166" s="538">
        <f t="shared" si="424"/>
        <v>2.992711437412618</v>
      </c>
      <c r="FB166" s="144">
        <f t="shared" si="425"/>
        <v>20456.714795309643</v>
      </c>
      <c r="FC166" s="150">
        <f t="shared" si="426"/>
        <v>25.391205522203364</v>
      </c>
      <c r="FD166" s="5">
        <f t="shared" si="427"/>
        <v>70.055999999999997</v>
      </c>
      <c r="FE166" s="150">
        <f t="shared" si="428"/>
        <v>0.7339764387727753</v>
      </c>
      <c r="FF166" s="5">
        <f t="shared" si="429"/>
        <v>73.397643877277531</v>
      </c>
      <c r="FG166">
        <f t="shared" si="430"/>
        <v>56.000000000000007</v>
      </c>
      <c r="FI166" s="59">
        <f t="shared" si="431"/>
        <v>-50</v>
      </c>
      <c r="FJ166">
        <f t="shared" si="432"/>
        <v>-50</v>
      </c>
    </row>
    <row r="167" spans="5:166">
      <c r="E167" s="147">
        <v>57</v>
      </c>
      <c r="F167" s="188">
        <f t="shared" si="474"/>
        <v>2.2799999999999998</v>
      </c>
      <c r="G167" s="188">
        <f t="shared" si="443"/>
        <v>0.48449999999999993</v>
      </c>
      <c r="H167" s="188">
        <f t="shared" si="444"/>
        <v>68.399999999999991</v>
      </c>
      <c r="I167" s="188">
        <f t="shared" si="445"/>
        <v>2.9069999999999996</v>
      </c>
      <c r="J167" s="465">
        <f t="shared" si="446"/>
        <v>19.81653894611804</v>
      </c>
      <c r="K167" s="379">
        <f t="shared" si="447"/>
        <v>30.838284328899533</v>
      </c>
      <c r="L167" s="149">
        <f t="shared" si="448"/>
        <v>50.654823275017577</v>
      </c>
      <c r="M167" s="379"/>
      <c r="N167" s="188">
        <f t="shared" si="449"/>
        <v>0.60879265458041087</v>
      </c>
      <c r="O167" s="149">
        <f t="shared" si="450"/>
        <v>175.33846885550906</v>
      </c>
      <c r="P167" s="149">
        <f t="shared" si="451"/>
        <v>7.451884926359134</v>
      </c>
      <c r="Q167" s="188">
        <f t="shared" si="321"/>
        <v>5.8446156285169684</v>
      </c>
      <c r="R167" s="188">
        <f t="shared" si="452"/>
        <v>29.223078142584843</v>
      </c>
      <c r="S167" s="188">
        <f t="shared" si="453"/>
        <v>30</v>
      </c>
      <c r="T167" s="188">
        <f t="shared" si="454"/>
        <v>11.821292191363563</v>
      </c>
      <c r="U167" s="188">
        <f t="shared" si="325"/>
        <v>2.803722357899066</v>
      </c>
      <c r="V167" s="188">
        <f t="shared" si="326"/>
        <v>1.8016590257370977</v>
      </c>
      <c r="W167" s="172">
        <f t="shared" si="327"/>
        <v>350</v>
      </c>
      <c r="X167" s="379">
        <f t="shared" si="434"/>
        <v>208.10002789899562</v>
      </c>
      <c r="Z167" s="188">
        <f t="shared" si="328"/>
        <v>7.3338379024944071</v>
      </c>
      <c r="AA167" s="150">
        <f t="shared" si="329"/>
        <v>1.1177352726273972</v>
      </c>
      <c r="AB167" s="150">
        <f t="shared" si="455"/>
        <v>1.3760437686198581</v>
      </c>
      <c r="AC167" s="150"/>
      <c r="AD167" s="150">
        <f t="shared" si="331"/>
        <v>0.92368460518260509</v>
      </c>
      <c r="AE167" s="314">
        <f t="shared" si="456"/>
        <v>849.18271409853685</v>
      </c>
      <c r="AF167" s="456">
        <f t="shared" si="457"/>
        <v>0.93972708906013169</v>
      </c>
      <c r="AH167" s="150">
        <f t="shared" si="458"/>
        <v>9.3110386493389274</v>
      </c>
      <c r="AI167" s="150">
        <f t="shared" si="459"/>
        <v>11.821292191363563</v>
      </c>
      <c r="AJ167" s="150">
        <f t="shared" si="460"/>
        <v>5.4671749116722239</v>
      </c>
      <c r="AL167" s="314">
        <f t="shared" si="461"/>
        <v>2280</v>
      </c>
      <c r="AM167" s="144">
        <f t="shared" si="462"/>
        <v>208.10002789899562</v>
      </c>
      <c r="AO167">
        <f t="shared" si="339"/>
        <v>2280</v>
      </c>
      <c r="AP167">
        <f t="shared" si="340"/>
        <v>208.10002789899562</v>
      </c>
      <c r="AR167" s="5">
        <f t="shared" si="442"/>
        <v>4.8053813836361643</v>
      </c>
      <c r="AS167" s="5">
        <f t="shared" si="439"/>
        <v>2.803722357899066</v>
      </c>
      <c r="AT167" s="5">
        <f t="shared" si="440"/>
        <v>2.0016590257370983</v>
      </c>
      <c r="AU167" s="150">
        <f t="shared" si="441"/>
        <v>0.58345470089983342</v>
      </c>
      <c r="AW167" s="5">
        <f t="shared" si="341"/>
        <v>21.308289920032902</v>
      </c>
      <c r="AX167" s="5">
        <f t="shared" si="342"/>
        <v>22.640058040034951</v>
      </c>
      <c r="AY167" s="5">
        <f t="shared" si="343"/>
        <v>4.0641476214771526</v>
      </c>
      <c r="AZ167" s="5"/>
      <c r="BA167" s="150">
        <f t="shared" si="344"/>
        <v>5.2132421311692383</v>
      </c>
      <c r="BB167" s="150">
        <f t="shared" si="345"/>
        <v>4.2253178065102013</v>
      </c>
      <c r="BC167" s="150">
        <f t="shared" si="346"/>
        <v>0.84815129354525909</v>
      </c>
      <c r="BD167" s="150"/>
      <c r="BE167" s="456">
        <f t="shared" si="347"/>
        <v>0.32613472221837581</v>
      </c>
      <c r="BF167" s="456">
        <f t="shared" si="463"/>
        <v>2.2741586769717226</v>
      </c>
      <c r="BG167" s="456">
        <f t="shared" si="349"/>
        <v>2.39315032083845E-2</v>
      </c>
      <c r="BH167" s="456">
        <f t="shared" si="350"/>
        <v>0.27632749601338946</v>
      </c>
      <c r="BI167">
        <f t="shared" si="351"/>
        <v>8.9174425257531175E-3</v>
      </c>
      <c r="BJ167" s="144">
        <f t="shared" si="435"/>
        <v>32.848945734137615</v>
      </c>
      <c r="BK167">
        <f t="shared" si="464"/>
        <v>3.2137061027567522</v>
      </c>
      <c r="BL167" s="144">
        <f t="shared" si="436"/>
        <v>2909.469840937626</v>
      </c>
      <c r="BM167" s="150">
        <f t="shared" si="465"/>
        <v>1.5289679999999999</v>
      </c>
      <c r="BN167" s="150">
        <f t="shared" si="466"/>
        <v>0.32490569999999996</v>
      </c>
      <c r="BO167" s="456"/>
      <c r="BQ167" s="144">
        <f t="shared" si="355"/>
        <v>1853.8736999999999</v>
      </c>
      <c r="BR167" s="456">
        <f t="shared" si="356"/>
        <v>0.38049050925477179</v>
      </c>
      <c r="BS167" s="456">
        <f t="shared" si="357"/>
        <v>0.24994634792417053</v>
      </c>
      <c r="BT167" s="456">
        <f t="shared" si="358"/>
        <v>3.5968030837124814E-3</v>
      </c>
      <c r="BU167" s="456">
        <f t="shared" si="359"/>
        <v>15.007651308371349</v>
      </c>
      <c r="BV167" s="456"/>
      <c r="BW167" s="538">
        <f t="shared" si="467"/>
        <v>2.9080511600902659</v>
      </c>
      <c r="BX167" s="144">
        <f t="shared" si="361"/>
        <v>18549.736128724271</v>
      </c>
      <c r="BY167" s="150">
        <f t="shared" si="362"/>
        <v>23.313079669661896</v>
      </c>
      <c r="BZ167" s="5">
        <f t="shared" si="363"/>
        <v>71.306999999999988</v>
      </c>
      <c r="CA167" s="150">
        <f t="shared" si="364"/>
        <v>0.75361382329149751</v>
      </c>
      <c r="CB167" s="5">
        <f t="shared" si="365"/>
        <v>75.361382329149748</v>
      </c>
      <c r="CC167">
        <f t="shared" si="366"/>
        <v>56.999999999999993</v>
      </c>
      <c r="CE167" s="59">
        <f t="shared" si="468"/>
        <v>-50</v>
      </c>
      <c r="CF167">
        <f t="shared" si="469"/>
        <v>-50</v>
      </c>
      <c r="CG167" s="150">
        <f t="shared" si="369"/>
        <v>0.39199567588303097</v>
      </c>
      <c r="CH167" s="150">
        <f t="shared" si="470"/>
        <v>8.2740061272353602E-2</v>
      </c>
      <c r="CI167" s="147">
        <v>57</v>
      </c>
      <c r="CJ167" s="188">
        <f t="shared" si="437"/>
        <v>2.2799999999999998</v>
      </c>
      <c r="CK167" s="188">
        <f t="shared" si="371"/>
        <v>0.48449999999999993</v>
      </c>
      <c r="CL167" s="188">
        <f t="shared" si="372"/>
        <v>68.399999999999991</v>
      </c>
      <c r="CM167" s="188">
        <f t="shared" si="373"/>
        <v>2.9069999999999996</v>
      </c>
      <c r="CN167" s="465">
        <f t="shared" si="374"/>
        <v>20</v>
      </c>
      <c r="CO167" s="379">
        <f t="shared" si="471"/>
        <v>30.7</v>
      </c>
      <c r="CP167" s="379">
        <f t="shared" si="472"/>
        <v>50.7</v>
      </c>
      <c r="CQ167" s="379"/>
      <c r="CR167" s="188">
        <f t="shared" si="377"/>
        <v>0.60317460317460314</v>
      </c>
      <c r="CS167" s="149">
        <f t="shared" si="378"/>
        <v>175.32871249897633</v>
      </c>
      <c r="CT167" s="149">
        <f t="shared" si="379"/>
        <v>7.4514702812064924</v>
      </c>
      <c r="CU167" s="188">
        <f t="shared" si="380"/>
        <v>5.8442904166325444</v>
      </c>
      <c r="CV167" s="188">
        <f t="shared" si="381"/>
        <v>29.22145208316272</v>
      </c>
      <c r="CW167" s="188">
        <f t="shared" si="382"/>
        <v>30</v>
      </c>
      <c r="CX167" s="188">
        <f t="shared" si="383"/>
        <v>11.821949999999998</v>
      </c>
      <c r="CY167" s="188">
        <f t="shared" si="384"/>
        <v>2.7781582499999993</v>
      </c>
      <c r="CZ167" s="188">
        <f t="shared" si="385"/>
        <v>1.8098750814332245</v>
      </c>
      <c r="DA167" s="172">
        <f t="shared" si="386"/>
        <v>350</v>
      </c>
      <c r="DB167" s="379">
        <f t="shared" si="387"/>
        <v>217.95831193048832</v>
      </c>
      <c r="DD167" s="188">
        <f t="shared" si="388"/>
        <v>7.3619779020761014</v>
      </c>
      <c r="DE167" s="150">
        <f t="shared" si="389"/>
        <v>1.1270780501549733</v>
      </c>
      <c r="DF167" s="150">
        <f t="shared" si="390"/>
        <v>1.3928696857096292</v>
      </c>
      <c r="DG167" s="150"/>
      <c r="DH167" s="150">
        <f t="shared" si="391"/>
        <v>0.92784522751949461</v>
      </c>
      <c r="DI167" s="314">
        <f t="shared" si="392"/>
        <v>845.37482840425525</v>
      </c>
      <c r="DJ167" s="456">
        <f t="shared" si="393"/>
        <v>0.94395997276890675</v>
      </c>
      <c r="DL167" s="150">
        <f t="shared" si="394"/>
        <v>9.3110386493389274</v>
      </c>
      <c r="DM167" s="150">
        <f t="shared" si="395"/>
        <v>11.821949999999998</v>
      </c>
      <c r="DN167" s="150">
        <f t="shared" si="396"/>
        <v>5.4676621773288421</v>
      </c>
      <c r="DP167" s="314">
        <f t="shared" si="397"/>
        <v>2280</v>
      </c>
      <c r="DQ167" s="144">
        <f t="shared" si="398"/>
        <v>217.95831193048832</v>
      </c>
      <c r="DS167">
        <f t="shared" si="399"/>
        <v>2280</v>
      </c>
      <c r="DT167">
        <f t="shared" si="400"/>
        <v>217.95831193048832</v>
      </c>
      <c r="DV167" s="5">
        <f t="shared" si="401"/>
        <v>4.5880333314332233</v>
      </c>
      <c r="DW167" s="5">
        <f t="shared" si="402"/>
        <v>2.7781582499999993</v>
      </c>
      <c r="DX167" s="5">
        <f t="shared" si="403"/>
        <v>1.8098750814332241</v>
      </c>
      <c r="DY167" s="150">
        <f t="shared" si="404"/>
        <v>0.60552268244575935</v>
      </c>
      <c r="EA167" s="5">
        <f t="shared" si="405"/>
        <v>21.114002699999993</v>
      </c>
      <c r="EB167" s="5">
        <f t="shared" si="406"/>
        <v>22.433627868749991</v>
      </c>
      <c r="EC167" s="5">
        <f t="shared" si="407"/>
        <v>3.6410428108833086</v>
      </c>
      <c r="ED167" s="5"/>
      <c r="EE167" s="150">
        <f t="shared" si="408"/>
        <v>5.3112127587476126</v>
      </c>
      <c r="EF167" s="150">
        <f t="shared" si="409"/>
        <v>4.1120978967463833</v>
      </c>
      <c r="EG167" s="150">
        <f t="shared" si="410"/>
        <v>0.82542457396612967</v>
      </c>
      <c r="EH167" s="150"/>
      <c r="EI167" s="456">
        <f t="shared" si="411"/>
        <v>0.33850777162420109</v>
      </c>
      <c r="EJ167" s="456">
        <f t="shared" si="412"/>
        <v>2.482127659574469</v>
      </c>
      <c r="EK167" s="456">
        <f t="shared" si="413"/>
        <v>2.5065205872006162E-2</v>
      </c>
      <c r="EL167" s="456">
        <f t="shared" si="414"/>
        <v>0.28993437468869898</v>
      </c>
      <c r="EM167">
        <f t="shared" si="415"/>
        <v>8.9999999999999993E-3</v>
      </c>
      <c r="EN167" s="144">
        <f t="shared" si="416"/>
        <v>34.06520587200616</v>
      </c>
      <c r="EP167" s="144">
        <f t="shared" si="438"/>
        <v>3144.6350117593747</v>
      </c>
      <c r="EQ167" s="150">
        <f t="shared" si="417"/>
        <v>1.5959999999999999</v>
      </c>
      <c r="ER167" s="150">
        <f t="shared" si="473"/>
        <v>0.23207549999999996</v>
      </c>
      <c r="ES167" s="456"/>
      <c r="EU167" s="144">
        <f t="shared" si="419"/>
        <v>1828.0754999999997</v>
      </c>
      <c r="EV167" s="456">
        <f t="shared" si="420"/>
        <v>0.39492573356156796</v>
      </c>
      <c r="EW167" s="456">
        <f t="shared" si="421"/>
        <v>0.2367308875739644</v>
      </c>
      <c r="EX167" s="456">
        <f t="shared" si="422"/>
        <v>3.4066286365358332E-3</v>
      </c>
      <c r="EY167" s="456">
        <f t="shared" si="423"/>
        <v>16.851027564949874</v>
      </c>
      <c r="EZ167" s="456"/>
      <c r="FA167" s="538">
        <f t="shared" si="424"/>
        <v>3.0461527130807005</v>
      </c>
      <c r="FB167" s="144">
        <f t="shared" si="425"/>
        <v>20532.243527802642</v>
      </c>
      <c r="FC167" s="150">
        <f t="shared" si="426"/>
        <v>25.504954039562016</v>
      </c>
      <c r="FD167" s="5">
        <f t="shared" si="427"/>
        <v>71.306999999999988</v>
      </c>
      <c r="FE167" s="150">
        <f t="shared" si="428"/>
        <v>0.73655160364659644</v>
      </c>
      <c r="FF167" s="5">
        <f t="shared" si="429"/>
        <v>73.65516036465965</v>
      </c>
      <c r="FG167">
        <f t="shared" si="430"/>
        <v>56.999999999999993</v>
      </c>
      <c r="FI167" s="59">
        <f t="shared" si="431"/>
        <v>-50</v>
      </c>
      <c r="FJ167">
        <f t="shared" si="432"/>
        <v>-50</v>
      </c>
    </row>
    <row r="168" spans="5:166">
      <c r="E168" s="147">
        <v>58</v>
      </c>
      <c r="F168" s="188">
        <f t="shared" si="474"/>
        <v>2.3199999999999998</v>
      </c>
      <c r="G168" s="188">
        <f t="shared" si="443"/>
        <v>0.49299999999999994</v>
      </c>
      <c r="H168" s="188">
        <f t="shared" si="444"/>
        <v>69.599999999999994</v>
      </c>
      <c r="I168" s="188">
        <f t="shared" si="445"/>
        <v>2.9579999999999997</v>
      </c>
      <c r="J168" s="465">
        <f t="shared" si="446"/>
        <v>19.813320331137657</v>
      </c>
      <c r="K168" s="379">
        <f t="shared" si="447"/>
        <v>30.840710369757421</v>
      </c>
      <c r="L168" s="149">
        <f t="shared" si="448"/>
        <v>50.654030700895078</v>
      </c>
      <c r="M168" s="379"/>
      <c r="N168" s="188">
        <f t="shared" si="449"/>
        <v>0.60885007457486406</v>
      </c>
      <c r="O168" s="149">
        <f t="shared" si="450"/>
        <v>175.32652512446526</v>
      </c>
      <c r="P168" s="149">
        <f t="shared" si="451"/>
        <v>7.451377317789774</v>
      </c>
      <c r="Q168" s="188">
        <f t="shared" si="321"/>
        <v>5.8442175041488422</v>
      </c>
      <c r="R168" s="188">
        <f t="shared" si="452"/>
        <v>29.221087520744209</v>
      </c>
      <c r="S168" s="188">
        <f t="shared" si="453"/>
        <v>30</v>
      </c>
      <c r="T168" s="188">
        <f t="shared" si="454"/>
        <v>12.029502709836139</v>
      </c>
      <c r="U168" s="188">
        <f t="shared" si="325"/>
        <v>2.8535682960405393</v>
      </c>
      <c r="V168" s="188">
        <f t="shared" si="326"/>
        <v>1.8332477448921538</v>
      </c>
      <c r="W168" s="172">
        <f t="shared" si="327"/>
        <v>350</v>
      </c>
      <c r="X168" s="379">
        <f t="shared" si="434"/>
        <v>204.63221689211386</v>
      </c>
      <c r="Z168" s="188">
        <f t="shared" si="328"/>
        <v>7.3333383350692003</v>
      </c>
      <c r="AA168" s="150">
        <f t="shared" si="329"/>
        <v>1.1175712155003887</v>
      </c>
      <c r="AB168" s="150">
        <f t="shared" si="455"/>
        <v>1.3757480781197167</v>
      </c>
      <c r="AC168" s="150"/>
      <c r="AD168" s="150">
        <f t="shared" si="331"/>
        <v>0.92361194483966524</v>
      </c>
      <c r="AE168" s="314">
        <f t="shared" si="456"/>
        <v>864.14863348108042</v>
      </c>
      <c r="AF168" s="456">
        <f t="shared" si="457"/>
        <v>0.93965316675788935</v>
      </c>
      <c r="AH168" s="150">
        <f t="shared" si="458"/>
        <v>9.3923593081749264</v>
      </c>
      <c r="AI168" s="150">
        <f t="shared" si="459"/>
        <v>12.029502709836139</v>
      </c>
      <c r="AJ168" s="150">
        <f t="shared" si="460"/>
        <v>5.6214049253556135</v>
      </c>
      <c r="AL168" s="314">
        <f t="shared" si="461"/>
        <v>2320</v>
      </c>
      <c r="AM168" s="144">
        <f t="shared" si="462"/>
        <v>204.63221689211386</v>
      </c>
      <c r="AO168">
        <f t="shared" si="339"/>
        <v>2320</v>
      </c>
      <c r="AP168">
        <f t="shared" si="340"/>
        <v>204.63221689211386</v>
      </c>
      <c r="AR168" s="5">
        <f t="shared" si="442"/>
        <v>4.8868160409326933</v>
      </c>
      <c r="AS168" s="5">
        <f t="shared" si="439"/>
        <v>2.8535682960405393</v>
      </c>
      <c r="AT168" s="5">
        <f t="shared" si="440"/>
        <v>2.033247744892154</v>
      </c>
      <c r="AU168" s="150">
        <f t="shared" si="441"/>
        <v>0.58393200647182741</v>
      </c>
      <c r="AW168" s="5">
        <f t="shared" si="341"/>
        <v>22.067594822713502</v>
      </c>
      <c r="AX168" s="5">
        <f t="shared" si="342"/>
        <v>23.446819499133092</v>
      </c>
      <c r="AY168" s="5">
        <f t="shared" si="343"/>
        <v>4.2013934737245267</v>
      </c>
      <c r="AZ168" s="5"/>
      <c r="BA168" s="150">
        <f t="shared" si="344"/>
        <v>5.3072333982141346</v>
      </c>
      <c r="BB168" s="150">
        <f t="shared" si="345"/>
        <v>4.2972749083520156</v>
      </c>
      <c r="BC168" s="150">
        <f t="shared" si="346"/>
        <v>0.86259529794958345</v>
      </c>
      <c r="BD168" s="150"/>
      <c r="BE168" s="456">
        <f t="shared" si="347"/>
        <v>0.33800071611743465</v>
      </c>
      <c r="BF168" s="456">
        <f t="shared" si="463"/>
        <v>2.2756138146387874</v>
      </c>
      <c r="BG168" s="456">
        <f t="shared" si="349"/>
        <v>2.3532704942593095E-2</v>
      </c>
      <c r="BH168" s="456">
        <f t="shared" si="350"/>
        <v>0.27171422895008568</v>
      </c>
      <c r="BI168">
        <f t="shared" si="351"/>
        <v>8.9159941490119451E-3</v>
      </c>
      <c r="BJ168" s="144">
        <f t="shared" si="435"/>
        <v>32.448699091605043</v>
      </c>
      <c r="BK168">
        <f t="shared" si="464"/>
        <v>3.2365097151614943</v>
      </c>
      <c r="BL168" s="144">
        <f t="shared" si="436"/>
        <v>2917.7774587979129</v>
      </c>
      <c r="BM168" s="150">
        <f t="shared" si="465"/>
        <v>1.5557919999999998</v>
      </c>
      <c r="BN168" s="150">
        <f t="shared" si="466"/>
        <v>0.33060579999999995</v>
      </c>
      <c r="BO168" s="456"/>
      <c r="BQ168" s="144">
        <f t="shared" si="355"/>
        <v>1886.3977999999997</v>
      </c>
      <c r="BR168" s="456">
        <f t="shared" si="356"/>
        <v>0.39433416880367372</v>
      </c>
      <c r="BS168" s="456">
        <f t="shared" si="357"/>
        <v>0.2585320029313255</v>
      </c>
      <c r="BT168" s="456">
        <f t="shared" si="358"/>
        <v>3.7203532402236535E-3</v>
      </c>
      <c r="BU168" s="456">
        <f t="shared" si="359"/>
        <v>15.032257730153495</v>
      </c>
      <c r="BV168" s="456"/>
      <c r="BW168" s="538">
        <f t="shared" si="467"/>
        <v>2.9612110264403571</v>
      </c>
      <c r="BX168" s="144">
        <f t="shared" si="361"/>
        <v>18650.055281569075</v>
      </c>
      <c r="BY168" s="150">
        <f t="shared" si="362"/>
        <v>23.454230540366986</v>
      </c>
      <c r="BZ168" s="5">
        <f t="shared" si="363"/>
        <v>72.557999999999993</v>
      </c>
      <c r="CA168" s="150">
        <f t="shared" si="364"/>
        <v>0.75571622064851429</v>
      </c>
      <c r="CB168" s="5">
        <f t="shared" si="365"/>
        <v>75.571622064851425</v>
      </c>
      <c r="CC168">
        <f t="shared" si="366"/>
        <v>57.999999999999993</v>
      </c>
      <c r="CE168" s="59">
        <f t="shared" si="468"/>
        <v>-50</v>
      </c>
      <c r="CF168">
        <f t="shared" si="469"/>
        <v>-50</v>
      </c>
      <c r="CG168" s="150">
        <f t="shared" si="369"/>
        <v>0.39199567588303091</v>
      </c>
      <c r="CH168" s="150">
        <f t="shared" si="470"/>
        <v>8.2740061272353602E-2</v>
      </c>
      <c r="CI168" s="147">
        <v>58</v>
      </c>
      <c r="CJ168" s="188">
        <f t="shared" si="437"/>
        <v>2.3199999999999998</v>
      </c>
      <c r="CK168" s="188">
        <f t="shared" si="371"/>
        <v>0.49299999999999994</v>
      </c>
      <c r="CL168" s="188">
        <f t="shared" si="372"/>
        <v>69.599999999999994</v>
      </c>
      <c r="CM168" s="188">
        <f t="shared" si="373"/>
        <v>2.9579999999999997</v>
      </c>
      <c r="CN168" s="465">
        <f t="shared" si="374"/>
        <v>20</v>
      </c>
      <c r="CO168" s="379">
        <f t="shared" si="471"/>
        <v>30.7</v>
      </c>
      <c r="CP168" s="379">
        <f t="shared" si="472"/>
        <v>50.7</v>
      </c>
      <c r="CQ168" s="379"/>
      <c r="CR168" s="188">
        <f t="shared" si="377"/>
        <v>0.60317460317460314</v>
      </c>
      <c r="CS168" s="149">
        <f t="shared" si="378"/>
        <v>175.32871249897633</v>
      </c>
      <c r="CT168" s="149">
        <f t="shared" si="379"/>
        <v>7.4514702812064924</v>
      </c>
      <c r="CU168" s="188">
        <f t="shared" si="380"/>
        <v>5.8442904166325444</v>
      </c>
      <c r="CV168" s="188">
        <f t="shared" si="381"/>
        <v>29.22145208316272</v>
      </c>
      <c r="CW168" s="188">
        <f t="shared" si="382"/>
        <v>30</v>
      </c>
      <c r="CX168" s="188">
        <f t="shared" si="383"/>
        <v>12.029352631578947</v>
      </c>
      <c r="CY168" s="188">
        <f t="shared" si="384"/>
        <v>2.8268978684210522</v>
      </c>
      <c r="CZ168" s="188">
        <f t="shared" si="385"/>
        <v>1.8416272758443339</v>
      </c>
      <c r="DA168" s="172">
        <f t="shared" si="386"/>
        <v>350</v>
      </c>
      <c r="DB168" s="379">
        <f t="shared" si="387"/>
        <v>214.20041000065225</v>
      </c>
      <c r="DD168" s="188">
        <f t="shared" si="388"/>
        <v>7.3619779020761014</v>
      </c>
      <c r="DE168" s="150">
        <f t="shared" si="389"/>
        <v>1.1270780501549733</v>
      </c>
      <c r="DF168" s="150">
        <f t="shared" si="390"/>
        <v>1.3928696857096292</v>
      </c>
      <c r="DG168" s="150"/>
      <c r="DH168" s="150">
        <f t="shared" si="391"/>
        <v>0.92784522751949461</v>
      </c>
      <c r="DI168" s="314">
        <f t="shared" si="392"/>
        <v>860.20596574468084</v>
      </c>
      <c r="DJ168" s="456">
        <f t="shared" si="393"/>
        <v>0.94395997276890675</v>
      </c>
      <c r="DL168" s="150">
        <f t="shared" si="394"/>
        <v>9.3923593081749264</v>
      </c>
      <c r="DM168" s="150">
        <f t="shared" si="395"/>
        <v>12.029352631578947</v>
      </c>
      <c r="DN168" s="150">
        <f t="shared" si="396"/>
        <v>5.621293756276212</v>
      </c>
      <c r="DP168" s="314">
        <f t="shared" si="397"/>
        <v>2320</v>
      </c>
      <c r="DQ168" s="144">
        <f t="shared" si="398"/>
        <v>214.20041000065225</v>
      </c>
      <c r="DS168">
        <f t="shared" si="399"/>
        <v>2320</v>
      </c>
      <c r="DT168">
        <f t="shared" si="400"/>
        <v>214.20041000065225</v>
      </c>
      <c r="DV168" s="5">
        <f t="shared" si="401"/>
        <v>4.668525144265387</v>
      </c>
      <c r="DW168" s="5">
        <f t="shared" si="402"/>
        <v>2.8268978684210522</v>
      </c>
      <c r="DX168" s="5">
        <f t="shared" si="403"/>
        <v>1.8416272758443348</v>
      </c>
      <c r="DY168" s="150">
        <f t="shared" si="404"/>
        <v>0.60552268244575924</v>
      </c>
      <c r="EA168" s="5">
        <f t="shared" si="405"/>
        <v>21.861343515789468</v>
      </c>
      <c r="EB168" s="5">
        <f t="shared" si="406"/>
        <v>23.227677485526307</v>
      </c>
      <c r="EC168" s="5">
        <f t="shared" si="407"/>
        <v>3.7699193646695788</v>
      </c>
      <c r="ED168" s="5"/>
      <c r="EE168" s="150">
        <f t="shared" si="408"/>
        <v>5.4043919299537109</v>
      </c>
      <c r="EF168" s="150">
        <f t="shared" si="409"/>
        <v>4.1842399651103559</v>
      </c>
      <c r="EG168" s="150">
        <f t="shared" si="410"/>
        <v>0.83990570684272869</v>
      </c>
      <c r="EH168" s="150"/>
      <c r="EI168" s="456">
        <f t="shared" si="411"/>
        <v>0.35048942559058555</v>
      </c>
      <c r="EJ168" s="456">
        <f t="shared" si="412"/>
        <v>2.4821276595744686</v>
      </c>
      <c r="EK168" s="456">
        <f t="shared" si="413"/>
        <v>2.4633047150075013E-2</v>
      </c>
      <c r="EL168" s="456">
        <f t="shared" si="414"/>
        <v>0.28493550615958341</v>
      </c>
      <c r="EM168">
        <f t="shared" si="415"/>
        <v>8.9999999999999993E-3</v>
      </c>
      <c r="EN168" s="144">
        <f t="shared" si="416"/>
        <v>33.633047150075015</v>
      </c>
      <c r="EP168" s="144">
        <f t="shared" si="438"/>
        <v>3151.1856384747125</v>
      </c>
      <c r="EQ168" s="150">
        <f t="shared" si="417"/>
        <v>1.6239999999999999</v>
      </c>
      <c r="ER168" s="150">
        <f t="shared" si="473"/>
        <v>0.23614699999999997</v>
      </c>
      <c r="ES168" s="456"/>
      <c r="EU168" s="144">
        <f t="shared" si="419"/>
        <v>1860.1469999999997</v>
      </c>
      <c r="EV168" s="456">
        <f t="shared" si="420"/>
        <v>0.40890432985568315</v>
      </c>
      <c r="EW168" s="456">
        <f t="shared" si="421"/>
        <v>0.24511009719877397</v>
      </c>
      <c r="EX168" s="456">
        <f t="shared" si="422"/>
        <v>3.5272079819349184E-3</v>
      </c>
      <c r="EY168" s="456">
        <f t="shared" si="423"/>
        <v>16.851027564949874</v>
      </c>
      <c r="EZ168" s="456"/>
      <c r="FA168" s="538">
        <f t="shared" si="424"/>
        <v>3.0995939887487824</v>
      </c>
      <c r="FB168" s="144">
        <f t="shared" si="425"/>
        <v>20608.163188735049</v>
      </c>
      <c r="FC168" s="150">
        <f t="shared" si="426"/>
        <v>25.619495827209761</v>
      </c>
      <c r="FD168" s="5">
        <f t="shared" si="427"/>
        <v>72.557999999999993</v>
      </c>
      <c r="FE168" s="150">
        <f t="shared" si="428"/>
        <v>0.73904920255554785</v>
      </c>
      <c r="FF168" s="5">
        <f t="shared" si="429"/>
        <v>73.904920255554785</v>
      </c>
      <c r="FG168">
        <f t="shared" si="430"/>
        <v>57.999999999999993</v>
      </c>
      <c r="FI168" s="59">
        <f t="shared" si="431"/>
        <v>-50</v>
      </c>
      <c r="FJ168">
        <f t="shared" si="432"/>
        <v>-50</v>
      </c>
    </row>
    <row r="169" spans="5:166">
      <c r="E169" s="147">
        <v>59</v>
      </c>
      <c r="F169" s="188">
        <f t="shared" si="474"/>
        <v>2.36</v>
      </c>
      <c r="G169" s="188">
        <f t="shared" si="443"/>
        <v>0.50149999999999995</v>
      </c>
      <c r="H169" s="188">
        <f t="shared" si="444"/>
        <v>70.8</v>
      </c>
      <c r="I169" s="188">
        <f t="shared" si="445"/>
        <v>3.0089999999999995</v>
      </c>
      <c r="J169" s="465">
        <f t="shared" si="446"/>
        <v>19.81010171615727</v>
      </c>
      <c r="K169" s="379">
        <f t="shared" si="447"/>
        <v>30.843136410615308</v>
      </c>
      <c r="L169" s="149">
        <f t="shared" si="448"/>
        <v>50.653238126772578</v>
      </c>
      <c r="M169" s="379"/>
      <c r="N169" s="188">
        <f t="shared" si="449"/>
        <v>0.6089074963662251</v>
      </c>
      <c r="O169" s="149">
        <f t="shared" si="450"/>
        <v>175.31457653870481</v>
      </c>
      <c r="P169" s="149">
        <f t="shared" si="451"/>
        <v>7.4508695028949532</v>
      </c>
      <c r="Q169" s="188">
        <f t="shared" si="321"/>
        <v>5.8438192179568267</v>
      </c>
      <c r="R169" s="188">
        <f t="shared" si="452"/>
        <v>29.219096089784134</v>
      </c>
      <c r="S169" s="188">
        <f t="shared" si="453"/>
        <v>30</v>
      </c>
      <c r="T169" s="188">
        <f t="shared" si="454"/>
        <v>12.237741936882735</v>
      </c>
      <c r="U169" s="188">
        <f t="shared" si="325"/>
        <v>2.903437242648645</v>
      </c>
      <c r="V169" s="188">
        <f t="shared" si="326"/>
        <v>1.8648358694011755</v>
      </c>
      <c r="W169" s="172">
        <f t="shared" si="327"/>
        <v>350</v>
      </c>
      <c r="X169" s="379">
        <f t="shared" si="434"/>
        <v>201.27717970548881</v>
      </c>
      <c r="Z169" s="188">
        <f t="shared" si="328"/>
        <v>7.3328385645869805</v>
      </c>
      <c r="AA169" s="150">
        <f t="shared" si="329"/>
        <v>1.1174071532393568</v>
      </c>
      <c r="AB169" s="150">
        <f t="shared" si="455"/>
        <v>1.3754523707273949</v>
      </c>
      <c r="AC169" s="150"/>
      <c r="AD169" s="150">
        <f t="shared" si="331"/>
        <v>0.92353929592727246</v>
      </c>
      <c r="AE169" s="314">
        <f t="shared" si="456"/>
        <v>879.11689689913953</v>
      </c>
      <c r="AF169" s="456">
        <f t="shared" si="457"/>
        <v>0.93957925608471882</v>
      </c>
      <c r="AH169" s="150">
        <f t="shared" si="458"/>
        <v>9.4729818968599897</v>
      </c>
      <c r="AI169" s="150">
        <f t="shared" si="459"/>
        <v>12.237741936882735</v>
      </c>
      <c r="AJ169" s="150">
        <f t="shared" si="460"/>
        <v>5.7756562046493887</v>
      </c>
      <c r="AL169" s="314">
        <f t="shared" si="461"/>
        <v>2360</v>
      </c>
      <c r="AM169" s="144">
        <f t="shared" si="462"/>
        <v>201.27717970548881</v>
      </c>
      <c r="AO169">
        <f t="shared" si="339"/>
        <v>2360</v>
      </c>
      <c r="AP169">
        <f t="shared" si="340"/>
        <v>201.27717970548881</v>
      </c>
      <c r="AR169" s="5">
        <f t="shared" si="442"/>
        <v>4.9682731120498209</v>
      </c>
      <c r="AS169" s="5">
        <f t="shared" si="439"/>
        <v>2.903437242648645</v>
      </c>
      <c r="AT169" s="5">
        <f t="shared" si="440"/>
        <v>2.0648358694011759</v>
      </c>
      <c r="AU169" s="150">
        <f t="shared" si="441"/>
        <v>0.58439565965220031</v>
      </c>
      <c r="AW169" s="5">
        <f t="shared" si="341"/>
        <v>22.840372975502675</v>
      </c>
      <c r="AX169" s="5">
        <f t="shared" si="342"/>
        <v>24.267896286471586</v>
      </c>
      <c r="AY169" s="5">
        <f t="shared" si="343"/>
        <v>4.3409338400189341</v>
      </c>
      <c r="AZ169" s="5"/>
      <c r="BA169" s="150">
        <f t="shared" si="344"/>
        <v>5.4012484450454954</v>
      </c>
      <c r="BB169" s="150">
        <f t="shared" si="345"/>
        <v>4.3692272842170201</v>
      </c>
      <c r="BC169" s="150">
        <f t="shared" si="346"/>
        <v>0.8770383537049472</v>
      </c>
      <c r="BD169" s="150"/>
      <c r="BE169" s="456">
        <f t="shared" si="347"/>
        <v>0.35008181718127657</v>
      </c>
      <c r="BF169" s="456">
        <f t="shared" si="463"/>
        <v>2.2770151067199835</v>
      </c>
      <c r="BG169" s="456">
        <f t="shared" si="349"/>
        <v>2.3146875666131213E-2</v>
      </c>
      <c r="BH169" s="456">
        <f t="shared" si="350"/>
        <v>0.26725098857109297</v>
      </c>
      <c r="BI169">
        <f t="shared" si="351"/>
        <v>8.9145457722707711E-3</v>
      </c>
      <c r="BJ169" s="144">
        <f t="shared" si="435"/>
        <v>32.061421438401986</v>
      </c>
      <c r="BK169">
        <f t="shared" si="464"/>
        <v>3.2600381500348257</v>
      </c>
      <c r="BL169" s="144">
        <f t="shared" si="436"/>
        <v>2926.4093339107553</v>
      </c>
      <c r="BM169" s="150">
        <f t="shared" si="465"/>
        <v>1.5826159999999998</v>
      </c>
      <c r="BN169" s="150">
        <f t="shared" si="466"/>
        <v>0.33630589999999994</v>
      </c>
      <c r="BO169" s="456"/>
      <c r="BQ169" s="144">
        <f t="shared" si="355"/>
        <v>1918.9218999999998</v>
      </c>
      <c r="BR169" s="456">
        <f t="shared" si="356"/>
        <v>0.40842878671148936</v>
      </c>
      <c r="BS169" s="456">
        <f t="shared" si="357"/>
        <v>0.26726205885605009</v>
      </c>
      <c r="BT169" s="456">
        <f t="shared" si="358"/>
        <v>3.8459813693474203E-3</v>
      </c>
      <c r="BU169" s="456">
        <f t="shared" si="359"/>
        <v>15.05599900844002</v>
      </c>
      <c r="BV169" s="456"/>
      <c r="BW169" s="538">
        <f t="shared" si="467"/>
        <v>3.0143738948350434</v>
      </c>
      <c r="BX169" s="144">
        <f t="shared" si="361"/>
        <v>18749.909730211952</v>
      </c>
      <c r="BY169" s="150">
        <f t="shared" si="362"/>
        <v>23.595240964122706</v>
      </c>
      <c r="BZ169" s="5">
        <f t="shared" si="363"/>
        <v>73.808999999999997</v>
      </c>
      <c r="CA169" s="150">
        <f t="shared" si="364"/>
        <v>0.75775961364132349</v>
      </c>
      <c r="CB169" s="5">
        <f t="shared" si="365"/>
        <v>75.775961364132343</v>
      </c>
      <c r="CC169">
        <f t="shared" si="366"/>
        <v>59</v>
      </c>
      <c r="CE169" s="59">
        <f t="shared" si="468"/>
        <v>-50</v>
      </c>
      <c r="CF169">
        <f t="shared" si="469"/>
        <v>-50</v>
      </c>
      <c r="CG169" s="150">
        <f t="shared" si="369"/>
        <v>0.39199567588303091</v>
      </c>
      <c r="CH169" s="150">
        <f t="shared" si="470"/>
        <v>8.2740061272353602E-2</v>
      </c>
      <c r="CI169" s="147">
        <v>59</v>
      </c>
      <c r="CJ169" s="188">
        <f t="shared" si="437"/>
        <v>2.36</v>
      </c>
      <c r="CK169" s="188">
        <f t="shared" si="371"/>
        <v>0.50149999999999995</v>
      </c>
      <c r="CL169" s="188">
        <f t="shared" si="372"/>
        <v>70.8</v>
      </c>
      <c r="CM169" s="188">
        <f t="shared" si="373"/>
        <v>3.0089999999999995</v>
      </c>
      <c r="CN169" s="465">
        <f t="shared" si="374"/>
        <v>20</v>
      </c>
      <c r="CO169" s="379">
        <f t="shared" si="471"/>
        <v>30.7</v>
      </c>
      <c r="CP169" s="379">
        <f t="shared" si="472"/>
        <v>50.7</v>
      </c>
      <c r="CQ169" s="379"/>
      <c r="CR169" s="188">
        <f t="shared" si="377"/>
        <v>0.60317460317460314</v>
      </c>
      <c r="CS169" s="149">
        <f t="shared" si="378"/>
        <v>175.32871249897633</v>
      </c>
      <c r="CT169" s="149">
        <f t="shared" si="379"/>
        <v>7.4514702812064924</v>
      </c>
      <c r="CU169" s="188">
        <f t="shared" si="380"/>
        <v>5.8442904166325444</v>
      </c>
      <c r="CV169" s="188">
        <f t="shared" si="381"/>
        <v>29.22145208316272</v>
      </c>
      <c r="CW169" s="188">
        <f t="shared" si="382"/>
        <v>30</v>
      </c>
      <c r="CX169" s="188">
        <f t="shared" si="383"/>
        <v>12.236755263157894</v>
      </c>
      <c r="CY169" s="188">
        <f t="shared" si="384"/>
        <v>2.8756374868421051</v>
      </c>
      <c r="CZ169" s="188">
        <f t="shared" si="385"/>
        <v>1.8733794702554432</v>
      </c>
      <c r="DA169" s="172">
        <f t="shared" si="386"/>
        <v>350</v>
      </c>
      <c r="DB169" s="379">
        <f t="shared" si="387"/>
        <v>210.56989457691239</v>
      </c>
      <c r="DD169" s="188">
        <f t="shared" si="388"/>
        <v>7.3619779020761014</v>
      </c>
      <c r="DE169" s="150">
        <f t="shared" si="389"/>
        <v>1.1270780501549733</v>
      </c>
      <c r="DF169" s="150">
        <f t="shared" si="390"/>
        <v>1.3928696857096292</v>
      </c>
      <c r="DG169" s="150"/>
      <c r="DH169" s="150">
        <f t="shared" si="391"/>
        <v>0.92784522751949461</v>
      </c>
      <c r="DI169" s="314">
        <f t="shared" si="392"/>
        <v>875.03710308510631</v>
      </c>
      <c r="DJ169" s="456">
        <f t="shared" si="393"/>
        <v>0.94395997276890675</v>
      </c>
      <c r="DL169" s="150">
        <f t="shared" si="394"/>
        <v>9.4729818968599897</v>
      </c>
      <c r="DM169" s="150">
        <f t="shared" si="395"/>
        <v>12.236755263157894</v>
      </c>
      <c r="DN169" s="150">
        <f t="shared" si="396"/>
        <v>5.774925335223581</v>
      </c>
      <c r="DP169" s="314">
        <f t="shared" si="397"/>
        <v>2360</v>
      </c>
      <c r="DQ169" s="144">
        <f t="shared" si="398"/>
        <v>210.56989457691239</v>
      </c>
      <c r="DS169">
        <f t="shared" si="399"/>
        <v>2360</v>
      </c>
      <c r="DT169">
        <f t="shared" si="400"/>
        <v>210.56989457691239</v>
      </c>
      <c r="DV169" s="5">
        <f t="shared" si="401"/>
        <v>4.749016957097548</v>
      </c>
      <c r="DW169" s="5">
        <f t="shared" si="402"/>
        <v>2.8756374868421051</v>
      </c>
      <c r="DX169" s="5">
        <f t="shared" si="403"/>
        <v>1.8733794702554429</v>
      </c>
      <c r="DY169" s="150">
        <f t="shared" si="404"/>
        <v>0.60552268244575935</v>
      </c>
      <c r="EA169" s="5">
        <f t="shared" si="405"/>
        <v>22.621681563157892</v>
      </c>
      <c r="EB169" s="5">
        <f t="shared" si="406"/>
        <v>24.035536660855261</v>
      </c>
      <c r="EC169" s="5">
        <f t="shared" si="407"/>
        <v>3.9010372498260395</v>
      </c>
      <c r="ED169" s="5"/>
      <c r="EE169" s="150">
        <f t="shared" si="408"/>
        <v>5.4975711011598101</v>
      </c>
      <c r="EF169" s="150">
        <f t="shared" si="409"/>
        <v>4.2563820334743268</v>
      </c>
      <c r="EG169" s="150">
        <f t="shared" si="410"/>
        <v>0.85438683971932727</v>
      </c>
      <c r="EH169" s="150"/>
      <c r="EI169" s="456">
        <f t="shared" si="411"/>
        <v>0.36267945614768982</v>
      </c>
      <c r="EJ169" s="456">
        <f t="shared" si="412"/>
        <v>2.4821276595744686</v>
      </c>
      <c r="EK169" s="456">
        <f t="shared" si="413"/>
        <v>2.4215537876344926E-2</v>
      </c>
      <c r="EL169" s="456">
        <f t="shared" si="414"/>
        <v>0.28010609080094645</v>
      </c>
      <c r="EM169">
        <f t="shared" si="415"/>
        <v>8.9999999999999993E-3</v>
      </c>
      <c r="EN169" s="144">
        <f t="shared" si="416"/>
        <v>33.215537876344925</v>
      </c>
      <c r="EP169" s="144">
        <f t="shared" si="438"/>
        <v>3158.1287443994497</v>
      </c>
      <c r="EQ169" s="150">
        <f t="shared" si="417"/>
        <v>1.6519999999999999</v>
      </c>
      <c r="ER169" s="150">
        <f t="shared" si="473"/>
        <v>0.24021849999999997</v>
      </c>
      <c r="ES169" s="456"/>
      <c r="EU169" s="144">
        <f t="shared" si="419"/>
        <v>1892.2184999999997</v>
      </c>
      <c r="EV169" s="456">
        <f t="shared" si="420"/>
        <v>0.42312603217230482</v>
      </c>
      <c r="EW169" s="456">
        <f t="shared" si="421"/>
        <v>0.25363503220836264</v>
      </c>
      <c r="EX169" s="456">
        <f t="shared" si="422"/>
        <v>3.6498843594278975E-3</v>
      </c>
      <c r="EY169" s="456">
        <f t="shared" si="423"/>
        <v>16.851027564949877</v>
      </c>
      <c r="EZ169" s="456"/>
      <c r="FA169" s="538">
        <f t="shared" si="424"/>
        <v>3.1530352644168649</v>
      </c>
      <c r="FB169" s="144">
        <f t="shared" si="425"/>
        <v>20684.47377810684</v>
      </c>
      <c r="FC169" s="150">
        <f t="shared" si="426"/>
        <v>25.734821022506285</v>
      </c>
      <c r="FD169" s="5">
        <f t="shared" si="427"/>
        <v>73.808999999999997</v>
      </c>
      <c r="FE169" s="150">
        <f t="shared" si="428"/>
        <v>0.74147244140158342</v>
      </c>
      <c r="FF169" s="5">
        <f t="shared" si="429"/>
        <v>74.147244140158335</v>
      </c>
      <c r="FG169">
        <f t="shared" si="430"/>
        <v>59</v>
      </c>
      <c r="FI169" s="59">
        <f t="shared" si="431"/>
        <v>-50</v>
      </c>
      <c r="FJ169">
        <f t="shared" si="432"/>
        <v>-50</v>
      </c>
    </row>
    <row r="170" spans="5:166">
      <c r="E170" s="147">
        <v>60</v>
      </c>
      <c r="F170" s="188">
        <f t="shared" si="474"/>
        <v>2.4</v>
      </c>
      <c r="G170" s="188">
        <f t="shared" si="443"/>
        <v>0.51</v>
      </c>
      <c r="H170" s="188">
        <f t="shared" si="444"/>
        <v>72</v>
      </c>
      <c r="I170" s="188">
        <f t="shared" si="445"/>
        <v>3.06</v>
      </c>
      <c r="J170" s="465">
        <f t="shared" si="446"/>
        <v>19.806883101176886</v>
      </c>
      <c r="K170" s="379">
        <f t="shared" si="447"/>
        <v>30.845562451473192</v>
      </c>
      <c r="L170" s="149">
        <f t="shared" si="448"/>
        <v>50.652445552650079</v>
      </c>
      <c r="M170" s="379"/>
      <c r="N170" s="188">
        <f t="shared" si="449"/>
        <v>0.60896491995457835</v>
      </c>
      <c r="O170" s="149">
        <f t="shared" si="450"/>
        <v>175.30262309799974</v>
      </c>
      <c r="P170" s="149">
        <f t="shared" si="451"/>
        <v>7.4503614816649888</v>
      </c>
      <c r="Q170" s="188">
        <f t="shared" si="321"/>
        <v>5.8434207699333252</v>
      </c>
      <c r="R170" s="188">
        <f t="shared" si="452"/>
        <v>29.217103849666625</v>
      </c>
      <c r="S170" s="188">
        <f t="shared" si="453"/>
        <v>30</v>
      </c>
      <c r="T170" s="188">
        <f t="shared" si="454"/>
        <v>12.446009895690358</v>
      </c>
      <c r="U170" s="188">
        <f t="shared" si="325"/>
        <v>2.9533292144420717</v>
      </c>
      <c r="V170" s="188">
        <f t="shared" si="326"/>
        <v>1.8964234029375231</v>
      </c>
      <c r="W170" s="172">
        <f t="shared" si="327"/>
        <v>350</v>
      </c>
      <c r="X170" s="379">
        <f t="shared" si="434"/>
        <v>198.02950278362692</v>
      </c>
      <c r="Z170" s="188">
        <f t="shared" si="328"/>
        <v>7.3323385910382202</v>
      </c>
      <c r="AA170" s="150">
        <f t="shared" si="329"/>
        <v>1.1172430858440618</v>
      </c>
      <c r="AB170" s="150">
        <f t="shared" si="455"/>
        <v>1.3751566464588798</v>
      </c>
      <c r="AC170" s="150"/>
      <c r="AD170" s="150">
        <f t="shared" si="331"/>
        <v>0.92346665844272968</v>
      </c>
      <c r="AE170" s="314">
        <f t="shared" si="456"/>
        <v>894.08750435271349</v>
      </c>
      <c r="AF170" s="456">
        <f t="shared" si="457"/>
        <v>0.93950535703787641</v>
      </c>
      <c r="AH170" s="150">
        <f t="shared" si="458"/>
        <v>9.5529240896499328</v>
      </c>
      <c r="AI170" s="150">
        <f t="shared" si="459"/>
        <v>12.446009895690358</v>
      </c>
      <c r="AJ170" s="150">
        <f t="shared" si="460"/>
        <v>5.929928766729109</v>
      </c>
      <c r="AL170" s="314">
        <f t="shared" si="461"/>
        <v>2400</v>
      </c>
      <c r="AM170" s="144">
        <f t="shared" si="462"/>
        <v>198.02950278362692</v>
      </c>
      <c r="AO170">
        <f t="shared" si="339"/>
        <v>2400</v>
      </c>
      <c r="AP170">
        <f t="shared" si="340"/>
        <v>198.02950278362692</v>
      </c>
      <c r="AR170" s="5">
        <f t="shared" si="442"/>
        <v>5.0497526173795952</v>
      </c>
      <c r="AS170" s="5">
        <f t="shared" si="439"/>
        <v>2.9533292144420717</v>
      </c>
      <c r="AT170" s="5">
        <f t="shared" si="440"/>
        <v>2.0964234029375235</v>
      </c>
      <c r="AU170" s="150">
        <f t="shared" si="441"/>
        <v>0.58484631589232305</v>
      </c>
      <c r="AW170" s="5">
        <f t="shared" ref="AW170:AW210" si="475">F170*AS170/Vout_ripple*1000</f>
        <v>23.62663371553657</v>
      </c>
      <c r="AX170" s="5">
        <f t="shared" ref="AX170:AX210" si="476">G170*AS170/Vout_ripple2*1000</f>
        <v>25.10329832275761</v>
      </c>
      <c r="AY170" s="5">
        <f t="shared" ref="AY170:AY210" si="477">H170/Efficiency/J170*AT170/Vinripple1</f>
        <v>4.4827697832130644</v>
      </c>
      <c r="AZ170" s="5"/>
      <c r="BA170" s="150">
        <f t="shared" ref="BA170:BA209" si="478">AI170*SQRT(AU170/3)</f>
        <v>5.4952871870673876</v>
      </c>
      <c r="BB170" s="150">
        <f t="shared" ref="BB170:BB210" si="479">AI170*Npri_sec1*SQRT((1-AU170)/3)*(Pout/Pout_total)</f>
        <v>4.4411751290712989</v>
      </c>
      <c r="BC170" s="150">
        <f t="shared" ref="BC170:BC210" si="480">AI170*Npri_sec2*SQRT((1-AU170)/3)*(Pout2/Pout_total)</f>
        <v>0.89148049994704248</v>
      </c>
      <c r="BD170" s="150"/>
      <c r="BE170" s="456">
        <f t="shared" ref="BE170:BE210" si="481">Rdson*BA170^2</f>
        <v>0.36237817522016402</v>
      </c>
      <c r="BF170" s="456">
        <f t="shared" si="463"/>
        <v>2.2783651350871792</v>
      </c>
      <c r="BG170" s="456">
        <f t="shared" ref="BG170:BG210" si="482">Qg*Vdd*AM170*1000</f>
        <v>2.2773392820117099E-2</v>
      </c>
      <c r="BH170" s="456">
        <f t="shared" ref="BH170:BH210" si="483">0.5*(Coss+Csw)*L170^2*AM170*1000</f>
        <v>0.26293057304838779</v>
      </c>
      <c r="BI170">
        <f t="shared" ref="BI170:BI210" si="484">J170*IQ</f>
        <v>8.9130973955295987E-3</v>
      </c>
      <c r="BJ170" s="144">
        <f t="shared" si="435"/>
        <v>31.6864902156467</v>
      </c>
      <c r="BK170">
        <f t="shared" si="464"/>
        <v>3.2842974655154191</v>
      </c>
      <c r="BL170" s="144">
        <f t="shared" si="436"/>
        <v>2935.3603735713777</v>
      </c>
      <c r="BM170" s="150">
        <f t="shared" si="465"/>
        <v>1.60944</v>
      </c>
      <c r="BN170" s="150">
        <f t="shared" si="466"/>
        <v>0.34200599999999998</v>
      </c>
      <c r="BO170" s="456"/>
      <c r="BQ170" s="144">
        <f t="shared" ref="BQ170:BQ210" si="485">SUM(BM170:BP170)*1000</f>
        <v>1951.4459999999999</v>
      </c>
      <c r="BR170" s="456">
        <f t="shared" ref="BR170:BR210" si="486">Rdcr_pri*BA170^2</f>
        <v>0.42277453775685803</v>
      </c>
      <c r="BS170" s="456">
        <f t="shared" ref="BS170:BS210" si="487">Rdcr_sec*BB170^2</f>
        <v>0.27613651137914053</v>
      </c>
      <c r="BT170" s="456">
        <f t="shared" ref="BT170:BT210" si="488">Rdcr_sec2*BC170^2</f>
        <v>3.9736874089291441E-3</v>
      </c>
      <c r="BU170" s="456">
        <f t="shared" ref="BU170:BU210" si="489">AI170^2.5*AM170^2.5*k_core</f>
        <v>15.078915302558588</v>
      </c>
      <c r="BV170" s="456"/>
      <c r="BW170" s="538">
        <f t="shared" si="467"/>
        <v>3.0675396214558379</v>
      </c>
      <c r="BX170" s="144">
        <f t="shared" ref="BX170:BX192" si="490">SUM(BR170:BW170)*1000</f>
        <v>18849.339660559352</v>
      </c>
      <c r="BY170" s="150">
        <f t="shared" ref="BY170:BY192" si="491">SUM(BE170:BI170,BM170:BP170,BR170:BW170)</f>
        <v>23.736146034130734</v>
      </c>
      <c r="BZ170" s="5">
        <f t="shared" ref="BZ170:BZ192" si="492">MIN(H170+I170,O170+P170)</f>
        <v>75.06</v>
      </c>
      <c r="CA170" s="150">
        <f t="shared" ref="CA170:CA192" si="493">BZ170/(BZ170+BY170)</f>
        <v>0.75974623518279039</v>
      </c>
      <c r="CB170" s="5">
        <f t="shared" ref="CB170:CB192" si="494">CA170*100</f>
        <v>75.974623518279031</v>
      </c>
      <c r="CC170">
        <f t="shared" ref="CC170:CC192" si="495">F170/Iout*100</f>
        <v>60</v>
      </c>
      <c r="CE170" s="59">
        <f t="shared" si="468"/>
        <v>-50</v>
      </c>
      <c r="CF170">
        <f t="shared" si="469"/>
        <v>-50</v>
      </c>
      <c r="CG170" s="150">
        <f t="shared" si="369"/>
        <v>0.39199567588303086</v>
      </c>
      <c r="CH170" s="150">
        <f t="shared" si="470"/>
        <v>8.2740061272353602E-2</v>
      </c>
      <c r="CI170" s="147">
        <v>60</v>
      </c>
      <c r="CJ170" s="188">
        <f t="shared" si="437"/>
        <v>2.4</v>
      </c>
      <c r="CK170" s="188">
        <f t="shared" si="371"/>
        <v>0.51</v>
      </c>
      <c r="CL170" s="188">
        <f t="shared" si="372"/>
        <v>72</v>
      </c>
      <c r="CM170" s="188">
        <f t="shared" si="373"/>
        <v>3.06</v>
      </c>
      <c r="CN170" s="465">
        <f t="shared" si="374"/>
        <v>20</v>
      </c>
      <c r="CO170" s="379">
        <f t="shared" si="471"/>
        <v>30.7</v>
      </c>
      <c r="CP170" s="379">
        <f t="shared" si="472"/>
        <v>50.7</v>
      </c>
      <c r="CQ170" s="379"/>
      <c r="CR170" s="188">
        <f t="shared" si="377"/>
        <v>0.60317460317460314</v>
      </c>
      <c r="CS170" s="149">
        <f t="shared" si="378"/>
        <v>175.32871249897633</v>
      </c>
      <c r="CT170" s="149">
        <f t="shared" si="379"/>
        <v>7.4514702812064924</v>
      </c>
      <c r="CU170" s="188">
        <f t="shared" si="380"/>
        <v>5.8442904166325444</v>
      </c>
      <c r="CV170" s="188">
        <f t="shared" si="381"/>
        <v>29.22145208316272</v>
      </c>
      <c r="CW170" s="188">
        <f t="shared" si="382"/>
        <v>30</v>
      </c>
      <c r="CX170" s="188">
        <f t="shared" si="383"/>
        <v>12.444157894736843</v>
      </c>
      <c r="CY170" s="188">
        <f t="shared" si="384"/>
        <v>2.924377105263158</v>
      </c>
      <c r="CZ170" s="188">
        <f t="shared" si="385"/>
        <v>1.9051316646665526</v>
      </c>
      <c r="DA170" s="172">
        <f t="shared" si="386"/>
        <v>350</v>
      </c>
      <c r="DB170" s="379">
        <f t="shared" si="387"/>
        <v>207.06039633396381</v>
      </c>
      <c r="DD170" s="188">
        <f t="shared" si="388"/>
        <v>7.3619779020761014</v>
      </c>
      <c r="DE170" s="150">
        <f t="shared" si="389"/>
        <v>1.1270780501549733</v>
      </c>
      <c r="DF170" s="150">
        <f t="shared" si="390"/>
        <v>1.3928696857096292</v>
      </c>
      <c r="DG170" s="150"/>
      <c r="DH170" s="150">
        <f t="shared" si="391"/>
        <v>0.92784522751949461</v>
      </c>
      <c r="DI170" s="314">
        <f t="shared" si="392"/>
        <v>889.86824042553189</v>
      </c>
      <c r="DJ170" s="456">
        <f t="shared" si="393"/>
        <v>0.94395997276890675</v>
      </c>
      <c r="DL170" s="150">
        <f t="shared" si="394"/>
        <v>9.5529240896499328</v>
      </c>
      <c r="DM170" s="150">
        <f t="shared" si="395"/>
        <v>12.444157894736843</v>
      </c>
      <c r="DN170" s="150">
        <f t="shared" si="396"/>
        <v>5.9285569141709509</v>
      </c>
      <c r="DP170" s="314">
        <f t="shared" si="397"/>
        <v>2400</v>
      </c>
      <c r="DQ170" s="144">
        <f t="shared" si="398"/>
        <v>207.06039633396381</v>
      </c>
      <c r="DS170">
        <f t="shared" si="399"/>
        <v>2400</v>
      </c>
      <c r="DT170">
        <f t="shared" si="400"/>
        <v>207.06039633396381</v>
      </c>
      <c r="DV170" s="5">
        <f t="shared" si="401"/>
        <v>4.8295087699297108</v>
      </c>
      <c r="DW170" s="5">
        <f t="shared" si="402"/>
        <v>2.924377105263158</v>
      </c>
      <c r="DX170" s="5">
        <f t="shared" si="403"/>
        <v>1.9051316646665528</v>
      </c>
      <c r="DY170" s="150">
        <f t="shared" si="404"/>
        <v>0.60552268244575935</v>
      </c>
      <c r="EA170" s="5">
        <f t="shared" si="405"/>
        <v>23.395016842105264</v>
      </c>
      <c r="EB170" s="5">
        <f t="shared" si="406"/>
        <v>24.857205394736845</v>
      </c>
      <c r="EC170" s="5">
        <f t="shared" si="407"/>
        <v>4.0343964663526997</v>
      </c>
      <c r="ED170" s="5"/>
      <c r="EE170" s="150">
        <f t="shared" si="408"/>
        <v>5.5907502723659093</v>
      </c>
      <c r="EF170" s="150">
        <f t="shared" si="409"/>
        <v>4.3285241018382994</v>
      </c>
      <c r="EG170" s="150">
        <f t="shared" si="410"/>
        <v>0.8688679725959263</v>
      </c>
      <c r="EH170" s="150"/>
      <c r="EI170" s="456">
        <f t="shared" si="411"/>
        <v>0.3750778632955139</v>
      </c>
      <c r="EJ170" s="456">
        <f t="shared" si="412"/>
        <v>2.4821276595744681</v>
      </c>
      <c r="EK170" s="456">
        <f t="shared" si="413"/>
        <v>2.3811945578405842E-2</v>
      </c>
      <c r="EL170" s="456">
        <f t="shared" si="414"/>
        <v>0.27543765595426395</v>
      </c>
      <c r="EM170">
        <f t="shared" si="415"/>
        <v>8.9999999999999993E-3</v>
      </c>
      <c r="EN170" s="144">
        <f t="shared" si="416"/>
        <v>32.81194557840584</v>
      </c>
      <c r="EP170" s="144">
        <f t="shared" si="438"/>
        <v>3165.455124402652</v>
      </c>
      <c r="EQ170" s="150">
        <f t="shared" si="417"/>
        <v>1.68</v>
      </c>
      <c r="ER170" s="150">
        <f t="shared" si="473"/>
        <v>0.24429000000000001</v>
      </c>
      <c r="ES170" s="456"/>
      <c r="EU170" s="144">
        <f t="shared" ref="EU170:EU210" si="496">SUM(EQ170:ET170)*1000</f>
        <v>1924.29</v>
      </c>
      <c r="EV170" s="456">
        <f t="shared" si="420"/>
        <v>0.43759084051143288</v>
      </c>
      <c r="EW170" s="456">
        <f t="shared" si="421"/>
        <v>0.26230569260273079</v>
      </c>
      <c r="EX170" s="456">
        <f t="shared" si="422"/>
        <v>3.7746577690147766E-3</v>
      </c>
      <c r="EY170" s="456">
        <f t="shared" si="423"/>
        <v>16.851027564949874</v>
      </c>
      <c r="EZ170" s="456"/>
      <c r="FA170" s="538">
        <f t="shared" si="424"/>
        <v>3.2064765400849473</v>
      </c>
      <c r="FB170" s="144">
        <f t="shared" ref="FB170:FB192" si="497">SUM(EV170:FA170)*1000</f>
        <v>20761.175295917998</v>
      </c>
      <c r="FC170" s="150">
        <f t="shared" si="426"/>
        <v>25.850920420320652</v>
      </c>
      <c r="FD170" s="5">
        <f t="shared" si="427"/>
        <v>75.06</v>
      </c>
      <c r="FE170" s="150">
        <f t="shared" si="428"/>
        <v>0.7438243520855351</v>
      </c>
      <c r="FF170" s="5">
        <f t="shared" si="429"/>
        <v>74.382435208553517</v>
      </c>
      <c r="FG170">
        <f t="shared" si="430"/>
        <v>60</v>
      </c>
      <c r="FI170" s="59">
        <f t="shared" si="431"/>
        <v>-50</v>
      </c>
      <c r="FJ170">
        <f t="shared" si="432"/>
        <v>-50</v>
      </c>
    </row>
    <row r="171" spans="5:166">
      <c r="E171" s="147">
        <v>61</v>
      </c>
      <c r="F171" s="188">
        <f t="shared" si="474"/>
        <v>2.44</v>
      </c>
      <c r="G171" s="188">
        <f t="shared" si="443"/>
        <v>0.51849999999999996</v>
      </c>
      <c r="H171" s="188">
        <f t="shared" si="444"/>
        <v>73.2</v>
      </c>
      <c r="I171" s="188">
        <f t="shared" si="445"/>
        <v>3.1109999999999998</v>
      </c>
      <c r="J171" s="465">
        <f t="shared" si="446"/>
        <v>19.803664486196499</v>
      </c>
      <c r="K171" s="379">
        <f t="shared" si="447"/>
        <v>30.84798849233108</v>
      </c>
      <c r="L171" s="149">
        <f t="shared" si="448"/>
        <v>50.651652978527579</v>
      </c>
      <c r="M171" s="379"/>
      <c r="N171" s="188">
        <f t="shared" si="449"/>
        <v>0.60902234534000821</v>
      </c>
      <c r="O171" s="149">
        <f t="shared" si="450"/>
        <v>175.29066480212225</v>
      </c>
      <c r="P171" s="149">
        <f t="shared" si="451"/>
        <v>7.4498532540901943</v>
      </c>
      <c r="Q171" s="188">
        <f t="shared" si="321"/>
        <v>5.8430221600707419</v>
      </c>
      <c r="R171" s="188">
        <f t="shared" si="452"/>
        <v>29.21511080035371</v>
      </c>
      <c r="S171" s="188">
        <f t="shared" si="453"/>
        <v>30</v>
      </c>
      <c r="T171" s="188">
        <f t="shared" si="454"/>
        <v>12.654306609458207</v>
      </c>
      <c r="U171" s="188">
        <f t="shared" si="325"/>
        <v>3.0032442281532723</v>
      </c>
      <c r="V171" s="188">
        <f t="shared" si="326"/>
        <v>1.9280103491752576</v>
      </c>
      <c r="W171" s="172">
        <f t="shared" si="327"/>
        <v>350</v>
      </c>
      <c r="X171" s="379">
        <f t="shared" si="434"/>
        <v>194.88411360806563</v>
      </c>
      <c r="Z171" s="188">
        <f t="shared" si="328"/>
        <v>7.3318384144133857</v>
      </c>
      <c r="AA171" s="150">
        <f t="shared" si="329"/>
        <v>1.1170790133142621</v>
      </c>
      <c r="AB171" s="150">
        <f t="shared" si="455"/>
        <v>1.3748609053301575</v>
      </c>
      <c r="AC171" s="150"/>
      <c r="AD171" s="150">
        <f t="shared" si="331"/>
        <v>0.92339403238334061</v>
      </c>
      <c r="AE171" s="314">
        <f t="shared" si="456"/>
        <v>909.06045584180288</v>
      </c>
      <c r="AF171" s="456">
        <f t="shared" si="457"/>
        <v>0.93943146961461876</v>
      </c>
      <c r="AH171" s="150">
        <f t="shared" si="458"/>
        <v>9.6322028273386611</v>
      </c>
      <c r="AI171" s="150">
        <f t="shared" si="459"/>
        <v>12.654306609458207</v>
      </c>
      <c r="AJ171" s="150">
        <f t="shared" si="460"/>
        <v>6.0842226287793677</v>
      </c>
      <c r="AL171" s="314">
        <f t="shared" si="461"/>
        <v>2440</v>
      </c>
      <c r="AM171" s="144">
        <f t="shared" si="462"/>
        <v>194.88411360806563</v>
      </c>
      <c r="AO171">
        <f t="shared" si="339"/>
        <v>2440</v>
      </c>
      <c r="AP171">
        <f t="shared" si="340"/>
        <v>194.88411360806563</v>
      </c>
      <c r="AR171" s="5">
        <f t="shared" si="442"/>
        <v>5.1312545773285292</v>
      </c>
      <c r="AS171" s="5">
        <f t="shared" si="439"/>
        <v>3.0032442281532723</v>
      </c>
      <c r="AT171" s="5">
        <f t="shared" si="440"/>
        <v>2.1280103491752569</v>
      </c>
      <c r="AU171" s="150">
        <f t="shared" si="441"/>
        <v>0.58528458935218974</v>
      </c>
      <c r="AW171" s="5">
        <f t="shared" si="475"/>
        <v>24.42638638897995</v>
      </c>
      <c r="AX171" s="5">
        <f t="shared" si="476"/>
        <v>25.953035538291193</v>
      </c>
      <c r="AY171" s="5">
        <f t="shared" si="477"/>
        <v>4.6269023673758332</v>
      </c>
      <c r="AZ171" s="5"/>
      <c r="BA171" s="150">
        <f t="shared" si="478"/>
        <v>5.5893495458227633</v>
      </c>
      <c r="BB171" s="150">
        <f t="shared" si="479"/>
        <v>4.5131186260736484</v>
      </c>
      <c r="BC171" s="150">
        <f t="shared" si="480"/>
        <v>0.90592177344147584</v>
      </c>
      <c r="BD171" s="150"/>
      <c r="BE171" s="456">
        <f t="shared" si="481"/>
        <v>0.37488994014466959</v>
      </c>
      <c r="BF171" s="456">
        <f t="shared" si="463"/>
        <v>2.2796663189624033</v>
      </c>
      <c r="BG171" s="456">
        <f t="shared" si="482"/>
        <v>2.2411673064927549E-2</v>
      </c>
      <c r="BH171" s="456">
        <f t="shared" si="483"/>
        <v>0.25874623424654258</v>
      </c>
      <c r="BI171">
        <f t="shared" si="484"/>
        <v>8.9116490187884246E-3</v>
      </c>
      <c r="BJ171" s="144">
        <f t="shared" si="435"/>
        <v>31.323322083715972</v>
      </c>
      <c r="BK171">
        <f t="shared" si="464"/>
        <v>3.3092943664634604</v>
      </c>
      <c r="BL171" s="144">
        <f t="shared" si="436"/>
        <v>2944.6258154373318</v>
      </c>
      <c r="BM171" s="150">
        <f t="shared" si="465"/>
        <v>1.6362639999999999</v>
      </c>
      <c r="BN171" s="150">
        <f t="shared" si="466"/>
        <v>0.34770609999999991</v>
      </c>
      <c r="BO171" s="456"/>
      <c r="BQ171" s="144">
        <f t="shared" si="485"/>
        <v>1983.9700999999998</v>
      </c>
      <c r="BR171" s="456">
        <f t="shared" si="486"/>
        <v>0.4373715968354478</v>
      </c>
      <c r="BS171" s="456">
        <f t="shared" si="487"/>
        <v>0.28515535626218053</v>
      </c>
      <c r="BT171" s="456">
        <f t="shared" si="488"/>
        <v>4.1034712979767431E-3</v>
      </c>
      <c r="BU171" s="456">
        <f t="shared" si="489"/>
        <v>15.101044323803016</v>
      </c>
      <c r="BV171" s="456"/>
      <c r="BW171" s="538">
        <f t="shared" si="467"/>
        <v>3.1207080715442976</v>
      </c>
      <c r="BX171" s="144">
        <f t="shared" si="490"/>
        <v>18948.382819742917</v>
      </c>
      <c r="BY171" s="150">
        <f t="shared" si="491"/>
        <v>23.876978735180248</v>
      </c>
      <c r="BZ171" s="5">
        <f t="shared" si="492"/>
        <v>76.311000000000007</v>
      </c>
      <c r="CA171" s="150">
        <f t="shared" si="493"/>
        <v>0.76167820694044974</v>
      </c>
      <c r="CB171" s="5">
        <f t="shared" si="494"/>
        <v>76.167820694044977</v>
      </c>
      <c r="CC171">
        <f t="shared" si="495"/>
        <v>61</v>
      </c>
      <c r="CE171" s="59">
        <f t="shared" si="468"/>
        <v>-50</v>
      </c>
      <c r="CF171">
        <f t="shared" si="469"/>
        <v>-50</v>
      </c>
      <c r="CG171" s="150">
        <f t="shared" si="369"/>
        <v>0.39199567588303091</v>
      </c>
      <c r="CH171" s="150">
        <f t="shared" si="470"/>
        <v>8.2740061272353588E-2</v>
      </c>
      <c r="CI171" s="147">
        <v>61</v>
      </c>
      <c r="CJ171" s="188">
        <f t="shared" si="437"/>
        <v>2.44</v>
      </c>
      <c r="CK171" s="188">
        <f t="shared" si="371"/>
        <v>0.51849999999999996</v>
      </c>
      <c r="CL171" s="188">
        <f t="shared" si="372"/>
        <v>73.2</v>
      </c>
      <c r="CM171" s="188">
        <f t="shared" si="373"/>
        <v>3.1109999999999998</v>
      </c>
      <c r="CN171" s="465">
        <f t="shared" si="374"/>
        <v>20</v>
      </c>
      <c r="CO171" s="379">
        <f t="shared" si="471"/>
        <v>30.7</v>
      </c>
      <c r="CP171" s="379">
        <f t="shared" si="472"/>
        <v>50.7</v>
      </c>
      <c r="CQ171" s="379"/>
      <c r="CR171" s="188">
        <f t="shared" si="377"/>
        <v>0.60317460317460314</v>
      </c>
      <c r="CS171" s="149">
        <f t="shared" si="378"/>
        <v>175.32871249897633</v>
      </c>
      <c r="CT171" s="149">
        <f t="shared" si="379"/>
        <v>7.4514702812064924</v>
      </c>
      <c r="CU171" s="188">
        <f t="shared" si="380"/>
        <v>5.8442904166325444</v>
      </c>
      <c r="CV171" s="188">
        <f t="shared" si="381"/>
        <v>29.22145208316272</v>
      </c>
      <c r="CW171" s="188">
        <f t="shared" si="382"/>
        <v>30</v>
      </c>
      <c r="CX171" s="188">
        <f t="shared" si="383"/>
        <v>12.651560526315791</v>
      </c>
      <c r="CY171" s="188">
        <f t="shared" si="384"/>
        <v>2.9731167236842109</v>
      </c>
      <c r="CZ171" s="188">
        <f t="shared" si="385"/>
        <v>1.936883859077662</v>
      </c>
      <c r="DA171" s="172">
        <f t="shared" si="386"/>
        <v>350</v>
      </c>
      <c r="DB171" s="379">
        <f t="shared" si="387"/>
        <v>203.66596360717753</v>
      </c>
      <c r="DD171" s="188">
        <f t="shared" si="388"/>
        <v>7.3619779020761014</v>
      </c>
      <c r="DE171" s="150">
        <f t="shared" si="389"/>
        <v>1.1270780501549733</v>
      </c>
      <c r="DF171" s="150">
        <f t="shared" si="390"/>
        <v>1.3928696857096292</v>
      </c>
      <c r="DG171" s="150"/>
      <c r="DH171" s="150">
        <f t="shared" si="391"/>
        <v>0.92784522751949461</v>
      </c>
      <c r="DI171" s="314">
        <f t="shared" si="392"/>
        <v>904.69937776595748</v>
      </c>
      <c r="DJ171" s="456">
        <f t="shared" si="393"/>
        <v>0.94395997276890675</v>
      </c>
      <c r="DL171" s="150">
        <f t="shared" si="394"/>
        <v>9.6322028273386611</v>
      </c>
      <c r="DM171" s="150">
        <f t="shared" si="395"/>
        <v>12.651560526315791</v>
      </c>
      <c r="DN171" s="150">
        <f t="shared" si="396"/>
        <v>6.082188493118319</v>
      </c>
      <c r="DP171" s="314">
        <f t="shared" si="397"/>
        <v>2440</v>
      </c>
      <c r="DQ171" s="144">
        <f t="shared" si="398"/>
        <v>203.66596360717753</v>
      </c>
      <c r="DS171">
        <f t="shared" si="399"/>
        <v>2440</v>
      </c>
      <c r="DT171">
        <f t="shared" si="400"/>
        <v>203.66596360717753</v>
      </c>
      <c r="DV171" s="5">
        <f t="shared" si="401"/>
        <v>4.9100005827618727</v>
      </c>
      <c r="DW171" s="5">
        <f t="shared" si="402"/>
        <v>2.9731167236842109</v>
      </c>
      <c r="DX171" s="5">
        <f t="shared" si="403"/>
        <v>1.9368838590776618</v>
      </c>
      <c r="DY171" s="150">
        <f t="shared" si="404"/>
        <v>0.60552268244575935</v>
      </c>
      <c r="EA171" s="5">
        <f t="shared" si="405"/>
        <v>24.181349352631582</v>
      </c>
      <c r="EB171" s="5">
        <f t="shared" si="406"/>
        <v>25.692683687171055</v>
      </c>
      <c r="EC171" s="5">
        <f t="shared" si="407"/>
        <v>4.1699970142495539</v>
      </c>
      <c r="ED171" s="5"/>
      <c r="EE171" s="150">
        <f t="shared" si="408"/>
        <v>5.6839294435720076</v>
      </c>
      <c r="EF171" s="150">
        <f t="shared" si="409"/>
        <v>4.4006661702022711</v>
      </c>
      <c r="EG171" s="150">
        <f t="shared" si="410"/>
        <v>0.88334910547252499</v>
      </c>
      <c r="EH171" s="150"/>
      <c r="EI171" s="456">
        <f t="shared" si="411"/>
        <v>0.38768464703405747</v>
      </c>
      <c r="EJ171" s="456">
        <f t="shared" si="412"/>
        <v>2.4821276595744681</v>
      </c>
      <c r="EK171" s="456">
        <f t="shared" si="413"/>
        <v>2.3421585814825421E-2</v>
      </c>
      <c r="EL171" s="456">
        <f t="shared" si="414"/>
        <v>0.27092228454517769</v>
      </c>
      <c r="EM171">
        <f t="shared" si="415"/>
        <v>8.9999999999999993E-3</v>
      </c>
      <c r="EN171" s="144">
        <f t="shared" si="416"/>
        <v>32.42158581482542</v>
      </c>
      <c r="EP171" s="144">
        <f t="shared" si="438"/>
        <v>3173.1561769685286</v>
      </c>
      <c r="EQ171" s="150">
        <f t="shared" si="417"/>
        <v>1.708</v>
      </c>
      <c r="ER171" s="150">
        <f t="shared" si="473"/>
        <v>0.24836149999999999</v>
      </c>
      <c r="ES171" s="456"/>
      <c r="EU171" s="144">
        <f t="shared" si="496"/>
        <v>1956.3615</v>
      </c>
      <c r="EV171" s="456">
        <f t="shared" si="420"/>
        <v>0.45229875487306703</v>
      </c>
      <c r="EW171" s="456">
        <f t="shared" si="421"/>
        <v>0.27112207838187818</v>
      </c>
      <c r="EX171" s="456">
        <f t="shared" si="422"/>
        <v>3.90152821069555E-3</v>
      </c>
      <c r="EY171" s="456">
        <f t="shared" si="423"/>
        <v>16.851027564949892</v>
      </c>
      <c r="EZ171" s="456"/>
      <c r="FA171" s="538">
        <f t="shared" si="424"/>
        <v>3.2599178157530311</v>
      </c>
      <c r="FB171" s="144">
        <f t="shared" si="497"/>
        <v>20838.267742168566</v>
      </c>
      <c r="FC171" s="150">
        <f t="shared" si="426"/>
        <v>25.96778541913709</v>
      </c>
      <c r="FD171" s="5">
        <f t="shared" si="427"/>
        <v>76.311000000000007</v>
      </c>
      <c r="FE171" s="150">
        <f t="shared" si="428"/>
        <v>0.7461078041480308</v>
      </c>
      <c r="FF171" s="5">
        <f t="shared" si="429"/>
        <v>74.610780414803074</v>
      </c>
      <c r="FG171">
        <f t="shared" si="430"/>
        <v>61</v>
      </c>
      <c r="FI171" s="59">
        <f t="shared" si="431"/>
        <v>-50</v>
      </c>
      <c r="FJ171">
        <f t="shared" si="432"/>
        <v>-50</v>
      </c>
    </row>
    <row r="172" spans="5:166">
      <c r="E172" s="147">
        <v>62</v>
      </c>
      <c r="F172" s="188">
        <f t="shared" si="474"/>
        <v>2.48</v>
      </c>
      <c r="G172" s="188">
        <f t="shared" si="443"/>
        <v>0.52700000000000002</v>
      </c>
      <c r="H172" s="188">
        <f t="shared" si="444"/>
        <v>74.400000000000006</v>
      </c>
      <c r="I172" s="188">
        <f t="shared" si="445"/>
        <v>3.1619999999999999</v>
      </c>
      <c r="J172" s="465">
        <f t="shared" si="446"/>
        <v>19.800445871216116</v>
      </c>
      <c r="K172" s="379">
        <f t="shared" si="447"/>
        <v>30.850414533188964</v>
      </c>
      <c r="L172" s="149">
        <f t="shared" si="448"/>
        <v>50.65086040440508</v>
      </c>
      <c r="M172" s="379"/>
      <c r="N172" s="188">
        <f t="shared" si="449"/>
        <v>0.60907977252259904</v>
      </c>
      <c r="O172" s="149">
        <f t="shared" si="450"/>
        <v>175.2787016508444</v>
      </c>
      <c r="P172" s="149">
        <f t="shared" si="451"/>
        <v>7.449344820160885</v>
      </c>
      <c r="Q172" s="188">
        <f t="shared" si="321"/>
        <v>5.8426233883614795</v>
      </c>
      <c r="R172" s="188">
        <f t="shared" si="452"/>
        <v>29.213116941807399</v>
      </c>
      <c r="S172" s="188">
        <f t="shared" si="453"/>
        <v>30</v>
      </c>
      <c r="T172" s="188">
        <f t="shared" si="454"/>
        <v>12.862632101397667</v>
      </c>
      <c r="U172" s="188">
        <f t="shared" si="325"/>
        <v>3.0531823005284684</v>
      </c>
      <c r="V172" s="188">
        <f t="shared" si="326"/>
        <v>1.9595967117891415</v>
      </c>
      <c r="W172" s="172">
        <f t="shared" si="327"/>
        <v>350</v>
      </c>
      <c r="X172" s="379">
        <f t="shared" si="434"/>
        <v>191.83625425843601</v>
      </c>
      <c r="Z172" s="188">
        <f t="shared" si="328"/>
        <v>7.3313380347029469</v>
      </c>
      <c r="AA172" s="150">
        <f t="shared" si="329"/>
        <v>1.116914935649717</v>
      </c>
      <c r="AB172" s="150">
        <f t="shared" si="455"/>
        <v>1.3745651473572174</v>
      </c>
      <c r="AC172" s="150"/>
      <c r="AD172" s="150">
        <f t="shared" si="331"/>
        <v>0.92332141774640986</v>
      </c>
      <c r="AE172" s="314">
        <f t="shared" si="456"/>
        <v>924.035751366407</v>
      </c>
      <c r="AF172" s="456">
        <f t="shared" si="457"/>
        <v>0.93935759381220396</v>
      </c>
      <c r="AH172" s="150">
        <f t="shared" si="458"/>
        <v>9.7108343591767543</v>
      </c>
      <c r="AI172" s="150">
        <f t="shared" si="459"/>
        <v>12.862632101397667</v>
      </c>
      <c r="AJ172" s="150">
        <f t="shared" si="460"/>
        <v>6.238537807993783</v>
      </c>
      <c r="AL172" s="314">
        <f t="shared" si="461"/>
        <v>2480</v>
      </c>
      <c r="AM172" s="144">
        <f t="shared" si="462"/>
        <v>191.83625425843601</v>
      </c>
      <c r="AO172">
        <f t="shared" si="339"/>
        <v>2480</v>
      </c>
      <c r="AP172">
        <f t="shared" si="340"/>
        <v>191.83625425843601</v>
      </c>
      <c r="AR172" s="5">
        <f t="shared" si="442"/>
        <v>5.2127790123176103</v>
      </c>
      <c r="AS172" s="5">
        <f t="shared" si="439"/>
        <v>3.0531823005284684</v>
      </c>
      <c r="AT172" s="5">
        <f t="shared" si="440"/>
        <v>2.1595967117891419</v>
      </c>
      <c r="AU172" s="150">
        <f t="shared" si="441"/>
        <v>0.58571105610153584</v>
      </c>
      <c r="AW172" s="5">
        <f t="shared" si="475"/>
        <v>25.239640351035337</v>
      </c>
      <c r="AX172" s="5">
        <f t="shared" si="476"/>
        <v>26.817117872975047</v>
      </c>
      <c r="AY172" s="5">
        <f t="shared" si="477"/>
        <v>4.7733326577934987</v>
      </c>
      <c r="AZ172" s="5"/>
      <c r="BA172" s="150">
        <f t="shared" si="478"/>
        <v>5.6834354485148681</v>
      </c>
      <c r="BB172" s="150">
        <f t="shared" si="479"/>
        <v>4.5850579474753594</v>
      </c>
      <c r="BC172" s="150">
        <f t="shared" si="480"/>
        <v>0.92036220876438091</v>
      </c>
      <c r="BD172" s="150"/>
      <c r="BE172" s="456">
        <f t="shared" si="481"/>
        <v>0.3876172619692248</v>
      </c>
      <c r="BF172" s="456">
        <f t="shared" si="463"/>
        <v>2.2809209275272968</v>
      </c>
      <c r="BG172" s="456">
        <f t="shared" si="482"/>
        <v>2.2061169239720142E-2</v>
      </c>
      <c r="BH172" s="456">
        <f t="shared" si="483"/>
        <v>0.2546916425501517</v>
      </c>
      <c r="BI172">
        <f t="shared" si="484"/>
        <v>8.9102006420472522E-3</v>
      </c>
      <c r="BJ172" s="144">
        <f t="shared" si="435"/>
        <v>30.971369881767394</v>
      </c>
      <c r="BK172">
        <f t="shared" si="464"/>
        <v>3.3350361940922202</v>
      </c>
      <c r="BL172" s="144">
        <f t="shared" si="436"/>
        <v>2954.2012019284407</v>
      </c>
      <c r="BM172" s="150">
        <f t="shared" si="465"/>
        <v>1.6630879999999999</v>
      </c>
      <c r="BN172" s="150">
        <f t="shared" si="466"/>
        <v>0.3534062</v>
      </c>
      <c r="BO172" s="456"/>
      <c r="BQ172" s="144">
        <f t="shared" si="485"/>
        <v>2016.4941999999999</v>
      </c>
      <c r="BR172" s="456">
        <f t="shared" si="486"/>
        <v>0.45222013896409557</v>
      </c>
      <c r="BS172" s="456">
        <f t="shared" si="487"/>
        <v>0.29431858934389737</v>
      </c>
      <c r="BT172" s="456">
        <f t="shared" si="488"/>
        <v>4.2353329766082496E-3</v>
      </c>
      <c r="BU172" s="456">
        <f t="shared" si="489"/>
        <v>15.122421519012256</v>
      </c>
      <c r="BV172" s="456"/>
      <c r="BW172" s="538">
        <f t="shared" si="467"/>
        <v>3.1738791186996362</v>
      </c>
      <c r="BX172" s="144">
        <f t="shared" si="490"/>
        <v>19047.074698996497</v>
      </c>
      <c r="BY172" s="150">
        <f t="shared" si="491"/>
        <v>24.017770100924935</v>
      </c>
      <c r="BZ172" s="5">
        <f t="shared" si="492"/>
        <v>77.562000000000012</v>
      </c>
      <c r="CA172" s="150">
        <f t="shared" si="493"/>
        <v>0.76355754618205973</v>
      </c>
      <c r="CB172" s="5">
        <f t="shared" si="494"/>
        <v>76.355754618205978</v>
      </c>
      <c r="CC172">
        <f t="shared" si="495"/>
        <v>62</v>
      </c>
      <c r="CE172" s="59">
        <f t="shared" si="468"/>
        <v>-50</v>
      </c>
      <c r="CF172">
        <f t="shared" si="469"/>
        <v>-50</v>
      </c>
      <c r="CG172" s="150">
        <f t="shared" si="369"/>
        <v>0.39199567588303097</v>
      </c>
      <c r="CH172" s="150">
        <f t="shared" si="470"/>
        <v>8.2740061272353602E-2</v>
      </c>
      <c r="CI172" s="147">
        <v>62</v>
      </c>
      <c r="CJ172" s="188">
        <f t="shared" si="437"/>
        <v>2.48</v>
      </c>
      <c r="CK172" s="188">
        <f t="shared" si="371"/>
        <v>0.52700000000000002</v>
      </c>
      <c r="CL172" s="188">
        <f t="shared" si="372"/>
        <v>74.400000000000006</v>
      </c>
      <c r="CM172" s="188">
        <f t="shared" si="373"/>
        <v>3.1619999999999999</v>
      </c>
      <c r="CN172" s="465">
        <f t="shared" si="374"/>
        <v>20</v>
      </c>
      <c r="CO172" s="379">
        <f t="shared" si="471"/>
        <v>30.7</v>
      </c>
      <c r="CP172" s="379">
        <f t="shared" si="472"/>
        <v>50.7</v>
      </c>
      <c r="CQ172" s="379"/>
      <c r="CR172" s="188">
        <f t="shared" si="377"/>
        <v>0.60317460317460314</v>
      </c>
      <c r="CS172" s="149">
        <f t="shared" si="378"/>
        <v>175.32871249897633</v>
      </c>
      <c r="CT172" s="149">
        <f t="shared" si="379"/>
        <v>7.4514702812064924</v>
      </c>
      <c r="CU172" s="188">
        <f t="shared" si="380"/>
        <v>5.8442904166325444</v>
      </c>
      <c r="CV172" s="188">
        <f t="shared" si="381"/>
        <v>29.22145208316272</v>
      </c>
      <c r="CW172" s="188">
        <f t="shared" si="382"/>
        <v>30</v>
      </c>
      <c r="CX172" s="188">
        <f t="shared" si="383"/>
        <v>12.858963157894738</v>
      </c>
      <c r="CY172" s="188">
        <f t="shared" si="384"/>
        <v>3.0218563421052633</v>
      </c>
      <c r="CZ172" s="188">
        <f t="shared" si="385"/>
        <v>1.968636053488771</v>
      </c>
      <c r="DA172" s="172">
        <f t="shared" si="386"/>
        <v>350</v>
      </c>
      <c r="DB172" s="379">
        <f t="shared" si="387"/>
        <v>200.38102871028758</v>
      </c>
      <c r="DD172" s="188">
        <f t="shared" si="388"/>
        <v>7.3619779020761014</v>
      </c>
      <c r="DE172" s="150">
        <f t="shared" si="389"/>
        <v>1.1270780501549733</v>
      </c>
      <c r="DF172" s="150">
        <f t="shared" si="390"/>
        <v>1.3928696857096292</v>
      </c>
      <c r="DG172" s="150"/>
      <c r="DH172" s="150">
        <f t="shared" si="391"/>
        <v>0.92784522751949461</v>
      </c>
      <c r="DI172" s="314">
        <f t="shared" si="392"/>
        <v>919.53051510638295</v>
      </c>
      <c r="DJ172" s="456">
        <f t="shared" si="393"/>
        <v>0.94395997276890675</v>
      </c>
      <c r="DL172" s="150">
        <f t="shared" si="394"/>
        <v>9.7108343591767543</v>
      </c>
      <c r="DM172" s="150">
        <f t="shared" si="395"/>
        <v>12.858963157894738</v>
      </c>
      <c r="DN172" s="150">
        <f t="shared" si="396"/>
        <v>6.2358200720656871</v>
      </c>
      <c r="DP172" s="314">
        <f t="shared" si="397"/>
        <v>2480</v>
      </c>
      <c r="DQ172" s="144">
        <f t="shared" si="398"/>
        <v>200.38102871028758</v>
      </c>
      <c r="DS172">
        <f t="shared" si="399"/>
        <v>2480</v>
      </c>
      <c r="DT172">
        <f t="shared" si="400"/>
        <v>200.38102871028758</v>
      </c>
      <c r="DV172" s="5">
        <f t="shared" si="401"/>
        <v>4.9904923955940337</v>
      </c>
      <c r="DW172" s="5">
        <f t="shared" si="402"/>
        <v>3.0218563421052633</v>
      </c>
      <c r="DX172" s="5">
        <f t="shared" si="403"/>
        <v>1.9686360534887704</v>
      </c>
      <c r="DY172" s="150">
        <f t="shared" si="404"/>
        <v>0.60552268244575946</v>
      </c>
      <c r="EA172" s="5">
        <f t="shared" si="405"/>
        <v>24.980679094736843</v>
      </c>
      <c r="EB172" s="5">
        <f t="shared" si="406"/>
        <v>26.541971538157899</v>
      </c>
      <c r="EC172" s="5">
        <f t="shared" si="407"/>
        <v>4.3078388935166032</v>
      </c>
      <c r="ED172" s="5"/>
      <c r="EE172" s="150">
        <f t="shared" si="408"/>
        <v>5.7771086147781068</v>
      </c>
      <c r="EF172" s="150">
        <f t="shared" si="409"/>
        <v>4.472808238566242</v>
      </c>
      <c r="EG172" s="150">
        <f t="shared" si="410"/>
        <v>0.89783023834912368</v>
      </c>
      <c r="EH172" s="150"/>
      <c r="EI172" s="456">
        <f t="shared" si="411"/>
        <v>0.40049980736332103</v>
      </c>
      <c r="EJ172" s="456">
        <f t="shared" si="412"/>
        <v>2.4821276595744686</v>
      </c>
      <c r="EK172" s="456">
        <f t="shared" si="413"/>
        <v>2.3043818301683075E-2</v>
      </c>
      <c r="EL172" s="456">
        <f t="shared" si="414"/>
        <v>0.26655257027831997</v>
      </c>
      <c r="EM172">
        <f t="shared" si="415"/>
        <v>8.9999999999999993E-3</v>
      </c>
      <c r="EN172" s="144">
        <f t="shared" si="416"/>
        <v>32.043818301683075</v>
      </c>
      <c r="EP172" s="144">
        <f t="shared" si="438"/>
        <v>3181.2238555177928</v>
      </c>
      <c r="EQ172" s="150">
        <f t="shared" si="417"/>
        <v>1.736</v>
      </c>
      <c r="ER172" s="150">
        <f t="shared" si="473"/>
        <v>0.25243300000000002</v>
      </c>
      <c r="ES172" s="456"/>
      <c r="EU172" s="144">
        <f t="shared" si="496"/>
        <v>1988.4330000000002</v>
      </c>
      <c r="EV172" s="456">
        <f t="shared" si="420"/>
        <v>0.46724977525720784</v>
      </c>
      <c r="EW172" s="456">
        <f t="shared" si="421"/>
        <v>0.28008418954580472</v>
      </c>
      <c r="EX172" s="456">
        <f t="shared" si="422"/>
        <v>4.0304956844702212E-3</v>
      </c>
      <c r="EY172" s="456">
        <f t="shared" si="423"/>
        <v>16.851027564949906</v>
      </c>
      <c r="EZ172" s="456"/>
      <c r="FA172" s="538">
        <f t="shared" si="424"/>
        <v>3.3133590914211131</v>
      </c>
      <c r="FB172" s="144">
        <f t="shared" si="497"/>
        <v>20915.751116858501</v>
      </c>
      <c r="FC172" s="150">
        <f t="shared" si="426"/>
        <v>26.085407972376295</v>
      </c>
      <c r="FD172" s="5">
        <f t="shared" si="427"/>
        <v>77.562000000000012</v>
      </c>
      <c r="FE172" s="150">
        <f t="shared" si="428"/>
        <v>0.74832551548873782</v>
      </c>
      <c r="FF172" s="5">
        <f t="shared" si="429"/>
        <v>74.832551548873781</v>
      </c>
      <c r="FG172">
        <f t="shared" si="430"/>
        <v>62</v>
      </c>
      <c r="FI172" s="59">
        <f t="shared" si="431"/>
        <v>-50</v>
      </c>
      <c r="FJ172">
        <f t="shared" si="432"/>
        <v>-50</v>
      </c>
    </row>
    <row r="173" spans="5:166">
      <c r="E173" s="147">
        <v>63</v>
      </c>
      <c r="F173" s="188">
        <f t="shared" si="474"/>
        <v>2.52</v>
      </c>
      <c r="G173" s="188">
        <f t="shared" si="443"/>
        <v>0.53549999999999998</v>
      </c>
      <c r="H173" s="188">
        <f t="shared" si="444"/>
        <v>75.599999999999994</v>
      </c>
      <c r="I173" s="188">
        <f t="shared" si="445"/>
        <v>3.2130000000000001</v>
      </c>
      <c r="J173" s="465">
        <f t="shared" si="446"/>
        <v>19.797227256235729</v>
      </c>
      <c r="K173" s="379">
        <f t="shared" si="447"/>
        <v>30.852840574046851</v>
      </c>
      <c r="L173" s="149">
        <f t="shared" si="448"/>
        <v>50.65006783028258</v>
      </c>
      <c r="M173" s="379"/>
      <c r="N173" s="188">
        <f t="shared" si="449"/>
        <v>0.60913720150243522</v>
      </c>
      <c r="O173" s="149">
        <f t="shared" si="450"/>
        <v>175.26673364393818</v>
      </c>
      <c r="P173" s="149">
        <f t="shared" si="451"/>
        <v>7.4488361798673726</v>
      </c>
      <c r="Q173" s="188">
        <f t="shared" si="321"/>
        <v>5.8422244547979396</v>
      </c>
      <c r="R173" s="188">
        <f t="shared" si="452"/>
        <v>29.211122273989698</v>
      </c>
      <c r="S173" s="188">
        <f t="shared" si="453"/>
        <v>30</v>
      </c>
      <c r="T173" s="188">
        <f t="shared" si="454"/>
        <v>13.070986394732326</v>
      </c>
      <c r="U173" s="188">
        <f t="shared" si="325"/>
        <v>3.1031434483276725</v>
      </c>
      <c r="V173" s="188">
        <f t="shared" si="326"/>
        <v>1.9911824944546397</v>
      </c>
      <c r="W173" s="172">
        <f t="shared" si="327"/>
        <v>350</v>
      </c>
      <c r="X173" s="379">
        <f t="shared" si="434"/>
        <v>188.88145739558919</v>
      </c>
      <c r="Z173" s="188">
        <f t="shared" si="328"/>
        <v>7.3308374518973647</v>
      </c>
      <c r="AA173" s="150">
        <f t="shared" si="329"/>
        <v>1.116750852850185</v>
      </c>
      <c r="AB173" s="150">
        <f t="shared" si="455"/>
        <v>1.3742693725560484</v>
      </c>
      <c r="AC173" s="150"/>
      <c r="AD173" s="150">
        <f t="shared" si="331"/>
        <v>0.92324881452924301</v>
      </c>
      <c r="AE173" s="314">
        <f t="shared" si="456"/>
        <v>939.01339092652631</v>
      </c>
      <c r="AF173" s="456">
        <f t="shared" si="457"/>
        <v>0.93928372962789064</v>
      </c>
      <c r="AH173" s="150">
        <f t="shared" si="458"/>
        <v>9.7888342817592253</v>
      </c>
      <c r="AI173" s="150">
        <f t="shared" si="459"/>
        <v>13.070986394732326</v>
      </c>
      <c r="AJ173" s="150">
        <f t="shared" si="460"/>
        <v>6.3928743215750119</v>
      </c>
      <c r="AL173" s="314">
        <f t="shared" si="461"/>
        <v>2520</v>
      </c>
      <c r="AM173" s="144">
        <f t="shared" si="462"/>
        <v>188.88145739558919</v>
      </c>
      <c r="AO173">
        <f t="shared" si="339"/>
        <v>2520</v>
      </c>
      <c r="AP173">
        <f t="shared" si="340"/>
        <v>188.88145739558919</v>
      </c>
      <c r="AR173" s="5">
        <f t="shared" si="442"/>
        <v>5.2943259427823133</v>
      </c>
      <c r="AS173" s="5">
        <f t="shared" si="439"/>
        <v>3.1031434483276725</v>
      </c>
      <c r="AT173" s="5">
        <f t="shared" si="440"/>
        <v>2.1911824944546408</v>
      </c>
      <c r="AU173" s="150">
        <f t="shared" si="441"/>
        <v>0.58612625702770493</v>
      </c>
      <c r="AW173" s="5">
        <f t="shared" si="475"/>
        <v>26.066404965952447</v>
      </c>
      <c r="AX173" s="5">
        <f t="shared" si="476"/>
        <v>27.695555276324477</v>
      </c>
      <c r="AY173" s="5">
        <f t="shared" si="477"/>
        <v>4.9220617209707642</v>
      </c>
      <c r="AZ173" s="5"/>
      <c r="BA173" s="150">
        <f t="shared" si="478"/>
        <v>5.7775448275728083</v>
      </c>
      <c r="BB173" s="150">
        <f t="shared" si="479"/>
        <v>4.6569932554389384</v>
      </c>
      <c r="BC173" s="150">
        <f t="shared" si="480"/>
        <v>0.93480183846676213</v>
      </c>
      <c r="BD173" s="150"/>
      <c r="BE173" s="456">
        <f t="shared" si="481"/>
        <v>0.40056029081535971</v>
      </c>
      <c r="BF173" s="456">
        <f t="shared" si="463"/>
        <v>2.2821310913774129</v>
      </c>
      <c r="BG173" s="456">
        <f t="shared" si="482"/>
        <v>2.1721367600492762E-2</v>
      </c>
      <c r="BH173" s="456">
        <f t="shared" si="483"/>
        <v>0.25076085491340788</v>
      </c>
      <c r="BI173">
        <f t="shared" si="484"/>
        <v>8.9087522653060781E-3</v>
      </c>
      <c r="BJ173" s="144">
        <f t="shared" si="435"/>
        <v>30.630119865798839</v>
      </c>
      <c r="BK173">
        <f t="shared" si="464"/>
        <v>3.3615309182265927</v>
      </c>
      <c r="BL173" s="144">
        <f t="shared" si="436"/>
        <v>2964.0823569719792</v>
      </c>
      <c r="BM173" s="150">
        <f t="shared" si="465"/>
        <v>1.6899119999999996</v>
      </c>
      <c r="BN173" s="150">
        <f t="shared" si="466"/>
        <v>0.35910629999999993</v>
      </c>
      <c r="BO173" s="456"/>
      <c r="BQ173" s="144">
        <f t="shared" si="485"/>
        <v>2049.0182999999997</v>
      </c>
      <c r="BR173" s="456">
        <f t="shared" si="486"/>
        <v>0.46732033928458633</v>
      </c>
      <c r="BS173" s="456">
        <f t="shared" si="487"/>
        <v>0.30362620653685268</v>
      </c>
      <c r="BT173" s="456">
        <f t="shared" si="488"/>
        <v>4.3692723860041926E-3</v>
      </c>
      <c r="BU173" s="456">
        <f t="shared" si="489"/>
        <v>15.143080237888535</v>
      </c>
      <c r="BV173" s="456"/>
      <c r="BW173" s="538">
        <f t="shared" si="467"/>
        <v>3.2270526442406928</v>
      </c>
      <c r="BX173" s="144">
        <f t="shared" si="490"/>
        <v>19145.448700336674</v>
      </c>
      <c r="BY173" s="150">
        <f t="shared" si="491"/>
        <v>24.158549357308651</v>
      </c>
      <c r="BZ173" s="5">
        <f t="shared" si="492"/>
        <v>78.812999999999988</v>
      </c>
      <c r="CA173" s="150">
        <f t="shared" si="493"/>
        <v>0.76538617212139726</v>
      </c>
      <c r="CB173" s="5">
        <f t="shared" si="494"/>
        <v>76.538617212139727</v>
      </c>
      <c r="CC173">
        <f t="shared" si="495"/>
        <v>63</v>
      </c>
      <c r="CE173" s="59">
        <f t="shared" si="468"/>
        <v>-50</v>
      </c>
      <c r="CF173">
        <f t="shared" si="469"/>
        <v>-50</v>
      </c>
      <c r="CG173" s="150">
        <f t="shared" si="369"/>
        <v>0.39199567588303091</v>
      </c>
      <c r="CH173" s="150">
        <f t="shared" si="470"/>
        <v>8.2740061272353602E-2</v>
      </c>
      <c r="CI173" s="147">
        <v>63</v>
      </c>
      <c r="CJ173" s="188">
        <f t="shared" si="437"/>
        <v>2.52</v>
      </c>
      <c r="CK173" s="188">
        <f t="shared" si="371"/>
        <v>0.53549999999999998</v>
      </c>
      <c r="CL173" s="188">
        <f t="shared" si="372"/>
        <v>75.599999999999994</v>
      </c>
      <c r="CM173" s="188">
        <f t="shared" si="373"/>
        <v>3.2130000000000001</v>
      </c>
      <c r="CN173" s="465">
        <f t="shared" si="374"/>
        <v>20</v>
      </c>
      <c r="CO173" s="379">
        <f t="shared" si="471"/>
        <v>30.7</v>
      </c>
      <c r="CP173" s="379">
        <f t="shared" si="472"/>
        <v>50.7</v>
      </c>
      <c r="CQ173" s="379"/>
      <c r="CR173" s="188">
        <f t="shared" si="377"/>
        <v>0.60317460317460314</v>
      </c>
      <c r="CS173" s="149">
        <f t="shared" si="378"/>
        <v>175.32871249897633</v>
      </c>
      <c r="CT173" s="149">
        <f t="shared" si="379"/>
        <v>7.4514702812064924</v>
      </c>
      <c r="CU173" s="188">
        <f t="shared" si="380"/>
        <v>5.8442904166325444</v>
      </c>
      <c r="CV173" s="188">
        <f t="shared" si="381"/>
        <v>29.22145208316272</v>
      </c>
      <c r="CW173" s="188">
        <f t="shared" si="382"/>
        <v>30</v>
      </c>
      <c r="CX173" s="188">
        <f t="shared" si="383"/>
        <v>13.066365789473682</v>
      </c>
      <c r="CY173" s="188">
        <f t="shared" si="384"/>
        <v>3.0705959605263153</v>
      </c>
      <c r="CZ173" s="188">
        <f t="shared" si="385"/>
        <v>2.0003882478998798</v>
      </c>
      <c r="DA173" s="172">
        <f t="shared" si="386"/>
        <v>350</v>
      </c>
      <c r="DB173" s="379">
        <f t="shared" si="387"/>
        <v>197.20037746091799</v>
      </c>
      <c r="DD173" s="188">
        <f t="shared" si="388"/>
        <v>7.3619779020761014</v>
      </c>
      <c r="DE173" s="150">
        <f t="shared" si="389"/>
        <v>1.1270780501549733</v>
      </c>
      <c r="DF173" s="150">
        <f t="shared" si="390"/>
        <v>1.3928696857096292</v>
      </c>
      <c r="DG173" s="150"/>
      <c r="DH173" s="150">
        <f t="shared" si="391"/>
        <v>0.92784522751949461</v>
      </c>
      <c r="DI173" s="314">
        <f t="shared" si="392"/>
        <v>934.36165244680865</v>
      </c>
      <c r="DJ173" s="456">
        <f t="shared" si="393"/>
        <v>0.94395997276890675</v>
      </c>
      <c r="DL173" s="150">
        <f t="shared" si="394"/>
        <v>9.7888342817592253</v>
      </c>
      <c r="DM173" s="150">
        <f t="shared" si="395"/>
        <v>13.066365789473682</v>
      </c>
      <c r="DN173" s="150">
        <f t="shared" si="396"/>
        <v>6.3894516510130535</v>
      </c>
      <c r="DP173" s="314">
        <f t="shared" si="397"/>
        <v>2520</v>
      </c>
      <c r="DQ173" s="144">
        <f t="shared" si="398"/>
        <v>197.20037746091799</v>
      </c>
      <c r="DS173">
        <f t="shared" si="399"/>
        <v>2520</v>
      </c>
      <c r="DT173">
        <f t="shared" si="400"/>
        <v>197.20037746091799</v>
      </c>
      <c r="DV173" s="5">
        <f t="shared" si="401"/>
        <v>5.0709842084261947</v>
      </c>
      <c r="DW173" s="5">
        <f t="shared" si="402"/>
        <v>3.0705959605263153</v>
      </c>
      <c r="DX173" s="5">
        <f t="shared" si="403"/>
        <v>2.0003882478998793</v>
      </c>
      <c r="DY173" s="150">
        <f t="shared" si="404"/>
        <v>0.60552268244575946</v>
      </c>
      <c r="EA173" s="5">
        <f t="shared" si="405"/>
        <v>25.793006068421047</v>
      </c>
      <c r="EB173" s="5">
        <f t="shared" si="406"/>
        <v>27.405068947697362</v>
      </c>
      <c r="EC173" s="5">
        <f t="shared" si="407"/>
        <v>4.4479221041538493</v>
      </c>
      <c r="ED173" s="5"/>
      <c r="EE173" s="150">
        <f t="shared" si="408"/>
        <v>5.8702877859842042</v>
      </c>
      <c r="EF173" s="150">
        <f t="shared" si="409"/>
        <v>4.5449503069302128</v>
      </c>
      <c r="EG173" s="150">
        <f t="shared" si="410"/>
        <v>0.91231137122572226</v>
      </c>
      <c r="EH173" s="150"/>
      <c r="EI173" s="456">
        <f t="shared" si="411"/>
        <v>0.41352334428330401</v>
      </c>
      <c r="EJ173" s="456">
        <f t="shared" si="412"/>
        <v>2.4821276595744686</v>
      </c>
      <c r="EK173" s="456">
        <f t="shared" si="413"/>
        <v>2.2678043408005572E-2</v>
      </c>
      <c r="EL173" s="456">
        <f t="shared" si="414"/>
        <v>0.2623215770992991</v>
      </c>
      <c r="EM173">
        <f t="shared" si="415"/>
        <v>8.9999999999999993E-3</v>
      </c>
      <c r="EN173" s="144">
        <f t="shared" si="416"/>
        <v>31.678043408005571</v>
      </c>
      <c r="EP173" s="144">
        <f t="shared" si="438"/>
        <v>3189.6506243650774</v>
      </c>
      <c r="EQ173" s="150">
        <f t="shared" si="417"/>
        <v>1.7639999999999998</v>
      </c>
      <c r="ER173" s="150">
        <f t="shared" si="473"/>
        <v>0.25650449999999997</v>
      </c>
      <c r="ES173" s="456"/>
      <c r="EU173" s="144">
        <f t="shared" si="496"/>
        <v>2020.5045</v>
      </c>
      <c r="EV173" s="456">
        <f t="shared" si="420"/>
        <v>0.48244390166385465</v>
      </c>
      <c r="EW173" s="456">
        <f t="shared" si="421"/>
        <v>0.2891920260945105</v>
      </c>
      <c r="EX173" s="456">
        <f t="shared" si="422"/>
        <v>4.161560190338788E-3</v>
      </c>
      <c r="EY173" s="456">
        <f t="shared" si="423"/>
        <v>16.851027564949906</v>
      </c>
      <c r="EZ173" s="456"/>
      <c r="FA173" s="538">
        <f t="shared" si="424"/>
        <v>3.3668003670891951</v>
      </c>
      <c r="FB173" s="144">
        <f t="shared" si="497"/>
        <v>20993.625419987806</v>
      </c>
      <c r="FC173" s="150">
        <f t="shared" si="426"/>
        <v>26.203780544352881</v>
      </c>
      <c r="FD173" s="5">
        <f t="shared" si="427"/>
        <v>78.812999999999988</v>
      </c>
      <c r="FE173" s="150">
        <f t="shared" si="428"/>
        <v>0.75048006224789998</v>
      </c>
      <c r="FF173" s="5">
        <f t="shared" si="429"/>
        <v>75.048006224790001</v>
      </c>
      <c r="FG173">
        <f t="shared" si="430"/>
        <v>63</v>
      </c>
      <c r="FI173" s="59">
        <f t="shared" si="431"/>
        <v>-50</v>
      </c>
      <c r="FJ173">
        <f t="shared" si="432"/>
        <v>-50</v>
      </c>
    </row>
    <row r="174" spans="5:166">
      <c r="E174" s="147">
        <v>64</v>
      </c>
      <c r="F174" s="188">
        <f t="shared" si="474"/>
        <v>2.56</v>
      </c>
      <c r="G174" s="188">
        <f t="shared" ref="G174:G210" si="498">IF(PLOT_TYPE=1, E174/100*Iout2, min_I*EXP(Q174*rr/100))</f>
        <v>0.54400000000000004</v>
      </c>
      <c r="H174" s="188">
        <f t="shared" ref="H174:H210" si="499">F174*Vout</f>
        <v>76.8</v>
      </c>
      <c r="I174" s="188">
        <f t="shared" ref="I174:I210" si="500">Vout2*G174</f>
        <v>3.2640000000000002</v>
      </c>
      <c r="J174" s="465">
        <f t="shared" ref="J174:J210" si="501">VIN_min-(F174/CG174/Nps+G174/CH174/(Nps/Nsec1sec2))*(Rdcr_pri+RON/1000)</f>
        <v>19.794008641255346</v>
      </c>
      <c r="K174" s="379">
        <f t="shared" ref="K174:K210" si="502">MAX((S174+Vfwd2+Rdcr_sec*F174/CG174)*Nps,(Vout2+Vfwd22+Rdcr_sec2*G174/CH174)*Nps/Nsec1sec2)</f>
        <v>30.855266614904743</v>
      </c>
      <c r="L174" s="149">
        <f t="shared" ref="L174:L210" si="503">MAX((Vout+Vfwd2+F174/CG174*Rdcr_sec)*Nps+J174, (Vout2+Vfwd22+G174/CH174*Rdcr_sec2)*Nps/Nsec1sec2+J174)</f>
        <v>50.649275256160088</v>
      </c>
      <c r="M174" s="379"/>
      <c r="N174" s="188">
        <f t="shared" ref="N174:N210" si="504">MAX((Vout+Vfwd2+F174/CG174*Rdcr_sec)*Nps/((Vout+Vfwd2+F174/CG174*Rdcr_sec)*Nps+J174), (Vout2+Vfwd22+G174/CH174*Rdcr_sec2)*Nps/Nsec1sec2/((Vout2+Vfwd22+G174/CH174*Rdcr_sec2)*Nps/Nsec1sec2+J174))</f>
        <v>0.60919463227960102</v>
      </c>
      <c r="O174" s="149">
        <f t="shared" ref="O174:O205" si="505">N174*J174*Isw_max*0.5*Efficiency*Pout/(Pout+Pout2)</f>
        <v>175.25476078117575</v>
      </c>
      <c r="P174" s="149">
        <f t="shared" ref="P174:P210" si="506">N174*J174*Isw_max*0.5*Efficiency*(Pout2/Pout_total)</f>
        <v>7.448327333199968</v>
      </c>
      <c r="Q174" s="188">
        <f t="shared" ref="Q174:Q210" si="507">O174/Vout</f>
        <v>5.8418253593725247</v>
      </c>
      <c r="R174" s="188">
        <f t="shared" ref="R174:R210" si="508">O174/Vout2</f>
        <v>29.209126796862623</v>
      </c>
      <c r="S174" s="188">
        <f t="shared" ref="S174:S210" si="509">MIN(Vout,O174/F174)</f>
        <v>30</v>
      </c>
      <c r="T174" s="188">
        <f t="shared" ref="T174:T210" si="510">MIN(2*(Vout*F174+Vout2*G174)/(Efficiency*J174*N174), Isw_max)</f>
        <v>13.279369512698008</v>
      </c>
      <c r="U174" s="188">
        <f t="shared" ref="U174:U210" si="511">L*T174/J174*1000000</f>
        <v>3.1531276883247017</v>
      </c>
      <c r="V174" s="188">
        <f t="shared" ref="V174:V210" si="512">L*T174/K174*1000000</f>
        <v>2.0227677008479263</v>
      </c>
      <c r="W174" s="172">
        <f t="shared" ref="W174:W210" si="513">IF(1/((350000*L)*(1/J174+1/K174))&gt;Isw_min, 350, 0.001/((Isw_min*L)*(1/J174+1/K174)))</f>
        <v>350</v>
      </c>
      <c r="X174" s="379">
        <f t="shared" si="434"/>
        <v>186.01552441181411</v>
      </c>
      <c r="Z174" s="188">
        <f t="shared" ref="Z174:Z210" si="514">1/((W174*1000*L)*(1/J174+1/K174))</f>
        <v>7.3303366659871099</v>
      </c>
      <c r="AA174" s="150">
        <f t="shared" ref="AA174:AA210" si="515">L*Z174/K174*1000000</f>
        <v>1.1165867649154253</v>
      </c>
      <c r="AB174" s="150">
        <f t="shared" ref="AB174:AB205" si="516">0.5*AA174*Z174*Nps*W174/1000*(Pout/(Pout+Pout2))</f>
        <v>1.3739735809426452</v>
      </c>
      <c r="AC174" s="150"/>
      <c r="AD174" s="150">
        <f t="shared" ref="AD174:AD210" si="517">L*Isw_min/K174*1000000</f>
        <v>0.92317622272914601</v>
      </c>
      <c r="AE174" s="314">
        <f t="shared" ref="AE174:AE205" si="518">MAX(10, F174/(0.5*AD174/1000000*Isw_min*Nps)/1000*Pout_total/Pout)</f>
        <v>953.99337452216082</v>
      </c>
      <c r="AF174" s="456">
        <f t="shared" ref="AF174:AF210" si="519">0.5*AD174/1000000*Isw_min*Nps*W174*1000*(Pout/Pout_total)</f>
        <v>0.93920987705893788</v>
      </c>
      <c r="AH174" s="150">
        <f t="shared" ref="AH174:AH210" si="520">SQRT((H174+I174)/(0.5*L*Fsw_DCM))</f>
        <v>9.8662175751460897</v>
      </c>
      <c r="AI174" s="150">
        <f t="shared" ref="AI174:AI205" si="521">MAX(IF(F174&gt;AB174,T174,AH174),Isw_min)</f>
        <v>13.279369512698008</v>
      </c>
      <c r="AJ174" s="150">
        <f t="shared" ref="AJ174:AJ205" si="522">IF(F174&gt;AF174, (AI174-Isw_min)/1.08*0.8+1.2, AE174*0.2/350+1)</f>
        <v>6.5472321867347754</v>
      </c>
      <c r="AL174" s="314">
        <f t="shared" ref="AL174:AL210" si="523">F174*1000</f>
        <v>2560</v>
      </c>
      <c r="AM174" s="144">
        <f t="shared" ref="AM174:AM210" si="524">IF(F174&gt;AF174, X174, AE174)</f>
        <v>186.01552441181411</v>
      </c>
      <c r="AO174">
        <f t="shared" ref="AO174:AO210" si="525">IF(H174&gt;O174, "",AL174)</f>
        <v>2560</v>
      </c>
      <c r="AP174">
        <f t="shared" ref="AP174:AP210" si="526">IF(H174&gt;O174, "",AM174)</f>
        <v>186.01552441181411</v>
      </c>
      <c r="AR174" s="5">
        <f t="shared" si="442"/>
        <v>5.3758953891726282</v>
      </c>
      <c r="AS174" s="5">
        <f t="shared" si="439"/>
        <v>3.1531276883247017</v>
      </c>
      <c r="AT174" s="5">
        <f t="shared" si="440"/>
        <v>2.2227677008479265</v>
      </c>
      <c r="AU174" s="150">
        <f t="shared" si="441"/>
        <v>0.58653070048113054</v>
      </c>
      <c r="AW174" s="5">
        <f t="shared" si="475"/>
        <v>26.906689607037453</v>
      </c>
      <c r="AX174" s="5">
        <f t="shared" si="476"/>
        <v>28.588357707477297</v>
      </c>
      <c r="AY174" s="5">
        <f t="shared" si="477"/>
        <v>5.0730906246319218</v>
      </c>
      <c r="AZ174" s="5"/>
      <c r="BA174" s="150">
        <f t="shared" si="478"/>
        <v>5.8716776202565768</v>
      </c>
      <c r="BB174" s="150">
        <f t="shared" si="479"/>
        <v>4.7289247027841759</v>
      </c>
      <c r="BC174" s="150">
        <f t="shared" si="480"/>
        <v>0.9492406932242542</v>
      </c>
      <c r="BD174" s="150"/>
      <c r="BE174" s="456">
        <f t="shared" si="481"/>
        <v>0.41371917691466331</v>
      </c>
      <c r="BF174" s="456">
        <f t="shared" ref="BF174:BF210" si="527">0.5*L174*AI174*AM174*1000*Tfall</f>
        <v>2.2832988129429719</v>
      </c>
      <c r="BG174" s="456">
        <f t="shared" si="482"/>
        <v>2.1391785307358625E-2</v>
      </c>
      <c r="BH174" s="456">
        <f t="shared" si="483"/>
        <v>0.24694828579263015</v>
      </c>
      <c r="BI174">
        <f t="shared" si="484"/>
        <v>8.9073038885649058E-3</v>
      </c>
      <c r="BJ174" s="144">
        <f t="shared" si="435"/>
        <v>30.299089195923528</v>
      </c>
      <c r="BK174">
        <f t="shared" ref="BK174:BK210" si="528">(BF174+BG174*0+BH174+BI174*0+BE174*(1+RdsonTC*(Ta-25)))/(1-BE174*RdsonTC*ThetaJA)</f>
        <v>3.3887871319996212</v>
      </c>
      <c r="BL174" s="144">
        <f t="shared" si="436"/>
        <v>2974.2653648461887</v>
      </c>
      <c r="BM174" s="150">
        <f t="shared" ref="BM174:BM210" si="529">Vfwd2*F174*(1+Diode_TC/1000*(Ta-25))</f>
        <v>1.7167359999999998</v>
      </c>
      <c r="BN174" s="150">
        <f t="shared" ref="BN174:BN210" si="530">Vfwd2*G174*(1+Diode_TC/1000*(Ta-25))</f>
        <v>0.36480640000000003</v>
      </c>
      <c r="BO174" s="456"/>
      <c r="BQ174" s="144">
        <f t="shared" si="485"/>
        <v>2081.5423999999998</v>
      </c>
      <c r="BR174" s="456">
        <f t="shared" si="486"/>
        <v>0.4826723730671072</v>
      </c>
      <c r="BS174" s="456">
        <f t="shared" si="487"/>
        <v>0.31307820382443369</v>
      </c>
      <c r="BT174" s="456">
        <f t="shared" si="488"/>
        <v>4.5052894683643135E-3</v>
      </c>
      <c r="BU174" s="456">
        <f t="shared" si="489"/>
        <v>15.163051885707516</v>
      </c>
      <c r="BV174" s="456"/>
      <c r="BW174" s="538">
        <f t="shared" ref="BW174:BW210" si="531">0.5*Lleak*0.000000001*AI174^2*AM174*1000</f>
        <v>3.2802285366254682</v>
      </c>
      <c r="BX174" s="144">
        <f t="shared" si="490"/>
        <v>19243.536288692889</v>
      </c>
      <c r="BY174" s="150">
        <f t="shared" si="491"/>
        <v>24.299344053539077</v>
      </c>
      <c r="BZ174" s="5">
        <f t="shared" si="492"/>
        <v>80.063999999999993</v>
      </c>
      <c r="CA174" s="150">
        <f t="shared" si="493"/>
        <v>0.76716591180641591</v>
      </c>
      <c r="CB174" s="5">
        <f t="shared" si="494"/>
        <v>76.716591180641586</v>
      </c>
      <c r="CC174">
        <f t="shared" si="495"/>
        <v>64</v>
      </c>
      <c r="CE174" s="59">
        <f t="shared" ref="CE174:CE210" si="532">IF(ABS(F174-Ioutmax_Vinmin)&lt;Iout/200, AM174, -50)</f>
        <v>-50</v>
      </c>
      <c r="CF174">
        <f t="shared" ref="CF174:CF210" si="533">IF(ABS(F174-Ioutmax_Vinmin)&lt;Iout/200, (O174+P174)*CA174, -50)</f>
        <v>-50</v>
      </c>
      <c r="CG174" s="150">
        <f t="shared" ref="CG174:CG210" si="534">MIN(SQRT(2*DT174*1000*Ls1_*(CL174+CJ174*Vfwd1))/(CW174+Vfwd1), 1-DY174)</f>
        <v>0.39199567588303091</v>
      </c>
      <c r="CH174" s="150">
        <f t="shared" ref="CH174:CH210" si="535">MIN(SQRT(2*DT174*1000*Ls2_*(CM174+CK174*Vfwd22))/(Vout2+Vfwd22), 1-DY174)</f>
        <v>8.2740061272353602E-2</v>
      </c>
      <c r="CI174" s="147">
        <v>64</v>
      </c>
      <c r="CJ174" s="188">
        <f t="shared" si="437"/>
        <v>2.56</v>
      </c>
      <c r="CK174" s="188">
        <f t="shared" ref="CK174:CK210" si="536">IF(PLOT_TYPE=1, CI174/100*Iout2, min_I*EXP(CU174*rr/100))</f>
        <v>0.54400000000000004</v>
      </c>
      <c r="CL174" s="188">
        <f t="shared" ref="CL174:CL210" si="537">CJ174*Vout</f>
        <v>76.8</v>
      </c>
      <c r="CM174" s="188">
        <f t="shared" ref="CM174:CM210" si="538">Vout2*CK174</f>
        <v>3.2640000000000002</v>
      </c>
      <c r="CN174" s="465">
        <f t="shared" ref="CN174:CN212" si="539">VIN_min</f>
        <v>20</v>
      </c>
      <c r="CO174" s="379">
        <f t="shared" ref="CO174:CO210" si="540">(CW174+Vfwd2)*Nps</f>
        <v>30.7</v>
      </c>
      <c r="CP174" s="379">
        <f t="shared" ref="CP174:CP210" si="541">(Vout+Vfwd2)*Nps+CN174</f>
        <v>50.7</v>
      </c>
      <c r="CQ174" s="379"/>
      <c r="CR174" s="188">
        <f t="shared" ref="CR174:CR210" si="542">(Vout+Vfwd1)*Nps/((Vout+Vfwd1)*Nps+CN174)</f>
        <v>0.60317460317460314</v>
      </c>
      <c r="CS174" s="149">
        <f t="shared" ref="CS174:CS210" si="543">CR174*CN174*Isw_max*0.5*Efficiency*Pout/(Pout+Pout2)</f>
        <v>175.32871249897633</v>
      </c>
      <c r="CT174" s="149">
        <f t="shared" ref="CT174:CT210" si="544">CR174*CN174*Isw_max*0.5*Efficiency*(Pout2/Pout_total)</f>
        <v>7.4514702812064924</v>
      </c>
      <c r="CU174" s="188">
        <f t="shared" ref="CU174:CU210" si="545">CS174/Vout</f>
        <v>5.8442904166325444</v>
      </c>
      <c r="CV174" s="188">
        <f t="shared" ref="CV174:CV210" si="546">CS174/Vout2</f>
        <v>29.22145208316272</v>
      </c>
      <c r="CW174" s="188">
        <f t="shared" ref="CW174:CW210" si="547">MIN(Vout,CS174/CJ174)</f>
        <v>30</v>
      </c>
      <c r="CX174" s="188">
        <f t="shared" ref="CX174:CX210" si="548">MIN(2*(Vout*CJ174+Vout2*CK174)/(Efficiency*CN174*CR174), Isw_max)</f>
        <v>13.273768421052631</v>
      </c>
      <c r="CY174" s="188">
        <f t="shared" ref="CY174:CY210" si="549">L*CX174/CN174*1000000</f>
        <v>3.1193355789473687</v>
      </c>
      <c r="CZ174" s="188">
        <f t="shared" ref="CZ174:CZ210" si="550">L*CX174/CO174*1000000</f>
        <v>2.0321404423109892</v>
      </c>
      <c r="DA174" s="172">
        <f t="shared" ref="DA174:DA210" si="551">IF(1/((350000*L)*(1/CN174+1/CO174))&gt;Isw_min, 350, 0.001/((Isw_min*L)*(1/CN174+1/CO174)))</f>
        <v>350</v>
      </c>
      <c r="DB174" s="379">
        <f t="shared" ref="DB174:DB210" si="552">MIN(1/(CY174+CZ174)*1000, 350)</f>
        <v>194.11912156309111</v>
      </c>
      <c r="DD174" s="188">
        <f t="shared" ref="DD174:DD210" si="553">1/((DA174*1000*L)*(1/CN174+1/CO174))</f>
        <v>7.3619779020761014</v>
      </c>
      <c r="DE174" s="150">
        <f t="shared" ref="DE174:DE210" si="554">L*DD174/CO174*1000000</f>
        <v>1.1270780501549733</v>
      </c>
      <c r="DF174" s="150">
        <f t="shared" ref="DF174:DF210" si="555">0.5*DE174*DD174*Nps*DA174/1000*(Pout/(Pout+Pout2))</f>
        <v>1.3928696857096292</v>
      </c>
      <c r="DG174" s="150"/>
      <c r="DH174" s="150">
        <f t="shared" ref="DH174:DH210" si="556">L*Isw_min/CO174*1000000</f>
        <v>0.92784522751949461</v>
      </c>
      <c r="DI174" s="314">
        <f t="shared" ref="DI174:DI210" si="557">MAX(10, CJ174/(0.5*DH174/1000000*Isw_min*Nps)/1000*Pout_total/Pout)</f>
        <v>949.19278978723412</v>
      </c>
      <c r="DJ174" s="456">
        <f t="shared" ref="DJ174:DJ210" si="558">0.5*DH174/1000000*Isw_min*Nps*DA174*1000*(Pout/Pout_total)</f>
        <v>0.94395997276890675</v>
      </c>
      <c r="DL174" s="150">
        <f t="shared" ref="DL174:DL210" si="559">SQRT((CL174+CM174)/(0.5*L*Fsw_DCM))</f>
        <v>9.8662175751460897</v>
      </c>
      <c r="DM174" s="150">
        <f t="shared" ref="DM174:DM210" si="560">MAX(IF(CJ174&gt;DF174,CX174,DL174),Isw_min)</f>
        <v>13.273768421052631</v>
      </c>
      <c r="DN174" s="150">
        <f t="shared" ref="DN174:DN210" si="561">IF(CJ174&gt;DJ174, (DM174-Isw_min)/1.08*0.8+1.2, DI174*0.2/350+1)</f>
        <v>6.5430832299604234</v>
      </c>
      <c r="DP174" s="314">
        <f t="shared" ref="DP174:DP210" si="562">CJ174*1000</f>
        <v>2560</v>
      </c>
      <c r="DQ174" s="144">
        <f t="shared" ref="DQ174:DQ210" si="563">IF(CJ174&gt;DJ174, DB174, DI174)</f>
        <v>194.11912156309111</v>
      </c>
      <c r="DS174">
        <f t="shared" ref="DS174:DS192" si="564">IF(CL174&gt;CS174, "",DP174)</f>
        <v>2560</v>
      </c>
      <c r="DT174">
        <f t="shared" ref="DT174:DT193" si="565">IF(CL174&gt;CS174, "",DQ174)</f>
        <v>194.11912156309111</v>
      </c>
      <c r="DV174" s="5">
        <f t="shared" ref="DV174:DV210" si="566">1/DQ174*1000</f>
        <v>5.1514760212583575</v>
      </c>
      <c r="DW174" s="5">
        <f t="shared" ref="DW174:DW210" si="567">L*DM174/CN174*1000000</f>
        <v>3.1193355789473687</v>
      </c>
      <c r="DX174" s="5">
        <f t="shared" ref="DX174:DX210" si="568">DV174-DW174</f>
        <v>2.0321404423109888</v>
      </c>
      <c r="DY174" s="150">
        <f t="shared" ref="DY174:DY210" si="569">DW174/DV174</f>
        <v>0.60552268244575946</v>
      </c>
      <c r="EA174" s="5">
        <f t="shared" ref="EA174:EA210" si="570">CJ174*DW174/Vout_ripple*1000</f>
        <v>26.618330273684212</v>
      </c>
      <c r="EB174" s="5">
        <f t="shared" ref="EB174:EB210" si="571">CK174*DW174/Vout_ripple2*1000</f>
        <v>28.281975915789477</v>
      </c>
      <c r="EC174" s="5">
        <f t="shared" ref="EC174:EC210" si="572">CL174/Efficiency/CN174*DX174/Vinripple1</f>
        <v>4.5902466461612912</v>
      </c>
      <c r="ED174" s="5"/>
      <c r="EE174" s="150">
        <f t="shared" ref="EE174:EE210" si="573">DM174*SQRT(DY174/3)</f>
        <v>5.9634669571903034</v>
      </c>
      <c r="EF174" s="150">
        <f t="shared" ref="EF174:EF210" si="574">DM174*Npri_sec1*SQRT((1-DY174)/3)*(Pout/Pout_total)</f>
        <v>4.6170923752941846</v>
      </c>
      <c r="EG174" s="150">
        <f t="shared" ref="EG174:EG210" si="575">DM174*Npri_sec2*SQRT((1-DY174)/3)*(Pout2/Pout_total)</f>
        <v>0.92679250410232106</v>
      </c>
      <c r="EH174" s="150"/>
      <c r="EI174" s="456">
        <f t="shared" ref="EI174:EI210" si="576">Rdson*EE174^2</f>
        <v>0.42675525779400691</v>
      </c>
      <c r="EJ174" s="456">
        <f t="shared" ref="EJ174:EJ210" si="577">0.5*CP174*DM174*DQ174*1000*Trise</f>
        <v>2.4821276595744686</v>
      </c>
      <c r="EK174" s="456">
        <f t="shared" ref="EK174:EK210" si="578">Qg*Vdd*DQ174*1000</f>
        <v>2.2323698979755481E-2</v>
      </c>
      <c r="EL174" s="456">
        <f t="shared" ref="EL174:EL210" si="579">0.5*(Coss+Csw)*CP174^2*DQ174*1000</f>
        <v>0.25822280245712254</v>
      </c>
      <c r="EM174">
        <f t="shared" ref="EM174:EM210" si="580">CN174*IQ</f>
        <v>8.9999999999999993E-3</v>
      </c>
      <c r="EN174" s="144">
        <f t="shared" ref="EN174:EN210" si="581">(EK174+EM174)*1000</f>
        <v>31.323698979755481</v>
      </c>
      <c r="EP174" s="144">
        <f t="shared" si="438"/>
        <v>3198.4294188053536</v>
      </c>
      <c r="EQ174" s="150">
        <f t="shared" ref="EQ174:EQ210" si="582">Vfwd2*CJ174</f>
        <v>1.7919999999999998</v>
      </c>
      <c r="ER174" s="150">
        <f t="shared" ref="ER174:ER210" si="583">Vfwd22*CK174*(1+Diode_TC/1000*(Ta-25))</f>
        <v>0.26057600000000003</v>
      </c>
      <c r="ES174" s="456"/>
      <c r="EU174" s="144">
        <f t="shared" si="496"/>
        <v>2052.5759999999996</v>
      </c>
      <c r="EV174" s="456">
        <f t="shared" ref="EV174:EV210" si="584">Rdcr_pri*EE174^2</f>
        <v>0.49788113409300805</v>
      </c>
      <c r="EW174" s="456">
        <f t="shared" ref="EW174:EW210" si="585">Rdcr_sec*EF174^2</f>
        <v>0.2984455880279957</v>
      </c>
      <c r="EX174" s="456">
        <f t="shared" ref="EX174:EX210" si="586">Rdcr_sec2*EG174^2</f>
        <v>4.294721728301254E-3</v>
      </c>
      <c r="EY174" s="456">
        <f t="shared" ref="EY174:EY210" si="587">DM174^2.5*DQ174^2.5*k_core</f>
        <v>16.851027564949874</v>
      </c>
      <c r="EZ174" s="456"/>
      <c r="FA174" s="538">
        <f t="shared" ref="FA174:FA210" si="588">0.5*Lleak*0.000000001*DM174^2*DQ174*1000</f>
        <v>3.420241642757277</v>
      </c>
      <c r="FB174" s="144">
        <f t="shared" si="497"/>
        <v>21071.890651556456</v>
      </c>
      <c r="FC174" s="150">
        <f t="shared" ref="FC174:FC210" si="589">SUM(EI174:EM174,EQ174:ET174,EV174:FA174)</f>
        <v>26.322896070361807</v>
      </c>
      <c r="FD174" s="5">
        <f t="shared" ref="FD174:FD210" si="590">MIN(CL174+CM174,CS174+CT174)</f>
        <v>80.063999999999993</v>
      </c>
      <c r="FE174" s="150">
        <f t="shared" ref="FE174:FE210" si="591">FD174/(FD174+FC174)</f>
        <v>0.75257388792551616</v>
      </c>
      <c r="FF174" s="5">
        <f t="shared" ref="FF174:FF210" si="592">FE174*100</f>
        <v>75.257388792551609</v>
      </c>
      <c r="FG174">
        <f t="shared" ref="FG174:FG210" si="593">CJ174/Iout*100</f>
        <v>64</v>
      </c>
      <c r="FI174" s="59">
        <f t="shared" ref="FI174:FI210" si="594">IF(ABS(CJ174-Ioutmax_Vinmin)&lt;Iout/200, DQ174, -50)</f>
        <v>-50</v>
      </c>
      <c r="FJ174">
        <f t="shared" ref="FJ174:FJ210" si="595">IF(ABS(CJ174-Ioutmax_Vinmin)&lt;Iout/200, (CS174+CT174)*FE174, -50)</f>
        <v>-50</v>
      </c>
    </row>
    <row r="175" spans="5:166">
      <c r="E175" s="147">
        <v>65</v>
      </c>
      <c r="F175" s="188">
        <f t="shared" ref="F175:F206" si="596">IF(PLOT_TYPE=1, E175/100*Iout_max, min_I*EXP(O175*rr/100))</f>
        <v>2.6</v>
      </c>
      <c r="G175" s="188">
        <f t="shared" si="498"/>
        <v>0.55249999999999999</v>
      </c>
      <c r="H175" s="188">
        <f t="shared" si="499"/>
        <v>78</v>
      </c>
      <c r="I175" s="188">
        <f t="shared" si="500"/>
        <v>3.3149999999999999</v>
      </c>
      <c r="J175" s="465">
        <f t="shared" si="501"/>
        <v>19.790790026274959</v>
      </c>
      <c r="K175" s="379">
        <f t="shared" si="502"/>
        <v>30.857692655762627</v>
      </c>
      <c r="L175" s="149">
        <f t="shared" si="503"/>
        <v>50.648482682037582</v>
      </c>
      <c r="M175" s="379"/>
      <c r="N175" s="188">
        <f t="shared" si="504"/>
        <v>0.60925206485418104</v>
      </c>
      <c r="O175" s="149">
        <f t="shared" si="505"/>
        <v>175.24278306232904</v>
      </c>
      <c r="P175" s="149">
        <f t="shared" si="506"/>
        <v>7.4478182801489838</v>
      </c>
      <c r="Q175" s="188">
        <f t="shared" si="507"/>
        <v>5.8414261020776346</v>
      </c>
      <c r="R175" s="188">
        <f t="shared" si="508"/>
        <v>29.207130510388172</v>
      </c>
      <c r="S175" s="188">
        <f t="shared" si="509"/>
        <v>30</v>
      </c>
      <c r="T175" s="188">
        <f t="shared" si="510"/>
        <v>13.487781478542731</v>
      </c>
      <c r="U175" s="188">
        <f t="shared" si="511"/>
        <v>3.2031350373071814</v>
      </c>
      <c r="V175" s="188">
        <f t="shared" si="512"/>
        <v>2.0543523346458752</v>
      </c>
      <c r="W175" s="172">
        <f t="shared" si="513"/>
        <v>350</v>
      </c>
      <c r="X175" s="379">
        <f t="shared" ref="X175:X210" si="597">MIN(1/(U175+V175+0.2)*1000, 350)</f>
        <v>183.23450552339668</v>
      </c>
      <c r="Z175" s="188">
        <f t="shared" si="514"/>
        <v>7.3298356769626443</v>
      </c>
      <c r="AA175" s="150">
        <f t="shared" si="515"/>
        <v>1.1164226718451973</v>
      </c>
      <c r="AB175" s="150">
        <f t="shared" si="516"/>
        <v>1.3736777725330025</v>
      </c>
      <c r="AC175" s="150"/>
      <c r="AD175" s="150">
        <f t="shared" si="517"/>
        <v>0.92310364234342657</v>
      </c>
      <c r="AE175" s="314">
        <f t="shared" si="518"/>
        <v>968.97570215331029</v>
      </c>
      <c r="AF175" s="456">
        <f t="shared" si="519"/>
        <v>0.93913603610260676</v>
      </c>
      <c r="AH175" s="150">
        <f t="shared" si="520"/>
        <v>9.9429986364526108</v>
      </c>
      <c r="AI175" s="150">
        <f t="shared" si="521"/>
        <v>13.487781478542731</v>
      </c>
      <c r="AJ175" s="150">
        <f t="shared" si="522"/>
        <v>6.7016114206938306</v>
      </c>
      <c r="AL175" s="314">
        <f t="shared" si="523"/>
        <v>2600</v>
      </c>
      <c r="AM175" s="144">
        <f t="shared" si="524"/>
        <v>183.23450552339668</v>
      </c>
      <c r="AO175">
        <f t="shared" si="525"/>
        <v>2600</v>
      </c>
      <c r="AP175">
        <f t="shared" si="526"/>
        <v>183.23450552339668</v>
      </c>
      <c r="AR175" s="5">
        <f t="shared" si="442"/>
        <v>5.4574873719530563</v>
      </c>
      <c r="AS175" s="5">
        <f t="shared" si="439"/>
        <v>3.2031350373071814</v>
      </c>
      <c r="AT175" s="5">
        <f t="shared" si="440"/>
        <v>2.2543523346458749</v>
      </c>
      <c r="AU175" s="150">
        <f t="shared" si="441"/>
        <v>0.5869248646856482</v>
      </c>
      <c r="AW175" s="5">
        <f t="shared" si="475"/>
        <v>27.760503656662241</v>
      </c>
      <c r="AX175" s="5">
        <f t="shared" si="476"/>
        <v>29.495535135203628</v>
      </c>
      <c r="AY175" s="5">
        <f t="shared" si="477"/>
        <v>5.2264204377219512</v>
      </c>
      <c r="AZ175" s="5"/>
      <c r="BA175" s="150">
        <f t="shared" si="478"/>
        <v>5.9658337682973999</v>
      </c>
      <c r="BB175" s="150">
        <f t="shared" si="479"/>
        <v>4.800852433668946</v>
      </c>
      <c r="BC175" s="150">
        <f t="shared" si="480"/>
        <v>0.96367880197377798</v>
      </c>
      <c r="BD175" s="150"/>
      <c r="BE175" s="456">
        <f t="shared" si="481"/>
        <v>0.42709407061149063</v>
      </c>
      <c r="BF175" s="456">
        <f t="shared" si="527"/>
        <v>2.2844259759832619</v>
      </c>
      <c r="BG175" s="456">
        <f t="shared" si="482"/>
        <v>2.1071968135190619E-2</v>
      </c>
      <c r="BH175" s="456">
        <f t="shared" si="483"/>
        <v>0.24324868066275043</v>
      </c>
      <c r="BI175">
        <f t="shared" si="484"/>
        <v>8.9058555118237317E-3</v>
      </c>
      <c r="BJ175" s="144">
        <f t="shared" ref="BJ175:BJ210" si="598">(BG175+BI175)*1000</f>
        <v>29.977823647014354</v>
      </c>
      <c r="BK175">
        <f t="shared" si="528"/>
        <v>3.416814048825588</v>
      </c>
      <c r="BL175" s="144">
        <f t="shared" ref="BL175:BL210" si="599">SUM(BE175:BI175)*1000</f>
        <v>2984.7465509045173</v>
      </c>
      <c r="BM175" s="150">
        <f t="shared" si="529"/>
        <v>1.7435599999999998</v>
      </c>
      <c r="BN175" s="150">
        <f t="shared" si="530"/>
        <v>0.37050649999999996</v>
      </c>
      <c r="BO175" s="456"/>
      <c r="BQ175" s="144">
        <f t="shared" si="485"/>
        <v>2114.0664999999999</v>
      </c>
      <c r="BR175" s="456">
        <f t="shared" si="486"/>
        <v>0.49827641571340575</v>
      </c>
      <c r="BS175" s="456">
        <f t="shared" si="487"/>
        <v>0.32267457725811061</v>
      </c>
      <c r="BT175" s="456">
        <f t="shared" si="488"/>
        <v>4.6433841668680797E-3</v>
      </c>
      <c r="BU175" s="456">
        <f t="shared" si="489"/>
        <v>15.182366062887075</v>
      </c>
      <c r="BV175" s="456"/>
      <c r="BW175" s="538">
        <f t="shared" si="531"/>
        <v>3.3334066909222555</v>
      </c>
      <c r="BX175" s="144">
        <f t="shared" si="490"/>
        <v>19341.367130947718</v>
      </c>
      <c r="BY175" s="150">
        <f t="shared" si="491"/>
        <v>24.440180181852234</v>
      </c>
      <c r="BZ175" s="5">
        <f t="shared" si="492"/>
        <v>81.314999999999998</v>
      </c>
      <c r="CA175" s="150">
        <f t="shared" si="493"/>
        <v>0.76889850558785</v>
      </c>
      <c r="CB175" s="5">
        <f t="shared" si="494"/>
        <v>76.889850558785</v>
      </c>
      <c r="CC175">
        <f t="shared" si="495"/>
        <v>65</v>
      </c>
      <c r="CE175" s="59">
        <f t="shared" si="532"/>
        <v>-50</v>
      </c>
      <c r="CF175">
        <f t="shared" si="533"/>
        <v>-50</v>
      </c>
      <c r="CG175" s="150">
        <f t="shared" si="534"/>
        <v>0.39199567588303097</v>
      </c>
      <c r="CH175" s="150">
        <f t="shared" si="535"/>
        <v>8.2740061272353616E-2</v>
      </c>
      <c r="CI175" s="147">
        <v>65</v>
      </c>
      <c r="CJ175" s="188">
        <f t="shared" ref="CJ175:CJ210" si="600">IF(PLOT_TYPE=1, CI175/100*Iout_max, min_I*EXP(CS175*rr/100))</f>
        <v>2.6</v>
      </c>
      <c r="CK175" s="188">
        <f t="shared" si="536"/>
        <v>0.55249999999999999</v>
      </c>
      <c r="CL175" s="188">
        <f t="shared" si="537"/>
        <v>78</v>
      </c>
      <c r="CM175" s="188">
        <f t="shared" si="538"/>
        <v>3.3149999999999999</v>
      </c>
      <c r="CN175" s="465">
        <f t="shared" si="539"/>
        <v>20</v>
      </c>
      <c r="CO175" s="379">
        <f t="shared" si="540"/>
        <v>30.7</v>
      </c>
      <c r="CP175" s="379">
        <f t="shared" si="541"/>
        <v>50.7</v>
      </c>
      <c r="CQ175" s="379"/>
      <c r="CR175" s="188">
        <f t="shared" si="542"/>
        <v>0.60317460317460314</v>
      </c>
      <c r="CS175" s="149">
        <f t="shared" si="543"/>
        <v>175.32871249897633</v>
      </c>
      <c r="CT175" s="149">
        <f t="shared" si="544"/>
        <v>7.4514702812064924</v>
      </c>
      <c r="CU175" s="188">
        <f t="shared" si="545"/>
        <v>5.8442904166325444</v>
      </c>
      <c r="CV175" s="188">
        <f t="shared" si="546"/>
        <v>29.22145208316272</v>
      </c>
      <c r="CW175" s="188">
        <f t="shared" si="547"/>
        <v>30</v>
      </c>
      <c r="CX175" s="188">
        <f t="shared" si="548"/>
        <v>13.481171052631579</v>
      </c>
      <c r="CY175" s="188">
        <f t="shared" si="549"/>
        <v>3.1680751973684211</v>
      </c>
      <c r="CZ175" s="188">
        <f t="shared" si="550"/>
        <v>2.0638926367220982</v>
      </c>
      <c r="DA175" s="172">
        <f t="shared" si="551"/>
        <v>350</v>
      </c>
      <c r="DB175" s="379">
        <f t="shared" si="552"/>
        <v>191.13267353904357</v>
      </c>
      <c r="DD175" s="188">
        <f t="shared" si="553"/>
        <v>7.3619779020761014</v>
      </c>
      <c r="DE175" s="150">
        <f t="shared" si="554"/>
        <v>1.1270780501549733</v>
      </c>
      <c r="DF175" s="150">
        <f t="shared" si="555"/>
        <v>1.3928696857096292</v>
      </c>
      <c r="DG175" s="150"/>
      <c r="DH175" s="150">
        <f t="shared" si="556"/>
        <v>0.92784522751949461</v>
      </c>
      <c r="DI175" s="314">
        <f t="shared" si="557"/>
        <v>964.0239271276597</v>
      </c>
      <c r="DJ175" s="456">
        <f t="shared" si="558"/>
        <v>0.94395997276890675</v>
      </c>
      <c r="DL175" s="150">
        <f t="shared" si="559"/>
        <v>9.9429986364526108</v>
      </c>
      <c r="DM175" s="150">
        <f t="shared" si="560"/>
        <v>13.481171052631579</v>
      </c>
      <c r="DN175" s="150">
        <f t="shared" si="561"/>
        <v>6.6967148089077915</v>
      </c>
      <c r="DP175" s="314">
        <f t="shared" si="562"/>
        <v>2600</v>
      </c>
      <c r="DQ175" s="144">
        <f t="shared" si="563"/>
        <v>191.13267353904357</v>
      </c>
      <c r="DS175">
        <f t="shared" si="564"/>
        <v>2600</v>
      </c>
      <c r="DT175">
        <f t="shared" si="565"/>
        <v>191.13267353904357</v>
      </c>
      <c r="DV175" s="5">
        <f t="shared" si="566"/>
        <v>5.2319678340905185</v>
      </c>
      <c r="DW175" s="5">
        <f t="shared" si="567"/>
        <v>3.1680751973684211</v>
      </c>
      <c r="DX175" s="5">
        <f t="shared" si="568"/>
        <v>2.0638926367220973</v>
      </c>
      <c r="DY175" s="150">
        <f t="shared" si="569"/>
        <v>0.60552268244575946</v>
      </c>
      <c r="EA175" s="5">
        <f t="shared" si="570"/>
        <v>27.456651710526316</v>
      </c>
      <c r="EB175" s="5">
        <f t="shared" si="571"/>
        <v>29.172692442434212</v>
      </c>
      <c r="EC175" s="5">
        <f t="shared" si="572"/>
        <v>4.734812519538929</v>
      </c>
      <c r="ED175" s="5"/>
      <c r="EE175" s="150">
        <f t="shared" si="573"/>
        <v>6.0566461283964017</v>
      </c>
      <c r="EF175" s="150">
        <f t="shared" si="574"/>
        <v>4.6892344436581572</v>
      </c>
      <c r="EG175" s="150">
        <f t="shared" si="575"/>
        <v>0.94127363697891986</v>
      </c>
      <c r="EH175" s="150"/>
      <c r="EI175" s="456">
        <f t="shared" si="576"/>
        <v>0.44019554789542942</v>
      </c>
      <c r="EJ175" s="456">
        <f t="shared" si="577"/>
        <v>2.4821276595744686</v>
      </c>
      <c r="EK175" s="456">
        <f t="shared" si="578"/>
        <v>2.1980257456990011E-2</v>
      </c>
      <c r="EL175" s="456">
        <f t="shared" si="579"/>
        <v>0.25425014395778217</v>
      </c>
      <c r="EM175">
        <f t="shared" si="580"/>
        <v>8.9999999999999993E-3</v>
      </c>
      <c r="EN175" s="144">
        <f t="shared" si="581"/>
        <v>30.980257456990014</v>
      </c>
      <c r="EP175" s="144">
        <f t="shared" ref="EP175:EP210" si="601">SUM(EI175:EM175)*1000</f>
        <v>3207.5536088846702</v>
      </c>
      <c r="EQ175" s="150">
        <f t="shared" si="582"/>
        <v>1.8199999999999998</v>
      </c>
      <c r="ER175" s="150">
        <f t="shared" si="583"/>
        <v>0.26464749999999998</v>
      </c>
      <c r="ES175" s="456"/>
      <c r="EU175" s="144">
        <f t="shared" si="496"/>
        <v>2084.6475</v>
      </c>
      <c r="EV175" s="456">
        <f t="shared" si="584"/>
        <v>0.51356147254466766</v>
      </c>
      <c r="EW175" s="456">
        <f t="shared" si="585"/>
        <v>0.30784487534626043</v>
      </c>
      <c r="EX175" s="456">
        <f t="shared" si="586"/>
        <v>4.4299802983576173E-3</v>
      </c>
      <c r="EY175" s="456">
        <f t="shared" si="587"/>
        <v>16.851027564949874</v>
      </c>
      <c r="EZ175" s="456"/>
      <c r="FA175" s="538">
        <f t="shared" si="588"/>
        <v>3.4736829184253604</v>
      </c>
      <c r="FB175" s="144">
        <f t="shared" si="497"/>
        <v>21150.54681156452</v>
      </c>
      <c r="FC175" s="150">
        <f t="shared" si="589"/>
        <v>26.44274792044919</v>
      </c>
      <c r="FD175" s="5">
        <f t="shared" si="590"/>
        <v>81.314999999999998</v>
      </c>
      <c r="FE175" s="150">
        <f t="shared" si="591"/>
        <v>0.75460931180586455</v>
      </c>
      <c r="FF175" s="5">
        <f t="shared" si="592"/>
        <v>75.460931180586456</v>
      </c>
      <c r="FG175">
        <f t="shared" si="593"/>
        <v>65</v>
      </c>
      <c r="FI175" s="59">
        <f t="shared" si="594"/>
        <v>-50</v>
      </c>
      <c r="FJ175">
        <f t="shared" si="595"/>
        <v>-50</v>
      </c>
    </row>
    <row r="176" spans="5:166">
      <c r="E176" s="147">
        <v>66</v>
      </c>
      <c r="F176" s="188">
        <f t="shared" si="596"/>
        <v>2.64</v>
      </c>
      <c r="G176" s="188">
        <f t="shared" si="498"/>
        <v>0.56100000000000005</v>
      </c>
      <c r="H176" s="188">
        <f t="shared" si="499"/>
        <v>79.2</v>
      </c>
      <c r="I176" s="188">
        <f t="shared" si="500"/>
        <v>3.3660000000000005</v>
      </c>
      <c r="J176" s="465">
        <f t="shared" si="501"/>
        <v>19.787571411294575</v>
      </c>
      <c r="K176" s="379">
        <f t="shared" si="502"/>
        <v>30.860118696620514</v>
      </c>
      <c r="L176" s="149">
        <f t="shared" si="503"/>
        <v>50.647690107915089</v>
      </c>
      <c r="M176" s="379"/>
      <c r="N176" s="188">
        <f t="shared" si="504"/>
        <v>0.60930949922625943</v>
      </c>
      <c r="O176" s="149">
        <f t="shared" si="505"/>
        <v>175.23080048717023</v>
      </c>
      <c r="P176" s="149">
        <f t="shared" si="506"/>
        <v>7.4473090207047337</v>
      </c>
      <c r="Q176" s="188">
        <f t="shared" si="507"/>
        <v>5.8410266829056745</v>
      </c>
      <c r="R176" s="188">
        <f t="shared" si="508"/>
        <v>29.205133414528373</v>
      </c>
      <c r="S176" s="188">
        <f t="shared" si="509"/>
        <v>30</v>
      </c>
      <c r="T176" s="188">
        <f t="shared" si="510"/>
        <v>13.696222315526771</v>
      </c>
      <c r="U176" s="188">
        <f t="shared" si="511"/>
        <v>3.2531655120765706</v>
      </c>
      <c r="V176" s="188">
        <f t="shared" si="512"/>
        <v>2.0859363995260725</v>
      </c>
      <c r="W176" s="172">
        <f t="shared" si="513"/>
        <v>350</v>
      </c>
      <c r="X176" s="379">
        <f t="shared" si="597"/>
        <v>180.53468160701655</v>
      </c>
      <c r="Z176" s="188">
        <f t="shared" si="514"/>
        <v>7.3293344848144342</v>
      </c>
      <c r="AA176" s="150">
        <f t="shared" si="515"/>
        <v>1.116258573639259</v>
      </c>
      <c r="AB176" s="150">
        <f t="shared" si="516"/>
        <v>1.3733819473431166</v>
      </c>
      <c r="AC176" s="150"/>
      <c r="AD176" s="150">
        <f t="shared" si="517"/>
        <v>0.92303107336939216</v>
      </c>
      <c r="AE176" s="314">
        <f t="shared" si="518"/>
        <v>983.96037381997508</v>
      </c>
      <c r="AF176" s="456">
        <f t="shared" si="519"/>
        <v>0.93906220675615815</v>
      </c>
      <c r="AH176" s="150">
        <f t="shared" si="520"/>
        <v>10.019191311122638</v>
      </c>
      <c r="AI176" s="150">
        <f t="shared" si="521"/>
        <v>13.696222315526771</v>
      </c>
      <c r="AJ176" s="150">
        <f t="shared" si="522"/>
        <v>6.8560120406820078</v>
      </c>
      <c r="AL176" s="314">
        <f t="shared" si="523"/>
        <v>2640</v>
      </c>
      <c r="AM176" s="144">
        <f t="shared" si="524"/>
        <v>180.53468160701655</v>
      </c>
      <c r="AO176">
        <f t="shared" si="525"/>
        <v>2640</v>
      </c>
      <c r="AP176">
        <f t="shared" si="526"/>
        <v>180.53468160701655</v>
      </c>
      <c r="AR176" s="5">
        <f t="shared" si="442"/>
        <v>5.5391019116026436</v>
      </c>
      <c r="AS176" s="5">
        <f t="shared" si="439"/>
        <v>3.2531655120765706</v>
      </c>
      <c r="AT176" s="5">
        <f t="shared" si="440"/>
        <v>2.2859363995260731</v>
      </c>
      <c r="AU176" s="150">
        <f t="shared" si="441"/>
        <v>0.58730919993767061</v>
      </c>
      <c r="AW176" s="5">
        <f t="shared" si="475"/>
        <v>28.627856506273826</v>
      </c>
      <c r="AX176" s="5">
        <f t="shared" si="476"/>
        <v>30.417097537915939</v>
      </c>
      <c r="AY176" s="5">
        <f t="shared" si="477"/>
        <v>5.3820522304076599</v>
      </c>
      <c r="AZ176" s="5"/>
      <c r="BA176" s="150">
        <f t="shared" si="478"/>
        <v>6.0600132175698294</v>
      </c>
      <c r="BB176" s="150">
        <f t="shared" si="479"/>
        <v>4.8727765842113513</v>
      </c>
      <c r="BC176" s="150">
        <f t="shared" si="480"/>
        <v>0.97811619203842448</v>
      </c>
      <c r="BD176" s="150"/>
      <c r="BE176" s="456">
        <f t="shared" si="481"/>
        <v>0.44068512236545249</v>
      </c>
      <c r="BF176" s="456">
        <f t="shared" si="527"/>
        <v>2.2855143542493543</v>
      </c>
      <c r="BG176" s="456">
        <f t="shared" si="482"/>
        <v>2.0761488384806907E-2</v>
      </c>
      <c r="BH176" s="456">
        <f t="shared" si="483"/>
        <v>0.2396570918536855</v>
      </c>
      <c r="BI176">
        <f t="shared" si="484"/>
        <v>8.9044071350825593E-3</v>
      </c>
      <c r="BJ176" s="144">
        <f t="shared" si="598"/>
        <v>29.665895519889467</v>
      </c>
      <c r="BK176">
        <f t="shared" si="528"/>
        <v>3.4456215015124951</v>
      </c>
      <c r="BL176" s="144">
        <f t="shared" si="599"/>
        <v>2995.5224639883822</v>
      </c>
      <c r="BM176" s="150">
        <f t="shared" si="529"/>
        <v>1.7703839999999997</v>
      </c>
      <c r="BN176" s="150">
        <f t="shared" si="530"/>
        <v>0.3762066</v>
      </c>
      <c r="BO176" s="456"/>
      <c r="BQ176" s="144">
        <f t="shared" si="485"/>
        <v>2146.5905999999995</v>
      </c>
      <c r="BR176" s="456">
        <f t="shared" si="486"/>
        <v>0.5141326427596945</v>
      </c>
      <c r="BS176" s="456">
        <f t="shared" si="487"/>
        <v>0.3324153229549382</v>
      </c>
      <c r="BT176" s="456">
        <f t="shared" si="488"/>
        <v>4.78355642563874E-3</v>
      </c>
      <c r="BU176" s="456">
        <f t="shared" si="489"/>
        <v>15.201050692713522</v>
      </c>
      <c r="BV176" s="456"/>
      <c r="BW176" s="538">
        <f t="shared" si="531"/>
        <v>3.3865870083271057</v>
      </c>
      <c r="BX176" s="144">
        <f t="shared" si="490"/>
        <v>19438.969223180899</v>
      </c>
      <c r="BY176" s="150">
        <f t="shared" si="491"/>
        <v>24.581082287169281</v>
      </c>
      <c r="BZ176" s="5">
        <f t="shared" si="492"/>
        <v>82.566000000000003</v>
      </c>
      <c r="CA176" s="150">
        <f t="shared" si="493"/>
        <v>0.7705856122027801</v>
      </c>
      <c r="CB176" s="5">
        <f t="shared" si="494"/>
        <v>77.058561220278008</v>
      </c>
      <c r="CC176">
        <f t="shared" si="495"/>
        <v>66</v>
      </c>
      <c r="CE176" s="59">
        <f t="shared" si="532"/>
        <v>-50</v>
      </c>
      <c r="CF176">
        <f t="shared" si="533"/>
        <v>-50</v>
      </c>
      <c r="CG176" s="150">
        <f t="shared" si="534"/>
        <v>0.39199567588303097</v>
      </c>
      <c r="CH176" s="150">
        <f t="shared" si="535"/>
        <v>8.2740061272353616E-2</v>
      </c>
      <c r="CI176" s="147">
        <v>66</v>
      </c>
      <c r="CJ176" s="188">
        <f t="shared" si="600"/>
        <v>2.64</v>
      </c>
      <c r="CK176" s="188">
        <f t="shared" si="536"/>
        <v>0.56100000000000005</v>
      </c>
      <c r="CL176" s="188">
        <f t="shared" si="537"/>
        <v>79.2</v>
      </c>
      <c r="CM176" s="188">
        <f t="shared" si="538"/>
        <v>3.3660000000000005</v>
      </c>
      <c r="CN176" s="465">
        <f t="shared" si="539"/>
        <v>20</v>
      </c>
      <c r="CO176" s="379">
        <f t="shared" si="540"/>
        <v>30.7</v>
      </c>
      <c r="CP176" s="379">
        <f t="shared" si="541"/>
        <v>50.7</v>
      </c>
      <c r="CQ176" s="379"/>
      <c r="CR176" s="188">
        <f t="shared" si="542"/>
        <v>0.60317460317460314</v>
      </c>
      <c r="CS176" s="149">
        <f t="shared" si="543"/>
        <v>175.32871249897633</v>
      </c>
      <c r="CT176" s="149">
        <f t="shared" si="544"/>
        <v>7.4514702812064924</v>
      </c>
      <c r="CU176" s="188">
        <f t="shared" si="545"/>
        <v>5.8442904166325444</v>
      </c>
      <c r="CV176" s="188">
        <f t="shared" si="546"/>
        <v>29.22145208316272</v>
      </c>
      <c r="CW176" s="188">
        <f t="shared" si="547"/>
        <v>30</v>
      </c>
      <c r="CX176" s="188">
        <f t="shared" si="548"/>
        <v>13.688573684210526</v>
      </c>
      <c r="CY176" s="188">
        <f t="shared" si="549"/>
        <v>3.2168148157894731</v>
      </c>
      <c r="CZ176" s="188">
        <f t="shared" si="550"/>
        <v>2.0956448311332072</v>
      </c>
      <c r="DA176" s="172">
        <f t="shared" si="551"/>
        <v>350</v>
      </c>
      <c r="DB176" s="379">
        <f t="shared" si="552"/>
        <v>188.23672393996716</v>
      </c>
      <c r="DD176" s="188">
        <f t="shared" si="553"/>
        <v>7.3619779020761014</v>
      </c>
      <c r="DE176" s="150">
        <f t="shared" si="554"/>
        <v>1.1270780501549733</v>
      </c>
      <c r="DF176" s="150">
        <f t="shared" si="555"/>
        <v>1.3928696857096292</v>
      </c>
      <c r="DG176" s="150"/>
      <c r="DH176" s="150">
        <f t="shared" si="556"/>
        <v>0.92784522751949461</v>
      </c>
      <c r="DI176" s="314">
        <f t="shared" si="557"/>
        <v>978.85506446808529</v>
      </c>
      <c r="DJ176" s="456">
        <f t="shared" si="558"/>
        <v>0.94395997276890675</v>
      </c>
      <c r="DL176" s="150">
        <f t="shared" si="559"/>
        <v>10.019191311122638</v>
      </c>
      <c r="DM176" s="150">
        <f t="shared" si="560"/>
        <v>13.688573684210526</v>
      </c>
      <c r="DN176" s="150">
        <f t="shared" si="561"/>
        <v>6.8503463878551596</v>
      </c>
      <c r="DP176" s="314">
        <f t="shared" si="562"/>
        <v>2640</v>
      </c>
      <c r="DQ176" s="144">
        <f t="shared" si="563"/>
        <v>188.23672393996716</v>
      </c>
      <c r="DS176">
        <f t="shared" si="564"/>
        <v>2640</v>
      </c>
      <c r="DT176">
        <f t="shared" si="565"/>
        <v>188.23672393996716</v>
      </c>
      <c r="DV176" s="5">
        <f t="shared" si="566"/>
        <v>5.3124596469226804</v>
      </c>
      <c r="DW176" s="5">
        <f t="shared" si="567"/>
        <v>3.2168148157894731</v>
      </c>
      <c r="DX176" s="5">
        <f t="shared" si="568"/>
        <v>2.0956448311332072</v>
      </c>
      <c r="DY176" s="150">
        <f t="shared" si="569"/>
        <v>0.60552268244575935</v>
      </c>
      <c r="EA176" s="5">
        <f t="shared" si="570"/>
        <v>28.307970378947367</v>
      </c>
      <c r="EB176" s="5">
        <f t="shared" si="571"/>
        <v>30.077218527631576</v>
      </c>
      <c r="EC176" s="5">
        <f t="shared" si="572"/>
        <v>4.8816197242867645</v>
      </c>
      <c r="ED176" s="5"/>
      <c r="EE176" s="150">
        <f t="shared" si="573"/>
        <v>6.1498252996024991</v>
      </c>
      <c r="EF176" s="150">
        <f t="shared" si="574"/>
        <v>4.761376512022129</v>
      </c>
      <c r="EG176" s="150">
        <f t="shared" si="575"/>
        <v>0.95575476985551888</v>
      </c>
      <c r="EH176" s="150"/>
      <c r="EI176" s="456">
        <f t="shared" si="576"/>
        <v>0.45384421458757168</v>
      </c>
      <c r="EJ176" s="456">
        <f t="shared" si="577"/>
        <v>2.482127659574469</v>
      </c>
      <c r="EK176" s="456">
        <f t="shared" si="578"/>
        <v>2.1647223253096225E-2</v>
      </c>
      <c r="EL176" s="456">
        <f t="shared" si="579"/>
        <v>0.25039786904933092</v>
      </c>
      <c r="EM176">
        <f t="shared" si="580"/>
        <v>8.9999999999999993E-3</v>
      </c>
      <c r="EN176" s="144">
        <f t="shared" si="581"/>
        <v>30.647223253096225</v>
      </c>
      <c r="EP176" s="144">
        <f t="shared" si="601"/>
        <v>3217.0169664644682</v>
      </c>
      <c r="EQ176" s="150">
        <f t="shared" si="582"/>
        <v>1.8479999999999999</v>
      </c>
      <c r="ER176" s="150">
        <f t="shared" si="583"/>
        <v>0.26871900000000004</v>
      </c>
      <c r="ES176" s="456"/>
      <c r="EU176" s="144">
        <f t="shared" si="496"/>
        <v>2116.7189999999996</v>
      </c>
      <c r="EV176" s="456">
        <f t="shared" si="584"/>
        <v>0.5294849170188336</v>
      </c>
      <c r="EW176" s="456">
        <f t="shared" si="585"/>
        <v>0.31738988804930424</v>
      </c>
      <c r="EX176" s="456">
        <f t="shared" si="586"/>
        <v>4.5673359005078797E-3</v>
      </c>
      <c r="EY176" s="456">
        <f t="shared" si="587"/>
        <v>16.851027564949892</v>
      </c>
      <c r="EZ176" s="456"/>
      <c r="FA176" s="538">
        <f t="shared" si="588"/>
        <v>3.5271241940934428</v>
      </c>
      <c r="FB176" s="144">
        <f t="shared" si="497"/>
        <v>21229.59390001198</v>
      </c>
      <c r="FC176" s="150">
        <f t="shared" si="589"/>
        <v>26.563329866476447</v>
      </c>
      <c r="FD176" s="5">
        <f t="shared" si="590"/>
        <v>82.566000000000003</v>
      </c>
      <c r="FE176" s="150">
        <f t="shared" si="591"/>
        <v>0.75658853674830029</v>
      </c>
      <c r="FF176" s="5">
        <f t="shared" si="592"/>
        <v>75.658853674830027</v>
      </c>
      <c r="FG176">
        <f t="shared" si="593"/>
        <v>66</v>
      </c>
      <c r="FI176" s="59">
        <f t="shared" si="594"/>
        <v>-50</v>
      </c>
      <c r="FJ176">
        <f t="shared" si="595"/>
        <v>-50</v>
      </c>
    </row>
    <row r="177" spans="5:166">
      <c r="E177" s="147">
        <v>67</v>
      </c>
      <c r="F177" s="188">
        <f t="shared" si="596"/>
        <v>2.68</v>
      </c>
      <c r="G177" s="188">
        <f t="shared" si="498"/>
        <v>0.56950000000000001</v>
      </c>
      <c r="H177" s="188">
        <f t="shared" si="499"/>
        <v>80.400000000000006</v>
      </c>
      <c r="I177" s="188">
        <f t="shared" si="500"/>
        <v>3.4169999999999998</v>
      </c>
      <c r="J177" s="465">
        <f t="shared" si="501"/>
        <v>19.784352796314188</v>
      </c>
      <c r="K177" s="379">
        <f t="shared" si="502"/>
        <v>30.862544737478398</v>
      </c>
      <c r="L177" s="149">
        <f t="shared" si="503"/>
        <v>50.646897533792583</v>
      </c>
      <c r="M177" s="379"/>
      <c r="N177" s="188">
        <f t="shared" si="504"/>
        <v>0.60936693539592068</v>
      </c>
      <c r="O177" s="149">
        <f t="shared" si="505"/>
        <v>175.21881305547117</v>
      </c>
      <c r="P177" s="149">
        <f t="shared" si="506"/>
        <v>7.4467995548575239</v>
      </c>
      <c r="Q177" s="188">
        <f t="shared" si="507"/>
        <v>5.840627101849039</v>
      </c>
      <c r="R177" s="188">
        <f t="shared" si="508"/>
        <v>29.203135509245197</v>
      </c>
      <c r="S177" s="188">
        <f t="shared" si="509"/>
        <v>30</v>
      </c>
      <c r="T177" s="188">
        <f t="shared" si="510"/>
        <v>13.904692046922653</v>
      </c>
      <c r="U177" s="188">
        <f t="shared" si="511"/>
        <v>3.3032191294481721</v>
      </c>
      <c r="V177" s="188">
        <f t="shared" si="512"/>
        <v>2.1175198991668114</v>
      </c>
      <c r="W177" s="172">
        <f t="shared" si="513"/>
        <v>350</v>
      </c>
      <c r="X177" s="379">
        <f t="shared" si="597"/>
        <v>177.91254760433375</v>
      </c>
      <c r="Z177" s="188">
        <f t="shared" si="514"/>
        <v>7.3288330895329414</v>
      </c>
      <c r="AA177" s="150">
        <f t="shared" si="515"/>
        <v>1.1160944702973696</v>
      </c>
      <c r="AB177" s="150">
        <f t="shared" si="516"/>
        <v>1.373086105388986</v>
      </c>
      <c r="AC177" s="150"/>
      <c r="AD177" s="150">
        <f t="shared" si="517"/>
        <v>0.92295851580435218</v>
      </c>
      <c r="AE177" s="314">
        <f t="shared" si="518"/>
        <v>998.94738952215471</v>
      </c>
      <c r="AF177" s="456">
        <f t="shared" si="519"/>
        <v>0.93898838901685411</v>
      </c>
      <c r="AH177" s="150">
        <f t="shared" si="520"/>
        <v>10.094808922077341</v>
      </c>
      <c r="AI177" s="150">
        <f t="shared" si="521"/>
        <v>13.904692046922653</v>
      </c>
      <c r="AJ177" s="150">
        <f t="shared" si="522"/>
        <v>7.0104340639382174</v>
      </c>
      <c r="AL177" s="314">
        <f t="shared" si="523"/>
        <v>2680</v>
      </c>
      <c r="AM177" s="144">
        <f t="shared" si="524"/>
        <v>177.91254760433375</v>
      </c>
      <c r="AO177">
        <f t="shared" si="525"/>
        <v>2680</v>
      </c>
      <c r="AP177">
        <f t="shared" si="526"/>
        <v>177.91254760433375</v>
      </c>
      <c r="AR177" s="5">
        <f t="shared" si="442"/>
        <v>5.6207390286149845</v>
      </c>
      <c r="AS177" s="5">
        <f t="shared" si="439"/>
        <v>3.3032191294481721</v>
      </c>
      <c r="AT177" s="5">
        <f t="shared" si="440"/>
        <v>2.3175198991668124</v>
      </c>
      <c r="AU177" s="150">
        <f t="shared" si="441"/>
        <v>0.58768413061549374</v>
      </c>
      <c r="AW177" s="5">
        <f t="shared" si="475"/>
        <v>29.508757556403673</v>
      </c>
      <c r="AX177" s="5">
        <f t="shared" si="476"/>
        <v>31.353054903678903</v>
      </c>
      <c r="AY177" s="5">
        <f t="shared" si="477"/>
        <v>5.5399870740787884</v>
      </c>
      <c r="AZ177" s="5"/>
      <c r="BA177" s="150">
        <f t="shared" si="478"/>
        <v>6.1542159177923041</v>
      </c>
      <c r="BB177" s="150">
        <f t="shared" si="479"/>
        <v>4.9446972830589662</v>
      </c>
      <c r="BC177" s="150">
        <f t="shared" si="480"/>
        <v>0.9925528892417208</v>
      </c>
      <c r="BD177" s="150"/>
      <c r="BE177" s="456">
        <f t="shared" si="481"/>
        <v>0.45449248275369808</v>
      </c>
      <c r="BF177" s="456">
        <f t="shared" si="527"/>
        <v>2.2865656193989086</v>
      </c>
      <c r="BG177" s="456">
        <f t="shared" si="482"/>
        <v>2.0459942974498383E-2</v>
      </c>
      <c r="BH177" s="456">
        <f t="shared" si="483"/>
        <v>0.23616885647292074</v>
      </c>
      <c r="BI177">
        <f t="shared" si="484"/>
        <v>8.9029587583413852E-3</v>
      </c>
      <c r="BJ177" s="144">
        <f t="shared" si="598"/>
        <v>29.362901732839767</v>
      </c>
      <c r="BK177">
        <f t="shared" si="528"/>
        <v>3.4752199433982232</v>
      </c>
      <c r="BL177" s="144">
        <f t="shared" si="599"/>
        <v>3006.5898603583673</v>
      </c>
      <c r="BM177" s="150">
        <f t="shared" si="529"/>
        <v>1.7972079999999999</v>
      </c>
      <c r="BN177" s="150">
        <f t="shared" si="530"/>
        <v>0.38190669999999999</v>
      </c>
      <c r="BO177" s="456"/>
      <c r="BQ177" s="144">
        <f t="shared" si="485"/>
        <v>2179.1147000000001</v>
      </c>
      <c r="BR177" s="456">
        <f t="shared" si="486"/>
        <v>0.53024122987931444</v>
      </c>
      <c r="BS177" s="456">
        <f t="shared" si="487"/>
        <v>0.34230043709527014</v>
      </c>
      <c r="BT177" s="456">
        <f t="shared" si="488"/>
        <v>4.9258061897104388E-3</v>
      </c>
      <c r="BU177" s="456">
        <f t="shared" si="489"/>
        <v>15.219132138380596</v>
      </c>
      <c r="BV177" s="456"/>
      <c r="BW177" s="538">
        <f t="shared" si="531"/>
        <v>3.4397693957229585</v>
      </c>
      <c r="BX177" s="144">
        <f t="shared" si="490"/>
        <v>19536.369007267851</v>
      </c>
      <c r="BY177" s="150">
        <f t="shared" si="491"/>
        <v>24.722073567626214</v>
      </c>
      <c r="BZ177" s="5">
        <f t="shared" si="492"/>
        <v>83.817000000000007</v>
      </c>
      <c r="CA177" s="150">
        <f t="shared" si="493"/>
        <v>0.77222881350444816</v>
      </c>
      <c r="CB177" s="5">
        <f t="shared" si="494"/>
        <v>77.222881350444823</v>
      </c>
      <c r="CC177">
        <f t="shared" si="495"/>
        <v>67</v>
      </c>
      <c r="CE177" s="59">
        <f t="shared" si="532"/>
        <v>-50</v>
      </c>
      <c r="CF177">
        <f t="shared" si="533"/>
        <v>-50</v>
      </c>
      <c r="CG177" s="150">
        <f t="shared" si="534"/>
        <v>0.39199567588303097</v>
      </c>
      <c r="CH177" s="150">
        <f t="shared" si="535"/>
        <v>8.2740061272353602E-2</v>
      </c>
      <c r="CI177" s="147">
        <v>67</v>
      </c>
      <c r="CJ177" s="188">
        <f t="shared" si="600"/>
        <v>2.68</v>
      </c>
      <c r="CK177" s="188">
        <f t="shared" si="536"/>
        <v>0.56950000000000001</v>
      </c>
      <c r="CL177" s="188">
        <f t="shared" si="537"/>
        <v>80.400000000000006</v>
      </c>
      <c r="CM177" s="188">
        <f t="shared" si="538"/>
        <v>3.4169999999999998</v>
      </c>
      <c r="CN177" s="465">
        <f t="shared" si="539"/>
        <v>20</v>
      </c>
      <c r="CO177" s="379">
        <f t="shared" si="540"/>
        <v>30.7</v>
      </c>
      <c r="CP177" s="379">
        <f t="shared" si="541"/>
        <v>50.7</v>
      </c>
      <c r="CQ177" s="379"/>
      <c r="CR177" s="188">
        <f t="shared" si="542"/>
        <v>0.60317460317460314</v>
      </c>
      <c r="CS177" s="149">
        <f t="shared" si="543"/>
        <v>175.32871249897633</v>
      </c>
      <c r="CT177" s="149">
        <f t="shared" si="544"/>
        <v>7.4514702812064924</v>
      </c>
      <c r="CU177" s="188">
        <f t="shared" si="545"/>
        <v>5.8442904166325444</v>
      </c>
      <c r="CV177" s="188">
        <f t="shared" si="546"/>
        <v>29.22145208316272</v>
      </c>
      <c r="CW177" s="188">
        <f t="shared" si="547"/>
        <v>30</v>
      </c>
      <c r="CX177" s="188">
        <f t="shared" si="548"/>
        <v>13.895976315789476</v>
      </c>
      <c r="CY177" s="188">
        <f t="shared" si="549"/>
        <v>3.2655544342105265</v>
      </c>
      <c r="CZ177" s="188">
        <f t="shared" si="550"/>
        <v>2.1273970255443166</v>
      </c>
      <c r="DA177" s="172">
        <f t="shared" si="551"/>
        <v>350</v>
      </c>
      <c r="DB177" s="379">
        <f t="shared" si="552"/>
        <v>185.42722059757958</v>
      </c>
      <c r="DD177" s="188">
        <f t="shared" si="553"/>
        <v>7.3619779020761014</v>
      </c>
      <c r="DE177" s="150">
        <f t="shared" si="554"/>
        <v>1.1270780501549733</v>
      </c>
      <c r="DF177" s="150">
        <f t="shared" si="555"/>
        <v>1.3928696857096292</v>
      </c>
      <c r="DG177" s="150"/>
      <c r="DH177" s="150">
        <f t="shared" si="556"/>
        <v>0.92784522751949461</v>
      </c>
      <c r="DI177" s="314">
        <f t="shared" si="557"/>
        <v>993.68620180851065</v>
      </c>
      <c r="DJ177" s="456">
        <f t="shared" si="558"/>
        <v>0.94395997276890675</v>
      </c>
      <c r="DL177" s="150">
        <f t="shared" si="559"/>
        <v>10.094808922077341</v>
      </c>
      <c r="DM177" s="150">
        <f t="shared" si="560"/>
        <v>13.895976315789476</v>
      </c>
      <c r="DN177" s="150">
        <f t="shared" si="561"/>
        <v>7.0039779668025295</v>
      </c>
      <c r="DP177" s="314">
        <f t="shared" si="562"/>
        <v>2680</v>
      </c>
      <c r="DQ177" s="144">
        <f t="shared" si="563"/>
        <v>185.42722059757958</v>
      </c>
      <c r="DS177">
        <f t="shared" si="564"/>
        <v>2680</v>
      </c>
      <c r="DT177">
        <f t="shared" si="565"/>
        <v>185.42722059757958</v>
      </c>
      <c r="DV177" s="5">
        <f t="shared" si="566"/>
        <v>5.3929514597548431</v>
      </c>
      <c r="DW177" s="5">
        <f t="shared" si="567"/>
        <v>3.2655544342105265</v>
      </c>
      <c r="DX177" s="5">
        <f t="shared" si="568"/>
        <v>2.1273970255443166</v>
      </c>
      <c r="DY177" s="150">
        <f t="shared" si="569"/>
        <v>0.60552268244575935</v>
      </c>
      <c r="EA177" s="5">
        <f t="shared" si="570"/>
        <v>29.172286278947375</v>
      </c>
      <c r="EB177" s="5">
        <f t="shared" si="571"/>
        <v>30.995554171381581</v>
      </c>
      <c r="EC177" s="5">
        <f t="shared" si="572"/>
        <v>5.0306682604047959</v>
      </c>
      <c r="ED177" s="5"/>
      <c r="EE177" s="150">
        <f t="shared" si="573"/>
        <v>6.2430044708085992</v>
      </c>
      <c r="EF177" s="150">
        <f t="shared" si="574"/>
        <v>4.8335185803861016</v>
      </c>
      <c r="EG177" s="150">
        <f t="shared" si="575"/>
        <v>0.97023590273211757</v>
      </c>
      <c r="EH177" s="150"/>
      <c r="EI177" s="456">
        <f t="shared" si="576"/>
        <v>0.46770125787043393</v>
      </c>
      <c r="EJ177" s="456">
        <f t="shared" si="577"/>
        <v>2.482127659574469</v>
      </c>
      <c r="EK177" s="456">
        <f t="shared" si="578"/>
        <v>2.1324130368721654E-2</v>
      </c>
      <c r="EL177" s="456">
        <f t="shared" si="579"/>
        <v>0.246660587421729</v>
      </c>
      <c r="EM177">
        <f t="shared" si="580"/>
        <v>8.9999999999999993E-3</v>
      </c>
      <c r="EN177" s="144">
        <f t="shared" si="581"/>
        <v>30.324130368721654</v>
      </c>
      <c r="EP177" s="144">
        <f t="shared" si="601"/>
        <v>3226.8136352353531</v>
      </c>
      <c r="EQ177" s="150">
        <f t="shared" si="582"/>
        <v>1.8759999999999999</v>
      </c>
      <c r="ER177" s="150">
        <f t="shared" si="583"/>
        <v>0.27279049999999999</v>
      </c>
      <c r="ES177" s="456"/>
      <c r="EU177" s="144">
        <f t="shared" si="496"/>
        <v>2148.7905000000001</v>
      </c>
      <c r="EV177" s="456">
        <f t="shared" si="584"/>
        <v>0.54565146751550631</v>
      </c>
      <c r="EW177" s="456">
        <f t="shared" si="585"/>
        <v>0.32708062613712746</v>
      </c>
      <c r="EX177" s="456">
        <f t="shared" si="586"/>
        <v>4.706788534752036E-3</v>
      </c>
      <c r="EY177" s="456">
        <f t="shared" si="587"/>
        <v>16.851027564949874</v>
      </c>
      <c r="EZ177" s="456"/>
      <c r="FA177" s="538">
        <f t="shared" si="588"/>
        <v>3.5805654697615261</v>
      </c>
      <c r="FB177" s="144">
        <f t="shared" si="497"/>
        <v>21309.031916898784</v>
      </c>
      <c r="FC177" s="150">
        <f t="shared" si="589"/>
        <v>26.684636052134142</v>
      </c>
      <c r="FD177" s="5">
        <f t="shared" si="590"/>
        <v>83.817000000000007</v>
      </c>
      <c r="FE177" s="150">
        <f t="shared" si="591"/>
        <v>0.75851365639921875</v>
      </c>
      <c r="FF177" s="5">
        <f t="shared" si="592"/>
        <v>75.85136563992188</v>
      </c>
      <c r="FG177">
        <f t="shared" si="593"/>
        <v>67</v>
      </c>
      <c r="FI177" s="59">
        <f t="shared" si="594"/>
        <v>-50</v>
      </c>
      <c r="FJ177">
        <f t="shared" si="595"/>
        <v>-50</v>
      </c>
    </row>
    <row r="178" spans="5:166">
      <c r="E178" s="147">
        <v>68</v>
      </c>
      <c r="F178" s="188">
        <f t="shared" si="596"/>
        <v>2.72</v>
      </c>
      <c r="G178" s="188">
        <f t="shared" si="498"/>
        <v>0.57800000000000007</v>
      </c>
      <c r="H178" s="188">
        <f t="shared" si="499"/>
        <v>81.600000000000009</v>
      </c>
      <c r="I178" s="188">
        <f t="shared" si="500"/>
        <v>3.4680000000000004</v>
      </c>
      <c r="J178" s="465">
        <f t="shared" si="501"/>
        <v>19.781134181333805</v>
      </c>
      <c r="K178" s="379">
        <f t="shared" si="502"/>
        <v>30.864970778336286</v>
      </c>
      <c r="L178" s="149">
        <f t="shared" si="503"/>
        <v>50.64610495967009</v>
      </c>
      <c r="M178" s="379"/>
      <c r="N178" s="188">
        <f t="shared" si="504"/>
        <v>0.60942437336324906</v>
      </c>
      <c r="O178" s="149">
        <f t="shared" si="505"/>
        <v>175.20682076700388</v>
      </c>
      <c r="P178" s="149">
        <f t="shared" si="506"/>
        <v>7.4462898825976636</v>
      </c>
      <c r="Q178" s="188">
        <f t="shared" si="507"/>
        <v>5.8402273589001288</v>
      </c>
      <c r="R178" s="188">
        <f t="shared" si="508"/>
        <v>29.201136794500645</v>
      </c>
      <c r="S178" s="188">
        <f t="shared" si="509"/>
        <v>30</v>
      </c>
      <c r="T178" s="188">
        <f t="shared" si="510"/>
        <v>14.113190696015151</v>
      </c>
      <c r="U178" s="188">
        <f t="shared" si="511"/>
        <v>3.3532959062511436</v>
      </c>
      <c r="V178" s="188">
        <f t="shared" si="512"/>
        <v>2.1491028372470957</v>
      </c>
      <c r="W178" s="172">
        <f t="shared" si="513"/>
        <v>350</v>
      </c>
      <c r="X178" s="379">
        <f t="shared" si="597"/>
        <v>175.36479733904611</v>
      </c>
      <c r="Z178" s="188">
        <f t="shared" si="514"/>
        <v>7.3283314911086324</v>
      </c>
      <c r="AA178" s="150">
        <f t="shared" si="515"/>
        <v>1.1159303618192882</v>
      </c>
      <c r="AB178" s="150">
        <f t="shared" si="516"/>
        <v>1.3727902466866133</v>
      </c>
      <c r="AC178" s="150"/>
      <c r="AD178" s="150">
        <f t="shared" si="517"/>
        <v>0.92288596964561598</v>
      </c>
      <c r="AE178" s="314">
        <f t="shared" si="518"/>
        <v>1013.9367492598498</v>
      </c>
      <c r="AF178" s="456">
        <f t="shared" si="519"/>
        <v>0.93891458288195784</v>
      </c>
      <c r="AH178" s="150">
        <f t="shared" si="520"/>
        <v>10.16986429691317</v>
      </c>
      <c r="AI178" s="150">
        <f t="shared" si="521"/>
        <v>14.113190696015151</v>
      </c>
      <c r="AJ178" s="150">
        <f t="shared" si="522"/>
        <v>7.164877507710437</v>
      </c>
      <c r="AL178" s="314">
        <f t="shared" si="523"/>
        <v>2720</v>
      </c>
      <c r="AM178" s="144">
        <f t="shared" si="524"/>
        <v>175.36479733904611</v>
      </c>
      <c r="AO178">
        <f t="shared" si="525"/>
        <v>2720</v>
      </c>
      <c r="AP178">
        <f t="shared" si="526"/>
        <v>175.36479733904611</v>
      </c>
      <c r="AR178" s="5">
        <f t="shared" si="442"/>
        <v>5.7023987434982395</v>
      </c>
      <c r="AS178" s="5">
        <f t="shared" si="439"/>
        <v>3.3532959062511436</v>
      </c>
      <c r="AT178" s="5">
        <f t="shared" si="440"/>
        <v>2.3491028372470959</v>
      </c>
      <c r="AU178" s="150">
        <f t="shared" si="441"/>
        <v>0.58805005701758484</v>
      </c>
      <c r="AW178" s="5">
        <f t="shared" si="475"/>
        <v>30.403216216677038</v>
      </c>
      <c r="AX178" s="5">
        <f t="shared" si="476"/>
        <v>32.30341723021936</v>
      </c>
      <c r="AY178" s="5">
        <f t="shared" si="477"/>
        <v>5.7002260413491417</v>
      </c>
      <c r="AZ178" s="5"/>
      <c r="BA178" s="150">
        <f t="shared" si="478"/>
        <v>6.248441822253354</v>
      </c>
      <c r="BB178" s="150">
        <f t="shared" si="479"/>
        <v>5.0166146519104098</v>
      </c>
      <c r="BC178" s="150">
        <f t="shared" si="480"/>
        <v>1.0069889180123239</v>
      </c>
      <c r="BD178" s="150"/>
      <c r="BE178" s="456">
        <f t="shared" si="481"/>
        <v>0.46851630247301779</v>
      </c>
      <c r="BF178" s="456">
        <f t="shared" si="527"/>
        <v>2.2875813482373308</v>
      </c>
      <c r="BG178" s="456">
        <f t="shared" si="482"/>
        <v>2.0166951693990305E-2</v>
      </c>
      <c r="BH178" s="456">
        <f t="shared" si="483"/>
        <v>0.23277957620715145</v>
      </c>
      <c r="BI178">
        <f t="shared" si="484"/>
        <v>8.9015103816002111E-3</v>
      </c>
      <c r="BJ178" s="144">
        <f t="shared" si="598"/>
        <v>29.068462075590517</v>
      </c>
      <c r="BK178">
        <f t="shared" si="528"/>
        <v>3.5056204514138121</v>
      </c>
      <c r="BL178" s="144">
        <f t="shared" si="599"/>
        <v>3017.9456889930912</v>
      </c>
      <c r="BM178" s="150">
        <f t="shared" si="529"/>
        <v>1.8240319999999999</v>
      </c>
      <c r="BN178" s="150">
        <f t="shared" si="530"/>
        <v>0.38760679999999997</v>
      </c>
      <c r="BO178" s="456"/>
      <c r="BQ178" s="144">
        <f t="shared" si="485"/>
        <v>2211.6387999999997</v>
      </c>
      <c r="BR178" s="456">
        <f t="shared" si="486"/>
        <v>0.54660235288518744</v>
      </c>
      <c r="BS178" s="456">
        <f t="shared" si="487"/>
        <v>0.35232991592067081</v>
      </c>
      <c r="BT178" s="456">
        <f t="shared" si="488"/>
        <v>5.070133404998154E-3</v>
      </c>
      <c r="BU178" s="456">
        <f t="shared" si="489"/>
        <v>15.236635310369669</v>
      </c>
      <c r="BV178" s="456"/>
      <c r="BW178" s="538">
        <f t="shared" si="531"/>
        <v>3.4929537652762725</v>
      </c>
      <c r="BX178" s="144">
        <f t="shared" si="490"/>
        <v>19633.591477856797</v>
      </c>
      <c r="BY178" s="150">
        <f t="shared" si="491"/>
        <v>24.863175966849891</v>
      </c>
      <c r="BZ178" s="5">
        <f t="shared" si="492"/>
        <v>85.068000000000012</v>
      </c>
      <c r="CA178" s="150">
        <f t="shared" si="493"/>
        <v>0.77382961886674018</v>
      </c>
      <c r="CB178" s="5">
        <f t="shared" si="494"/>
        <v>77.382961886674025</v>
      </c>
      <c r="CC178">
        <f t="shared" si="495"/>
        <v>68</v>
      </c>
      <c r="CE178" s="59">
        <f t="shared" si="532"/>
        <v>-50</v>
      </c>
      <c r="CF178">
        <f t="shared" si="533"/>
        <v>-50</v>
      </c>
      <c r="CG178" s="150">
        <f t="shared" si="534"/>
        <v>0.39199567588303091</v>
      </c>
      <c r="CH178" s="150">
        <f t="shared" si="535"/>
        <v>8.2740061272353602E-2</v>
      </c>
      <c r="CI178" s="147">
        <v>68</v>
      </c>
      <c r="CJ178" s="188">
        <f t="shared" si="600"/>
        <v>2.72</v>
      </c>
      <c r="CK178" s="188">
        <f t="shared" si="536"/>
        <v>0.57800000000000007</v>
      </c>
      <c r="CL178" s="188">
        <f t="shared" si="537"/>
        <v>81.600000000000009</v>
      </c>
      <c r="CM178" s="188">
        <f t="shared" si="538"/>
        <v>3.4680000000000004</v>
      </c>
      <c r="CN178" s="465">
        <f t="shared" si="539"/>
        <v>20</v>
      </c>
      <c r="CO178" s="379">
        <f t="shared" si="540"/>
        <v>30.7</v>
      </c>
      <c r="CP178" s="379">
        <f t="shared" si="541"/>
        <v>50.7</v>
      </c>
      <c r="CQ178" s="379"/>
      <c r="CR178" s="188">
        <f t="shared" si="542"/>
        <v>0.60317460317460314</v>
      </c>
      <c r="CS178" s="149">
        <f t="shared" si="543"/>
        <v>175.32871249897633</v>
      </c>
      <c r="CT178" s="149">
        <f t="shared" si="544"/>
        <v>7.4514702812064924</v>
      </c>
      <c r="CU178" s="188">
        <f t="shared" si="545"/>
        <v>5.8442904166325444</v>
      </c>
      <c r="CV178" s="188">
        <f t="shared" si="546"/>
        <v>29.22145208316272</v>
      </c>
      <c r="CW178" s="188">
        <f t="shared" si="547"/>
        <v>30</v>
      </c>
      <c r="CX178" s="188">
        <f t="shared" si="548"/>
        <v>14.103378947368423</v>
      </c>
      <c r="CY178" s="188">
        <f t="shared" si="549"/>
        <v>3.3142940526315794</v>
      </c>
      <c r="CZ178" s="188">
        <f t="shared" si="550"/>
        <v>2.1591492199554261</v>
      </c>
      <c r="DA178" s="172">
        <f t="shared" si="551"/>
        <v>350</v>
      </c>
      <c r="DB178" s="379">
        <f t="shared" si="552"/>
        <v>182.70034970643866</v>
      </c>
      <c r="DD178" s="188">
        <f t="shared" si="553"/>
        <v>7.3619779020761014</v>
      </c>
      <c r="DE178" s="150">
        <f t="shared" si="554"/>
        <v>1.1270780501549733</v>
      </c>
      <c r="DF178" s="150">
        <f t="shared" si="555"/>
        <v>1.3928696857096292</v>
      </c>
      <c r="DG178" s="150"/>
      <c r="DH178" s="150">
        <f t="shared" si="556"/>
        <v>0.92784522751949461</v>
      </c>
      <c r="DI178" s="314">
        <f t="shared" si="557"/>
        <v>1008.5173391489362</v>
      </c>
      <c r="DJ178" s="456">
        <f t="shared" si="558"/>
        <v>0.94395997276890675</v>
      </c>
      <c r="DL178" s="150">
        <f t="shared" si="559"/>
        <v>10.16986429691317</v>
      </c>
      <c r="DM178" s="150">
        <f t="shared" si="560"/>
        <v>14.103378947368423</v>
      </c>
      <c r="DN178" s="150">
        <f t="shared" si="561"/>
        <v>7.1576095457498985</v>
      </c>
      <c r="DP178" s="314">
        <f t="shared" si="562"/>
        <v>2720</v>
      </c>
      <c r="DQ178" s="144">
        <f t="shared" si="563"/>
        <v>182.70034970643866</v>
      </c>
      <c r="DS178">
        <f t="shared" si="564"/>
        <v>2720</v>
      </c>
      <c r="DT178">
        <f t="shared" si="565"/>
        <v>182.70034970643866</v>
      </c>
      <c r="DV178" s="5">
        <f t="shared" si="566"/>
        <v>5.4734432725870059</v>
      </c>
      <c r="DW178" s="5">
        <f t="shared" si="567"/>
        <v>3.3142940526315794</v>
      </c>
      <c r="DX178" s="5">
        <f t="shared" si="568"/>
        <v>2.1591492199554265</v>
      </c>
      <c r="DY178" s="150">
        <f t="shared" si="569"/>
        <v>0.60552268244575935</v>
      </c>
      <c r="EA178" s="5">
        <f t="shared" si="570"/>
        <v>30.049599410526319</v>
      </c>
      <c r="EB178" s="5">
        <f t="shared" si="571"/>
        <v>31.92769937368422</v>
      </c>
      <c r="EC178" s="5">
        <f t="shared" si="572"/>
        <v>5.181958127893024</v>
      </c>
      <c r="ED178" s="5"/>
      <c r="EE178" s="150">
        <f t="shared" si="573"/>
        <v>6.3361836420146975</v>
      </c>
      <c r="EF178" s="150">
        <f t="shared" si="574"/>
        <v>4.9056606487500733</v>
      </c>
      <c r="EG178" s="150">
        <f t="shared" si="575"/>
        <v>0.98471703560871648</v>
      </c>
      <c r="EH178" s="150"/>
      <c r="EI178" s="456">
        <f t="shared" si="576"/>
        <v>0.48176667774401566</v>
      </c>
      <c r="EJ178" s="456">
        <f t="shared" si="577"/>
        <v>2.4821276595744686</v>
      </c>
      <c r="EK178" s="456">
        <f t="shared" si="578"/>
        <v>2.1010540216240447E-2</v>
      </c>
      <c r="EL178" s="456">
        <f t="shared" si="579"/>
        <v>0.2430332258419976</v>
      </c>
      <c r="EM178">
        <f t="shared" si="580"/>
        <v>8.9999999999999993E-3</v>
      </c>
      <c r="EN178" s="144">
        <f t="shared" si="581"/>
        <v>30.010540216240443</v>
      </c>
      <c r="EP178" s="144">
        <f t="shared" si="601"/>
        <v>3236.9381033767222</v>
      </c>
      <c r="EQ178" s="150">
        <f t="shared" si="582"/>
        <v>1.9039999999999999</v>
      </c>
      <c r="ER178" s="150">
        <f t="shared" si="583"/>
        <v>0.276862</v>
      </c>
      <c r="ES178" s="456"/>
      <c r="EU178" s="144">
        <f t="shared" si="496"/>
        <v>2180.8620000000001</v>
      </c>
      <c r="EV178" s="456">
        <f t="shared" si="584"/>
        <v>0.56206112403468489</v>
      </c>
      <c r="EW178" s="456">
        <f t="shared" si="585"/>
        <v>0.33691708960972988</v>
      </c>
      <c r="EX178" s="456">
        <f t="shared" si="586"/>
        <v>4.8483382010900914E-3</v>
      </c>
      <c r="EY178" s="456">
        <f t="shared" si="587"/>
        <v>16.851027564949892</v>
      </c>
      <c r="EZ178" s="456"/>
      <c r="FA178" s="538">
        <f t="shared" si="588"/>
        <v>3.6340067454296081</v>
      </c>
      <c r="FB178" s="144">
        <f t="shared" si="497"/>
        <v>21388.860862225007</v>
      </c>
      <c r="FC178" s="150">
        <f t="shared" si="589"/>
        <v>26.806660965601729</v>
      </c>
      <c r="FD178" s="5">
        <f t="shared" si="590"/>
        <v>85.068000000000012</v>
      </c>
      <c r="FE178" s="150">
        <f t="shared" si="591"/>
        <v>0.76038666187472048</v>
      </c>
      <c r="FF178" s="5">
        <f t="shared" si="592"/>
        <v>76.038666187472046</v>
      </c>
      <c r="FG178">
        <f t="shared" si="593"/>
        <v>68</v>
      </c>
      <c r="FI178" s="59">
        <f t="shared" si="594"/>
        <v>-50</v>
      </c>
      <c r="FJ178">
        <f t="shared" si="595"/>
        <v>-50</v>
      </c>
    </row>
    <row r="179" spans="5:166">
      <c r="E179" s="147">
        <v>69</v>
      </c>
      <c r="F179" s="188">
        <f t="shared" si="596"/>
        <v>2.76</v>
      </c>
      <c r="G179" s="188">
        <f t="shared" si="498"/>
        <v>0.58649999999999991</v>
      </c>
      <c r="H179" s="188">
        <f t="shared" si="499"/>
        <v>82.8</v>
      </c>
      <c r="I179" s="188">
        <f t="shared" si="500"/>
        <v>3.5189999999999992</v>
      </c>
      <c r="J179" s="465">
        <f t="shared" si="501"/>
        <v>19.777915566353418</v>
      </c>
      <c r="K179" s="379">
        <f t="shared" si="502"/>
        <v>30.867396819194173</v>
      </c>
      <c r="L179" s="149">
        <f t="shared" si="503"/>
        <v>50.645312385547591</v>
      </c>
      <c r="M179" s="379"/>
      <c r="N179" s="188">
        <f t="shared" si="504"/>
        <v>0.60948181312832916</v>
      </c>
      <c r="O179" s="149">
        <f t="shared" si="505"/>
        <v>175.19482362154042</v>
      </c>
      <c r="P179" s="149">
        <f t="shared" si="506"/>
        <v>7.4457800039154662</v>
      </c>
      <c r="Q179" s="188">
        <f t="shared" si="507"/>
        <v>5.8398274540513473</v>
      </c>
      <c r="R179" s="188">
        <f t="shared" si="508"/>
        <v>29.199137270256738</v>
      </c>
      <c r="S179" s="188">
        <f t="shared" si="509"/>
        <v>30</v>
      </c>
      <c r="T179" s="188">
        <f t="shared" si="510"/>
        <v>14.321718286101312</v>
      </c>
      <c r="U179" s="188">
        <f t="shared" si="511"/>
        <v>3.403395859328513</v>
      </c>
      <c r="V179" s="188">
        <f t="shared" si="512"/>
        <v>2.1806852174466398</v>
      </c>
      <c r="W179" s="172">
        <f t="shared" si="513"/>
        <v>350</v>
      </c>
      <c r="X179" s="379">
        <f t="shared" si="597"/>
        <v>172.88830960812507</v>
      </c>
      <c r="Z179" s="188">
        <f t="shared" si="514"/>
        <v>7.327829689531967</v>
      </c>
      <c r="AA179" s="150">
        <f t="shared" si="515"/>
        <v>1.1157662482047734</v>
      </c>
      <c r="AB179" s="150">
        <f t="shared" si="516"/>
        <v>1.3724943712520008</v>
      </c>
      <c r="AC179" s="150"/>
      <c r="AD179" s="150">
        <f t="shared" si="517"/>
        <v>0.92281343489049406</v>
      </c>
      <c r="AE179" s="314">
        <f t="shared" si="518"/>
        <v>1028.9284530330592</v>
      </c>
      <c r="AF179" s="456">
        <f t="shared" si="519"/>
        <v>0.93884078834873308</v>
      </c>
      <c r="AH179" s="150">
        <f t="shared" si="520"/>
        <v>10.244369793306277</v>
      </c>
      <c r="AI179" s="150">
        <f t="shared" si="521"/>
        <v>14.321718286101312</v>
      </c>
      <c r="AJ179" s="150">
        <f t="shared" si="522"/>
        <v>7.3193423892557421</v>
      </c>
      <c r="AL179" s="314">
        <f t="shared" si="523"/>
        <v>2760</v>
      </c>
      <c r="AM179" s="144">
        <f t="shared" si="524"/>
        <v>172.88830960812507</v>
      </c>
      <c r="AO179">
        <f t="shared" si="525"/>
        <v>2760</v>
      </c>
      <c r="AP179">
        <f t="shared" si="526"/>
        <v>172.88830960812507</v>
      </c>
      <c r="AR179" s="5">
        <f t="shared" si="442"/>
        <v>5.784081076775152</v>
      </c>
      <c r="AS179" s="5">
        <f t="shared" ref="AS179:AS242" si="602">L*AI179/J179*1000000</f>
        <v>3.403395859328513</v>
      </c>
      <c r="AT179" s="5">
        <f t="shared" ref="AT179:AT242" si="603">AR179-AS179</f>
        <v>2.3806852174466391</v>
      </c>
      <c r="AU179" s="150">
        <f t="shared" ref="AU179:AU242" si="604">AS179/AR179</f>
        <v>0.58840735704659886</v>
      </c>
      <c r="AW179" s="5">
        <f t="shared" si="475"/>
        <v>31.311241905822317</v>
      </c>
      <c r="AX179" s="5">
        <f t="shared" si="476"/>
        <v>33.268194524936206</v>
      </c>
      <c r="AY179" s="5">
        <f t="shared" si="477"/>
        <v>5.8627702060577285</v>
      </c>
      <c r="AZ179" s="5"/>
      <c r="BA179" s="150">
        <f t="shared" si="478"/>
        <v>6.3426908875609334</v>
      </c>
      <c r="BB179" s="150">
        <f t="shared" si="479"/>
        <v>5.088528805993815</v>
      </c>
      <c r="BC179" s="150">
        <f t="shared" si="480"/>
        <v>1.0214243014800659</v>
      </c>
      <c r="BD179" s="150"/>
      <c r="BE179" s="456">
        <f t="shared" si="481"/>
        <v>0.48275673234178196</v>
      </c>
      <c r="BF179" s="456">
        <f t="shared" si="527"/>
        <v>2.2885630293512422</v>
      </c>
      <c r="BG179" s="456">
        <f t="shared" si="482"/>
        <v>1.9882155604934386E-2</v>
      </c>
      <c r="BH179" s="456">
        <f t="shared" si="483"/>
        <v>0.22948509881900275</v>
      </c>
      <c r="BI179">
        <f t="shared" si="484"/>
        <v>8.900062004859037E-3</v>
      </c>
      <c r="BJ179" s="144">
        <f t="shared" si="598"/>
        <v>28.782217609793424</v>
      </c>
      <c r="BK179">
        <f t="shared" si="528"/>
        <v>3.5368347309944141</v>
      </c>
      <c r="BL179" s="144">
        <f t="shared" si="599"/>
        <v>3029.5870781218205</v>
      </c>
      <c r="BM179" s="150">
        <f t="shared" si="529"/>
        <v>1.8508559999999996</v>
      </c>
      <c r="BN179" s="150">
        <f t="shared" si="530"/>
        <v>0.3933068999999999</v>
      </c>
      <c r="BO179" s="456"/>
      <c r="BQ179" s="144">
        <f t="shared" si="485"/>
        <v>2244.1628999999998</v>
      </c>
      <c r="BR179" s="456">
        <f t="shared" si="486"/>
        <v>0.56321618773207893</v>
      </c>
      <c r="BS179" s="456">
        <f t="shared" si="487"/>
        <v>0.36250375573200377</v>
      </c>
      <c r="BT179" s="456">
        <f t="shared" si="488"/>
        <v>5.2165380182702028E-3</v>
      </c>
      <c r="BU179" s="456">
        <f t="shared" si="489"/>
        <v>15.25358376508707</v>
      </c>
      <c r="BV179" s="456"/>
      <c r="BW179" s="538">
        <f t="shared" si="531"/>
        <v>3.5461400340675433</v>
      </c>
      <c r="BX179" s="144">
        <f t="shared" si="490"/>
        <v>19730.660280636966</v>
      </c>
      <c r="BY179" s="150">
        <f t="shared" si="491"/>
        <v>25.004410258758785</v>
      </c>
      <c r="BZ179" s="5">
        <f t="shared" si="492"/>
        <v>86.319000000000003</v>
      </c>
      <c r="CA179" s="150">
        <f t="shared" si="493"/>
        <v>0.7753894692891744</v>
      </c>
      <c r="CB179" s="5">
        <f t="shared" si="494"/>
        <v>77.53894692891744</v>
      </c>
      <c r="CC179">
        <f t="shared" si="495"/>
        <v>69</v>
      </c>
      <c r="CE179" s="59">
        <f t="shared" si="532"/>
        <v>-50</v>
      </c>
      <c r="CF179">
        <f t="shared" si="533"/>
        <v>-50</v>
      </c>
      <c r="CG179" s="150">
        <f t="shared" si="534"/>
        <v>0.39199567588303091</v>
      </c>
      <c r="CH179" s="150">
        <f t="shared" si="535"/>
        <v>8.2740061272353588E-2</v>
      </c>
      <c r="CI179" s="147">
        <v>69</v>
      </c>
      <c r="CJ179" s="188">
        <f t="shared" si="600"/>
        <v>2.76</v>
      </c>
      <c r="CK179" s="188">
        <f t="shared" si="536"/>
        <v>0.58649999999999991</v>
      </c>
      <c r="CL179" s="188">
        <f t="shared" si="537"/>
        <v>82.8</v>
      </c>
      <c r="CM179" s="188">
        <f t="shared" si="538"/>
        <v>3.5189999999999992</v>
      </c>
      <c r="CN179" s="465">
        <f t="shared" si="539"/>
        <v>20</v>
      </c>
      <c r="CO179" s="379">
        <f t="shared" si="540"/>
        <v>30.7</v>
      </c>
      <c r="CP179" s="379">
        <f t="shared" si="541"/>
        <v>50.7</v>
      </c>
      <c r="CQ179" s="379"/>
      <c r="CR179" s="188">
        <f t="shared" si="542"/>
        <v>0.60317460317460314</v>
      </c>
      <c r="CS179" s="149">
        <f t="shared" si="543"/>
        <v>175.32871249897633</v>
      </c>
      <c r="CT179" s="149">
        <f t="shared" si="544"/>
        <v>7.4514702812064924</v>
      </c>
      <c r="CU179" s="188">
        <f t="shared" si="545"/>
        <v>5.8442904166325444</v>
      </c>
      <c r="CV179" s="188">
        <f t="shared" si="546"/>
        <v>29.22145208316272</v>
      </c>
      <c r="CW179" s="188">
        <f t="shared" si="547"/>
        <v>30</v>
      </c>
      <c r="CX179" s="188">
        <f t="shared" si="548"/>
        <v>14.310781578947369</v>
      </c>
      <c r="CY179" s="188">
        <f t="shared" si="549"/>
        <v>3.3630336710526318</v>
      </c>
      <c r="CZ179" s="188">
        <f t="shared" si="550"/>
        <v>2.1909014143665351</v>
      </c>
      <c r="DA179" s="172">
        <f t="shared" si="551"/>
        <v>350</v>
      </c>
      <c r="DB179" s="379">
        <f t="shared" si="552"/>
        <v>180.0525185512729</v>
      </c>
      <c r="DD179" s="188">
        <f t="shared" si="553"/>
        <v>7.3619779020761014</v>
      </c>
      <c r="DE179" s="150">
        <f t="shared" si="554"/>
        <v>1.1270780501549733</v>
      </c>
      <c r="DF179" s="150">
        <f t="shared" si="555"/>
        <v>1.3928696857096292</v>
      </c>
      <c r="DG179" s="150"/>
      <c r="DH179" s="150">
        <f t="shared" si="556"/>
        <v>0.92784522751949461</v>
      </c>
      <c r="DI179" s="314">
        <f t="shared" si="557"/>
        <v>1023.3484764893616</v>
      </c>
      <c r="DJ179" s="456">
        <f t="shared" si="558"/>
        <v>0.94395997276890675</v>
      </c>
      <c r="DL179" s="150">
        <f t="shared" si="559"/>
        <v>10.244369793306277</v>
      </c>
      <c r="DM179" s="150">
        <f t="shared" si="560"/>
        <v>14.310781578947369</v>
      </c>
      <c r="DN179" s="150">
        <f t="shared" si="561"/>
        <v>7.3112411246972657</v>
      </c>
      <c r="DP179" s="314">
        <f t="shared" si="562"/>
        <v>2760</v>
      </c>
      <c r="DQ179" s="144">
        <f t="shared" si="563"/>
        <v>180.0525185512729</v>
      </c>
      <c r="DS179">
        <f t="shared" si="564"/>
        <v>2760</v>
      </c>
      <c r="DT179">
        <f t="shared" si="565"/>
        <v>180.0525185512729</v>
      </c>
      <c r="DV179" s="5">
        <f t="shared" si="566"/>
        <v>5.5539350854191669</v>
      </c>
      <c r="DW179" s="5">
        <f t="shared" si="567"/>
        <v>3.3630336710526318</v>
      </c>
      <c r="DX179" s="5">
        <f t="shared" si="568"/>
        <v>2.1909014143665351</v>
      </c>
      <c r="DY179" s="150">
        <f t="shared" si="569"/>
        <v>0.60552268244575935</v>
      </c>
      <c r="EA179" s="5">
        <f t="shared" si="570"/>
        <v>30.939909773684214</v>
      </c>
      <c r="EB179" s="5">
        <f t="shared" si="571"/>
        <v>32.873654134539471</v>
      </c>
      <c r="EC179" s="5">
        <f t="shared" si="572"/>
        <v>5.3354893267514427</v>
      </c>
      <c r="ED179" s="5"/>
      <c r="EE179" s="150">
        <f t="shared" si="573"/>
        <v>6.4293628132207949</v>
      </c>
      <c r="EF179" s="150">
        <f t="shared" si="574"/>
        <v>4.9778027171140442</v>
      </c>
      <c r="EG179" s="150">
        <f t="shared" si="575"/>
        <v>0.99919816848531506</v>
      </c>
      <c r="EH179" s="150"/>
      <c r="EI179" s="456">
        <f t="shared" si="576"/>
        <v>0.49604047420831693</v>
      </c>
      <c r="EJ179" s="456">
        <f t="shared" si="577"/>
        <v>2.4821276595744681</v>
      </c>
      <c r="EK179" s="456">
        <f t="shared" si="578"/>
        <v>2.0706039633396386E-2</v>
      </c>
      <c r="EL179" s="456">
        <f t="shared" si="579"/>
        <v>0.23951100517762083</v>
      </c>
      <c r="EM179">
        <f t="shared" si="580"/>
        <v>8.9999999999999993E-3</v>
      </c>
      <c r="EN179" s="144">
        <f t="shared" si="581"/>
        <v>29.706039633396387</v>
      </c>
      <c r="EP179" s="144">
        <f t="shared" si="601"/>
        <v>3247.3851785938018</v>
      </c>
      <c r="EQ179" s="150">
        <f t="shared" si="582"/>
        <v>1.9319999999999997</v>
      </c>
      <c r="ER179" s="150">
        <f t="shared" si="583"/>
        <v>0.28093349999999995</v>
      </c>
      <c r="ES179" s="456"/>
      <c r="EU179" s="144">
        <f t="shared" si="496"/>
        <v>2212.9334999999996</v>
      </c>
      <c r="EV179" s="456">
        <f t="shared" si="584"/>
        <v>0.5787138865763698</v>
      </c>
      <c r="EW179" s="456">
        <f t="shared" si="585"/>
        <v>0.34689927846711149</v>
      </c>
      <c r="EX179" s="456">
        <f t="shared" si="586"/>
        <v>4.9919848995220407E-3</v>
      </c>
      <c r="EY179" s="456">
        <f t="shared" si="587"/>
        <v>16.851027564949906</v>
      </c>
      <c r="EZ179" s="456"/>
      <c r="FA179" s="538">
        <f t="shared" si="588"/>
        <v>3.6874480210976892</v>
      </c>
      <c r="FB179" s="144">
        <f t="shared" si="497"/>
        <v>21469.080735990599</v>
      </c>
      <c r="FC179" s="150">
        <f t="shared" si="589"/>
        <v>26.929399414584402</v>
      </c>
      <c r="FD179" s="5">
        <f t="shared" si="590"/>
        <v>86.319000000000003</v>
      </c>
      <c r="FE179" s="150">
        <f t="shared" si="591"/>
        <v>0.76220944795872869</v>
      </c>
      <c r="FF179" s="5">
        <f t="shared" si="592"/>
        <v>76.220944795872867</v>
      </c>
      <c r="FG179">
        <f t="shared" si="593"/>
        <v>69</v>
      </c>
      <c r="FI179" s="59">
        <f t="shared" si="594"/>
        <v>-50</v>
      </c>
      <c r="FJ179">
        <f t="shared" si="595"/>
        <v>-50</v>
      </c>
    </row>
    <row r="180" spans="5:166">
      <c r="E180" s="147">
        <v>70</v>
      </c>
      <c r="F180" s="188">
        <f t="shared" si="596"/>
        <v>2.8</v>
      </c>
      <c r="G180" s="188">
        <f t="shared" si="498"/>
        <v>0.59499999999999997</v>
      </c>
      <c r="H180" s="188">
        <f t="shared" si="499"/>
        <v>84</v>
      </c>
      <c r="I180" s="188">
        <f t="shared" si="500"/>
        <v>3.57</v>
      </c>
      <c r="J180" s="465">
        <f t="shared" si="501"/>
        <v>19.774696951373034</v>
      </c>
      <c r="K180" s="379">
        <f t="shared" si="502"/>
        <v>30.869822860052061</v>
      </c>
      <c r="L180" s="149">
        <f t="shared" si="503"/>
        <v>50.644519811425099</v>
      </c>
      <c r="M180" s="379"/>
      <c r="N180" s="188">
        <f t="shared" si="504"/>
        <v>0.60953925469124526</v>
      </c>
      <c r="O180" s="149">
        <f t="shared" si="505"/>
        <v>175.1828216188527</v>
      </c>
      <c r="P180" s="149">
        <f t="shared" si="506"/>
        <v>7.4452699188012383</v>
      </c>
      <c r="Q180" s="188">
        <f t="shared" si="507"/>
        <v>5.8394273872950899</v>
      </c>
      <c r="R180" s="188">
        <f t="shared" si="508"/>
        <v>29.197136936475449</v>
      </c>
      <c r="S180" s="188">
        <f t="shared" si="509"/>
        <v>30</v>
      </c>
      <c r="T180" s="188">
        <f t="shared" si="510"/>
        <v>14.53027484049047</v>
      </c>
      <c r="U180" s="188">
        <f t="shared" si="511"/>
        <v>3.4535190055371947</v>
      </c>
      <c r="V180" s="188">
        <f t="shared" si="512"/>
        <v>2.2122670434458733</v>
      </c>
      <c r="W180" s="172">
        <f t="shared" si="513"/>
        <v>350</v>
      </c>
      <c r="X180" s="379">
        <f t="shared" si="597"/>
        <v>170.48013542419719</v>
      </c>
      <c r="Z180" s="188">
        <f t="shared" si="514"/>
        <v>7.3273276847934099</v>
      </c>
      <c r="AA180" s="150">
        <f t="shared" si="515"/>
        <v>1.1156021294535847</v>
      </c>
      <c r="AB180" s="150">
        <f t="shared" si="516"/>
        <v>1.3721984791011543</v>
      </c>
      <c r="AC180" s="150"/>
      <c r="AD180" s="150">
        <f t="shared" si="517"/>
        <v>0.92274091153629778</v>
      </c>
      <c r="AE180" s="314">
        <f t="shared" si="518"/>
        <v>1043.9225008417848</v>
      </c>
      <c r="AF180" s="456">
        <f t="shared" si="519"/>
        <v>0.93876700541444436</v>
      </c>
      <c r="AH180" s="150">
        <f t="shared" si="520"/>
        <v>10.318337322765862</v>
      </c>
      <c r="AI180" s="150">
        <f t="shared" si="521"/>
        <v>14.53027484049047</v>
      </c>
      <c r="AJ180" s="150">
        <f t="shared" si="522"/>
        <v>7.4738287258403036</v>
      </c>
      <c r="AL180" s="314">
        <f t="shared" si="523"/>
        <v>2800</v>
      </c>
      <c r="AM180" s="144">
        <f t="shared" si="524"/>
        <v>170.48013542419719</v>
      </c>
      <c r="AO180">
        <f t="shared" si="525"/>
        <v>2800</v>
      </c>
      <c r="AP180">
        <f t="shared" si="526"/>
        <v>170.48013542419719</v>
      </c>
      <c r="AR180" s="5">
        <f t="shared" si="442"/>
        <v>5.8657860489830682</v>
      </c>
      <c r="AS180" s="5">
        <f t="shared" si="602"/>
        <v>3.4535190055371947</v>
      </c>
      <c r="AT180" s="5">
        <f t="shared" si="603"/>
        <v>2.4122670434458735</v>
      </c>
      <c r="AU180" s="150">
        <f t="shared" si="604"/>
        <v>0.58875638775401973</v>
      </c>
      <c r="AW180" s="5">
        <f t="shared" si="475"/>
        <v>32.23284405168048</v>
      </c>
      <c r="AX180" s="5">
        <f t="shared" si="476"/>
        <v>34.247396804910515</v>
      </c>
      <c r="AY180" s="5">
        <f t="shared" si="477"/>
        <v>6.0276206432698753</v>
      </c>
      <c r="AZ180" s="5"/>
      <c r="BA180" s="150">
        <f t="shared" si="478"/>
        <v>6.4369630734126302</v>
      </c>
      <c r="BB180" s="150">
        <f t="shared" si="479"/>
        <v>5.1604398545062926</v>
      </c>
      <c r="BC180" s="150">
        <f t="shared" si="480"/>
        <v>1.035859061564167</v>
      </c>
      <c r="BD180" s="150"/>
      <c r="BE180" s="456">
        <f t="shared" si="481"/>
        <v>0.49721392330173331</v>
      </c>
      <c r="BF180" s="456">
        <f t="shared" si="527"/>
        <v>2.2895120691929312</v>
      </c>
      <c r="BG180" s="456">
        <f t="shared" si="482"/>
        <v>1.9605215573782676E-2</v>
      </c>
      <c r="BH180" s="456">
        <f t="shared" si="483"/>
        <v>0.22628150117515786</v>
      </c>
      <c r="BI180">
        <f t="shared" si="484"/>
        <v>8.8986136281178647E-3</v>
      </c>
      <c r="BJ180" s="144">
        <f t="shared" si="598"/>
        <v>28.50382920190054</v>
      </c>
      <c r="BK180">
        <f t="shared" si="528"/>
        <v>3.5688751227739388</v>
      </c>
      <c r="BL180" s="144">
        <f t="shared" si="599"/>
        <v>3041.5113228717228</v>
      </c>
      <c r="BM180" s="150">
        <f t="shared" si="529"/>
        <v>1.8776799999999996</v>
      </c>
      <c r="BN180" s="150">
        <f t="shared" si="530"/>
        <v>0.39900699999999995</v>
      </c>
      <c r="BO180" s="456"/>
      <c r="BQ180" s="144">
        <f t="shared" si="485"/>
        <v>2276.6869999999994</v>
      </c>
      <c r="BR180" s="456">
        <f t="shared" si="486"/>
        <v>0.58008291051868888</v>
      </c>
      <c r="BS180" s="456">
        <f t="shared" si="487"/>
        <v>0.372821952887677</v>
      </c>
      <c r="BT180" s="456">
        <f t="shared" si="488"/>
        <v>5.3650199771229836E-3</v>
      </c>
      <c r="BU180" s="456">
        <f t="shared" si="489"/>
        <v>15.269999795577913</v>
      </c>
      <c r="BV180" s="456"/>
      <c r="BW180" s="538">
        <f t="shared" si="531"/>
        <v>3.5993281237523673</v>
      </c>
      <c r="BX180" s="144">
        <f t="shared" si="490"/>
        <v>19827.597802713772</v>
      </c>
      <c r="BY180" s="150">
        <f t="shared" si="491"/>
        <v>25.145796125585495</v>
      </c>
      <c r="BZ180" s="5">
        <f t="shared" si="492"/>
        <v>87.57</v>
      </c>
      <c r="CA180" s="150">
        <f t="shared" si="493"/>
        <v>0.77690974122590062</v>
      </c>
      <c r="CB180" s="5">
        <f t="shared" si="494"/>
        <v>77.690974122590063</v>
      </c>
      <c r="CC180">
        <f t="shared" si="495"/>
        <v>70</v>
      </c>
      <c r="CE180" s="59">
        <f t="shared" si="532"/>
        <v>-50</v>
      </c>
      <c r="CF180">
        <f t="shared" si="533"/>
        <v>-50</v>
      </c>
      <c r="CG180" s="150">
        <f t="shared" si="534"/>
        <v>0.39199567588303097</v>
      </c>
      <c r="CH180" s="150">
        <f t="shared" si="535"/>
        <v>8.2740061272353602E-2</v>
      </c>
      <c r="CI180" s="147">
        <v>70</v>
      </c>
      <c r="CJ180" s="188">
        <f t="shared" si="600"/>
        <v>2.8</v>
      </c>
      <c r="CK180" s="188">
        <f t="shared" si="536"/>
        <v>0.59499999999999997</v>
      </c>
      <c r="CL180" s="188">
        <f t="shared" si="537"/>
        <v>84</v>
      </c>
      <c r="CM180" s="188">
        <f t="shared" si="538"/>
        <v>3.57</v>
      </c>
      <c r="CN180" s="465">
        <f t="shared" si="539"/>
        <v>20</v>
      </c>
      <c r="CO180" s="379">
        <f t="shared" si="540"/>
        <v>30.7</v>
      </c>
      <c r="CP180" s="379">
        <f t="shared" si="541"/>
        <v>50.7</v>
      </c>
      <c r="CQ180" s="379"/>
      <c r="CR180" s="188">
        <f t="shared" si="542"/>
        <v>0.60317460317460314</v>
      </c>
      <c r="CS180" s="149">
        <f t="shared" si="543"/>
        <v>175.32871249897633</v>
      </c>
      <c r="CT180" s="149">
        <f t="shared" si="544"/>
        <v>7.4514702812064924</v>
      </c>
      <c r="CU180" s="188">
        <f t="shared" si="545"/>
        <v>5.8442904166325444</v>
      </c>
      <c r="CV180" s="188">
        <f t="shared" si="546"/>
        <v>29.22145208316272</v>
      </c>
      <c r="CW180" s="188">
        <f t="shared" si="547"/>
        <v>30</v>
      </c>
      <c r="CX180" s="188">
        <f t="shared" si="548"/>
        <v>14.518184210526314</v>
      </c>
      <c r="CY180" s="188">
        <f t="shared" si="549"/>
        <v>3.4117732894736843</v>
      </c>
      <c r="CZ180" s="188">
        <f t="shared" si="550"/>
        <v>2.2226536087776445</v>
      </c>
      <c r="DA180" s="172">
        <f t="shared" si="551"/>
        <v>350</v>
      </c>
      <c r="DB180" s="379">
        <f t="shared" si="552"/>
        <v>177.48033971482616</v>
      </c>
      <c r="DD180" s="188">
        <f t="shared" si="553"/>
        <v>7.3619779020761014</v>
      </c>
      <c r="DE180" s="150">
        <f t="shared" si="554"/>
        <v>1.1270780501549733</v>
      </c>
      <c r="DF180" s="150">
        <f t="shared" si="555"/>
        <v>1.3928696857096292</v>
      </c>
      <c r="DG180" s="150"/>
      <c r="DH180" s="150">
        <f t="shared" si="556"/>
        <v>0.92784522751949461</v>
      </c>
      <c r="DI180" s="314">
        <f t="shared" si="557"/>
        <v>1038.1796138297871</v>
      </c>
      <c r="DJ180" s="456">
        <f t="shared" si="558"/>
        <v>0.94395997276890675</v>
      </c>
      <c r="DL180" s="150">
        <f t="shared" si="559"/>
        <v>10.318337322765862</v>
      </c>
      <c r="DM180" s="150">
        <f t="shared" si="560"/>
        <v>14.518184210526314</v>
      </c>
      <c r="DN180" s="150">
        <f t="shared" si="561"/>
        <v>7.4648727036446321</v>
      </c>
      <c r="DP180" s="314">
        <f t="shared" si="562"/>
        <v>2800</v>
      </c>
      <c r="DQ180" s="144">
        <f t="shared" si="563"/>
        <v>177.48033971482616</v>
      </c>
      <c r="DS180">
        <f t="shared" si="564"/>
        <v>2800</v>
      </c>
      <c r="DT180">
        <f t="shared" si="565"/>
        <v>177.48033971482616</v>
      </c>
      <c r="DV180" s="5">
        <f t="shared" si="566"/>
        <v>5.6344268982513279</v>
      </c>
      <c r="DW180" s="5">
        <f t="shared" si="567"/>
        <v>3.4117732894736843</v>
      </c>
      <c r="DX180" s="5">
        <f t="shared" si="568"/>
        <v>2.2226536087776436</v>
      </c>
      <c r="DY180" s="150">
        <f t="shared" si="569"/>
        <v>0.60552268244575946</v>
      </c>
      <c r="EA180" s="5">
        <f t="shared" si="570"/>
        <v>31.843217368421051</v>
      </c>
      <c r="EB180" s="5">
        <f t="shared" si="571"/>
        <v>33.833418453947367</v>
      </c>
      <c r="EC180" s="5">
        <f t="shared" si="572"/>
        <v>5.49126185698006</v>
      </c>
      <c r="ED180" s="5"/>
      <c r="EE180" s="150">
        <f t="shared" si="573"/>
        <v>6.5225419844268933</v>
      </c>
      <c r="EF180" s="150">
        <f t="shared" si="574"/>
        <v>5.0499447854780142</v>
      </c>
      <c r="EG180" s="150">
        <f t="shared" si="575"/>
        <v>1.0136793013619134</v>
      </c>
      <c r="EH180" s="150"/>
      <c r="EI180" s="456">
        <f t="shared" si="576"/>
        <v>0.51052264726333818</v>
      </c>
      <c r="EJ180" s="456">
        <f t="shared" si="577"/>
        <v>2.4821276595744686</v>
      </c>
      <c r="EK180" s="456">
        <f t="shared" si="578"/>
        <v>2.0410239067205009E-2</v>
      </c>
      <c r="EL180" s="456">
        <f t="shared" si="579"/>
        <v>0.23608941938936914</v>
      </c>
      <c r="EM180">
        <f t="shared" si="580"/>
        <v>8.9999999999999993E-3</v>
      </c>
      <c r="EN180" s="144">
        <f t="shared" si="581"/>
        <v>29.410239067205008</v>
      </c>
      <c r="EP180" s="144">
        <f t="shared" si="601"/>
        <v>3258.1499652943812</v>
      </c>
      <c r="EQ180" s="150">
        <f t="shared" si="582"/>
        <v>1.9599999999999997</v>
      </c>
      <c r="ER180" s="150">
        <f t="shared" si="583"/>
        <v>0.28500499999999995</v>
      </c>
      <c r="ES180" s="456"/>
      <c r="EU180" s="144">
        <f t="shared" si="496"/>
        <v>2245.0050000000001</v>
      </c>
      <c r="EV180" s="456">
        <f t="shared" si="584"/>
        <v>0.59560975514056125</v>
      </c>
      <c r="EW180" s="456">
        <f t="shared" si="585"/>
        <v>0.35702719270927225</v>
      </c>
      <c r="EX180" s="456">
        <f t="shared" si="586"/>
        <v>5.1377286300478839E-3</v>
      </c>
      <c r="EY180" s="456">
        <f t="shared" si="587"/>
        <v>16.851027564949874</v>
      </c>
      <c r="EZ180" s="456"/>
      <c r="FA180" s="538">
        <f t="shared" si="588"/>
        <v>3.7408892967657716</v>
      </c>
      <c r="FB180" s="144">
        <f t="shared" si="497"/>
        <v>21549.69153819553</v>
      </c>
      <c r="FC180" s="150">
        <f t="shared" si="589"/>
        <v>27.05284650348991</v>
      </c>
      <c r="FD180" s="5">
        <f t="shared" si="590"/>
        <v>87.57</v>
      </c>
      <c r="FE180" s="150">
        <f t="shared" si="591"/>
        <v>0.76398381885703526</v>
      </c>
      <c r="FF180" s="5">
        <f t="shared" si="592"/>
        <v>76.398381885703529</v>
      </c>
      <c r="FG180">
        <f t="shared" si="593"/>
        <v>70</v>
      </c>
      <c r="FI180" s="59">
        <f t="shared" si="594"/>
        <v>-50</v>
      </c>
      <c r="FJ180">
        <f t="shared" si="595"/>
        <v>-50</v>
      </c>
    </row>
    <row r="181" spans="5:166">
      <c r="E181" s="147">
        <v>71</v>
      </c>
      <c r="F181" s="188">
        <f t="shared" si="596"/>
        <v>2.84</v>
      </c>
      <c r="G181" s="188">
        <f t="shared" si="498"/>
        <v>0.60349999999999993</v>
      </c>
      <c r="H181" s="188">
        <f t="shared" si="499"/>
        <v>85.199999999999989</v>
      </c>
      <c r="I181" s="188">
        <f t="shared" si="500"/>
        <v>3.6209999999999996</v>
      </c>
      <c r="J181" s="465">
        <f t="shared" si="501"/>
        <v>19.771478336392647</v>
      </c>
      <c r="K181" s="379">
        <f t="shared" si="502"/>
        <v>30.872248900909945</v>
      </c>
      <c r="L181" s="149">
        <f t="shared" si="503"/>
        <v>50.643727237302592</v>
      </c>
      <c r="M181" s="379"/>
      <c r="N181" s="188">
        <f t="shared" si="504"/>
        <v>0.60959669805208194</v>
      </c>
      <c r="O181" s="149">
        <f t="shared" si="505"/>
        <v>175.17081475871274</v>
      </c>
      <c r="P181" s="149">
        <f t="shared" si="506"/>
        <v>7.4447596272452898</v>
      </c>
      <c r="Q181" s="188">
        <f t="shared" si="507"/>
        <v>5.8390271586237583</v>
      </c>
      <c r="R181" s="188">
        <f t="shared" si="508"/>
        <v>29.195135793118791</v>
      </c>
      <c r="S181" s="188">
        <f t="shared" si="509"/>
        <v>30</v>
      </c>
      <c r="T181" s="188">
        <f t="shared" si="510"/>
        <v>14.738860382504248</v>
      </c>
      <c r="U181" s="188">
        <f t="shared" si="511"/>
        <v>3.5036653617480034</v>
      </c>
      <c r="V181" s="188">
        <f t="shared" si="512"/>
        <v>2.2438483189259393</v>
      </c>
      <c r="W181" s="172">
        <f t="shared" si="513"/>
        <v>350</v>
      </c>
      <c r="X181" s="379">
        <f t="shared" si="597"/>
        <v>168.13748629943208</v>
      </c>
      <c r="Z181" s="188">
        <f t="shared" si="514"/>
        <v>7.3268254768834211</v>
      </c>
      <c r="AA181" s="150">
        <f t="shared" si="515"/>
        <v>1.1154380055654802</v>
      </c>
      <c r="AB181" s="150">
        <f t="shared" si="516"/>
        <v>1.3719025702500802</v>
      </c>
      <c r="AC181" s="150"/>
      <c r="AD181" s="150">
        <f t="shared" si="517"/>
        <v>0.92266839958033975</v>
      </c>
      <c r="AE181" s="314">
        <f t="shared" si="518"/>
        <v>1058.9188926860247</v>
      </c>
      <c r="AF181" s="456">
        <f t="shared" si="519"/>
        <v>0.93869323407635752</v>
      </c>
      <c r="AH181" s="150">
        <f t="shared" si="520"/>
        <v>10.391778372865726</v>
      </c>
      <c r="AI181" s="150">
        <f t="shared" si="521"/>
        <v>14.738860382504248</v>
      </c>
      <c r="AJ181" s="150">
        <f t="shared" si="522"/>
        <v>7.6283365347393977</v>
      </c>
      <c r="AL181" s="314">
        <f t="shared" si="523"/>
        <v>2840</v>
      </c>
      <c r="AM181" s="144">
        <f t="shared" si="524"/>
        <v>168.13748629943208</v>
      </c>
      <c r="AO181">
        <f t="shared" si="525"/>
        <v>2840</v>
      </c>
      <c r="AP181">
        <f t="shared" si="526"/>
        <v>168.13748629943208</v>
      </c>
      <c r="AR181" s="5">
        <f t="shared" si="442"/>
        <v>5.9475136806739428</v>
      </c>
      <c r="AS181" s="5">
        <f t="shared" si="602"/>
        <v>3.5036653617480034</v>
      </c>
      <c r="AT181" s="5">
        <f t="shared" si="603"/>
        <v>2.4438483189259395</v>
      </c>
      <c r="AU181" s="150">
        <f t="shared" si="604"/>
        <v>0.58909748675869966</v>
      </c>
      <c r="AW181" s="5">
        <f t="shared" si="475"/>
        <v>33.168032091214435</v>
      </c>
      <c r="AX181" s="5">
        <f t="shared" si="476"/>
        <v>35.241034096915335</v>
      </c>
      <c r="AY181" s="5">
        <f t="shared" si="477"/>
        <v>6.1947784292783519</v>
      </c>
      <c r="AZ181" s="5"/>
      <c r="BA181" s="150">
        <f t="shared" si="478"/>
        <v>6.5312583423847412</v>
      </c>
      <c r="BB181" s="150">
        <f t="shared" si="479"/>
        <v>5.2323479010180565</v>
      </c>
      <c r="BC181" s="150">
        <f t="shared" si="480"/>
        <v>1.050293219054355</v>
      </c>
      <c r="BD181" s="150"/>
      <c r="BE181" s="456">
        <f t="shared" si="481"/>
        <v>0.51188802641964337</v>
      </c>
      <c r="BF181" s="456">
        <f t="shared" si="527"/>
        <v>2.2904297976680885</v>
      </c>
      <c r="BG181" s="456">
        <f t="shared" si="482"/>
        <v>1.933581092443469E-2</v>
      </c>
      <c r="BH181" s="456">
        <f t="shared" si="483"/>
        <v>0.22316507366003438</v>
      </c>
      <c r="BI181">
        <f t="shared" si="484"/>
        <v>8.8971652513766906E-3</v>
      </c>
      <c r="BJ181" s="144">
        <f t="shared" si="598"/>
        <v>28.23297617581138</v>
      </c>
      <c r="BK181">
        <f t="shared" si="528"/>
        <v>3.6017546110133991</v>
      </c>
      <c r="BL181" s="144">
        <f t="shared" si="599"/>
        <v>3053.7158739235774</v>
      </c>
      <c r="BM181" s="150">
        <f t="shared" si="529"/>
        <v>1.9045039999999998</v>
      </c>
      <c r="BN181" s="150">
        <f t="shared" si="530"/>
        <v>0.40470709999999993</v>
      </c>
      <c r="BO181" s="456"/>
      <c r="BQ181" s="144">
        <f t="shared" si="485"/>
        <v>2309.2110999999995</v>
      </c>
      <c r="BR181" s="456">
        <f t="shared" si="486"/>
        <v>0.59720269748958388</v>
      </c>
      <c r="BS181" s="456">
        <f t="shared" si="487"/>
        <v>0.38328450380203288</v>
      </c>
      <c r="BT181" s="456">
        <f t="shared" si="488"/>
        <v>5.5155792299577963E-3</v>
      </c>
      <c r="BU181" s="456">
        <f t="shared" si="489"/>
        <v>15.28590451504857</v>
      </c>
      <c r="BV181" s="456"/>
      <c r="BW181" s="538">
        <f t="shared" si="531"/>
        <v>3.6525179602501963</v>
      </c>
      <c r="BX181" s="144">
        <f t="shared" si="490"/>
        <v>19924.425255820341</v>
      </c>
      <c r="BY181" s="150">
        <f t="shared" si="491"/>
        <v>25.287352229743917</v>
      </c>
      <c r="BZ181" s="5">
        <f t="shared" si="492"/>
        <v>88.820999999999984</v>
      </c>
      <c r="CA181" s="150">
        <f t="shared" si="493"/>
        <v>0.77839175016013928</v>
      </c>
      <c r="CB181" s="5">
        <f t="shared" si="494"/>
        <v>77.839175016013925</v>
      </c>
      <c r="CC181">
        <f t="shared" si="495"/>
        <v>71</v>
      </c>
      <c r="CE181" s="59">
        <f t="shared" si="532"/>
        <v>-50</v>
      </c>
      <c r="CF181">
        <f t="shared" si="533"/>
        <v>-50</v>
      </c>
      <c r="CG181" s="150">
        <f t="shared" si="534"/>
        <v>0.39199567588303097</v>
      </c>
      <c r="CH181" s="150">
        <f t="shared" si="535"/>
        <v>8.2740061272353616E-2</v>
      </c>
      <c r="CI181" s="147">
        <v>71</v>
      </c>
      <c r="CJ181" s="188">
        <f t="shared" si="600"/>
        <v>2.84</v>
      </c>
      <c r="CK181" s="188">
        <f t="shared" si="536"/>
        <v>0.60349999999999993</v>
      </c>
      <c r="CL181" s="188">
        <f t="shared" si="537"/>
        <v>85.199999999999989</v>
      </c>
      <c r="CM181" s="188">
        <f t="shared" si="538"/>
        <v>3.6209999999999996</v>
      </c>
      <c r="CN181" s="465">
        <f t="shared" si="539"/>
        <v>20</v>
      </c>
      <c r="CO181" s="379">
        <f t="shared" si="540"/>
        <v>30.7</v>
      </c>
      <c r="CP181" s="379">
        <f t="shared" si="541"/>
        <v>50.7</v>
      </c>
      <c r="CQ181" s="379"/>
      <c r="CR181" s="188">
        <f t="shared" si="542"/>
        <v>0.60317460317460314</v>
      </c>
      <c r="CS181" s="149">
        <f t="shared" si="543"/>
        <v>175.32871249897633</v>
      </c>
      <c r="CT181" s="149">
        <f t="shared" si="544"/>
        <v>7.4514702812064924</v>
      </c>
      <c r="CU181" s="188">
        <f t="shared" si="545"/>
        <v>5.8442904166325444</v>
      </c>
      <c r="CV181" s="188">
        <f t="shared" si="546"/>
        <v>29.22145208316272</v>
      </c>
      <c r="CW181" s="188">
        <f t="shared" si="547"/>
        <v>30</v>
      </c>
      <c r="CX181" s="188">
        <f t="shared" si="548"/>
        <v>14.72558684210526</v>
      </c>
      <c r="CY181" s="188">
        <f t="shared" si="549"/>
        <v>3.4605129078947359</v>
      </c>
      <c r="CZ181" s="188">
        <f t="shared" si="550"/>
        <v>2.2544058031887531</v>
      </c>
      <c r="DA181" s="172">
        <f t="shared" si="551"/>
        <v>350</v>
      </c>
      <c r="DB181" s="379">
        <f t="shared" si="552"/>
        <v>174.9806166202512</v>
      </c>
      <c r="DD181" s="188">
        <f t="shared" si="553"/>
        <v>7.3619779020761014</v>
      </c>
      <c r="DE181" s="150">
        <f t="shared" si="554"/>
        <v>1.1270780501549733</v>
      </c>
      <c r="DF181" s="150">
        <f t="shared" si="555"/>
        <v>1.3928696857096292</v>
      </c>
      <c r="DG181" s="150"/>
      <c r="DH181" s="150">
        <f t="shared" si="556"/>
        <v>0.92784522751949461</v>
      </c>
      <c r="DI181" s="314">
        <f t="shared" si="557"/>
        <v>1053.0107511702126</v>
      </c>
      <c r="DJ181" s="456">
        <f t="shared" si="558"/>
        <v>0.94395997276890675</v>
      </c>
      <c r="DL181" s="150">
        <f t="shared" si="559"/>
        <v>10.391778372865726</v>
      </c>
      <c r="DM181" s="150">
        <f t="shared" si="560"/>
        <v>14.72558684210526</v>
      </c>
      <c r="DN181" s="150">
        <f t="shared" si="561"/>
        <v>7.6185042825920002</v>
      </c>
      <c r="DP181" s="314">
        <f t="shared" si="562"/>
        <v>2840</v>
      </c>
      <c r="DQ181" s="144">
        <f t="shared" si="563"/>
        <v>174.9806166202512</v>
      </c>
      <c r="DS181">
        <f t="shared" si="564"/>
        <v>2840</v>
      </c>
      <c r="DT181">
        <f t="shared" si="565"/>
        <v>174.9806166202512</v>
      </c>
      <c r="DV181" s="5">
        <f t="shared" si="566"/>
        <v>5.714918711083488</v>
      </c>
      <c r="DW181" s="5">
        <f t="shared" si="567"/>
        <v>3.4605129078947359</v>
      </c>
      <c r="DX181" s="5">
        <f t="shared" si="568"/>
        <v>2.2544058031887522</v>
      </c>
      <c r="DY181" s="150">
        <f t="shared" si="569"/>
        <v>0.60552268244575946</v>
      </c>
      <c r="EA181" s="5">
        <f t="shared" si="570"/>
        <v>32.759522194736832</v>
      </c>
      <c r="EB181" s="5">
        <f t="shared" si="571"/>
        <v>34.806992331907878</v>
      </c>
      <c r="EC181" s="5">
        <f t="shared" si="572"/>
        <v>5.6492757185788722</v>
      </c>
      <c r="ED181" s="5"/>
      <c r="EE181" s="150">
        <f t="shared" si="573"/>
        <v>6.6157211556329916</v>
      </c>
      <c r="EF181" s="150">
        <f t="shared" si="574"/>
        <v>5.122086853841985</v>
      </c>
      <c r="EG181" s="150">
        <f t="shared" si="575"/>
        <v>1.0281604342385122</v>
      </c>
      <c r="EH181" s="150"/>
      <c r="EI181" s="456">
        <f t="shared" si="576"/>
        <v>0.52521319690907908</v>
      </c>
      <c r="EJ181" s="456">
        <f t="shared" si="577"/>
        <v>2.482127659574469</v>
      </c>
      <c r="EK181" s="456">
        <f t="shared" si="578"/>
        <v>2.0122770911328889E-2</v>
      </c>
      <c r="EL181" s="456">
        <f t="shared" si="579"/>
        <v>0.2327642162993781</v>
      </c>
      <c r="EM181">
        <f t="shared" si="580"/>
        <v>8.9999999999999993E-3</v>
      </c>
      <c r="EN181" s="144">
        <f t="shared" si="581"/>
        <v>29.122770911328885</v>
      </c>
      <c r="EP181" s="144">
        <f t="shared" si="601"/>
        <v>3269.2278436942547</v>
      </c>
      <c r="EQ181" s="150">
        <f t="shared" si="582"/>
        <v>1.9879999999999998</v>
      </c>
      <c r="ER181" s="150">
        <f t="shared" si="583"/>
        <v>0.28907649999999996</v>
      </c>
      <c r="ES181" s="456"/>
      <c r="EU181" s="144">
        <f t="shared" si="496"/>
        <v>2277.0764999999997</v>
      </c>
      <c r="EV181" s="456">
        <f t="shared" si="584"/>
        <v>0.61274872972725891</v>
      </c>
      <c r="EW181" s="456">
        <f t="shared" si="585"/>
        <v>0.36730083233621241</v>
      </c>
      <c r="EX181" s="456">
        <f t="shared" si="586"/>
        <v>5.2855693926676306E-3</v>
      </c>
      <c r="EY181" s="456">
        <f t="shared" si="587"/>
        <v>16.851027564949892</v>
      </c>
      <c r="EZ181" s="456"/>
      <c r="FA181" s="538">
        <f t="shared" si="588"/>
        <v>3.7943305724338545</v>
      </c>
      <c r="FB181" s="144">
        <f t="shared" si="497"/>
        <v>21630.693268839885</v>
      </c>
      <c r="FC181" s="150">
        <f t="shared" si="589"/>
        <v>27.176997612534141</v>
      </c>
      <c r="FD181" s="5">
        <f t="shared" si="590"/>
        <v>88.820999999999984</v>
      </c>
      <c r="FE181" s="150">
        <f t="shared" si="591"/>
        <v>0.76571149354394086</v>
      </c>
      <c r="FF181" s="5">
        <f t="shared" si="592"/>
        <v>76.57114935439408</v>
      </c>
      <c r="FG181">
        <f t="shared" si="593"/>
        <v>71</v>
      </c>
      <c r="FI181" s="59">
        <f t="shared" si="594"/>
        <v>-50</v>
      </c>
      <c r="FJ181">
        <f t="shared" si="595"/>
        <v>-50</v>
      </c>
    </row>
    <row r="182" spans="5:166">
      <c r="E182" s="147">
        <v>72</v>
      </c>
      <c r="F182" s="188">
        <f t="shared" si="596"/>
        <v>2.88</v>
      </c>
      <c r="G182" s="188">
        <f t="shared" si="498"/>
        <v>0.61199999999999999</v>
      </c>
      <c r="H182" s="188">
        <f t="shared" si="499"/>
        <v>86.399999999999991</v>
      </c>
      <c r="I182" s="188">
        <f t="shared" si="500"/>
        <v>3.6719999999999997</v>
      </c>
      <c r="J182" s="465">
        <f t="shared" si="501"/>
        <v>19.768259721412264</v>
      </c>
      <c r="K182" s="379">
        <f t="shared" si="502"/>
        <v>30.874674941767832</v>
      </c>
      <c r="L182" s="149">
        <f t="shared" si="503"/>
        <v>50.6429346631801</v>
      </c>
      <c r="M182" s="379"/>
      <c r="N182" s="188">
        <f t="shared" si="504"/>
        <v>0.60965414321092326</v>
      </c>
      <c r="O182" s="149">
        <f t="shared" si="505"/>
        <v>175.15880304089234</v>
      </c>
      <c r="P182" s="149">
        <f t="shared" si="506"/>
        <v>7.4442491292379236</v>
      </c>
      <c r="Q182" s="188">
        <f t="shared" si="507"/>
        <v>5.8386267680297443</v>
      </c>
      <c r="R182" s="188">
        <f t="shared" si="508"/>
        <v>29.193133840148722</v>
      </c>
      <c r="S182" s="188">
        <f t="shared" si="509"/>
        <v>30</v>
      </c>
      <c r="T182" s="188">
        <f t="shared" si="510"/>
        <v>14.947474935476583</v>
      </c>
      <c r="U182" s="188">
        <f t="shared" si="511"/>
        <v>3.5538349448456659</v>
      </c>
      <c r="V182" s="188">
        <f t="shared" si="512"/>
        <v>2.2754290475686987</v>
      </c>
      <c r="W182" s="172">
        <f t="shared" si="513"/>
        <v>350</v>
      </c>
      <c r="X182" s="379">
        <f t="shared" si="597"/>
        <v>165.85772347307005</v>
      </c>
      <c r="Z182" s="188">
        <f t="shared" si="514"/>
        <v>7.3263230657924616</v>
      </c>
      <c r="AA182" s="150">
        <f t="shared" si="515"/>
        <v>1.1152738765402188</v>
      </c>
      <c r="AB182" s="150">
        <f t="shared" si="516"/>
        <v>1.3716066447147881</v>
      </c>
      <c r="AC182" s="150"/>
      <c r="AD182" s="150">
        <f t="shared" si="517"/>
        <v>0.92259589901993266</v>
      </c>
      <c r="AE182" s="314">
        <f t="shared" si="518"/>
        <v>1073.9176285657802</v>
      </c>
      <c r="AF182" s="456">
        <f t="shared" si="519"/>
        <v>0.93861947433173876</v>
      </c>
      <c r="AH182" s="150">
        <f t="shared" si="520"/>
        <v>10.464704028071543</v>
      </c>
      <c r="AI182" s="150">
        <f t="shared" si="521"/>
        <v>14.947474935476583</v>
      </c>
      <c r="AJ182" s="150">
        <f t="shared" si="522"/>
        <v>7.7828658332374241</v>
      </c>
      <c r="AL182" s="314">
        <f t="shared" si="523"/>
        <v>2880</v>
      </c>
      <c r="AM182" s="144">
        <f t="shared" si="524"/>
        <v>165.85772347307005</v>
      </c>
      <c r="AO182">
        <f t="shared" si="525"/>
        <v>2880</v>
      </c>
      <c r="AP182">
        <f t="shared" si="526"/>
        <v>165.85772347307005</v>
      </c>
      <c r="AR182" s="5">
        <f t="shared" si="442"/>
        <v>6.0292639924143643</v>
      </c>
      <c r="AS182" s="5">
        <f t="shared" si="602"/>
        <v>3.5538349448456659</v>
      </c>
      <c r="AT182" s="5">
        <f t="shared" si="603"/>
        <v>2.4754290475686984</v>
      </c>
      <c r="AU182" s="150">
        <f t="shared" si="604"/>
        <v>0.5894309735511456</v>
      </c>
      <c r="AW182" s="5">
        <f t="shared" si="475"/>
        <v>34.116815470518389</v>
      </c>
      <c r="AX182" s="5">
        <f t="shared" si="476"/>
        <v>36.249116437425791</v>
      </c>
      <c r="AY182" s="5">
        <f t="shared" si="477"/>
        <v>6.3642446416045173</v>
      </c>
      <c r="AZ182" s="5"/>
      <c r="BA182" s="150">
        <f t="shared" si="478"/>
        <v>6.6255766597384396</v>
      </c>
      <c r="BB182" s="150">
        <f t="shared" si="479"/>
        <v>5.3042530438444935</v>
      </c>
      <c r="BC182" s="150">
        <f t="shared" si="480"/>
        <v>1.0647267936855542</v>
      </c>
      <c r="BD182" s="150"/>
      <c r="BE182" s="456">
        <f t="shared" si="481"/>
        <v>0.52677919288884933</v>
      </c>
      <c r="BF182" s="456">
        <f t="shared" si="527"/>
        <v>2.2913174732734949</v>
      </c>
      <c r="BG182" s="456">
        <f t="shared" si="482"/>
        <v>1.907363819940306E-2</v>
      </c>
      <c r="BH182" s="456">
        <f t="shared" si="483"/>
        <v>0.22013230584481669</v>
      </c>
      <c r="BI182">
        <f t="shared" si="484"/>
        <v>8.8957168746355182E-3</v>
      </c>
      <c r="BJ182" s="144">
        <f t="shared" si="598"/>
        <v>27.969355074038578</v>
      </c>
      <c r="BK182">
        <f t="shared" si="528"/>
        <v>3.6354868337258344</v>
      </c>
      <c r="BL182" s="144">
        <f t="shared" si="599"/>
        <v>3066.1983270811993</v>
      </c>
      <c r="BM182" s="150">
        <f t="shared" si="529"/>
        <v>1.9313279999999999</v>
      </c>
      <c r="BN182" s="150">
        <f t="shared" si="530"/>
        <v>0.41040719999999992</v>
      </c>
      <c r="BO182" s="456"/>
      <c r="BQ182" s="144">
        <f t="shared" si="485"/>
        <v>2341.7352000000001</v>
      </c>
      <c r="BR182" s="456">
        <f t="shared" si="486"/>
        <v>0.61457572503699087</v>
      </c>
      <c r="BS182" s="456">
        <f t="shared" si="487"/>
        <v>0.39389140494387004</v>
      </c>
      <c r="BT182" s="456">
        <f t="shared" si="488"/>
        <v>5.6682157259596031E-3</v>
      </c>
      <c r="BU182" s="456">
        <f t="shared" si="489"/>
        <v>15.301317933853605</v>
      </c>
      <c r="BV182" s="456"/>
      <c r="BW182" s="538">
        <f t="shared" si="531"/>
        <v>3.705709473458159</v>
      </c>
      <c r="BX182" s="144">
        <f t="shared" si="490"/>
        <v>20021.162753018587</v>
      </c>
      <c r="BY182" s="150">
        <f t="shared" si="491"/>
        <v>25.429096280099785</v>
      </c>
      <c r="BZ182" s="5">
        <f t="shared" si="492"/>
        <v>90.071999999999989</v>
      </c>
      <c r="CA182" s="150">
        <f t="shared" si="493"/>
        <v>0.77983675394359797</v>
      </c>
      <c r="CB182" s="5">
        <f t="shared" si="494"/>
        <v>77.983675394359793</v>
      </c>
      <c r="CC182">
        <f t="shared" si="495"/>
        <v>72</v>
      </c>
      <c r="CE182" s="59">
        <f t="shared" si="532"/>
        <v>-50</v>
      </c>
      <c r="CF182">
        <f t="shared" si="533"/>
        <v>-50</v>
      </c>
      <c r="CG182" s="150">
        <f t="shared" si="534"/>
        <v>0.39199567588303091</v>
      </c>
      <c r="CH182" s="150">
        <f t="shared" si="535"/>
        <v>8.2740061272353602E-2</v>
      </c>
      <c r="CI182" s="147">
        <v>72</v>
      </c>
      <c r="CJ182" s="188">
        <f t="shared" si="600"/>
        <v>2.88</v>
      </c>
      <c r="CK182" s="188">
        <f t="shared" si="536"/>
        <v>0.61199999999999999</v>
      </c>
      <c r="CL182" s="188">
        <f t="shared" si="537"/>
        <v>86.399999999999991</v>
      </c>
      <c r="CM182" s="188">
        <f t="shared" si="538"/>
        <v>3.6719999999999997</v>
      </c>
      <c r="CN182" s="465">
        <f t="shared" si="539"/>
        <v>20</v>
      </c>
      <c r="CO182" s="379">
        <f t="shared" si="540"/>
        <v>30.7</v>
      </c>
      <c r="CP182" s="379">
        <f t="shared" si="541"/>
        <v>50.7</v>
      </c>
      <c r="CQ182" s="379"/>
      <c r="CR182" s="188">
        <f t="shared" si="542"/>
        <v>0.60317460317460314</v>
      </c>
      <c r="CS182" s="149">
        <f t="shared" si="543"/>
        <v>175.32871249897633</v>
      </c>
      <c r="CT182" s="149">
        <f t="shared" si="544"/>
        <v>7.4514702812064924</v>
      </c>
      <c r="CU182" s="188">
        <f t="shared" si="545"/>
        <v>5.8442904166325444</v>
      </c>
      <c r="CV182" s="188">
        <f t="shared" si="546"/>
        <v>29.22145208316272</v>
      </c>
      <c r="CW182" s="188">
        <f t="shared" si="547"/>
        <v>30</v>
      </c>
      <c r="CX182" s="188">
        <f t="shared" si="548"/>
        <v>14.932989473684209</v>
      </c>
      <c r="CY182" s="188">
        <f t="shared" si="549"/>
        <v>3.5092525263157888</v>
      </c>
      <c r="CZ182" s="188">
        <f t="shared" si="550"/>
        <v>2.2861579975998625</v>
      </c>
      <c r="DA182" s="172">
        <f t="shared" si="551"/>
        <v>350</v>
      </c>
      <c r="DB182" s="379">
        <f t="shared" si="552"/>
        <v>172.55033027830325</v>
      </c>
      <c r="DD182" s="188">
        <f t="shared" si="553"/>
        <v>7.3619779020761014</v>
      </c>
      <c r="DE182" s="150">
        <f t="shared" si="554"/>
        <v>1.1270780501549733</v>
      </c>
      <c r="DF182" s="150">
        <f t="shared" si="555"/>
        <v>1.3928696857096292</v>
      </c>
      <c r="DG182" s="150"/>
      <c r="DH182" s="150">
        <f t="shared" si="556"/>
        <v>0.92784522751949461</v>
      </c>
      <c r="DI182" s="314">
        <f t="shared" si="557"/>
        <v>1067.841888510638</v>
      </c>
      <c r="DJ182" s="456">
        <f t="shared" si="558"/>
        <v>0.94395997276890675</v>
      </c>
      <c r="DL182" s="150">
        <f t="shared" si="559"/>
        <v>10.464704028071543</v>
      </c>
      <c r="DM182" s="150">
        <f t="shared" si="560"/>
        <v>14.932989473684209</v>
      </c>
      <c r="DN182" s="150">
        <f t="shared" si="561"/>
        <v>7.7721358615393692</v>
      </c>
      <c r="DP182" s="314">
        <f t="shared" si="562"/>
        <v>2880</v>
      </c>
      <c r="DQ182" s="144">
        <f t="shared" si="563"/>
        <v>172.55033027830325</v>
      </c>
      <c r="DS182">
        <f t="shared" si="564"/>
        <v>2880</v>
      </c>
      <c r="DT182">
        <f t="shared" si="565"/>
        <v>172.55033027830325</v>
      </c>
      <c r="DV182" s="5">
        <f t="shared" si="566"/>
        <v>5.7954105239156508</v>
      </c>
      <c r="DW182" s="5">
        <f t="shared" si="567"/>
        <v>3.5092525263157888</v>
      </c>
      <c r="DX182" s="5">
        <f t="shared" si="568"/>
        <v>2.286157997599862</v>
      </c>
      <c r="DY182" s="150">
        <f t="shared" si="569"/>
        <v>0.60552268244575935</v>
      </c>
      <c r="EA182" s="5">
        <f t="shared" si="570"/>
        <v>33.688824252631576</v>
      </c>
      <c r="EB182" s="5">
        <f t="shared" si="571"/>
        <v>35.794375768421048</v>
      </c>
      <c r="EC182" s="5">
        <f t="shared" si="572"/>
        <v>5.809530911547883</v>
      </c>
      <c r="ED182" s="5"/>
      <c r="EE182" s="150">
        <f t="shared" si="573"/>
        <v>6.7089003268390899</v>
      </c>
      <c r="EF182" s="150">
        <f t="shared" si="574"/>
        <v>5.1942289222059586</v>
      </c>
      <c r="EG182" s="150">
        <f t="shared" si="575"/>
        <v>1.0426415671151115</v>
      </c>
      <c r="EH182" s="150"/>
      <c r="EI182" s="456">
        <f t="shared" si="576"/>
        <v>0.54011212314553969</v>
      </c>
      <c r="EJ182" s="456">
        <f t="shared" si="577"/>
        <v>2.482127659574469</v>
      </c>
      <c r="EK182" s="456">
        <f t="shared" si="578"/>
        <v>1.9843287982004874E-2</v>
      </c>
      <c r="EL182" s="456">
        <f t="shared" si="579"/>
        <v>0.22953137996188672</v>
      </c>
      <c r="EM182">
        <f t="shared" si="580"/>
        <v>8.9999999999999993E-3</v>
      </c>
      <c r="EN182" s="144">
        <f t="shared" si="581"/>
        <v>28.843287982004874</v>
      </c>
      <c r="EP182" s="144">
        <f t="shared" si="601"/>
        <v>3280.6144506638998</v>
      </c>
      <c r="EQ182" s="150">
        <f t="shared" si="582"/>
        <v>2.016</v>
      </c>
      <c r="ER182" s="150">
        <f t="shared" si="583"/>
        <v>0.29314799999999996</v>
      </c>
      <c r="ES182" s="456"/>
      <c r="EU182" s="144">
        <f t="shared" si="496"/>
        <v>2309.1480000000001</v>
      </c>
      <c r="EV182" s="456">
        <f t="shared" si="584"/>
        <v>0.63013081033646301</v>
      </c>
      <c r="EW182" s="456">
        <f t="shared" si="585"/>
        <v>0.37772019734793227</v>
      </c>
      <c r="EX182" s="456">
        <f t="shared" si="586"/>
        <v>5.435507187381278E-3</v>
      </c>
      <c r="EY182" s="456">
        <f t="shared" si="587"/>
        <v>16.851027564949906</v>
      </c>
      <c r="EZ182" s="456"/>
      <c r="FA182" s="538">
        <f t="shared" si="588"/>
        <v>3.8477718481019378</v>
      </c>
      <c r="FB182" s="144">
        <f t="shared" si="497"/>
        <v>21712.085927923621</v>
      </c>
      <c r="FC182" s="150">
        <f t="shared" si="589"/>
        <v>27.301848378587522</v>
      </c>
      <c r="FD182" s="5">
        <f t="shared" si="590"/>
        <v>90.071999999999989</v>
      </c>
      <c r="FE182" s="150">
        <f t="shared" si="591"/>
        <v>0.76739411073473673</v>
      </c>
      <c r="FF182" s="5">
        <f t="shared" si="592"/>
        <v>76.739411073473676</v>
      </c>
      <c r="FG182">
        <f t="shared" si="593"/>
        <v>72</v>
      </c>
      <c r="FI182" s="59">
        <f t="shared" si="594"/>
        <v>-50</v>
      </c>
      <c r="FJ182">
        <f t="shared" si="595"/>
        <v>-50</v>
      </c>
    </row>
    <row r="183" spans="5:166">
      <c r="E183" s="147">
        <v>73</v>
      </c>
      <c r="F183" s="188">
        <f t="shared" si="596"/>
        <v>2.92</v>
      </c>
      <c r="G183" s="188">
        <f t="shared" si="498"/>
        <v>0.62049999999999994</v>
      </c>
      <c r="H183" s="188">
        <f t="shared" si="499"/>
        <v>87.6</v>
      </c>
      <c r="I183" s="188">
        <f t="shared" si="500"/>
        <v>3.7229999999999999</v>
      </c>
      <c r="J183" s="465">
        <f t="shared" si="501"/>
        <v>19.765041106431877</v>
      </c>
      <c r="K183" s="379">
        <f t="shared" si="502"/>
        <v>30.877100982625716</v>
      </c>
      <c r="L183" s="149">
        <f t="shared" si="503"/>
        <v>50.642142089057593</v>
      </c>
      <c r="M183" s="379"/>
      <c r="N183" s="188">
        <f t="shared" si="504"/>
        <v>0.60971159016785403</v>
      </c>
      <c r="O183" s="149">
        <f t="shared" si="505"/>
        <v>175.14678646516361</v>
      </c>
      <c r="P183" s="149">
        <f t="shared" si="506"/>
        <v>7.4437384247694522</v>
      </c>
      <c r="Q183" s="188">
        <f t="shared" si="507"/>
        <v>5.8382262155054541</v>
      </c>
      <c r="R183" s="188">
        <f t="shared" si="508"/>
        <v>29.19113107752727</v>
      </c>
      <c r="S183" s="188">
        <f t="shared" si="509"/>
        <v>30</v>
      </c>
      <c r="T183" s="188">
        <f t="shared" si="510"/>
        <v>15.156118522753708</v>
      </c>
      <c r="U183" s="188">
        <f t="shared" si="511"/>
        <v>3.6040277717288314</v>
      </c>
      <c r="V183" s="188">
        <f t="shared" si="512"/>
        <v>2.3070092330567258</v>
      </c>
      <c r="W183" s="172">
        <f t="shared" si="513"/>
        <v>350</v>
      </c>
      <c r="X183" s="379">
        <f t="shared" si="597"/>
        <v>163.63834799509468</v>
      </c>
      <c r="Z183" s="188">
        <f t="shared" si="514"/>
        <v>7.3258204515109924</v>
      </c>
      <c r="AA183" s="150">
        <f t="shared" si="515"/>
        <v>1.11510974237756</v>
      </c>
      <c r="AB183" s="150">
        <f t="shared" si="516"/>
        <v>1.3713107025112898</v>
      </c>
      <c r="AC183" s="150"/>
      <c r="AD183" s="150">
        <f t="shared" si="517"/>
        <v>0.92252340985239079</v>
      </c>
      <c r="AE183" s="314">
        <f t="shared" si="518"/>
        <v>1088.9187084810501</v>
      </c>
      <c r="AF183" s="456">
        <f t="shared" si="519"/>
        <v>0.93854572617785559</v>
      </c>
      <c r="AH183" s="150">
        <f t="shared" si="520"/>
        <v>10.53712498927073</v>
      </c>
      <c r="AI183" s="150">
        <f t="shared" si="521"/>
        <v>15.156118522753708</v>
      </c>
      <c r="AJ183" s="150">
        <f t="shared" si="522"/>
        <v>7.9374166386278882</v>
      </c>
      <c r="AL183" s="314">
        <f t="shared" si="523"/>
        <v>2920</v>
      </c>
      <c r="AM183" s="144">
        <f t="shared" si="524"/>
        <v>163.63834799509468</v>
      </c>
      <c r="AO183">
        <f t="shared" si="525"/>
        <v>2920</v>
      </c>
      <c r="AP183">
        <f t="shared" si="526"/>
        <v>163.63834799509468</v>
      </c>
      <c r="AR183" s="5">
        <f t="shared" si="442"/>
        <v>6.1110370047855573</v>
      </c>
      <c r="AS183" s="5">
        <f t="shared" si="602"/>
        <v>3.6040277717288314</v>
      </c>
      <c r="AT183" s="5">
        <f t="shared" si="603"/>
        <v>2.507009233056726</v>
      </c>
      <c r="AU183" s="150">
        <f t="shared" si="604"/>
        <v>0.58975715069414814</v>
      </c>
      <c r="AW183" s="5">
        <f t="shared" si="475"/>
        <v>35.079203644827295</v>
      </c>
      <c r="AX183" s="5">
        <f t="shared" si="476"/>
        <v>37.271653872628988</v>
      </c>
      <c r="AY183" s="5">
        <f t="shared" si="477"/>
        <v>6.536020358999437</v>
      </c>
      <c r="AZ183" s="5"/>
      <c r="BA183" s="150">
        <f t="shared" si="478"/>
        <v>6.7199179932414266</v>
      </c>
      <c r="BB183" s="150">
        <f t="shared" si="479"/>
        <v>5.3761553763890779</v>
      </c>
      <c r="BC183" s="150">
        <f t="shared" si="480"/>
        <v>1.0791598042067152</v>
      </c>
      <c r="BD183" s="150"/>
      <c r="BE183" s="456">
        <f t="shared" si="481"/>
        <v>0.54188757403067866</v>
      </c>
      <c r="BF183" s="456">
        <f t="shared" si="527"/>
        <v>2.2921762878263818</v>
      </c>
      <c r="BG183" s="456">
        <f t="shared" si="482"/>
        <v>1.8818410019435888E-2</v>
      </c>
      <c r="BH183" s="456">
        <f t="shared" si="483"/>
        <v>0.21717987329544361</v>
      </c>
      <c r="BI183">
        <f t="shared" si="484"/>
        <v>8.8942684978943441E-3</v>
      </c>
      <c r="BJ183" s="144">
        <f t="shared" si="598"/>
        <v>27.712678517330232</v>
      </c>
      <c r="BK183">
        <f t="shared" si="528"/>
        <v>3.6700860944724414</v>
      </c>
      <c r="BL183" s="144">
        <f t="shared" si="599"/>
        <v>3078.9564136698341</v>
      </c>
      <c r="BM183" s="150">
        <f t="shared" si="529"/>
        <v>1.9581519999999999</v>
      </c>
      <c r="BN183" s="150">
        <f t="shared" si="530"/>
        <v>0.41610729999999996</v>
      </c>
      <c r="BO183" s="456"/>
      <c r="BQ183" s="144">
        <f t="shared" si="485"/>
        <v>2374.2592999999997</v>
      </c>
      <c r="BR183" s="456">
        <f t="shared" si="486"/>
        <v>0.63220216970245835</v>
      </c>
      <c r="BS183" s="456">
        <f t="shared" si="487"/>
        <v>0.40464265283508066</v>
      </c>
      <c r="BT183" s="456">
        <f t="shared" si="488"/>
        <v>5.8229294150773788E-3</v>
      </c>
      <c r="BU183" s="456">
        <f t="shared" si="489"/>
        <v>15.316259030535665</v>
      </c>
      <c r="BV183" s="456"/>
      <c r="BW183" s="538">
        <f t="shared" si="531"/>
        <v>3.7589025969876082</v>
      </c>
      <c r="BX183" s="144">
        <f t="shared" si="490"/>
        <v>20117.82937947589</v>
      </c>
      <c r="BY183" s="150">
        <f t="shared" si="491"/>
        <v>25.571045093145724</v>
      </c>
      <c r="BZ183" s="5">
        <f t="shared" si="492"/>
        <v>91.322999999999993</v>
      </c>
      <c r="CA183" s="150">
        <f t="shared" si="493"/>
        <v>0.78124595591871493</v>
      </c>
      <c r="CB183" s="5">
        <f t="shared" si="494"/>
        <v>78.124595591871497</v>
      </c>
      <c r="CC183">
        <f t="shared" si="495"/>
        <v>73</v>
      </c>
      <c r="CE183" s="59">
        <f t="shared" si="532"/>
        <v>-50</v>
      </c>
      <c r="CF183">
        <f t="shared" si="533"/>
        <v>-50</v>
      </c>
      <c r="CG183" s="150">
        <f t="shared" si="534"/>
        <v>0.39199567588303097</v>
      </c>
      <c r="CH183" s="150">
        <f t="shared" si="535"/>
        <v>8.2740061272353602E-2</v>
      </c>
      <c r="CI183" s="147">
        <v>73</v>
      </c>
      <c r="CJ183" s="188">
        <f t="shared" si="600"/>
        <v>2.92</v>
      </c>
      <c r="CK183" s="188">
        <f t="shared" si="536"/>
        <v>0.62049999999999994</v>
      </c>
      <c r="CL183" s="188">
        <f t="shared" si="537"/>
        <v>87.6</v>
      </c>
      <c r="CM183" s="188">
        <f t="shared" si="538"/>
        <v>3.7229999999999999</v>
      </c>
      <c r="CN183" s="465">
        <f t="shared" si="539"/>
        <v>20</v>
      </c>
      <c r="CO183" s="379">
        <f t="shared" si="540"/>
        <v>30.7</v>
      </c>
      <c r="CP183" s="379">
        <f t="shared" si="541"/>
        <v>50.7</v>
      </c>
      <c r="CQ183" s="379"/>
      <c r="CR183" s="188">
        <f t="shared" si="542"/>
        <v>0.60317460317460314</v>
      </c>
      <c r="CS183" s="149">
        <f t="shared" si="543"/>
        <v>175.32871249897633</v>
      </c>
      <c r="CT183" s="149">
        <f t="shared" si="544"/>
        <v>7.4514702812064924</v>
      </c>
      <c r="CU183" s="188">
        <f t="shared" si="545"/>
        <v>5.8442904166325444</v>
      </c>
      <c r="CV183" s="188">
        <f t="shared" si="546"/>
        <v>29.22145208316272</v>
      </c>
      <c r="CW183" s="188">
        <f t="shared" si="547"/>
        <v>30</v>
      </c>
      <c r="CX183" s="188">
        <f t="shared" si="548"/>
        <v>15.140392105263157</v>
      </c>
      <c r="CY183" s="188">
        <f t="shared" si="549"/>
        <v>3.5579921447368421</v>
      </c>
      <c r="CZ183" s="188">
        <f t="shared" si="550"/>
        <v>2.3179101920109719</v>
      </c>
      <c r="DA183" s="172">
        <f t="shared" si="551"/>
        <v>350</v>
      </c>
      <c r="DB183" s="379">
        <f t="shared" si="552"/>
        <v>170.18662712380592</v>
      </c>
      <c r="DD183" s="188">
        <f t="shared" si="553"/>
        <v>7.3619779020761014</v>
      </c>
      <c r="DE183" s="150">
        <f t="shared" si="554"/>
        <v>1.1270780501549733</v>
      </c>
      <c r="DF183" s="150">
        <f t="shared" si="555"/>
        <v>1.3928696857096292</v>
      </c>
      <c r="DG183" s="150"/>
      <c r="DH183" s="150">
        <f t="shared" si="556"/>
        <v>0.92784522751949461</v>
      </c>
      <c r="DI183" s="314">
        <f t="shared" si="557"/>
        <v>1082.6730258510636</v>
      </c>
      <c r="DJ183" s="456">
        <f t="shared" si="558"/>
        <v>0.94395997276890675</v>
      </c>
      <c r="DL183" s="150">
        <f t="shared" si="559"/>
        <v>10.53712498927073</v>
      </c>
      <c r="DM183" s="150">
        <f t="shared" si="560"/>
        <v>15.140392105263157</v>
      </c>
      <c r="DN183" s="150">
        <f t="shared" si="561"/>
        <v>7.9257674404867382</v>
      </c>
      <c r="DP183" s="314">
        <f t="shared" si="562"/>
        <v>2920</v>
      </c>
      <c r="DQ183" s="144">
        <f t="shared" si="563"/>
        <v>170.18662712380592</v>
      </c>
      <c r="DS183">
        <f t="shared" si="564"/>
        <v>2920</v>
      </c>
      <c r="DT183">
        <f t="shared" si="565"/>
        <v>170.18662712380592</v>
      </c>
      <c r="DV183" s="5">
        <f t="shared" si="566"/>
        <v>5.8759023367478136</v>
      </c>
      <c r="DW183" s="5">
        <f t="shared" si="567"/>
        <v>3.5579921447368421</v>
      </c>
      <c r="DX183" s="5">
        <f t="shared" si="568"/>
        <v>2.3179101920109715</v>
      </c>
      <c r="DY183" s="150">
        <f t="shared" si="569"/>
        <v>0.60552268244575946</v>
      </c>
      <c r="EA183" s="5">
        <f t="shared" si="570"/>
        <v>34.631123542105264</v>
      </c>
      <c r="EB183" s="5">
        <f t="shared" si="571"/>
        <v>36.795568763486841</v>
      </c>
      <c r="EC183" s="5">
        <f t="shared" si="572"/>
        <v>5.9720274358870906</v>
      </c>
      <c r="ED183" s="5"/>
      <c r="EE183" s="150">
        <f t="shared" si="573"/>
        <v>6.8020794980451891</v>
      </c>
      <c r="EF183" s="150">
        <f t="shared" si="574"/>
        <v>5.2663709905699294</v>
      </c>
      <c r="EG183" s="150">
        <f t="shared" si="575"/>
        <v>1.0571226999917098</v>
      </c>
      <c r="EH183" s="150"/>
      <c r="EI183" s="456">
        <f t="shared" si="576"/>
        <v>0.55521942597272034</v>
      </c>
      <c r="EJ183" s="456">
        <f t="shared" si="577"/>
        <v>2.4821276595744686</v>
      </c>
      <c r="EK183" s="456">
        <f t="shared" si="578"/>
        <v>1.957146211923768E-2</v>
      </c>
      <c r="EL183" s="456">
        <f t="shared" si="579"/>
        <v>0.22638711448295673</v>
      </c>
      <c r="EM183">
        <f t="shared" si="580"/>
        <v>8.9999999999999993E-3</v>
      </c>
      <c r="EN183" s="144">
        <f t="shared" si="581"/>
        <v>28.57146211923768</v>
      </c>
      <c r="EP183" s="144">
        <f t="shared" si="601"/>
        <v>3292.3056621493834</v>
      </c>
      <c r="EQ183" s="150">
        <f t="shared" si="582"/>
        <v>2.044</v>
      </c>
      <c r="ER183" s="150">
        <f t="shared" si="583"/>
        <v>0.29721949999999997</v>
      </c>
      <c r="ES183" s="456"/>
      <c r="EU183" s="144">
        <f t="shared" si="496"/>
        <v>2341.2195000000002</v>
      </c>
      <c r="EV183" s="456">
        <f t="shared" si="584"/>
        <v>0.64775599696817376</v>
      </c>
      <c r="EW183" s="456">
        <f t="shared" si="585"/>
        <v>0.388285287744431</v>
      </c>
      <c r="EX183" s="456">
        <f t="shared" si="586"/>
        <v>5.5875420141888125E-3</v>
      </c>
      <c r="EY183" s="456">
        <f t="shared" si="587"/>
        <v>16.851027564949906</v>
      </c>
      <c r="EZ183" s="456"/>
      <c r="FA183" s="538">
        <f t="shared" si="588"/>
        <v>3.9012131237700194</v>
      </c>
      <c r="FB183" s="144">
        <f t="shared" si="497"/>
        <v>21793.86951544672</v>
      </c>
      <c r="FC183" s="150">
        <f t="shared" si="589"/>
        <v>27.427394677596102</v>
      </c>
      <c r="FD183" s="5">
        <f t="shared" si="590"/>
        <v>91.322999999999993</v>
      </c>
      <c r="FE183" s="150">
        <f t="shared" si="591"/>
        <v>0.76903323351420694</v>
      </c>
      <c r="FF183" s="5">
        <f t="shared" si="592"/>
        <v>76.903323351420696</v>
      </c>
      <c r="FG183">
        <f t="shared" si="593"/>
        <v>73</v>
      </c>
      <c r="FI183" s="59">
        <f t="shared" si="594"/>
        <v>-50</v>
      </c>
      <c r="FJ183">
        <f t="shared" si="595"/>
        <v>-50</v>
      </c>
    </row>
    <row r="184" spans="5:166">
      <c r="E184" s="147">
        <v>74</v>
      </c>
      <c r="F184" s="188">
        <f t="shared" si="596"/>
        <v>2.96</v>
      </c>
      <c r="G184" s="188">
        <f t="shared" si="498"/>
        <v>0.629</v>
      </c>
      <c r="H184" s="188">
        <f t="shared" si="499"/>
        <v>88.8</v>
      </c>
      <c r="I184" s="188">
        <f t="shared" si="500"/>
        <v>3.774</v>
      </c>
      <c r="J184" s="465">
        <f t="shared" si="501"/>
        <v>19.761822491451493</v>
      </c>
      <c r="K184" s="379">
        <f t="shared" si="502"/>
        <v>30.879527023483604</v>
      </c>
      <c r="L184" s="149">
        <f t="shared" si="503"/>
        <v>50.641349514935101</v>
      </c>
      <c r="M184" s="379"/>
      <c r="N184" s="188">
        <f t="shared" si="504"/>
        <v>0.60976903892295842</v>
      </c>
      <c r="O184" s="149">
        <f t="shared" si="505"/>
        <v>175.13476503129837</v>
      </c>
      <c r="P184" s="149">
        <f t="shared" si="506"/>
        <v>7.4432275138301787</v>
      </c>
      <c r="Q184" s="188">
        <f t="shared" si="507"/>
        <v>5.8378255010432794</v>
      </c>
      <c r="R184" s="188">
        <f t="shared" si="508"/>
        <v>29.189127505216394</v>
      </c>
      <c r="S184" s="188">
        <f t="shared" si="509"/>
        <v>30</v>
      </c>
      <c r="T184" s="188">
        <f t="shared" si="510"/>
        <v>15.364791167694197</v>
      </c>
      <c r="U184" s="188">
        <f t="shared" si="511"/>
        <v>3.6542438593100939</v>
      </c>
      <c r="V184" s="188">
        <f t="shared" si="512"/>
        <v>2.3385888790733169</v>
      </c>
      <c r="W184" s="172">
        <f t="shared" si="513"/>
        <v>350</v>
      </c>
      <c r="X184" s="379">
        <f t="shared" si="597"/>
        <v>161.47699158770465</v>
      </c>
      <c r="Z184" s="188">
        <f t="shared" si="514"/>
        <v>7.3253176340294717</v>
      </c>
      <c r="AA184" s="150">
        <f t="shared" si="515"/>
        <v>1.1149456030772613</v>
      </c>
      <c r="AB184" s="150">
        <f t="shared" si="516"/>
        <v>1.3710147436555973</v>
      </c>
      <c r="AC184" s="150"/>
      <c r="AD184" s="150">
        <f t="shared" si="517"/>
        <v>0.92245093207502848</v>
      </c>
      <c r="AE184" s="314">
        <f t="shared" si="518"/>
        <v>1103.9221324318357</v>
      </c>
      <c r="AF184" s="456">
        <f t="shared" si="519"/>
        <v>0.93847198961197575</v>
      </c>
      <c r="AH184" s="150">
        <f t="shared" si="520"/>
        <v>10.609051592102405</v>
      </c>
      <c r="AI184" s="150">
        <f t="shared" si="521"/>
        <v>15.364791167694197</v>
      </c>
      <c r="AJ184" s="150">
        <f t="shared" si="522"/>
        <v>8.0919889682134336</v>
      </c>
      <c r="AL184" s="314">
        <f t="shared" si="523"/>
        <v>2960</v>
      </c>
      <c r="AM184" s="144">
        <f t="shared" si="524"/>
        <v>161.47699158770465</v>
      </c>
      <c r="AO184">
        <f t="shared" si="525"/>
        <v>2960</v>
      </c>
      <c r="AP184">
        <f t="shared" si="526"/>
        <v>161.47699158770465</v>
      </c>
      <c r="AR184" s="5">
        <f t="shared" si="442"/>
        <v>6.1928327383834114</v>
      </c>
      <c r="AS184" s="5">
        <f t="shared" si="602"/>
        <v>3.6542438593100939</v>
      </c>
      <c r="AT184" s="5">
        <f t="shared" si="603"/>
        <v>2.5385888790733175</v>
      </c>
      <c r="AU184" s="150">
        <f t="shared" si="604"/>
        <v>0.59007630492923735</v>
      </c>
      <c r="AW184" s="5">
        <f t="shared" si="475"/>
        <v>36.055206078526261</v>
      </c>
      <c r="AX184" s="5">
        <f t="shared" si="476"/>
        <v>38.308656458434157</v>
      </c>
      <c r="AY184" s="5">
        <f t="shared" si="477"/>
        <v>6.7101066614450202</v>
      </c>
      <c r="AZ184" s="5"/>
      <c r="BA184" s="150">
        <f t="shared" si="478"/>
        <v>6.8142823130036758</v>
      </c>
      <c r="BB184" s="150">
        <f t="shared" si="479"/>
        <v>5.4480549874597948</v>
      </c>
      <c r="BC184" s="150">
        <f t="shared" si="480"/>
        <v>1.0935922684443333</v>
      </c>
      <c r="BD184" s="150"/>
      <c r="BE184" s="456">
        <f t="shared" si="481"/>
        <v>0.55721332129577672</v>
      </c>
      <c r="BF184" s="456">
        <f t="shared" si="527"/>
        <v>2.2930073708228491</v>
      </c>
      <c r="BG184" s="456">
        <f t="shared" si="482"/>
        <v>1.8569854032586035E-2</v>
      </c>
      <c r="BH184" s="456">
        <f t="shared" si="483"/>
        <v>0.21430462541533024</v>
      </c>
      <c r="BI184">
        <f t="shared" si="484"/>
        <v>8.8928201211531718E-3</v>
      </c>
      <c r="BJ184" s="144">
        <f t="shared" si="598"/>
        <v>27.462674153739208</v>
      </c>
      <c r="BK184">
        <f t="shared" si="528"/>
        <v>3.7055673758156233</v>
      </c>
      <c r="BL184" s="144">
        <f t="shared" si="599"/>
        <v>3091.9879916876948</v>
      </c>
      <c r="BM184" s="150">
        <f t="shared" si="529"/>
        <v>1.9849760000000001</v>
      </c>
      <c r="BN184" s="150">
        <f t="shared" si="530"/>
        <v>0.42180739999999994</v>
      </c>
      <c r="BO184" s="456"/>
      <c r="BQ184" s="144">
        <f t="shared" si="485"/>
        <v>2406.7834000000003</v>
      </c>
      <c r="BR184" s="456">
        <f t="shared" si="486"/>
        <v>0.65008220817840623</v>
      </c>
      <c r="BS184" s="456">
        <f t="shared" si="487"/>
        <v>0.41553824404939765</v>
      </c>
      <c r="BT184" s="456">
        <f t="shared" si="488"/>
        <v>5.9797202480061139E-3</v>
      </c>
      <c r="BU184" s="456">
        <f t="shared" si="489"/>
        <v>15.330745817447694</v>
      </c>
      <c r="BV184" s="456"/>
      <c r="BW184" s="538">
        <f t="shared" si="531"/>
        <v>3.8120972679213607</v>
      </c>
      <c r="BX184" s="144">
        <f t="shared" si="490"/>
        <v>20214.443257844861</v>
      </c>
      <c r="BY184" s="150">
        <f t="shared" si="491"/>
        <v>25.713214649532556</v>
      </c>
      <c r="BZ184" s="5">
        <f t="shared" si="492"/>
        <v>92.573999999999998</v>
      </c>
      <c r="CA184" s="150">
        <f t="shared" si="493"/>
        <v>0.78262050784003157</v>
      </c>
      <c r="CB184" s="5">
        <f t="shared" si="494"/>
        <v>78.262050784003151</v>
      </c>
      <c r="CC184">
        <f t="shared" si="495"/>
        <v>74</v>
      </c>
      <c r="CE184" s="59">
        <f t="shared" si="532"/>
        <v>-50</v>
      </c>
      <c r="CF184">
        <f t="shared" si="533"/>
        <v>-50</v>
      </c>
      <c r="CG184" s="150">
        <f t="shared" si="534"/>
        <v>0.39199567588303091</v>
      </c>
      <c r="CH184" s="150">
        <f t="shared" si="535"/>
        <v>8.2740061272353602E-2</v>
      </c>
      <c r="CI184" s="147">
        <v>74</v>
      </c>
      <c r="CJ184" s="188">
        <f t="shared" si="600"/>
        <v>2.96</v>
      </c>
      <c r="CK184" s="188">
        <f t="shared" si="536"/>
        <v>0.629</v>
      </c>
      <c r="CL184" s="188">
        <f t="shared" si="537"/>
        <v>88.8</v>
      </c>
      <c r="CM184" s="188">
        <f t="shared" si="538"/>
        <v>3.774</v>
      </c>
      <c r="CN184" s="465">
        <f t="shared" si="539"/>
        <v>20</v>
      </c>
      <c r="CO184" s="379">
        <f t="shared" si="540"/>
        <v>30.7</v>
      </c>
      <c r="CP184" s="379">
        <f t="shared" si="541"/>
        <v>50.7</v>
      </c>
      <c r="CQ184" s="379"/>
      <c r="CR184" s="188">
        <f t="shared" si="542"/>
        <v>0.60317460317460314</v>
      </c>
      <c r="CS184" s="149">
        <f t="shared" si="543"/>
        <v>175.32871249897633</v>
      </c>
      <c r="CT184" s="149">
        <f t="shared" si="544"/>
        <v>7.4514702812064924</v>
      </c>
      <c r="CU184" s="188">
        <f t="shared" si="545"/>
        <v>5.8442904166325444</v>
      </c>
      <c r="CV184" s="188">
        <f t="shared" si="546"/>
        <v>29.22145208316272</v>
      </c>
      <c r="CW184" s="188">
        <f t="shared" si="547"/>
        <v>30</v>
      </c>
      <c r="CX184" s="188">
        <f t="shared" si="548"/>
        <v>15.347794736842106</v>
      </c>
      <c r="CY184" s="188">
        <f t="shared" si="549"/>
        <v>3.606731763157895</v>
      </c>
      <c r="CZ184" s="188">
        <f t="shared" si="550"/>
        <v>2.3496623864220814</v>
      </c>
      <c r="DA184" s="172">
        <f t="shared" si="551"/>
        <v>350</v>
      </c>
      <c r="DB184" s="379">
        <f t="shared" si="552"/>
        <v>167.88680783834906</v>
      </c>
      <c r="DD184" s="188">
        <f t="shared" si="553"/>
        <v>7.3619779020761014</v>
      </c>
      <c r="DE184" s="150">
        <f t="shared" si="554"/>
        <v>1.1270780501549733</v>
      </c>
      <c r="DF184" s="150">
        <f t="shared" si="555"/>
        <v>1.3928696857096292</v>
      </c>
      <c r="DG184" s="150"/>
      <c r="DH184" s="150">
        <f t="shared" si="556"/>
        <v>0.92784522751949461</v>
      </c>
      <c r="DI184" s="314">
        <f t="shared" si="557"/>
        <v>1097.5041631914892</v>
      </c>
      <c r="DJ184" s="456">
        <f t="shared" si="558"/>
        <v>0.94395997276890675</v>
      </c>
      <c r="DL184" s="150">
        <f t="shared" si="559"/>
        <v>10.609051592102405</v>
      </c>
      <c r="DM184" s="150">
        <f t="shared" si="560"/>
        <v>15.347794736842106</v>
      </c>
      <c r="DN184" s="150">
        <f t="shared" si="561"/>
        <v>8.0793990194341081</v>
      </c>
      <c r="DP184" s="314">
        <f t="shared" si="562"/>
        <v>2960</v>
      </c>
      <c r="DQ184" s="144">
        <f t="shared" si="563"/>
        <v>167.88680783834906</v>
      </c>
      <c r="DS184">
        <f t="shared" si="564"/>
        <v>2960</v>
      </c>
      <c r="DT184">
        <f t="shared" si="565"/>
        <v>167.88680783834906</v>
      </c>
      <c r="DV184" s="5">
        <f t="shared" si="566"/>
        <v>5.9563941495799764</v>
      </c>
      <c r="DW184" s="5">
        <f t="shared" si="567"/>
        <v>3.606731763157895</v>
      </c>
      <c r="DX184" s="5">
        <f t="shared" si="568"/>
        <v>2.3496623864220814</v>
      </c>
      <c r="DY184" s="150">
        <f t="shared" si="569"/>
        <v>0.60552268244575935</v>
      </c>
      <c r="EA184" s="5">
        <f t="shared" si="570"/>
        <v>35.586420063157895</v>
      </c>
      <c r="EB184" s="5">
        <f t="shared" si="571"/>
        <v>37.810571317105264</v>
      </c>
      <c r="EC184" s="5">
        <f t="shared" si="572"/>
        <v>6.1367652915964932</v>
      </c>
      <c r="ED184" s="5"/>
      <c r="EE184" s="150">
        <f t="shared" si="573"/>
        <v>6.8952586692512874</v>
      </c>
      <c r="EF184" s="150">
        <f t="shared" si="574"/>
        <v>5.338513058933902</v>
      </c>
      <c r="EG184" s="150">
        <f t="shared" si="575"/>
        <v>1.0716038328683091</v>
      </c>
      <c r="EH184" s="150"/>
      <c r="EI184" s="456">
        <f t="shared" si="576"/>
        <v>0.57053510539062036</v>
      </c>
      <c r="EJ184" s="456">
        <f t="shared" si="577"/>
        <v>2.4821276595744681</v>
      </c>
      <c r="EK184" s="456">
        <f t="shared" si="578"/>
        <v>1.9306982901410141E-2</v>
      </c>
      <c r="EL184" s="456">
        <f t="shared" si="579"/>
        <v>0.22332782915210594</v>
      </c>
      <c r="EM184">
        <f t="shared" si="580"/>
        <v>8.9999999999999993E-3</v>
      </c>
      <c r="EN184" s="144">
        <f t="shared" si="581"/>
        <v>28.306982901410141</v>
      </c>
      <c r="EP184" s="144">
        <f t="shared" si="601"/>
        <v>3304.2975770186044</v>
      </c>
      <c r="EQ184" s="150">
        <f t="shared" si="582"/>
        <v>2.0720000000000001</v>
      </c>
      <c r="ER184" s="150">
        <f t="shared" si="583"/>
        <v>0.30129099999999998</v>
      </c>
      <c r="ES184" s="456"/>
      <c r="EU184" s="144">
        <f t="shared" si="496"/>
        <v>2373.2910000000002</v>
      </c>
      <c r="EV184" s="456">
        <f t="shared" si="584"/>
        <v>0.6656242896223904</v>
      </c>
      <c r="EW184" s="456">
        <f t="shared" si="585"/>
        <v>0.39899610352570936</v>
      </c>
      <c r="EX184" s="456">
        <f t="shared" si="586"/>
        <v>5.7416738730902538E-3</v>
      </c>
      <c r="EY184" s="456">
        <f t="shared" si="587"/>
        <v>16.851027564949874</v>
      </c>
      <c r="EZ184" s="456"/>
      <c r="FA184" s="538">
        <f t="shared" si="588"/>
        <v>3.9546543994381027</v>
      </c>
      <c r="FB184" s="144">
        <f t="shared" si="497"/>
        <v>21876.044031409165</v>
      </c>
      <c r="FC184" s="150">
        <f t="shared" si="589"/>
        <v>27.553632608427769</v>
      </c>
      <c r="FD184" s="5">
        <f t="shared" si="590"/>
        <v>92.573999999999998</v>
      </c>
      <c r="FE184" s="150">
        <f t="shared" si="591"/>
        <v>0.77063035364858512</v>
      </c>
      <c r="FF184" s="5">
        <f t="shared" si="592"/>
        <v>77.063035364858507</v>
      </c>
      <c r="FG184">
        <f t="shared" si="593"/>
        <v>74</v>
      </c>
      <c r="FI184" s="59">
        <f t="shared" si="594"/>
        <v>-50</v>
      </c>
      <c r="FJ184">
        <f t="shared" si="595"/>
        <v>-50</v>
      </c>
    </row>
    <row r="185" spans="5:166">
      <c r="E185" s="147">
        <v>75</v>
      </c>
      <c r="F185" s="188">
        <f t="shared" si="596"/>
        <v>3</v>
      </c>
      <c r="G185" s="188">
        <f t="shared" si="498"/>
        <v>0.63749999999999996</v>
      </c>
      <c r="H185" s="188">
        <f t="shared" si="499"/>
        <v>90</v>
      </c>
      <c r="I185" s="188">
        <f t="shared" si="500"/>
        <v>3.8249999999999997</v>
      </c>
      <c r="J185" s="465">
        <f t="shared" si="501"/>
        <v>19.758603876471106</v>
      </c>
      <c r="K185" s="379">
        <f t="shared" si="502"/>
        <v>30.881953064341495</v>
      </c>
      <c r="L185" s="149">
        <f t="shared" si="503"/>
        <v>50.640556940812601</v>
      </c>
      <c r="M185" s="379"/>
      <c r="N185" s="188">
        <f t="shared" si="504"/>
        <v>0.60982648947632112</v>
      </c>
      <c r="O185" s="149">
        <f t="shared" si="505"/>
        <v>175.1227387390685</v>
      </c>
      <c r="P185" s="149">
        <f t="shared" si="506"/>
        <v>7.4427163964104093</v>
      </c>
      <c r="Q185" s="188">
        <f t="shared" si="507"/>
        <v>5.8374246246356165</v>
      </c>
      <c r="R185" s="188">
        <f t="shared" si="508"/>
        <v>29.187123123178083</v>
      </c>
      <c r="S185" s="188">
        <f t="shared" si="509"/>
        <v>30</v>
      </c>
      <c r="T185" s="188">
        <f t="shared" si="510"/>
        <v>15.573492893668954</v>
      </c>
      <c r="U185" s="188">
        <f t="shared" si="511"/>
        <v>3.7044832245160033</v>
      </c>
      <c r="V185" s="188">
        <f t="shared" si="512"/>
        <v>2.3701679893024878</v>
      </c>
      <c r="W185" s="172">
        <f t="shared" si="513"/>
        <v>350</v>
      </c>
      <c r="X185" s="379">
        <f t="shared" si="597"/>
        <v>159.37140821432871</v>
      </c>
      <c r="Z185" s="188">
        <f t="shared" si="514"/>
        <v>7.3248146133383614</v>
      </c>
      <c r="AA185" s="150">
        <f t="shared" si="515"/>
        <v>1.1147814586390825</v>
      </c>
      <c r="AB185" s="150">
        <f t="shared" si="516"/>
        <v>1.3707187681637276</v>
      </c>
      <c r="AC185" s="150"/>
      <c r="AD185" s="150">
        <f t="shared" si="517"/>
        <v>0.92237846568516169</v>
      </c>
      <c r="AE185" s="314">
        <f t="shared" si="518"/>
        <v>1118.9279004181365</v>
      </c>
      <c r="AF185" s="456">
        <f t="shared" si="519"/>
        <v>0.93839826463136855</v>
      </c>
      <c r="AH185" s="150">
        <f t="shared" si="520"/>
        <v>10.680493824176272</v>
      </c>
      <c r="AI185" s="150">
        <f t="shared" si="521"/>
        <v>15.573492893668954</v>
      </c>
      <c r="AJ185" s="150">
        <f t="shared" si="522"/>
        <v>8.2465828393058462</v>
      </c>
      <c r="AL185" s="314">
        <f t="shared" si="523"/>
        <v>3000</v>
      </c>
      <c r="AM185" s="144">
        <f t="shared" si="524"/>
        <v>159.37140821432871</v>
      </c>
      <c r="AO185">
        <f t="shared" si="525"/>
        <v>3000</v>
      </c>
      <c r="AP185">
        <f t="shared" si="526"/>
        <v>159.37140821432871</v>
      </c>
      <c r="AR185" s="5">
        <f t="shared" si="442"/>
        <v>6.2746512138184913</v>
      </c>
      <c r="AS185" s="5">
        <f t="shared" si="602"/>
        <v>3.7044832245160033</v>
      </c>
      <c r="AT185" s="5">
        <f t="shared" si="603"/>
        <v>2.570167989302488</v>
      </c>
      <c r="AU185" s="150">
        <f t="shared" si="604"/>
        <v>0.59038870819747269</v>
      </c>
      <c r="AW185" s="5">
        <f t="shared" si="475"/>
        <v>37.04483224516003</v>
      </c>
      <c r="AX185" s="5">
        <f t="shared" si="476"/>
        <v>39.360134260482539</v>
      </c>
      <c r="AY185" s="5">
        <f t="shared" si="477"/>
        <v>6.8865046301551587</v>
      </c>
      <c r="AZ185" s="5"/>
      <c r="BA185" s="150">
        <f t="shared" si="478"/>
        <v>6.908669591325947</v>
      </c>
      <c r="BB185" s="150">
        <f t="shared" si="479"/>
        <v>5.5199519615614054</v>
      </c>
      <c r="BC185" s="150">
        <f t="shared" si="480"/>
        <v>1.1080242033611143</v>
      </c>
      <c r="BD185" s="150"/>
      <c r="BE185" s="456">
        <f t="shared" si="481"/>
        <v>0.57275658626534198</v>
      </c>
      <c r="BF185" s="456">
        <f t="shared" si="527"/>
        <v>2.2938117934588256</v>
      </c>
      <c r="BG185" s="456">
        <f t="shared" si="482"/>
        <v>1.8327711944647804E-2</v>
      </c>
      <c r="BH185" s="456">
        <f t="shared" si="483"/>
        <v>0.21150357422935409</v>
      </c>
      <c r="BI185">
        <f t="shared" si="484"/>
        <v>8.8913717444119977E-3</v>
      </c>
      <c r="BJ185" s="144">
        <f t="shared" si="598"/>
        <v>27.219083689059801</v>
      </c>
      <c r="BK185">
        <f t="shared" si="528"/>
        <v>3.7419463544249174</v>
      </c>
      <c r="BL185" s="144">
        <f t="shared" si="599"/>
        <v>3105.2910376425816</v>
      </c>
      <c r="BM185" s="150">
        <f t="shared" si="529"/>
        <v>2.0117999999999996</v>
      </c>
      <c r="BN185" s="150">
        <f t="shared" si="530"/>
        <v>0.42750749999999993</v>
      </c>
      <c r="BO185" s="456"/>
      <c r="BQ185" s="144">
        <f t="shared" si="485"/>
        <v>2439.3074999999994</v>
      </c>
      <c r="BR185" s="456">
        <f t="shared" si="486"/>
        <v>0.6682160173095657</v>
      </c>
      <c r="BS185" s="456">
        <f t="shared" si="487"/>
        <v>0.42657817521123853</v>
      </c>
      <c r="BT185" s="456">
        <f t="shared" si="488"/>
        <v>6.1385881761701604E-3</v>
      </c>
      <c r="BU185" s="456">
        <f t="shared" si="489"/>
        <v>15.344795401432222</v>
      </c>
      <c r="BV185" s="456"/>
      <c r="BW185" s="538">
        <f t="shared" si="531"/>
        <v>3.865293426589707</v>
      </c>
      <c r="BX185" s="144">
        <f t="shared" si="490"/>
        <v>20311.021608718904</v>
      </c>
      <c r="BY185" s="150">
        <f t="shared" si="491"/>
        <v>25.855620146361481</v>
      </c>
      <c r="BZ185" s="5">
        <f t="shared" si="492"/>
        <v>93.825000000000003</v>
      </c>
      <c r="CA185" s="150">
        <f t="shared" si="493"/>
        <v>0.7839615126096291</v>
      </c>
      <c r="CB185" s="5">
        <f t="shared" si="494"/>
        <v>78.39615126096291</v>
      </c>
      <c r="CC185">
        <f t="shared" si="495"/>
        <v>75</v>
      </c>
      <c r="CE185" s="59">
        <f t="shared" si="532"/>
        <v>-50</v>
      </c>
      <c r="CF185">
        <f t="shared" si="533"/>
        <v>-50</v>
      </c>
      <c r="CG185" s="150">
        <f t="shared" si="534"/>
        <v>0.39199567588303091</v>
      </c>
      <c r="CH185" s="150">
        <f t="shared" si="535"/>
        <v>8.2740061272353602E-2</v>
      </c>
      <c r="CI185" s="147">
        <v>75</v>
      </c>
      <c r="CJ185" s="188">
        <f t="shared" si="600"/>
        <v>3</v>
      </c>
      <c r="CK185" s="188">
        <f t="shared" si="536"/>
        <v>0.63749999999999996</v>
      </c>
      <c r="CL185" s="188">
        <f t="shared" si="537"/>
        <v>90</v>
      </c>
      <c r="CM185" s="188">
        <f t="shared" si="538"/>
        <v>3.8249999999999997</v>
      </c>
      <c r="CN185" s="465">
        <f t="shared" si="539"/>
        <v>20</v>
      </c>
      <c r="CO185" s="379">
        <f t="shared" si="540"/>
        <v>30.7</v>
      </c>
      <c r="CP185" s="379">
        <f t="shared" si="541"/>
        <v>50.7</v>
      </c>
      <c r="CQ185" s="379"/>
      <c r="CR185" s="188">
        <f t="shared" si="542"/>
        <v>0.60317460317460314</v>
      </c>
      <c r="CS185" s="149">
        <f t="shared" si="543"/>
        <v>175.32871249897633</v>
      </c>
      <c r="CT185" s="149">
        <f t="shared" si="544"/>
        <v>7.4514702812064924</v>
      </c>
      <c r="CU185" s="188">
        <f t="shared" si="545"/>
        <v>5.8442904166325444</v>
      </c>
      <c r="CV185" s="188">
        <f t="shared" si="546"/>
        <v>29.22145208316272</v>
      </c>
      <c r="CW185" s="188">
        <f t="shared" si="547"/>
        <v>30</v>
      </c>
      <c r="CX185" s="188">
        <f t="shared" si="548"/>
        <v>15.555197368421053</v>
      </c>
      <c r="CY185" s="188">
        <f t="shared" si="549"/>
        <v>3.6554713815789475</v>
      </c>
      <c r="CZ185" s="188">
        <f t="shared" si="550"/>
        <v>2.3814145808331904</v>
      </c>
      <c r="DA185" s="172">
        <f t="shared" si="551"/>
        <v>350</v>
      </c>
      <c r="DB185" s="379">
        <f t="shared" si="552"/>
        <v>165.64831706717109</v>
      </c>
      <c r="DD185" s="188">
        <f t="shared" si="553"/>
        <v>7.3619779020761014</v>
      </c>
      <c r="DE185" s="150">
        <f t="shared" si="554"/>
        <v>1.1270780501549733</v>
      </c>
      <c r="DF185" s="150">
        <f t="shared" si="555"/>
        <v>1.3928696857096292</v>
      </c>
      <c r="DG185" s="150"/>
      <c r="DH185" s="150">
        <f t="shared" si="556"/>
        <v>0.92784522751949461</v>
      </c>
      <c r="DI185" s="314">
        <f t="shared" si="557"/>
        <v>1112.335300531915</v>
      </c>
      <c r="DJ185" s="456">
        <f t="shared" si="558"/>
        <v>0.94395997276890675</v>
      </c>
      <c r="DL185" s="150">
        <f t="shared" si="559"/>
        <v>10.680493824176272</v>
      </c>
      <c r="DM185" s="150">
        <f t="shared" si="560"/>
        <v>15.555197368421053</v>
      </c>
      <c r="DN185" s="150">
        <f t="shared" si="561"/>
        <v>8.2330305983814753</v>
      </c>
      <c r="DP185" s="314">
        <f t="shared" si="562"/>
        <v>3000</v>
      </c>
      <c r="DQ185" s="144">
        <f t="shared" si="563"/>
        <v>165.64831706717109</v>
      </c>
      <c r="DS185">
        <f t="shared" si="564"/>
        <v>3000</v>
      </c>
      <c r="DT185">
        <f t="shared" si="565"/>
        <v>165.64831706717109</v>
      </c>
      <c r="DV185" s="5">
        <f t="shared" si="566"/>
        <v>6.0368859624121374</v>
      </c>
      <c r="DW185" s="5">
        <f t="shared" si="567"/>
        <v>3.6554713815789475</v>
      </c>
      <c r="DX185" s="5">
        <f t="shared" si="568"/>
        <v>2.3814145808331899</v>
      </c>
      <c r="DY185" s="150">
        <f t="shared" si="569"/>
        <v>0.60552268244575946</v>
      </c>
      <c r="EA185" s="5">
        <f t="shared" si="570"/>
        <v>36.554713815789476</v>
      </c>
      <c r="EB185" s="5">
        <f t="shared" si="571"/>
        <v>38.839383429276317</v>
      </c>
      <c r="EC185" s="5">
        <f t="shared" si="572"/>
        <v>6.3037444786760908</v>
      </c>
      <c r="ED185" s="5"/>
      <c r="EE185" s="150">
        <f t="shared" si="573"/>
        <v>6.9884378404573875</v>
      </c>
      <c r="EF185" s="150">
        <f t="shared" si="574"/>
        <v>5.4106551272978729</v>
      </c>
      <c r="EG185" s="150">
        <f t="shared" si="575"/>
        <v>1.0860849657449074</v>
      </c>
      <c r="EH185" s="150"/>
      <c r="EI185" s="456">
        <f t="shared" si="576"/>
        <v>0.58605916139924052</v>
      </c>
      <c r="EJ185" s="456">
        <f t="shared" si="577"/>
        <v>2.482127659574469</v>
      </c>
      <c r="EK185" s="456">
        <f t="shared" si="578"/>
        <v>1.9049556462724677E-2</v>
      </c>
      <c r="EL185" s="456">
        <f t="shared" si="579"/>
        <v>0.2203501247634112</v>
      </c>
      <c r="EM185">
        <f t="shared" si="580"/>
        <v>8.9999999999999993E-3</v>
      </c>
      <c r="EN185" s="144">
        <f t="shared" si="581"/>
        <v>28.049556462724674</v>
      </c>
      <c r="EP185" s="144">
        <f t="shared" si="601"/>
        <v>3316.5865021998447</v>
      </c>
      <c r="EQ185" s="150">
        <f t="shared" si="582"/>
        <v>2.0999999999999996</v>
      </c>
      <c r="ER185" s="150">
        <f t="shared" si="583"/>
        <v>0.30536249999999998</v>
      </c>
      <c r="ES185" s="456"/>
      <c r="EU185" s="144">
        <f t="shared" si="496"/>
        <v>2405.3624999999997</v>
      </c>
      <c r="EV185" s="456">
        <f t="shared" si="584"/>
        <v>0.68373568829911402</v>
      </c>
      <c r="EW185" s="456">
        <f t="shared" si="585"/>
        <v>0.40985264469176663</v>
      </c>
      <c r="EX185" s="456">
        <f t="shared" si="586"/>
        <v>5.8979027640855839E-3</v>
      </c>
      <c r="EY185" s="456">
        <f t="shared" si="587"/>
        <v>16.851027564949874</v>
      </c>
      <c r="EZ185" s="456"/>
      <c r="FA185" s="538">
        <f t="shared" si="588"/>
        <v>4.008095675106186</v>
      </c>
      <c r="FB185" s="144">
        <f t="shared" si="497"/>
        <v>21958.609475811027</v>
      </c>
      <c r="FC185" s="150">
        <f t="shared" si="589"/>
        <v>27.680558478010873</v>
      </c>
      <c r="FD185" s="5">
        <f t="shared" si="590"/>
        <v>93.825000000000003</v>
      </c>
      <c r="FE185" s="150">
        <f t="shared" si="591"/>
        <v>0.77218689560593001</v>
      </c>
      <c r="FF185" s="5">
        <f t="shared" si="592"/>
        <v>77.218689560593006</v>
      </c>
      <c r="FG185">
        <f t="shared" si="593"/>
        <v>75</v>
      </c>
      <c r="FI185" s="59">
        <f t="shared" si="594"/>
        <v>-50</v>
      </c>
      <c r="FJ185">
        <f t="shared" si="595"/>
        <v>-50</v>
      </c>
    </row>
    <row r="186" spans="5:166">
      <c r="E186" s="147">
        <v>76</v>
      </c>
      <c r="F186" s="188">
        <f t="shared" si="596"/>
        <v>3.04</v>
      </c>
      <c r="G186" s="188">
        <f t="shared" si="498"/>
        <v>0.64600000000000002</v>
      </c>
      <c r="H186" s="188">
        <f t="shared" si="499"/>
        <v>91.2</v>
      </c>
      <c r="I186" s="188">
        <f t="shared" si="500"/>
        <v>3.8760000000000003</v>
      </c>
      <c r="J186" s="465">
        <f t="shared" si="501"/>
        <v>19.755385261490723</v>
      </c>
      <c r="K186" s="379">
        <f t="shared" si="502"/>
        <v>30.884379105199379</v>
      </c>
      <c r="L186" s="149">
        <f t="shared" si="503"/>
        <v>50.639764366690102</v>
      </c>
      <c r="M186" s="379"/>
      <c r="N186" s="188">
        <f t="shared" si="504"/>
        <v>0.60988394182802619</v>
      </c>
      <c r="O186" s="149">
        <f t="shared" si="505"/>
        <v>175.11070758824584</v>
      </c>
      <c r="P186" s="149">
        <f t="shared" si="506"/>
        <v>7.4422050725004469</v>
      </c>
      <c r="Q186" s="188">
        <f t="shared" si="507"/>
        <v>5.8370235862748618</v>
      </c>
      <c r="R186" s="188">
        <f t="shared" si="508"/>
        <v>29.185117931374307</v>
      </c>
      <c r="S186" s="188">
        <f t="shared" si="509"/>
        <v>30</v>
      </c>
      <c r="T186" s="188">
        <f t="shared" si="510"/>
        <v>15.78222372406124</v>
      </c>
      <c r="U186" s="188">
        <f t="shared" si="511"/>
        <v>3.7547458842870745</v>
      </c>
      <c r="V186" s="188">
        <f t="shared" si="512"/>
        <v>2.4017465674289769</v>
      </c>
      <c r="W186" s="172">
        <f t="shared" si="513"/>
        <v>350</v>
      </c>
      <c r="X186" s="379">
        <f t="shared" si="597"/>
        <v>157.31946629308615</v>
      </c>
      <c r="Z186" s="188">
        <f t="shared" si="514"/>
        <v>7.3243113894281171</v>
      </c>
      <c r="AA186" s="150">
        <f t="shared" si="515"/>
        <v>1.1146173090627822</v>
      </c>
      <c r="AB186" s="150">
        <f t="shared" si="516"/>
        <v>1.3704227760516976</v>
      </c>
      <c r="AC186" s="150"/>
      <c r="AD186" s="150">
        <f t="shared" si="517"/>
        <v>0.92230601068010676</v>
      </c>
      <c r="AE186" s="314">
        <f t="shared" si="518"/>
        <v>1133.936012439952</v>
      </c>
      <c r="AF186" s="456">
        <f t="shared" si="519"/>
        <v>0.93832455123330383</v>
      </c>
      <c r="AH186" s="150">
        <f t="shared" si="520"/>
        <v>10.751461341261679</v>
      </c>
      <c r="AI186" s="150">
        <f t="shared" si="521"/>
        <v>15.78222372406124</v>
      </c>
      <c r="AJ186" s="150">
        <f t="shared" si="522"/>
        <v>8.4011982692260574</v>
      </c>
      <c r="AL186" s="314">
        <f t="shared" si="523"/>
        <v>3040</v>
      </c>
      <c r="AM186" s="144">
        <f t="shared" si="524"/>
        <v>157.31946629308615</v>
      </c>
      <c r="AO186">
        <f t="shared" si="525"/>
        <v>3040</v>
      </c>
      <c r="AP186">
        <f t="shared" si="526"/>
        <v>157.31946629308615</v>
      </c>
      <c r="AR186" s="5">
        <f t="shared" si="442"/>
        <v>6.3564924517160515</v>
      </c>
      <c r="AS186" s="5">
        <f t="shared" si="602"/>
        <v>3.7547458842870745</v>
      </c>
      <c r="AT186" s="5">
        <f t="shared" si="603"/>
        <v>2.601746567428977</v>
      </c>
      <c r="AU186" s="150">
        <f t="shared" si="604"/>
        <v>0.5906946185822044</v>
      </c>
      <c r="AW186" s="5">
        <f t="shared" si="475"/>
        <v>38.048091627442354</v>
      </c>
      <c r="AX186" s="5">
        <f t="shared" si="476"/>
        <v>40.426097354157505</v>
      </c>
      <c r="AY186" s="5">
        <f t="shared" si="477"/>
        <v>7.0652153475768653</v>
      </c>
      <c r="AZ186" s="5"/>
      <c r="BA186" s="150">
        <f t="shared" si="478"/>
        <v>7.0030798025599568</v>
      </c>
      <c r="BB186" s="150">
        <f t="shared" si="479"/>
        <v>5.591846379165692</v>
      </c>
      <c r="BC186" s="150">
        <f t="shared" si="480"/>
        <v>1.1224556251102209</v>
      </c>
      <c r="BD186" s="150"/>
      <c r="BE186" s="456">
        <f t="shared" si="481"/>
        <v>0.58851752065227847</v>
      </c>
      <c r="BF186" s="456">
        <f t="shared" si="527"/>
        <v>2.2945905723436884</v>
      </c>
      <c r="BG186" s="456">
        <f t="shared" si="482"/>
        <v>1.809173862370491E-2</v>
      </c>
      <c r="BH186" s="456">
        <f t="shared" si="483"/>
        <v>0.20877388402517094</v>
      </c>
      <c r="BI186">
        <f t="shared" si="484"/>
        <v>8.8899233676708253E-3</v>
      </c>
      <c r="BJ186" s="144">
        <f t="shared" si="598"/>
        <v>26.981661991375734</v>
      </c>
      <c r="BK186">
        <f t="shared" si="528"/>
        <v>3.7792394178415978</v>
      </c>
      <c r="BL186" s="144">
        <f t="shared" si="599"/>
        <v>3118.8636390125139</v>
      </c>
      <c r="BM186" s="150">
        <f t="shared" si="529"/>
        <v>2.0386239999999995</v>
      </c>
      <c r="BN186" s="150">
        <f t="shared" si="530"/>
        <v>0.43320759999999997</v>
      </c>
      <c r="BO186" s="456"/>
      <c r="BQ186" s="144">
        <f t="shared" si="485"/>
        <v>2471.8315999999995</v>
      </c>
      <c r="BR186" s="456">
        <f t="shared" si="486"/>
        <v>0.68660377409432494</v>
      </c>
      <c r="BS186" s="456">
        <f t="shared" si="487"/>
        <v>0.43776244299463846</v>
      </c>
      <c r="BT186" s="456">
        <f t="shared" si="488"/>
        <v>6.2995331517078836E-3</v>
      </c>
      <c r="BU186" s="456">
        <f t="shared" si="489"/>
        <v>15.358424039987522</v>
      </c>
      <c r="BV186" s="456"/>
      <c r="BW186" s="538">
        <f t="shared" si="531"/>
        <v>3.918491016363562</v>
      </c>
      <c r="BX186" s="144">
        <f t="shared" si="490"/>
        <v>20407.580806591752</v>
      </c>
      <c r="BY186" s="150">
        <f t="shared" si="491"/>
        <v>25.998276045604268</v>
      </c>
      <c r="BZ186" s="5">
        <f t="shared" si="492"/>
        <v>95.076000000000008</v>
      </c>
      <c r="CA186" s="150">
        <f t="shared" si="493"/>
        <v>0.78527002684028713</v>
      </c>
      <c r="CB186" s="5">
        <f t="shared" si="494"/>
        <v>78.527002684028716</v>
      </c>
      <c r="CC186">
        <f t="shared" si="495"/>
        <v>76</v>
      </c>
      <c r="CE186" s="59">
        <f t="shared" si="532"/>
        <v>-50</v>
      </c>
      <c r="CF186">
        <f t="shared" si="533"/>
        <v>-50</v>
      </c>
      <c r="CG186" s="150">
        <f t="shared" si="534"/>
        <v>0.39199567588303091</v>
      </c>
      <c r="CH186" s="150">
        <f t="shared" si="535"/>
        <v>8.2740061272353616E-2</v>
      </c>
      <c r="CI186" s="147">
        <v>76</v>
      </c>
      <c r="CJ186" s="188">
        <f t="shared" si="600"/>
        <v>3.04</v>
      </c>
      <c r="CK186" s="188">
        <f t="shared" si="536"/>
        <v>0.64600000000000002</v>
      </c>
      <c r="CL186" s="188">
        <f t="shared" si="537"/>
        <v>91.2</v>
      </c>
      <c r="CM186" s="188">
        <f t="shared" si="538"/>
        <v>3.8760000000000003</v>
      </c>
      <c r="CN186" s="465">
        <f t="shared" si="539"/>
        <v>20</v>
      </c>
      <c r="CO186" s="379">
        <f t="shared" si="540"/>
        <v>30.7</v>
      </c>
      <c r="CP186" s="379">
        <f t="shared" si="541"/>
        <v>50.7</v>
      </c>
      <c r="CQ186" s="379"/>
      <c r="CR186" s="188">
        <f t="shared" si="542"/>
        <v>0.60317460317460314</v>
      </c>
      <c r="CS186" s="149">
        <f t="shared" si="543"/>
        <v>175.32871249897633</v>
      </c>
      <c r="CT186" s="149">
        <f t="shared" si="544"/>
        <v>7.4514702812064924</v>
      </c>
      <c r="CU186" s="188">
        <f t="shared" si="545"/>
        <v>5.8442904166325444</v>
      </c>
      <c r="CV186" s="188">
        <f t="shared" si="546"/>
        <v>29.22145208316272</v>
      </c>
      <c r="CW186" s="188">
        <f t="shared" si="547"/>
        <v>30</v>
      </c>
      <c r="CX186" s="188">
        <f t="shared" si="548"/>
        <v>15.762600000000001</v>
      </c>
      <c r="CY186" s="188">
        <f t="shared" si="549"/>
        <v>3.7042109999999999</v>
      </c>
      <c r="CZ186" s="188">
        <f t="shared" si="550"/>
        <v>2.4131667752442998</v>
      </c>
      <c r="DA186" s="172">
        <f t="shared" si="551"/>
        <v>350</v>
      </c>
      <c r="DB186" s="379">
        <f t="shared" si="552"/>
        <v>163.46873394786618</v>
      </c>
      <c r="DD186" s="188">
        <f t="shared" si="553"/>
        <v>7.3619779020761014</v>
      </c>
      <c r="DE186" s="150">
        <f t="shared" si="554"/>
        <v>1.1270780501549733</v>
      </c>
      <c r="DF186" s="150">
        <f t="shared" si="555"/>
        <v>1.3928696857096292</v>
      </c>
      <c r="DG186" s="150"/>
      <c r="DH186" s="150">
        <f t="shared" si="556"/>
        <v>0.92784522751949461</v>
      </c>
      <c r="DI186" s="314">
        <f t="shared" si="557"/>
        <v>1127.1664378723403</v>
      </c>
      <c r="DJ186" s="456">
        <f t="shared" si="558"/>
        <v>0.94395997276890675</v>
      </c>
      <c r="DL186" s="150">
        <f t="shared" si="559"/>
        <v>10.751461341261679</v>
      </c>
      <c r="DM186" s="150">
        <f t="shared" si="560"/>
        <v>15.762600000000001</v>
      </c>
      <c r="DN186" s="150">
        <f t="shared" si="561"/>
        <v>8.3866621773288443</v>
      </c>
      <c r="DP186" s="314">
        <f t="shared" si="562"/>
        <v>3040</v>
      </c>
      <c r="DQ186" s="144">
        <f t="shared" si="563"/>
        <v>163.46873394786618</v>
      </c>
      <c r="DS186">
        <f t="shared" si="564"/>
        <v>3040</v>
      </c>
      <c r="DT186">
        <f t="shared" si="565"/>
        <v>163.46873394786618</v>
      </c>
      <c r="DV186" s="5">
        <f t="shared" si="566"/>
        <v>6.1173777752442993</v>
      </c>
      <c r="DW186" s="5">
        <f t="shared" si="567"/>
        <v>3.7042109999999999</v>
      </c>
      <c r="DX186" s="5">
        <f t="shared" si="568"/>
        <v>2.4131667752442993</v>
      </c>
      <c r="DY186" s="150">
        <f t="shared" si="569"/>
        <v>0.60552268244575935</v>
      </c>
      <c r="EA186" s="5">
        <f t="shared" si="570"/>
        <v>37.536004800000001</v>
      </c>
      <c r="EB186" s="5">
        <f t="shared" si="571"/>
        <v>39.882005100000001</v>
      </c>
      <c r="EC186" s="5">
        <f t="shared" si="572"/>
        <v>6.4729649971258851</v>
      </c>
      <c r="ED186" s="5"/>
      <c r="EE186" s="150">
        <f t="shared" si="573"/>
        <v>7.0816170116634849</v>
      </c>
      <c r="EF186" s="150">
        <f t="shared" si="574"/>
        <v>5.4827971956618464</v>
      </c>
      <c r="EG186" s="150">
        <f t="shared" si="575"/>
        <v>1.1005660986215065</v>
      </c>
      <c r="EH186" s="150"/>
      <c r="EI186" s="456">
        <f t="shared" si="576"/>
        <v>0.60179159399857995</v>
      </c>
      <c r="EJ186" s="456">
        <f t="shared" si="577"/>
        <v>2.4821276595744686</v>
      </c>
      <c r="EK186" s="456">
        <f t="shared" si="578"/>
        <v>1.8798904404004613E-2</v>
      </c>
      <c r="EL186" s="456">
        <f t="shared" si="579"/>
        <v>0.21745078101652418</v>
      </c>
      <c r="EM186">
        <f t="shared" si="580"/>
        <v>8.9999999999999993E-3</v>
      </c>
      <c r="EN186" s="144">
        <f t="shared" si="581"/>
        <v>27.798904404004613</v>
      </c>
      <c r="EP186" s="144">
        <f t="shared" si="601"/>
        <v>3329.1689389935773</v>
      </c>
      <c r="EQ186" s="150">
        <f t="shared" si="582"/>
        <v>2.1279999999999997</v>
      </c>
      <c r="ER186" s="150">
        <f t="shared" si="583"/>
        <v>0.30943399999999999</v>
      </c>
      <c r="ES186" s="456"/>
      <c r="EU186" s="144">
        <f t="shared" si="496"/>
        <v>2437.4339999999997</v>
      </c>
      <c r="EV186" s="456">
        <f t="shared" si="584"/>
        <v>0.7020901929983433</v>
      </c>
      <c r="EW186" s="456">
        <f t="shared" si="585"/>
        <v>0.42085491124260371</v>
      </c>
      <c r="EX186" s="456">
        <f t="shared" si="586"/>
        <v>6.0562286871748174E-3</v>
      </c>
      <c r="EY186" s="456">
        <f t="shared" si="587"/>
        <v>16.851027564949902</v>
      </c>
      <c r="EZ186" s="456"/>
      <c r="FA186" s="538">
        <f t="shared" si="588"/>
        <v>4.0615369507742667</v>
      </c>
      <c r="FB186" s="144">
        <f t="shared" si="497"/>
        <v>22041.565848652292</v>
      </c>
      <c r="FC186" s="150">
        <f t="shared" si="589"/>
        <v>27.808168787645869</v>
      </c>
      <c r="FD186" s="5">
        <f t="shared" si="590"/>
        <v>95.076000000000008</v>
      </c>
      <c r="FE186" s="150">
        <f t="shared" si="591"/>
        <v>0.77370422030765651</v>
      </c>
      <c r="FF186" s="5">
        <f t="shared" si="592"/>
        <v>77.370422030765653</v>
      </c>
      <c r="FG186">
        <f t="shared" si="593"/>
        <v>76</v>
      </c>
      <c r="FI186" s="59">
        <f t="shared" si="594"/>
        <v>-50</v>
      </c>
      <c r="FJ186">
        <f t="shared" si="595"/>
        <v>-50</v>
      </c>
    </row>
    <row r="187" spans="5:166">
      <c r="E187" s="147">
        <v>77</v>
      </c>
      <c r="F187" s="188">
        <f t="shared" si="596"/>
        <v>3.08</v>
      </c>
      <c r="G187" s="188">
        <f t="shared" si="498"/>
        <v>0.65449999999999997</v>
      </c>
      <c r="H187" s="188">
        <f t="shared" si="499"/>
        <v>92.4</v>
      </c>
      <c r="I187" s="188">
        <f t="shared" si="500"/>
        <v>3.9269999999999996</v>
      </c>
      <c r="J187" s="465">
        <f t="shared" si="501"/>
        <v>19.752166646510336</v>
      </c>
      <c r="K187" s="379">
        <f t="shared" si="502"/>
        <v>30.886805146057267</v>
      </c>
      <c r="L187" s="149">
        <f t="shared" si="503"/>
        <v>50.638971792567602</v>
      </c>
      <c r="M187" s="379"/>
      <c r="N187" s="188">
        <f t="shared" si="504"/>
        <v>0.60994139597815833</v>
      </c>
      <c r="O187" s="149">
        <f t="shared" si="505"/>
        <v>175.09867157860234</v>
      </c>
      <c r="P187" s="149">
        <f t="shared" si="506"/>
        <v>7.441693542090599</v>
      </c>
      <c r="Q187" s="188">
        <f t="shared" si="507"/>
        <v>5.8366223859534108</v>
      </c>
      <c r="R187" s="188">
        <f t="shared" si="508"/>
        <v>29.183111929767055</v>
      </c>
      <c r="S187" s="188">
        <f t="shared" si="509"/>
        <v>30</v>
      </c>
      <c r="T187" s="188">
        <f t="shared" si="510"/>
        <v>15.990983682266668</v>
      </c>
      <c r="U187" s="188">
        <f t="shared" si="511"/>
        <v>3.8050318555778091</v>
      </c>
      <c r="V187" s="188">
        <f t="shared" si="512"/>
        <v>2.4333246171382439</v>
      </c>
      <c r="W187" s="172">
        <f t="shared" si="513"/>
        <v>350</v>
      </c>
      <c r="X187" s="379">
        <f t="shared" si="597"/>
        <v>155.31914149794582</v>
      </c>
      <c r="Z187" s="188">
        <f t="shared" si="514"/>
        <v>7.3238079622891981</v>
      </c>
      <c r="AA187" s="150">
        <f t="shared" si="515"/>
        <v>1.1144531543481186</v>
      </c>
      <c r="AB187" s="150">
        <f t="shared" si="516"/>
        <v>1.3701267673355264</v>
      </c>
      <c r="AC187" s="150"/>
      <c r="AD187" s="150">
        <f t="shared" si="517"/>
        <v>0.92223356705718085</v>
      </c>
      <c r="AE187" s="314">
        <f t="shared" si="518"/>
        <v>1148.9464684972829</v>
      </c>
      <c r="AF187" s="456">
        <f t="shared" si="519"/>
        <v>0.9382508494150521</v>
      </c>
      <c r="AH187" s="150">
        <f t="shared" si="520"/>
        <v>10.821963482521149</v>
      </c>
      <c r="AI187" s="150">
        <f t="shared" si="521"/>
        <v>15.990983682266668</v>
      </c>
      <c r="AJ187" s="150">
        <f t="shared" si="522"/>
        <v>8.5558352753041529</v>
      </c>
      <c r="AL187" s="314">
        <f t="shared" si="523"/>
        <v>3080</v>
      </c>
      <c r="AM187" s="144">
        <f t="shared" si="524"/>
        <v>155.31914149794582</v>
      </c>
      <c r="AO187">
        <f t="shared" si="525"/>
        <v>3080</v>
      </c>
      <c r="AP187">
        <f t="shared" si="526"/>
        <v>155.31914149794582</v>
      </c>
      <c r="AR187" s="5">
        <f t="shared" si="442"/>
        <v>6.4383564727160527</v>
      </c>
      <c r="AS187" s="5">
        <f t="shared" si="602"/>
        <v>3.8050318555778091</v>
      </c>
      <c r="AT187" s="5">
        <f t="shared" si="603"/>
        <v>2.6333246171382436</v>
      </c>
      <c r="AU187" s="150">
        <f t="shared" si="604"/>
        <v>0.59099428118068109</v>
      </c>
      <c r="AW187" s="5">
        <f t="shared" si="475"/>
        <v>39.064993717265509</v>
      </c>
      <c r="AX187" s="5">
        <f t="shared" si="476"/>
        <v>41.506555824594599</v>
      </c>
      <c r="AY187" s="5">
        <f t="shared" si="477"/>
        <v>7.2462398973913995</v>
      </c>
      <c r="AZ187" s="5"/>
      <c r="BA187" s="150">
        <f t="shared" si="478"/>
        <v>7.0975129229791527</v>
      </c>
      <c r="BB187" s="150">
        <f t="shared" si="479"/>
        <v>5.6637383169615898</v>
      </c>
      <c r="BC187" s="150">
        <f t="shared" si="480"/>
        <v>1.136886549085482</v>
      </c>
      <c r="BD187" s="150"/>
      <c r="BE187" s="456">
        <f t="shared" si="481"/>
        <v>0.60449627630227298</v>
      </c>
      <c r="BF187" s="456">
        <f t="shared" si="527"/>
        <v>2.2953446729335787</v>
      </c>
      <c r="BG187" s="456">
        <f t="shared" si="482"/>
        <v>1.7861701272263771E-2</v>
      </c>
      <c r="BH187" s="456">
        <f t="shared" si="483"/>
        <v>0.20611286177636312</v>
      </c>
      <c r="BI187">
        <f t="shared" si="484"/>
        <v>8.8884749909296512E-3</v>
      </c>
      <c r="BJ187" s="144">
        <f t="shared" si="598"/>
        <v>26.750176263193424</v>
      </c>
      <c r="BK187">
        <f t="shared" si="528"/>
        <v>3.8174636829170505</v>
      </c>
      <c r="BL187" s="144">
        <f t="shared" si="599"/>
        <v>3132.7039872754085</v>
      </c>
      <c r="BM187" s="150">
        <f t="shared" si="529"/>
        <v>2.0654479999999995</v>
      </c>
      <c r="BN187" s="150">
        <f t="shared" si="530"/>
        <v>0.43890769999999996</v>
      </c>
      <c r="BO187" s="456"/>
      <c r="BQ187" s="144">
        <f t="shared" si="485"/>
        <v>2504.3556999999996</v>
      </c>
      <c r="BR187" s="456">
        <f t="shared" si="486"/>
        <v>0.70524565568598507</v>
      </c>
      <c r="BS187" s="456">
        <f t="shared" si="487"/>
        <v>0.44909104412226458</v>
      </c>
      <c r="BT187" s="456">
        <f t="shared" si="488"/>
        <v>6.4625551274574812E-3</v>
      </c>
      <c r="BU187" s="456">
        <f t="shared" si="489"/>
        <v>15.371647193306293</v>
      </c>
      <c r="BV187" s="456"/>
      <c r="BW187" s="538">
        <f t="shared" si="531"/>
        <v>3.9716899834632122</v>
      </c>
      <c r="BX187" s="144">
        <f t="shared" si="490"/>
        <v>20504.13643170521</v>
      </c>
      <c r="BY187" s="150">
        <f t="shared" si="491"/>
        <v>26.14119611898062</v>
      </c>
      <c r="BZ187" s="5">
        <f t="shared" si="492"/>
        <v>96.326999999999998</v>
      </c>
      <c r="CA187" s="150">
        <f t="shared" si="493"/>
        <v>0.78654706325890633</v>
      </c>
      <c r="CB187" s="5">
        <f t="shared" si="494"/>
        <v>78.654706325890629</v>
      </c>
      <c r="CC187">
        <f t="shared" si="495"/>
        <v>77</v>
      </c>
      <c r="CE187" s="59">
        <f t="shared" si="532"/>
        <v>-50</v>
      </c>
      <c r="CF187">
        <f t="shared" si="533"/>
        <v>-50</v>
      </c>
      <c r="CG187" s="150">
        <f t="shared" si="534"/>
        <v>0.39199567588303091</v>
      </c>
      <c r="CH187" s="150">
        <f t="shared" si="535"/>
        <v>8.2740061272353602E-2</v>
      </c>
      <c r="CI187" s="147">
        <v>77</v>
      </c>
      <c r="CJ187" s="188">
        <f t="shared" si="600"/>
        <v>3.08</v>
      </c>
      <c r="CK187" s="188">
        <f t="shared" si="536"/>
        <v>0.65449999999999997</v>
      </c>
      <c r="CL187" s="188">
        <f t="shared" si="537"/>
        <v>92.4</v>
      </c>
      <c r="CM187" s="188">
        <f t="shared" si="538"/>
        <v>3.9269999999999996</v>
      </c>
      <c r="CN187" s="465">
        <f t="shared" si="539"/>
        <v>20</v>
      </c>
      <c r="CO187" s="379">
        <f t="shared" si="540"/>
        <v>30.7</v>
      </c>
      <c r="CP187" s="379">
        <f t="shared" si="541"/>
        <v>50.7</v>
      </c>
      <c r="CQ187" s="379"/>
      <c r="CR187" s="188">
        <f t="shared" si="542"/>
        <v>0.60317460317460314</v>
      </c>
      <c r="CS187" s="149">
        <f t="shared" si="543"/>
        <v>175.32871249897633</v>
      </c>
      <c r="CT187" s="149">
        <f t="shared" si="544"/>
        <v>7.4514702812064924</v>
      </c>
      <c r="CU187" s="188">
        <f t="shared" si="545"/>
        <v>5.8442904166325444</v>
      </c>
      <c r="CV187" s="188">
        <f t="shared" si="546"/>
        <v>29.22145208316272</v>
      </c>
      <c r="CW187" s="188">
        <f t="shared" si="547"/>
        <v>30</v>
      </c>
      <c r="CX187" s="188">
        <f t="shared" si="548"/>
        <v>15.970002631578947</v>
      </c>
      <c r="CY187" s="188">
        <f t="shared" si="549"/>
        <v>3.7529506184210524</v>
      </c>
      <c r="CZ187" s="188">
        <f t="shared" si="550"/>
        <v>2.4449189696554088</v>
      </c>
      <c r="DA187" s="172">
        <f t="shared" si="551"/>
        <v>350</v>
      </c>
      <c r="DB187" s="379">
        <f t="shared" si="552"/>
        <v>161.34576337711471</v>
      </c>
      <c r="DD187" s="188">
        <f t="shared" si="553"/>
        <v>7.3619779020761014</v>
      </c>
      <c r="DE187" s="150">
        <f t="shared" si="554"/>
        <v>1.1270780501549733</v>
      </c>
      <c r="DF187" s="150">
        <f t="shared" si="555"/>
        <v>1.3928696857096292</v>
      </c>
      <c r="DG187" s="150"/>
      <c r="DH187" s="150">
        <f t="shared" si="556"/>
        <v>0.92784522751949461</v>
      </c>
      <c r="DI187" s="314">
        <f t="shared" si="557"/>
        <v>1141.9975752127659</v>
      </c>
      <c r="DJ187" s="456">
        <f t="shared" si="558"/>
        <v>0.94395997276890675</v>
      </c>
      <c r="DL187" s="150">
        <f t="shared" si="559"/>
        <v>10.821963482521149</v>
      </c>
      <c r="DM187" s="150">
        <f t="shared" si="560"/>
        <v>15.970002631578947</v>
      </c>
      <c r="DN187" s="150">
        <f t="shared" si="561"/>
        <v>8.5402937562762116</v>
      </c>
      <c r="DP187" s="314">
        <f t="shared" si="562"/>
        <v>3080</v>
      </c>
      <c r="DQ187" s="144">
        <f t="shared" si="563"/>
        <v>161.34576337711471</v>
      </c>
      <c r="DS187">
        <f t="shared" si="564"/>
        <v>3080</v>
      </c>
      <c r="DT187">
        <f t="shared" si="565"/>
        <v>161.34576337711471</v>
      </c>
      <c r="DV187" s="5">
        <f t="shared" si="566"/>
        <v>6.1978695880764612</v>
      </c>
      <c r="DW187" s="5">
        <f t="shared" si="567"/>
        <v>3.7529506184210524</v>
      </c>
      <c r="DX187" s="5">
        <f t="shared" si="568"/>
        <v>2.4449189696554088</v>
      </c>
      <c r="DY187" s="150">
        <f t="shared" si="569"/>
        <v>0.60552268244575935</v>
      </c>
      <c r="EA187" s="5">
        <f t="shared" si="570"/>
        <v>38.530293015789475</v>
      </c>
      <c r="EB187" s="5">
        <f t="shared" si="571"/>
        <v>40.938436329276307</v>
      </c>
      <c r="EC187" s="5">
        <f t="shared" si="572"/>
        <v>6.6444268469458754</v>
      </c>
      <c r="ED187" s="5"/>
      <c r="EE187" s="150">
        <f t="shared" si="573"/>
        <v>7.1747961828695823</v>
      </c>
      <c r="EF187" s="150">
        <f t="shared" si="574"/>
        <v>5.5549392640258164</v>
      </c>
      <c r="EG187" s="150">
        <f t="shared" si="575"/>
        <v>1.115047231498105</v>
      </c>
      <c r="EH187" s="150"/>
      <c r="EI187" s="456">
        <f t="shared" si="576"/>
        <v>0.6177324031886392</v>
      </c>
      <c r="EJ187" s="456">
        <f t="shared" si="577"/>
        <v>2.4821276595744686</v>
      </c>
      <c r="EK187" s="456">
        <f t="shared" si="578"/>
        <v>1.8554762788368193E-2</v>
      </c>
      <c r="EL187" s="456">
        <f t="shared" si="579"/>
        <v>0.21462674489942651</v>
      </c>
      <c r="EM187">
        <f t="shared" si="580"/>
        <v>8.9999999999999993E-3</v>
      </c>
      <c r="EN187" s="144">
        <f t="shared" si="581"/>
        <v>27.554762788368194</v>
      </c>
      <c r="EP187" s="144">
        <f t="shared" si="601"/>
        <v>3342.0415704509023</v>
      </c>
      <c r="EQ187" s="150">
        <f t="shared" si="582"/>
        <v>2.1559999999999997</v>
      </c>
      <c r="ER187" s="150">
        <f t="shared" si="583"/>
        <v>0.31350549999999999</v>
      </c>
      <c r="ES187" s="456"/>
      <c r="EU187" s="144">
        <f t="shared" si="496"/>
        <v>2469.5054999999993</v>
      </c>
      <c r="EV187" s="456">
        <f t="shared" si="584"/>
        <v>0.72068780372007901</v>
      </c>
      <c r="EW187" s="456">
        <f t="shared" si="585"/>
        <v>0.43200290317821954</v>
      </c>
      <c r="EX187" s="456">
        <f t="shared" si="586"/>
        <v>6.216651642357943E-3</v>
      </c>
      <c r="EY187" s="456">
        <f t="shared" si="587"/>
        <v>16.851027564949874</v>
      </c>
      <c r="EZ187" s="456"/>
      <c r="FA187" s="538">
        <f t="shared" si="588"/>
        <v>4.1149782264423491</v>
      </c>
      <c r="FB187" s="144">
        <f t="shared" si="497"/>
        <v>22124.91314993288</v>
      </c>
      <c r="FC187" s="150">
        <f t="shared" si="589"/>
        <v>27.936460220383783</v>
      </c>
      <c r="FD187" s="5">
        <f t="shared" si="590"/>
        <v>96.326999999999998</v>
      </c>
      <c r="FE187" s="150">
        <f t="shared" si="591"/>
        <v>0.77518362863195744</v>
      </c>
      <c r="FF187" s="5">
        <f t="shared" si="592"/>
        <v>77.518362863195748</v>
      </c>
      <c r="FG187">
        <f t="shared" si="593"/>
        <v>77</v>
      </c>
      <c r="FI187" s="59">
        <f t="shared" si="594"/>
        <v>-50</v>
      </c>
      <c r="FJ187">
        <f t="shared" si="595"/>
        <v>-50</v>
      </c>
    </row>
    <row r="188" spans="5:166">
      <c r="E188" s="147">
        <v>78</v>
      </c>
      <c r="F188" s="188">
        <f t="shared" si="596"/>
        <v>3.12</v>
      </c>
      <c r="G188" s="188">
        <f t="shared" si="498"/>
        <v>0.66300000000000003</v>
      </c>
      <c r="H188" s="188">
        <f t="shared" si="499"/>
        <v>93.600000000000009</v>
      </c>
      <c r="I188" s="188">
        <f t="shared" si="500"/>
        <v>3.9780000000000002</v>
      </c>
      <c r="J188" s="465">
        <f t="shared" si="501"/>
        <v>19.748948031529952</v>
      </c>
      <c r="K188" s="379">
        <f t="shared" si="502"/>
        <v>30.889231186915151</v>
      </c>
      <c r="L188" s="149">
        <f t="shared" si="503"/>
        <v>50.638179218445103</v>
      </c>
      <c r="M188" s="379"/>
      <c r="N188" s="188">
        <f t="shared" si="504"/>
        <v>0.60999885192680192</v>
      </c>
      <c r="O188" s="149">
        <f t="shared" si="505"/>
        <v>175.08663070990985</v>
      </c>
      <c r="P188" s="149">
        <f t="shared" si="506"/>
        <v>7.4411818051711673</v>
      </c>
      <c r="Q188" s="188">
        <f t="shared" si="507"/>
        <v>5.8362210236636622</v>
      </c>
      <c r="R188" s="188">
        <f t="shared" si="508"/>
        <v>29.18110511831831</v>
      </c>
      <c r="S188" s="188">
        <f t="shared" si="509"/>
        <v>30</v>
      </c>
      <c r="T188" s="188">
        <f t="shared" si="510"/>
        <v>16.199772791693224</v>
      </c>
      <c r="U188" s="188">
        <f t="shared" si="511"/>
        <v>3.8553411553567014</v>
      </c>
      <c r="V188" s="188">
        <f t="shared" si="512"/>
        <v>2.4649021421164741</v>
      </c>
      <c r="W188" s="172">
        <f t="shared" si="513"/>
        <v>350</v>
      </c>
      <c r="X188" s="379">
        <f t="shared" si="597"/>
        <v>153.36851009647683</v>
      </c>
      <c r="Z188" s="188">
        <f t="shared" si="514"/>
        <v>7.3233043319120634</v>
      </c>
      <c r="AA188" s="150">
        <f t="shared" si="515"/>
        <v>1.1142889944948517</v>
      </c>
      <c r="AB188" s="150">
        <f t="shared" si="516"/>
        <v>1.3698307420312374</v>
      </c>
      <c r="AC188" s="150"/>
      <c r="AD188" s="150">
        <f t="shared" si="517"/>
        <v>0.92216113481370243</v>
      </c>
      <c r="AE188" s="314">
        <f t="shared" si="518"/>
        <v>1163.9592685901289</v>
      </c>
      <c r="AF188" s="456">
        <f t="shared" si="519"/>
        <v>0.93817715917388511</v>
      </c>
      <c r="AH188" s="150">
        <f t="shared" si="520"/>
        <v>10.892009284856407</v>
      </c>
      <c r="AI188" s="150">
        <f t="shared" si="521"/>
        <v>16.199772791693224</v>
      </c>
      <c r="AJ188" s="150">
        <f t="shared" si="522"/>
        <v>8.7104938748793792</v>
      </c>
      <c r="AL188" s="314">
        <f t="shared" si="523"/>
        <v>3120</v>
      </c>
      <c r="AM188" s="144">
        <f t="shared" si="524"/>
        <v>153.36851009647683</v>
      </c>
      <c r="AO188">
        <f t="shared" si="525"/>
        <v>3120</v>
      </c>
      <c r="AP188">
        <f t="shared" si="526"/>
        <v>153.36851009647683</v>
      </c>
      <c r="AR188" s="5">
        <f t="shared" si="442"/>
        <v>6.5202432974731748</v>
      </c>
      <c r="AS188" s="5">
        <f t="shared" si="602"/>
        <v>3.8553411553567014</v>
      </c>
      <c r="AT188" s="5">
        <f t="shared" si="603"/>
        <v>2.6649021421164734</v>
      </c>
      <c r="AU188" s="150">
        <f t="shared" si="604"/>
        <v>0.59128792891068693</v>
      </c>
      <c r="AW188" s="5">
        <f t="shared" si="475"/>
        <v>40.095548015709696</v>
      </c>
      <c r="AX188" s="5">
        <f t="shared" si="476"/>
        <v>42.601519766691553</v>
      </c>
      <c r="AY188" s="5">
        <f t="shared" si="477"/>
        <v>7.4295793645154165</v>
      </c>
      <c r="AZ188" s="5"/>
      <c r="BA188" s="150">
        <f t="shared" si="478"/>
        <v>7.1919689306591792</v>
      </c>
      <c r="BB188" s="150">
        <f t="shared" si="479"/>
        <v>5.7356278480869261</v>
      </c>
      <c r="BC188" s="150">
        <f t="shared" si="480"/>
        <v>1.1513169899679103</v>
      </c>
      <c r="BD188" s="150"/>
      <c r="BE188" s="456">
        <f t="shared" si="481"/>
        <v>0.62069300519480319</v>
      </c>
      <c r="BF188" s="456">
        <f t="shared" si="527"/>
        <v>2.2960750127088176</v>
      </c>
      <c r="BG188" s="456">
        <f t="shared" si="482"/>
        <v>1.7637378661094837E-2</v>
      </c>
      <c r="BH188" s="456">
        <f t="shared" si="483"/>
        <v>0.20351794827943398</v>
      </c>
      <c r="BI188">
        <f t="shared" si="484"/>
        <v>8.8870266141884788E-3</v>
      </c>
      <c r="BJ188" s="144">
        <f t="shared" si="598"/>
        <v>26.524405275283318</v>
      </c>
      <c r="BK188">
        <f t="shared" si="528"/>
        <v>3.8566370159491505</v>
      </c>
      <c r="BL188" s="144">
        <f t="shared" si="599"/>
        <v>3146.8103714583381</v>
      </c>
      <c r="BM188" s="150">
        <f t="shared" si="529"/>
        <v>2.0922719999999995</v>
      </c>
      <c r="BN188" s="150">
        <f t="shared" si="530"/>
        <v>0.4446078</v>
      </c>
      <c r="BO188" s="456"/>
      <c r="BQ188" s="144">
        <f t="shared" si="485"/>
        <v>2536.8797999999992</v>
      </c>
      <c r="BR188" s="456">
        <f t="shared" si="486"/>
        <v>0.72414183939393706</v>
      </c>
      <c r="BS188" s="456">
        <f t="shared" si="487"/>
        <v>0.46056397536450372</v>
      </c>
      <c r="BT188" s="456">
        <f t="shared" si="488"/>
        <v>6.6276540569438474E-3</v>
      </c>
      <c r="BU188" s="456">
        <f t="shared" si="489"/>
        <v>15.384479572536735</v>
      </c>
      <c r="BV188" s="456"/>
      <c r="BW188" s="538">
        <f t="shared" si="531"/>
        <v>4.0248902767813286</v>
      </c>
      <c r="BX188" s="144">
        <f t="shared" si="490"/>
        <v>20600.703318133448</v>
      </c>
      <c r="BY188" s="150">
        <f t="shared" si="491"/>
        <v>26.284393489591785</v>
      </c>
      <c r="BZ188" s="5">
        <f t="shared" si="492"/>
        <v>97.578000000000003</v>
      </c>
      <c r="CA188" s="150">
        <f t="shared" si="493"/>
        <v>0.78779359296168872</v>
      </c>
      <c r="CB188" s="5">
        <f t="shared" si="494"/>
        <v>78.779359296168877</v>
      </c>
      <c r="CC188">
        <f t="shared" si="495"/>
        <v>78</v>
      </c>
      <c r="CE188" s="59">
        <f t="shared" si="532"/>
        <v>-50</v>
      </c>
      <c r="CF188">
        <f t="shared" si="533"/>
        <v>-50</v>
      </c>
      <c r="CG188" s="150">
        <f t="shared" si="534"/>
        <v>0.39199567588303103</v>
      </c>
      <c r="CH188" s="150">
        <f t="shared" si="535"/>
        <v>8.2740061272353616E-2</v>
      </c>
      <c r="CI188" s="147">
        <v>78</v>
      </c>
      <c r="CJ188" s="188">
        <f t="shared" si="600"/>
        <v>3.12</v>
      </c>
      <c r="CK188" s="188">
        <f t="shared" si="536"/>
        <v>0.66300000000000003</v>
      </c>
      <c r="CL188" s="188">
        <f t="shared" si="537"/>
        <v>93.600000000000009</v>
      </c>
      <c r="CM188" s="188">
        <f t="shared" si="538"/>
        <v>3.9780000000000002</v>
      </c>
      <c r="CN188" s="465">
        <f t="shared" si="539"/>
        <v>20</v>
      </c>
      <c r="CO188" s="379">
        <f t="shared" si="540"/>
        <v>30.7</v>
      </c>
      <c r="CP188" s="379">
        <f t="shared" si="541"/>
        <v>50.7</v>
      </c>
      <c r="CQ188" s="379"/>
      <c r="CR188" s="188">
        <f t="shared" si="542"/>
        <v>0.60317460317460314</v>
      </c>
      <c r="CS188" s="149">
        <f t="shared" si="543"/>
        <v>175.32871249897633</v>
      </c>
      <c r="CT188" s="149">
        <f t="shared" si="544"/>
        <v>7.4514702812064924</v>
      </c>
      <c r="CU188" s="188">
        <f t="shared" si="545"/>
        <v>5.8442904166325444</v>
      </c>
      <c r="CV188" s="188">
        <f t="shared" si="546"/>
        <v>29.22145208316272</v>
      </c>
      <c r="CW188" s="188">
        <f t="shared" si="547"/>
        <v>30</v>
      </c>
      <c r="CX188" s="188">
        <f t="shared" si="548"/>
        <v>16.177405263157894</v>
      </c>
      <c r="CY188" s="188">
        <f t="shared" si="549"/>
        <v>3.8016902368421048</v>
      </c>
      <c r="CZ188" s="188">
        <f t="shared" si="550"/>
        <v>2.4766711640665178</v>
      </c>
      <c r="DA188" s="172">
        <f t="shared" si="551"/>
        <v>350</v>
      </c>
      <c r="DB188" s="379">
        <f t="shared" si="552"/>
        <v>159.277227949203</v>
      </c>
      <c r="DD188" s="188">
        <f t="shared" si="553"/>
        <v>7.3619779020761014</v>
      </c>
      <c r="DE188" s="150">
        <f t="shared" si="554"/>
        <v>1.1270780501549733</v>
      </c>
      <c r="DF188" s="150">
        <f t="shared" si="555"/>
        <v>1.3928696857096292</v>
      </c>
      <c r="DG188" s="150"/>
      <c r="DH188" s="150">
        <f t="shared" si="556"/>
        <v>0.92784522751949461</v>
      </c>
      <c r="DI188" s="314">
        <f t="shared" si="557"/>
        <v>1156.8287125531913</v>
      </c>
      <c r="DJ188" s="456">
        <f t="shared" si="558"/>
        <v>0.94395997276890675</v>
      </c>
      <c r="DL188" s="150">
        <f t="shared" si="559"/>
        <v>10.892009284856407</v>
      </c>
      <c r="DM188" s="150">
        <f t="shared" si="560"/>
        <v>16.177405263157894</v>
      </c>
      <c r="DN188" s="150">
        <f t="shared" si="561"/>
        <v>8.6939253352235788</v>
      </c>
      <c r="DP188" s="314">
        <f t="shared" si="562"/>
        <v>3120</v>
      </c>
      <c r="DQ188" s="144">
        <f t="shared" si="563"/>
        <v>159.277227949203</v>
      </c>
      <c r="DS188">
        <f t="shared" si="564"/>
        <v>3120</v>
      </c>
      <c r="DT188">
        <f t="shared" si="565"/>
        <v>159.277227949203</v>
      </c>
      <c r="DV188" s="5">
        <f t="shared" si="566"/>
        <v>6.2783614009086222</v>
      </c>
      <c r="DW188" s="5">
        <f t="shared" si="567"/>
        <v>3.8016902368421048</v>
      </c>
      <c r="DX188" s="5">
        <f t="shared" si="568"/>
        <v>2.4766711640665173</v>
      </c>
      <c r="DY188" s="150">
        <f t="shared" si="569"/>
        <v>0.60552268244575946</v>
      </c>
      <c r="EA188" s="5">
        <f t="shared" si="570"/>
        <v>39.537578463157892</v>
      </c>
      <c r="EB188" s="5">
        <f t="shared" si="571"/>
        <v>42.008677117105258</v>
      </c>
      <c r="EC188" s="5">
        <f t="shared" si="572"/>
        <v>6.8181300281360597</v>
      </c>
      <c r="ED188" s="5"/>
      <c r="EE188" s="150">
        <f t="shared" si="573"/>
        <v>7.2679753540756815</v>
      </c>
      <c r="EF188" s="150">
        <f t="shared" si="574"/>
        <v>5.6270813323897872</v>
      </c>
      <c r="EG188" s="150">
        <f t="shared" si="575"/>
        <v>1.1295283643747038</v>
      </c>
      <c r="EH188" s="150"/>
      <c r="EI188" s="456">
        <f t="shared" si="576"/>
        <v>0.63388158896941837</v>
      </c>
      <c r="EJ188" s="456">
        <f t="shared" si="577"/>
        <v>2.482127659574469</v>
      </c>
      <c r="EK188" s="456">
        <f t="shared" si="578"/>
        <v>1.8316881214158347E-2</v>
      </c>
      <c r="EL188" s="456">
        <f t="shared" si="579"/>
        <v>0.2118751199648185</v>
      </c>
      <c r="EM188">
        <f t="shared" si="580"/>
        <v>8.9999999999999993E-3</v>
      </c>
      <c r="EN188" s="144">
        <f t="shared" si="581"/>
        <v>27.316881214158347</v>
      </c>
      <c r="EP188" s="144">
        <f t="shared" si="601"/>
        <v>3355.2012497228643</v>
      </c>
      <c r="EQ188" s="150">
        <f t="shared" si="582"/>
        <v>2.1839999999999997</v>
      </c>
      <c r="ER188" s="150">
        <f t="shared" si="583"/>
        <v>0.317577</v>
      </c>
      <c r="ES188" s="456"/>
      <c r="EU188" s="144">
        <f t="shared" si="496"/>
        <v>2501.5769999999998</v>
      </c>
      <c r="EV188" s="456">
        <f t="shared" si="584"/>
        <v>0.73952852046432138</v>
      </c>
      <c r="EW188" s="456">
        <f t="shared" si="585"/>
        <v>0.44329662049861474</v>
      </c>
      <c r="EX188" s="456">
        <f t="shared" si="586"/>
        <v>6.3791716296349686E-3</v>
      </c>
      <c r="EY188" s="456">
        <f t="shared" si="587"/>
        <v>16.851027564949892</v>
      </c>
      <c r="EZ188" s="456"/>
      <c r="FA188" s="538">
        <f t="shared" si="588"/>
        <v>4.1684195021104324</v>
      </c>
      <c r="FB188" s="144">
        <f t="shared" si="497"/>
        <v>22208.651379652896</v>
      </c>
      <c r="FC188" s="150">
        <f t="shared" si="589"/>
        <v>28.065429629375757</v>
      </c>
      <c r="FD188" s="5">
        <f t="shared" si="590"/>
        <v>97.578000000000003</v>
      </c>
      <c r="FE188" s="150">
        <f t="shared" si="591"/>
        <v>0.77662636468804269</v>
      </c>
      <c r="FF188" s="5">
        <f t="shared" si="592"/>
        <v>77.662636468804266</v>
      </c>
      <c r="FG188">
        <f t="shared" si="593"/>
        <v>78</v>
      </c>
      <c r="FI188" s="59">
        <f t="shared" si="594"/>
        <v>-50</v>
      </c>
      <c r="FJ188">
        <f t="shared" si="595"/>
        <v>-50</v>
      </c>
    </row>
    <row r="189" spans="5:166">
      <c r="E189" s="147">
        <v>79</v>
      </c>
      <c r="F189" s="188">
        <f t="shared" si="596"/>
        <v>3.16</v>
      </c>
      <c r="G189" s="188">
        <f t="shared" si="498"/>
        <v>0.67149999999999999</v>
      </c>
      <c r="H189" s="188">
        <f t="shared" si="499"/>
        <v>94.800000000000011</v>
      </c>
      <c r="I189" s="188">
        <f t="shared" si="500"/>
        <v>4.0289999999999999</v>
      </c>
      <c r="J189" s="465">
        <f t="shared" si="501"/>
        <v>19.745729416549565</v>
      </c>
      <c r="K189" s="379">
        <f t="shared" si="502"/>
        <v>30.891657227773038</v>
      </c>
      <c r="L189" s="149">
        <f t="shared" si="503"/>
        <v>50.637386644322604</v>
      </c>
      <c r="M189" s="379"/>
      <c r="N189" s="188">
        <f t="shared" si="504"/>
        <v>0.61005630967404134</v>
      </c>
      <c r="O189" s="149">
        <f t="shared" si="505"/>
        <v>175.07458498194012</v>
      </c>
      <c r="P189" s="149">
        <f t="shared" si="506"/>
        <v>7.4406698617324549</v>
      </c>
      <c r="Q189" s="188">
        <f t="shared" si="507"/>
        <v>5.8358194993980037</v>
      </c>
      <c r="R189" s="188">
        <f t="shared" si="508"/>
        <v>29.179097496990021</v>
      </c>
      <c r="S189" s="188">
        <f t="shared" si="509"/>
        <v>30</v>
      </c>
      <c r="T189" s="188">
        <f t="shared" si="510"/>
        <v>16.408591075761283</v>
      </c>
      <c r="U189" s="188">
        <f t="shared" si="511"/>
        <v>3.9056738006062623</v>
      </c>
      <c r="V189" s="188">
        <f t="shared" si="512"/>
        <v>2.4964791460505791</v>
      </c>
      <c r="W189" s="172">
        <f t="shared" si="513"/>
        <v>350</v>
      </c>
      <c r="X189" s="379">
        <f t="shared" si="597"/>
        <v>151.46574277809998</v>
      </c>
      <c r="Z189" s="188">
        <f t="shared" si="514"/>
        <v>7.3228004982871662</v>
      </c>
      <c r="AA189" s="150">
        <f t="shared" si="515"/>
        <v>1.1141248295027388</v>
      </c>
      <c r="AB189" s="150">
        <f t="shared" si="516"/>
        <v>1.3695347001548519</v>
      </c>
      <c r="AC189" s="150"/>
      <c r="AD189" s="150">
        <f t="shared" si="517"/>
        <v>0.9220887139469901</v>
      </c>
      <c r="AE189" s="314">
        <f t="shared" si="518"/>
        <v>1178.9744127184895</v>
      </c>
      <c r="AF189" s="456">
        <f t="shared" si="519"/>
        <v>0.93810348050707537</v>
      </c>
      <c r="AH189" s="150">
        <f t="shared" si="520"/>
        <v>10.961607496429302</v>
      </c>
      <c r="AI189" s="150">
        <f t="shared" si="521"/>
        <v>16.408591075761283</v>
      </c>
      <c r="AJ189" s="150">
        <f t="shared" si="522"/>
        <v>8.8651740853001648</v>
      </c>
      <c r="AL189" s="314">
        <f t="shared" si="523"/>
        <v>3160</v>
      </c>
      <c r="AM189" s="144">
        <f t="shared" si="524"/>
        <v>151.46574277809998</v>
      </c>
      <c r="AO189">
        <f t="shared" si="525"/>
        <v>3160</v>
      </c>
      <c r="AP189">
        <f t="shared" si="526"/>
        <v>151.46574277809998</v>
      </c>
      <c r="AR189" s="5">
        <f t="shared" si="442"/>
        <v>6.6021529466568412</v>
      </c>
      <c r="AS189" s="5">
        <f t="shared" si="602"/>
        <v>3.9056738006062623</v>
      </c>
      <c r="AT189" s="5">
        <f t="shared" si="603"/>
        <v>2.6964791460505788</v>
      </c>
      <c r="AU189" s="150">
        <f t="shared" si="604"/>
        <v>0.59157578325779236</v>
      </c>
      <c r="AW189" s="5">
        <f t="shared" si="475"/>
        <v>41.139764033052636</v>
      </c>
      <c r="AX189" s="5">
        <f t="shared" si="476"/>
        <v>43.710999285118419</v>
      </c>
      <c r="AY189" s="5">
        <f t="shared" si="477"/>
        <v>7.615234835102112</v>
      </c>
      <c r="AZ189" s="5"/>
      <c r="BA189" s="150">
        <f t="shared" si="478"/>
        <v>7.2864478053671915</v>
      </c>
      <c r="BB189" s="150">
        <f t="shared" si="479"/>
        <v>5.8075150423433479</v>
      </c>
      <c r="BC189" s="150">
        <f t="shared" si="480"/>
        <v>1.1657469617688434</v>
      </c>
      <c r="BD189" s="150"/>
      <c r="BE189" s="456">
        <f t="shared" si="481"/>
        <v>0.63710785944408443</v>
      </c>
      <c r="BF189" s="456">
        <f t="shared" si="527"/>
        <v>2.2967824641173729</v>
      </c>
      <c r="BG189" s="456">
        <f t="shared" si="482"/>
        <v>1.7418560419481501E-2</v>
      </c>
      <c r="BH189" s="456">
        <f t="shared" si="483"/>
        <v>0.20098670994333095</v>
      </c>
      <c r="BI189">
        <f t="shared" si="484"/>
        <v>8.8855782374473048E-3</v>
      </c>
      <c r="BJ189" s="144">
        <f t="shared" si="598"/>
        <v>26.304138656928806</v>
      </c>
      <c r="BK189">
        <f t="shared" si="528"/>
        <v>3.8967780545496087</v>
      </c>
      <c r="BL189" s="144">
        <f t="shared" si="599"/>
        <v>3161.1811721617178</v>
      </c>
      <c r="BM189" s="150">
        <f t="shared" si="529"/>
        <v>2.1190959999999999</v>
      </c>
      <c r="BN189" s="150">
        <f t="shared" si="530"/>
        <v>0.45030789999999993</v>
      </c>
      <c r="BO189" s="456"/>
      <c r="BQ189" s="144">
        <f t="shared" si="485"/>
        <v>2569.4038999999998</v>
      </c>
      <c r="BR189" s="456">
        <f t="shared" si="486"/>
        <v>0.7432925026847651</v>
      </c>
      <c r="BS189" s="456">
        <f t="shared" si="487"/>
        <v>0.47218123353861963</v>
      </c>
      <c r="BT189" s="456">
        <f t="shared" si="488"/>
        <v>6.7948298943664468E-3</v>
      </c>
      <c r="BU189" s="456">
        <f t="shared" si="489"/>
        <v>15.396935184582221</v>
      </c>
      <c r="BV189" s="456"/>
      <c r="BW189" s="538">
        <f t="shared" si="531"/>
        <v>4.0780918477190067</v>
      </c>
      <c r="BX189" s="144">
        <f t="shared" si="490"/>
        <v>20697.295598418976</v>
      </c>
      <c r="BY189" s="150">
        <f t="shared" si="491"/>
        <v>26.427880670580699</v>
      </c>
      <c r="BZ189" s="5">
        <f t="shared" si="492"/>
        <v>98.829000000000008</v>
      </c>
      <c r="CA189" s="150">
        <f t="shared" si="493"/>
        <v>0.78901054753163868</v>
      </c>
      <c r="CB189" s="5">
        <f t="shared" si="494"/>
        <v>78.901054753163862</v>
      </c>
      <c r="CC189">
        <f t="shared" si="495"/>
        <v>79</v>
      </c>
      <c r="CE189" s="59">
        <f t="shared" si="532"/>
        <v>-50</v>
      </c>
      <c r="CF189">
        <f t="shared" si="533"/>
        <v>-50</v>
      </c>
      <c r="CG189" s="150">
        <f t="shared" si="534"/>
        <v>0.39199567588303091</v>
      </c>
      <c r="CH189" s="150">
        <f t="shared" si="535"/>
        <v>8.2740061272353588E-2</v>
      </c>
      <c r="CI189" s="147">
        <v>79</v>
      </c>
      <c r="CJ189" s="188">
        <f t="shared" si="600"/>
        <v>3.16</v>
      </c>
      <c r="CK189" s="188">
        <f t="shared" si="536"/>
        <v>0.67149999999999999</v>
      </c>
      <c r="CL189" s="188">
        <f t="shared" si="537"/>
        <v>94.800000000000011</v>
      </c>
      <c r="CM189" s="188">
        <f t="shared" si="538"/>
        <v>4.0289999999999999</v>
      </c>
      <c r="CN189" s="465">
        <f t="shared" si="539"/>
        <v>20</v>
      </c>
      <c r="CO189" s="379">
        <f t="shared" si="540"/>
        <v>30.7</v>
      </c>
      <c r="CP189" s="379">
        <f t="shared" si="541"/>
        <v>50.7</v>
      </c>
      <c r="CQ189" s="379"/>
      <c r="CR189" s="188">
        <f t="shared" si="542"/>
        <v>0.60317460317460314</v>
      </c>
      <c r="CS189" s="149">
        <f t="shared" si="543"/>
        <v>175.32871249897633</v>
      </c>
      <c r="CT189" s="149">
        <f t="shared" si="544"/>
        <v>7.4514702812064924</v>
      </c>
      <c r="CU189" s="188">
        <f t="shared" si="545"/>
        <v>5.8442904166325444</v>
      </c>
      <c r="CV189" s="188">
        <f t="shared" si="546"/>
        <v>29.22145208316272</v>
      </c>
      <c r="CW189" s="188">
        <f t="shared" si="547"/>
        <v>30</v>
      </c>
      <c r="CX189" s="188">
        <f t="shared" si="548"/>
        <v>16.384807894736845</v>
      </c>
      <c r="CY189" s="188">
        <f t="shared" si="549"/>
        <v>3.8504298552631586</v>
      </c>
      <c r="CZ189" s="188">
        <f t="shared" si="550"/>
        <v>2.5084233584776277</v>
      </c>
      <c r="DA189" s="172">
        <f t="shared" si="551"/>
        <v>350</v>
      </c>
      <c r="DB189" s="379">
        <f t="shared" si="552"/>
        <v>157.26106050680795</v>
      </c>
      <c r="DD189" s="188">
        <f t="shared" si="553"/>
        <v>7.3619779020761014</v>
      </c>
      <c r="DE189" s="150">
        <f t="shared" si="554"/>
        <v>1.1270780501549733</v>
      </c>
      <c r="DF189" s="150">
        <f t="shared" si="555"/>
        <v>1.3928696857096292</v>
      </c>
      <c r="DG189" s="150"/>
      <c r="DH189" s="150">
        <f t="shared" si="556"/>
        <v>0.92784522751949461</v>
      </c>
      <c r="DI189" s="314">
        <f t="shared" si="557"/>
        <v>1171.6598498936173</v>
      </c>
      <c r="DJ189" s="456">
        <f t="shared" si="558"/>
        <v>0.94395997276890675</v>
      </c>
      <c r="DL189" s="150">
        <f t="shared" si="559"/>
        <v>10.961607496429302</v>
      </c>
      <c r="DM189" s="150">
        <f t="shared" si="560"/>
        <v>16.384807894736845</v>
      </c>
      <c r="DN189" s="150">
        <f t="shared" si="561"/>
        <v>8.8475569141709514</v>
      </c>
      <c r="DP189" s="314">
        <f t="shared" si="562"/>
        <v>3160</v>
      </c>
      <c r="DQ189" s="144">
        <f t="shared" si="563"/>
        <v>157.26106050680795</v>
      </c>
      <c r="DS189">
        <f t="shared" si="564"/>
        <v>3160</v>
      </c>
      <c r="DT189">
        <f t="shared" si="565"/>
        <v>157.26106050680795</v>
      </c>
      <c r="DV189" s="5">
        <f t="shared" si="566"/>
        <v>6.3588532137407867</v>
      </c>
      <c r="DW189" s="5">
        <f t="shared" si="567"/>
        <v>3.8504298552631586</v>
      </c>
      <c r="DX189" s="5">
        <f t="shared" si="568"/>
        <v>2.5084233584776281</v>
      </c>
      <c r="DY189" s="150">
        <f t="shared" si="569"/>
        <v>0.60552268244575935</v>
      </c>
      <c r="EA189" s="5">
        <f t="shared" si="570"/>
        <v>40.557861142105274</v>
      </c>
      <c r="EB189" s="5">
        <f t="shared" si="571"/>
        <v>43.092727463486845</v>
      </c>
      <c r="EC189" s="5">
        <f t="shared" si="572"/>
        <v>6.9940745406964453</v>
      </c>
      <c r="ED189" s="5"/>
      <c r="EE189" s="150">
        <f t="shared" si="573"/>
        <v>7.3611545252817807</v>
      </c>
      <c r="EF189" s="150">
        <f t="shared" si="574"/>
        <v>5.6992234007537617</v>
      </c>
      <c r="EG189" s="150">
        <f t="shared" si="575"/>
        <v>1.1440094972513031</v>
      </c>
      <c r="EH189" s="150"/>
      <c r="EI189" s="456">
        <f t="shared" si="576"/>
        <v>0.65023915134091725</v>
      </c>
      <c r="EJ189" s="456">
        <f t="shared" si="577"/>
        <v>2.4821276595744681</v>
      </c>
      <c r="EK189" s="456">
        <f t="shared" si="578"/>
        <v>1.8085021958282918E-2</v>
      </c>
      <c r="EL189" s="456">
        <f t="shared" si="579"/>
        <v>0.20919315642095995</v>
      </c>
      <c r="EM189">
        <f t="shared" si="580"/>
        <v>8.9999999999999993E-3</v>
      </c>
      <c r="EN189" s="144">
        <f t="shared" si="581"/>
        <v>27.085021958282919</v>
      </c>
      <c r="EP189" s="144">
        <f t="shared" si="601"/>
        <v>3368.644989294628</v>
      </c>
      <c r="EQ189" s="150">
        <f t="shared" si="582"/>
        <v>2.2119999999999997</v>
      </c>
      <c r="ER189" s="150">
        <f t="shared" si="583"/>
        <v>0.3216485</v>
      </c>
      <c r="ES189" s="456"/>
      <c r="EU189" s="144">
        <f t="shared" si="496"/>
        <v>2533.6484999999998</v>
      </c>
      <c r="EV189" s="456">
        <f t="shared" si="584"/>
        <v>0.75861234323107019</v>
      </c>
      <c r="EW189" s="456">
        <f t="shared" si="585"/>
        <v>0.45473606320378984</v>
      </c>
      <c r="EX189" s="456">
        <f t="shared" si="586"/>
        <v>6.5437886490058959E-3</v>
      </c>
      <c r="EY189" s="456">
        <f t="shared" si="587"/>
        <v>16.851027564949874</v>
      </c>
      <c r="EZ189" s="456"/>
      <c r="FA189" s="538">
        <f t="shared" si="588"/>
        <v>4.2218607777785149</v>
      </c>
      <c r="FB189" s="144">
        <f t="shared" si="497"/>
        <v>22292.780537812254</v>
      </c>
      <c r="FC189" s="150">
        <f t="shared" si="589"/>
        <v>28.195074027106884</v>
      </c>
      <c r="FD189" s="5">
        <f t="shared" si="590"/>
        <v>98.829000000000008</v>
      </c>
      <c r="FE189" s="150">
        <f t="shared" si="591"/>
        <v>0.77803361887849654</v>
      </c>
      <c r="FF189" s="5">
        <f t="shared" si="592"/>
        <v>77.803361887849647</v>
      </c>
      <c r="FG189">
        <f t="shared" si="593"/>
        <v>79</v>
      </c>
      <c r="FI189" s="59">
        <f t="shared" si="594"/>
        <v>-50</v>
      </c>
      <c r="FJ189">
        <f t="shared" si="595"/>
        <v>-50</v>
      </c>
    </row>
    <row r="190" spans="5:166">
      <c r="E190" s="147">
        <v>80</v>
      </c>
      <c r="F190" s="188">
        <f t="shared" si="596"/>
        <v>3.2</v>
      </c>
      <c r="G190" s="188">
        <f t="shared" si="498"/>
        <v>0.68</v>
      </c>
      <c r="H190" s="188">
        <f t="shared" si="499"/>
        <v>96</v>
      </c>
      <c r="I190" s="188">
        <f t="shared" si="500"/>
        <v>4.08</v>
      </c>
      <c r="J190" s="465">
        <f t="shared" si="501"/>
        <v>19.742510801569182</v>
      </c>
      <c r="K190" s="379">
        <f t="shared" si="502"/>
        <v>30.894083268630926</v>
      </c>
      <c r="L190" s="149">
        <f t="shared" si="503"/>
        <v>50.636594070200104</v>
      </c>
      <c r="M190" s="379"/>
      <c r="N190" s="188">
        <f t="shared" si="504"/>
        <v>0.6101137692199613</v>
      </c>
      <c r="O190" s="149">
        <f t="shared" si="505"/>
        <v>175.06253439446516</v>
      </c>
      <c r="P190" s="149">
        <f t="shared" si="506"/>
        <v>7.4401577117647681</v>
      </c>
      <c r="Q190" s="188">
        <f t="shared" si="507"/>
        <v>5.8354178131488386</v>
      </c>
      <c r="R190" s="188">
        <f t="shared" si="508"/>
        <v>29.177089065744195</v>
      </c>
      <c r="S190" s="188">
        <f t="shared" si="509"/>
        <v>30</v>
      </c>
      <c r="T190" s="188">
        <f t="shared" si="510"/>
        <v>16.617438557903593</v>
      </c>
      <c r="U190" s="188">
        <f t="shared" si="511"/>
        <v>3.9560298083230196</v>
      </c>
      <c r="V190" s="188">
        <f t="shared" si="512"/>
        <v>2.5280556326281949</v>
      </c>
      <c r="W190" s="172">
        <f t="shared" si="513"/>
        <v>350</v>
      </c>
      <c r="X190" s="379">
        <f t="shared" si="597"/>
        <v>149.60909893122039</v>
      </c>
      <c r="Z190" s="188">
        <f t="shared" si="514"/>
        <v>7.3222964614049664</v>
      </c>
      <c r="AA190" s="150">
        <f t="shared" si="515"/>
        <v>1.1139606593715392</v>
      </c>
      <c r="AB190" s="150">
        <f t="shared" si="516"/>
        <v>1.369238641722397</v>
      </c>
      <c r="AC190" s="150"/>
      <c r="AD190" s="150">
        <f t="shared" si="517"/>
        <v>0.92201630445436389</v>
      </c>
      <c r="AE190" s="314">
        <f t="shared" si="518"/>
        <v>1193.9919008823656</v>
      </c>
      <c r="AF190" s="456">
        <f t="shared" si="519"/>
        <v>0.93802981341189562</v>
      </c>
      <c r="AH190" s="150">
        <f t="shared" si="520"/>
        <v>11.030766589414897</v>
      </c>
      <c r="AI190" s="150">
        <f t="shared" si="521"/>
        <v>16.617438557903593</v>
      </c>
      <c r="AJ190" s="150">
        <f t="shared" si="522"/>
        <v>9.0198759239240989</v>
      </c>
      <c r="AL190" s="314">
        <f t="shared" si="523"/>
        <v>3200</v>
      </c>
      <c r="AM190" s="144">
        <f t="shared" si="524"/>
        <v>149.60909893122039</v>
      </c>
      <c r="AO190">
        <f t="shared" si="525"/>
        <v>3200</v>
      </c>
      <c r="AP190">
        <f t="shared" si="526"/>
        <v>149.60909893122039</v>
      </c>
      <c r="AR190" s="5">
        <f t="shared" si="442"/>
        <v>6.6840854409512138</v>
      </c>
      <c r="AS190" s="5">
        <f t="shared" si="602"/>
        <v>3.9560298083230196</v>
      </c>
      <c r="AT190" s="5">
        <f t="shared" si="603"/>
        <v>2.7280556326281942</v>
      </c>
      <c r="AU190" s="150">
        <f t="shared" si="604"/>
        <v>0.5918580549682555</v>
      </c>
      <c r="AW190" s="5">
        <f t="shared" si="475"/>
        <v>42.197651288778879</v>
      </c>
      <c r="AX190" s="5">
        <f t="shared" si="476"/>
        <v>44.835004494327556</v>
      </c>
      <c r="AY190" s="5">
        <f t="shared" si="477"/>
        <v>7.8032073965423328</v>
      </c>
      <c r="AZ190" s="5"/>
      <c r="BA190" s="150">
        <f t="shared" si="478"/>
        <v>7.3809495284592526</v>
      </c>
      <c r="BB190" s="150">
        <f t="shared" si="479"/>
        <v>5.8793999663958028</v>
      </c>
      <c r="BC190" s="150">
        <f t="shared" si="480"/>
        <v>1.1801764778699881</v>
      </c>
      <c r="BD190" s="150"/>
      <c r="BE190" s="456">
        <f t="shared" si="481"/>
        <v>0.65374099129995433</v>
      </c>
      <c r="BF190" s="456">
        <f t="shared" si="527"/>
        <v>2.2974678573042571</v>
      </c>
      <c r="BG190" s="456">
        <f t="shared" si="482"/>
        <v>1.7205046377090347E-2</v>
      </c>
      <c r="BH190" s="456">
        <f t="shared" si="483"/>
        <v>0.19851683117613009</v>
      </c>
      <c r="BI190">
        <f t="shared" si="484"/>
        <v>8.8841298607061324E-3</v>
      </c>
      <c r="BJ190" s="144">
        <f t="shared" si="598"/>
        <v>26.08917623779648</v>
      </c>
      <c r="BK190">
        <f t="shared" si="528"/>
        <v>3.9379062312840611</v>
      </c>
      <c r="BL190" s="144">
        <f t="shared" si="599"/>
        <v>3175.814856018138</v>
      </c>
      <c r="BM190" s="150">
        <f t="shared" si="529"/>
        <v>2.1459199999999998</v>
      </c>
      <c r="BN190" s="150">
        <f t="shared" si="530"/>
        <v>0.45600799999999997</v>
      </c>
      <c r="BO190" s="456"/>
      <c r="BQ190" s="144">
        <f t="shared" si="485"/>
        <v>2601.9279999999999</v>
      </c>
      <c r="BR190" s="456">
        <f t="shared" si="486"/>
        <v>0.76269782318328005</v>
      </c>
      <c r="BS190" s="456">
        <f t="shared" si="487"/>
        <v>0.48394281550796947</v>
      </c>
      <c r="BT190" s="456">
        <f t="shared" si="488"/>
        <v>6.9640825945880541E-3</v>
      </c>
      <c r="BU190" s="456">
        <f t="shared" si="489"/>
        <v>15.40902737372477</v>
      </c>
      <c r="BV190" s="456"/>
      <c r="BW190" s="538">
        <f t="shared" si="531"/>
        <v>4.1312946500337322</v>
      </c>
      <c r="BX190" s="144">
        <f t="shared" si="490"/>
        <v>20793.926745044337</v>
      </c>
      <c r="BY190" s="150">
        <f t="shared" si="491"/>
        <v>26.571669601062474</v>
      </c>
      <c r="BZ190" s="5">
        <f t="shared" si="492"/>
        <v>100.08</v>
      </c>
      <c r="CA190" s="150">
        <f t="shared" si="493"/>
        <v>0.7901988210280998</v>
      </c>
      <c r="CB190" s="5">
        <f t="shared" si="494"/>
        <v>79.019882102809973</v>
      </c>
      <c r="CC190">
        <f t="shared" si="495"/>
        <v>80</v>
      </c>
      <c r="CE190" s="59">
        <f t="shared" si="532"/>
        <v>-50</v>
      </c>
      <c r="CF190">
        <f t="shared" si="533"/>
        <v>-50</v>
      </c>
      <c r="CG190" s="150">
        <f t="shared" si="534"/>
        <v>0.39199567588303091</v>
      </c>
      <c r="CH190" s="150">
        <f t="shared" si="535"/>
        <v>8.2740061272353602E-2</v>
      </c>
      <c r="CI190" s="147">
        <v>80</v>
      </c>
      <c r="CJ190" s="188">
        <f t="shared" si="600"/>
        <v>3.2</v>
      </c>
      <c r="CK190" s="188">
        <f t="shared" si="536"/>
        <v>0.68</v>
      </c>
      <c r="CL190" s="188">
        <f t="shared" si="537"/>
        <v>96</v>
      </c>
      <c r="CM190" s="188">
        <f t="shared" si="538"/>
        <v>4.08</v>
      </c>
      <c r="CN190" s="465">
        <f t="shared" si="539"/>
        <v>20</v>
      </c>
      <c r="CO190" s="379">
        <f t="shared" si="540"/>
        <v>30.7</v>
      </c>
      <c r="CP190" s="379">
        <f t="shared" si="541"/>
        <v>50.7</v>
      </c>
      <c r="CQ190" s="379"/>
      <c r="CR190" s="188">
        <f t="shared" si="542"/>
        <v>0.60317460317460314</v>
      </c>
      <c r="CS190" s="149">
        <f t="shared" si="543"/>
        <v>175.32871249897633</v>
      </c>
      <c r="CT190" s="149">
        <f t="shared" si="544"/>
        <v>7.4514702812064924</v>
      </c>
      <c r="CU190" s="188">
        <f t="shared" si="545"/>
        <v>5.8442904166325444</v>
      </c>
      <c r="CV190" s="188">
        <f t="shared" si="546"/>
        <v>29.22145208316272</v>
      </c>
      <c r="CW190" s="188">
        <f t="shared" si="547"/>
        <v>30</v>
      </c>
      <c r="CX190" s="188">
        <f t="shared" si="548"/>
        <v>16.592210526315789</v>
      </c>
      <c r="CY190" s="188">
        <f t="shared" si="549"/>
        <v>3.8991694736842106</v>
      </c>
      <c r="CZ190" s="188">
        <f t="shared" si="550"/>
        <v>2.5401755528887362</v>
      </c>
      <c r="DA190" s="172">
        <f t="shared" si="551"/>
        <v>350</v>
      </c>
      <c r="DB190" s="379">
        <f t="shared" si="552"/>
        <v>155.29529725047288</v>
      </c>
      <c r="DD190" s="188">
        <f t="shared" si="553"/>
        <v>7.3619779020761014</v>
      </c>
      <c r="DE190" s="150">
        <f t="shared" si="554"/>
        <v>1.1270780501549733</v>
      </c>
      <c r="DF190" s="150">
        <f t="shared" si="555"/>
        <v>1.3928696857096292</v>
      </c>
      <c r="DG190" s="150"/>
      <c r="DH190" s="150">
        <f t="shared" si="556"/>
        <v>0.92784522751949461</v>
      </c>
      <c r="DI190" s="314">
        <f t="shared" si="557"/>
        <v>1186.4909872340427</v>
      </c>
      <c r="DJ190" s="456">
        <f t="shared" si="558"/>
        <v>0.94395997276890675</v>
      </c>
      <c r="DL190" s="150">
        <f t="shared" si="559"/>
        <v>11.030766589414897</v>
      </c>
      <c r="DM190" s="150">
        <f t="shared" si="560"/>
        <v>16.592210526315789</v>
      </c>
      <c r="DN190" s="150">
        <f t="shared" si="561"/>
        <v>9.0011884931183168</v>
      </c>
      <c r="DP190" s="314">
        <f t="shared" si="562"/>
        <v>3200</v>
      </c>
      <c r="DQ190" s="144">
        <f t="shared" si="563"/>
        <v>155.29529725047288</v>
      </c>
      <c r="DS190">
        <f t="shared" si="564"/>
        <v>3200</v>
      </c>
      <c r="DT190">
        <f t="shared" si="565"/>
        <v>155.29529725047288</v>
      </c>
      <c r="DV190" s="5">
        <f t="shared" si="566"/>
        <v>6.4393450265729468</v>
      </c>
      <c r="DW190" s="5">
        <f t="shared" si="567"/>
        <v>3.8991694736842106</v>
      </c>
      <c r="DX190" s="5">
        <f t="shared" si="568"/>
        <v>2.5401755528887362</v>
      </c>
      <c r="DY190" s="150">
        <f t="shared" si="569"/>
        <v>0.60552268244575935</v>
      </c>
      <c r="EA190" s="5">
        <f t="shared" si="570"/>
        <v>41.591141052631585</v>
      </c>
      <c r="EB190" s="5">
        <f t="shared" si="571"/>
        <v>44.190587368421063</v>
      </c>
      <c r="EC190" s="5">
        <f t="shared" si="572"/>
        <v>7.1722603846270188</v>
      </c>
      <c r="ED190" s="5"/>
      <c r="EE190" s="150">
        <f t="shared" si="573"/>
        <v>7.4543336964878781</v>
      </c>
      <c r="EF190" s="150">
        <f t="shared" si="574"/>
        <v>5.7713654691177325</v>
      </c>
      <c r="EG190" s="150">
        <f t="shared" si="575"/>
        <v>1.1584906301279017</v>
      </c>
      <c r="EH190" s="150"/>
      <c r="EI190" s="456">
        <f t="shared" si="576"/>
        <v>0.66680509030313562</v>
      </c>
      <c r="EJ190" s="456">
        <f t="shared" si="577"/>
        <v>2.4821276595744686</v>
      </c>
      <c r="EK190" s="456">
        <f t="shared" si="578"/>
        <v>1.7858959183804382E-2</v>
      </c>
      <c r="EL190" s="456">
        <f t="shared" si="579"/>
        <v>0.20657824196569802</v>
      </c>
      <c r="EM190">
        <f t="shared" si="580"/>
        <v>8.9999999999999993E-3</v>
      </c>
      <c r="EN190" s="144">
        <f t="shared" si="581"/>
        <v>26.858959183804384</v>
      </c>
      <c r="EP190" s="144">
        <f t="shared" si="601"/>
        <v>3382.3699510271067</v>
      </c>
      <c r="EQ190" s="150">
        <f t="shared" si="582"/>
        <v>2.2399999999999998</v>
      </c>
      <c r="ER190" s="150">
        <f t="shared" si="583"/>
        <v>0.32572000000000001</v>
      </c>
      <c r="ES190" s="456"/>
      <c r="EU190" s="144">
        <f t="shared" si="496"/>
        <v>2565.7199999999998</v>
      </c>
      <c r="EV190" s="456">
        <f t="shared" si="584"/>
        <v>0.77793927202032487</v>
      </c>
      <c r="EW190" s="456">
        <f t="shared" si="585"/>
        <v>0.46632123129374364</v>
      </c>
      <c r="EX190" s="456">
        <f t="shared" si="586"/>
        <v>6.7105027004707128E-3</v>
      </c>
      <c r="EY190" s="456">
        <f t="shared" si="587"/>
        <v>16.851027564949874</v>
      </c>
      <c r="EZ190" s="456"/>
      <c r="FA190" s="538">
        <f t="shared" si="588"/>
        <v>4.2753020534465973</v>
      </c>
      <c r="FB190" s="144">
        <f t="shared" si="497"/>
        <v>22377.300624411011</v>
      </c>
      <c r="FC190" s="150">
        <f t="shared" si="589"/>
        <v>28.325390575438117</v>
      </c>
      <c r="FD190" s="5">
        <f t="shared" si="590"/>
        <v>100.08</v>
      </c>
      <c r="FE190" s="150">
        <f t="shared" si="591"/>
        <v>0.77940653076556821</v>
      </c>
      <c r="FF190" s="5">
        <f t="shared" si="592"/>
        <v>77.940653076556828</v>
      </c>
      <c r="FG190">
        <f t="shared" si="593"/>
        <v>80</v>
      </c>
      <c r="FI190" s="59">
        <f t="shared" si="594"/>
        <v>-50</v>
      </c>
      <c r="FJ190">
        <f t="shared" si="595"/>
        <v>-50</v>
      </c>
    </row>
    <row r="191" spans="5:166">
      <c r="E191" s="147">
        <v>81</v>
      </c>
      <c r="F191" s="188">
        <f t="shared" si="596"/>
        <v>3.24</v>
      </c>
      <c r="G191" s="188">
        <f t="shared" si="498"/>
        <v>0.6885</v>
      </c>
      <c r="H191" s="188">
        <f t="shared" si="499"/>
        <v>97.2</v>
      </c>
      <c r="I191" s="188">
        <f t="shared" si="500"/>
        <v>4.1310000000000002</v>
      </c>
      <c r="J191" s="465">
        <f t="shared" si="501"/>
        <v>19.739292186588795</v>
      </c>
      <c r="K191" s="379">
        <f t="shared" si="502"/>
        <v>30.896509309488813</v>
      </c>
      <c r="L191" s="149">
        <f t="shared" si="503"/>
        <v>50.635801496077605</v>
      </c>
      <c r="M191" s="379"/>
      <c r="N191" s="188">
        <f t="shared" si="504"/>
        <v>0.61017123056464595</v>
      </c>
      <c r="O191" s="149">
        <f t="shared" si="505"/>
        <v>175.05047894725655</v>
      </c>
      <c r="P191" s="149">
        <f t="shared" si="506"/>
        <v>7.4396453552584036</v>
      </c>
      <c r="Q191" s="188">
        <f t="shared" si="507"/>
        <v>5.8350159649085516</v>
      </c>
      <c r="R191" s="188">
        <f t="shared" si="508"/>
        <v>29.17507982454276</v>
      </c>
      <c r="S191" s="188">
        <f t="shared" si="509"/>
        <v>30</v>
      </c>
      <c r="T191" s="188">
        <f t="shared" si="510"/>
        <v>16.826315261565341</v>
      </c>
      <c r="U191" s="188">
        <f t="shared" si="511"/>
        <v>4.0064091955175511</v>
      </c>
      <c r="V191" s="188">
        <f t="shared" si="512"/>
        <v>2.559631605537692</v>
      </c>
      <c r="W191" s="172">
        <f t="shared" si="513"/>
        <v>350</v>
      </c>
      <c r="X191" s="379">
        <f t="shared" si="597"/>
        <v>147.79692133160626</v>
      </c>
      <c r="Z191" s="188">
        <f t="shared" si="514"/>
        <v>7.3217922212559188</v>
      </c>
      <c r="AA191" s="150">
        <f t="shared" si="515"/>
        <v>1.1137964841010117</v>
      </c>
      <c r="AB191" s="150">
        <f t="shared" si="516"/>
        <v>1.3689425667499009</v>
      </c>
      <c r="AC191" s="150"/>
      <c r="AD191" s="150">
        <f t="shared" si="517"/>
        <v>0.9219439063331446</v>
      </c>
      <c r="AE191" s="314">
        <f t="shared" si="518"/>
        <v>1209.0117330817568</v>
      </c>
      <c r="AF191" s="456">
        <f t="shared" si="519"/>
        <v>0.93795615788562037</v>
      </c>
      <c r="AH191" s="150">
        <f t="shared" si="520"/>
        <v>11.099494772039352</v>
      </c>
      <c r="AI191" s="150">
        <f t="shared" si="521"/>
        <v>16.826315261565341</v>
      </c>
      <c r="AJ191" s="150">
        <f t="shared" si="522"/>
        <v>9.1745994081179845</v>
      </c>
      <c r="AL191" s="314">
        <f t="shared" si="523"/>
        <v>3240</v>
      </c>
      <c r="AM191" s="144">
        <f t="shared" si="524"/>
        <v>147.79692133160626</v>
      </c>
      <c r="AO191">
        <f t="shared" si="525"/>
        <v>3240</v>
      </c>
      <c r="AP191">
        <f t="shared" si="526"/>
        <v>147.79692133160626</v>
      </c>
      <c r="AR191" s="5">
        <f t="shared" si="442"/>
        <v>6.7660408010552437</v>
      </c>
      <c r="AS191" s="5">
        <f t="shared" si="602"/>
        <v>4.0064091955175511</v>
      </c>
      <c r="AT191" s="5">
        <f t="shared" si="603"/>
        <v>2.7596316055376926</v>
      </c>
      <c r="AU191" s="150">
        <f t="shared" si="604"/>
        <v>0.59213494469213135</v>
      </c>
      <c r="AW191" s="5">
        <f t="shared" si="475"/>
        <v>43.269219311589559</v>
      </c>
      <c r="AX191" s="5">
        <f t="shared" si="476"/>
        <v>45.973545518563895</v>
      </c>
      <c r="AY191" s="5">
        <f t="shared" si="477"/>
        <v>7.9934981374657825</v>
      </c>
      <c r="AZ191" s="5"/>
      <c r="BA191" s="150">
        <f t="shared" si="478"/>
        <v>7.4754740827851709</v>
      </c>
      <c r="BB191" s="150">
        <f t="shared" si="479"/>
        <v>5.9512826839579098</v>
      </c>
      <c r="BC191" s="150">
        <f t="shared" si="480"/>
        <v>1.1946055510606279</v>
      </c>
      <c r="BD191" s="150"/>
      <c r="BE191" s="456">
        <f t="shared" si="481"/>
        <v>0.67059255314871347</v>
      </c>
      <c r="BF191" s="456">
        <f t="shared" si="527"/>
        <v>2.2981319826447781</v>
      </c>
      <c r="BG191" s="456">
        <f t="shared" si="482"/>
        <v>1.6996645953134722E-2</v>
      </c>
      <c r="BH191" s="456">
        <f t="shared" si="483"/>
        <v>0.19610610731881428</v>
      </c>
      <c r="BI191">
        <f t="shared" si="484"/>
        <v>8.8826814839649583E-3</v>
      </c>
      <c r="BJ191" s="144">
        <f t="shared" si="598"/>
        <v>25.879327437099679</v>
      </c>
      <c r="BK191">
        <f t="shared" si="528"/>
        <v>3.9800417991353072</v>
      </c>
      <c r="BL191" s="144">
        <f t="shared" si="599"/>
        <v>3190.7099705494056</v>
      </c>
      <c r="BM191" s="150">
        <f t="shared" si="529"/>
        <v>2.1727439999999998</v>
      </c>
      <c r="BN191" s="150">
        <f t="shared" si="530"/>
        <v>0.46170809999999995</v>
      </c>
      <c r="BO191" s="456"/>
      <c r="BQ191" s="144">
        <f t="shared" si="485"/>
        <v>2634.4521</v>
      </c>
      <c r="BR191" s="456">
        <f t="shared" si="486"/>
        <v>0.7823579786734991</v>
      </c>
      <c r="BS191" s="456">
        <f t="shared" si="487"/>
        <v>0.49584871818128173</v>
      </c>
      <c r="BT191" s="456">
        <f t="shared" si="488"/>
        <v>7.1354121131243335E-3</v>
      </c>
      <c r="BU191" s="456">
        <f t="shared" si="489"/>
        <v>15.420768860332476</v>
      </c>
      <c r="BV191" s="456"/>
      <c r="BW191" s="538">
        <f t="shared" si="531"/>
        <v>4.1844986396982717</v>
      </c>
      <c r="BX191" s="144">
        <f t="shared" si="490"/>
        <v>20890.609608998657</v>
      </c>
      <c r="BY191" s="150">
        <f t="shared" si="491"/>
        <v>26.715771679548059</v>
      </c>
      <c r="BZ191" s="5">
        <f t="shared" si="492"/>
        <v>101.331</v>
      </c>
      <c r="CA191" s="150">
        <f t="shared" si="493"/>
        <v>0.79135927185726018</v>
      </c>
      <c r="CB191" s="5">
        <f t="shared" si="494"/>
        <v>79.135927185726018</v>
      </c>
      <c r="CC191">
        <f t="shared" si="495"/>
        <v>81</v>
      </c>
      <c r="CE191" s="59">
        <f t="shared" si="532"/>
        <v>-50</v>
      </c>
      <c r="CF191">
        <f t="shared" si="533"/>
        <v>-50</v>
      </c>
      <c r="CG191" s="150">
        <f t="shared" si="534"/>
        <v>0.39199567588303097</v>
      </c>
      <c r="CH191" s="150">
        <f t="shared" si="535"/>
        <v>8.2740061272353602E-2</v>
      </c>
      <c r="CI191" s="147">
        <v>81</v>
      </c>
      <c r="CJ191" s="188">
        <f t="shared" si="600"/>
        <v>3.24</v>
      </c>
      <c r="CK191" s="188">
        <f t="shared" si="536"/>
        <v>0.6885</v>
      </c>
      <c r="CL191" s="188">
        <f t="shared" si="537"/>
        <v>97.2</v>
      </c>
      <c r="CM191" s="188">
        <f t="shared" si="538"/>
        <v>4.1310000000000002</v>
      </c>
      <c r="CN191" s="465">
        <f t="shared" si="539"/>
        <v>20</v>
      </c>
      <c r="CO191" s="379">
        <f t="shared" si="540"/>
        <v>30.7</v>
      </c>
      <c r="CP191" s="379">
        <f t="shared" si="541"/>
        <v>50.7</v>
      </c>
      <c r="CQ191" s="379"/>
      <c r="CR191" s="188">
        <f t="shared" si="542"/>
        <v>0.60317460317460314</v>
      </c>
      <c r="CS191" s="149">
        <f t="shared" si="543"/>
        <v>175.32871249897633</v>
      </c>
      <c r="CT191" s="149">
        <f t="shared" si="544"/>
        <v>7.4514702812064924</v>
      </c>
      <c r="CU191" s="188">
        <f t="shared" si="545"/>
        <v>5.8442904166325444</v>
      </c>
      <c r="CV191" s="188">
        <f t="shared" si="546"/>
        <v>29.22145208316272</v>
      </c>
      <c r="CW191" s="188">
        <f t="shared" si="547"/>
        <v>30</v>
      </c>
      <c r="CX191" s="188">
        <f t="shared" si="548"/>
        <v>16.799613157894736</v>
      </c>
      <c r="CY191" s="188">
        <f t="shared" si="549"/>
        <v>3.9479090921052626</v>
      </c>
      <c r="CZ191" s="188">
        <f t="shared" si="550"/>
        <v>2.5719277472998456</v>
      </c>
      <c r="DA191" s="172">
        <f t="shared" si="551"/>
        <v>350</v>
      </c>
      <c r="DB191" s="379">
        <f t="shared" si="552"/>
        <v>153.37807135849175</v>
      </c>
      <c r="DD191" s="188">
        <f t="shared" si="553"/>
        <v>7.3619779020761014</v>
      </c>
      <c r="DE191" s="150">
        <f t="shared" si="554"/>
        <v>1.1270780501549733</v>
      </c>
      <c r="DF191" s="150">
        <f t="shared" si="555"/>
        <v>1.3928696857096292</v>
      </c>
      <c r="DG191" s="150"/>
      <c r="DH191" s="150">
        <f t="shared" si="556"/>
        <v>0.92784522751949461</v>
      </c>
      <c r="DI191" s="314">
        <f t="shared" si="557"/>
        <v>1201.3221245744683</v>
      </c>
      <c r="DJ191" s="456">
        <f t="shared" si="558"/>
        <v>0.94395997276890675</v>
      </c>
      <c r="DL191" s="150">
        <f t="shared" si="559"/>
        <v>11.099494772039352</v>
      </c>
      <c r="DM191" s="150">
        <f t="shared" si="560"/>
        <v>16.799613157894736</v>
      </c>
      <c r="DN191" s="150">
        <f t="shared" si="561"/>
        <v>9.1548200720656858</v>
      </c>
      <c r="DP191" s="314">
        <f t="shared" si="562"/>
        <v>3240</v>
      </c>
      <c r="DQ191" s="144">
        <f t="shared" si="563"/>
        <v>153.37807135849175</v>
      </c>
      <c r="DS191">
        <f t="shared" si="564"/>
        <v>3240</v>
      </c>
      <c r="DT191">
        <f t="shared" si="565"/>
        <v>153.37807135849175</v>
      </c>
      <c r="DV191" s="5">
        <f t="shared" si="566"/>
        <v>6.5198368394051078</v>
      </c>
      <c r="DW191" s="5">
        <f t="shared" si="567"/>
        <v>3.9479090921052626</v>
      </c>
      <c r="DX191" s="5">
        <f t="shared" si="568"/>
        <v>2.5719277472998452</v>
      </c>
      <c r="DY191" s="150">
        <f t="shared" si="569"/>
        <v>0.60552268244575935</v>
      </c>
      <c r="EA191" s="5">
        <f t="shared" si="570"/>
        <v>42.637418194736831</v>
      </c>
      <c r="EB191" s="5">
        <f t="shared" si="571"/>
        <v>45.30225683190789</v>
      </c>
      <c r="EC191" s="5">
        <f t="shared" si="572"/>
        <v>7.3526875599277917</v>
      </c>
      <c r="ED191" s="5"/>
      <c r="EE191" s="150">
        <f t="shared" si="573"/>
        <v>7.5475128676939764</v>
      </c>
      <c r="EF191" s="150">
        <f t="shared" si="574"/>
        <v>5.8435075374817034</v>
      </c>
      <c r="EG191" s="150">
        <f t="shared" si="575"/>
        <v>1.1729717630045002</v>
      </c>
      <c r="EH191" s="150"/>
      <c r="EI191" s="456">
        <f t="shared" si="576"/>
        <v>0.6835794058560738</v>
      </c>
      <c r="EJ191" s="456">
        <f t="shared" si="577"/>
        <v>2.4821276595744686</v>
      </c>
      <c r="EK191" s="456">
        <f t="shared" si="578"/>
        <v>1.7638478206226552E-2</v>
      </c>
      <c r="EL191" s="456">
        <f t="shared" si="579"/>
        <v>0.20402789329945481</v>
      </c>
      <c r="EM191">
        <f t="shared" si="580"/>
        <v>8.9999999999999993E-3</v>
      </c>
      <c r="EN191" s="144">
        <f t="shared" si="581"/>
        <v>26.638478206226551</v>
      </c>
      <c r="EP191" s="144">
        <f t="shared" si="601"/>
        <v>3396.3734369362232</v>
      </c>
      <c r="EQ191" s="150">
        <f t="shared" si="582"/>
        <v>2.2679999999999998</v>
      </c>
      <c r="ER191" s="150">
        <f t="shared" si="583"/>
        <v>0.32979150000000002</v>
      </c>
      <c r="ES191" s="456"/>
      <c r="EU191" s="144">
        <f t="shared" si="496"/>
        <v>2597.7914999999994</v>
      </c>
      <c r="EV191" s="456">
        <f t="shared" si="584"/>
        <v>0.79750930683208621</v>
      </c>
      <c r="EW191" s="456">
        <f t="shared" si="585"/>
        <v>0.47805212476847675</v>
      </c>
      <c r="EX191" s="456">
        <f t="shared" si="586"/>
        <v>6.8793137840294271E-3</v>
      </c>
      <c r="EY191" s="456">
        <f t="shared" si="587"/>
        <v>16.851027564949892</v>
      </c>
      <c r="EZ191" s="456"/>
      <c r="FA191" s="538">
        <f t="shared" si="588"/>
        <v>4.3287433291146797</v>
      </c>
      <c r="FB191" s="144">
        <f t="shared" si="497"/>
        <v>22462.211639449164</v>
      </c>
      <c r="FC191" s="150">
        <f t="shared" si="589"/>
        <v>28.456376576385388</v>
      </c>
      <c r="FD191" s="5">
        <f t="shared" si="590"/>
        <v>101.331</v>
      </c>
      <c r="FE191" s="150">
        <f t="shared" si="591"/>
        <v>0.78074619175588622</v>
      </c>
      <c r="FF191" s="5">
        <f t="shared" si="592"/>
        <v>78.074619175588623</v>
      </c>
      <c r="FG191">
        <f t="shared" si="593"/>
        <v>81</v>
      </c>
      <c r="FI191" s="59">
        <f t="shared" si="594"/>
        <v>-50</v>
      </c>
      <c r="FJ191">
        <f t="shared" si="595"/>
        <v>-50</v>
      </c>
    </row>
    <row r="192" spans="5:166">
      <c r="E192" s="147">
        <v>82</v>
      </c>
      <c r="F192" s="188">
        <f t="shared" si="596"/>
        <v>3.28</v>
      </c>
      <c r="G192" s="188">
        <f t="shared" si="498"/>
        <v>0.69699999999999995</v>
      </c>
      <c r="H192" s="188">
        <f t="shared" si="499"/>
        <v>98.399999999999991</v>
      </c>
      <c r="I192" s="188">
        <f t="shared" si="500"/>
        <v>4.1819999999999995</v>
      </c>
      <c r="J192" s="465">
        <f t="shared" si="501"/>
        <v>19.736073571608411</v>
      </c>
      <c r="K192" s="379">
        <f t="shared" si="502"/>
        <v>30.898935350346697</v>
      </c>
      <c r="L192" s="149">
        <f t="shared" si="503"/>
        <v>50.635008921955105</v>
      </c>
      <c r="M192" s="379"/>
      <c r="N192" s="188">
        <f t="shared" si="504"/>
        <v>0.61022869370817989</v>
      </c>
      <c r="O192" s="149">
        <f t="shared" si="505"/>
        <v>175.03841864008623</v>
      </c>
      <c r="P192" s="149">
        <f t="shared" si="506"/>
        <v>7.4391327922036652</v>
      </c>
      <c r="Q192" s="188">
        <f t="shared" si="507"/>
        <v>5.8346139546695408</v>
      </c>
      <c r="R192" s="188">
        <f t="shared" si="508"/>
        <v>29.173069773347706</v>
      </c>
      <c r="S192" s="188">
        <f t="shared" si="509"/>
        <v>30</v>
      </c>
      <c r="T192" s="188">
        <f t="shared" si="510"/>
        <v>17.035221210204099</v>
      </c>
      <c r="U192" s="188">
        <f t="shared" si="511"/>
        <v>4.0568119792144772</v>
      </c>
      <c r="V192" s="188">
        <f t="shared" si="512"/>
        <v>2.5912070684681665</v>
      </c>
      <c r="W192" s="172">
        <f t="shared" si="513"/>
        <v>350</v>
      </c>
      <c r="X192" s="379">
        <f t="shared" si="597"/>
        <v>146.02763120794737</v>
      </c>
      <c r="Z192" s="188">
        <f t="shared" si="514"/>
        <v>7.3212877778304755</v>
      </c>
      <c r="AA192" s="150">
        <f t="shared" si="515"/>
        <v>1.1136323036909146</v>
      </c>
      <c r="AB192" s="150">
        <f t="shared" si="516"/>
        <v>1.3686464752533918</v>
      </c>
      <c r="AC192" s="150"/>
      <c r="AD192" s="150">
        <f t="shared" si="517"/>
        <v>0.9218715195806535</v>
      </c>
      <c r="AE192" s="314">
        <f t="shared" si="518"/>
        <v>1224.0339093166629</v>
      </c>
      <c r="AF192" s="456">
        <f t="shared" si="519"/>
        <v>0.93788251392552502</v>
      </c>
      <c r="AH192" s="150">
        <f t="shared" si="520"/>
        <v>11.16779999995101</v>
      </c>
      <c r="AI192" s="150">
        <f t="shared" si="521"/>
        <v>17.035221210204099</v>
      </c>
      <c r="AJ192" s="150">
        <f t="shared" si="522"/>
        <v>9.3293445552578067</v>
      </c>
      <c r="AL192" s="314">
        <f t="shared" si="523"/>
        <v>3280</v>
      </c>
      <c r="AM192" s="144">
        <f t="shared" si="524"/>
        <v>146.02763120794737</v>
      </c>
      <c r="AO192">
        <f t="shared" si="525"/>
        <v>3280</v>
      </c>
      <c r="AP192">
        <f t="shared" si="526"/>
        <v>146.02763120794737</v>
      </c>
      <c r="AR192" s="5">
        <f t="shared" si="442"/>
        <v>6.8480190476826435</v>
      </c>
      <c r="AS192" s="5">
        <f t="shared" si="602"/>
        <v>4.0568119792144772</v>
      </c>
      <c r="AT192" s="5">
        <f t="shared" si="603"/>
        <v>2.7912070684681662</v>
      </c>
      <c r="AU192" s="150">
        <f t="shared" si="604"/>
        <v>0.59240664358071471</v>
      </c>
      <c r="AW192" s="5">
        <f t="shared" si="475"/>
        <v>44.35447763941162</v>
      </c>
      <c r="AX192" s="5">
        <f t="shared" si="476"/>
        <v>47.126632491874844</v>
      </c>
      <c r="AY192" s="5">
        <f t="shared" si="477"/>
        <v>8.1861081477420878</v>
      </c>
      <c r="AZ192" s="5"/>
      <c r="BA192" s="150">
        <f t="shared" si="478"/>
        <v>7.5700214526000877</v>
      </c>
      <c r="BB192" s="150">
        <f t="shared" si="479"/>
        <v>6.0231632559643034</v>
      </c>
      <c r="BC192" s="150">
        <f t="shared" si="480"/>
        <v>1.2090341935722191</v>
      </c>
      <c r="BD192" s="150"/>
      <c r="BE192" s="456">
        <f t="shared" si="481"/>
        <v>0.68766269751390652</v>
      </c>
      <c r="BF192" s="456">
        <f t="shared" si="527"/>
        <v>2.2987755930979139</v>
      </c>
      <c r="BG192" s="456">
        <f t="shared" si="482"/>
        <v>1.6793177588913948E-2</v>
      </c>
      <c r="BH192" s="456">
        <f t="shared" si="483"/>
        <v>0.19375243808082621</v>
      </c>
      <c r="BI192">
        <f t="shared" si="484"/>
        <v>8.8812331072237842E-3</v>
      </c>
      <c r="BJ192" s="144">
        <f t="shared" si="598"/>
        <v>25.674410696137734</v>
      </c>
      <c r="BK192">
        <f t="shared" si="528"/>
        <v>4.0232058588488169</v>
      </c>
      <c r="BL192" s="144">
        <f t="shared" si="599"/>
        <v>3205.8651393887849</v>
      </c>
      <c r="BM192" s="150">
        <f t="shared" si="529"/>
        <v>2.1995679999999997</v>
      </c>
      <c r="BN192" s="150">
        <f t="shared" si="530"/>
        <v>0.46740819999999994</v>
      </c>
      <c r="BO192" s="456"/>
      <c r="BQ192" s="144">
        <f t="shared" si="485"/>
        <v>2666.9761999999996</v>
      </c>
      <c r="BR192" s="456">
        <f t="shared" si="486"/>
        <v>0.80227314709955755</v>
      </c>
      <c r="BS192" s="456">
        <f t="shared" si="487"/>
        <v>0.50789893851197909</v>
      </c>
      <c r="BT192" s="456">
        <f t="shared" si="488"/>
        <v>7.3088184061341314E-3</v>
      </c>
      <c r="BU192" s="456">
        <f t="shared" si="489"/>
        <v>15.432171776886689</v>
      </c>
      <c r="BV192" s="456"/>
      <c r="BW192" s="538">
        <f t="shared" si="531"/>
        <v>4.237703774769586</v>
      </c>
      <c r="BX192" s="144">
        <f t="shared" si="490"/>
        <v>20987.356455673944</v>
      </c>
      <c r="BY192" s="150">
        <f t="shared" si="491"/>
        <v>26.860197795062732</v>
      </c>
      <c r="BZ192" s="5">
        <f t="shared" si="492"/>
        <v>102.58199999999999</v>
      </c>
      <c r="CA192" s="150">
        <f t="shared" si="493"/>
        <v>0.79249272453185082</v>
      </c>
      <c r="CB192" s="5">
        <f t="shared" si="494"/>
        <v>79.249272453185085</v>
      </c>
      <c r="CC192">
        <f t="shared" si="495"/>
        <v>82</v>
      </c>
      <c r="CE192" s="59">
        <f t="shared" si="532"/>
        <v>-50</v>
      </c>
      <c r="CF192">
        <f t="shared" si="533"/>
        <v>-50</v>
      </c>
      <c r="CG192" s="150">
        <f t="shared" si="534"/>
        <v>0.39199567588303091</v>
      </c>
      <c r="CH192" s="150">
        <f t="shared" si="535"/>
        <v>8.2740061272353602E-2</v>
      </c>
      <c r="CI192" s="147">
        <v>82</v>
      </c>
      <c r="CJ192" s="188">
        <f t="shared" si="600"/>
        <v>3.28</v>
      </c>
      <c r="CK192" s="188">
        <f t="shared" si="536"/>
        <v>0.69699999999999995</v>
      </c>
      <c r="CL192" s="188">
        <f t="shared" si="537"/>
        <v>98.399999999999991</v>
      </c>
      <c r="CM192" s="188">
        <f t="shared" si="538"/>
        <v>4.1819999999999995</v>
      </c>
      <c r="CN192" s="465">
        <f t="shared" si="539"/>
        <v>20</v>
      </c>
      <c r="CO192" s="379">
        <f t="shared" si="540"/>
        <v>30.7</v>
      </c>
      <c r="CP192" s="379">
        <f t="shared" si="541"/>
        <v>50.7</v>
      </c>
      <c r="CQ192" s="379"/>
      <c r="CR192" s="188">
        <f t="shared" si="542"/>
        <v>0.60317460317460314</v>
      </c>
      <c r="CS192" s="149">
        <f t="shared" si="543"/>
        <v>175.32871249897633</v>
      </c>
      <c r="CT192" s="149">
        <f t="shared" si="544"/>
        <v>7.4514702812064924</v>
      </c>
      <c r="CU192" s="188">
        <f t="shared" si="545"/>
        <v>5.8442904166325444</v>
      </c>
      <c r="CV192" s="188">
        <f t="shared" si="546"/>
        <v>29.22145208316272</v>
      </c>
      <c r="CW192" s="188">
        <f t="shared" si="547"/>
        <v>30</v>
      </c>
      <c r="CX192" s="188">
        <f t="shared" si="548"/>
        <v>17.007015789473684</v>
      </c>
      <c r="CY192" s="188">
        <f t="shared" si="549"/>
        <v>3.9966487105263155</v>
      </c>
      <c r="CZ192" s="188">
        <f t="shared" si="550"/>
        <v>2.6036799417109551</v>
      </c>
      <c r="DA192" s="172">
        <f t="shared" si="551"/>
        <v>350</v>
      </c>
      <c r="DB192" s="379">
        <f t="shared" si="552"/>
        <v>151.5076070736321</v>
      </c>
      <c r="DD192" s="188">
        <f t="shared" si="553"/>
        <v>7.3619779020761014</v>
      </c>
      <c r="DE192" s="150">
        <f t="shared" si="554"/>
        <v>1.1270780501549733</v>
      </c>
      <c r="DF192" s="150">
        <f t="shared" si="555"/>
        <v>1.3928696857096292</v>
      </c>
      <c r="DG192" s="150"/>
      <c r="DH192" s="150">
        <f t="shared" si="556"/>
        <v>0.92784522751949461</v>
      </c>
      <c r="DI192" s="314">
        <f t="shared" si="557"/>
        <v>1216.1532619148934</v>
      </c>
      <c r="DJ192" s="456">
        <f t="shared" si="558"/>
        <v>0.94395997276890675</v>
      </c>
      <c r="DL192" s="150">
        <f t="shared" si="559"/>
        <v>11.16779999995101</v>
      </c>
      <c r="DM192" s="150">
        <f t="shared" si="560"/>
        <v>17.007015789473684</v>
      </c>
      <c r="DN192" s="150">
        <f t="shared" si="561"/>
        <v>9.3084516510130531</v>
      </c>
      <c r="DP192" s="314">
        <f t="shared" si="562"/>
        <v>3280</v>
      </c>
      <c r="DQ192" s="144">
        <f t="shared" si="563"/>
        <v>151.5076070736321</v>
      </c>
      <c r="DS192">
        <f t="shared" si="564"/>
        <v>3280</v>
      </c>
      <c r="DT192">
        <f t="shared" si="565"/>
        <v>151.5076070736321</v>
      </c>
      <c r="DV192" s="5">
        <f t="shared" si="566"/>
        <v>6.6003286522372697</v>
      </c>
      <c r="DW192" s="5">
        <f t="shared" si="567"/>
        <v>3.9966487105263155</v>
      </c>
      <c r="DX192" s="5">
        <f t="shared" si="568"/>
        <v>2.6036799417109542</v>
      </c>
      <c r="DY192" s="150">
        <f t="shared" si="569"/>
        <v>0.60552268244575946</v>
      </c>
      <c r="EA192" s="5">
        <f t="shared" si="570"/>
        <v>43.696692568421049</v>
      </c>
      <c r="EB192" s="5">
        <f t="shared" si="571"/>
        <v>46.427735853947361</v>
      </c>
      <c r="EC192" s="5">
        <f t="shared" si="572"/>
        <v>7.5353560665987604</v>
      </c>
      <c r="ED192" s="5"/>
      <c r="EE192" s="150">
        <f t="shared" si="573"/>
        <v>7.6406920389000756</v>
      </c>
      <c r="EF192" s="150">
        <f t="shared" si="574"/>
        <v>5.9156496058456742</v>
      </c>
      <c r="EG192" s="150">
        <f t="shared" si="575"/>
        <v>1.1874528958810988</v>
      </c>
      <c r="EH192" s="150"/>
      <c r="EI192" s="456">
        <f t="shared" si="576"/>
        <v>0.70056209799973201</v>
      </c>
      <c r="EJ192" s="456">
        <f t="shared" si="577"/>
        <v>2.4821276595744686</v>
      </c>
      <c r="EK192" s="456">
        <f t="shared" si="578"/>
        <v>1.7423374813467694E-2</v>
      </c>
      <c r="EL192" s="456">
        <f t="shared" si="579"/>
        <v>0.20153974825921758</v>
      </c>
      <c r="EM192">
        <f t="shared" si="580"/>
        <v>8.9999999999999993E-3</v>
      </c>
      <c r="EN192" s="144">
        <f t="shared" si="581"/>
        <v>26.423374813467696</v>
      </c>
      <c r="EP192" s="144">
        <f t="shared" si="601"/>
        <v>3410.6528806468859</v>
      </c>
      <c r="EQ192" s="150">
        <f t="shared" si="582"/>
        <v>2.2959999999999998</v>
      </c>
      <c r="ER192" s="150">
        <f t="shared" si="583"/>
        <v>0.33386299999999997</v>
      </c>
      <c r="ES192" s="456"/>
      <c r="EU192" s="144">
        <f t="shared" si="496"/>
        <v>2629.8629999999998</v>
      </c>
      <c r="EV192" s="456">
        <f t="shared" si="584"/>
        <v>0.81732244766635398</v>
      </c>
      <c r="EW192" s="456">
        <f t="shared" si="585"/>
        <v>0.48992874362798916</v>
      </c>
      <c r="EX192" s="456">
        <f t="shared" si="586"/>
        <v>7.0502218996820387E-3</v>
      </c>
      <c r="EY192" s="456">
        <f t="shared" si="587"/>
        <v>16.851027564949892</v>
      </c>
      <c r="EZ192" s="456"/>
      <c r="FA192" s="538">
        <f t="shared" si="588"/>
        <v>4.3821846047827622</v>
      </c>
      <c r="FB192" s="144">
        <f t="shared" si="497"/>
        <v>22547.51358292668</v>
      </c>
      <c r="FC192" s="150">
        <f t="shared" si="589"/>
        <v>28.588029463573562</v>
      </c>
      <c r="FD192" s="5">
        <f t="shared" si="590"/>
        <v>102.58199999999999</v>
      </c>
      <c r="FE192" s="150">
        <f t="shared" si="591"/>
        <v>0.78205364761687002</v>
      </c>
      <c r="FF192" s="5">
        <f t="shared" si="592"/>
        <v>78.205364761687008</v>
      </c>
      <c r="FG192">
        <f t="shared" si="593"/>
        <v>82</v>
      </c>
      <c r="FI192" s="59">
        <f t="shared" si="594"/>
        <v>-50</v>
      </c>
      <c r="FJ192">
        <f t="shared" si="595"/>
        <v>-50</v>
      </c>
    </row>
    <row r="193" spans="5:166">
      <c r="E193" s="147">
        <v>83</v>
      </c>
      <c r="F193" s="188">
        <f t="shared" si="596"/>
        <v>3.32</v>
      </c>
      <c r="G193" s="188">
        <f t="shared" si="498"/>
        <v>0.7054999999999999</v>
      </c>
      <c r="H193" s="188">
        <f t="shared" si="499"/>
        <v>99.6</v>
      </c>
      <c r="I193" s="188">
        <f t="shared" si="500"/>
        <v>4.2329999999999997</v>
      </c>
      <c r="J193" s="465">
        <f t="shared" si="501"/>
        <v>19.732854956628024</v>
      </c>
      <c r="K193" s="379">
        <f t="shared" si="502"/>
        <v>30.901361391204585</v>
      </c>
      <c r="L193" s="149">
        <f t="shared" si="503"/>
        <v>50.634216347832606</v>
      </c>
      <c r="M193" s="379"/>
      <c r="N193" s="188">
        <f t="shared" si="504"/>
        <v>0.61028615865064761</v>
      </c>
      <c r="O193" s="149">
        <f t="shared" si="505"/>
        <v>175.02635347272596</v>
      </c>
      <c r="P193" s="149">
        <f t="shared" si="506"/>
        <v>7.4386200225908521</v>
      </c>
      <c r="Q193" s="188">
        <f t="shared" si="507"/>
        <v>5.834211782424199</v>
      </c>
      <c r="R193" s="188">
        <f t="shared" si="508"/>
        <v>29.171058912120994</v>
      </c>
      <c r="S193" s="188">
        <f t="shared" si="509"/>
        <v>30</v>
      </c>
      <c r="T193" s="188">
        <f t="shared" si="510"/>
        <v>17.244156427289884</v>
      </c>
      <c r="U193" s="188">
        <f t="shared" si="511"/>
        <v>4.1072381764524941</v>
      </c>
      <c r="V193" s="188">
        <f t="shared" si="512"/>
        <v>2.6227820251094474</v>
      </c>
      <c r="W193" s="172">
        <f t="shared" si="513"/>
        <v>350</v>
      </c>
      <c r="X193" s="379">
        <f t="shared" si="597"/>
        <v>144.2997236537077</v>
      </c>
      <c r="Z193" s="188">
        <f t="shared" si="514"/>
        <v>7.320783131119093</v>
      </c>
      <c r="AA193" s="150">
        <f t="shared" si="515"/>
        <v>1.1134681181410071</v>
      </c>
      <c r="AB193" s="150">
        <f t="shared" si="516"/>
        <v>1.3683503672489028</v>
      </c>
      <c r="AC193" s="150"/>
      <c r="AD193" s="150">
        <f t="shared" si="517"/>
        <v>0.92179914419421305</v>
      </c>
      <c r="AE193" s="314">
        <f t="shared" si="518"/>
        <v>1239.0584295870842</v>
      </c>
      <c r="AF193" s="456">
        <f t="shared" si="519"/>
        <v>0.93780888152888497</v>
      </c>
      <c r="AH193" s="150">
        <f t="shared" si="520"/>
        <v>11.235689986969321</v>
      </c>
      <c r="AI193" s="150">
        <f t="shared" si="521"/>
        <v>17.244156427289884</v>
      </c>
      <c r="AJ193" s="150">
        <f t="shared" si="522"/>
        <v>9.4841113827287575</v>
      </c>
      <c r="AL193" s="314">
        <f t="shared" si="523"/>
        <v>3320</v>
      </c>
      <c r="AM193" s="144">
        <f t="shared" si="524"/>
        <v>144.2997236537077</v>
      </c>
      <c r="AO193">
        <f t="shared" si="525"/>
        <v>3320</v>
      </c>
      <c r="AP193">
        <f t="shared" si="526"/>
        <v>144.2997236537077</v>
      </c>
      <c r="AR193" s="5">
        <f t="shared" si="442"/>
        <v>6.9300202015619421</v>
      </c>
      <c r="AS193" s="5">
        <f t="shared" si="602"/>
        <v>4.1072381764524941</v>
      </c>
      <c r="AT193" s="5">
        <f t="shared" si="603"/>
        <v>2.822782025109448</v>
      </c>
      <c r="AU193" s="150">
        <f t="shared" si="604"/>
        <v>0.59267333384205323</v>
      </c>
      <c r="AW193" s="5">
        <f t="shared" si="475"/>
        <v>45.453435819407595</v>
      </c>
      <c r="AX193" s="5">
        <f t="shared" si="476"/>
        <v>48.294275558120574</v>
      </c>
      <c r="AY193" s="5">
        <f t="shared" si="477"/>
        <v>8.3810385184820149</v>
      </c>
      <c r="AZ193" s="5"/>
      <c r="BA193" s="150">
        <f t="shared" si="478"/>
        <v>7.6645916234823401</v>
      </c>
      <c r="BB193" s="150">
        <f t="shared" si="479"/>
        <v>6.0950417407310775</v>
      </c>
      <c r="BC193" s="150">
        <f t="shared" si="480"/>
        <v>1.2234624171105957</v>
      </c>
      <c r="BD193" s="150"/>
      <c r="BE193" s="456">
        <f t="shared" si="481"/>
        <v>0.7049515770570679</v>
      </c>
      <c r="BF193" s="456">
        <f t="shared" si="527"/>
        <v>2.2993994063945213</v>
      </c>
      <c r="BG193" s="456">
        <f t="shared" si="482"/>
        <v>1.6594468220176385E-2</v>
      </c>
      <c r="BH193" s="456">
        <f t="shared" si="483"/>
        <v>0.19145382143630751</v>
      </c>
      <c r="BI193">
        <f t="shared" si="484"/>
        <v>8.8797847304826101E-3</v>
      </c>
      <c r="BJ193" s="144">
        <f t="shared" si="598"/>
        <v>25.474252950658997</v>
      </c>
      <c r="BK193">
        <f t="shared" si="528"/>
        <v>4.0674203882285243</v>
      </c>
      <c r="BL193" s="144">
        <f t="shared" si="599"/>
        <v>3221.2790578385557</v>
      </c>
      <c r="BM193" s="150">
        <f t="shared" si="529"/>
        <v>2.2263919999999997</v>
      </c>
      <c r="BN193" s="150">
        <f t="shared" si="530"/>
        <v>0.47310829999999987</v>
      </c>
      <c r="BO193" s="456"/>
      <c r="BQ193" s="144">
        <f t="shared" si="485"/>
        <v>2699.5002999999997</v>
      </c>
      <c r="BR193" s="456">
        <f t="shared" si="486"/>
        <v>0.82244350656657916</v>
      </c>
      <c r="BS193" s="456">
        <f t="shared" si="487"/>
        <v>0.52009347349755775</v>
      </c>
      <c r="BT193" s="456">
        <f t="shared" si="488"/>
        <v>7.4843014304105063E-3</v>
      </c>
      <c r="BU193" s="456">
        <f t="shared" si="489"/>
        <v>15.44324770154175</v>
      </c>
      <c r="BV193" s="456"/>
      <c r="BW193" s="538">
        <f t="shared" si="531"/>
        <v>4.2909100152669328</v>
      </c>
      <c r="BX193" s="144">
        <f t="shared" ref="BX193:BX210" si="605">SUM(BR193:BW193)*1000</f>
        <v>21084.178998303229</v>
      </c>
      <c r="BY193" s="150">
        <f t="shared" ref="BY193:BY210" si="606">SUM(BE193:BI193,BM193:BP193,BR193:BW193)</f>
        <v>27.004958356141785</v>
      </c>
      <c r="BZ193" s="5">
        <f t="shared" ref="BZ193:BZ210" si="607">MIN(H193+I193,O193+P193)</f>
        <v>103.833</v>
      </c>
      <c r="CA193" s="150">
        <f t="shared" ref="CA193:CA210" si="608">BZ193/(BZ193+BY193)</f>
        <v>0.79359997132763183</v>
      </c>
      <c r="CB193" s="5">
        <f t="shared" ref="CB193:CB210" si="609">CA193*100</f>
        <v>79.359997132763183</v>
      </c>
      <c r="CC193">
        <f t="shared" ref="CC193:CC210" si="610">F193/Iout*100</f>
        <v>83</v>
      </c>
      <c r="CE193" s="59">
        <f t="shared" si="532"/>
        <v>-50</v>
      </c>
      <c r="CF193">
        <f t="shared" si="533"/>
        <v>-50</v>
      </c>
      <c r="CG193" s="150">
        <f t="shared" si="534"/>
        <v>0.39199567588303091</v>
      </c>
      <c r="CH193" s="150">
        <f t="shared" si="535"/>
        <v>8.2740061272353602E-2</v>
      </c>
      <c r="CI193" s="147">
        <v>83</v>
      </c>
      <c r="CJ193" s="188">
        <f t="shared" si="600"/>
        <v>3.32</v>
      </c>
      <c r="CK193" s="188">
        <f t="shared" si="536"/>
        <v>0.7054999999999999</v>
      </c>
      <c r="CL193" s="188">
        <f t="shared" si="537"/>
        <v>99.6</v>
      </c>
      <c r="CM193" s="188">
        <f t="shared" si="538"/>
        <v>4.2329999999999997</v>
      </c>
      <c r="CN193" s="465">
        <f t="shared" si="539"/>
        <v>20</v>
      </c>
      <c r="CO193" s="379">
        <f t="shared" si="540"/>
        <v>30.7</v>
      </c>
      <c r="CP193" s="379">
        <f t="shared" si="541"/>
        <v>50.7</v>
      </c>
      <c r="CQ193" s="379"/>
      <c r="CR193" s="188">
        <f t="shared" si="542"/>
        <v>0.60317460317460314</v>
      </c>
      <c r="CS193" s="149">
        <f t="shared" si="543"/>
        <v>175.32871249897633</v>
      </c>
      <c r="CT193" s="149">
        <f t="shared" si="544"/>
        <v>7.4514702812064924</v>
      </c>
      <c r="CU193" s="188">
        <f t="shared" si="545"/>
        <v>5.8442904166325444</v>
      </c>
      <c r="CV193" s="188">
        <f t="shared" si="546"/>
        <v>29.22145208316272</v>
      </c>
      <c r="CW193" s="188">
        <f t="shared" si="547"/>
        <v>30</v>
      </c>
      <c r="CX193" s="188">
        <f t="shared" si="548"/>
        <v>17.214418421052631</v>
      </c>
      <c r="CY193" s="188">
        <f t="shared" si="549"/>
        <v>4.0453883289473689</v>
      </c>
      <c r="CZ193" s="188">
        <f t="shared" si="550"/>
        <v>2.6354321361220641</v>
      </c>
      <c r="DA193" s="172">
        <f t="shared" si="551"/>
        <v>350</v>
      </c>
      <c r="DB193" s="379">
        <f t="shared" si="552"/>
        <v>149.68221421732326</v>
      </c>
      <c r="DD193" s="188">
        <f t="shared" si="553"/>
        <v>7.3619779020761014</v>
      </c>
      <c r="DE193" s="150">
        <f t="shared" si="554"/>
        <v>1.1270780501549733</v>
      </c>
      <c r="DF193" s="150">
        <f t="shared" si="555"/>
        <v>1.3928696857096292</v>
      </c>
      <c r="DG193" s="150"/>
      <c r="DH193" s="150">
        <f t="shared" si="556"/>
        <v>0.92784522751949461</v>
      </c>
      <c r="DI193" s="314">
        <f t="shared" si="557"/>
        <v>1230.984399255319</v>
      </c>
      <c r="DJ193" s="456">
        <f t="shared" si="558"/>
        <v>0.94395997276890675</v>
      </c>
      <c r="DL193" s="150">
        <f t="shared" si="559"/>
        <v>11.235689986969321</v>
      </c>
      <c r="DM193" s="150">
        <f t="shared" si="560"/>
        <v>17.214418421052631</v>
      </c>
      <c r="DN193" s="150">
        <f t="shared" si="561"/>
        <v>9.4620832299604221</v>
      </c>
      <c r="DP193" s="314">
        <f t="shared" si="562"/>
        <v>3320</v>
      </c>
      <c r="DQ193" s="144">
        <f t="shared" si="563"/>
        <v>149.68221421732326</v>
      </c>
      <c r="DS193">
        <f>IF(CL193&gt;CS193, "",DP193)</f>
        <v>3320</v>
      </c>
      <c r="DT193">
        <f t="shared" si="565"/>
        <v>149.68221421732326</v>
      </c>
      <c r="DV193" s="5">
        <f t="shared" si="566"/>
        <v>6.6808204650694325</v>
      </c>
      <c r="DW193" s="5">
        <f t="shared" si="567"/>
        <v>4.0453883289473689</v>
      </c>
      <c r="DX193" s="5">
        <f t="shared" si="568"/>
        <v>2.6354321361220636</v>
      </c>
      <c r="DY193" s="150">
        <f t="shared" si="569"/>
        <v>0.60552268244575946</v>
      </c>
      <c r="EA193" s="5">
        <f t="shared" si="570"/>
        <v>44.768964173684218</v>
      </c>
      <c r="EB193" s="5">
        <f t="shared" si="571"/>
        <v>47.567024434539469</v>
      </c>
      <c r="EC193" s="5">
        <f t="shared" si="572"/>
        <v>7.720265904639926</v>
      </c>
      <c r="ED193" s="5"/>
      <c r="EE193" s="150">
        <f t="shared" si="573"/>
        <v>7.7338712101061748</v>
      </c>
      <c r="EF193" s="150">
        <f t="shared" si="574"/>
        <v>5.987791674209646</v>
      </c>
      <c r="EG193" s="150">
        <f t="shared" si="575"/>
        <v>1.2019340287576976</v>
      </c>
      <c r="EH193" s="150"/>
      <c r="EI193" s="456">
        <f t="shared" si="576"/>
        <v>0.71775316673410972</v>
      </c>
      <c r="EJ193" s="456">
        <f t="shared" si="577"/>
        <v>2.4821276595744686</v>
      </c>
      <c r="EK193" s="456">
        <f t="shared" si="578"/>
        <v>1.7213454634992176E-2</v>
      </c>
      <c r="EL193" s="456">
        <f t="shared" si="579"/>
        <v>0.1991115585211547</v>
      </c>
      <c r="EM193">
        <f t="shared" si="580"/>
        <v>8.9999999999999993E-3</v>
      </c>
      <c r="EN193" s="144">
        <f t="shared" si="581"/>
        <v>26.213454634992175</v>
      </c>
      <c r="EP193" s="144">
        <f t="shared" si="601"/>
        <v>3425.2058394647247</v>
      </c>
      <c r="EQ193" s="150">
        <f t="shared" si="582"/>
        <v>2.3239999999999998</v>
      </c>
      <c r="ER193" s="150">
        <f t="shared" si="583"/>
        <v>0.33793449999999992</v>
      </c>
      <c r="ES193" s="456"/>
      <c r="EU193" s="144">
        <f t="shared" si="496"/>
        <v>2661.9344999999998</v>
      </c>
      <c r="EV193" s="456">
        <f t="shared" si="584"/>
        <v>0.83737869452312808</v>
      </c>
      <c r="EW193" s="456">
        <f t="shared" si="585"/>
        <v>0.50195108787228104</v>
      </c>
      <c r="EX193" s="456">
        <f t="shared" si="586"/>
        <v>7.2232270474285503E-3</v>
      </c>
      <c r="EY193" s="456">
        <f t="shared" si="587"/>
        <v>16.851027564949874</v>
      </c>
      <c r="EZ193" s="456"/>
      <c r="FA193" s="538">
        <f t="shared" si="588"/>
        <v>4.4356258804508446</v>
      </c>
      <c r="FB193" s="144">
        <f t="shared" ref="FB193:FB210" si="611">SUM(EV193:FA193)*1000</f>
        <v>22633.206454843552</v>
      </c>
      <c r="FC193" s="150">
        <f t="shared" si="589"/>
        <v>28.720346794308284</v>
      </c>
      <c r="FD193" s="5">
        <f t="shared" si="590"/>
        <v>103.833</v>
      </c>
      <c r="FE193" s="150">
        <f t="shared" si="591"/>
        <v>0.78332990083701526</v>
      </c>
      <c r="FF193" s="5">
        <f t="shared" si="592"/>
        <v>78.332990083701532</v>
      </c>
      <c r="FG193">
        <f t="shared" si="593"/>
        <v>83</v>
      </c>
      <c r="FI193" s="59">
        <f t="shared" si="594"/>
        <v>-50</v>
      </c>
      <c r="FJ193">
        <f t="shared" si="595"/>
        <v>-50</v>
      </c>
    </row>
    <row r="194" spans="5:166">
      <c r="E194" s="147">
        <v>84</v>
      </c>
      <c r="F194" s="188">
        <f t="shared" si="596"/>
        <v>3.36</v>
      </c>
      <c r="G194" s="188">
        <f t="shared" si="498"/>
        <v>0.71399999999999997</v>
      </c>
      <c r="H194" s="188">
        <f t="shared" si="499"/>
        <v>100.8</v>
      </c>
      <c r="I194" s="188">
        <f t="shared" si="500"/>
        <v>4.2839999999999998</v>
      </c>
      <c r="J194" s="465">
        <f t="shared" si="501"/>
        <v>19.729636341647641</v>
      </c>
      <c r="K194" s="379">
        <f t="shared" si="502"/>
        <v>30.903787432062469</v>
      </c>
      <c r="L194" s="149">
        <f t="shared" si="503"/>
        <v>50.633423773710106</v>
      </c>
      <c r="M194" s="379"/>
      <c r="N194" s="188">
        <f t="shared" si="504"/>
        <v>0.61034362539213349</v>
      </c>
      <c r="O194" s="149">
        <f t="shared" si="505"/>
        <v>175.01428344494749</v>
      </c>
      <c r="P194" s="149">
        <f t="shared" si="506"/>
        <v>7.4381070464102663</v>
      </c>
      <c r="Q194" s="188">
        <f t="shared" si="507"/>
        <v>5.8338094481649163</v>
      </c>
      <c r="R194" s="188">
        <f t="shared" si="508"/>
        <v>29.169047240824582</v>
      </c>
      <c r="S194" s="188">
        <f t="shared" si="509"/>
        <v>30</v>
      </c>
      <c r="T194" s="188">
        <f t="shared" si="510"/>
        <v>17.45312093630514</v>
      </c>
      <c r="U194" s="188">
        <f t="shared" si="511"/>
        <v>4.1576878042843726</v>
      </c>
      <c r="V194" s="188">
        <f t="shared" si="512"/>
        <v>2.6543564791520966</v>
      </c>
      <c r="W194" s="172">
        <f t="shared" si="513"/>
        <v>350</v>
      </c>
      <c r="X194" s="379">
        <f t="shared" si="597"/>
        <v>142.61176335725008</v>
      </c>
      <c r="Z194" s="188">
        <f t="shared" si="514"/>
        <v>7.3202782811122251</v>
      </c>
      <c r="AA194" s="150">
        <f t="shared" si="515"/>
        <v>1.113303927451047</v>
      </c>
      <c r="AB194" s="150">
        <f t="shared" si="516"/>
        <v>1.3680542427524673</v>
      </c>
      <c r="AC194" s="150"/>
      <c r="AD194" s="150">
        <f t="shared" si="517"/>
        <v>0.9217267801711464</v>
      </c>
      <c r="AE194" s="314">
        <f t="shared" si="518"/>
        <v>1254.0852938930209</v>
      </c>
      <c r="AF194" s="456">
        <f t="shared" si="519"/>
        <v>0.93773526069297675</v>
      </c>
      <c r="AH194" s="150">
        <f t="shared" si="520"/>
        <v>11.303172215252653</v>
      </c>
      <c r="AI194" s="150">
        <f t="shared" si="521"/>
        <v>17.45312093630514</v>
      </c>
      <c r="AJ194" s="150">
        <f t="shared" si="522"/>
        <v>9.6388999079252446</v>
      </c>
      <c r="AL194" s="314">
        <f t="shared" si="523"/>
        <v>3360</v>
      </c>
      <c r="AM194" s="144">
        <f t="shared" si="524"/>
        <v>142.61176335725008</v>
      </c>
      <c r="AO194">
        <f t="shared" si="525"/>
        <v>3360</v>
      </c>
      <c r="AP194">
        <f t="shared" si="526"/>
        <v>142.61176335725008</v>
      </c>
      <c r="AR194" s="5">
        <f t="shared" si="442"/>
        <v>7.0120442834364693</v>
      </c>
      <c r="AS194" s="5">
        <f t="shared" si="602"/>
        <v>4.1576878042843726</v>
      </c>
      <c r="AT194" s="5">
        <f t="shared" si="603"/>
        <v>2.8543564791520968</v>
      </c>
      <c r="AU194" s="150">
        <f t="shared" si="604"/>
        <v>0.59293518925792765</v>
      </c>
      <c r="AW194" s="5">
        <f t="shared" si="475"/>
        <v>46.566103407984968</v>
      </c>
      <c r="AX194" s="5">
        <f t="shared" si="476"/>
        <v>49.476484870984031</v>
      </c>
      <c r="AY194" s="5">
        <f t="shared" si="477"/>
        <v>8.5782903420385619</v>
      </c>
      <c r="AZ194" s="5"/>
      <c r="BA194" s="150">
        <f t="shared" si="478"/>
        <v>7.7591845822570287</v>
      </c>
      <c r="BB194" s="150">
        <f t="shared" si="479"/>
        <v>6.16691819410521</v>
      </c>
      <c r="BC194" s="150">
        <f t="shared" si="480"/>
        <v>1.2378902328859649</v>
      </c>
      <c r="BD194" s="150"/>
      <c r="BE194" s="456">
        <f t="shared" si="481"/>
        <v>0.7224593445784222</v>
      </c>
      <c r="BF194" s="456">
        <f t="shared" si="527"/>
        <v>2.3000041070737578</v>
      </c>
      <c r="BG194" s="456">
        <f t="shared" si="482"/>
        <v>1.6400352786083761E-2</v>
      </c>
      <c r="BH194" s="456">
        <f t="shared" si="483"/>
        <v>0.1892083479437453</v>
      </c>
      <c r="BI194">
        <f t="shared" si="484"/>
        <v>8.8783363537414377E-3</v>
      </c>
      <c r="BJ194" s="144">
        <f t="shared" si="598"/>
        <v>25.2786891398252</v>
      </c>
      <c r="BK194">
        <f t="shared" si="528"/>
        <v>4.1127082734599183</v>
      </c>
      <c r="BL194" s="144">
        <f t="shared" si="599"/>
        <v>3236.9504887357502</v>
      </c>
      <c r="BM194" s="150">
        <f t="shared" si="529"/>
        <v>2.2532159999999997</v>
      </c>
      <c r="BN194" s="150">
        <f t="shared" si="530"/>
        <v>0.47880839999999997</v>
      </c>
      <c r="BO194" s="456"/>
      <c r="BQ194" s="144">
        <f t="shared" si="485"/>
        <v>2732.0243999999998</v>
      </c>
      <c r="BR194" s="456">
        <f t="shared" si="486"/>
        <v>0.84286923534149261</v>
      </c>
      <c r="BS194" s="456">
        <f t="shared" si="487"/>
        <v>0.53243232017900211</v>
      </c>
      <c r="BT194" s="456">
        <f t="shared" si="488"/>
        <v>7.6618611433723416E-3</v>
      </c>
      <c r="BU194" s="456">
        <f t="shared" si="489"/>
        <v>15.454007689413311</v>
      </c>
      <c r="BV194" s="456"/>
      <c r="BW194" s="538">
        <f t="shared" si="531"/>
        <v>4.344117323058442</v>
      </c>
      <c r="BX194" s="144">
        <f t="shared" si="605"/>
        <v>21181.08842913562</v>
      </c>
      <c r="BY194" s="150">
        <f t="shared" si="606"/>
        <v>27.150063317871371</v>
      </c>
      <c r="BZ194" s="5">
        <f t="shared" si="607"/>
        <v>105.084</v>
      </c>
      <c r="CA194" s="150">
        <f t="shared" si="608"/>
        <v>0.79468177384365335</v>
      </c>
      <c r="CB194" s="5">
        <f t="shared" si="609"/>
        <v>79.468177384365333</v>
      </c>
      <c r="CC194">
        <f t="shared" si="610"/>
        <v>84</v>
      </c>
      <c r="CE194" s="59">
        <f t="shared" si="532"/>
        <v>-50</v>
      </c>
      <c r="CF194">
        <f t="shared" si="533"/>
        <v>-50</v>
      </c>
      <c r="CG194" s="150">
        <f t="shared" si="534"/>
        <v>0.39199567588303091</v>
      </c>
      <c r="CH194" s="150">
        <f t="shared" si="535"/>
        <v>8.2740061272353602E-2</v>
      </c>
      <c r="CI194" s="147">
        <v>84</v>
      </c>
      <c r="CJ194" s="188">
        <f t="shared" si="600"/>
        <v>3.36</v>
      </c>
      <c r="CK194" s="188">
        <f t="shared" si="536"/>
        <v>0.71399999999999997</v>
      </c>
      <c r="CL194" s="188">
        <f t="shared" si="537"/>
        <v>100.8</v>
      </c>
      <c r="CM194" s="188">
        <f t="shared" si="538"/>
        <v>4.2839999999999998</v>
      </c>
      <c r="CN194" s="465">
        <f t="shared" si="539"/>
        <v>20</v>
      </c>
      <c r="CO194" s="379">
        <f t="shared" si="540"/>
        <v>30.7</v>
      </c>
      <c r="CP194" s="379">
        <f t="shared" si="541"/>
        <v>50.7</v>
      </c>
      <c r="CQ194" s="379"/>
      <c r="CR194" s="188">
        <f t="shared" si="542"/>
        <v>0.60317460317460314</v>
      </c>
      <c r="CS194" s="149">
        <f t="shared" si="543"/>
        <v>175.32871249897633</v>
      </c>
      <c r="CT194" s="149">
        <f t="shared" si="544"/>
        <v>7.4514702812064924</v>
      </c>
      <c r="CU194" s="188">
        <f t="shared" si="545"/>
        <v>5.8442904166325444</v>
      </c>
      <c r="CV194" s="188">
        <f t="shared" si="546"/>
        <v>29.22145208316272</v>
      </c>
      <c r="CW194" s="188">
        <f t="shared" si="547"/>
        <v>30</v>
      </c>
      <c r="CX194" s="188">
        <f t="shared" si="548"/>
        <v>17.421821052631579</v>
      </c>
      <c r="CY194" s="188">
        <f t="shared" si="549"/>
        <v>4.0941279473684213</v>
      </c>
      <c r="CZ194" s="188">
        <f t="shared" si="550"/>
        <v>2.6671843305331735</v>
      </c>
      <c r="DA194" s="172">
        <f t="shared" si="551"/>
        <v>350</v>
      </c>
      <c r="DB194" s="379">
        <f t="shared" si="552"/>
        <v>147.90028309568845</v>
      </c>
      <c r="DD194" s="188">
        <f t="shared" si="553"/>
        <v>7.3619779020761014</v>
      </c>
      <c r="DE194" s="150">
        <f t="shared" si="554"/>
        <v>1.1270780501549733</v>
      </c>
      <c r="DF194" s="150">
        <f t="shared" si="555"/>
        <v>1.3928696857096292</v>
      </c>
      <c r="DG194" s="150"/>
      <c r="DH194" s="150">
        <f t="shared" si="556"/>
        <v>0.92784522751949461</v>
      </c>
      <c r="DI194" s="314">
        <f t="shared" si="557"/>
        <v>1245.8155365957448</v>
      </c>
      <c r="DJ194" s="456">
        <f t="shared" si="558"/>
        <v>0.94395997276890675</v>
      </c>
      <c r="DL194" s="150">
        <f t="shared" si="559"/>
        <v>11.303172215252653</v>
      </c>
      <c r="DM194" s="150">
        <f t="shared" si="560"/>
        <v>17.421821052631579</v>
      </c>
      <c r="DN194" s="150">
        <f t="shared" si="561"/>
        <v>9.6157148089077911</v>
      </c>
      <c r="DP194" s="314">
        <f t="shared" si="562"/>
        <v>3360</v>
      </c>
      <c r="DQ194" s="144">
        <f t="shared" si="563"/>
        <v>147.90028309568845</v>
      </c>
      <c r="DS194">
        <f t="shared" ref="DS194:DS210" si="612">IF(CL194&gt;CS194, "",DP194)</f>
        <v>3360</v>
      </c>
      <c r="DT194">
        <f t="shared" ref="DT194:DT210" si="613">IF(CL194&gt;CS194, "",DQ194)</f>
        <v>147.90028309568845</v>
      </c>
      <c r="DV194" s="5">
        <f t="shared" si="566"/>
        <v>6.7613122779015944</v>
      </c>
      <c r="DW194" s="5">
        <f t="shared" si="567"/>
        <v>4.0941279473684213</v>
      </c>
      <c r="DX194" s="5">
        <f t="shared" si="568"/>
        <v>2.6671843305331731</v>
      </c>
      <c r="DY194" s="150">
        <f t="shared" si="569"/>
        <v>0.60552268244575946</v>
      </c>
      <c r="EA194" s="5">
        <f t="shared" si="570"/>
        <v>45.854233010526315</v>
      </c>
      <c r="EB194" s="5">
        <f t="shared" si="571"/>
        <v>48.720122573684208</v>
      </c>
      <c r="EC194" s="5">
        <f t="shared" si="572"/>
        <v>7.9074170740512884</v>
      </c>
      <c r="ED194" s="5"/>
      <c r="EE194" s="150">
        <f t="shared" si="573"/>
        <v>7.8270503813122732</v>
      </c>
      <c r="EF194" s="150">
        <f t="shared" si="574"/>
        <v>6.0599337425736177</v>
      </c>
      <c r="EG194" s="150">
        <f t="shared" si="575"/>
        <v>1.2164151616342964</v>
      </c>
      <c r="EH194" s="150"/>
      <c r="EI194" s="456">
        <f t="shared" si="576"/>
        <v>0.73515261205920723</v>
      </c>
      <c r="EJ194" s="456">
        <f t="shared" si="577"/>
        <v>2.4821276595744681</v>
      </c>
      <c r="EK194" s="456">
        <f t="shared" si="578"/>
        <v>1.7008532556004173E-2</v>
      </c>
      <c r="EL194" s="456">
        <f t="shared" si="579"/>
        <v>0.19674118282447425</v>
      </c>
      <c r="EM194">
        <f t="shared" si="580"/>
        <v>8.9999999999999993E-3</v>
      </c>
      <c r="EN194" s="144">
        <f t="shared" si="581"/>
        <v>26.008532556004173</v>
      </c>
      <c r="EP194" s="144">
        <f t="shared" si="601"/>
        <v>3440.0299870141534</v>
      </c>
      <c r="EQ194" s="150">
        <f t="shared" si="582"/>
        <v>2.3519999999999999</v>
      </c>
      <c r="ER194" s="150">
        <f t="shared" si="583"/>
        <v>0.34200599999999998</v>
      </c>
      <c r="ES194" s="456"/>
      <c r="EU194" s="144">
        <f t="shared" si="496"/>
        <v>2694.0059999999999</v>
      </c>
      <c r="EV194" s="456">
        <f t="shared" si="584"/>
        <v>0.85767804740240838</v>
      </c>
      <c r="EW194" s="456">
        <f t="shared" si="585"/>
        <v>0.51411915750135206</v>
      </c>
      <c r="EX194" s="456">
        <f t="shared" si="586"/>
        <v>7.3983292272689575E-3</v>
      </c>
      <c r="EY194" s="456">
        <f t="shared" si="587"/>
        <v>16.851027564949874</v>
      </c>
      <c r="EZ194" s="456"/>
      <c r="FA194" s="538">
        <f t="shared" si="588"/>
        <v>4.4890671561189261</v>
      </c>
      <c r="FB194" s="144">
        <f t="shared" si="611"/>
        <v>22719.29025519983</v>
      </c>
      <c r="FC194" s="150">
        <f t="shared" si="589"/>
        <v>28.853326242213981</v>
      </c>
      <c r="FD194" s="5">
        <f t="shared" si="590"/>
        <v>105.084</v>
      </c>
      <c r="FE194" s="150">
        <f t="shared" si="591"/>
        <v>0.78457591284123984</v>
      </c>
      <c r="FF194" s="5">
        <f t="shared" si="592"/>
        <v>78.457591284123978</v>
      </c>
      <c r="FG194">
        <f t="shared" si="593"/>
        <v>84</v>
      </c>
      <c r="FI194" s="59">
        <f t="shared" si="594"/>
        <v>-50</v>
      </c>
      <c r="FJ194">
        <f t="shared" si="595"/>
        <v>-50</v>
      </c>
    </row>
    <row r="195" spans="5:166">
      <c r="E195" s="147">
        <v>85</v>
      </c>
      <c r="F195" s="188">
        <f t="shared" si="596"/>
        <v>3.4</v>
      </c>
      <c r="G195" s="188">
        <f t="shared" si="498"/>
        <v>0.72249999999999992</v>
      </c>
      <c r="H195" s="188">
        <f t="shared" si="499"/>
        <v>102</v>
      </c>
      <c r="I195" s="188">
        <f t="shared" si="500"/>
        <v>4.3349999999999991</v>
      </c>
      <c r="J195" s="465">
        <f t="shared" si="501"/>
        <v>19.726417726667254</v>
      </c>
      <c r="K195" s="379">
        <f t="shared" si="502"/>
        <v>30.906213472920356</v>
      </c>
      <c r="L195" s="149">
        <f t="shared" si="503"/>
        <v>50.632631199587607</v>
      </c>
      <c r="M195" s="379"/>
      <c r="N195" s="188">
        <f t="shared" si="504"/>
        <v>0.61040109393272224</v>
      </c>
      <c r="O195" s="149">
        <f t="shared" si="505"/>
        <v>175.00220855652262</v>
      </c>
      <c r="P195" s="149">
        <f t="shared" si="506"/>
        <v>7.437593863652209</v>
      </c>
      <c r="Q195" s="188">
        <f t="shared" si="507"/>
        <v>5.8334069518840872</v>
      </c>
      <c r="R195" s="188">
        <f t="shared" si="508"/>
        <v>29.167034759420435</v>
      </c>
      <c r="S195" s="188">
        <f t="shared" si="509"/>
        <v>30</v>
      </c>
      <c r="T195" s="188">
        <f t="shared" si="510"/>
        <v>17.662114760744764</v>
      </c>
      <c r="U195" s="188">
        <f t="shared" si="511"/>
        <v>4.2081608797769849</v>
      </c>
      <c r="V195" s="188">
        <f t="shared" si="512"/>
        <v>2.6859304342874104</v>
      </c>
      <c r="W195" s="172">
        <f t="shared" si="513"/>
        <v>350</v>
      </c>
      <c r="X195" s="379">
        <f t="shared" si="597"/>
        <v>140.96238062476718</v>
      </c>
      <c r="Z195" s="188">
        <f t="shared" si="514"/>
        <v>7.3197732278003249</v>
      </c>
      <c r="AA195" s="150">
        <f t="shared" si="515"/>
        <v>1.1131397316207938</v>
      </c>
      <c r="AB195" s="150">
        <f t="shared" si="516"/>
        <v>1.3677581017801217</v>
      </c>
      <c r="AC195" s="150"/>
      <c r="AD195" s="150">
        <f t="shared" si="517"/>
        <v>0.92165442750877768</v>
      </c>
      <c r="AE195" s="314">
        <f t="shared" si="518"/>
        <v>1269.1145022344724</v>
      </c>
      <c r="AF195" s="456">
        <f t="shared" si="519"/>
        <v>0.93766165141507796</v>
      </c>
      <c r="AH195" s="150">
        <f t="shared" si="520"/>
        <v>11.370253944922975</v>
      </c>
      <c r="AI195" s="150">
        <f t="shared" si="521"/>
        <v>17.662114760744764</v>
      </c>
      <c r="AJ195" s="150">
        <f t="shared" si="522"/>
        <v>9.7937101482508897</v>
      </c>
      <c r="AL195" s="314">
        <f t="shared" si="523"/>
        <v>3400</v>
      </c>
      <c r="AM195" s="144">
        <f t="shared" si="524"/>
        <v>140.96238062476718</v>
      </c>
      <c r="AO195">
        <f t="shared" si="525"/>
        <v>3400</v>
      </c>
      <c r="AP195">
        <f t="shared" si="526"/>
        <v>140.96238062476718</v>
      </c>
      <c r="AR195" s="5">
        <f t="shared" si="442"/>
        <v>7.0940913140643946</v>
      </c>
      <c r="AS195" s="5">
        <f t="shared" si="602"/>
        <v>4.2081608797769849</v>
      </c>
      <c r="AT195" s="5">
        <f t="shared" si="603"/>
        <v>2.8859304342874097</v>
      </c>
      <c r="AU195" s="150">
        <f t="shared" si="604"/>
        <v>0.59319237566537852</v>
      </c>
      <c r="AW195" s="5">
        <f t="shared" si="475"/>
        <v>47.692489970805831</v>
      </c>
      <c r="AX195" s="5">
        <f t="shared" si="476"/>
        <v>50.673270593981186</v>
      </c>
      <c r="AY195" s="5">
        <f t="shared" si="477"/>
        <v>8.777864712008153</v>
      </c>
      <c r="AZ195" s="5"/>
      <c r="BA195" s="150">
        <f t="shared" si="478"/>
        <v>7.8538003169248638</v>
      </c>
      <c r="BB195" s="150">
        <f t="shared" si="479"/>
        <v>6.2387926696039022</v>
      </c>
      <c r="BC195" s="150">
        <f t="shared" si="480"/>
        <v>1.2523176516408756</v>
      </c>
      <c r="BD195" s="150"/>
      <c r="BE195" s="456">
        <f t="shared" si="481"/>
        <v>0.74018615301754909</v>
      </c>
      <c r="BF195" s="456">
        <f t="shared" si="527"/>
        <v>2.30059034837985</v>
      </c>
      <c r="BG195" s="456">
        <f t="shared" si="482"/>
        <v>1.6210673771848226E-2</v>
      </c>
      <c r="BH195" s="456">
        <f t="shared" si="483"/>
        <v>0.18701419545514872</v>
      </c>
      <c r="BI195">
        <f t="shared" si="484"/>
        <v>8.8768879770002636E-3</v>
      </c>
      <c r="BJ195" s="144">
        <f t="shared" si="598"/>
        <v>25.08756174884849</v>
      </c>
      <c r="BK195">
        <f t="shared" si="528"/>
        <v>4.1590933425468091</v>
      </c>
      <c r="BL195" s="144">
        <f t="shared" si="599"/>
        <v>3252.8782586013963</v>
      </c>
      <c r="BM195" s="150">
        <f t="shared" si="529"/>
        <v>2.2800399999999996</v>
      </c>
      <c r="BN195" s="150">
        <f t="shared" si="530"/>
        <v>0.4845084999999999</v>
      </c>
      <c r="BO195" s="456"/>
      <c r="BQ195" s="144">
        <f t="shared" si="485"/>
        <v>2764.5484999999994</v>
      </c>
      <c r="BR195" s="456">
        <f t="shared" si="486"/>
        <v>0.86355051185380727</v>
      </c>
      <c r="BS195" s="456">
        <f t="shared" si="487"/>
        <v>0.54491547564024734</v>
      </c>
      <c r="BT195" s="456">
        <f t="shared" si="488"/>
        <v>7.8414975030565871E-3</v>
      </c>
      <c r="BU195" s="456">
        <f t="shared" si="489"/>
        <v>15.464462301771675</v>
      </c>
      <c r="BV195" s="456"/>
      <c r="BW195" s="538">
        <f t="shared" si="531"/>
        <v>4.3973256617554517</v>
      </c>
      <c r="BX195" s="144">
        <f t="shared" si="605"/>
        <v>21278.09544852424</v>
      </c>
      <c r="BY195" s="150">
        <f t="shared" si="606"/>
        <v>27.295522207125636</v>
      </c>
      <c r="BZ195" s="5">
        <f t="shared" si="607"/>
        <v>106.33499999999999</v>
      </c>
      <c r="CA195" s="150">
        <f t="shared" si="608"/>
        <v>0.79573886447275921</v>
      </c>
      <c r="CB195" s="5">
        <f t="shared" si="609"/>
        <v>79.573886447275925</v>
      </c>
      <c r="CC195">
        <f t="shared" si="610"/>
        <v>85</v>
      </c>
      <c r="CE195" s="59">
        <f t="shared" si="532"/>
        <v>-50</v>
      </c>
      <c r="CF195">
        <f t="shared" si="533"/>
        <v>-50</v>
      </c>
      <c r="CG195" s="150">
        <f t="shared" si="534"/>
        <v>0.39199567588303091</v>
      </c>
      <c r="CH195" s="150">
        <f t="shared" si="535"/>
        <v>8.2740061272353602E-2</v>
      </c>
      <c r="CI195" s="147">
        <v>85</v>
      </c>
      <c r="CJ195" s="188">
        <f t="shared" si="600"/>
        <v>3.4</v>
      </c>
      <c r="CK195" s="188">
        <f t="shared" si="536"/>
        <v>0.72249999999999992</v>
      </c>
      <c r="CL195" s="188">
        <f t="shared" si="537"/>
        <v>102</v>
      </c>
      <c r="CM195" s="188">
        <f t="shared" si="538"/>
        <v>4.3349999999999991</v>
      </c>
      <c r="CN195" s="465">
        <f t="shared" si="539"/>
        <v>20</v>
      </c>
      <c r="CO195" s="379">
        <f t="shared" si="540"/>
        <v>30.7</v>
      </c>
      <c r="CP195" s="379">
        <f t="shared" si="541"/>
        <v>50.7</v>
      </c>
      <c r="CQ195" s="379"/>
      <c r="CR195" s="188">
        <f t="shared" si="542"/>
        <v>0.60317460317460314</v>
      </c>
      <c r="CS195" s="149">
        <f t="shared" si="543"/>
        <v>175.32871249897633</v>
      </c>
      <c r="CT195" s="149">
        <f t="shared" si="544"/>
        <v>7.4514702812064924</v>
      </c>
      <c r="CU195" s="188">
        <f t="shared" si="545"/>
        <v>5.8442904166325444</v>
      </c>
      <c r="CV195" s="188">
        <f t="shared" si="546"/>
        <v>29.22145208316272</v>
      </c>
      <c r="CW195" s="188">
        <f t="shared" si="547"/>
        <v>30</v>
      </c>
      <c r="CX195" s="188">
        <f t="shared" si="548"/>
        <v>17.629223684210526</v>
      </c>
      <c r="CY195" s="188">
        <f t="shared" si="549"/>
        <v>4.1428675657894738</v>
      </c>
      <c r="CZ195" s="188">
        <f t="shared" si="550"/>
        <v>2.6989365249442825</v>
      </c>
      <c r="DA195" s="172">
        <f t="shared" si="551"/>
        <v>350</v>
      </c>
      <c r="DB195" s="379">
        <f t="shared" si="552"/>
        <v>146.16027976515096</v>
      </c>
      <c r="DD195" s="188">
        <f t="shared" si="553"/>
        <v>7.3619779020761014</v>
      </c>
      <c r="DE195" s="150">
        <f t="shared" si="554"/>
        <v>1.1270780501549733</v>
      </c>
      <c r="DF195" s="150">
        <f t="shared" si="555"/>
        <v>1.3928696857096292</v>
      </c>
      <c r="DG195" s="150"/>
      <c r="DH195" s="150">
        <f t="shared" si="556"/>
        <v>0.92784522751949461</v>
      </c>
      <c r="DI195" s="314">
        <f t="shared" si="557"/>
        <v>1260.6466739361701</v>
      </c>
      <c r="DJ195" s="456">
        <f t="shared" si="558"/>
        <v>0.94395997276890675</v>
      </c>
      <c r="DL195" s="150">
        <f t="shared" si="559"/>
        <v>11.370253944922975</v>
      </c>
      <c r="DM195" s="150">
        <f t="shared" si="560"/>
        <v>17.629223684210526</v>
      </c>
      <c r="DN195" s="150">
        <f t="shared" si="561"/>
        <v>9.7693463878551601</v>
      </c>
      <c r="DP195" s="314">
        <f t="shared" si="562"/>
        <v>3400</v>
      </c>
      <c r="DQ195" s="144">
        <f t="shared" si="563"/>
        <v>146.16027976515096</v>
      </c>
      <c r="DS195">
        <f t="shared" si="612"/>
        <v>3400</v>
      </c>
      <c r="DT195">
        <f t="shared" si="613"/>
        <v>146.16027976515096</v>
      </c>
      <c r="DV195" s="5">
        <f t="shared" si="566"/>
        <v>6.8418040907337554</v>
      </c>
      <c r="DW195" s="5">
        <f t="shared" si="567"/>
        <v>4.1428675657894738</v>
      </c>
      <c r="DX195" s="5">
        <f t="shared" si="568"/>
        <v>2.6989365249442816</v>
      </c>
      <c r="DY195" s="150">
        <f t="shared" si="569"/>
        <v>0.60552268244575946</v>
      </c>
      <c r="EA195" s="5">
        <f t="shared" si="570"/>
        <v>46.952499078947369</v>
      </c>
      <c r="EB195" s="5">
        <f t="shared" si="571"/>
        <v>49.887030271381569</v>
      </c>
      <c r="EC195" s="5">
        <f t="shared" si="572"/>
        <v>8.096809574832843</v>
      </c>
      <c r="ED195" s="5"/>
      <c r="EE195" s="150">
        <f t="shared" si="573"/>
        <v>7.9202295525183715</v>
      </c>
      <c r="EF195" s="150">
        <f t="shared" si="574"/>
        <v>6.1320758109375895</v>
      </c>
      <c r="EG195" s="150">
        <f t="shared" si="575"/>
        <v>1.2308962945108952</v>
      </c>
      <c r="EH195" s="150"/>
      <c r="EI195" s="456">
        <f t="shared" si="576"/>
        <v>0.75276043397502435</v>
      </c>
      <c r="EJ195" s="456">
        <f t="shared" si="577"/>
        <v>2.4821276595744686</v>
      </c>
      <c r="EK195" s="456">
        <f t="shared" si="578"/>
        <v>1.6808432172992362E-2</v>
      </c>
      <c r="EL195" s="456">
        <f t="shared" si="579"/>
        <v>0.19442658067359814</v>
      </c>
      <c r="EM195">
        <f t="shared" si="580"/>
        <v>8.9999999999999993E-3</v>
      </c>
      <c r="EN195" s="144">
        <f t="shared" si="581"/>
        <v>25.808432172992362</v>
      </c>
      <c r="EP195" s="144">
        <f t="shared" si="601"/>
        <v>3455.1231063960831</v>
      </c>
      <c r="EQ195" s="150">
        <f t="shared" si="582"/>
        <v>2.38</v>
      </c>
      <c r="ER195" s="150">
        <f t="shared" si="583"/>
        <v>0.34607749999999993</v>
      </c>
      <c r="ES195" s="456"/>
      <c r="EU195" s="144">
        <f t="shared" si="496"/>
        <v>2726.0774999999999</v>
      </c>
      <c r="EV195" s="456">
        <f t="shared" si="584"/>
        <v>0.87822050630419513</v>
      </c>
      <c r="EW195" s="456">
        <f t="shared" si="585"/>
        <v>0.5264329525152025</v>
      </c>
      <c r="EX195" s="456">
        <f t="shared" si="586"/>
        <v>7.5755284392032629E-3</v>
      </c>
      <c r="EY195" s="456">
        <f t="shared" si="587"/>
        <v>16.851027564949906</v>
      </c>
      <c r="EZ195" s="456"/>
      <c r="FA195" s="538">
        <f t="shared" si="588"/>
        <v>4.5425084317870095</v>
      </c>
      <c r="FB195" s="144">
        <f t="shared" si="611"/>
        <v>22805.764983995516</v>
      </c>
      <c r="FC195" s="150">
        <f t="shared" si="589"/>
        <v>28.986965590391598</v>
      </c>
      <c r="FD195" s="5">
        <f t="shared" si="590"/>
        <v>106.33499999999999</v>
      </c>
      <c r="FE195" s="150">
        <f t="shared" si="591"/>
        <v>0.78579260607156165</v>
      </c>
      <c r="FF195" s="5">
        <f t="shared" si="592"/>
        <v>78.579260607156158</v>
      </c>
      <c r="FG195">
        <f t="shared" si="593"/>
        <v>85</v>
      </c>
      <c r="FI195" s="59">
        <f t="shared" si="594"/>
        <v>-50</v>
      </c>
      <c r="FJ195">
        <f t="shared" si="595"/>
        <v>-50</v>
      </c>
    </row>
    <row r="196" spans="5:166">
      <c r="E196" s="147">
        <v>86</v>
      </c>
      <c r="F196" s="188">
        <f t="shared" si="596"/>
        <v>3.44</v>
      </c>
      <c r="G196" s="188">
        <f t="shared" si="498"/>
        <v>0.73099999999999998</v>
      </c>
      <c r="H196" s="188">
        <f t="shared" si="499"/>
        <v>103.2</v>
      </c>
      <c r="I196" s="188">
        <f t="shared" si="500"/>
        <v>4.3860000000000001</v>
      </c>
      <c r="J196" s="465">
        <f t="shared" si="501"/>
        <v>19.723199111686871</v>
      </c>
      <c r="K196" s="379">
        <f t="shared" si="502"/>
        <v>30.908639513778247</v>
      </c>
      <c r="L196" s="149">
        <f t="shared" si="503"/>
        <v>50.631838625465122</v>
      </c>
      <c r="M196" s="379"/>
      <c r="N196" s="188">
        <f t="shared" si="504"/>
        <v>0.61045856427249801</v>
      </c>
      <c r="O196" s="149">
        <f t="shared" si="505"/>
        <v>174.99012880722296</v>
      </c>
      <c r="P196" s="149">
        <f t="shared" si="506"/>
        <v>7.4370804743069749</v>
      </c>
      <c r="Q196" s="188">
        <f t="shared" si="507"/>
        <v>5.8330042935740982</v>
      </c>
      <c r="R196" s="188">
        <f t="shared" si="508"/>
        <v>29.165021467870492</v>
      </c>
      <c r="S196" s="188">
        <f t="shared" si="509"/>
        <v>30</v>
      </c>
      <c r="T196" s="188">
        <f t="shared" si="510"/>
        <v>17.871137924116123</v>
      </c>
      <c r="U196" s="188">
        <f t="shared" si="511"/>
        <v>4.2586574200113105</v>
      </c>
      <c r="V196" s="188">
        <f t="shared" si="512"/>
        <v>2.7175038942074217</v>
      </c>
      <c r="W196" s="172">
        <f t="shared" si="513"/>
        <v>350</v>
      </c>
      <c r="X196" s="379">
        <f t="shared" si="597"/>
        <v>139.35026767285959</v>
      </c>
      <c r="Z196" s="188">
        <f t="shared" si="514"/>
        <v>7.3192679711738471</v>
      </c>
      <c r="AA196" s="150">
        <f t="shared" si="515"/>
        <v>1.1129755306500058</v>
      </c>
      <c r="AB196" s="150">
        <f t="shared" si="516"/>
        <v>1.3674619443479048</v>
      </c>
      <c r="AC196" s="150"/>
      <c r="AD196" s="150">
        <f t="shared" si="517"/>
        <v>0.92158208620443149</v>
      </c>
      <c r="AE196" s="314">
        <f t="shared" si="518"/>
        <v>1284.146054611439</v>
      </c>
      <c r="AF196" s="456">
        <f t="shared" si="519"/>
        <v>0.93758805369246734</v>
      </c>
      <c r="AH196" s="150">
        <f t="shared" si="520"/>
        <v>11.436942223182443</v>
      </c>
      <c r="AI196" s="150">
        <f t="shared" si="521"/>
        <v>17.871137924116123</v>
      </c>
      <c r="AJ196" s="150">
        <f t="shared" si="522"/>
        <v>9.9485421211185638</v>
      </c>
      <c r="AL196" s="314">
        <f t="shared" si="523"/>
        <v>3440</v>
      </c>
      <c r="AM196" s="144">
        <f t="shared" si="524"/>
        <v>139.35026767285959</v>
      </c>
      <c r="AO196">
        <f t="shared" si="525"/>
        <v>3440</v>
      </c>
      <c r="AP196">
        <f t="shared" si="526"/>
        <v>139.35026767285959</v>
      </c>
      <c r="AR196" s="5">
        <f t="shared" si="442"/>
        <v>7.1761613142187315</v>
      </c>
      <c r="AS196" s="5">
        <f t="shared" si="602"/>
        <v>4.2586574200113105</v>
      </c>
      <c r="AT196" s="5">
        <f t="shared" si="603"/>
        <v>2.917503894207421</v>
      </c>
      <c r="AU196" s="150">
        <f t="shared" si="604"/>
        <v>0.59344505140558568</v>
      </c>
      <c r="AW196" s="5">
        <f t="shared" si="475"/>
        <v>48.832605082796363</v>
      </c>
      <c r="AX196" s="5">
        <f t="shared" si="476"/>
        <v>51.884642900471128</v>
      </c>
      <c r="AY196" s="5">
        <f t="shared" si="477"/>
        <v>8.9797627232317545</v>
      </c>
      <c r="AZ196" s="5"/>
      <c r="BA196" s="150">
        <f t="shared" si="478"/>
        <v>7.9484388165958579</v>
      </c>
      <c r="BB196" s="150">
        <f t="shared" si="479"/>
        <v>6.3106652185445782</v>
      </c>
      <c r="BC196" s="150">
        <f t="shared" si="480"/>
        <v>1.2667446836763137</v>
      </c>
      <c r="BD196" s="150"/>
      <c r="BE196" s="456">
        <f t="shared" si="481"/>
        <v>0.75813215545401313</v>
      </c>
      <c r="BF196" s="456">
        <f t="shared" si="527"/>
        <v>2.3011587540302716</v>
      </c>
      <c r="BG196" s="456">
        <f t="shared" si="482"/>
        <v>1.6025280782378852E-2</v>
      </c>
      <c r="BH196" s="456">
        <f t="shared" si="483"/>
        <v>0.18486962418394559</v>
      </c>
      <c r="BI196">
        <f t="shared" si="484"/>
        <v>8.8754396002590913E-3</v>
      </c>
      <c r="BJ196" s="144">
        <f t="shared" si="598"/>
        <v>24.900720382637942</v>
      </c>
      <c r="BK196">
        <f t="shared" si="528"/>
        <v>4.2066004009577886</v>
      </c>
      <c r="BL196" s="144">
        <f t="shared" si="599"/>
        <v>3269.0612540508682</v>
      </c>
      <c r="BM196" s="150">
        <f t="shared" si="529"/>
        <v>2.306864</v>
      </c>
      <c r="BN196" s="150">
        <f t="shared" si="530"/>
        <v>0.49020859999999994</v>
      </c>
      <c r="BO196" s="456"/>
      <c r="BQ196" s="144">
        <f t="shared" si="485"/>
        <v>2797.0726</v>
      </c>
      <c r="BR196" s="456">
        <f t="shared" si="486"/>
        <v>0.88448751469634868</v>
      </c>
      <c r="BS196" s="456">
        <f t="shared" si="487"/>
        <v>0.55754293700767599</v>
      </c>
      <c r="BT196" s="456">
        <f t="shared" si="488"/>
        <v>8.0232104681110198E-3</v>
      </c>
      <c r="BU196" s="456">
        <f t="shared" si="489"/>
        <v>15.474621633302565</v>
      </c>
      <c r="BV196" s="456"/>
      <c r="BW196" s="538">
        <f t="shared" si="531"/>
        <v>4.4505349966140253</v>
      </c>
      <c r="BX196" s="144">
        <f t="shared" si="605"/>
        <v>21375.210292088723</v>
      </c>
      <c r="BY196" s="150">
        <f t="shared" si="606"/>
        <v>27.441344146139592</v>
      </c>
      <c r="BZ196" s="5">
        <f t="shared" si="607"/>
        <v>107.586</v>
      </c>
      <c r="CA196" s="150">
        <f t="shared" si="608"/>
        <v>0.79677194778829441</v>
      </c>
      <c r="CB196" s="5">
        <f t="shared" si="609"/>
        <v>79.677194778829445</v>
      </c>
      <c r="CC196">
        <f t="shared" si="610"/>
        <v>86</v>
      </c>
      <c r="CE196" s="59">
        <f t="shared" si="532"/>
        <v>-50</v>
      </c>
      <c r="CF196">
        <f t="shared" si="533"/>
        <v>-50</v>
      </c>
      <c r="CG196" s="150">
        <f t="shared" si="534"/>
        <v>0.39199567588303097</v>
      </c>
      <c r="CH196" s="150">
        <f t="shared" si="535"/>
        <v>8.2740061272353602E-2</v>
      </c>
      <c r="CI196" s="147">
        <v>86</v>
      </c>
      <c r="CJ196" s="188">
        <f t="shared" si="600"/>
        <v>3.44</v>
      </c>
      <c r="CK196" s="188">
        <f t="shared" si="536"/>
        <v>0.73099999999999998</v>
      </c>
      <c r="CL196" s="188">
        <f t="shared" si="537"/>
        <v>103.2</v>
      </c>
      <c r="CM196" s="188">
        <f t="shared" si="538"/>
        <v>4.3860000000000001</v>
      </c>
      <c r="CN196" s="465">
        <f t="shared" si="539"/>
        <v>20</v>
      </c>
      <c r="CO196" s="379">
        <f t="shared" si="540"/>
        <v>30.7</v>
      </c>
      <c r="CP196" s="379">
        <f t="shared" si="541"/>
        <v>50.7</v>
      </c>
      <c r="CQ196" s="379"/>
      <c r="CR196" s="188">
        <f t="shared" si="542"/>
        <v>0.60317460317460314</v>
      </c>
      <c r="CS196" s="149">
        <f t="shared" si="543"/>
        <v>175.32871249897633</v>
      </c>
      <c r="CT196" s="149">
        <f t="shared" si="544"/>
        <v>7.4514702812064924</v>
      </c>
      <c r="CU196" s="188">
        <f t="shared" si="545"/>
        <v>5.8442904166325444</v>
      </c>
      <c r="CV196" s="188">
        <f t="shared" si="546"/>
        <v>29.22145208316272</v>
      </c>
      <c r="CW196" s="188">
        <f t="shared" si="547"/>
        <v>30</v>
      </c>
      <c r="CX196" s="188">
        <f t="shared" si="548"/>
        <v>17.836626315789474</v>
      </c>
      <c r="CY196" s="188">
        <f t="shared" si="549"/>
        <v>4.1916071842105262</v>
      </c>
      <c r="CZ196" s="188">
        <f t="shared" si="550"/>
        <v>2.7306887193553915</v>
      </c>
      <c r="DA196" s="172">
        <f t="shared" si="551"/>
        <v>350</v>
      </c>
      <c r="DB196" s="379">
        <f t="shared" si="552"/>
        <v>144.46074162834688</v>
      </c>
      <c r="DD196" s="188">
        <f t="shared" si="553"/>
        <v>7.3619779020761014</v>
      </c>
      <c r="DE196" s="150">
        <f t="shared" si="554"/>
        <v>1.1270780501549733</v>
      </c>
      <c r="DF196" s="150">
        <f t="shared" si="555"/>
        <v>1.3928696857096292</v>
      </c>
      <c r="DG196" s="150"/>
      <c r="DH196" s="150">
        <f t="shared" si="556"/>
        <v>0.92784522751949461</v>
      </c>
      <c r="DI196" s="314">
        <f t="shared" si="557"/>
        <v>1275.477811276596</v>
      </c>
      <c r="DJ196" s="456">
        <f t="shared" si="558"/>
        <v>0.94395997276890675</v>
      </c>
      <c r="DL196" s="150">
        <f t="shared" si="559"/>
        <v>11.436942223182443</v>
      </c>
      <c r="DM196" s="150">
        <f t="shared" si="560"/>
        <v>17.836626315789474</v>
      </c>
      <c r="DN196" s="150">
        <f t="shared" si="561"/>
        <v>9.9229779668025273</v>
      </c>
      <c r="DP196" s="314">
        <f t="shared" si="562"/>
        <v>3440</v>
      </c>
      <c r="DQ196" s="144">
        <f t="shared" si="563"/>
        <v>144.46074162834688</v>
      </c>
      <c r="DS196">
        <f t="shared" si="612"/>
        <v>3440</v>
      </c>
      <c r="DT196">
        <f t="shared" si="613"/>
        <v>144.46074162834688</v>
      </c>
      <c r="DV196" s="5">
        <f t="shared" si="566"/>
        <v>6.9222959035659173</v>
      </c>
      <c r="DW196" s="5">
        <f t="shared" si="567"/>
        <v>4.1916071842105262</v>
      </c>
      <c r="DX196" s="5">
        <f t="shared" si="568"/>
        <v>2.730688719355391</v>
      </c>
      <c r="DY196" s="150">
        <f t="shared" si="569"/>
        <v>0.60552268244575946</v>
      </c>
      <c r="EA196" s="5">
        <f t="shared" si="570"/>
        <v>48.063762378947359</v>
      </c>
      <c r="EB196" s="5">
        <f t="shared" si="571"/>
        <v>51.067747527631575</v>
      </c>
      <c r="EC196" s="5">
        <f t="shared" si="572"/>
        <v>8.288443406984598</v>
      </c>
      <c r="ED196" s="5"/>
      <c r="EE196" s="150">
        <f t="shared" si="573"/>
        <v>8.0134087237244707</v>
      </c>
      <c r="EF196" s="150">
        <f t="shared" si="574"/>
        <v>6.2042178793015612</v>
      </c>
      <c r="EG196" s="150">
        <f t="shared" si="575"/>
        <v>1.245377427387494</v>
      </c>
      <c r="EH196" s="150"/>
      <c r="EI196" s="456">
        <f t="shared" si="576"/>
        <v>0.7705766324815615</v>
      </c>
      <c r="EJ196" s="456">
        <f t="shared" si="577"/>
        <v>2.4821276595744686</v>
      </c>
      <c r="EK196" s="456">
        <f t="shared" si="578"/>
        <v>1.661298528725989E-2</v>
      </c>
      <c r="EL196" s="456">
        <f t="shared" si="579"/>
        <v>0.19216580647971909</v>
      </c>
      <c r="EM196">
        <f t="shared" si="580"/>
        <v>8.9999999999999993E-3</v>
      </c>
      <c r="EN196" s="144">
        <f t="shared" si="581"/>
        <v>25.612985287259889</v>
      </c>
      <c r="EP196" s="144">
        <f t="shared" si="601"/>
        <v>3470.4830838230091</v>
      </c>
      <c r="EQ196" s="150">
        <f t="shared" si="582"/>
        <v>2.4079999999999999</v>
      </c>
      <c r="ER196" s="150">
        <f t="shared" si="583"/>
        <v>0.35014899999999999</v>
      </c>
      <c r="ES196" s="456"/>
      <c r="EU196" s="144">
        <f t="shared" si="496"/>
        <v>2758.1489999999999</v>
      </c>
      <c r="EV196" s="456">
        <f t="shared" si="584"/>
        <v>0.8990060712284883</v>
      </c>
      <c r="EW196" s="456">
        <f t="shared" si="585"/>
        <v>0.53889247291383224</v>
      </c>
      <c r="EX196" s="456">
        <f t="shared" si="586"/>
        <v>7.7548246832314649E-3</v>
      </c>
      <c r="EY196" s="456">
        <f t="shared" si="587"/>
        <v>16.851027564949892</v>
      </c>
      <c r="EZ196" s="456"/>
      <c r="FA196" s="538">
        <f t="shared" si="588"/>
        <v>4.5959497074550919</v>
      </c>
      <c r="FB196" s="144">
        <f t="shared" si="611"/>
        <v>22892.630641230535</v>
      </c>
      <c r="FC196" s="150">
        <f t="shared" si="589"/>
        <v>29.121262725053544</v>
      </c>
      <c r="FD196" s="5">
        <f t="shared" si="590"/>
        <v>107.586</v>
      </c>
      <c r="FE196" s="150">
        <f t="shared" si="591"/>
        <v>0.78698086594256222</v>
      </c>
      <c r="FF196" s="5">
        <f t="shared" si="592"/>
        <v>78.698086594256225</v>
      </c>
      <c r="FG196">
        <f t="shared" si="593"/>
        <v>86</v>
      </c>
      <c r="FI196" s="59">
        <f t="shared" si="594"/>
        <v>-50</v>
      </c>
      <c r="FJ196">
        <f t="shared" si="595"/>
        <v>-50</v>
      </c>
    </row>
    <row r="197" spans="5:166">
      <c r="E197" s="147">
        <v>87</v>
      </c>
      <c r="F197" s="188">
        <f t="shared" si="596"/>
        <v>3.48</v>
      </c>
      <c r="G197" s="188">
        <f t="shared" si="498"/>
        <v>0.73949999999999994</v>
      </c>
      <c r="H197" s="188">
        <f t="shared" si="499"/>
        <v>104.4</v>
      </c>
      <c r="I197" s="188">
        <f t="shared" si="500"/>
        <v>4.4369999999999994</v>
      </c>
      <c r="J197" s="465">
        <f t="shared" si="501"/>
        <v>19.719980496706484</v>
      </c>
      <c r="K197" s="379">
        <f t="shared" si="502"/>
        <v>30.911065554636131</v>
      </c>
      <c r="L197" s="149">
        <f t="shared" si="503"/>
        <v>50.631046051342615</v>
      </c>
      <c r="M197" s="379"/>
      <c r="N197" s="188">
        <f t="shared" si="504"/>
        <v>0.61051603641154562</v>
      </c>
      <c r="O197" s="149">
        <f t="shared" si="505"/>
        <v>174.97804419682038</v>
      </c>
      <c r="P197" s="149">
        <f t="shared" si="506"/>
        <v>7.4365668783648653</v>
      </c>
      <c r="Q197" s="188">
        <f t="shared" si="507"/>
        <v>5.8326014732273457</v>
      </c>
      <c r="R197" s="188">
        <f t="shared" si="508"/>
        <v>29.163007366136728</v>
      </c>
      <c r="S197" s="188">
        <f t="shared" si="509"/>
        <v>30</v>
      </c>
      <c r="T197" s="188">
        <f t="shared" si="510"/>
        <v>18.080190449939046</v>
      </c>
      <c r="U197" s="188">
        <f t="shared" si="511"/>
        <v>4.3091774420824542</v>
      </c>
      <c r="V197" s="188">
        <f t="shared" si="512"/>
        <v>2.7490768626049009</v>
      </c>
      <c r="W197" s="172">
        <f t="shared" si="513"/>
        <v>350</v>
      </c>
      <c r="X197" s="379">
        <f t="shared" si="597"/>
        <v>137.77417516966904</v>
      </c>
      <c r="Z197" s="188">
        <f t="shared" si="514"/>
        <v>7.3187625112232366</v>
      </c>
      <c r="AA197" s="150">
        <f t="shared" si="515"/>
        <v>1.1128113245384408</v>
      </c>
      <c r="AB197" s="150">
        <f t="shared" si="516"/>
        <v>1.3671657704718538</v>
      </c>
      <c r="AC197" s="150"/>
      <c r="AD197" s="150">
        <f t="shared" si="517"/>
        <v>0.92150975625543408</v>
      </c>
      <c r="AE197" s="314">
        <f t="shared" si="518"/>
        <v>1299.1799510239207</v>
      </c>
      <c r="AF197" s="456">
        <f t="shared" si="519"/>
        <v>0.93751446752242407</v>
      </c>
      <c r="AH197" s="150">
        <f t="shared" si="520"/>
        <v>11.503243892954295</v>
      </c>
      <c r="AI197" s="150">
        <f t="shared" si="521"/>
        <v>18.080190449939046</v>
      </c>
      <c r="AJ197" s="150">
        <f t="shared" si="522"/>
        <v>10.103395843950359</v>
      </c>
      <c r="AL197" s="314">
        <f t="shared" si="523"/>
        <v>3480</v>
      </c>
      <c r="AM197" s="144">
        <f t="shared" si="524"/>
        <v>137.77417516966904</v>
      </c>
      <c r="AO197">
        <f t="shared" si="525"/>
        <v>3480</v>
      </c>
      <c r="AP197">
        <f t="shared" si="526"/>
        <v>137.77417516966904</v>
      </c>
      <c r="AR197" s="5">
        <f t="shared" si="442"/>
        <v>7.2582543046873544</v>
      </c>
      <c r="AS197" s="5">
        <f t="shared" si="602"/>
        <v>4.3091774420824542</v>
      </c>
      <c r="AT197" s="5">
        <f t="shared" si="603"/>
        <v>2.9490768626049002</v>
      </c>
      <c r="AU197" s="150">
        <f t="shared" si="604"/>
        <v>0.59369336774265447</v>
      </c>
      <c r="AW197" s="5">
        <f t="shared" si="475"/>
        <v>49.986458328156466</v>
      </c>
      <c r="AX197" s="5">
        <f t="shared" si="476"/>
        <v>53.110611973666245</v>
      </c>
      <c r="AY197" s="5">
        <f t="shared" si="477"/>
        <v>9.1839854717960545</v>
      </c>
      <c r="AZ197" s="5"/>
      <c r="BA197" s="150">
        <f t="shared" si="478"/>
        <v>8.0431000714274763</v>
      </c>
      <c r="BB197" s="150">
        <f t="shared" si="479"/>
        <v>6.3825358901662623</v>
      </c>
      <c r="BC197" s="150">
        <f t="shared" si="480"/>
        <v>1.2811713388760662</v>
      </c>
      <c r="BD197" s="150"/>
      <c r="BE197" s="456">
        <f t="shared" si="481"/>
        <v>0.77629750510796014</v>
      </c>
      <c r="BF197" s="456">
        <f t="shared" si="527"/>
        <v>2.3017099198653601</v>
      </c>
      <c r="BG197" s="456">
        <f t="shared" si="482"/>
        <v>1.5844030144511939E-2</v>
      </c>
      <c r="BH197" s="456">
        <f t="shared" si="483"/>
        <v>0.18277297210353971</v>
      </c>
      <c r="BI197">
        <f t="shared" si="484"/>
        <v>8.8739912235179172E-3</v>
      </c>
      <c r="BJ197" s="144">
        <f t="shared" si="598"/>
        <v>24.718021368029856</v>
      </c>
      <c r="BK197">
        <f t="shared" si="528"/>
        <v>4.2552552695884653</v>
      </c>
      <c r="BL197" s="144">
        <f t="shared" si="599"/>
        <v>3285.4984184448895</v>
      </c>
      <c r="BM197" s="150">
        <f t="shared" si="529"/>
        <v>2.333688</v>
      </c>
      <c r="BN197" s="150">
        <f t="shared" si="530"/>
        <v>0.49590869999999992</v>
      </c>
      <c r="BO197" s="456"/>
      <c r="BQ197" s="144">
        <f t="shared" si="485"/>
        <v>2829.5966999999996</v>
      </c>
      <c r="BR197" s="456">
        <f t="shared" si="486"/>
        <v>0.9056804226259535</v>
      </c>
      <c r="BS197" s="456">
        <f t="shared" si="487"/>
        <v>0.57031470144964624</v>
      </c>
      <c r="BT197" s="456">
        <f t="shared" si="488"/>
        <v>8.2069999977874598E-3</v>
      </c>
      <c r="BU197" s="456">
        <f t="shared" si="489"/>
        <v>15.484495337582317</v>
      </c>
      <c r="BV197" s="456"/>
      <c r="BW197" s="538">
        <f t="shared" si="531"/>
        <v>4.5037452944430534</v>
      </c>
      <c r="BX197" s="144">
        <f t="shared" si="605"/>
        <v>21472.442756098757</v>
      </c>
      <c r="BY197" s="150">
        <f t="shared" si="606"/>
        <v>27.587537874543646</v>
      </c>
      <c r="BZ197" s="5">
        <f t="shared" si="607"/>
        <v>108.837</v>
      </c>
      <c r="CA197" s="150">
        <f t="shared" si="608"/>
        <v>0.79778170185254194</v>
      </c>
      <c r="CB197" s="5">
        <f t="shared" si="609"/>
        <v>79.778170185254197</v>
      </c>
      <c r="CC197">
        <f t="shared" si="610"/>
        <v>87</v>
      </c>
      <c r="CE197" s="59">
        <f t="shared" si="532"/>
        <v>-50</v>
      </c>
      <c r="CF197">
        <f t="shared" si="533"/>
        <v>-50</v>
      </c>
      <c r="CG197" s="150">
        <f t="shared" si="534"/>
        <v>0.39199567588303091</v>
      </c>
      <c r="CH197" s="150">
        <f t="shared" si="535"/>
        <v>8.2740061272353588E-2</v>
      </c>
      <c r="CI197" s="147">
        <v>87</v>
      </c>
      <c r="CJ197" s="188">
        <f t="shared" si="600"/>
        <v>3.48</v>
      </c>
      <c r="CK197" s="188">
        <f t="shared" si="536"/>
        <v>0.73949999999999994</v>
      </c>
      <c r="CL197" s="188">
        <f t="shared" si="537"/>
        <v>104.4</v>
      </c>
      <c r="CM197" s="188">
        <f t="shared" si="538"/>
        <v>4.4369999999999994</v>
      </c>
      <c r="CN197" s="465">
        <f t="shared" si="539"/>
        <v>20</v>
      </c>
      <c r="CO197" s="379">
        <f t="shared" si="540"/>
        <v>30.7</v>
      </c>
      <c r="CP197" s="379">
        <f t="shared" si="541"/>
        <v>50.7</v>
      </c>
      <c r="CQ197" s="379"/>
      <c r="CR197" s="188">
        <f t="shared" si="542"/>
        <v>0.60317460317460314</v>
      </c>
      <c r="CS197" s="149">
        <f t="shared" si="543"/>
        <v>175.32871249897633</v>
      </c>
      <c r="CT197" s="149">
        <f t="shared" si="544"/>
        <v>7.4514702812064924</v>
      </c>
      <c r="CU197" s="188">
        <f t="shared" si="545"/>
        <v>5.8442904166325444</v>
      </c>
      <c r="CV197" s="188">
        <f t="shared" si="546"/>
        <v>29.22145208316272</v>
      </c>
      <c r="CW197" s="188">
        <f t="shared" si="547"/>
        <v>30</v>
      </c>
      <c r="CX197" s="188">
        <f t="shared" si="548"/>
        <v>18.044028947368421</v>
      </c>
      <c r="CY197" s="188">
        <f t="shared" si="549"/>
        <v>4.2403468026315787</v>
      </c>
      <c r="CZ197" s="188">
        <f t="shared" si="550"/>
        <v>2.7624409137665009</v>
      </c>
      <c r="DA197" s="172">
        <f t="shared" si="551"/>
        <v>350</v>
      </c>
      <c r="DB197" s="379">
        <f t="shared" si="552"/>
        <v>142.80027333376816</v>
      </c>
      <c r="DD197" s="188">
        <f t="shared" si="553"/>
        <v>7.3619779020761014</v>
      </c>
      <c r="DE197" s="150">
        <f t="shared" si="554"/>
        <v>1.1270780501549733</v>
      </c>
      <c r="DF197" s="150">
        <f t="shared" si="555"/>
        <v>1.3928696857096292</v>
      </c>
      <c r="DG197" s="150"/>
      <c r="DH197" s="150">
        <f t="shared" si="556"/>
        <v>0.92784522751949461</v>
      </c>
      <c r="DI197" s="314">
        <f t="shared" si="557"/>
        <v>1290.3089486170211</v>
      </c>
      <c r="DJ197" s="456">
        <f t="shared" si="558"/>
        <v>0.94395997276890675</v>
      </c>
      <c r="DL197" s="150">
        <f t="shared" si="559"/>
        <v>11.503243892954295</v>
      </c>
      <c r="DM197" s="150">
        <f t="shared" si="560"/>
        <v>18.044028947368421</v>
      </c>
      <c r="DN197" s="150">
        <f t="shared" si="561"/>
        <v>10.076609545749896</v>
      </c>
      <c r="DP197" s="314">
        <f t="shared" si="562"/>
        <v>3480</v>
      </c>
      <c r="DQ197" s="144">
        <f t="shared" si="563"/>
        <v>142.80027333376816</v>
      </c>
      <c r="DS197">
        <f t="shared" si="612"/>
        <v>3480</v>
      </c>
      <c r="DT197">
        <f t="shared" si="613"/>
        <v>142.80027333376816</v>
      </c>
      <c r="DV197" s="5">
        <f t="shared" si="566"/>
        <v>7.002787716398081</v>
      </c>
      <c r="DW197" s="5">
        <f t="shared" si="567"/>
        <v>4.2403468026315787</v>
      </c>
      <c r="DX197" s="5">
        <f t="shared" si="568"/>
        <v>2.7624409137665022</v>
      </c>
      <c r="DY197" s="150">
        <f t="shared" si="569"/>
        <v>0.60552268244575924</v>
      </c>
      <c r="EA197" s="5">
        <f t="shared" si="570"/>
        <v>49.188022910526314</v>
      </c>
      <c r="EB197" s="5">
        <f t="shared" si="571"/>
        <v>52.262274342434203</v>
      </c>
      <c r="EC197" s="5">
        <f t="shared" si="572"/>
        <v>8.4823185705065534</v>
      </c>
      <c r="ED197" s="5"/>
      <c r="EE197" s="150">
        <f t="shared" si="573"/>
        <v>8.1065878949305663</v>
      </c>
      <c r="EF197" s="150">
        <f t="shared" si="574"/>
        <v>6.2763599476655347</v>
      </c>
      <c r="EG197" s="150">
        <f t="shared" si="575"/>
        <v>1.2598585602640933</v>
      </c>
      <c r="EH197" s="150"/>
      <c r="EI197" s="456">
        <f t="shared" si="576"/>
        <v>0.78860120757881746</v>
      </c>
      <c r="EJ197" s="456">
        <f t="shared" si="577"/>
        <v>2.4821276595744686</v>
      </c>
      <c r="EK197" s="456">
        <f t="shared" si="578"/>
        <v>1.642203143338334E-2</v>
      </c>
      <c r="EL197" s="456">
        <f t="shared" si="579"/>
        <v>0.18995700410638897</v>
      </c>
      <c r="EM197">
        <f t="shared" si="580"/>
        <v>8.9999999999999993E-3</v>
      </c>
      <c r="EN197" s="144">
        <f t="shared" si="581"/>
        <v>25.422031433383342</v>
      </c>
      <c r="EP197" s="144">
        <f t="shared" si="601"/>
        <v>3486.1079026930588</v>
      </c>
      <c r="EQ197" s="150">
        <f t="shared" si="582"/>
        <v>2.4359999999999999</v>
      </c>
      <c r="ER197" s="150">
        <f t="shared" si="583"/>
        <v>0.35422049999999994</v>
      </c>
      <c r="ES197" s="456"/>
      <c r="EU197" s="144">
        <f t="shared" si="496"/>
        <v>2790.2204999999999</v>
      </c>
      <c r="EV197" s="456">
        <f t="shared" si="584"/>
        <v>0.92003474217528702</v>
      </c>
      <c r="EW197" s="456">
        <f t="shared" si="585"/>
        <v>0.55149771869724162</v>
      </c>
      <c r="EX197" s="456">
        <f t="shared" si="586"/>
        <v>7.9362179593535694E-3</v>
      </c>
      <c r="EY197" s="456">
        <f t="shared" si="587"/>
        <v>16.851027564949909</v>
      </c>
      <c r="EZ197" s="456"/>
      <c r="FA197" s="538">
        <f t="shared" si="588"/>
        <v>4.6493909831231734</v>
      </c>
      <c r="FB197" s="144">
        <f t="shared" si="611"/>
        <v>22979.887226904964</v>
      </c>
      <c r="FC197" s="150">
        <f t="shared" si="589"/>
        <v>29.256215629598021</v>
      </c>
      <c r="FD197" s="5">
        <f t="shared" si="590"/>
        <v>108.837</v>
      </c>
      <c r="FE197" s="150">
        <f t="shared" si="591"/>
        <v>0.78814154268033831</v>
      </c>
      <c r="FF197" s="5">
        <f t="shared" si="592"/>
        <v>78.814154268033832</v>
      </c>
      <c r="FG197">
        <f t="shared" si="593"/>
        <v>87</v>
      </c>
      <c r="FI197" s="59">
        <f t="shared" si="594"/>
        <v>-50</v>
      </c>
      <c r="FJ197">
        <f t="shared" si="595"/>
        <v>-50</v>
      </c>
    </row>
    <row r="198" spans="5:166">
      <c r="E198" s="147">
        <v>88</v>
      </c>
      <c r="F198" s="188">
        <f t="shared" si="596"/>
        <v>3.52</v>
      </c>
      <c r="G198" s="188">
        <f t="shared" si="498"/>
        <v>0.748</v>
      </c>
      <c r="H198" s="188">
        <f t="shared" si="499"/>
        <v>105.6</v>
      </c>
      <c r="I198" s="188">
        <f t="shared" si="500"/>
        <v>4.4879999999999995</v>
      </c>
      <c r="J198" s="465">
        <f t="shared" si="501"/>
        <v>19.7167618817261</v>
      </c>
      <c r="K198" s="379">
        <f t="shared" si="502"/>
        <v>30.913491595494019</v>
      </c>
      <c r="L198" s="149">
        <f t="shared" si="503"/>
        <v>50.630253477220123</v>
      </c>
      <c r="M198" s="379"/>
      <c r="N198" s="188">
        <f t="shared" si="504"/>
        <v>0.61057351034994933</v>
      </c>
      <c r="O198" s="149">
        <f t="shared" si="505"/>
        <v>174.96595472508653</v>
      </c>
      <c r="P198" s="149">
        <f t="shared" si="506"/>
        <v>7.4360530758161758</v>
      </c>
      <c r="Q198" s="188">
        <f t="shared" si="507"/>
        <v>5.8321984908362179</v>
      </c>
      <c r="R198" s="188">
        <f t="shared" si="508"/>
        <v>29.160992454181088</v>
      </c>
      <c r="S198" s="188">
        <f t="shared" si="509"/>
        <v>30</v>
      </c>
      <c r="T198" s="188">
        <f t="shared" si="510"/>
        <v>18.289272361745848</v>
      </c>
      <c r="U198" s="188">
        <f t="shared" si="511"/>
        <v>4.3597209630996554</v>
      </c>
      <c r="V198" s="188">
        <f t="shared" si="512"/>
        <v>2.780649343173355</v>
      </c>
      <c r="W198" s="172">
        <f t="shared" si="513"/>
        <v>350</v>
      </c>
      <c r="X198" s="379">
        <f t="shared" si="597"/>
        <v>136.23290900534127</v>
      </c>
      <c r="Z198" s="188">
        <f t="shared" si="514"/>
        <v>7.3182568479389545</v>
      </c>
      <c r="AA198" s="150">
        <f t="shared" si="515"/>
        <v>1.1126471132858591</v>
      </c>
      <c r="AB198" s="150">
        <f t="shared" si="516"/>
        <v>1.3668695801680153</v>
      </c>
      <c r="AC198" s="150"/>
      <c r="AD198" s="150">
        <f t="shared" si="517"/>
        <v>0.92143743765911135</v>
      </c>
      <c r="AE198" s="314">
        <f t="shared" si="518"/>
        <v>1314.2161914719179</v>
      </c>
      <c r="AF198" s="456">
        <f t="shared" si="519"/>
        <v>0.93744089290222798</v>
      </c>
      <c r="AH198" s="150">
        <f t="shared" si="520"/>
        <v>11.56916560107803</v>
      </c>
      <c r="AI198" s="150">
        <f t="shared" si="521"/>
        <v>18.289272361745848</v>
      </c>
      <c r="AJ198" s="150">
        <f t="shared" si="522"/>
        <v>10.258271334177619</v>
      </c>
      <c r="AL198" s="314">
        <f t="shared" si="523"/>
        <v>3520</v>
      </c>
      <c r="AM198" s="144">
        <f t="shared" si="524"/>
        <v>136.23290900534127</v>
      </c>
      <c r="AO198">
        <f t="shared" si="525"/>
        <v>3520</v>
      </c>
      <c r="AP198">
        <f t="shared" si="526"/>
        <v>136.23290900534127</v>
      </c>
      <c r="AR198" s="5">
        <f t="shared" ref="AR198:AR262" si="614">1/AM198*1000</f>
        <v>7.3403703062730106</v>
      </c>
      <c r="AS198" s="5">
        <f t="shared" si="602"/>
        <v>4.3597209630996554</v>
      </c>
      <c r="AT198" s="5">
        <f t="shared" si="603"/>
        <v>2.9806493431733552</v>
      </c>
      <c r="AU198" s="150">
        <f t="shared" si="604"/>
        <v>0.59393746925463409</v>
      </c>
      <c r="AW198" s="5">
        <f t="shared" si="475"/>
        <v>51.154059300369283</v>
      </c>
      <c r="AX198" s="5">
        <f t="shared" si="476"/>
        <v>54.351188006642374</v>
      </c>
      <c r="AY198" s="5">
        <f t="shared" si="477"/>
        <v>9.3905340550345802</v>
      </c>
      <c r="AZ198" s="5"/>
      <c r="BA198" s="150">
        <f t="shared" si="478"/>
        <v>8.1377840725669284</v>
      </c>
      <c r="BB198" s="150">
        <f t="shared" si="479"/>
        <v>6.4544047317430362</v>
      </c>
      <c r="BC198" s="150">
        <f t="shared" si="480"/>
        <v>1.2955976267294962</v>
      </c>
      <c r="BD198" s="150"/>
      <c r="BE198" s="456">
        <f t="shared" si="481"/>
        <v>0.79468235534068776</v>
      </c>
      <c r="BF198" s="456">
        <f t="shared" si="527"/>
        <v>2.3022444153885848</v>
      </c>
      <c r="BG198" s="456">
        <f t="shared" si="482"/>
        <v>1.5666784535614247E-2</v>
      </c>
      <c r="BH198" s="456">
        <f t="shared" si="483"/>
        <v>0.18072265065095389</v>
      </c>
      <c r="BI198">
        <f t="shared" si="484"/>
        <v>8.8725428467767448E-3</v>
      </c>
      <c r="BJ198" s="144">
        <f t="shared" si="598"/>
        <v>24.539327382390994</v>
      </c>
      <c r="BK198">
        <f t="shared" si="528"/>
        <v>4.3050848251562988</v>
      </c>
      <c r="BL198" s="144">
        <f t="shared" si="599"/>
        <v>3302.1887487626173</v>
      </c>
      <c r="BM198" s="150">
        <f t="shared" si="529"/>
        <v>2.3605119999999999</v>
      </c>
      <c r="BN198" s="150">
        <f t="shared" si="530"/>
        <v>0.50160879999999997</v>
      </c>
      <c r="BO198" s="456"/>
      <c r="BQ198" s="144">
        <f t="shared" si="485"/>
        <v>2862.1208000000001</v>
      </c>
      <c r="BR198" s="456">
        <f t="shared" si="486"/>
        <v>0.92712941456413567</v>
      </c>
      <c r="BS198" s="456">
        <f t="shared" si="487"/>
        <v>0.58323076617605651</v>
      </c>
      <c r="BT198" s="456">
        <f t="shared" si="488"/>
        <v>8.3928660519355155E-3</v>
      </c>
      <c r="BU198" s="456">
        <f t="shared" si="489"/>
        <v>15.494092650902809</v>
      </c>
      <c r="BV198" s="456"/>
      <c r="BW198" s="538">
        <f t="shared" si="531"/>
        <v>4.556956523518469</v>
      </c>
      <c r="BX198" s="144">
        <f t="shared" si="605"/>
        <v>21569.802221213406</v>
      </c>
      <c r="BY198" s="150">
        <f t="shared" si="606"/>
        <v>27.734111769976021</v>
      </c>
      <c r="BZ198" s="5">
        <f t="shared" si="607"/>
        <v>110.08799999999999</v>
      </c>
      <c r="CA198" s="150">
        <f t="shared" si="608"/>
        <v>0.79876877945199376</v>
      </c>
      <c r="CB198" s="5">
        <f t="shared" si="609"/>
        <v>79.876877945199382</v>
      </c>
      <c r="CC198">
        <f t="shared" si="610"/>
        <v>88</v>
      </c>
      <c r="CE198" s="59">
        <f t="shared" si="532"/>
        <v>-50</v>
      </c>
      <c r="CF198">
        <f t="shared" si="533"/>
        <v>-50</v>
      </c>
      <c r="CG198" s="150">
        <f t="shared" si="534"/>
        <v>0.39199567588303091</v>
      </c>
      <c r="CH198" s="150">
        <f t="shared" si="535"/>
        <v>8.2740061272353602E-2</v>
      </c>
      <c r="CI198" s="147">
        <v>88</v>
      </c>
      <c r="CJ198" s="188">
        <f t="shared" si="600"/>
        <v>3.52</v>
      </c>
      <c r="CK198" s="188">
        <f t="shared" si="536"/>
        <v>0.748</v>
      </c>
      <c r="CL198" s="188">
        <f t="shared" si="537"/>
        <v>105.6</v>
      </c>
      <c r="CM198" s="188">
        <f t="shared" si="538"/>
        <v>4.4879999999999995</v>
      </c>
      <c r="CN198" s="465">
        <f t="shared" si="539"/>
        <v>20</v>
      </c>
      <c r="CO198" s="379">
        <f t="shared" si="540"/>
        <v>30.7</v>
      </c>
      <c r="CP198" s="379">
        <f t="shared" si="541"/>
        <v>50.7</v>
      </c>
      <c r="CQ198" s="379"/>
      <c r="CR198" s="188">
        <f t="shared" si="542"/>
        <v>0.60317460317460314</v>
      </c>
      <c r="CS198" s="149">
        <f t="shared" si="543"/>
        <v>175.32871249897633</v>
      </c>
      <c r="CT198" s="149">
        <f t="shared" si="544"/>
        <v>7.4514702812064924</v>
      </c>
      <c r="CU198" s="188">
        <f t="shared" si="545"/>
        <v>5.8442904166325444</v>
      </c>
      <c r="CV198" s="188">
        <f t="shared" si="546"/>
        <v>29.22145208316272</v>
      </c>
      <c r="CW198" s="188">
        <f t="shared" si="547"/>
        <v>30</v>
      </c>
      <c r="CX198" s="188">
        <f t="shared" si="548"/>
        <v>18.251431578947368</v>
      </c>
      <c r="CY198" s="188">
        <f t="shared" si="549"/>
        <v>4.2890864210526312</v>
      </c>
      <c r="CZ198" s="188">
        <f t="shared" si="550"/>
        <v>2.7941931081776099</v>
      </c>
      <c r="DA198" s="172">
        <f t="shared" si="551"/>
        <v>350</v>
      </c>
      <c r="DB198" s="379">
        <f t="shared" si="552"/>
        <v>141.17754295497537</v>
      </c>
      <c r="DD198" s="188">
        <f t="shared" si="553"/>
        <v>7.3619779020761014</v>
      </c>
      <c r="DE198" s="150">
        <f t="shared" si="554"/>
        <v>1.1270780501549733</v>
      </c>
      <c r="DF198" s="150">
        <f t="shared" si="555"/>
        <v>1.3928696857096292</v>
      </c>
      <c r="DG198" s="150"/>
      <c r="DH198" s="150">
        <f t="shared" si="556"/>
        <v>0.92784522751949461</v>
      </c>
      <c r="DI198" s="314">
        <f t="shared" si="557"/>
        <v>1305.1400859574469</v>
      </c>
      <c r="DJ198" s="456">
        <f t="shared" si="558"/>
        <v>0.94395997276890675</v>
      </c>
      <c r="DL198" s="150">
        <f t="shared" si="559"/>
        <v>11.56916560107803</v>
      </c>
      <c r="DM198" s="150">
        <f t="shared" si="560"/>
        <v>18.251431578947368</v>
      </c>
      <c r="DN198" s="150">
        <f t="shared" si="561"/>
        <v>10.230241124697264</v>
      </c>
      <c r="DP198" s="314">
        <f t="shared" si="562"/>
        <v>3520</v>
      </c>
      <c r="DQ198" s="144">
        <f t="shared" si="563"/>
        <v>141.17754295497537</v>
      </c>
      <c r="DS198">
        <f t="shared" si="612"/>
        <v>3520</v>
      </c>
      <c r="DT198">
        <f t="shared" si="613"/>
        <v>141.17754295497537</v>
      </c>
      <c r="DV198" s="5">
        <f t="shared" si="566"/>
        <v>7.0832795292302411</v>
      </c>
      <c r="DW198" s="5">
        <f t="shared" si="567"/>
        <v>4.2890864210526312</v>
      </c>
      <c r="DX198" s="5">
        <f t="shared" si="568"/>
        <v>2.7941931081776099</v>
      </c>
      <c r="DY198" s="150">
        <f t="shared" si="569"/>
        <v>0.60552268244575935</v>
      </c>
      <c r="EA198" s="5">
        <f t="shared" si="570"/>
        <v>50.325280673684205</v>
      </c>
      <c r="EB198" s="5">
        <f t="shared" si="571"/>
        <v>53.470610715789469</v>
      </c>
      <c r="EC198" s="5">
        <f t="shared" si="572"/>
        <v>8.678435065398693</v>
      </c>
      <c r="ED198" s="5"/>
      <c r="EE198" s="150">
        <f t="shared" si="573"/>
        <v>8.1997670661366655</v>
      </c>
      <c r="EF198" s="150">
        <f t="shared" si="574"/>
        <v>6.3485020160295047</v>
      </c>
      <c r="EG198" s="150">
        <f t="shared" si="575"/>
        <v>1.2743396931406916</v>
      </c>
      <c r="EH198" s="150"/>
      <c r="EI198" s="456">
        <f t="shared" si="576"/>
        <v>0.80683415926679403</v>
      </c>
      <c r="EJ198" s="456">
        <f t="shared" si="577"/>
        <v>2.482127659574469</v>
      </c>
      <c r="EK198" s="456">
        <f t="shared" si="578"/>
        <v>1.623541743982217E-2</v>
      </c>
      <c r="EL198" s="456">
        <f t="shared" si="579"/>
        <v>0.18779840178699822</v>
      </c>
      <c r="EM198">
        <f t="shared" si="580"/>
        <v>8.9999999999999993E-3</v>
      </c>
      <c r="EN198" s="144">
        <f t="shared" si="581"/>
        <v>25.235417439822168</v>
      </c>
      <c r="EP198" s="144">
        <f t="shared" si="601"/>
        <v>3501.9956380680833</v>
      </c>
      <c r="EQ198" s="150">
        <f t="shared" si="582"/>
        <v>2.464</v>
      </c>
      <c r="ER198" s="150">
        <f t="shared" si="583"/>
        <v>0.358292</v>
      </c>
      <c r="ES198" s="456"/>
      <c r="EU198" s="144">
        <f t="shared" si="496"/>
        <v>2822.2919999999999</v>
      </c>
      <c r="EV198" s="456">
        <f t="shared" si="584"/>
        <v>0.94130651914459296</v>
      </c>
      <c r="EW198" s="456">
        <f t="shared" si="585"/>
        <v>0.56424868986542964</v>
      </c>
      <c r="EX198" s="456">
        <f t="shared" si="586"/>
        <v>8.1197082675695618E-3</v>
      </c>
      <c r="EY198" s="456">
        <f t="shared" si="587"/>
        <v>16.851027564949906</v>
      </c>
      <c r="EZ198" s="456"/>
      <c r="FA198" s="538">
        <f t="shared" si="588"/>
        <v>4.7028322587912568</v>
      </c>
      <c r="FB198" s="144">
        <f t="shared" si="611"/>
        <v>23067.534741018753</v>
      </c>
      <c r="FC198" s="150">
        <f t="shared" si="589"/>
        <v>29.39182237908684</v>
      </c>
      <c r="FD198" s="5">
        <f t="shared" si="590"/>
        <v>110.08799999999999</v>
      </c>
      <c r="FE198" s="150">
        <f t="shared" si="591"/>
        <v>0.78927545305295888</v>
      </c>
      <c r="FF198" s="5">
        <f t="shared" si="592"/>
        <v>78.927545305295894</v>
      </c>
      <c r="FG198">
        <f t="shared" si="593"/>
        <v>88</v>
      </c>
      <c r="FI198" s="59">
        <f t="shared" si="594"/>
        <v>-50</v>
      </c>
      <c r="FJ198">
        <f t="shared" si="595"/>
        <v>-50</v>
      </c>
    </row>
    <row r="199" spans="5:166">
      <c r="E199" s="147">
        <v>89</v>
      </c>
      <c r="F199" s="188">
        <f t="shared" si="596"/>
        <v>3.56</v>
      </c>
      <c r="G199" s="188">
        <f t="shared" si="498"/>
        <v>0.75649999999999995</v>
      </c>
      <c r="H199" s="188">
        <f t="shared" si="499"/>
        <v>106.8</v>
      </c>
      <c r="I199" s="188">
        <f t="shared" si="500"/>
        <v>4.5389999999999997</v>
      </c>
      <c r="J199" s="465">
        <f t="shared" si="501"/>
        <v>19.713543266745713</v>
      </c>
      <c r="K199" s="379">
        <f t="shared" si="502"/>
        <v>30.915917636351903</v>
      </c>
      <c r="L199" s="149">
        <f t="shared" si="503"/>
        <v>50.629460903097616</v>
      </c>
      <c r="M199" s="379"/>
      <c r="N199" s="188">
        <f t="shared" si="504"/>
        <v>0.61063098608779387</v>
      </c>
      <c r="O199" s="149">
        <f t="shared" si="505"/>
        <v>174.95386039179311</v>
      </c>
      <c r="P199" s="149">
        <f t="shared" si="506"/>
        <v>7.4355390666512058</v>
      </c>
      <c r="Q199" s="188">
        <f t="shared" si="507"/>
        <v>5.831795346393104</v>
      </c>
      <c r="R199" s="188">
        <f t="shared" si="508"/>
        <v>29.15897673196552</v>
      </c>
      <c r="S199" s="188">
        <f t="shared" si="509"/>
        <v>30</v>
      </c>
      <c r="T199" s="188">
        <f t="shared" si="510"/>
        <v>18.49838368308134</v>
      </c>
      <c r="U199" s="188">
        <f t="shared" si="511"/>
        <v>4.4102880001863118</v>
      </c>
      <c r="V199" s="188">
        <f t="shared" si="512"/>
        <v>2.8122213396070346</v>
      </c>
      <c r="W199" s="172">
        <f t="shared" si="513"/>
        <v>350</v>
      </c>
      <c r="X199" s="379">
        <f t="shared" si="597"/>
        <v>134.7253272742721</v>
      </c>
      <c r="Z199" s="188">
        <f t="shared" si="514"/>
        <v>7.3177509813114421</v>
      </c>
      <c r="AA199" s="150">
        <f t="shared" si="515"/>
        <v>1.1124828968920173</v>
      </c>
      <c r="AB199" s="150">
        <f t="shared" si="516"/>
        <v>1.366573373452429</v>
      </c>
      <c r="AC199" s="150"/>
      <c r="AD199" s="150">
        <f t="shared" si="517"/>
        <v>0.92136513041279122</v>
      </c>
      <c r="AE199" s="314">
        <f t="shared" si="518"/>
        <v>1329.2547759554295</v>
      </c>
      <c r="AF199" s="456">
        <f t="shared" si="519"/>
        <v>0.9373673298291606</v>
      </c>
      <c r="AH199" s="150">
        <f t="shared" si="520"/>
        <v>11.634713806086683</v>
      </c>
      <c r="AI199" s="150">
        <f t="shared" si="521"/>
        <v>18.49838368308134</v>
      </c>
      <c r="AJ199" s="150">
        <f t="shared" si="522"/>
        <v>10.413168609240946</v>
      </c>
      <c r="AL199" s="314">
        <f t="shared" si="523"/>
        <v>3560</v>
      </c>
      <c r="AM199" s="144">
        <f t="shared" si="524"/>
        <v>134.7253272742721</v>
      </c>
      <c r="AO199">
        <f t="shared" si="525"/>
        <v>3560</v>
      </c>
      <c r="AP199">
        <f t="shared" si="526"/>
        <v>134.7253272742721</v>
      </c>
      <c r="AR199" s="5">
        <f t="shared" si="614"/>
        <v>7.422509339793347</v>
      </c>
      <c r="AS199" s="5">
        <f t="shared" si="602"/>
        <v>4.4102880001863118</v>
      </c>
      <c r="AT199" s="5">
        <f t="shared" si="603"/>
        <v>3.0122213396070352</v>
      </c>
      <c r="AU199" s="150">
        <f t="shared" si="604"/>
        <v>0.59417749419889587</v>
      </c>
      <c r="AW199" s="5">
        <f t="shared" si="475"/>
        <v>52.335417602210903</v>
      </c>
      <c r="AX199" s="5">
        <f t="shared" si="476"/>
        <v>55.606381202349077</v>
      </c>
      <c r="AY199" s="5">
        <f t="shared" si="477"/>
        <v>9.5994095715288967</v>
      </c>
      <c r="AZ199" s="5"/>
      <c r="BA199" s="150">
        <f t="shared" si="478"/>
        <v>8.2324908120972395</v>
      </c>
      <c r="BB199" s="150">
        <f t="shared" si="479"/>
        <v>6.5262717886901305</v>
      </c>
      <c r="BC199" s="150">
        <f t="shared" si="480"/>
        <v>1.3100235563528377</v>
      </c>
      <c r="BD199" s="150"/>
      <c r="BE199" s="456">
        <f t="shared" si="481"/>
        <v>0.81328685965518566</v>
      </c>
      <c r="BF199" s="456">
        <f t="shared" si="527"/>
        <v>2.3027627852057808</v>
      </c>
      <c r="BG199" s="456">
        <f t="shared" si="482"/>
        <v>1.5493412636541295E-2</v>
      </c>
      <c r="BH199" s="456">
        <f t="shared" si="483"/>
        <v>0.17871714071221331</v>
      </c>
      <c r="BI199">
        <f t="shared" si="484"/>
        <v>8.8710944700355707E-3</v>
      </c>
      <c r="BJ199" s="144">
        <f t="shared" si="598"/>
        <v>24.364507106576866</v>
      </c>
      <c r="BK199">
        <f t="shared" si="528"/>
        <v>4.3561170431557787</v>
      </c>
      <c r="BL199" s="144">
        <f t="shared" si="599"/>
        <v>3319.1312926797564</v>
      </c>
      <c r="BM199" s="150">
        <f t="shared" si="529"/>
        <v>2.3873359999999999</v>
      </c>
      <c r="BN199" s="150">
        <f t="shared" si="530"/>
        <v>0.50730889999999995</v>
      </c>
      <c r="BO199" s="456"/>
      <c r="BQ199" s="144">
        <f t="shared" si="485"/>
        <v>2894.6448999999998</v>
      </c>
      <c r="BR199" s="456">
        <f t="shared" si="486"/>
        <v>0.94883466959771656</v>
      </c>
      <c r="BS199" s="456">
        <f t="shared" si="487"/>
        <v>0.59629112843793752</v>
      </c>
      <c r="BT199" s="456">
        <f t="shared" si="488"/>
        <v>8.5808085909966844E-3</v>
      </c>
      <c r="BU199" s="456">
        <f t="shared" si="489"/>
        <v>15.503422414569348</v>
      </c>
      <c r="BV199" s="456"/>
      <c r="BW199" s="538">
        <f t="shared" si="531"/>
        <v>4.610168653503063</v>
      </c>
      <c r="BX199" s="144">
        <f t="shared" si="605"/>
        <v>21667.297674699061</v>
      </c>
      <c r="BY199" s="150">
        <f t="shared" si="606"/>
        <v>27.88107386737882</v>
      </c>
      <c r="BZ199" s="5">
        <f t="shared" si="607"/>
        <v>111.339</v>
      </c>
      <c r="CA199" s="150">
        <f t="shared" si="608"/>
        <v>0.79973380926418436</v>
      </c>
      <c r="CB199" s="5">
        <f t="shared" si="609"/>
        <v>79.973380926418429</v>
      </c>
      <c r="CC199">
        <f t="shared" si="610"/>
        <v>89</v>
      </c>
      <c r="CE199" s="59">
        <f t="shared" si="532"/>
        <v>-50</v>
      </c>
      <c r="CF199">
        <f t="shared" si="533"/>
        <v>-50</v>
      </c>
      <c r="CG199" s="150">
        <f t="shared" si="534"/>
        <v>0.39199567588303097</v>
      </c>
      <c r="CH199" s="150">
        <f t="shared" si="535"/>
        <v>8.2740061272353602E-2</v>
      </c>
      <c r="CI199" s="147">
        <v>89</v>
      </c>
      <c r="CJ199" s="188">
        <f t="shared" si="600"/>
        <v>3.56</v>
      </c>
      <c r="CK199" s="188">
        <f t="shared" si="536"/>
        <v>0.75649999999999995</v>
      </c>
      <c r="CL199" s="188">
        <f t="shared" si="537"/>
        <v>106.8</v>
      </c>
      <c r="CM199" s="188">
        <f t="shared" si="538"/>
        <v>4.5389999999999997</v>
      </c>
      <c r="CN199" s="465">
        <f t="shared" si="539"/>
        <v>20</v>
      </c>
      <c r="CO199" s="379">
        <f t="shared" si="540"/>
        <v>30.7</v>
      </c>
      <c r="CP199" s="379">
        <f t="shared" si="541"/>
        <v>50.7</v>
      </c>
      <c r="CQ199" s="379"/>
      <c r="CR199" s="188">
        <f t="shared" si="542"/>
        <v>0.60317460317460314</v>
      </c>
      <c r="CS199" s="149">
        <f t="shared" si="543"/>
        <v>175.32871249897633</v>
      </c>
      <c r="CT199" s="149">
        <f t="shared" si="544"/>
        <v>7.4514702812064924</v>
      </c>
      <c r="CU199" s="188">
        <f t="shared" si="545"/>
        <v>5.8442904166325444</v>
      </c>
      <c r="CV199" s="188">
        <f t="shared" si="546"/>
        <v>29.22145208316272</v>
      </c>
      <c r="CW199" s="188">
        <f t="shared" si="547"/>
        <v>30</v>
      </c>
      <c r="CX199" s="188">
        <f t="shared" si="548"/>
        <v>18.458834210526316</v>
      </c>
      <c r="CY199" s="188">
        <f t="shared" si="549"/>
        <v>4.3378260394736836</v>
      </c>
      <c r="CZ199" s="188">
        <f t="shared" si="550"/>
        <v>2.8259453025887193</v>
      </c>
      <c r="DA199" s="172">
        <f t="shared" si="551"/>
        <v>350</v>
      </c>
      <c r="DB199" s="379">
        <f t="shared" si="552"/>
        <v>139.59127842739136</v>
      </c>
      <c r="DD199" s="188">
        <f t="shared" si="553"/>
        <v>7.3619779020761014</v>
      </c>
      <c r="DE199" s="150">
        <f t="shared" si="554"/>
        <v>1.1270780501549733</v>
      </c>
      <c r="DF199" s="150">
        <f t="shared" si="555"/>
        <v>1.3928696857096292</v>
      </c>
      <c r="DG199" s="150"/>
      <c r="DH199" s="150">
        <f t="shared" si="556"/>
        <v>0.92784522751949461</v>
      </c>
      <c r="DI199" s="314">
        <f t="shared" si="557"/>
        <v>1319.9712232978723</v>
      </c>
      <c r="DJ199" s="456">
        <f t="shared" si="558"/>
        <v>0.94395997276890675</v>
      </c>
      <c r="DL199" s="150">
        <f t="shared" si="559"/>
        <v>11.634713806086683</v>
      </c>
      <c r="DM199" s="150">
        <f t="shared" si="560"/>
        <v>18.458834210526316</v>
      </c>
      <c r="DN199" s="150">
        <f t="shared" si="561"/>
        <v>10.383872703644633</v>
      </c>
      <c r="DP199" s="314">
        <f t="shared" si="562"/>
        <v>3560</v>
      </c>
      <c r="DQ199" s="144">
        <f t="shared" si="563"/>
        <v>139.59127842739136</v>
      </c>
      <c r="DS199">
        <f t="shared" si="612"/>
        <v>3560</v>
      </c>
      <c r="DT199">
        <f t="shared" si="613"/>
        <v>139.59127842739136</v>
      </c>
      <c r="DV199" s="5">
        <f t="shared" si="566"/>
        <v>7.163771342062403</v>
      </c>
      <c r="DW199" s="5">
        <f t="shared" si="567"/>
        <v>4.3378260394736836</v>
      </c>
      <c r="DX199" s="5">
        <f t="shared" si="568"/>
        <v>2.8259453025887193</v>
      </c>
      <c r="DY199" s="150">
        <f t="shared" si="569"/>
        <v>0.60552268244575935</v>
      </c>
      <c r="EA199" s="5">
        <f t="shared" si="570"/>
        <v>51.475535668421053</v>
      </c>
      <c r="EB199" s="5">
        <f t="shared" si="571"/>
        <v>54.692756647697358</v>
      </c>
      <c r="EC199" s="5">
        <f t="shared" si="572"/>
        <v>8.8767928916610348</v>
      </c>
      <c r="ED199" s="5"/>
      <c r="EE199" s="150">
        <f t="shared" si="573"/>
        <v>8.2929462373427647</v>
      </c>
      <c r="EF199" s="150">
        <f t="shared" si="574"/>
        <v>6.4206440843934764</v>
      </c>
      <c r="EG199" s="150">
        <f t="shared" si="575"/>
        <v>1.2888208260172904</v>
      </c>
      <c r="EH199" s="150"/>
      <c r="EI199" s="456">
        <f t="shared" si="576"/>
        <v>0.82527548754549018</v>
      </c>
      <c r="EJ199" s="456">
        <f t="shared" si="577"/>
        <v>2.4821276595744686</v>
      </c>
      <c r="EK199" s="456">
        <f t="shared" si="578"/>
        <v>1.6052997019150007E-2</v>
      </c>
      <c r="EL199" s="456">
        <f t="shared" si="579"/>
        <v>0.18568830738489706</v>
      </c>
      <c r="EM199">
        <f t="shared" si="580"/>
        <v>8.9999999999999993E-3</v>
      </c>
      <c r="EN199" s="144">
        <f t="shared" si="581"/>
        <v>25.052997019150009</v>
      </c>
      <c r="EP199" s="144">
        <f t="shared" si="601"/>
        <v>3518.1444515240055</v>
      </c>
      <c r="EQ199" s="150">
        <f t="shared" si="582"/>
        <v>2.492</v>
      </c>
      <c r="ER199" s="150">
        <f t="shared" si="583"/>
        <v>0.36236349999999995</v>
      </c>
      <c r="ES199" s="456"/>
      <c r="EU199" s="144">
        <f t="shared" si="496"/>
        <v>2854.3634999999999</v>
      </c>
      <c r="EV199" s="456">
        <f t="shared" si="584"/>
        <v>0.96282140213640521</v>
      </c>
      <c r="EW199" s="456">
        <f t="shared" si="585"/>
        <v>0.57714538641839719</v>
      </c>
      <c r="EX199" s="456">
        <f t="shared" si="586"/>
        <v>8.3052956078794541E-3</v>
      </c>
      <c r="EY199" s="456">
        <f t="shared" si="587"/>
        <v>16.851027564949892</v>
      </c>
      <c r="EZ199" s="456"/>
      <c r="FA199" s="538">
        <f t="shared" si="588"/>
        <v>4.7562735344593392</v>
      </c>
      <c r="FB199" s="144">
        <f t="shared" si="611"/>
        <v>23155.573183571913</v>
      </c>
      <c r="FC199" s="150">
        <f t="shared" si="589"/>
        <v>29.528081135095917</v>
      </c>
      <c r="FD199" s="5">
        <f t="shared" si="590"/>
        <v>111.339</v>
      </c>
      <c r="FE199" s="150">
        <f t="shared" si="591"/>
        <v>0.79038338199981883</v>
      </c>
      <c r="FF199" s="5">
        <f t="shared" si="592"/>
        <v>79.038338199981879</v>
      </c>
      <c r="FG199">
        <f t="shared" si="593"/>
        <v>89</v>
      </c>
      <c r="FI199" s="59">
        <f t="shared" si="594"/>
        <v>-50</v>
      </c>
      <c r="FJ199">
        <f t="shared" si="595"/>
        <v>-50</v>
      </c>
    </row>
    <row r="200" spans="5:166">
      <c r="E200" s="147">
        <v>90</v>
      </c>
      <c r="F200" s="188">
        <f t="shared" si="596"/>
        <v>3.6</v>
      </c>
      <c r="G200" s="188">
        <f t="shared" si="498"/>
        <v>0.76500000000000001</v>
      </c>
      <c r="H200" s="188">
        <f t="shared" si="499"/>
        <v>108</v>
      </c>
      <c r="I200" s="188">
        <f t="shared" si="500"/>
        <v>4.59</v>
      </c>
      <c r="J200" s="465">
        <f t="shared" si="501"/>
        <v>19.71032465176533</v>
      </c>
      <c r="K200" s="379">
        <f t="shared" si="502"/>
        <v>30.918343677209791</v>
      </c>
      <c r="L200" s="149">
        <f t="shared" si="503"/>
        <v>50.628668328975124</v>
      </c>
      <c r="M200" s="379"/>
      <c r="N200" s="188">
        <f t="shared" si="504"/>
        <v>0.61068846362516349</v>
      </c>
      <c r="O200" s="149">
        <f t="shared" si="505"/>
        <v>174.94176119671184</v>
      </c>
      <c r="P200" s="149">
        <f t="shared" si="506"/>
        <v>7.4350248508602519</v>
      </c>
      <c r="Q200" s="188">
        <f t="shared" si="507"/>
        <v>5.8313920398903942</v>
      </c>
      <c r="R200" s="188">
        <f t="shared" si="508"/>
        <v>29.156960199451973</v>
      </c>
      <c r="S200" s="188">
        <f t="shared" si="509"/>
        <v>30</v>
      </c>
      <c r="T200" s="188">
        <f t="shared" si="510"/>
        <v>18.707524437502844</v>
      </c>
      <c r="U200" s="188">
        <f t="shared" si="511"/>
        <v>4.460878570479986</v>
      </c>
      <c r="V200" s="188">
        <f t="shared" si="512"/>
        <v>2.8437928556009289</v>
      </c>
      <c r="W200" s="172">
        <f t="shared" si="513"/>
        <v>350</v>
      </c>
      <c r="X200" s="379">
        <f t="shared" si="597"/>
        <v>133.25033745311077</v>
      </c>
      <c r="Z200" s="188">
        <f t="shared" si="514"/>
        <v>7.3172449113311577</v>
      </c>
      <c r="AA200" s="150">
        <f t="shared" si="515"/>
        <v>1.1123186753566756</v>
      </c>
      <c r="AB200" s="150">
        <f t="shared" si="516"/>
        <v>1.3662771503411448</v>
      </c>
      <c r="AC200" s="150"/>
      <c r="AD200" s="150">
        <f t="shared" si="517"/>
        <v>0.92129283451380151</v>
      </c>
      <c r="AE200" s="314">
        <f t="shared" si="518"/>
        <v>1344.2957044744571</v>
      </c>
      <c r="AF200" s="456">
        <f t="shared" si="519"/>
        <v>0.93729377830050298</v>
      </c>
      <c r="AH200" s="150">
        <f t="shared" si="520"/>
        <v>11.699894785591919</v>
      </c>
      <c r="AI200" s="150">
        <f t="shared" si="521"/>
        <v>18.707524437502844</v>
      </c>
      <c r="AJ200" s="150">
        <f t="shared" si="522"/>
        <v>10.568087686590209</v>
      </c>
      <c r="AL200" s="314">
        <f t="shared" si="523"/>
        <v>3600</v>
      </c>
      <c r="AM200" s="144">
        <f t="shared" si="524"/>
        <v>133.25033745311077</v>
      </c>
      <c r="AO200">
        <f t="shared" si="525"/>
        <v>3600</v>
      </c>
      <c r="AP200">
        <f t="shared" si="526"/>
        <v>133.25033745311077</v>
      </c>
      <c r="AR200" s="5">
        <f t="shared" si="614"/>
        <v>7.5046714260809155</v>
      </c>
      <c r="AS200" s="5">
        <f t="shared" si="602"/>
        <v>4.460878570479986</v>
      </c>
      <c r="AT200" s="5">
        <f t="shared" si="603"/>
        <v>3.0437928556009295</v>
      </c>
      <c r="AU200" s="150">
        <f t="shared" si="604"/>
        <v>0.59441357485380852</v>
      </c>
      <c r="AW200" s="5">
        <f t="shared" si="475"/>
        <v>53.53054284575984</v>
      </c>
      <c r="AX200" s="5">
        <f t="shared" si="476"/>
        <v>56.876201773619819</v>
      </c>
      <c r="AY200" s="5">
        <f t="shared" si="477"/>
        <v>9.8106131211097232</v>
      </c>
      <c r="AZ200" s="5"/>
      <c r="BA200" s="150">
        <f t="shared" si="478"/>
        <v>8.3272202829868593</v>
      </c>
      <c r="BB200" s="150">
        <f t="shared" si="479"/>
        <v>6.5981371046632269</v>
      </c>
      <c r="BC200" s="150">
        <f t="shared" si="480"/>
        <v>1.3244491365091298</v>
      </c>
      <c r="BD200" s="150"/>
      <c r="BE200" s="456">
        <f t="shared" si="481"/>
        <v>0.83211117169665305</v>
      </c>
      <c r="BF200" s="456">
        <f t="shared" si="527"/>
        <v>2.3032655503710489</v>
      </c>
      <c r="BG200" s="456">
        <f t="shared" si="482"/>
        <v>1.5323788807107741E-2</v>
      </c>
      <c r="BH200" s="456">
        <f t="shared" si="483"/>
        <v>0.17675498886815305</v>
      </c>
      <c r="BI200">
        <f t="shared" si="484"/>
        <v>8.8696460932943984E-3</v>
      </c>
      <c r="BJ200" s="144">
        <f t="shared" si="598"/>
        <v>24.193434900402142</v>
      </c>
      <c r="BK200">
        <f t="shared" si="528"/>
        <v>4.4083810435138524</v>
      </c>
      <c r="BL200" s="144">
        <f t="shared" si="599"/>
        <v>3336.325145836257</v>
      </c>
      <c r="BM200" s="150">
        <f t="shared" si="529"/>
        <v>2.4141599999999999</v>
      </c>
      <c r="BN200" s="150">
        <f t="shared" si="530"/>
        <v>0.51300899999999994</v>
      </c>
      <c r="BO200" s="456"/>
      <c r="BQ200" s="144">
        <f t="shared" si="485"/>
        <v>2927.1689999999999</v>
      </c>
      <c r="BR200" s="456">
        <f t="shared" si="486"/>
        <v>0.97079636697942862</v>
      </c>
      <c r="BS200" s="456">
        <f t="shared" si="487"/>
        <v>0.60949578552707084</v>
      </c>
      <c r="BT200" s="456">
        <f t="shared" si="488"/>
        <v>8.770827575998898E-3</v>
      </c>
      <c r="BU200" s="456">
        <f t="shared" si="489"/>
        <v>15.512493095784309</v>
      </c>
      <c r="BV200" s="456"/>
      <c r="BW200" s="538">
        <f t="shared" si="531"/>
        <v>4.6633816553715262</v>
      </c>
      <c r="BX200" s="144">
        <f t="shared" si="605"/>
        <v>21764.937731238333</v>
      </c>
      <c r="BY200" s="150">
        <f t="shared" si="606"/>
        <v>28.028431877074592</v>
      </c>
      <c r="BZ200" s="5">
        <f t="shared" si="607"/>
        <v>112.59</v>
      </c>
      <c r="CA200" s="150">
        <f t="shared" si="608"/>
        <v>0.80067739696047535</v>
      </c>
      <c r="CB200" s="5">
        <f t="shared" si="609"/>
        <v>80.067739696047539</v>
      </c>
      <c r="CC200">
        <f t="shared" si="610"/>
        <v>90</v>
      </c>
      <c r="CE200" s="59">
        <f t="shared" si="532"/>
        <v>-50</v>
      </c>
      <c r="CF200">
        <f t="shared" si="533"/>
        <v>-50</v>
      </c>
      <c r="CG200" s="150">
        <f t="shared" si="534"/>
        <v>0.39199567588303097</v>
      </c>
      <c r="CH200" s="150">
        <f t="shared" si="535"/>
        <v>8.2740061272353616E-2</v>
      </c>
      <c r="CI200" s="147">
        <v>90</v>
      </c>
      <c r="CJ200" s="188">
        <f t="shared" si="600"/>
        <v>3.6</v>
      </c>
      <c r="CK200" s="188">
        <f t="shared" si="536"/>
        <v>0.76500000000000001</v>
      </c>
      <c r="CL200" s="188">
        <f t="shared" si="537"/>
        <v>108</v>
      </c>
      <c r="CM200" s="188">
        <f t="shared" si="538"/>
        <v>4.59</v>
      </c>
      <c r="CN200" s="465">
        <f t="shared" si="539"/>
        <v>20</v>
      </c>
      <c r="CO200" s="379">
        <f t="shared" si="540"/>
        <v>30.7</v>
      </c>
      <c r="CP200" s="379">
        <f t="shared" si="541"/>
        <v>50.7</v>
      </c>
      <c r="CQ200" s="379"/>
      <c r="CR200" s="188">
        <f t="shared" si="542"/>
        <v>0.60317460317460314</v>
      </c>
      <c r="CS200" s="149">
        <f t="shared" si="543"/>
        <v>175.32871249897633</v>
      </c>
      <c r="CT200" s="149">
        <f t="shared" si="544"/>
        <v>7.4514702812064924</v>
      </c>
      <c r="CU200" s="188">
        <f t="shared" si="545"/>
        <v>5.8442904166325444</v>
      </c>
      <c r="CV200" s="188">
        <f t="shared" si="546"/>
        <v>29.22145208316272</v>
      </c>
      <c r="CW200" s="188">
        <f t="shared" si="547"/>
        <v>30</v>
      </c>
      <c r="CX200" s="188">
        <f t="shared" si="548"/>
        <v>18.666236842105263</v>
      </c>
      <c r="CY200" s="188">
        <f t="shared" si="549"/>
        <v>4.386565657894737</v>
      </c>
      <c r="CZ200" s="188">
        <f t="shared" si="550"/>
        <v>2.8576974969998283</v>
      </c>
      <c r="DA200" s="172">
        <f t="shared" si="551"/>
        <v>350</v>
      </c>
      <c r="DB200" s="379">
        <f t="shared" si="552"/>
        <v>138.04026422264258</v>
      </c>
      <c r="DD200" s="188">
        <f t="shared" si="553"/>
        <v>7.3619779020761014</v>
      </c>
      <c r="DE200" s="150">
        <f t="shared" si="554"/>
        <v>1.1270780501549733</v>
      </c>
      <c r="DF200" s="150">
        <f t="shared" si="555"/>
        <v>1.3928696857096292</v>
      </c>
      <c r="DG200" s="150"/>
      <c r="DH200" s="150">
        <f t="shared" si="556"/>
        <v>0.92784522751949461</v>
      </c>
      <c r="DI200" s="314">
        <f t="shared" si="557"/>
        <v>1334.8023606382983</v>
      </c>
      <c r="DJ200" s="456">
        <f t="shared" si="558"/>
        <v>0.94395997276890675</v>
      </c>
      <c r="DL200" s="150">
        <f t="shared" si="559"/>
        <v>11.699894785591919</v>
      </c>
      <c r="DM200" s="150">
        <f t="shared" si="560"/>
        <v>18.666236842105263</v>
      </c>
      <c r="DN200" s="150">
        <f t="shared" si="561"/>
        <v>10.537504282592002</v>
      </c>
      <c r="DP200" s="314">
        <f t="shared" si="562"/>
        <v>3600</v>
      </c>
      <c r="DQ200" s="144">
        <f t="shared" si="563"/>
        <v>138.04026422264258</v>
      </c>
      <c r="DS200">
        <f t="shared" si="612"/>
        <v>3600</v>
      </c>
      <c r="DT200">
        <f t="shared" si="613"/>
        <v>138.04026422264258</v>
      </c>
      <c r="DV200" s="5">
        <f t="shared" si="566"/>
        <v>7.2442631548945648</v>
      </c>
      <c r="DW200" s="5">
        <f t="shared" si="567"/>
        <v>4.386565657894737</v>
      </c>
      <c r="DX200" s="5">
        <f t="shared" si="568"/>
        <v>2.8576974969998279</v>
      </c>
      <c r="DY200" s="150">
        <f t="shared" si="569"/>
        <v>0.60552268244575946</v>
      </c>
      <c r="EA200" s="5">
        <f t="shared" si="570"/>
        <v>52.638787894736843</v>
      </c>
      <c r="EB200" s="5">
        <f t="shared" si="571"/>
        <v>55.928712138157891</v>
      </c>
      <c r="EC200" s="5">
        <f t="shared" si="572"/>
        <v>9.0773920492935716</v>
      </c>
      <c r="ED200" s="5"/>
      <c r="EE200" s="150">
        <f t="shared" si="573"/>
        <v>8.3861254085488639</v>
      </c>
      <c r="EF200" s="150">
        <f t="shared" si="574"/>
        <v>6.4927861527574473</v>
      </c>
      <c r="EG200" s="150">
        <f t="shared" si="575"/>
        <v>1.303301958893889</v>
      </c>
      <c r="EH200" s="150"/>
      <c r="EI200" s="456">
        <f t="shared" si="576"/>
        <v>0.84392519241490616</v>
      </c>
      <c r="EJ200" s="456">
        <f t="shared" si="577"/>
        <v>2.482127659574469</v>
      </c>
      <c r="EK200" s="456">
        <f t="shared" si="578"/>
        <v>1.5874630385603897E-2</v>
      </c>
      <c r="EL200" s="456">
        <f t="shared" si="579"/>
        <v>0.18362510396950935</v>
      </c>
      <c r="EM200">
        <f t="shared" si="580"/>
        <v>8.9999999999999993E-3</v>
      </c>
      <c r="EN200" s="144">
        <f t="shared" si="581"/>
        <v>24.874630385603897</v>
      </c>
      <c r="EP200" s="144">
        <f t="shared" si="601"/>
        <v>3534.5525863444882</v>
      </c>
      <c r="EQ200" s="150">
        <f t="shared" si="582"/>
        <v>2.52</v>
      </c>
      <c r="ER200" s="150">
        <f t="shared" si="583"/>
        <v>0.36643500000000001</v>
      </c>
      <c r="ES200" s="456"/>
      <c r="EU200" s="144">
        <f t="shared" si="496"/>
        <v>2886.4349999999999</v>
      </c>
      <c r="EV200" s="456">
        <f t="shared" si="584"/>
        <v>0.98457939115072379</v>
      </c>
      <c r="EW200" s="456">
        <f t="shared" si="585"/>
        <v>0.59018780835614393</v>
      </c>
      <c r="EX200" s="456">
        <f t="shared" si="586"/>
        <v>8.4929799802832412E-3</v>
      </c>
      <c r="EY200" s="456">
        <f t="shared" si="587"/>
        <v>16.851027564949916</v>
      </c>
      <c r="EZ200" s="456"/>
      <c r="FA200" s="538">
        <f t="shared" si="588"/>
        <v>4.8097148101274225</v>
      </c>
      <c r="FB200" s="144">
        <f t="shared" si="611"/>
        <v>23244.002554564489</v>
      </c>
      <c r="FC200" s="150">
        <f t="shared" si="589"/>
        <v>29.664990140908976</v>
      </c>
      <c r="FD200" s="5">
        <f t="shared" si="590"/>
        <v>112.59</v>
      </c>
      <c r="FE200" s="150">
        <f t="shared" si="591"/>
        <v>0.79146608416671593</v>
      </c>
      <c r="FF200" s="5">
        <f t="shared" si="592"/>
        <v>79.146608416671597</v>
      </c>
      <c r="FG200">
        <f t="shared" si="593"/>
        <v>90</v>
      </c>
      <c r="FI200" s="59">
        <f t="shared" si="594"/>
        <v>-50</v>
      </c>
      <c r="FJ200">
        <f t="shared" si="595"/>
        <v>-50</v>
      </c>
    </row>
    <row r="201" spans="5:166">
      <c r="E201" s="147">
        <v>91</v>
      </c>
      <c r="F201" s="188">
        <f t="shared" si="596"/>
        <v>3.64</v>
      </c>
      <c r="G201" s="188">
        <f t="shared" si="498"/>
        <v>0.77349999999999997</v>
      </c>
      <c r="H201" s="188">
        <f t="shared" si="499"/>
        <v>109.2</v>
      </c>
      <c r="I201" s="188">
        <f t="shared" si="500"/>
        <v>4.641</v>
      </c>
      <c r="J201" s="465">
        <f t="shared" si="501"/>
        <v>19.707106036784943</v>
      </c>
      <c r="K201" s="379">
        <f t="shared" si="502"/>
        <v>30.920769718067678</v>
      </c>
      <c r="L201" s="149">
        <f t="shared" si="503"/>
        <v>50.627875754852624</v>
      </c>
      <c r="M201" s="379"/>
      <c r="N201" s="188">
        <f t="shared" si="504"/>
        <v>0.61074594296214291</v>
      </c>
      <c r="O201" s="149">
        <f t="shared" si="505"/>
        <v>174.92965713961428</v>
      </c>
      <c r="P201" s="149">
        <f t="shared" si="506"/>
        <v>7.4345104284336054</v>
      </c>
      <c r="Q201" s="188">
        <f t="shared" si="507"/>
        <v>5.8309885713204759</v>
      </c>
      <c r="R201" s="188">
        <f t="shared" si="508"/>
        <v>29.154942856602378</v>
      </c>
      <c r="S201" s="188">
        <f t="shared" si="509"/>
        <v>30</v>
      </c>
      <c r="T201" s="188">
        <f t="shared" si="510"/>
        <v>18.916694648580197</v>
      </c>
      <c r="U201" s="188">
        <f t="shared" si="511"/>
        <v>4.5114926911324229</v>
      </c>
      <c r="V201" s="188">
        <f t="shared" si="512"/>
        <v>2.8753638948507731</v>
      </c>
      <c r="W201" s="172">
        <f t="shared" si="513"/>
        <v>350</v>
      </c>
      <c r="X201" s="379">
        <f t="shared" si="597"/>
        <v>131.80689375986245</v>
      </c>
      <c r="Z201" s="188">
        <f t="shared" si="514"/>
        <v>7.3167386379885464</v>
      </c>
      <c r="AA201" s="150">
        <f t="shared" si="515"/>
        <v>1.1121544486795916</v>
      </c>
      <c r="AB201" s="150">
        <f t="shared" si="516"/>
        <v>1.3659809108502092</v>
      </c>
      <c r="AC201" s="150"/>
      <c r="AD201" s="150">
        <f t="shared" si="517"/>
        <v>0.92122054995947167</v>
      </c>
      <c r="AE201" s="314">
        <f t="shared" si="518"/>
        <v>1359.3389770289987</v>
      </c>
      <c r="AF201" s="456">
        <f t="shared" si="519"/>
        <v>0.93722023831353862</v>
      </c>
      <c r="AH201" s="150">
        <f t="shared" si="520"/>
        <v>11.764714643300868</v>
      </c>
      <c r="AI201" s="150">
        <f t="shared" si="521"/>
        <v>18.916694648580197</v>
      </c>
      <c r="AJ201" s="150">
        <f t="shared" si="522"/>
        <v>10.723028583684545</v>
      </c>
      <c r="AL201" s="314">
        <f t="shared" si="523"/>
        <v>3640</v>
      </c>
      <c r="AM201" s="144">
        <f t="shared" si="524"/>
        <v>131.80689375986245</v>
      </c>
      <c r="AO201">
        <f t="shared" si="525"/>
        <v>3640</v>
      </c>
      <c r="AP201">
        <f t="shared" si="526"/>
        <v>131.80689375986245</v>
      </c>
      <c r="AR201" s="5">
        <f t="shared" si="614"/>
        <v>7.5868565859831971</v>
      </c>
      <c r="AS201" s="5">
        <f t="shared" si="602"/>
        <v>4.5114926911324229</v>
      </c>
      <c r="AT201" s="5">
        <f t="shared" si="603"/>
        <v>3.0753638948507742</v>
      </c>
      <c r="AU201" s="150">
        <f t="shared" si="604"/>
        <v>0.59464583783848723</v>
      </c>
      <c r="AW201" s="5">
        <f t="shared" si="475"/>
        <v>54.739444652406725</v>
      </c>
      <c r="AX201" s="5">
        <f t="shared" si="476"/>
        <v>58.160659943182154</v>
      </c>
      <c r="AY201" s="5">
        <f t="shared" si="477"/>
        <v>10.024145804858128</v>
      </c>
      <c r="AZ201" s="5"/>
      <c r="BA201" s="150">
        <f t="shared" si="478"/>
        <v>8.4219724790424966</v>
      </c>
      <c r="BB201" s="150">
        <f t="shared" si="479"/>
        <v>6.6700007216514532</v>
      </c>
      <c r="BC201" s="150">
        <f t="shared" si="480"/>
        <v>1.3388743756268819</v>
      </c>
      <c r="BD201" s="150"/>
      <c r="BE201" s="456">
        <f t="shared" si="481"/>
        <v>0.85115544525299069</v>
      </c>
      <c r="BF201" s="456">
        <f t="shared" si="527"/>
        <v>2.3037532096462616</v>
      </c>
      <c r="BG201" s="456">
        <f t="shared" si="482"/>
        <v>1.5157792782384183E-2</v>
      </c>
      <c r="BH201" s="456">
        <f t="shared" si="483"/>
        <v>0.17483480388114572</v>
      </c>
      <c r="BI201">
        <f t="shared" si="484"/>
        <v>8.8681977165532243E-3</v>
      </c>
      <c r="BJ201" s="144">
        <f t="shared" si="598"/>
        <v>24.025990498937411</v>
      </c>
      <c r="BK201">
        <f t="shared" si="528"/>
        <v>4.4619071390978489</v>
      </c>
      <c r="BL201" s="144">
        <f t="shared" si="599"/>
        <v>3353.7694492793353</v>
      </c>
      <c r="BM201" s="150">
        <f t="shared" si="529"/>
        <v>2.4409839999999998</v>
      </c>
      <c r="BN201" s="150">
        <f t="shared" si="530"/>
        <v>0.51870909999999992</v>
      </c>
      <c r="BO201" s="456"/>
      <c r="BQ201" s="144">
        <f t="shared" si="485"/>
        <v>2959.6931</v>
      </c>
      <c r="BR201" s="456">
        <f t="shared" si="486"/>
        <v>0.99301468612848909</v>
      </c>
      <c r="BS201" s="456">
        <f t="shared" si="487"/>
        <v>0.62284473477563262</v>
      </c>
      <c r="BT201" s="456">
        <f t="shared" si="488"/>
        <v>8.962922968551364E-3</v>
      </c>
      <c r="BU201" s="456">
        <f t="shared" si="489"/>
        <v>15.521312807220328</v>
      </c>
      <c r="BV201" s="456"/>
      <c r="BW201" s="538">
        <f t="shared" si="531"/>
        <v>4.7165955013402856</v>
      </c>
      <c r="BX201" s="144">
        <f t="shared" si="605"/>
        <v>21862.730652433289</v>
      </c>
      <c r="BY201" s="150">
        <f t="shared" si="606"/>
        <v>28.176193201712621</v>
      </c>
      <c r="BZ201" s="5">
        <f t="shared" si="607"/>
        <v>113.84100000000001</v>
      </c>
      <c r="CA201" s="150">
        <f t="shared" si="608"/>
        <v>0.8016001262488488</v>
      </c>
      <c r="CB201" s="5">
        <f t="shared" si="609"/>
        <v>80.160012624884885</v>
      </c>
      <c r="CC201">
        <f t="shared" si="610"/>
        <v>91</v>
      </c>
      <c r="CE201" s="59">
        <f t="shared" si="532"/>
        <v>-50</v>
      </c>
      <c r="CF201">
        <f t="shared" si="533"/>
        <v>-50</v>
      </c>
      <c r="CG201" s="150">
        <f t="shared" si="534"/>
        <v>0.39199567588303086</v>
      </c>
      <c r="CH201" s="150">
        <f t="shared" si="535"/>
        <v>8.2740061272353588E-2</v>
      </c>
      <c r="CI201" s="147">
        <v>91</v>
      </c>
      <c r="CJ201" s="188">
        <f t="shared" si="600"/>
        <v>3.64</v>
      </c>
      <c r="CK201" s="188">
        <f t="shared" si="536"/>
        <v>0.77349999999999997</v>
      </c>
      <c r="CL201" s="188">
        <f t="shared" si="537"/>
        <v>109.2</v>
      </c>
      <c r="CM201" s="188">
        <f t="shared" si="538"/>
        <v>4.641</v>
      </c>
      <c r="CN201" s="465">
        <f t="shared" si="539"/>
        <v>20</v>
      </c>
      <c r="CO201" s="379">
        <f t="shared" si="540"/>
        <v>30.7</v>
      </c>
      <c r="CP201" s="379">
        <f t="shared" si="541"/>
        <v>50.7</v>
      </c>
      <c r="CQ201" s="379"/>
      <c r="CR201" s="188">
        <f t="shared" si="542"/>
        <v>0.60317460317460314</v>
      </c>
      <c r="CS201" s="149">
        <f t="shared" si="543"/>
        <v>175.32871249897633</v>
      </c>
      <c r="CT201" s="149">
        <f t="shared" si="544"/>
        <v>7.4514702812064924</v>
      </c>
      <c r="CU201" s="188">
        <f t="shared" si="545"/>
        <v>5.8442904166325444</v>
      </c>
      <c r="CV201" s="188">
        <f t="shared" si="546"/>
        <v>29.22145208316272</v>
      </c>
      <c r="CW201" s="188">
        <f t="shared" si="547"/>
        <v>30</v>
      </c>
      <c r="CX201" s="188">
        <f t="shared" si="548"/>
        <v>18.873639473684211</v>
      </c>
      <c r="CY201" s="188">
        <f t="shared" si="549"/>
        <v>4.4353052763157894</v>
      </c>
      <c r="CZ201" s="188">
        <f t="shared" si="550"/>
        <v>2.8894496914109382</v>
      </c>
      <c r="DA201" s="172">
        <f t="shared" si="551"/>
        <v>350</v>
      </c>
      <c r="DB201" s="379">
        <f t="shared" si="552"/>
        <v>136.52333824217393</v>
      </c>
      <c r="DD201" s="188">
        <f t="shared" si="553"/>
        <v>7.3619779020761014</v>
      </c>
      <c r="DE201" s="150">
        <f t="shared" si="554"/>
        <v>1.1270780501549733</v>
      </c>
      <c r="DF201" s="150">
        <f t="shared" si="555"/>
        <v>1.3928696857096292</v>
      </c>
      <c r="DG201" s="150"/>
      <c r="DH201" s="150">
        <f t="shared" si="556"/>
        <v>0.92784522751949461</v>
      </c>
      <c r="DI201" s="314">
        <f t="shared" si="557"/>
        <v>1349.6334979787234</v>
      </c>
      <c r="DJ201" s="456">
        <f t="shared" si="558"/>
        <v>0.94395997276890675</v>
      </c>
      <c r="DL201" s="150">
        <f t="shared" si="559"/>
        <v>11.764714643300868</v>
      </c>
      <c r="DM201" s="150">
        <f t="shared" si="560"/>
        <v>18.873639473684211</v>
      </c>
      <c r="DN201" s="150">
        <f t="shared" si="561"/>
        <v>10.691135861539369</v>
      </c>
      <c r="DP201" s="314">
        <f t="shared" si="562"/>
        <v>3640</v>
      </c>
      <c r="DQ201" s="144">
        <f t="shared" si="563"/>
        <v>136.52333824217393</v>
      </c>
      <c r="DS201">
        <f t="shared" si="612"/>
        <v>3640</v>
      </c>
      <c r="DT201">
        <f t="shared" si="613"/>
        <v>136.52333824217393</v>
      </c>
      <c r="DV201" s="5">
        <f t="shared" si="566"/>
        <v>7.3247549677267285</v>
      </c>
      <c r="DW201" s="5">
        <f t="shared" si="567"/>
        <v>4.4353052763157894</v>
      </c>
      <c r="DX201" s="5">
        <f t="shared" si="568"/>
        <v>2.8894496914109391</v>
      </c>
      <c r="DY201" s="150">
        <f t="shared" si="569"/>
        <v>0.60552268244575924</v>
      </c>
      <c r="EA201" s="5">
        <f t="shared" si="570"/>
        <v>53.815037352631578</v>
      </c>
      <c r="EB201" s="5">
        <f t="shared" si="571"/>
        <v>57.178477187171048</v>
      </c>
      <c r="EC201" s="5">
        <f t="shared" si="572"/>
        <v>9.2802325382963087</v>
      </c>
      <c r="ED201" s="5"/>
      <c r="EE201" s="150">
        <f t="shared" si="573"/>
        <v>8.4793045797549613</v>
      </c>
      <c r="EF201" s="150">
        <f t="shared" si="574"/>
        <v>6.5649282211214217</v>
      </c>
      <c r="EG201" s="150">
        <f t="shared" si="575"/>
        <v>1.3177830917704882</v>
      </c>
      <c r="EH201" s="150"/>
      <c r="EI201" s="456">
        <f t="shared" si="576"/>
        <v>0.86278327387504161</v>
      </c>
      <c r="EJ201" s="456">
        <f t="shared" si="577"/>
        <v>2.4821276595744681</v>
      </c>
      <c r="EK201" s="456">
        <f t="shared" si="578"/>
        <v>1.5700183897850002E-2</v>
      </c>
      <c r="EL201" s="456">
        <f t="shared" si="579"/>
        <v>0.18160724568413009</v>
      </c>
      <c r="EM201">
        <f t="shared" si="580"/>
        <v>8.9999999999999993E-3</v>
      </c>
      <c r="EN201" s="144">
        <f t="shared" si="581"/>
        <v>24.700183897850003</v>
      </c>
      <c r="EP201" s="144">
        <f t="shared" si="601"/>
        <v>3551.2183630314898</v>
      </c>
      <c r="EQ201" s="150">
        <f t="shared" si="582"/>
        <v>2.548</v>
      </c>
      <c r="ER201" s="150">
        <f t="shared" si="583"/>
        <v>0.37050649999999996</v>
      </c>
      <c r="ES201" s="456"/>
      <c r="EU201" s="144">
        <f t="shared" si="496"/>
        <v>2918.5065</v>
      </c>
      <c r="EV201" s="456">
        <f t="shared" si="584"/>
        <v>1.0065804861875485</v>
      </c>
      <c r="EW201" s="456">
        <f t="shared" si="585"/>
        <v>0.60337595567867064</v>
      </c>
      <c r="EX201" s="456">
        <f t="shared" si="586"/>
        <v>8.6827613847809352E-3</v>
      </c>
      <c r="EY201" s="456">
        <f t="shared" si="587"/>
        <v>16.851027564949892</v>
      </c>
      <c r="EZ201" s="456"/>
      <c r="FA201" s="538">
        <f t="shared" si="588"/>
        <v>4.8631560857955032</v>
      </c>
      <c r="FB201" s="144">
        <f t="shared" si="611"/>
        <v>23332.822853996393</v>
      </c>
      <c r="FC201" s="150">
        <f t="shared" si="589"/>
        <v>29.802547717027885</v>
      </c>
      <c r="FD201" s="5">
        <f t="shared" si="590"/>
        <v>113.84100000000001</v>
      </c>
      <c r="FE201" s="150">
        <f t="shared" si="591"/>
        <v>0.79252428535295072</v>
      </c>
      <c r="FF201" s="5">
        <f t="shared" si="592"/>
        <v>79.252428535295067</v>
      </c>
      <c r="FG201">
        <f t="shared" si="593"/>
        <v>91</v>
      </c>
      <c r="FI201" s="59">
        <f t="shared" si="594"/>
        <v>-50</v>
      </c>
      <c r="FJ201">
        <f t="shared" si="595"/>
        <v>-50</v>
      </c>
    </row>
    <row r="202" spans="5:166">
      <c r="E202" s="147">
        <v>92</v>
      </c>
      <c r="F202" s="188">
        <f t="shared" si="596"/>
        <v>3.68</v>
      </c>
      <c r="G202" s="188">
        <f t="shared" si="498"/>
        <v>0.78200000000000003</v>
      </c>
      <c r="H202" s="188">
        <f t="shared" si="499"/>
        <v>110.4</v>
      </c>
      <c r="I202" s="188">
        <f t="shared" si="500"/>
        <v>4.6920000000000002</v>
      </c>
      <c r="J202" s="465">
        <f t="shared" si="501"/>
        <v>19.703887421804559</v>
      </c>
      <c r="K202" s="379">
        <f t="shared" si="502"/>
        <v>30.923195758925566</v>
      </c>
      <c r="L202" s="149">
        <f t="shared" si="503"/>
        <v>50.627083180730125</v>
      </c>
      <c r="M202" s="379"/>
      <c r="N202" s="188">
        <f t="shared" si="504"/>
        <v>0.61080342409881661</v>
      </c>
      <c r="O202" s="149">
        <f t="shared" si="505"/>
        <v>174.91754822027221</v>
      </c>
      <c r="P202" s="149">
        <f t="shared" si="506"/>
        <v>7.4339957993615675</v>
      </c>
      <c r="Q202" s="188">
        <f t="shared" si="507"/>
        <v>5.83058494067574</v>
      </c>
      <c r="R202" s="188">
        <f t="shared" si="508"/>
        <v>29.152924703378702</v>
      </c>
      <c r="S202" s="188">
        <f t="shared" si="509"/>
        <v>30</v>
      </c>
      <c r="T202" s="188">
        <f t="shared" si="510"/>
        <v>19.125894339895751</v>
      </c>
      <c r="U202" s="188">
        <f t="shared" si="511"/>
        <v>4.5621303793095569</v>
      </c>
      <c r="V202" s="188">
        <f t="shared" si="512"/>
        <v>2.906934461053043</v>
      </c>
      <c r="W202" s="172">
        <f t="shared" si="513"/>
        <v>350</v>
      </c>
      <c r="X202" s="379">
        <f t="shared" si="597"/>
        <v>130.39399468067597</v>
      </c>
      <c r="Z202" s="188">
        <f t="shared" si="514"/>
        <v>7.3162321612740584</v>
      </c>
      <c r="AA202" s="150">
        <f t="shared" si="515"/>
        <v>1.1119902168605238</v>
      </c>
      <c r="AB202" s="150">
        <f t="shared" si="516"/>
        <v>1.3656846549956727</v>
      </c>
      <c r="AC202" s="150"/>
      <c r="AD202" s="150">
        <f t="shared" si="517"/>
        <v>0.92114827674713129</v>
      </c>
      <c r="AE202" s="314">
        <f t="shared" si="518"/>
        <v>1374.3845936190562</v>
      </c>
      <c r="AF202" s="456">
        <f t="shared" si="519"/>
        <v>0.93714670986555026</v>
      </c>
      <c r="AH202" s="150">
        <f t="shared" si="520"/>
        <v>11.829179315686901</v>
      </c>
      <c r="AI202" s="150">
        <f t="shared" si="521"/>
        <v>19.125894339895751</v>
      </c>
      <c r="AJ202" s="150">
        <f t="shared" si="522"/>
        <v>10.877991317992363</v>
      </c>
      <c r="AL202" s="314">
        <f t="shared" si="523"/>
        <v>3680</v>
      </c>
      <c r="AM202" s="144">
        <f t="shared" si="524"/>
        <v>130.39399468067597</v>
      </c>
      <c r="AO202">
        <f t="shared" si="525"/>
        <v>3680</v>
      </c>
      <c r="AP202">
        <f t="shared" si="526"/>
        <v>130.39399468067597</v>
      </c>
      <c r="AR202" s="5">
        <f t="shared" si="614"/>
        <v>7.6690648403626005</v>
      </c>
      <c r="AS202" s="5">
        <f t="shared" si="602"/>
        <v>4.5621303793095569</v>
      </c>
      <c r="AT202" s="5">
        <f t="shared" si="603"/>
        <v>3.1069344610530436</v>
      </c>
      <c r="AU202" s="150">
        <f t="shared" si="604"/>
        <v>0.5948744044122406</v>
      </c>
      <c r="AW202" s="5">
        <f t="shared" si="475"/>
        <v>55.962132652863893</v>
      </c>
      <c r="AX202" s="5">
        <f t="shared" si="476"/>
        <v>59.45976594366789</v>
      </c>
      <c r="AY202" s="5">
        <f t="shared" si="477"/>
        <v>10.240008725106639</v>
      </c>
      <c r="AZ202" s="5"/>
      <c r="BA202" s="150">
        <f t="shared" si="478"/>
        <v>8.5167473948649786</v>
      </c>
      <c r="BB202" s="150">
        <f t="shared" si="479"/>
        <v>6.7418626800645542</v>
      </c>
      <c r="BC202" s="150">
        <f t="shared" si="480"/>
        <v>1.3532992818175735</v>
      </c>
      <c r="BD202" s="150"/>
      <c r="BE202" s="456">
        <f t="shared" si="481"/>
        <v>0.87041983425527281</v>
      </c>
      <c r="BF202" s="456">
        <f t="shared" si="527"/>
        <v>2.3042262406806131</v>
      </c>
      <c r="BG202" s="456">
        <f t="shared" si="482"/>
        <v>1.4995309388277738E-2</v>
      </c>
      <c r="BH202" s="456">
        <f t="shared" si="483"/>
        <v>0.17295525340490797</v>
      </c>
      <c r="BI202">
        <f t="shared" si="484"/>
        <v>8.8667493398120519E-3</v>
      </c>
      <c r="BJ202" s="144">
        <f t="shared" si="598"/>
        <v>23.862058728089789</v>
      </c>
      <c r="BK202">
        <f t="shared" si="528"/>
        <v>4.5167268872417914</v>
      </c>
      <c r="BL202" s="144">
        <f t="shared" si="599"/>
        <v>3371.463387068884</v>
      </c>
      <c r="BM202" s="150">
        <f t="shared" si="529"/>
        <v>2.4678079999999998</v>
      </c>
      <c r="BN202" s="150">
        <f t="shared" si="530"/>
        <v>0.52440920000000002</v>
      </c>
      <c r="BO202" s="456"/>
      <c r="BQ202" s="144">
        <f t="shared" si="485"/>
        <v>2992.2171999999996</v>
      </c>
      <c r="BR202" s="456">
        <f t="shared" si="486"/>
        <v>1.0154898066311515</v>
      </c>
      <c r="BS202" s="456">
        <f t="shared" si="487"/>
        <v>0.63633797355586097</v>
      </c>
      <c r="BT202" s="456">
        <f t="shared" si="488"/>
        <v>9.1570947308398012E-3</v>
      </c>
      <c r="BU202" s="456">
        <f t="shared" si="489"/>
        <v>15.529889325377619</v>
      </c>
      <c r="BV202" s="456"/>
      <c r="BW202" s="538">
        <f t="shared" si="531"/>
        <v>4.7698101648018012</v>
      </c>
      <c r="BX202" s="144">
        <f t="shared" si="605"/>
        <v>21960.684365097273</v>
      </c>
      <c r="BY202" s="150">
        <f t="shared" si="606"/>
        <v>28.324364952166157</v>
      </c>
      <c r="BZ202" s="5">
        <f t="shared" si="607"/>
        <v>115.09200000000001</v>
      </c>
      <c r="CA202" s="150">
        <f t="shared" si="608"/>
        <v>0.80250255986049279</v>
      </c>
      <c r="CB202" s="5">
        <f t="shared" si="609"/>
        <v>80.250255986049282</v>
      </c>
      <c r="CC202">
        <f t="shared" si="610"/>
        <v>92</v>
      </c>
      <c r="CE202" s="59">
        <f t="shared" si="532"/>
        <v>-50</v>
      </c>
      <c r="CF202">
        <f t="shared" si="533"/>
        <v>-50</v>
      </c>
      <c r="CG202" s="150">
        <f t="shared" si="534"/>
        <v>0.39199567588303086</v>
      </c>
      <c r="CH202" s="150">
        <f t="shared" si="535"/>
        <v>8.2740061272353588E-2</v>
      </c>
      <c r="CI202" s="147">
        <v>92</v>
      </c>
      <c r="CJ202" s="188">
        <f t="shared" si="600"/>
        <v>3.68</v>
      </c>
      <c r="CK202" s="188">
        <f t="shared" si="536"/>
        <v>0.78200000000000003</v>
      </c>
      <c r="CL202" s="188">
        <f t="shared" si="537"/>
        <v>110.4</v>
      </c>
      <c r="CM202" s="188">
        <f t="shared" si="538"/>
        <v>4.6920000000000002</v>
      </c>
      <c r="CN202" s="465">
        <f t="shared" si="539"/>
        <v>20</v>
      </c>
      <c r="CO202" s="379">
        <f t="shared" si="540"/>
        <v>30.7</v>
      </c>
      <c r="CP202" s="379">
        <f t="shared" si="541"/>
        <v>50.7</v>
      </c>
      <c r="CQ202" s="379"/>
      <c r="CR202" s="188">
        <f t="shared" si="542"/>
        <v>0.60317460317460314</v>
      </c>
      <c r="CS202" s="149">
        <f t="shared" si="543"/>
        <v>175.32871249897633</v>
      </c>
      <c r="CT202" s="149">
        <f t="shared" si="544"/>
        <v>7.4514702812064924</v>
      </c>
      <c r="CU202" s="188">
        <f t="shared" si="545"/>
        <v>5.8442904166325444</v>
      </c>
      <c r="CV202" s="188">
        <f t="shared" si="546"/>
        <v>29.22145208316272</v>
      </c>
      <c r="CW202" s="188">
        <f t="shared" si="547"/>
        <v>30</v>
      </c>
      <c r="CX202" s="188">
        <f t="shared" si="548"/>
        <v>19.081042105263162</v>
      </c>
      <c r="CY202" s="188">
        <f t="shared" si="549"/>
        <v>4.4840448947368428</v>
      </c>
      <c r="CZ202" s="188">
        <f t="shared" si="550"/>
        <v>2.9212018858220477</v>
      </c>
      <c r="DA202" s="172">
        <f t="shared" si="551"/>
        <v>350</v>
      </c>
      <c r="DB202" s="379">
        <f t="shared" si="552"/>
        <v>135.03938891345464</v>
      </c>
      <c r="DD202" s="188">
        <f t="shared" si="553"/>
        <v>7.3619779020761014</v>
      </c>
      <c r="DE202" s="150">
        <f t="shared" si="554"/>
        <v>1.1270780501549733</v>
      </c>
      <c r="DF202" s="150">
        <f t="shared" si="555"/>
        <v>1.3928696857096292</v>
      </c>
      <c r="DG202" s="150"/>
      <c r="DH202" s="150">
        <f t="shared" si="556"/>
        <v>0.92784522751949461</v>
      </c>
      <c r="DI202" s="314">
        <f t="shared" si="557"/>
        <v>1364.464635319149</v>
      </c>
      <c r="DJ202" s="456">
        <f t="shared" si="558"/>
        <v>0.94395997276890675</v>
      </c>
      <c r="DL202" s="150">
        <f t="shared" si="559"/>
        <v>11.829179315686901</v>
      </c>
      <c r="DM202" s="150">
        <f t="shared" si="560"/>
        <v>19.081042105263162</v>
      </c>
      <c r="DN202" s="150">
        <f t="shared" si="561"/>
        <v>10.844767440486741</v>
      </c>
      <c r="DP202" s="314">
        <f t="shared" si="562"/>
        <v>3680</v>
      </c>
      <c r="DQ202" s="144">
        <f t="shared" si="563"/>
        <v>135.03938891345464</v>
      </c>
      <c r="DS202">
        <f t="shared" si="612"/>
        <v>3680</v>
      </c>
      <c r="DT202">
        <f t="shared" si="613"/>
        <v>135.03938891345464</v>
      </c>
      <c r="DV202" s="5">
        <f t="shared" si="566"/>
        <v>7.4052467805588904</v>
      </c>
      <c r="DW202" s="5">
        <f t="shared" si="567"/>
        <v>4.4840448947368428</v>
      </c>
      <c r="DX202" s="5">
        <f t="shared" si="568"/>
        <v>2.9212018858220477</v>
      </c>
      <c r="DY202" s="150">
        <f t="shared" si="569"/>
        <v>0.60552268244575935</v>
      </c>
      <c r="EA202" s="5">
        <f t="shared" si="570"/>
        <v>55.004284042105276</v>
      </c>
      <c r="EB202" s="5">
        <f t="shared" si="571"/>
        <v>58.442051794736855</v>
      </c>
      <c r="EC202" s="5">
        <f t="shared" si="572"/>
        <v>9.4853143586692372</v>
      </c>
      <c r="ED202" s="5"/>
      <c r="EE202" s="150">
        <f t="shared" si="573"/>
        <v>8.5724837509610623</v>
      </c>
      <c r="EF202" s="150">
        <f t="shared" si="574"/>
        <v>6.6370702894853926</v>
      </c>
      <c r="EG202" s="150">
        <f t="shared" si="575"/>
        <v>1.332264224647087</v>
      </c>
      <c r="EH202" s="150"/>
      <c r="EI202" s="456">
        <f t="shared" si="576"/>
        <v>0.88184973192589744</v>
      </c>
      <c r="EJ202" s="456">
        <f t="shared" si="577"/>
        <v>2.4821276595744681</v>
      </c>
      <c r="EK202" s="456">
        <f t="shared" si="578"/>
        <v>1.5529529725047285E-2</v>
      </c>
      <c r="EL202" s="456">
        <f t="shared" si="579"/>
        <v>0.1796332538832156</v>
      </c>
      <c r="EM202">
        <f t="shared" si="580"/>
        <v>8.9999999999999993E-3</v>
      </c>
      <c r="EN202" s="144">
        <f t="shared" si="581"/>
        <v>24.529529725047283</v>
      </c>
      <c r="EP202" s="144">
        <f t="shared" si="601"/>
        <v>3568.1401751086287</v>
      </c>
      <c r="EQ202" s="150">
        <f t="shared" si="582"/>
        <v>2.5760000000000001</v>
      </c>
      <c r="ER202" s="150">
        <f t="shared" si="583"/>
        <v>0.37457800000000002</v>
      </c>
      <c r="ES202" s="456"/>
      <c r="EU202" s="144">
        <f t="shared" si="496"/>
        <v>2950.578</v>
      </c>
      <c r="EV202" s="456">
        <f t="shared" si="584"/>
        <v>1.0288246872468803</v>
      </c>
      <c r="EW202" s="456">
        <f t="shared" si="585"/>
        <v>0.61670982838597599</v>
      </c>
      <c r="EX202" s="456">
        <f t="shared" si="586"/>
        <v>8.8746398213725205E-3</v>
      </c>
      <c r="EY202" s="456">
        <f t="shared" si="587"/>
        <v>16.851027564949892</v>
      </c>
      <c r="EZ202" s="456"/>
      <c r="FA202" s="538">
        <f t="shared" si="588"/>
        <v>4.9165973614635874</v>
      </c>
      <c r="FB202" s="144">
        <f t="shared" si="611"/>
        <v>23422.034081867707</v>
      </c>
      <c r="FC202" s="150">
        <f t="shared" si="589"/>
        <v>29.940752256976339</v>
      </c>
      <c r="FD202" s="5">
        <f t="shared" si="590"/>
        <v>115.09200000000001</v>
      </c>
      <c r="FE202" s="150">
        <f t="shared" si="591"/>
        <v>0.79355868387627504</v>
      </c>
      <c r="FF202" s="5">
        <f t="shared" si="592"/>
        <v>79.35586838762751</v>
      </c>
      <c r="FG202">
        <f t="shared" si="593"/>
        <v>92</v>
      </c>
      <c r="FI202" s="59">
        <f t="shared" si="594"/>
        <v>-50</v>
      </c>
      <c r="FJ202">
        <f t="shared" si="595"/>
        <v>-50</v>
      </c>
    </row>
    <row r="203" spans="5:166">
      <c r="E203" s="147">
        <v>93</v>
      </c>
      <c r="F203" s="188">
        <f t="shared" si="596"/>
        <v>3.72</v>
      </c>
      <c r="G203" s="188">
        <f t="shared" si="498"/>
        <v>0.79049999999999998</v>
      </c>
      <c r="H203" s="188">
        <f t="shared" si="499"/>
        <v>111.60000000000001</v>
      </c>
      <c r="I203" s="188">
        <f t="shared" si="500"/>
        <v>4.7430000000000003</v>
      </c>
      <c r="J203" s="465">
        <f t="shared" si="501"/>
        <v>19.700668806824172</v>
      </c>
      <c r="K203" s="379">
        <f t="shared" si="502"/>
        <v>30.92562179978345</v>
      </c>
      <c r="L203" s="149">
        <f t="shared" si="503"/>
        <v>50.626290606607625</v>
      </c>
      <c r="M203" s="379"/>
      <c r="N203" s="188">
        <f t="shared" si="504"/>
        <v>0.61086090703526896</v>
      </c>
      <c r="O203" s="149">
        <f t="shared" si="505"/>
        <v>174.90543443845715</v>
      </c>
      <c r="P203" s="149">
        <f t="shared" si="506"/>
        <v>7.4334809636344277</v>
      </c>
      <c r="Q203" s="188">
        <f t="shared" si="507"/>
        <v>5.8301811479485712</v>
      </c>
      <c r="R203" s="188">
        <f t="shared" si="508"/>
        <v>29.150905739742857</v>
      </c>
      <c r="S203" s="188">
        <f t="shared" si="509"/>
        <v>30</v>
      </c>
      <c r="T203" s="188">
        <f t="shared" si="510"/>
        <v>19.335123535044421</v>
      </c>
      <c r="U203" s="188">
        <f t="shared" si="511"/>
        <v>4.6127916521915378</v>
      </c>
      <c r="V203" s="188">
        <f t="shared" si="512"/>
        <v>2.9385045579049636</v>
      </c>
      <c r="W203" s="172">
        <f t="shared" si="513"/>
        <v>350</v>
      </c>
      <c r="X203" s="379">
        <f t="shared" si="597"/>
        <v>129.01068065202352</v>
      </c>
      <c r="Z203" s="188">
        <f t="shared" si="514"/>
        <v>7.3157254811781414</v>
      </c>
      <c r="AA203" s="150">
        <f t="shared" si="515"/>
        <v>1.1118259798992314</v>
      </c>
      <c r="AB203" s="150">
        <f t="shared" si="516"/>
        <v>1.3653883827935887</v>
      </c>
      <c r="AC203" s="150"/>
      <c r="AD203" s="150">
        <f t="shared" si="517"/>
        <v>0.92107601487411128</v>
      </c>
      <c r="AE203" s="314">
        <f t="shared" si="518"/>
        <v>1389.4325542446286</v>
      </c>
      <c r="AF203" s="456">
        <f t="shared" si="519"/>
        <v>0.93707319295382296</v>
      </c>
      <c r="AH203" s="150">
        <f t="shared" si="520"/>
        <v>11.893294578334956</v>
      </c>
      <c r="AI203" s="150">
        <f t="shared" si="521"/>
        <v>19.335123535044421</v>
      </c>
      <c r="AJ203" s="150">
        <f t="shared" si="522"/>
        <v>11.032975906991378</v>
      </c>
      <c r="AL203" s="314">
        <f t="shared" si="523"/>
        <v>3720</v>
      </c>
      <c r="AM203" s="144">
        <f t="shared" si="524"/>
        <v>129.01068065202352</v>
      </c>
      <c r="AO203">
        <f t="shared" si="525"/>
        <v>3720</v>
      </c>
      <c r="AP203">
        <f t="shared" si="526"/>
        <v>129.01068065202352</v>
      </c>
      <c r="AR203" s="5">
        <f t="shared" si="614"/>
        <v>7.751296210096501</v>
      </c>
      <c r="AS203" s="5">
        <f t="shared" si="602"/>
        <v>4.6127916521915378</v>
      </c>
      <c r="AT203" s="5">
        <f t="shared" si="603"/>
        <v>3.1385045579049633</v>
      </c>
      <c r="AU203" s="150">
        <f t="shared" si="604"/>
        <v>0.59509939075520246</v>
      </c>
      <c r="AW203" s="5">
        <f t="shared" si="475"/>
        <v>57.198616487175066</v>
      </c>
      <c r="AX203" s="5">
        <f t="shared" si="476"/>
        <v>60.773530017623514</v>
      </c>
      <c r="AY203" s="5">
        <f t="shared" si="477"/>
        <v>10.458202985440462</v>
      </c>
      <c r="AZ203" s="5"/>
      <c r="BA203" s="150">
        <f t="shared" si="478"/>
        <v>8.6115450258079029</v>
      </c>
      <c r="BB203" s="150">
        <f t="shared" si="479"/>
        <v>6.813723018814656</v>
      </c>
      <c r="BC203" s="150">
        <f t="shared" si="480"/>
        <v>1.3677238628920649</v>
      </c>
      <c r="BD203" s="150"/>
      <c r="BE203" s="456">
        <f t="shared" si="481"/>
        <v>0.88990449277820216</v>
      </c>
      <c r="BF203" s="456">
        <f t="shared" si="527"/>
        <v>2.3046851011160445</v>
      </c>
      <c r="BG203" s="456">
        <f t="shared" si="482"/>
        <v>1.4836228274982707E-2</v>
      </c>
      <c r="BH203" s="456">
        <f t="shared" si="483"/>
        <v>0.17111506090102871</v>
      </c>
      <c r="BI203">
        <f t="shared" si="484"/>
        <v>8.8653009630708778E-3</v>
      </c>
      <c r="BJ203" s="144">
        <f t="shared" si="598"/>
        <v>23.701529238053581</v>
      </c>
      <c r="BK203">
        <f t="shared" si="528"/>
        <v>4.572873144471342</v>
      </c>
      <c r="BL203" s="144">
        <f t="shared" si="599"/>
        <v>3389.4061840333293</v>
      </c>
      <c r="BM203" s="150">
        <f t="shared" si="529"/>
        <v>2.4946320000000002</v>
      </c>
      <c r="BN203" s="150">
        <f t="shared" si="530"/>
        <v>0.53010929999999989</v>
      </c>
      <c r="BO203" s="456"/>
      <c r="BQ203" s="144">
        <f t="shared" si="485"/>
        <v>3024.7413000000001</v>
      </c>
      <c r="BR203" s="456">
        <f t="shared" si="486"/>
        <v>1.0382219082412358</v>
      </c>
      <c r="BS203" s="456">
        <f t="shared" si="487"/>
        <v>0.64997549927974596</v>
      </c>
      <c r="BT203" s="456">
        <f t="shared" si="488"/>
        <v>9.3533428256219603E-3</v>
      </c>
      <c r="BU203" s="456">
        <f t="shared" si="489"/>
        <v>15.538230107812877</v>
      </c>
      <c r="BV203" s="456"/>
      <c r="BW203" s="538">
        <f t="shared" si="531"/>
        <v>4.8230256202629933</v>
      </c>
      <c r="BX203" s="144">
        <f t="shared" si="605"/>
        <v>22058.806478422473</v>
      </c>
      <c r="BY203" s="150">
        <f t="shared" si="606"/>
        <v>28.472953962455801</v>
      </c>
      <c r="BZ203" s="5">
        <f t="shared" si="607"/>
        <v>116.343</v>
      </c>
      <c r="CA203" s="150">
        <f t="shared" si="608"/>
        <v>0.80338524048367255</v>
      </c>
      <c r="CB203" s="5">
        <f t="shared" si="609"/>
        <v>80.338524048367248</v>
      </c>
      <c r="CC203">
        <f t="shared" si="610"/>
        <v>93</v>
      </c>
      <c r="CE203" s="59">
        <f t="shared" si="532"/>
        <v>-50</v>
      </c>
      <c r="CF203">
        <f t="shared" si="533"/>
        <v>-50</v>
      </c>
      <c r="CG203" s="150">
        <f t="shared" si="534"/>
        <v>0.39199567588303097</v>
      </c>
      <c r="CH203" s="150">
        <f t="shared" si="535"/>
        <v>8.2740061272353602E-2</v>
      </c>
      <c r="CI203" s="147">
        <v>93</v>
      </c>
      <c r="CJ203" s="188">
        <f t="shared" si="600"/>
        <v>3.72</v>
      </c>
      <c r="CK203" s="188">
        <f t="shared" si="536"/>
        <v>0.79049999999999998</v>
      </c>
      <c r="CL203" s="188">
        <f t="shared" si="537"/>
        <v>111.60000000000001</v>
      </c>
      <c r="CM203" s="188">
        <f t="shared" si="538"/>
        <v>4.7430000000000003</v>
      </c>
      <c r="CN203" s="465">
        <f t="shared" si="539"/>
        <v>20</v>
      </c>
      <c r="CO203" s="379">
        <f t="shared" si="540"/>
        <v>30.7</v>
      </c>
      <c r="CP203" s="379">
        <f t="shared" si="541"/>
        <v>50.7</v>
      </c>
      <c r="CQ203" s="379"/>
      <c r="CR203" s="188">
        <f t="shared" si="542"/>
        <v>0.60317460317460314</v>
      </c>
      <c r="CS203" s="149">
        <f t="shared" si="543"/>
        <v>175.32871249897633</v>
      </c>
      <c r="CT203" s="149">
        <f t="shared" si="544"/>
        <v>7.4514702812064924</v>
      </c>
      <c r="CU203" s="188">
        <f t="shared" si="545"/>
        <v>5.8442904166325444</v>
      </c>
      <c r="CV203" s="188">
        <f t="shared" si="546"/>
        <v>29.22145208316272</v>
      </c>
      <c r="CW203" s="188">
        <f t="shared" si="547"/>
        <v>30</v>
      </c>
      <c r="CX203" s="188">
        <f t="shared" si="548"/>
        <v>19.288444736842106</v>
      </c>
      <c r="CY203" s="188">
        <f t="shared" si="549"/>
        <v>4.5327845131578943</v>
      </c>
      <c r="CZ203" s="188">
        <f t="shared" si="550"/>
        <v>2.9529540802331562</v>
      </c>
      <c r="DA203" s="172">
        <f t="shared" si="551"/>
        <v>350</v>
      </c>
      <c r="DB203" s="379">
        <f t="shared" si="552"/>
        <v>133.58735247352507</v>
      </c>
      <c r="DD203" s="188">
        <f t="shared" si="553"/>
        <v>7.3619779020761014</v>
      </c>
      <c r="DE203" s="150">
        <f t="shared" si="554"/>
        <v>1.1270780501549733</v>
      </c>
      <c r="DF203" s="150">
        <f t="shared" si="555"/>
        <v>1.3928696857096292</v>
      </c>
      <c r="DG203" s="150"/>
      <c r="DH203" s="150">
        <f t="shared" si="556"/>
        <v>0.92784522751949461</v>
      </c>
      <c r="DI203" s="314">
        <f t="shared" si="557"/>
        <v>1379.2957726595746</v>
      </c>
      <c r="DJ203" s="456">
        <f t="shared" si="558"/>
        <v>0.94395997276890675</v>
      </c>
      <c r="DL203" s="150">
        <f t="shared" si="559"/>
        <v>11.893294578334956</v>
      </c>
      <c r="DM203" s="150">
        <f t="shared" si="560"/>
        <v>19.288444736842106</v>
      </c>
      <c r="DN203" s="150">
        <f t="shared" si="561"/>
        <v>10.998399019434107</v>
      </c>
      <c r="DP203" s="314">
        <f t="shared" si="562"/>
        <v>3720</v>
      </c>
      <c r="DQ203" s="144">
        <f t="shared" si="563"/>
        <v>133.58735247352507</v>
      </c>
      <c r="DS203">
        <f t="shared" si="612"/>
        <v>3720</v>
      </c>
      <c r="DT203">
        <f t="shared" si="613"/>
        <v>133.58735247352507</v>
      </c>
      <c r="DV203" s="5">
        <f t="shared" si="566"/>
        <v>7.4857385933910505</v>
      </c>
      <c r="DW203" s="5">
        <f t="shared" si="567"/>
        <v>4.5327845131578943</v>
      </c>
      <c r="DX203" s="5">
        <f t="shared" si="568"/>
        <v>2.9529540802331562</v>
      </c>
      <c r="DY203" s="150">
        <f t="shared" si="569"/>
        <v>0.60552268244575935</v>
      </c>
      <c r="EA203" s="5">
        <f t="shared" si="570"/>
        <v>56.206527963157896</v>
      </c>
      <c r="EB203" s="5">
        <f t="shared" si="571"/>
        <v>59.719435960855257</v>
      </c>
      <c r="EC203" s="5">
        <f t="shared" si="572"/>
        <v>9.692637510412359</v>
      </c>
      <c r="ED203" s="5"/>
      <c r="EE203" s="150">
        <f t="shared" si="573"/>
        <v>8.6656629221671579</v>
      </c>
      <c r="EF203" s="150">
        <f t="shared" si="574"/>
        <v>6.7092123578493634</v>
      </c>
      <c r="EG203" s="150">
        <f t="shared" si="575"/>
        <v>1.3467453575236854</v>
      </c>
      <c r="EH203" s="150"/>
      <c r="EI203" s="456">
        <f t="shared" si="576"/>
        <v>0.90112456656747175</v>
      </c>
      <c r="EJ203" s="456">
        <f t="shared" si="577"/>
        <v>2.482127659574469</v>
      </c>
      <c r="EK203" s="456">
        <f t="shared" si="578"/>
        <v>1.5362545534455384E-2</v>
      </c>
      <c r="EL203" s="456">
        <f t="shared" si="579"/>
        <v>0.17770171351888001</v>
      </c>
      <c r="EM203">
        <f t="shared" si="580"/>
        <v>8.9999999999999993E-3</v>
      </c>
      <c r="EN203" s="144">
        <f t="shared" si="581"/>
        <v>24.362545534455382</v>
      </c>
      <c r="EP203" s="144">
        <f t="shared" si="601"/>
        <v>3585.3164851952761</v>
      </c>
      <c r="EQ203" s="150">
        <f t="shared" si="582"/>
        <v>2.6040000000000001</v>
      </c>
      <c r="ER203" s="150">
        <f t="shared" si="583"/>
        <v>0.37864949999999997</v>
      </c>
      <c r="ES203" s="456"/>
      <c r="EU203" s="144">
        <f t="shared" si="496"/>
        <v>2982.6495</v>
      </c>
      <c r="EV203" s="456">
        <f t="shared" si="584"/>
        <v>1.051311994328717</v>
      </c>
      <c r="EW203" s="456">
        <f t="shared" si="585"/>
        <v>0.63018942647806064</v>
      </c>
      <c r="EX203" s="456">
        <f t="shared" si="586"/>
        <v>9.0686152900579971E-3</v>
      </c>
      <c r="EY203" s="456">
        <f t="shared" si="587"/>
        <v>16.851027564949902</v>
      </c>
      <c r="EZ203" s="456"/>
      <c r="FA203" s="538">
        <f t="shared" si="588"/>
        <v>4.9700386371316698</v>
      </c>
      <c r="FB203" s="144">
        <f t="shared" si="611"/>
        <v>23511.636238178409</v>
      </c>
      <c r="FC203" s="150">
        <f t="shared" si="589"/>
        <v>30.079602223373684</v>
      </c>
      <c r="FD203" s="5">
        <f t="shared" si="590"/>
        <v>116.343</v>
      </c>
      <c r="FE203" s="150">
        <f t="shared" si="591"/>
        <v>0.79456995186107926</v>
      </c>
      <c r="FF203" s="5">
        <f t="shared" si="592"/>
        <v>79.456995186107932</v>
      </c>
      <c r="FG203">
        <f t="shared" si="593"/>
        <v>93</v>
      </c>
      <c r="FI203" s="59">
        <f t="shared" si="594"/>
        <v>-50</v>
      </c>
      <c r="FJ203">
        <f t="shared" si="595"/>
        <v>-50</v>
      </c>
    </row>
    <row r="204" spans="5:166">
      <c r="E204" s="147">
        <v>94</v>
      </c>
      <c r="F204" s="188">
        <f t="shared" si="596"/>
        <v>3.76</v>
      </c>
      <c r="G204" s="188">
        <f t="shared" si="498"/>
        <v>0.79899999999999993</v>
      </c>
      <c r="H204" s="188">
        <f t="shared" si="499"/>
        <v>112.8</v>
      </c>
      <c r="I204" s="188">
        <f t="shared" si="500"/>
        <v>4.7939999999999996</v>
      </c>
      <c r="J204" s="465">
        <f t="shared" si="501"/>
        <v>19.697450191843789</v>
      </c>
      <c r="K204" s="379">
        <f t="shared" si="502"/>
        <v>30.928047840641337</v>
      </c>
      <c r="L204" s="149">
        <f t="shared" si="503"/>
        <v>50.625498032485126</v>
      </c>
      <c r="M204" s="379"/>
      <c r="N204" s="188">
        <f t="shared" si="504"/>
        <v>0.61091839177158469</v>
      </c>
      <c r="O204" s="149">
        <f t="shared" si="505"/>
        <v>174.89331579394084</v>
      </c>
      <c r="P204" s="149">
        <f t="shared" si="506"/>
        <v>7.4329659212424861</v>
      </c>
      <c r="Q204" s="188">
        <f t="shared" si="507"/>
        <v>5.8297771931313616</v>
      </c>
      <c r="R204" s="188">
        <f t="shared" si="508"/>
        <v>29.148885965656806</v>
      </c>
      <c r="S204" s="188">
        <f t="shared" si="509"/>
        <v>30</v>
      </c>
      <c r="T204" s="188">
        <f t="shared" si="510"/>
        <v>19.544382257633657</v>
      </c>
      <c r="U204" s="188">
        <f t="shared" si="511"/>
        <v>4.6634765269727394</v>
      </c>
      <c r="V204" s="188">
        <f t="shared" si="512"/>
        <v>2.9700741891045062</v>
      </c>
      <c r="W204" s="172">
        <f t="shared" si="513"/>
        <v>350</v>
      </c>
      <c r="X204" s="379">
        <f t="shared" si="597"/>
        <v>127.65603188700148</v>
      </c>
      <c r="Z204" s="188">
        <f t="shared" si="514"/>
        <v>7.3152185976912456</v>
      </c>
      <c r="AA204" s="150">
        <f t="shared" si="515"/>
        <v>1.1116617377954723</v>
      </c>
      <c r="AB204" s="150">
        <f t="shared" si="516"/>
        <v>1.3650920942600109</v>
      </c>
      <c r="AC204" s="150"/>
      <c r="AD204" s="150">
        <f t="shared" si="517"/>
        <v>0.92100376433774322</v>
      </c>
      <c r="AE204" s="314">
        <f t="shared" si="518"/>
        <v>1404.4828589057158</v>
      </c>
      <c r="AF204" s="456">
        <f t="shared" si="519"/>
        <v>0.93699968757564178</v>
      </c>
      <c r="AH204" s="150">
        <f t="shared" si="520"/>
        <v>11.957066051980668</v>
      </c>
      <c r="AI204" s="150">
        <f t="shared" si="521"/>
        <v>19.544382257633657</v>
      </c>
      <c r="AJ204" s="150">
        <f t="shared" si="522"/>
        <v>11.187982368168589</v>
      </c>
      <c r="AL204" s="314">
        <f t="shared" si="523"/>
        <v>3760</v>
      </c>
      <c r="AM204" s="144">
        <f t="shared" si="524"/>
        <v>127.65603188700148</v>
      </c>
      <c r="AO204">
        <f t="shared" si="525"/>
        <v>3760</v>
      </c>
      <c r="AP204">
        <f t="shared" si="526"/>
        <v>127.65603188700148</v>
      </c>
      <c r="AR204" s="5">
        <f t="shared" si="614"/>
        <v>7.8335507160772444</v>
      </c>
      <c r="AS204" s="5">
        <f t="shared" si="602"/>
        <v>4.6634765269727394</v>
      </c>
      <c r="AT204" s="5">
        <f t="shared" si="603"/>
        <v>3.170074189104505</v>
      </c>
      <c r="AU204" s="150">
        <f t="shared" si="604"/>
        <v>0.59532090823151496</v>
      </c>
      <c r="AW204" s="5">
        <f t="shared" si="475"/>
        <v>58.448905804724987</v>
      </c>
      <c r="AX204" s="5">
        <f t="shared" si="476"/>
        <v>62.101962417520305</v>
      </c>
      <c r="AY204" s="5">
        <f t="shared" si="477"/>
        <v>10.678729690698589</v>
      </c>
      <c r="AZ204" s="5"/>
      <c r="BA204" s="150">
        <f t="shared" si="478"/>
        <v>8.7063653679388491</v>
      </c>
      <c r="BB204" s="150">
        <f t="shared" si="479"/>
        <v>6.8855817753929776</v>
      </c>
      <c r="BC204" s="150">
        <f t="shared" si="480"/>
        <v>1.382148126375998</v>
      </c>
      <c r="BD204" s="150"/>
      <c r="BE204" s="456">
        <f t="shared" si="481"/>
        <v>0.90960957504053963</v>
      </c>
      <c r="BF204" s="456">
        <f t="shared" si="527"/>
        <v>2.3051302296239444</v>
      </c>
      <c r="BG204" s="456">
        <f t="shared" si="482"/>
        <v>1.4680443667005171E-2</v>
      </c>
      <c r="BH204" s="456">
        <f t="shared" si="483"/>
        <v>0.16931300274722694</v>
      </c>
      <c r="BI204">
        <f t="shared" si="484"/>
        <v>8.8638525863297055E-3</v>
      </c>
      <c r="BJ204" s="144">
        <f t="shared" si="598"/>
        <v>23.544296253334878</v>
      </c>
      <c r="BK204">
        <f t="shared" si="528"/>
        <v>4.6303801246231151</v>
      </c>
      <c r="BL204" s="144">
        <f t="shared" si="599"/>
        <v>3407.5971036650458</v>
      </c>
      <c r="BM204" s="150">
        <f t="shared" si="529"/>
        <v>2.5214559999999997</v>
      </c>
      <c r="BN204" s="150">
        <f t="shared" si="530"/>
        <v>0.53580939999999988</v>
      </c>
      <c r="BO204" s="456"/>
      <c r="BQ204" s="144">
        <f t="shared" si="485"/>
        <v>3057.2653999999993</v>
      </c>
      <c r="BR204" s="456">
        <f t="shared" si="486"/>
        <v>1.0612111708806296</v>
      </c>
      <c r="BS204" s="456">
        <f t="shared" si="487"/>
        <v>0.66375730939873478</v>
      </c>
      <c r="BT204" s="456">
        <f t="shared" si="488"/>
        <v>9.5516672162234105E-3</v>
      </c>
      <c r="BU204" s="456">
        <f t="shared" si="489"/>
        <v>15.54634230931965</v>
      </c>
      <c r="BV204" s="456"/>
      <c r="BW204" s="538">
        <f t="shared" si="531"/>
        <v>4.8762418432874881</v>
      </c>
      <c r="BX204" s="144">
        <f t="shared" si="605"/>
        <v>22157.104300102728</v>
      </c>
      <c r="BY204" s="150">
        <f t="shared" si="606"/>
        <v>28.621966803767773</v>
      </c>
      <c r="BZ204" s="5">
        <f t="shared" si="607"/>
        <v>117.59399999999999</v>
      </c>
      <c r="CA204" s="150">
        <f t="shared" si="608"/>
        <v>0.80424869164815294</v>
      </c>
      <c r="CB204" s="5">
        <f t="shared" si="609"/>
        <v>80.424869164815291</v>
      </c>
      <c r="CC204">
        <f t="shared" si="610"/>
        <v>94</v>
      </c>
      <c r="CE204" s="59">
        <f t="shared" si="532"/>
        <v>-50</v>
      </c>
      <c r="CF204">
        <f t="shared" si="533"/>
        <v>-50</v>
      </c>
      <c r="CG204" s="150">
        <f t="shared" si="534"/>
        <v>0.39199567588303091</v>
      </c>
      <c r="CH204" s="150">
        <f t="shared" si="535"/>
        <v>8.2740061272353588E-2</v>
      </c>
      <c r="CI204" s="147">
        <v>94</v>
      </c>
      <c r="CJ204" s="188">
        <f t="shared" si="600"/>
        <v>3.76</v>
      </c>
      <c r="CK204" s="188">
        <f t="shared" si="536"/>
        <v>0.79899999999999993</v>
      </c>
      <c r="CL204" s="188">
        <f t="shared" si="537"/>
        <v>112.8</v>
      </c>
      <c r="CM204" s="188">
        <f t="shared" si="538"/>
        <v>4.7939999999999996</v>
      </c>
      <c r="CN204" s="465">
        <f t="shared" si="539"/>
        <v>20</v>
      </c>
      <c r="CO204" s="379">
        <f t="shared" si="540"/>
        <v>30.7</v>
      </c>
      <c r="CP204" s="379">
        <f t="shared" si="541"/>
        <v>50.7</v>
      </c>
      <c r="CQ204" s="379"/>
      <c r="CR204" s="188">
        <f t="shared" si="542"/>
        <v>0.60317460317460314</v>
      </c>
      <c r="CS204" s="149">
        <f t="shared" si="543"/>
        <v>175.32871249897633</v>
      </c>
      <c r="CT204" s="149">
        <f t="shared" si="544"/>
        <v>7.4514702812064924</v>
      </c>
      <c r="CU204" s="188">
        <f t="shared" si="545"/>
        <v>5.8442904166325444</v>
      </c>
      <c r="CV204" s="188">
        <f t="shared" si="546"/>
        <v>29.22145208316272</v>
      </c>
      <c r="CW204" s="188">
        <f t="shared" si="547"/>
        <v>30</v>
      </c>
      <c r="CX204" s="188">
        <f t="shared" si="548"/>
        <v>19.495847368421053</v>
      </c>
      <c r="CY204" s="188">
        <f t="shared" si="549"/>
        <v>4.5815241315789477</v>
      </c>
      <c r="CZ204" s="188">
        <f t="shared" si="550"/>
        <v>2.9847062746442656</v>
      </c>
      <c r="DA204" s="172">
        <f t="shared" si="551"/>
        <v>350</v>
      </c>
      <c r="DB204" s="379">
        <f t="shared" si="552"/>
        <v>132.16621042593434</v>
      </c>
      <c r="DD204" s="188">
        <f t="shared" si="553"/>
        <v>7.3619779020761014</v>
      </c>
      <c r="DE204" s="150">
        <f t="shared" si="554"/>
        <v>1.1270780501549733</v>
      </c>
      <c r="DF204" s="150">
        <f t="shared" si="555"/>
        <v>1.3928696857096292</v>
      </c>
      <c r="DG204" s="150"/>
      <c r="DH204" s="150">
        <f t="shared" si="556"/>
        <v>0.92784522751949461</v>
      </c>
      <c r="DI204" s="314">
        <f t="shared" si="557"/>
        <v>1394.1269099999997</v>
      </c>
      <c r="DJ204" s="456">
        <f t="shared" si="558"/>
        <v>0.94395997276890675</v>
      </c>
      <c r="DL204" s="150">
        <f t="shared" si="559"/>
        <v>11.957066051980668</v>
      </c>
      <c r="DM204" s="150">
        <f t="shared" si="560"/>
        <v>19.495847368421053</v>
      </c>
      <c r="DN204" s="150">
        <f t="shared" si="561"/>
        <v>11.152030598381476</v>
      </c>
      <c r="DP204" s="314">
        <f t="shared" si="562"/>
        <v>3760</v>
      </c>
      <c r="DQ204" s="144">
        <f t="shared" si="563"/>
        <v>132.16621042593434</v>
      </c>
      <c r="DS204">
        <f t="shared" si="612"/>
        <v>3760</v>
      </c>
      <c r="DT204">
        <f t="shared" si="613"/>
        <v>132.16621042593434</v>
      </c>
      <c r="DV204" s="5">
        <f t="shared" si="566"/>
        <v>7.5662304062232142</v>
      </c>
      <c r="DW204" s="5">
        <f t="shared" si="567"/>
        <v>4.5815241315789477</v>
      </c>
      <c r="DX204" s="5">
        <f t="shared" si="568"/>
        <v>2.9847062746442665</v>
      </c>
      <c r="DY204" s="150">
        <f t="shared" si="569"/>
        <v>0.60552268244575924</v>
      </c>
      <c r="EA204" s="5">
        <f t="shared" si="570"/>
        <v>57.421769115789466</v>
      </c>
      <c r="EB204" s="5">
        <f t="shared" si="571"/>
        <v>61.010629685526311</v>
      </c>
      <c r="EC204" s="5">
        <f t="shared" si="572"/>
        <v>9.9022019935256811</v>
      </c>
      <c r="ED204" s="5"/>
      <c r="EE204" s="150">
        <f t="shared" si="573"/>
        <v>8.7588420933732554</v>
      </c>
      <c r="EF204" s="150">
        <f t="shared" si="574"/>
        <v>6.781354426213337</v>
      </c>
      <c r="EG204" s="150">
        <f t="shared" si="575"/>
        <v>1.3612264904002846</v>
      </c>
      <c r="EH204" s="150"/>
      <c r="EI204" s="456">
        <f t="shared" si="576"/>
        <v>0.92060777779976632</v>
      </c>
      <c r="EJ204" s="456">
        <f t="shared" si="577"/>
        <v>2.4821276595744681</v>
      </c>
      <c r="EK204" s="456">
        <f t="shared" si="578"/>
        <v>1.519911419898245E-2</v>
      </c>
      <c r="EL204" s="456">
        <f t="shared" si="579"/>
        <v>0.17581126975804082</v>
      </c>
      <c r="EM204">
        <f t="shared" si="580"/>
        <v>8.9999999999999993E-3</v>
      </c>
      <c r="EN204" s="144">
        <f t="shared" si="581"/>
        <v>24.19911419898245</v>
      </c>
      <c r="EP204" s="144">
        <f t="shared" si="601"/>
        <v>3602.7458213312575</v>
      </c>
      <c r="EQ204" s="150">
        <f t="shared" si="582"/>
        <v>2.6319999999999997</v>
      </c>
      <c r="ER204" s="150">
        <f t="shared" si="583"/>
        <v>0.38272099999999998</v>
      </c>
      <c r="ES204" s="456"/>
      <c r="EU204" s="144">
        <f t="shared" si="496"/>
        <v>3014.7209999999995</v>
      </c>
      <c r="EV204" s="456">
        <f t="shared" si="584"/>
        <v>1.0740424074330606</v>
      </c>
      <c r="EW204" s="456">
        <f t="shared" si="585"/>
        <v>0.64381474995492505</v>
      </c>
      <c r="EX204" s="456">
        <f t="shared" si="586"/>
        <v>9.2646877908373823E-3</v>
      </c>
      <c r="EY204" s="456">
        <f t="shared" si="587"/>
        <v>16.85102756494986</v>
      </c>
      <c r="EZ204" s="456"/>
      <c r="FA204" s="538">
        <f t="shared" si="588"/>
        <v>5.0234799127997496</v>
      </c>
      <c r="FB204" s="144">
        <f t="shared" si="611"/>
        <v>23601.629322928431</v>
      </c>
      <c r="FC204" s="150">
        <f t="shared" si="589"/>
        <v>30.219096144259691</v>
      </c>
      <c r="FD204" s="5">
        <f t="shared" si="590"/>
        <v>117.59399999999999</v>
      </c>
      <c r="FE204" s="150">
        <f t="shared" si="591"/>
        <v>0.79555873645480613</v>
      </c>
      <c r="FF204" s="5">
        <f t="shared" si="592"/>
        <v>79.555873645480617</v>
      </c>
      <c r="FG204">
        <f t="shared" si="593"/>
        <v>94</v>
      </c>
      <c r="FI204" s="59">
        <f t="shared" si="594"/>
        <v>-50</v>
      </c>
      <c r="FJ204">
        <f t="shared" si="595"/>
        <v>-50</v>
      </c>
    </row>
    <row r="205" spans="5:166">
      <c r="E205" s="147">
        <v>95</v>
      </c>
      <c r="F205" s="188">
        <f t="shared" si="596"/>
        <v>3.8</v>
      </c>
      <c r="G205" s="188">
        <f t="shared" si="498"/>
        <v>0.8075</v>
      </c>
      <c r="H205" s="188">
        <f t="shared" si="499"/>
        <v>114</v>
      </c>
      <c r="I205" s="188">
        <f t="shared" si="500"/>
        <v>4.8449999999999998</v>
      </c>
      <c r="J205" s="465">
        <f t="shared" si="501"/>
        <v>19.694231576863402</v>
      </c>
      <c r="K205" s="379">
        <f t="shared" si="502"/>
        <v>30.930473881499221</v>
      </c>
      <c r="L205" s="149">
        <f t="shared" si="503"/>
        <v>50.624705458362627</v>
      </c>
      <c r="M205" s="379"/>
      <c r="N205" s="188">
        <f t="shared" si="504"/>
        <v>0.61097587830784816</v>
      </c>
      <c r="O205" s="149">
        <f t="shared" si="505"/>
        <v>174.88119228649484</v>
      </c>
      <c r="P205" s="149">
        <f t="shared" si="506"/>
        <v>7.4324506721760288</v>
      </c>
      <c r="Q205" s="188">
        <f t="shared" si="507"/>
        <v>5.8293730762164948</v>
      </c>
      <c r="R205" s="188">
        <f t="shared" si="508"/>
        <v>29.146865381082474</v>
      </c>
      <c r="S205" s="188">
        <f t="shared" si="509"/>
        <v>30</v>
      </c>
      <c r="T205" s="188">
        <f t="shared" si="510"/>
        <v>19.753670531283493</v>
      </c>
      <c r="U205" s="188">
        <f t="shared" si="511"/>
        <v>4.714185020861775</v>
      </c>
      <c r="V205" s="188">
        <f t="shared" si="512"/>
        <v>3.0016433583503921</v>
      </c>
      <c r="W205" s="172">
        <f t="shared" si="513"/>
        <v>350</v>
      </c>
      <c r="X205" s="379">
        <f t="shared" si="597"/>
        <v>126.32916633540331</v>
      </c>
      <c r="Z205" s="188">
        <f t="shared" si="514"/>
        <v>7.3147115108038152</v>
      </c>
      <c r="AA205" s="150">
        <f t="shared" si="515"/>
        <v>1.1114974905490052</v>
      </c>
      <c r="AB205" s="150">
        <f t="shared" si="516"/>
        <v>1.3647957894109961</v>
      </c>
      <c r="AC205" s="150"/>
      <c r="AD205" s="150">
        <f t="shared" si="517"/>
        <v>0.92093152513535947</v>
      </c>
      <c r="AE205" s="314">
        <f t="shared" si="518"/>
        <v>1419.5355076023186</v>
      </c>
      <c r="AF205" s="456">
        <f t="shared" si="519"/>
        <v>0.93692619372829256</v>
      </c>
      <c r="AH205" s="150">
        <f t="shared" si="520"/>
        <v>12.020499208261089</v>
      </c>
      <c r="AI205" s="150">
        <f t="shared" si="521"/>
        <v>19.753670531283493</v>
      </c>
      <c r="AJ205" s="150">
        <f t="shared" si="522"/>
        <v>11.34301071902032</v>
      </c>
      <c r="AL205" s="314">
        <f t="shared" si="523"/>
        <v>3800</v>
      </c>
      <c r="AM205" s="144">
        <f t="shared" si="524"/>
        <v>126.32916633540331</v>
      </c>
      <c r="AO205">
        <f t="shared" si="525"/>
        <v>3800</v>
      </c>
      <c r="AP205">
        <f t="shared" si="526"/>
        <v>126.32916633540331</v>
      </c>
      <c r="AR205" s="5">
        <f t="shared" si="614"/>
        <v>7.9158283792121686</v>
      </c>
      <c r="AS205" s="5">
        <f t="shared" si="602"/>
        <v>4.714185020861775</v>
      </c>
      <c r="AT205" s="5">
        <f t="shared" si="603"/>
        <v>3.2016433583503936</v>
      </c>
      <c r="AU205" s="150">
        <f t="shared" si="604"/>
        <v>0.59553906363631393</v>
      </c>
      <c r="AW205" s="5">
        <f t="shared" si="475"/>
        <v>59.713010264249142</v>
      </c>
      <c r="AX205" s="5">
        <f t="shared" si="476"/>
        <v>63.445073405764717</v>
      </c>
      <c r="AY205" s="5">
        <f t="shared" si="477"/>
        <v>10.901589946975029</v>
      </c>
      <c r="AZ205" s="5"/>
      <c r="BA205" s="150">
        <f t="shared" si="478"/>
        <v>8.8012084180030126</v>
      </c>
      <c r="BB205" s="150">
        <f t="shared" si="479"/>
        <v>6.9574389859419261</v>
      </c>
      <c r="BC205" s="150">
        <f t="shared" si="480"/>
        <v>1.3965720795242658</v>
      </c>
      <c r="BD205" s="150"/>
      <c r="BE205" s="456">
        <f t="shared" si="481"/>
        <v>0.92953523540552507</v>
      </c>
      <c r="BF205" s="456">
        <f t="shared" si="527"/>
        <v>2.3055620468780424</v>
      </c>
      <c r="BG205" s="456">
        <f t="shared" si="482"/>
        <v>1.4527854128571382E-2</v>
      </c>
      <c r="BH205" s="456">
        <f t="shared" si="483"/>
        <v>0.16754790552357068</v>
      </c>
      <c r="BI205">
        <f t="shared" si="484"/>
        <v>8.8624042095885314E-3</v>
      </c>
      <c r="BJ205" s="144">
        <f t="shared" si="598"/>
        <v>23.390258338159914</v>
      </c>
      <c r="BK205">
        <f t="shared" si="528"/>
        <v>4.6892834605708478</v>
      </c>
      <c r="BL205" s="144">
        <f t="shared" si="599"/>
        <v>3426.0354461452985</v>
      </c>
      <c r="BM205" s="150">
        <f t="shared" si="529"/>
        <v>2.5482799999999997</v>
      </c>
      <c r="BN205" s="150">
        <f t="shared" si="530"/>
        <v>0.54150949999999987</v>
      </c>
      <c r="BO205" s="456"/>
      <c r="BQ205" s="144">
        <f t="shared" si="485"/>
        <v>3089.7894999999994</v>
      </c>
      <c r="BR205" s="456">
        <f t="shared" si="486"/>
        <v>1.0844577746397792</v>
      </c>
      <c r="BS205" s="456">
        <f t="shared" si="487"/>
        <v>0.67768340140346461</v>
      </c>
      <c r="BT205" s="456">
        <f t="shared" si="488"/>
        <v>9.7520678665336605E-3</v>
      </c>
      <c r="BU205" s="456">
        <f t="shared" si="489"/>
        <v>15.554232797134086</v>
      </c>
      <c r="BV205" s="456"/>
      <c r="BW205" s="538">
        <f t="shared" si="531"/>
        <v>4.929458810441437</v>
      </c>
      <c r="BX205" s="144">
        <f t="shared" si="605"/>
        <v>22255.584851485302</v>
      </c>
      <c r="BY205" s="150">
        <f t="shared" si="606"/>
        <v>28.771409797630604</v>
      </c>
      <c r="BZ205" s="5">
        <f t="shared" si="607"/>
        <v>118.845</v>
      </c>
      <c r="CA205" s="150">
        <f t="shared" si="608"/>
        <v>0.80509341856319538</v>
      </c>
      <c r="CB205" s="5">
        <f t="shared" si="609"/>
        <v>80.509341856319537</v>
      </c>
      <c r="CC205">
        <f t="shared" si="610"/>
        <v>95</v>
      </c>
      <c r="CE205" s="59">
        <f t="shared" si="532"/>
        <v>-50</v>
      </c>
      <c r="CF205">
        <f t="shared" si="533"/>
        <v>-50</v>
      </c>
      <c r="CG205" s="150">
        <f t="shared" si="534"/>
        <v>0.39199567588303091</v>
      </c>
      <c r="CH205" s="150">
        <f t="shared" si="535"/>
        <v>8.2740061272353602E-2</v>
      </c>
      <c r="CI205" s="147">
        <v>95</v>
      </c>
      <c r="CJ205" s="188">
        <f t="shared" si="600"/>
        <v>3.8</v>
      </c>
      <c r="CK205" s="188">
        <f t="shared" si="536"/>
        <v>0.8075</v>
      </c>
      <c r="CL205" s="188">
        <f t="shared" si="537"/>
        <v>114</v>
      </c>
      <c r="CM205" s="188">
        <f t="shared" si="538"/>
        <v>4.8449999999999998</v>
      </c>
      <c r="CN205" s="465">
        <f t="shared" si="539"/>
        <v>20</v>
      </c>
      <c r="CO205" s="379">
        <f t="shared" si="540"/>
        <v>30.7</v>
      </c>
      <c r="CP205" s="379">
        <f t="shared" si="541"/>
        <v>50.7</v>
      </c>
      <c r="CQ205" s="379"/>
      <c r="CR205" s="188">
        <f t="shared" si="542"/>
        <v>0.60317460317460314</v>
      </c>
      <c r="CS205" s="149">
        <f t="shared" si="543"/>
        <v>175.32871249897633</v>
      </c>
      <c r="CT205" s="149">
        <f t="shared" si="544"/>
        <v>7.4514702812064924</v>
      </c>
      <c r="CU205" s="188">
        <f t="shared" si="545"/>
        <v>5.8442904166325444</v>
      </c>
      <c r="CV205" s="188">
        <f t="shared" si="546"/>
        <v>29.22145208316272</v>
      </c>
      <c r="CW205" s="188">
        <f t="shared" si="547"/>
        <v>30</v>
      </c>
      <c r="CX205" s="188">
        <f t="shared" si="548"/>
        <v>19.703250000000001</v>
      </c>
      <c r="CY205" s="188">
        <f t="shared" si="549"/>
        <v>4.6302637499999992</v>
      </c>
      <c r="CZ205" s="188">
        <f t="shared" si="550"/>
        <v>3.0164584690553746</v>
      </c>
      <c r="DA205" s="172">
        <f t="shared" si="551"/>
        <v>350</v>
      </c>
      <c r="DB205" s="379">
        <f t="shared" si="552"/>
        <v>130.77498715829296</v>
      </c>
      <c r="DD205" s="188">
        <f t="shared" si="553"/>
        <v>7.3619779020761014</v>
      </c>
      <c r="DE205" s="150">
        <f t="shared" si="554"/>
        <v>1.1270780501549733</v>
      </c>
      <c r="DF205" s="150">
        <f t="shared" si="555"/>
        <v>1.3928696857096292</v>
      </c>
      <c r="DG205" s="150"/>
      <c r="DH205" s="150">
        <f t="shared" si="556"/>
        <v>0.92784522751949461</v>
      </c>
      <c r="DI205" s="314">
        <f t="shared" si="557"/>
        <v>1408.9580473404253</v>
      </c>
      <c r="DJ205" s="456">
        <f t="shared" si="558"/>
        <v>0.94395997276890675</v>
      </c>
      <c r="DL205" s="150">
        <f t="shared" si="559"/>
        <v>12.020499208261089</v>
      </c>
      <c r="DM205" s="150">
        <f t="shared" si="560"/>
        <v>19.703250000000001</v>
      </c>
      <c r="DN205" s="150">
        <f t="shared" si="561"/>
        <v>11.305662177328845</v>
      </c>
      <c r="DP205" s="314">
        <f t="shared" si="562"/>
        <v>3800</v>
      </c>
      <c r="DQ205" s="144">
        <f t="shared" si="563"/>
        <v>130.77498715829296</v>
      </c>
      <c r="DS205">
        <f t="shared" si="612"/>
        <v>3800</v>
      </c>
      <c r="DT205">
        <f t="shared" si="613"/>
        <v>130.77498715829296</v>
      </c>
      <c r="DV205" s="5">
        <f t="shared" si="566"/>
        <v>7.6467222190553743</v>
      </c>
      <c r="DW205" s="5">
        <f t="shared" si="567"/>
        <v>4.6302637499999992</v>
      </c>
      <c r="DX205" s="5">
        <f t="shared" si="568"/>
        <v>3.0164584690553751</v>
      </c>
      <c r="DY205" s="150">
        <f t="shared" si="569"/>
        <v>0.60552268244575924</v>
      </c>
      <c r="EA205" s="5">
        <f t="shared" si="570"/>
        <v>58.650007499999987</v>
      </c>
      <c r="EB205" s="5">
        <f t="shared" si="571"/>
        <v>62.315632968749988</v>
      </c>
      <c r="EC205" s="5">
        <f t="shared" si="572"/>
        <v>10.114007808009198</v>
      </c>
      <c r="ED205" s="5"/>
      <c r="EE205" s="150">
        <f t="shared" si="573"/>
        <v>8.8520212645793546</v>
      </c>
      <c r="EF205" s="150">
        <f t="shared" si="574"/>
        <v>6.8534964945773078</v>
      </c>
      <c r="EG205" s="150">
        <f t="shared" si="575"/>
        <v>1.3757076232768835</v>
      </c>
      <c r="EH205" s="150"/>
      <c r="EI205" s="456">
        <f t="shared" si="576"/>
        <v>0.94029936562278083</v>
      </c>
      <c r="EJ205" s="456">
        <f t="shared" si="577"/>
        <v>2.4821276595744686</v>
      </c>
      <c r="EK205" s="456">
        <f t="shared" si="578"/>
        <v>1.5039123523203692E-2</v>
      </c>
      <c r="EL205" s="456">
        <f t="shared" si="579"/>
        <v>0.17396062481321936</v>
      </c>
      <c r="EM205">
        <f t="shared" si="580"/>
        <v>8.9999999999999993E-3</v>
      </c>
      <c r="EN205" s="144">
        <f t="shared" si="581"/>
        <v>24.039123523203692</v>
      </c>
      <c r="EP205" s="144">
        <f t="shared" si="601"/>
        <v>3620.426773533673</v>
      </c>
      <c r="EQ205" s="150">
        <f t="shared" si="582"/>
        <v>2.6599999999999997</v>
      </c>
      <c r="ER205" s="150">
        <f t="shared" si="583"/>
        <v>0.38679249999999998</v>
      </c>
      <c r="ES205" s="456"/>
      <c r="EU205" s="144">
        <f t="shared" si="496"/>
        <v>3046.7924999999996</v>
      </c>
      <c r="EV205" s="456">
        <f t="shared" si="584"/>
        <v>1.0970159265599111</v>
      </c>
      <c r="EW205" s="456">
        <f t="shared" si="585"/>
        <v>0.6575857988165682</v>
      </c>
      <c r="EX205" s="456">
        <f t="shared" si="586"/>
        <v>9.4628573237106571E-3</v>
      </c>
      <c r="EY205" s="456">
        <f t="shared" si="587"/>
        <v>16.851027564949906</v>
      </c>
      <c r="EZ205" s="456"/>
      <c r="FA205" s="538">
        <f t="shared" si="588"/>
        <v>5.0769211884678338</v>
      </c>
      <c r="FB205" s="144">
        <f t="shared" si="611"/>
        <v>23692.013336117932</v>
      </c>
      <c r="FC205" s="150">
        <f t="shared" si="589"/>
        <v>30.359232609651606</v>
      </c>
      <c r="FD205" s="5">
        <f t="shared" si="590"/>
        <v>118.845</v>
      </c>
      <c r="FE205" s="150">
        <f t="shared" si="591"/>
        <v>0.79652566097720912</v>
      </c>
      <c r="FF205" s="5">
        <f t="shared" si="592"/>
        <v>79.652566097720907</v>
      </c>
      <c r="FG205">
        <f t="shared" si="593"/>
        <v>95</v>
      </c>
      <c r="FI205" s="59">
        <f t="shared" si="594"/>
        <v>-50</v>
      </c>
      <c r="FJ205">
        <f t="shared" si="595"/>
        <v>-50</v>
      </c>
    </row>
    <row r="206" spans="5:166">
      <c r="E206" s="147">
        <v>96</v>
      </c>
      <c r="F206" s="188">
        <f t="shared" si="596"/>
        <v>3.84</v>
      </c>
      <c r="G206" s="188">
        <f t="shared" si="498"/>
        <v>0.81599999999999995</v>
      </c>
      <c r="H206" s="188">
        <f t="shared" si="499"/>
        <v>115.19999999999999</v>
      </c>
      <c r="I206" s="188">
        <f t="shared" si="500"/>
        <v>4.8959999999999999</v>
      </c>
      <c r="J206" s="465">
        <f t="shared" si="501"/>
        <v>19.691012961883018</v>
      </c>
      <c r="K206" s="379">
        <f t="shared" si="502"/>
        <v>30.932899922357109</v>
      </c>
      <c r="L206" s="149">
        <f t="shared" si="503"/>
        <v>50.623912884240127</v>
      </c>
      <c r="M206" s="379"/>
      <c r="N206" s="188">
        <f t="shared" si="504"/>
        <v>0.61103336664414409</v>
      </c>
      <c r="O206" s="149">
        <f>N206*J206*Isw_max*0.5*Efficiency*Pout/(Pout+Pout2)</f>
        <v>174.86906391589071</v>
      </c>
      <c r="P206" s="149">
        <f t="shared" si="506"/>
        <v>7.4319352164253543</v>
      </c>
      <c r="Q206" s="188">
        <f t="shared" si="507"/>
        <v>5.8289687971963566</v>
      </c>
      <c r="R206" s="188">
        <f t="shared" si="508"/>
        <v>29.144843985981783</v>
      </c>
      <c r="S206" s="188">
        <f t="shared" si="509"/>
        <v>30</v>
      </c>
      <c r="T206" s="188">
        <f t="shared" si="510"/>
        <v>19.962988379626502</v>
      </c>
      <c r="U206" s="188">
        <f t="shared" si="511"/>
        <v>4.7649171510815025</v>
      </c>
      <c r="V206" s="188">
        <f t="shared" si="512"/>
        <v>3.0332120693420892</v>
      </c>
      <c r="W206" s="172">
        <f t="shared" si="513"/>
        <v>350</v>
      </c>
      <c r="X206" s="379">
        <f t="shared" si="597"/>
        <v>125.02923776805879</v>
      </c>
      <c r="Z206" s="188">
        <f t="shared" si="514"/>
        <v>7.3142042205062987</v>
      </c>
      <c r="AA206" s="150">
        <f t="shared" si="515"/>
        <v>1.1113332381595884</v>
      </c>
      <c r="AB206" s="150">
        <f>0.5*AA206*Z206*Nps*W206/1000*(Pout/(Pout+Pout2))</f>
        <v>1.3644994682626033</v>
      </c>
      <c r="AC206" s="150"/>
      <c r="AD206" s="150">
        <f t="shared" si="517"/>
        <v>0.92085929726429339</v>
      </c>
      <c r="AE206" s="314">
        <f>MAX(10, F206/(0.5*AD206/1000000*Isw_min*Nps)/1000*Pout_total/Pout)</f>
        <v>1434.5905003344362</v>
      </c>
      <c r="AF206" s="456">
        <f t="shared" si="519"/>
        <v>0.93685271140906246</v>
      </c>
      <c r="AH206" s="150">
        <f t="shared" si="520"/>
        <v>12.083599375193732</v>
      </c>
      <c r="AI206" s="150">
        <f>MAX(IF(F206&gt;AB206,T206,AH206),Isw_min)</f>
        <v>19.962988379626502</v>
      </c>
      <c r="AJ206" s="150">
        <f>IF(F206&gt;AF206, (AI206-Isw_min)/1.08*0.8+1.2, AE206*0.2/350+1)</f>
        <v>11.498060977052178</v>
      </c>
      <c r="AL206" s="314">
        <f t="shared" si="523"/>
        <v>3840</v>
      </c>
      <c r="AM206" s="144">
        <f t="shared" si="524"/>
        <v>125.02923776805879</v>
      </c>
      <c r="AO206">
        <f t="shared" si="525"/>
        <v>3840</v>
      </c>
      <c r="AP206">
        <f t="shared" si="526"/>
        <v>125.02923776805879</v>
      </c>
      <c r="AR206" s="5">
        <f t="shared" si="614"/>
        <v>7.9981292204235919</v>
      </c>
      <c r="AS206" s="5">
        <f t="shared" si="602"/>
        <v>4.7649171510815025</v>
      </c>
      <c r="AT206" s="5">
        <f t="shared" si="603"/>
        <v>3.2332120693420894</v>
      </c>
      <c r="AU206" s="150">
        <f t="shared" si="604"/>
        <v>0.59575395942767051</v>
      </c>
      <c r="AW206" s="5">
        <f t="shared" si="475"/>
        <v>60.990939533843225</v>
      </c>
      <c r="AX206" s="5">
        <f t="shared" si="476"/>
        <v>64.80287325470843</v>
      </c>
      <c r="AY206" s="5">
        <f t="shared" si="477"/>
        <v>11.126784861619857</v>
      </c>
      <c r="AZ206" s="5"/>
      <c r="BA206" s="150">
        <f t="shared" si="478"/>
        <v>8.896074173389044</v>
      </c>
      <c r="BB206" s="150">
        <f t="shared" si="479"/>
        <v>7.0292946853227809</v>
      </c>
      <c r="BC206" s="150">
        <f t="shared" si="480"/>
        <v>1.4109957293345996</v>
      </c>
      <c r="BD206" s="150"/>
      <c r="BE206" s="456">
        <f t="shared" si="481"/>
        <v>0.94968162838127479</v>
      </c>
      <c r="BF206" s="456">
        <f t="shared" si="527"/>
        <v>2.3059809564680442</v>
      </c>
      <c r="BG206" s="456">
        <f t="shared" si="482"/>
        <v>1.4378362343326762E-2</v>
      </c>
      <c r="BH206" s="456">
        <f t="shared" si="483"/>
        <v>0.16581864346401148</v>
      </c>
      <c r="BI206">
        <f t="shared" si="484"/>
        <v>8.8609558328473573E-3</v>
      </c>
      <c r="BJ206" s="144">
        <f t="shared" si="598"/>
        <v>23.23931817617412</v>
      </c>
      <c r="BK206">
        <f t="shared" si="528"/>
        <v>4.7496202697888492</v>
      </c>
      <c r="BL206" s="144">
        <f t="shared" si="599"/>
        <v>3444.7205464895051</v>
      </c>
      <c r="BM206" s="150">
        <f t="shared" si="529"/>
        <v>2.5751039999999996</v>
      </c>
      <c r="BN206" s="150">
        <f t="shared" si="530"/>
        <v>0.54720959999999996</v>
      </c>
      <c r="BO206" s="456"/>
      <c r="BQ206" s="144">
        <f t="shared" si="485"/>
        <v>3122.3135999999995</v>
      </c>
      <c r="BR206" s="456">
        <f t="shared" si="486"/>
        <v>1.107961899778154</v>
      </c>
      <c r="BS206" s="456">
        <f t="shared" si="487"/>
        <v>0.69175377282349926</v>
      </c>
      <c r="BT206" s="456">
        <f t="shared" si="488"/>
        <v>9.9545447410023941E-3</v>
      </c>
      <c r="BU206" s="456">
        <f t="shared" si="489"/>
        <v>15.561908165233399</v>
      </c>
      <c r="BV206" s="456"/>
      <c r="BW206" s="538">
        <f t="shared" si="531"/>
        <v>4.9826764992426131</v>
      </c>
      <c r="BX206" s="144">
        <f t="shared" si="605"/>
        <v>22354.25488181867</v>
      </c>
      <c r="BY206" s="150">
        <f t="shared" si="606"/>
        <v>28.921289028308173</v>
      </c>
      <c r="BZ206" s="5">
        <f t="shared" si="607"/>
        <v>120.09599999999999</v>
      </c>
      <c r="CA206" s="150">
        <f t="shared" si="608"/>
        <v>0.80591990891195098</v>
      </c>
      <c r="CB206" s="5">
        <f t="shared" si="609"/>
        <v>80.591990891195096</v>
      </c>
      <c r="CC206">
        <f t="shared" si="610"/>
        <v>96</v>
      </c>
      <c r="CE206" s="59">
        <f t="shared" si="532"/>
        <v>-50</v>
      </c>
      <c r="CF206">
        <f t="shared" si="533"/>
        <v>-50</v>
      </c>
      <c r="CG206" s="150">
        <f t="shared" si="534"/>
        <v>0.39199567588303091</v>
      </c>
      <c r="CH206" s="150">
        <f t="shared" si="535"/>
        <v>8.2740061272353616E-2</v>
      </c>
      <c r="CI206" s="147">
        <v>96</v>
      </c>
      <c r="CJ206" s="188">
        <f t="shared" si="600"/>
        <v>3.84</v>
      </c>
      <c r="CK206" s="188">
        <f t="shared" si="536"/>
        <v>0.81599999999999995</v>
      </c>
      <c r="CL206" s="188">
        <f t="shared" si="537"/>
        <v>115.19999999999999</v>
      </c>
      <c r="CM206" s="188">
        <f t="shared" si="538"/>
        <v>4.8959999999999999</v>
      </c>
      <c r="CN206" s="465">
        <f t="shared" si="539"/>
        <v>20</v>
      </c>
      <c r="CO206" s="379">
        <f t="shared" si="540"/>
        <v>30.7</v>
      </c>
      <c r="CP206" s="379">
        <f t="shared" si="541"/>
        <v>50.7</v>
      </c>
      <c r="CQ206" s="379"/>
      <c r="CR206" s="188">
        <f t="shared" si="542"/>
        <v>0.60317460317460314</v>
      </c>
      <c r="CS206" s="149">
        <f t="shared" si="543"/>
        <v>175.32871249897633</v>
      </c>
      <c r="CT206" s="149">
        <f t="shared" si="544"/>
        <v>7.4514702812064924</v>
      </c>
      <c r="CU206" s="188">
        <f t="shared" si="545"/>
        <v>5.8442904166325444</v>
      </c>
      <c r="CV206" s="188">
        <f t="shared" si="546"/>
        <v>29.22145208316272</v>
      </c>
      <c r="CW206" s="188">
        <f t="shared" si="547"/>
        <v>30</v>
      </c>
      <c r="CX206" s="188">
        <f t="shared" si="548"/>
        <v>19.910652631578944</v>
      </c>
      <c r="CY206" s="188">
        <f t="shared" si="549"/>
        <v>4.6790033684210517</v>
      </c>
      <c r="CZ206" s="188">
        <f t="shared" si="550"/>
        <v>3.0482106634664832</v>
      </c>
      <c r="DA206" s="172">
        <f t="shared" si="551"/>
        <v>350</v>
      </c>
      <c r="DB206" s="379">
        <f t="shared" si="552"/>
        <v>129.41274770872744</v>
      </c>
      <c r="DD206" s="188">
        <f t="shared" si="553"/>
        <v>7.3619779020761014</v>
      </c>
      <c r="DE206" s="150">
        <f t="shared" si="554"/>
        <v>1.1270780501549733</v>
      </c>
      <c r="DF206" s="150">
        <f t="shared" si="555"/>
        <v>1.3928696857096292</v>
      </c>
      <c r="DG206" s="150"/>
      <c r="DH206" s="150">
        <f t="shared" si="556"/>
        <v>0.92784522751949461</v>
      </c>
      <c r="DI206" s="314">
        <f t="shared" si="557"/>
        <v>1423.7891846808511</v>
      </c>
      <c r="DJ206" s="456">
        <f t="shared" si="558"/>
        <v>0.94395997276890675</v>
      </c>
      <c r="DL206" s="150">
        <f t="shared" si="559"/>
        <v>12.083599375193732</v>
      </c>
      <c r="DM206" s="150">
        <f t="shared" si="560"/>
        <v>19.910652631578944</v>
      </c>
      <c r="DN206" s="150">
        <f t="shared" si="561"/>
        <v>11.45929375627621</v>
      </c>
      <c r="DP206" s="314">
        <f t="shared" si="562"/>
        <v>3840</v>
      </c>
      <c r="DQ206" s="144">
        <f t="shared" si="563"/>
        <v>129.41274770872744</v>
      </c>
      <c r="DS206">
        <f t="shared" si="612"/>
        <v>3840</v>
      </c>
      <c r="DT206">
        <f t="shared" si="613"/>
        <v>129.41274770872744</v>
      </c>
      <c r="DV206" s="5">
        <f t="shared" si="566"/>
        <v>7.7272140318875335</v>
      </c>
      <c r="DW206" s="5">
        <f t="shared" si="567"/>
        <v>4.6790033684210517</v>
      </c>
      <c r="DX206" s="5">
        <f t="shared" si="568"/>
        <v>3.0482106634664818</v>
      </c>
      <c r="DY206" s="150">
        <f t="shared" si="569"/>
        <v>0.60552268244575946</v>
      </c>
      <c r="EA206" s="5">
        <f t="shared" si="570"/>
        <v>59.891243115789457</v>
      </c>
      <c r="EB206" s="5">
        <f t="shared" si="571"/>
        <v>63.634445810526294</v>
      </c>
      <c r="EC206" s="5">
        <f t="shared" si="572"/>
        <v>10.328054953862901</v>
      </c>
      <c r="ED206" s="5"/>
      <c r="EE206" s="150">
        <f t="shared" si="573"/>
        <v>8.9452004357854538</v>
      </c>
      <c r="EF206" s="150">
        <f t="shared" si="574"/>
        <v>6.925638562941276</v>
      </c>
      <c r="EG206" s="150">
        <f t="shared" si="575"/>
        <v>1.3901887561534816</v>
      </c>
      <c r="EH206" s="150"/>
      <c r="EI206" s="456">
        <f t="shared" si="576"/>
        <v>0.96019933003651525</v>
      </c>
      <c r="EJ206" s="456">
        <f t="shared" si="577"/>
        <v>2.482127659574469</v>
      </c>
      <c r="EK206" s="456">
        <f t="shared" si="578"/>
        <v>1.4882465986503658E-2</v>
      </c>
      <c r="EL206" s="456">
        <f t="shared" si="579"/>
        <v>0.17214853497141505</v>
      </c>
      <c r="EM206">
        <f t="shared" si="580"/>
        <v>8.9999999999999993E-3</v>
      </c>
      <c r="EN206" s="144">
        <f t="shared" si="581"/>
        <v>23.882465986503654</v>
      </c>
      <c r="EP206" s="144">
        <f t="shared" si="601"/>
        <v>3638.357990568903</v>
      </c>
      <c r="EQ206" s="150">
        <f t="shared" si="582"/>
        <v>2.6879999999999997</v>
      </c>
      <c r="ER206" s="150">
        <f t="shared" si="583"/>
        <v>0.39086399999999993</v>
      </c>
      <c r="ES206" s="456"/>
      <c r="EU206" s="144">
        <f t="shared" si="496"/>
        <v>3078.864</v>
      </c>
      <c r="EV206" s="456">
        <f t="shared" si="584"/>
        <v>1.1202325517092679</v>
      </c>
      <c r="EW206" s="456">
        <f t="shared" si="585"/>
        <v>0.67150257306299033</v>
      </c>
      <c r="EX206" s="456">
        <f t="shared" si="586"/>
        <v>9.6631238886778215E-3</v>
      </c>
      <c r="EY206" s="456">
        <f t="shared" si="587"/>
        <v>16.85102756494992</v>
      </c>
      <c r="EZ206" s="456"/>
      <c r="FA206" s="538">
        <f t="shared" si="588"/>
        <v>5.1303624641359162</v>
      </c>
      <c r="FB206" s="144">
        <f t="shared" si="611"/>
        <v>23782.788277746771</v>
      </c>
      <c r="FC206" s="150">
        <f t="shared" si="589"/>
        <v>30.500010268315677</v>
      </c>
      <c r="FD206" s="5">
        <f t="shared" si="590"/>
        <v>120.09599999999999</v>
      </c>
      <c r="FE206" s="150">
        <f t="shared" si="591"/>
        <v>0.79747132600675108</v>
      </c>
      <c r="FF206" s="5">
        <f t="shared" si="592"/>
        <v>79.747132600675101</v>
      </c>
      <c r="FG206">
        <f t="shared" si="593"/>
        <v>96</v>
      </c>
      <c r="FI206" s="59">
        <f t="shared" si="594"/>
        <v>-50</v>
      </c>
      <c r="FJ206">
        <f t="shared" si="595"/>
        <v>-50</v>
      </c>
    </row>
    <row r="207" spans="5:166">
      <c r="E207" s="147">
        <v>97</v>
      </c>
      <c r="F207" s="188">
        <f>IF(PLOT_TYPE=1, E207/100*Iout_max, min_I*EXP(O207*rr/100))</f>
        <v>3.88</v>
      </c>
      <c r="G207" s="188">
        <f t="shared" si="498"/>
        <v>0.82450000000000001</v>
      </c>
      <c r="H207" s="188">
        <f t="shared" si="499"/>
        <v>116.39999999999999</v>
      </c>
      <c r="I207" s="188">
        <f t="shared" si="500"/>
        <v>4.9470000000000001</v>
      </c>
      <c r="J207" s="465">
        <f t="shared" si="501"/>
        <v>19.687794346902631</v>
      </c>
      <c r="K207" s="379">
        <f t="shared" si="502"/>
        <v>30.935325963215</v>
      </c>
      <c r="L207" s="149">
        <f t="shared" si="503"/>
        <v>50.623120310117628</v>
      </c>
      <c r="M207" s="379"/>
      <c r="N207" s="188">
        <f t="shared" si="504"/>
        <v>0.61109085678055708</v>
      </c>
      <c r="O207" s="149">
        <f>N207*J207*Isw_max*0.5*Efficiency*Pout/(Pout+Pout2)</f>
        <v>174.85693068190011</v>
      </c>
      <c r="P207" s="149">
        <f t="shared" si="506"/>
        <v>7.4314195539807546</v>
      </c>
      <c r="Q207" s="188">
        <f t="shared" si="507"/>
        <v>5.8285643560633371</v>
      </c>
      <c r="R207" s="188">
        <f t="shared" si="508"/>
        <v>29.142821780316684</v>
      </c>
      <c r="S207" s="188">
        <f t="shared" si="509"/>
        <v>30</v>
      </c>
      <c r="T207" s="188">
        <f t="shared" si="510"/>
        <v>20.172335826307879</v>
      </c>
      <c r="U207" s="188">
        <f t="shared" si="511"/>
        <v>4.815672934869057</v>
      </c>
      <c r="V207" s="188">
        <f t="shared" si="512"/>
        <v>3.0647803257798212</v>
      </c>
      <c r="W207" s="172">
        <f t="shared" si="513"/>
        <v>350</v>
      </c>
      <c r="X207" s="379">
        <f t="shared" si="597"/>
        <v>123.75543397669476</v>
      </c>
      <c r="Z207" s="188">
        <f t="shared" si="514"/>
        <v>7.3136967267891393</v>
      </c>
      <c r="AA207" s="150">
        <f t="shared" si="515"/>
        <v>1.1111689806269798</v>
      </c>
      <c r="AB207" s="150">
        <f>0.5*AA207*Z207*Nps*W207/1000*(Pout/(Pout+Pout2))</f>
        <v>1.3642031308308913</v>
      </c>
      <c r="AC207" s="150"/>
      <c r="AD207" s="150">
        <f t="shared" si="517"/>
        <v>0.92078708072187887</v>
      </c>
      <c r="AE207" s="314">
        <f>MAX(10, F207/(0.5*AD207/1000000*Isw_min*Nps)/1000*Pout_total/Pout)</f>
        <v>1449.6478371020689</v>
      </c>
      <c r="AF207" s="456">
        <f t="shared" si="519"/>
        <v>0.93677924061523898</v>
      </c>
      <c r="AH207" s="150">
        <f t="shared" si="520"/>
        <v>12.146371742399426</v>
      </c>
      <c r="AI207" s="150">
        <f>MAX(IF(F207&gt;AB207,T207,AH207),Isw_min)</f>
        <v>20.172335826307879</v>
      </c>
      <c r="AJ207" s="150">
        <f>IF(F207&gt;AF207, (AI207-Isw_min)/1.08*0.8+1.2, AE207*0.2/350+1)</f>
        <v>11.653133159779124</v>
      </c>
      <c r="AL207" s="314">
        <f t="shared" si="523"/>
        <v>3880</v>
      </c>
      <c r="AM207" s="144">
        <f t="shared" si="524"/>
        <v>123.75543397669476</v>
      </c>
      <c r="AO207">
        <f t="shared" si="525"/>
        <v>3880</v>
      </c>
      <c r="AP207">
        <f t="shared" si="526"/>
        <v>123.75543397669476</v>
      </c>
      <c r="AR207" s="5">
        <f t="shared" si="614"/>
        <v>8.080453260648877</v>
      </c>
      <c r="AS207" s="5">
        <f t="shared" si="602"/>
        <v>4.815672934869057</v>
      </c>
      <c r="AT207" s="5">
        <f t="shared" si="603"/>
        <v>3.26478032577982</v>
      </c>
      <c r="AU207" s="150">
        <f t="shared" si="604"/>
        <v>0.59596569394454346</v>
      </c>
      <c r="AW207" s="5">
        <f t="shared" si="475"/>
        <v>62.282703290973132</v>
      </c>
      <c r="AX207" s="5">
        <f t="shared" si="476"/>
        <v>66.175372246658966</v>
      </c>
      <c r="AY207" s="5">
        <f t="shared" si="477"/>
        <v>11.354315543240521</v>
      </c>
      <c r="AZ207" s="5"/>
      <c r="BA207" s="150">
        <f t="shared" si="478"/>
        <v>8.9909626320969789</v>
      </c>
      <c r="BB207" s="150">
        <f t="shared" si="479"/>
        <v>7.1011489071794207</v>
      </c>
      <c r="BC207" s="150">
        <f t="shared" si="480"/>
        <v>1.425419082560361</v>
      </c>
      <c r="BD207" s="150"/>
      <c r="BE207" s="456">
        <f t="shared" si="481"/>
        <v>0.97004890862117088</v>
      </c>
      <c r="BF207" s="456">
        <f t="shared" si="527"/>
        <v>2.3063873457581634</v>
      </c>
      <c r="BG207" s="456">
        <f t="shared" si="482"/>
        <v>1.42318749073199E-2</v>
      </c>
      <c r="BH207" s="456">
        <f t="shared" si="483"/>
        <v>0.16412413606160092</v>
      </c>
      <c r="BI207">
        <f t="shared" si="484"/>
        <v>8.8595074561061832E-3</v>
      </c>
      <c r="BJ207" s="144">
        <f t="shared" si="598"/>
        <v>23.091382363426082</v>
      </c>
      <c r="BK207">
        <f t="shared" si="528"/>
        <v>4.8114292240027323</v>
      </c>
      <c r="BL207" s="144">
        <f t="shared" si="599"/>
        <v>3463.6517728043614</v>
      </c>
      <c r="BM207" s="150">
        <f t="shared" si="529"/>
        <v>2.6019279999999996</v>
      </c>
      <c r="BN207" s="150">
        <f t="shared" si="530"/>
        <v>0.55290969999999995</v>
      </c>
      <c r="BO207" s="456"/>
      <c r="BQ207" s="144">
        <f t="shared" si="485"/>
        <v>3154.8376999999996</v>
      </c>
      <c r="BR207" s="456">
        <f t="shared" si="486"/>
        <v>1.1317237267246993</v>
      </c>
      <c r="BS207" s="456">
        <f t="shared" si="487"/>
        <v>0.70596842122709669</v>
      </c>
      <c r="BT207" s="456">
        <f t="shared" si="488"/>
        <v>1.0159097804636107E-2</v>
      </c>
      <c r="BU207" s="456">
        <f t="shared" si="489"/>
        <v>15.569374747790086</v>
      </c>
      <c r="BV207" s="456"/>
      <c r="BW207" s="538">
        <f t="shared" si="531"/>
        <v>5.0358948881125967</v>
      </c>
      <c r="BX207" s="144">
        <f t="shared" si="605"/>
        <v>22453.120881659113</v>
      </c>
      <c r="BY207" s="150">
        <f t="shared" si="606"/>
        <v>29.071610354463477</v>
      </c>
      <c r="BZ207" s="5">
        <f t="shared" si="607"/>
        <v>121.34699999999999</v>
      </c>
      <c r="CA207" s="150">
        <f t="shared" si="608"/>
        <v>0.80672863360487213</v>
      </c>
      <c r="CB207" s="5">
        <f t="shared" si="609"/>
        <v>80.672863360487213</v>
      </c>
      <c r="CC207">
        <f t="shared" si="610"/>
        <v>97</v>
      </c>
      <c r="CE207" s="59">
        <f t="shared" si="532"/>
        <v>-50</v>
      </c>
      <c r="CF207">
        <f t="shared" si="533"/>
        <v>-50</v>
      </c>
      <c r="CG207" s="150">
        <f t="shared" si="534"/>
        <v>0.39199567588303091</v>
      </c>
      <c r="CH207" s="150">
        <f t="shared" si="535"/>
        <v>8.2740061272353602E-2</v>
      </c>
      <c r="CI207" s="147">
        <v>97</v>
      </c>
      <c r="CJ207" s="188">
        <f t="shared" si="600"/>
        <v>3.88</v>
      </c>
      <c r="CK207" s="188">
        <f t="shared" si="536"/>
        <v>0.82450000000000001</v>
      </c>
      <c r="CL207" s="188">
        <f t="shared" si="537"/>
        <v>116.39999999999999</v>
      </c>
      <c r="CM207" s="188">
        <f t="shared" si="538"/>
        <v>4.9470000000000001</v>
      </c>
      <c r="CN207" s="465">
        <f t="shared" si="539"/>
        <v>20</v>
      </c>
      <c r="CO207" s="379">
        <f t="shared" si="540"/>
        <v>30.7</v>
      </c>
      <c r="CP207" s="379">
        <f t="shared" si="541"/>
        <v>50.7</v>
      </c>
      <c r="CQ207" s="379"/>
      <c r="CR207" s="188">
        <f t="shared" si="542"/>
        <v>0.60317460317460314</v>
      </c>
      <c r="CS207" s="149">
        <f t="shared" si="543"/>
        <v>175.32871249897633</v>
      </c>
      <c r="CT207" s="149">
        <f t="shared" si="544"/>
        <v>7.4514702812064924</v>
      </c>
      <c r="CU207" s="188">
        <f t="shared" si="545"/>
        <v>5.8442904166325444</v>
      </c>
      <c r="CV207" s="188">
        <f t="shared" si="546"/>
        <v>29.22145208316272</v>
      </c>
      <c r="CW207" s="188">
        <f t="shared" si="547"/>
        <v>30</v>
      </c>
      <c r="CX207" s="188">
        <f t="shared" si="548"/>
        <v>20.118055263157895</v>
      </c>
      <c r="CY207" s="188">
        <f t="shared" si="549"/>
        <v>4.727742986842105</v>
      </c>
      <c r="CZ207" s="188">
        <f t="shared" si="550"/>
        <v>3.0799628578775931</v>
      </c>
      <c r="DA207" s="172">
        <f t="shared" si="551"/>
        <v>350</v>
      </c>
      <c r="DB207" s="379">
        <f t="shared" si="552"/>
        <v>128.07859567049309</v>
      </c>
      <c r="DD207" s="188">
        <f t="shared" si="553"/>
        <v>7.3619779020761014</v>
      </c>
      <c r="DE207" s="150">
        <f t="shared" si="554"/>
        <v>1.1270780501549733</v>
      </c>
      <c r="DF207" s="150">
        <f t="shared" si="555"/>
        <v>1.3928696857096292</v>
      </c>
      <c r="DG207" s="150"/>
      <c r="DH207" s="150">
        <f t="shared" si="556"/>
        <v>0.92784522751949461</v>
      </c>
      <c r="DI207" s="314">
        <f t="shared" si="557"/>
        <v>1438.6203220212765</v>
      </c>
      <c r="DJ207" s="456">
        <f t="shared" si="558"/>
        <v>0.94395997276890675</v>
      </c>
      <c r="DL207" s="150">
        <f t="shared" si="559"/>
        <v>12.146371742399426</v>
      </c>
      <c r="DM207" s="150">
        <f t="shared" si="560"/>
        <v>20.118055263157895</v>
      </c>
      <c r="DN207" s="150">
        <f t="shared" si="561"/>
        <v>11.612925335223581</v>
      </c>
      <c r="DP207" s="314">
        <f t="shared" si="562"/>
        <v>3880</v>
      </c>
      <c r="DQ207" s="144">
        <f t="shared" si="563"/>
        <v>128.07859567049309</v>
      </c>
      <c r="DS207">
        <f t="shared" si="612"/>
        <v>3880</v>
      </c>
      <c r="DT207">
        <f t="shared" si="613"/>
        <v>128.07859567049309</v>
      </c>
      <c r="DV207" s="5">
        <f t="shared" si="566"/>
        <v>7.807705844719699</v>
      </c>
      <c r="DW207" s="5">
        <f t="shared" si="567"/>
        <v>4.727742986842105</v>
      </c>
      <c r="DX207" s="5">
        <f t="shared" si="568"/>
        <v>3.0799628578775939</v>
      </c>
      <c r="DY207" s="150">
        <f t="shared" si="569"/>
        <v>0.60552268244575924</v>
      </c>
      <c r="EA207" s="5">
        <f t="shared" si="570"/>
        <v>61.145475963157892</v>
      </c>
      <c r="EB207" s="5">
        <f t="shared" si="571"/>
        <v>64.96706821085526</v>
      </c>
      <c r="EC207" s="5">
        <f t="shared" si="572"/>
        <v>10.544343431086819</v>
      </c>
      <c r="ED207" s="5"/>
      <c r="EE207" s="150">
        <f t="shared" si="573"/>
        <v>9.0383796069915512</v>
      </c>
      <c r="EF207" s="150">
        <f t="shared" si="574"/>
        <v>6.9977806313052513</v>
      </c>
      <c r="EG207" s="150">
        <f t="shared" si="575"/>
        <v>1.4046698890300811</v>
      </c>
      <c r="EH207" s="150"/>
      <c r="EI207" s="456">
        <f t="shared" si="576"/>
        <v>0.98030767104096894</v>
      </c>
      <c r="EJ207" s="456">
        <f t="shared" si="577"/>
        <v>2.4821276595744681</v>
      </c>
      <c r="EK207" s="456">
        <f t="shared" si="578"/>
        <v>1.4729038502106705E-2</v>
      </c>
      <c r="EL207" s="456">
        <f t="shared" si="579"/>
        <v>0.1703738078067612</v>
      </c>
      <c r="EM207">
        <f t="shared" si="580"/>
        <v>8.9999999999999993E-3</v>
      </c>
      <c r="EN207" s="144">
        <f t="shared" si="581"/>
        <v>23.729038502106704</v>
      </c>
      <c r="EP207" s="144">
        <f t="shared" si="601"/>
        <v>3656.5381769243049</v>
      </c>
      <c r="EQ207" s="150">
        <f t="shared" si="582"/>
        <v>2.7159999999999997</v>
      </c>
      <c r="ER207" s="150">
        <f t="shared" si="583"/>
        <v>0.39493549999999999</v>
      </c>
      <c r="ES207" s="456"/>
      <c r="EU207" s="144">
        <f t="shared" si="496"/>
        <v>3110.9354999999996</v>
      </c>
      <c r="EV207" s="456">
        <f t="shared" si="584"/>
        <v>1.1436922828811305</v>
      </c>
      <c r="EW207" s="456">
        <f t="shared" si="585"/>
        <v>0.68556507269419287</v>
      </c>
      <c r="EX207" s="456">
        <f t="shared" si="586"/>
        <v>9.8654874857389014E-3</v>
      </c>
      <c r="EY207" s="456">
        <f t="shared" si="587"/>
        <v>16.851027564949923</v>
      </c>
      <c r="EZ207" s="456"/>
      <c r="FA207" s="538">
        <f t="shared" si="588"/>
        <v>5.1838037398039996</v>
      </c>
      <c r="FB207" s="144">
        <f t="shared" si="611"/>
        <v>23873.954147814984</v>
      </c>
      <c r="FC207" s="150">
        <f t="shared" si="589"/>
        <v>30.641427824739289</v>
      </c>
      <c r="FD207" s="5">
        <f t="shared" si="590"/>
        <v>121.34699999999999</v>
      </c>
      <c r="FE207" s="150">
        <f t="shared" si="591"/>
        <v>0.79839631040810222</v>
      </c>
      <c r="FF207" s="5">
        <f t="shared" si="592"/>
        <v>79.839631040810218</v>
      </c>
      <c r="FG207">
        <f t="shared" si="593"/>
        <v>97</v>
      </c>
      <c r="FI207" s="59">
        <f t="shared" si="594"/>
        <v>-50</v>
      </c>
      <c r="FJ207">
        <f t="shared" si="595"/>
        <v>-50</v>
      </c>
    </row>
    <row r="208" spans="5:166">
      <c r="E208" s="147">
        <v>98</v>
      </c>
      <c r="F208" s="188">
        <f>IF(PLOT_TYPE=1, E208/100*Iout_max, min_I*EXP(O208*rr/100))</f>
        <v>3.92</v>
      </c>
      <c r="G208" s="188">
        <f t="shared" si="498"/>
        <v>0.83299999999999996</v>
      </c>
      <c r="H208" s="188">
        <f t="shared" si="499"/>
        <v>117.6</v>
      </c>
      <c r="I208" s="188">
        <f t="shared" si="500"/>
        <v>4.9979999999999993</v>
      </c>
      <c r="J208" s="465">
        <f t="shared" si="501"/>
        <v>19.684575731922248</v>
      </c>
      <c r="K208" s="379">
        <f t="shared" si="502"/>
        <v>30.937752004072884</v>
      </c>
      <c r="L208" s="149">
        <f t="shared" si="503"/>
        <v>50.622327735995128</v>
      </c>
      <c r="M208" s="379"/>
      <c r="N208" s="188">
        <f t="shared" si="504"/>
        <v>0.61114834871717127</v>
      </c>
      <c r="O208" s="149">
        <f>N208*J208*Isw_max*0.5*Efficiency*Pout/(Pout+Pout2)</f>
        <v>174.84479258429457</v>
      </c>
      <c r="P208" s="149">
        <f t="shared" si="506"/>
        <v>7.4309036848325167</v>
      </c>
      <c r="Q208" s="188">
        <f t="shared" si="507"/>
        <v>5.8281597528098192</v>
      </c>
      <c r="R208" s="188">
        <f t="shared" si="508"/>
        <v>29.140798764049094</v>
      </c>
      <c r="S208" s="188">
        <f t="shared" si="509"/>
        <v>30</v>
      </c>
      <c r="T208" s="188">
        <f t="shared" si="510"/>
        <v>20.381712894985402</v>
      </c>
      <c r="U208" s="188">
        <f t="shared" si="511"/>
        <v>4.8664523894758522</v>
      </c>
      <c r="V208" s="188">
        <f t="shared" si="512"/>
        <v>3.0963481313645644</v>
      </c>
      <c r="W208" s="172">
        <f t="shared" si="513"/>
        <v>350</v>
      </c>
      <c r="X208" s="379">
        <f t="shared" si="597"/>
        <v>122.50697508127308</v>
      </c>
      <c r="Z208" s="188">
        <f t="shared" si="514"/>
        <v>7.3131890296427864</v>
      </c>
      <c r="AA208" s="150">
        <f t="shared" si="515"/>
        <v>1.111004717950939</v>
      </c>
      <c r="AB208" s="150">
        <f>0.5*AA208*Z208*Nps*W208/1000*(Pout/(Pout+Pout2))</f>
        <v>1.3639067771319258</v>
      </c>
      <c r="AC208" s="150"/>
      <c r="AD208" s="150">
        <f t="shared" si="517"/>
        <v>0.92071487550545106</v>
      </c>
      <c r="AE208" s="314">
        <f>MAX(10, F208/(0.5*AD208/1000000*Isw_min*Nps)/1000*Pout_total/Pout)</f>
        <v>1464.7075179052165</v>
      </c>
      <c r="AF208" s="456">
        <f t="shared" si="519"/>
        <v>0.9367057813441112</v>
      </c>
      <c r="AH208" s="150">
        <f t="shared" si="520"/>
        <v>12.208821366083468</v>
      </c>
      <c r="AI208" s="150">
        <f>MAX(IF(F208&gt;AB208,T208,AH208),Isw_min)</f>
        <v>20.381712894985402</v>
      </c>
      <c r="AJ208" s="150">
        <f>IF(F208&gt;AF208, (AI208-Isw_min)/1.08*0.8+1.2, AE208*0.2/350+1)</f>
        <v>11.808227284725437</v>
      </c>
      <c r="AL208" s="314">
        <f t="shared" si="523"/>
        <v>3920</v>
      </c>
      <c r="AM208" s="144">
        <f t="shared" si="524"/>
        <v>122.50697508127308</v>
      </c>
      <c r="AO208">
        <f t="shared" si="525"/>
        <v>3920</v>
      </c>
      <c r="AP208">
        <f t="shared" si="526"/>
        <v>122.50697508127308</v>
      </c>
      <c r="AR208" s="5">
        <f t="shared" si="614"/>
        <v>8.1628005208404169</v>
      </c>
      <c r="AS208" s="5">
        <f t="shared" si="602"/>
        <v>4.8664523894758522</v>
      </c>
      <c r="AT208" s="5">
        <f t="shared" si="603"/>
        <v>3.2963481313645646</v>
      </c>
      <c r="AU208" s="150">
        <f t="shared" si="604"/>
        <v>0.59617436161172011</v>
      </c>
      <c r="AW208" s="5">
        <f t="shared" si="475"/>
        <v>63.588311222484471</v>
      </c>
      <c r="AX208" s="5">
        <f t="shared" si="476"/>
        <v>67.562580673889741</v>
      </c>
      <c r="AY208" s="5">
        <f t="shared" si="477"/>
        <v>11.584183101702923</v>
      </c>
      <c r="AZ208" s="5"/>
      <c r="BA208" s="150">
        <f t="shared" si="478"/>
        <v>9.0858737927080657</v>
      </c>
      <c r="BB208" s="150">
        <f t="shared" si="479"/>
        <v>7.1730016839982333</v>
      </c>
      <c r="BC208" s="150">
        <f t="shared" si="480"/>
        <v>1.4398421457225681</v>
      </c>
      <c r="BD208" s="150"/>
      <c r="BE208" s="456">
        <f t="shared" si="481"/>
        <v>0.99063723092423095</v>
      </c>
      <c r="BF208" s="456">
        <f t="shared" si="527"/>
        <v>2.3067815866943948</v>
      </c>
      <c r="BG208" s="456">
        <f t="shared" si="482"/>
        <v>1.4088302134346406E-2</v>
      </c>
      <c r="BH208" s="456">
        <f t="shared" si="483"/>
        <v>0.16246334581668764</v>
      </c>
      <c r="BI208">
        <f t="shared" si="484"/>
        <v>8.8580590793650108E-3</v>
      </c>
      <c r="BJ208" s="144">
        <f t="shared" si="598"/>
        <v>22.946361213711416</v>
      </c>
      <c r="BK208">
        <f t="shared" si="528"/>
        <v>4.8747506231984676</v>
      </c>
      <c r="BL208" s="144">
        <f t="shared" si="599"/>
        <v>3482.8285246490245</v>
      </c>
      <c r="BM208" s="150">
        <f t="shared" si="529"/>
        <v>2.6287519999999995</v>
      </c>
      <c r="BN208" s="150">
        <f t="shared" si="530"/>
        <v>0.55860979999999993</v>
      </c>
      <c r="BO208" s="456"/>
      <c r="BQ208" s="144">
        <f t="shared" si="485"/>
        <v>3187.3617999999997</v>
      </c>
      <c r="BR208" s="456">
        <f t="shared" si="486"/>
        <v>1.1557434360782695</v>
      </c>
      <c r="BS208" s="456">
        <f t="shared" si="487"/>
        <v>0.72032734422098088</v>
      </c>
      <c r="BT208" s="456">
        <f t="shared" si="488"/>
        <v>1.0365727022994844E-2</v>
      </c>
      <c r="BU208" s="456">
        <f t="shared" si="489"/>
        <v>15.576638631839236</v>
      </c>
      <c r="BV208" s="456"/>
      <c r="BW208" s="538">
        <f t="shared" si="531"/>
        <v>5.0891139563317962</v>
      </c>
      <c r="BX208" s="144">
        <f t="shared" si="605"/>
        <v>22552.189095493279</v>
      </c>
      <c r="BY208" s="150">
        <f t="shared" si="606"/>
        <v>29.222379420142303</v>
      </c>
      <c r="BZ208" s="5">
        <f t="shared" si="607"/>
        <v>122.598</v>
      </c>
      <c r="CA208" s="150">
        <f t="shared" si="608"/>
        <v>0.80752004749459005</v>
      </c>
      <c r="CB208" s="5">
        <f t="shared" si="609"/>
        <v>80.752004749459005</v>
      </c>
      <c r="CC208">
        <f t="shared" si="610"/>
        <v>98</v>
      </c>
      <c r="CE208" s="59">
        <f t="shared" si="532"/>
        <v>-50</v>
      </c>
      <c r="CF208">
        <f t="shared" si="533"/>
        <v>-50</v>
      </c>
      <c r="CG208" s="150">
        <f t="shared" si="534"/>
        <v>0.39199567588303091</v>
      </c>
      <c r="CH208" s="150">
        <f t="shared" si="535"/>
        <v>8.2740061272353588E-2</v>
      </c>
      <c r="CI208" s="147">
        <v>98</v>
      </c>
      <c r="CJ208" s="188">
        <f t="shared" si="600"/>
        <v>3.92</v>
      </c>
      <c r="CK208" s="188">
        <f t="shared" si="536"/>
        <v>0.83299999999999996</v>
      </c>
      <c r="CL208" s="188">
        <f t="shared" si="537"/>
        <v>117.6</v>
      </c>
      <c r="CM208" s="188">
        <f t="shared" si="538"/>
        <v>4.9979999999999993</v>
      </c>
      <c r="CN208" s="465">
        <f t="shared" si="539"/>
        <v>20</v>
      </c>
      <c r="CO208" s="379">
        <f t="shared" si="540"/>
        <v>30.7</v>
      </c>
      <c r="CP208" s="379">
        <f t="shared" si="541"/>
        <v>50.7</v>
      </c>
      <c r="CQ208" s="379"/>
      <c r="CR208" s="188">
        <f t="shared" si="542"/>
        <v>0.60317460317460314</v>
      </c>
      <c r="CS208" s="149">
        <f t="shared" si="543"/>
        <v>175.32871249897633</v>
      </c>
      <c r="CT208" s="149">
        <f t="shared" si="544"/>
        <v>7.4514702812064924</v>
      </c>
      <c r="CU208" s="188">
        <f t="shared" si="545"/>
        <v>5.8442904166325444</v>
      </c>
      <c r="CV208" s="188">
        <f t="shared" si="546"/>
        <v>29.22145208316272</v>
      </c>
      <c r="CW208" s="188">
        <f t="shared" si="547"/>
        <v>30</v>
      </c>
      <c r="CX208" s="188">
        <f t="shared" si="548"/>
        <v>20.325457894736843</v>
      </c>
      <c r="CY208" s="188">
        <f t="shared" si="549"/>
        <v>4.7764826052631584</v>
      </c>
      <c r="CZ208" s="188">
        <f t="shared" si="550"/>
        <v>3.1117150522887025</v>
      </c>
      <c r="DA208" s="172">
        <f t="shared" si="551"/>
        <v>350</v>
      </c>
      <c r="DB208" s="379">
        <f t="shared" si="552"/>
        <v>126.77167122487582</v>
      </c>
      <c r="DD208" s="188">
        <f t="shared" si="553"/>
        <v>7.3619779020761014</v>
      </c>
      <c r="DE208" s="150">
        <f t="shared" si="554"/>
        <v>1.1270780501549733</v>
      </c>
      <c r="DF208" s="150">
        <f t="shared" si="555"/>
        <v>1.3928696857096292</v>
      </c>
      <c r="DG208" s="150"/>
      <c r="DH208" s="150">
        <f t="shared" si="556"/>
        <v>0.92784522751949461</v>
      </c>
      <c r="DI208" s="314">
        <f t="shared" si="557"/>
        <v>1453.4514593617021</v>
      </c>
      <c r="DJ208" s="456">
        <f t="shared" si="558"/>
        <v>0.94395997276890675</v>
      </c>
      <c r="DL208" s="150">
        <f t="shared" si="559"/>
        <v>12.208821366083468</v>
      </c>
      <c r="DM208" s="150">
        <f t="shared" si="560"/>
        <v>20.325457894736843</v>
      </c>
      <c r="DN208" s="150">
        <f t="shared" si="561"/>
        <v>11.76655691417095</v>
      </c>
      <c r="DP208" s="314">
        <f t="shared" si="562"/>
        <v>3920</v>
      </c>
      <c r="DQ208" s="144">
        <f t="shared" si="563"/>
        <v>126.77167122487582</v>
      </c>
      <c r="DS208">
        <f t="shared" si="612"/>
        <v>3920</v>
      </c>
      <c r="DT208">
        <f t="shared" si="613"/>
        <v>126.77167122487582</v>
      </c>
      <c r="DV208" s="5">
        <f t="shared" si="566"/>
        <v>7.88819765755186</v>
      </c>
      <c r="DW208" s="5">
        <f t="shared" si="567"/>
        <v>4.7764826052631584</v>
      </c>
      <c r="DX208" s="5">
        <f t="shared" si="568"/>
        <v>3.1117150522887016</v>
      </c>
      <c r="DY208" s="150">
        <f t="shared" si="569"/>
        <v>0.60552268244575946</v>
      </c>
      <c r="EA208" s="5">
        <f t="shared" si="570"/>
        <v>62.41270604210527</v>
      </c>
      <c r="EB208" s="5">
        <f t="shared" si="571"/>
        <v>66.313500169736841</v>
      </c>
      <c r="EC208" s="5">
        <f t="shared" si="572"/>
        <v>10.762873239680919</v>
      </c>
      <c r="ED208" s="5"/>
      <c r="EE208" s="150">
        <f t="shared" si="573"/>
        <v>9.1315587781976522</v>
      </c>
      <c r="EF208" s="150">
        <f t="shared" si="574"/>
        <v>7.0699226996692213</v>
      </c>
      <c r="EG208" s="150">
        <f t="shared" si="575"/>
        <v>1.4191510219066792</v>
      </c>
      <c r="EH208" s="150"/>
      <c r="EI208" s="456">
        <f t="shared" si="576"/>
        <v>1.0006243886361432</v>
      </c>
      <c r="EJ208" s="456">
        <f t="shared" si="577"/>
        <v>2.482127659574469</v>
      </c>
      <c r="EK208" s="456">
        <f t="shared" si="578"/>
        <v>1.457874219086072E-2</v>
      </c>
      <c r="EL208" s="456">
        <f t="shared" si="579"/>
        <v>0.16863529956383511</v>
      </c>
      <c r="EM208">
        <f t="shared" si="580"/>
        <v>8.9999999999999993E-3</v>
      </c>
      <c r="EN208" s="144">
        <f t="shared" si="581"/>
        <v>23.578742190860719</v>
      </c>
      <c r="EP208" s="144">
        <f t="shared" si="601"/>
        <v>3674.9660899653077</v>
      </c>
      <c r="EQ208" s="150">
        <f t="shared" si="582"/>
        <v>2.7439999999999998</v>
      </c>
      <c r="ER208" s="150">
        <f t="shared" si="583"/>
        <v>0.39900699999999995</v>
      </c>
      <c r="ES208" s="456"/>
      <c r="EU208" s="144">
        <f t="shared" si="496"/>
        <v>3143.0070000000001</v>
      </c>
      <c r="EV208" s="456">
        <f t="shared" si="584"/>
        <v>1.1673951200755004</v>
      </c>
      <c r="EW208" s="456">
        <f t="shared" si="585"/>
        <v>0.69977329771017382</v>
      </c>
      <c r="EX208" s="456">
        <f t="shared" si="586"/>
        <v>1.0069948114893859E-2</v>
      </c>
      <c r="EY208" s="456">
        <f t="shared" si="587"/>
        <v>16.851027564949874</v>
      </c>
      <c r="EZ208" s="456"/>
      <c r="FA208" s="538">
        <f t="shared" si="588"/>
        <v>5.237245015472082</v>
      </c>
      <c r="FB208" s="144">
        <f t="shared" si="611"/>
        <v>23965.510946322524</v>
      </c>
      <c r="FC208" s="150">
        <f t="shared" si="589"/>
        <v>30.783484036287831</v>
      </c>
      <c r="FD208" s="5">
        <f t="shared" si="590"/>
        <v>122.598</v>
      </c>
      <c r="FE208" s="150">
        <f t="shared" si="591"/>
        <v>0.79930117230444264</v>
      </c>
      <c r="FF208" s="5">
        <f t="shared" si="592"/>
        <v>79.930117230444267</v>
      </c>
      <c r="FG208">
        <f t="shared" si="593"/>
        <v>98</v>
      </c>
      <c r="FI208" s="59">
        <f t="shared" si="594"/>
        <v>-50</v>
      </c>
      <c r="FJ208">
        <f t="shared" si="595"/>
        <v>-50</v>
      </c>
    </row>
    <row r="209" spans="1:169">
      <c r="E209" s="147">
        <v>99</v>
      </c>
      <c r="F209" s="188">
        <f>IF(PLOT_TYPE=1, E209/100*Iout_max, min_I*EXP(O209*rr/100))</f>
        <v>3.96</v>
      </c>
      <c r="G209" s="188">
        <f t="shared" si="498"/>
        <v>0.84150000000000003</v>
      </c>
      <c r="H209" s="188">
        <f t="shared" si="499"/>
        <v>118.8</v>
      </c>
      <c r="I209" s="188">
        <f t="shared" si="500"/>
        <v>5.0490000000000004</v>
      </c>
      <c r="J209" s="465">
        <f t="shared" si="501"/>
        <v>19.681357116941861</v>
      </c>
      <c r="K209" s="379">
        <f t="shared" si="502"/>
        <v>30.940178044930772</v>
      </c>
      <c r="L209" s="149">
        <f t="shared" si="503"/>
        <v>50.621535161872629</v>
      </c>
      <c r="M209" s="379"/>
      <c r="N209" s="188">
        <f t="shared" si="504"/>
        <v>0.61120584245407172</v>
      </c>
      <c r="O209" s="149">
        <f>N209*J209*Isw_max*0.5*Efficiency*Pout/(Pout+Pout2)</f>
        <v>174.83264962284559</v>
      </c>
      <c r="P209" s="149">
        <f t="shared" si="506"/>
        <v>7.4303876089709364</v>
      </c>
      <c r="Q209" s="188">
        <f t="shared" si="507"/>
        <v>5.8277549874281869</v>
      </c>
      <c r="R209" s="188">
        <f t="shared" si="508"/>
        <v>29.138774937140933</v>
      </c>
      <c r="S209" s="188">
        <f t="shared" si="509"/>
        <v>30</v>
      </c>
      <c r="T209" s="188">
        <f t="shared" si="510"/>
        <v>20.591119609329446</v>
      </c>
      <c r="U209" s="188">
        <f t="shared" si="511"/>
        <v>4.9172555321675935</v>
      </c>
      <c r="V209" s="188">
        <f t="shared" si="512"/>
        <v>3.1279154897980463</v>
      </c>
      <c r="W209" s="172">
        <f t="shared" si="513"/>
        <v>350</v>
      </c>
      <c r="X209" s="379">
        <f t="shared" si="597"/>
        <v>121.28311193739206</v>
      </c>
      <c r="Z209" s="188">
        <f t="shared" si="514"/>
        <v>7.3126811290576832</v>
      </c>
      <c r="AA209" s="150">
        <f t="shared" si="515"/>
        <v>1.1108404501312241</v>
      </c>
      <c r="AB209" s="150">
        <f>0.5*AA209*Z209*Nps*W209/1000*(Pout/(Pout+Pout2))</f>
        <v>1.3636104071817698</v>
      </c>
      <c r="AC209" s="150"/>
      <c r="AD209" s="150">
        <f t="shared" si="517"/>
        <v>0.92064268161234553</v>
      </c>
      <c r="AE209" s="314">
        <f>MAX(10, F209/(0.5*AD209/1000000*Isw_min*Nps)/1000*Pout_total/Pout)</f>
        <v>1479.7695427438798</v>
      </c>
      <c r="AF209" s="456">
        <f t="shared" si="519"/>
        <v>0.93663233359296827</v>
      </c>
      <c r="AH209" s="150">
        <f t="shared" si="520"/>
        <v>12.270953173788623</v>
      </c>
      <c r="AI209" s="150">
        <f>MAX(IF(F209&gt;AB209,T209,AH209),Isw_min)</f>
        <v>20.591119609329446</v>
      </c>
      <c r="AJ209" s="150">
        <f>IF(F209&gt;AF209, (AI209-Isw_min)/1.08*0.8+1.2, AE209*0.2/350+1)</f>
        <v>11.963343369424731</v>
      </c>
      <c r="AL209" s="314">
        <f t="shared" si="523"/>
        <v>3960</v>
      </c>
      <c r="AM209" s="144">
        <f t="shared" si="524"/>
        <v>121.28311193739206</v>
      </c>
      <c r="AO209">
        <f t="shared" si="525"/>
        <v>3960</v>
      </c>
      <c r="AP209">
        <f t="shared" si="526"/>
        <v>121.28311193739206</v>
      </c>
      <c r="AR209" s="5">
        <f t="shared" si="614"/>
        <v>8.2451710219656409</v>
      </c>
      <c r="AS209" s="5">
        <f t="shared" si="602"/>
        <v>4.9172555321675935</v>
      </c>
      <c r="AT209" s="5">
        <f t="shared" si="603"/>
        <v>3.3279154897980474</v>
      </c>
      <c r="AU209" s="150">
        <f t="shared" si="604"/>
        <v>0.59638005313264253</v>
      </c>
      <c r="AW209" s="5">
        <f t="shared" si="475"/>
        <v>64.907773024612226</v>
      </c>
      <c r="AX209" s="5">
        <f t="shared" si="476"/>
        <v>68.964508838650502</v>
      </c>
      <c r="AY209" s="5">
        <f t="shared" si="477"/>
        <v>11.816388648132586</v>
      </c>
      <c r="AZ209" s="5"/>
      <c r="BA209" s="150">
        <f t="shared" si="478"/>
        <v>9.1808076543564106</v>
      </c>
      <c r="BB209" s="150">
        <f t="shared" si="479"/>
        <v>7.2448530471645318</v>
      </c>
      <c r="BC209" s="150">
        <f t="shared" si="480"/>
        <v>1.4542649251212187</v>
      </c>
      <c r="BD209" s="150"/>
      <c r="BE209" s="456">
        <f t="shared" si="481"/>
        <v>1.0114467502354711</v>
      </c>
      <c r="BF209" s="456">
        <f t="shared" si="527"/>
        <v>2.3071640365640795</v>
      </c>
      <c r="BG209" s="456">
        <f t="shared" si="482"/>
        <v>1.3947557872800088E-2</v>
      </c>
      <c r="BH209" s="456">
        <f t="shared" si="483"/>
        <v>0.16083527611823162</v>
      </c>
      <c r="BI209">
        <f t="shared" si="484"/>
        <v>8.8566107026238367E-3</v>
      </c>
      <c r="BJ209" s="144">
        <f t="shared" si="598"/>
        <v>22.804168575423923</v>
      </c>
      <c r="BK209">
        <f t="shared" si="528"/>
        <v>4.9396264742838092</v>
      </c>
      <c r="BL209" s="144">
        <f t="shared" si="599"/>
        <v>3502.2502314932058</v>
      </c>
      <c r="BM209" s="150">
        <f t="shared" si="529"/>
        <v>2.6555759999999995</v>
      </c>
      <c r="BN209" s="150">
        <f t="shared" si="530"/>
        <v>0.56430989999999992</v>
      </c>
      <c r="BO209" s="456"/>
      <c r="BQ209" s="144">
        <f t="shared" si="485"/>
        <v>3219.8858999999993</v>
      </c>
      <c r="BR209" s="456">
        <f t="shared" si="486"/>
        <v>1.1800212086080495</v>
      </c>
      <c r="BS209" s="456">
        <f t="shared" si="487"/>
        <v>0.73483053945012877</v>
      </c>
      <c r="BT209" s="456">
        <f t="shared" si="488"/>
        <v>1.0574432362189119E-2</v>
      </c>
      <c r="BU209" s="456">
        <f t="shared" si="489"/>
        <v>15.583705669212007</v>
      </c>
      <c r="BV209" s="456"/>
      <c r="BW209" s="538">
        <f t="shared" si="531"/>
        <v>5.1423336839971574</v>
      </c>
      <c r="BX209" s="144">
        <f t="shared" si="605"/>
        <v>22651.465533629533</v>
      </c>
      <c r="BY209" s="150">
        <f t="shared" si="606"/>
        <v>29.373601665122738</v>
      </c>
      <c r="BZ209" s="5">
        <f t="shared" si="607"/>
        <v>123.849</v>
      </c>
      <c r="CA209" s="150">
        <f t="shared" si="608"/>
        <v>0.80829459005453697</v>
      </c>
      <c r="CB209" s="5">
        <f t="shared" si="609"/>
        <v>80.8294590054537</v>
      </c>
      <c r="CC209">
        <f t="shared" si="610"/>
        <v>99</v>
      </c>
      <c r="CE209" s="59">
        <f t="shared" si="532"/>
        <v>-50</v>
      </c>
      <c r="CF209">
        <f t="shared" si="533"/>
        <v>-50</v>
      </c>
      <c r="CG209" s="150">
        <f t="shared" si="534"/>
        <v>0.39199567588303091</v>
      </c>
      <c r="CH209" s="150">
        <f t="shared" si="535"/>
        <v>8.2740061272353602E-2</v>
      </c>
      <c r="CI209" s="147">
        <v>99</v>
      </c>
      <c r="CJ209" s="188">
        <f t="shared" si="600"/>
        <v>3.96</v>
      </c>
      <c r="CK209" s="188">
        <f t="shared" si="536"/>
        <v>0.84150000000000003</v>
      </c>
      <c r="CL209" s="188">
        <f t="shared" si="537"/>
        <v>118.8</v>
      </c>
      <c r="CM209" s="188">
        <f t="shared" si="538"/>
        <v>5.0490000000000004</v>
      </c>
      <c r="CN209" s="465">
        <f t="shared" si="539"/>
        <v>20</v>
      </c>
      <c r="CO209" s="379">
        <f t="shared" si="540"/>
        <v>30.7</v>
      </c>
      <c r="CP209" s="379">
        <f t="shared" si="541"/>
        <v>50.7</v>
      </c>
      <c r="CQ209" s="379"/>
      <c r="CR209" s="188">
        <f t="shared" si="542"/>
        <v>0.60317460317460314</v>
      </c>
      <c r="CS209" s="149">
        <f t="shared" si="543"/>
        <v>175.32871249897633</v>
      </c>
      <c r="CT209" s="149">
        <f t="shared" si="544"/>
        <v>7.4514702812064924</v>
      </c>
      <c r="CU209" s="188">
        <f t="shared" si="545"/>
        <v>5.8442904166325444</v>
      </c>
      <c r="CV209" s="188">
        <f t="shared" si="546"/>
        <v>29.22145208316272</v>
      </c>
      <c r="CW209" s="188">
        <f t="shared" si="547"/>
        <v>30</v>
      </c>
      <c r="CX209" s="188">
        <f t="shared" si="548"/>
        <v>20.53286052631579</v>
      </c>
      <c r="CY209" s="188">
        <f t="shared" si="549"/>
        <v>4.8252222236842108</v>
      </c>
      <c r="CZ209" s="188">
        <f t="shared" si="550"/>
        <v>3.1434672466998115</v>
      </c>
      <c r="DA209" s="172">
        <f t="shared" si="551"/>
        <v>350</v>
      </c>
      <c r="DB209" s="379">
        <f t="shared" si="552"/>
        <v>125.49114929331139</v>
      </c>
      <c r="DD209" s="188">
        <f t="shared" si="553"/>
        <v>7.3619779020761014</v>
      </c>
      <c r="DE209" s="150">
        <f t="shared" si="554"/>
        <v>1.1270780501549733</v>
      </c>
      <c r="DF209" s="150">
        <f t="shared" si="555"/>
        <v>1.3928696857096292</v>
      </c>
      <c r="DG209" s="150"/>
      <c r="DH209" s="150">
        <f t="shared" si="556"/>
        <v>0.92784522751949461</v>
      </c>
      <c r="DI209" s="314">
        <f t="shared" si="557"/>
        <v>1468.2825967021276</v>
      </c>
      <c r="DJ209" s="456">
        <f t="shared" si="558"/>
        <v>0.94395997276890675</v>
      </c>
      <c r="DL209" s="150">
        <f t="shared" si="559"/>
        <v>12.270953173788623</v>
      </c>
      <c r="DM209" s="150">
        <f t="shared" si="560"/>
        <v>20.53286052631579</v>
      </c>
      <c r="DN209" s="150">
        <f t="shared" si="561"/>
        <v>11.920188493118317</v>
      </c>
      <c r="DP209" s="314">
        <f t="shared" si="562"/>
        <v>3960</v>
      </c>
      <c r="DQ209" s="144">
        <f t="shared" si="563"/>
        <v>125.49114929331139</v>
      </c>
      <c r="DS209">
        <f t="shared" si="612"/>
        <v>3960</v>
      </c>
      <c r="DT209">
        <f t="shared" si="613"/>
        <v>125.49114929331139</v>
      </c>
      <c r="DV209" s="5">
        <f t="shared" si="566"/>
        <v>7.9686894703840228</v>
      </c>
      <c r="DW209" s="5">
        <f t="shared" si="567"/>
        <v>4.8252222236842108</v>
      </c>
      <c r="DX209" s="5">
        <f t="shared" si="568"/>
        <v>3.1434672466998119</v>
      </c>
      <c r="DY209" s="150">
        <f t="shared" si="569"/>
        <v>0.60552268244575935</v>
      </c>
      <c r="EA209" s="5">
        <f t="shared" si="570"/>
        <v>63.692933352631584</v>
      </c>
      <c r="EB209" s="5">
        <f t="shared" si="571"/>
        <v>67.673741687171059</v>
      </c>
      <c r="EC209" s="5">
        <f t="shared" si="572"/>
        <v>10.983644379645222</v>
      </c>
      <c r="ED209" s="5"/>
      <c r="EE209" s="150">
        <f t="shared" si="573"/>
        <v>9.2247379494037496</v>
      </c>
      <c r="EF209" s="150">
        <f t="shared" si="574"/>
        <v>7.142064768033193</v>
      </c>
      <c r="EG209" s="150">
        <f t="shared" si="575"/>
        <v>1.4336321547832784</v>
      </c>
      <c r="EH209" s="150"/>
      <c r="EI209" s="456">
        <f t="shared" si="576"/>
        <v>1.0211494828220364</v>
      </c>
      <c r="EJ209" s="456">
        <f t="shared" si="577"/>
        <v>2.4821276595744681</v>
      </c>
      <c r="EK209" s="456">
        <f t="shared" si="578"/>
        <v>1.4431482168730811E-2</v>
      </c>
      <c r="EL209" s="456">
        <f t="shared" si="579"/>
        <v>0.1669319126995539</v>
      </c>
      <c r="EM209">
        <f t="shared" si="580"/>
        <v>8.9999999999999993E-3</v>
      </c>
      <c r="EN209" s="144">
        <f t="shared" si="581"/>
        <v>23.43148216873081</v>
      </c>
      <c r="EP209" s="144">
        <f t="shared" si="601"/>
        <v>3693.6405372647891</v>
      </c>
      <c r="EQ209" s="150">
        <f t="shared" si="582"/>
        <v>2.7719999999999998</v>
      </c>
      <c r="ER209" s="150">
        <f t="shared" si="583"/>
        <v>0.40307850000000001</v>
      </c>
      <c r="ES209" s="456"/>
      <c r="EU209" s="144">
        <f t="shared" si="496"/>
        <v>3175.0784999999996</v>
      </c>
      <c r="EV209" s="456">
        <f t="shared" si="584"/>
        <v>1.1913410632923758</v>
      </c>
      <c r="EW209" s="456">
        <f t="shared" si="585"/>
        <v>0.71412724811093442</v>
      </c>
      <c r="EX209" s="456">
        <f t="shared" si="586"/>
        <v>1.027650577614273E-2</v>
      </c>
      <c r="EY209" s="456">
        <f t="shared" si="587"/>
        <v>16.851027564949874</v>
      </c>
      <c r="EZ209" s="456"/>
      <c r="FA209" s="538">
        <f t="shared" si="588"/>
        <v>5.2906862911401635</v>
      </c>
      <c r="FB209" s="144">
        <f t="shared" si="611"/>
        <v>24057.458673269488</v>
      </c>
      <c r="FC209" s="150">
        <f t="shared" si="589"/>
        <v>30.926177710534276</v>
      </c>
      <c r="FD209" s="5">
        <f t="shared" si="590"/>
        <v>123.849</v>
      </c>
      <c r="FE209" s="150">
        <f t="shared" si="591"/>
        <v>0.80018644999798705</v>
      </c>
      <c r="FF209" s="5">
        <f t="shared" si="592"/>
        <v>80.01864499979871</v>
      </c>
      <c r="FG209">
        <f t="shared" si="593"/>
        <v>99</v>
      </c>
      <c r="FI209" s="59">
        <f t="shared" si="594"/>
        <v>-50</v>
      </c>
      <c r="FJ209">
        <f t="shared" si="595"/>
        <v>-50</v>
      </c>
    </row>
    <row r="210" spans="1:169">
      <c r="A210" t="s">
        <v>862</v>
      </c>
      <c r="E210" s="147">
        <v>100</v>
      </c>
      <c r="F210" s="188">
        <f>IF(PLOT_TYPE=1, E210/100*Iout_max, min_I*EXP(O210*rr/100))</f>
        <v>4</v>
      </c>
      <c r="G210" s="188">
        <f t="shared" si="498"/>
        <v>0.85</v>
      </c>
      <c r="H210" s="188">
        <f t="shared" si="499"/>
        <v>120</v>
      </c>
      <c r="I210" s="188">
        <f t="shared" si="500"/>
        <v>5.0999999999999996</v>
      </c>
      <c r="J210" s="465">
        <f t="shared" si="501"/>
        <v>19.678138501961477</v>
      </c>
      <c r="K210" s="379">
        <f t="shared" si="502"/>
        <v>30.942604085788656</v>
      </c>
      <c r="L210" s="149">
        <f t="shared" si="503"/>
        <v>50.620742587750129</v>
      </c>
      <c r="M210" s="379"/>
      <c r="N210" s="188">
        <f t="shared" si="504"/>
        <v>0.61126333799134258</v>
      </c>
      <c r="O210" s="149">
        <f>N210*J210*Isw_max*0.5*Efficiency*Pout/(Pout+Pout2)</f>
        <v>174.82050179732479</v>
      </c>
      <c r="P210" s="149">
        <f t="shared" si="506"/>
        <v>7.4298713263863023</v>
      </c>
      <c r="Q210" s="188">
        <f t="shared" si="507"/>
        <v>5.8273500599108266</v>
      </c>
      <c r="R210" s="188">
        <f t="shared" si="508"/>
        <v>29.136750299554134</v>
      </c>
      <c r="S210" s="188">
        <f t="shared" si="509"/>
        <v>30</v>
      </c>
      <c r="T210" s="188">
        <f t="shared" si="510"/>
        <v>20.800555993023025</v>
      </c>
      <c r="U210" s="188">
        <f t="shared" si="511"/>
        <v>4.9680823802242999</v>
      </c>
      <c r="V210" s="188">
        <f t="shared" si="512"/>
        <v>3.1594824047827541</v>
      </c>
      <c r="W210" s="172">
        <f t="shared" si="513"/>
        <v>350</v>
      </c>
      <c r="X210" s="379">
        <f t="shared" si="597"/>
        <v>120.08312463691665</v>
      </c>
      <c r="Z210" s="188">
        <f t="shared" si="514"/>
        <v>7.312173025024272</v>
      </c>
      <c r="AA210" s="150">
        <f t="shared" si="515"/>
        <v>1.1106761771675926</v>
      </c>
      <c r="AB210" s="150">
        <f>0.5*AA210*Z210*Nps*W210/1000*(Pout/(Pout+Pout2))</f>
        <v>1.3633140209964905</v>
      </c>
      <c r="AC210" s="150"/>
      <c r="AD210" s="150">
        <f t="shared" si="517"/>
        <v>0.92057049903989907</v>
      </c>
      <c r="AE210" s="314">
        <f>MAX(10, F210/(0.5*AD210/1000000*Isw_min*Nps)/1000*Pout_total/Pout)</f>
        <v>1494.8339116180578</v>
      </c>
      <c r="AF210" s="456">
        <f t="shared" si="519"/>
        <v>0.93655889735910103</v>
      </c>
      <c r="AH210" s="150">
        <f t="shared" si="520"/>
        <v>12.332771968932612</v>
      </c>
      <c r="AI210" s="150">
        <f>MAX(IF(F210&gt;AB210,T210,AH210),Isw_min)</f>
        <v>20.800555993023025</v>
      </c>
      <c r="AJ210" s="150">
        <f>IF(F210&gt;AF210, (AI210-Isw_min)/1.08*0.8+1.2, AE210*0.2/350+1)</f>
        <v>12.118481431419973</v>
      </c>
      <c r="AL210" s="314">
        <f t="shared" si="523"/>
        <v>4000</v>
      </c>
      <c r="AM210" s="144">
        <f t="shared" si="524"/>
        <v>120.08312463691665</v>
      </c>
      <c r="AO210">
        <f t="shared" si="525"/>
        <v>4000</v>
      </c>
      <c r="AP210">
        <f t="shared" si="526"/>
        <v>120.08312463691665</v>
      </c>
      <c r="AR210" s="5">
        <f t="shared" si="614"/>
        <v>8.3275647850070538</v>
      </c>
      <c r="AS210" s="5">
        <f t="shared" si="602"/>
        <v>4.9680823802242999</v>
      </c>
      <c r="AT210" s="5">
        <f t="shared" si="603"/>
        <v>3.3594824047827538</v>
      </c>
      <c r="AU210" s="150">
        <f t="shared" si="604"/>
        <v>0.59658285567094416</v>
      </c>
      <c r="AW210" s="5">
        <f t="shared" si="475"/>
        <v>66.241098402990673</v>
      </c>
      <c r="AX210" s="5">
        <f t="shared" si="476"/>
        <v>70.381167053177577</v>
      </c>
      <c r="AY210" s="5">
        <f t="shared" si="477"/>
        <v>12.050933294915856</v>
      </c>
      <c r="AZ210" s="5"/>
      <c r="BA210" s="150">
        <f>AI210*SQRT(AU210/3)</f>
        <v>9.2757642167022709</v>
      </c>
      <c r="BB210" s="150">
        <f t="shared" si="479"/>
        <v>7.3167030270157323</v>
      </c>
      <c r="BC210" s="150">
        <f t="shared" si="480"/>
        <v>1.4686874268459655</v>
      </c>
      <c r="BD210" s="150"/>
      <c r="BE210" s="456">
        <f t="shared" si="481"/>
        <v>1.0324776216462515</v>
      </c>
      <c r="BF210" s="456">
        <f t="shared" si="527"/>
        <v>2.3075350387109821</v>
      </c>
      <c r="BG210" s="456">
        <f t="shared" si="482"/>
        <v>1.3809559333245416E-2</v>
      </c>
      <c r="BH210" s="456">
        <f t="shared" si="483"/>
        <v>0.15923896924914455</v>
      </c>
      <c r="BI210">
        <f t="shared" si="484"/>
        <v>8.8551623258826644E-3</v>
      </c>
      <c r="BJ210" s="144">
        <f t="shared" si="598"/>
        <v>22.66472165912808</v>
      </c>
      <c r="BK210">
        <f t="shared" si="528"/>
        <v>5.0061005747209624</v>
      </c>
      <c r="BL210" s="144">
        <f t="shared" si="599"/>
        <v>3521.9163512655059</v>
      </c>
      <c r="BM210" s="150">
        <f t="shared" si="529"/>
        <v>2.6823999999999999</v>
      </c>
      <c r="BN210" s="150">
        <f t="shared" si="530"/>
        <v>0.57000999999999991</v>
      </c>
      <c r="BO210" s="456"/>
      <c r="BQ210" s="144">
        <f t="shared" si="485"/>
        <v>3252.41</v>
      </c>
      <c r="BR210" s="456">
        <f t="shared" si="486"/>
        <v>1.20455722525396</v>
      </c>
      <c r="BS210" s="456">
        <f t="shared" si="487"/>
        <v>0.74947800459757652</v>
      </c>
      <c r="BT210" s="456">
        <f t="shared" si="488"/>
        <v>1.0785213788877117E-2</v>
      </c>
      <c r="BU210" s="456">
        <f t="shared" si="489"/>
        <v>15.590581487784302</v>
      </c>
      <c r="BV210" s="456"/>
      <c r="BW210" s="538">
        <f t="shared" si="531"/>
        <v>5.1955540519823122</v>
      </c>
      <c r="BX210" s="144">
        <f t="shared" si="605"/>
        <v>22750.955983407028</v>
      </c>
      <c r="BY210" s="150">
        <f t="shared" si="606"/>
        <v>29.525282334672532</v>
      </c>
      <c r="BZ210" s="5">
        <f t="shared" si="607"/>
        <v>125.1</v>
      </c>
      <c r="CA210" s="150">
        <f t="shared" si="608"/>
        <v>0.80905268602344271</v>
      </c>
      <c r="CB210" s="5">
        <f t="shared" si="609"/>
        <v>80.905268602344265</v>
      </c>
      <c r="CC210">
        <f t="shared" si="610"/>
        <v>100</v>
      </c>
      <c r="CE210" s="59">
        <f t="shared" si="532"/>
        <v>-50</v>
      </c>
      <c r="CF210">
        <f t="shared" si="533"/>
        <v>-50</v>
      </c>
      <c r="CG210" s="150">
        <f t="shared" si="534"/>
        <v>0.39199567588303091</v>
      </c>
      <c r="CH210" s="150">
        <f t="shared" si="535"/>
        <v>8.2740061272353602E-2</v>
      </c>
      <c r="CI210" s="147">
        <v>100</v>
      </c>
      <c r="CJ210" s="188">
        <f t="shared" si="600"/>
        <v>4</v>
      </c>
      <c r="CK210" s="188">
        <f t="shared" si="536"/>
        <v>0.85</v>
      </c>
      <c r="CL210" s="188">
        <f t="shared" si="537"/>
        <v>120</v>
      </c>
      <c r="CM210" s="188">
        <f t="shared" si="538"/>
        <v>5.0999999999999996</v>
      </c>
      <c r="CN210" s="465">
        <f t="shared" si="539"/>
        <v>20</v>
      </c>
      <c r="CO210" s="379">
        <f t="shared" si="540"/>
        <v>30.7</v>
      </c>
      <c r="CP210" s="379">
        <f t="shared" si="541"/>
        <v>50.7</v>
      </c>
      <c r="CQ210" s="379"/>
      <c r="CR210" s="188">
        <f t="shared" si="542"/>
        <v>0.60317460317460314</v>
      </c>
      <c r="CS210" s="149">
        <f t="shared" si="543"/>
        <v>175.32871249897633</v>
      </c>
      <c r="CT210" s="149">
        <f t="shared" si="544"/>
        <v>7.4514702812064924</v>
      </c>
      <c r="CU210" s="188">
        <f t="shared" si="545"/>
        <v>5.8442904166325444</v>
      </c>
      <c r="CV210" s="188">
        <f t="shared" si="546"/>
        <v>29.22145208316272</v>
      </c>
      <c r="CW210" s="188">
        <f t="shared" si="547"/>
        <v>30</v>
      </c>
      <c r="CX210" s="188">
        <f t="shared" si="548"/>
        <v>20.740263157894738</v>
      </c>
      <c r="CY210" s="188">
        <f t="shared" si="549"/>
        <v>4.8739618421052633</v>
      </c>
      <c r="CZ210" s="188">
        <f t="shared" si="550"/>
        <v>3.1752194411109205</v>
      </c>
      <c r="DA210" s="172">
        <f t="shared" si="551"/>
        <v>350</v>
      </c>
      <c r="DB210" s="379">
        <f t="shared" si="552"/>
        <v>124.2362378003783</v>
      </c>
      <c r="DD210" s="188">
        <f t="shared" si="553"/>
        <v>7.3619779020761014</v>
      </c>
      <c r="DE210" s="150">
        <f t="shared" si="554"/>
        <v>1.1270780501549733</v>
      </c>
      <c r="DF210" s="150">
        <f t="shared" si="555"/>
        <v>1.3928696857096292</v>
      </c>
      <c r="DG210" s="150"/>
      <c r="DH210" s="150">
        <f t="shared" si="556"/>
        <v>0.92784522751949461</v>
      </c>
      <c r="DI210" s="314">
        <f t="shared" si="557"/>
        <v>1483.113734042553</v>
      </c>
      <c r="DJ210" s="456">
        <f t="shared" si="558"/>
        <v>0.94395997276890675</v>
      </c>
      <c r="DL210" s="150">
        <f t="shared" si="559"/>
        <v>12.332771968932612</v>
      </c>
      <c r="DM210" s="150">
        <f t="shared" si="560"/>
        <v>20.740263157894738</v>
      </c>
      <c r="DN210" s="150">
        <f t="shared" si="561"/>
        <v>12.073820072065686</v>
      </c>
      <c r="DP210" s="314">
        <f t="shared" si="562"/>
        <v>4000</v>
      </c>
      <c r="DQ210" s="144">
        <f t="shared" si="563"/>
        <v>124.2362378003783</v>
      </c>
      <c r="DS210">
        <f t="shared" si="612"/>
        <v>4000</v>
      </c>
      <c r="DT210">
        <f t="shared" si="613"/>
        <v>124.2362378003783</v>
      </c>
      <c r="DV210" s="5">
        <f t="shared" si="566"/>
        <v>8.0491812832161838</v>
      </c>
      <c r="DW210" s="5">
        <f t="shared" si="567"/>
        <v>4.8739618421052633</v>
      </c>
      <c r="DX210" s="5">
        <f t="shared" si="568"/>
        <v>3.1752194411109205</v>
      </c>
      <c r="DY210" s="150">
        <f t="shared" si="569"/>
        <v>0.60552268244575935</v>
      </c>
      <c r="EA210" s="5">
        <f t="shared" si="570"/>
        <v>64.986157894736849</v>
      </c>
      <c r="EB210" s="5">
        <f t="shared" si="571"/>
        <v>69.047792763157901</v>
      </c>
      <c r="EC210" s="5">
        <f t="shared" si="572"/>
        <v>11.206656850979718</v>
      </c>
      <c r="ED210" s="5"/>
      <c r="EE210" s="150">
        <f t="shared" si="573"/>
        <v>9.3179171206098488</v>
      </c>
      <c r="EF210" s="150">
        <f t="shared" si="574"/>
        <v>7.2142068363971656</v>
      </c>
      <c r="EG210" s="150">
        <f t="shared" si="575"/>
        <v>1.448113287659877</v>
      </c>
      <c r="EH210" s="150"/>
      <c r="EI210" s="456">
        <f t="shared" si="576"/>
        <v>1.0418829535986496</v>
      </c>
      <c r="EJ210" s="456">
        <f t="shared" si="577"/>
        <v>2.482127659574469</v>
      </c>
      <c r="EK210" s="456">
        <f t="shared" si="578"/>
        <v>1.4287167347043505E-2</v>
      </c>
      <c r="EL210" s="456">
        <f t="shared" si="579"/>
        <v>0.16526259357255838</v>
      </c>
      <c r="EM210">
        <f t="shared" si="580"/>
        <v>8.9999999999999993E-3</v>
      </c>
      <c r="EN210" s="144">
        <f t="shared" si="581"/>
        <v>23.287167347043503</v>
      </c>
      <c r="EP210" s="144">
        <f t="shared" si="601"/>
        <v>3712.5603740927208</v>
      </c>
      <c r="EQ210" s="150">
        <f t="shared" si="582"/>
        <v>2.8</v>
      </c>
      <c r="ER210" s="150">
        <f t="shared" si="583"/>
        <v>0.40714999999999996</v>
      </c>
      <c r="ES210" s="456"/>
      <c r="EU210" s="144">
        <f t="shared" si="496"/>
        <v>3207.15</v>
      </c>
      <c r="EV210" s="456">
        <f t="shared" si="584"/>
        <v>1.2155301125317579</v>
      </c>
      <c r="EW210" s="456">
        <f t="shared" si="585"/>
        <v>0.72862692389647443</v>
      </c>
      <c r="EX210" s="456">
        <f t="shared" si="586"/>
        <v>1.0485160469485489E-2</v>
      </c>
      <c r="EY210" s="456">
        <f t="shared" si="587"/>
        <v>16.851027564949874</v>
      </c>
      <c r="EZ210" s="456"/>
      <c r="FA210" s="538">
        <f t="shared" si="588"/>
        <v>5.3441275668082469</v>
      </c>
      <c r="FB210" s="144">
        <f t="shared" si="611"/>
        <v>24149.797328655841</v>
      </c>
      <c r="FC210" s="150">
        <f t="shared" si="589"/>
        <v>31.06950770274856</v>
      </c>
      <c r="FD210" s="5">
        <f t="shared" si="590"/>
        <v>125.1</v>
      </c>
      <c r="FE210" s="150">
        <f t="shared" si="591"/>
        <v>0.80105266284192977</v>
      </c>
      <c r="FF210" s="5">
        <f t="shared" si="592"/>
        <v>80.105266284192979</v>
      </c>
      <c r="FG210">
        <f t="shared" si="593"/>
        <v>100</v>
      </c>
      <c r="FI210" s="59">
        <f t="shared" si="594"/>
        <v>-50</v>
      </c>
      <c r="FJ210">
        <f t="shared" si="595"/>
        <v>-50</v>
      </c>
    </row>
    <row r="211" spans="1:169">
      <c r="E211" s="147"/>
      <c r="F211" s="188"/>
      <c r="G211" s="188"/>
      <c r="H211" s="188"/>
      <c r="I211" s="188"/>
      <c r="J211" s="465"/>
      <c r="K211" s="379"/>
      <c r="L211" s="149"/>
      <c r="M211" s="379"/>
      <c r="N211" s="188"/>
      <c r="O211" s="149"/>
      <c r="P211" s="149"/>
      <c r="Q211" s="188"/>
      <c r="R211" s="188"/>
      <c r="S211" s="188"/>
      <c r="T211" s="188"/>
      <c r="U211" s="188"/>
      <c r="V211" s="188"/>
      <c r="W211" s="172"/>
      <c r="X211" s="379"/>
      <c r="Z211" s="188"/>
      <c r="AA211" s="150"/>
      <c r="AB211" s="150"/>
      <c r="AC211" s="150"/>
      <c r="AD211" s="150"/>
      <c r="AE211" s="314"/>
      <c r="AF211" s="456"/>
      <c r="AH211" s="150"/>
      <c r="AI211" s="150"/>
      <c r="AJ211" s="150"/>
      <c r="AL211" s="314"/>
      <c r="AM211" s="144"/>
      <c r="AR211" s="5"/>
      <c r="AS211" s="5"/>
      <c r="AT211" s="5"/>
      <c r="AU211" s="150"/>
      <c r="CE211" s="59"/>
      <c r="CF211" s="463">
        <f>MAX(CF110:CF210)</f>
        <v>-50</v>
      </c>
      <c r="CG211" s="150"/>
      <c r="CH211" s="150"/>
      <c r="CI211" s="147"/>
      <c r="CJ211" s="188"/>
      <c r="CK211" s="188"/>
      <c r="CL211" s="188"/>
      <c r="CM211" s="188"/>
      <c r="CN211" s="465"/>
      <c r="CO211" s="379"/>
      <c r="CP211" s="379"/>
      <c r="CQ211" s="379"/>
      <c r="CR211" s="188"/>
      <c r="CS211" s="149"/>
      <c r="CT211" s="149"/>
      <c r="CU211" s="188"/>
      <c r="CV211" s="188"/>
      <c r="CW211" s="188"/>
      <c r="CX211" s="188"/>
      <c r="CY211" s="188"/>
      <c r="CZ211" s="188"/>
      <c r="DA211" s="172"/>
      <c r="DB211" s="379"/>
      <c r="DD211" s="188"/>
      <c r="DE211" s="150"/>
      <c r="DF211" s="150"/>
      <c r="DG211" s="150"/>
      <c r="DH211" s="150"/>
      <c r="DI211" s="314"/>
      <c r="DJ211" s="456"/>
      <c r="DL211" s="150"/>
      <c r="DM211" s="150"/>
      <c r="DN211" s="150"/>
      <c r="DP211" s="314"/>
      <c r="DQ211" s="144"/>
      <c r="DV211" s="5"/>
      <c r="DW211" s="5"/>
      <c r="DX211" s="5"/>
      <c r="DY211" s="150"/>
      <c r="FI211" s="59"/>
      <c r="FJ211" s="463">
        <f>MAX(FJ110:FJ210)</f>
        <v>-50</v>
      </c>
    </row>
    <row r="212" spans="1:169">
      <c r="A212" t="s">
        <v>862</v>
      </c>
      <c r="E212" s="147">
        <v>101</v>
      </c>
      <c r="F212" s="188">
        <f>'Calculations - Dual'!Ioutmax_Vinmin+0*H210/(H210+I210)</f>
        <v>5.8679557209216133</v>
      </c>
      <c r="G212" s="188">
        <f>'Calculations - Dual'!Ioutmax_Vinmin/Nsec1sec2*(1-H210/(H210+I210))</f>
        <v>1.1298602068802759</v>
      </c>
      <c r="H212" s="188">
        <f>F212*Vout</f>
        <v>176.0386716276484</v>
      </c>
      <c r="I212" s="188">
        <f>Vout2*G212</f>
        <v>6.7791612412816553</v>
      </c>
      <c r="J212" s="465">
        <f>VIN_min-(F212/CG212/Nps+G212/CH212/(Nps/Nsec1sec2))*(Rdcr_pri+RON/1000)</f>
        <v>19.535622371702296</v>
      </c>
      <c r="K212" s="379">
        <f>MAX((S212+Vfwd2+Rdcr_sec*F212/CG212)*Nps,(Vout2+Vfwd22+Rdcr_sec2*G212/CH212)*Nps/Nsec1sec2)</f>
        <v>31.0224808265402</v>
      </c>
      <c r="L212" s="149">
        <f>MAX((Vout+Vfwd2+F212/CG212*Rdcr_sec)*Nps+J212, (Vout2+Vfwd22+G212/CH212*Rdcr_sec2)*Nps/Nsec1sec2+J212)</f>
        <v>50.558103198242492</v>
      </c>
      <c r="M212" s="379"/>
      <c r="N212" s="188">
        <f>MAX((Vout+Vfwd2+F212/CG212*Rdcr_sec)*Nps/((Vout+Vfwd2+F212/CG212*Rdcr_sec)*Nps+J212), (Vout2+Vfwd22+G212/CH212*Rdcr_sec2)*Nps/Nsec1sec2/((Vout2+Vfwd22+G212/CH212*Rdcr_sec2)*Nps/Nsec1sec2+J212))</f>
        <v>0.61360056774476868</v>
      </c>
      <c r="O212" s="149">
        <f>N212*J212*Isw_max*0.5*Efficiency*Pout/(Pout+Pout2)</f>
        <v>174.2179925662951</v>
      </c>
      <c r="P212" s="149">
        <f>N212*J212*Isw_max*0.5*Efficiency*(Pout2/Pout_total)</f>
        <v>7.4042646840675399</v>
      </c>
      <c r="Q212" s="188">
        <f>O212/Vout</f>
        <v>5.8072664188765035</v>
      </c>
      <c r="R212" s="188">
        <f>O212/Vout2</f>
        <v>29.036332094382516</v>
      </c>
      <c r="S212" s="188">
        <f>MIN(Vout,O212/F212)</f>
        <v>29.689725153367831</v>
      </c>
      <c r="T212" s="188">
        <f>MIN(2*(Vout*F212+Vout2*G212)/(Efficiency*J212*N212), Isw_max)</f>
        <v>30.303030303030305</v>
      </c>
      <c r="U212" s="188">
        <f>L*T212/J212*1000000</f>
        <v>7.2904891236302012</v>
      </c>
      <c r="V212" s="188">
        <f>L*T212/K212*1000000</f>
        <v>4.5910010621199691</v>
      </c>
      <c r="W212" s="172">
        <f>IF(1/((350000*L)*(1/J212+1/K212))&gt;Isw_min, 350, 0.001/((Isw_min*L)*(1/J212+1/K212)))</f>
        <v>350</v>
      </c>
      <c r="X212" s="379">
        <f>MIN(1/(U212+V212+0.2)*1000, 350)</f>
        <v>82.771246313594347</v>
      </c>
      <c r="Z212" s="188">
        <f>1/((W212*1000*L)*(1/J212+1/K212))</f>
        <v>7.2869720234188042</v>
      </c>
      <c r="AA212" s="150">
        <f>L*Z212/K212*1000000</f>
        <v>1.1039983778720894</v>
      </c>
      <c r="AB212" s="150">
        <f>0.5*AA212*Z212*Nps*W212/1000*(Pout/(Pout+Pout2))</f>
        <v>1.3504469317548107</v>
      </c>
      <c r="AC212" s="150"/>
      <c r="AD212" s="150">
        <f>L*Isw_min/K212*1000000</f>
        <v>0.91820021242399363</v>
      </c>
      <c r="AE212" s="314">
        <f>MAX(10, F212/(0.5*AD212/1000000*Isw_min*Nps)/1000*Pout_total/Pout)</f>
        <v>2198.5656718165515</v>
      </c>
      <c r="AF212" s="456">
        <f>0.5*AD212/1000000*Isw_min*Nps*W212*1000*(Pout/Pout_total)</f>
        <v>0.93414744378576497</v>
      </c>
      <c r="AH212" s="150">
        <f>SQRT((H212+I212)/(0.5*L*Fsw_DCM))</f>
        <v>14.908753181309011</v>
      </c>
      <c r="AI212" s="150">
        <f>MAX(IF(F212&gt;AB212,T212,AH212),Isw_min)</f>
        <v>30.303030303030305</v>
      </c>
      <c r="AJ212" s="150">
        <f>IF(F212&gt;AF212, (AI212-Isw_min)/1.08*0.8+1.2, AE212*0.2/350+1)</f>
        <v>19.157351290684623</v>
      </c>
      <c r="AL212" s="314">
        <f>F212*1000</f>
        <v>5867.9557209216136</v>
      </c>
      <c r="AM212" s="144">
        <f>IF(F212&gt;AF212, X212, AE212)</f>
        <v>82.771246313594347</v>
      </c>
      <c r="AO212" t="str">
        <f>IF(H212&gt;O212, "",AL212)</f>
        <v/>
      </c>
      <c r="AP212" t="str">
        <f>IF(H212&gt;O212, "",AM212)</f>
        <v/>
      </c>
      <c r="AR212" s="5">
        <f>1/AM212*1000</f>
        <v>12.08149018575017</v>
      </c>
      <c r="AS212" s="5">
        <f>L*AI212/J212*1000000</f>
        <v>7.2904891236302012</v>
      </c>
      <c r="AT212" s="5">
        <f>AR212-AS212</f>
        <v>4.7910010621199683</v>
      </c>
      <c r="AU212" s="150">
        <f>AS212/AR212</f>
        <v>0.60344287099857596</v>
      </c>
      <c r="AW212" s="5">
        <f>F212*AS212/Vout_ripple*1000</f>
        <v>142.60089120440878</v>
      </c>
      <c r="AX212" s="5">
        <f>G212*AS212/Vout_ripple2*1000</f>
        <v>137.28722582472034</v>
      </c>
      <c r="AY212" s="5">
        <f>H212/Efficiency/J212*AT212/Vinripple1</f>
        <v>25.395582390765234</v>
      </c>
      <c r="AZ212" s="5"/>
      <c r="BA212" s="150">
        <f>AI212*SQRT(AU212/3)</f>
        <v>13.590752800229426</v>
      </c>
      <c r="BB212" s="150">
        <f>AI212*Npri_sec1*SQRT((1-AU212)/3)*(Pout/Pout_total)</f>
        <v>10.568229843221383</v>
      </c>
      <c r="BC212" s="150">
        <f>AI212*Npri_sec2*SQRT((1-AU212)/3)*(Pout2/Pout_total)</f>
        <v>2.1213689058373997</v>
      </c>
      <c r="BD212" s="150"/>
      <c r="BE212" s="456">
        <f>Rdson*BA212^2</f>
        <v>2.2165027401233277</v>
      </c>
      <c r="BF212" s="456">
        <f>0.5*L212*AI212*AM212*1000*Tfall</f>
        <v>2.3142975495969638</v>
      </c>
      <c r="BG212" s="456">
        <f>Qg*Vdd*AM212*1000</f>
        <v>9.5186933260633516E-3</v>
      </c>
      <c r="BH212" s="456">
        <f>0.5*(Coss+Csw)*L212^2*AM212*1000</f>
        <v>0.10948922778953578</v>
      </c>
      <c r="BI212">
        <f>J212*IQ</f>
        <v>8.791030067266033E-3</v>
      </c>
      <c r="BJ212" s="144">
        <f>(BG212+BI212)*1000</f>
        <v>18.309723393329381</v>
      </c>
      <c r="BK212">
        <f>(BF212+BG212*0+BH212+BI212*0+BE212*(1+RdsonTC*(Ta-25)))/(1-BE212*RdsonTC*ThetaJA)</f>
        <v>11.067172742799535</v>
      </c>
      <c r="BL212" s="144">
        <f>SUM(BE212:BI212)*1000</f>
        <v>4658.5992409031569</v>
      </c>
      <c r="BM212" s="150">
        <f>Vfwd2*F212*(1+Diode_TC/1000*(Ta-25))</f>
        <v>3.9350511064500338</v>
      </c>
      <c r="BN212" s="150">
        <f>Vfwd2*G212*(1+Diode_TC/1000*(Ta-25))</f>
        <v>0.75768425473391288</v>
      </c>
      <c r="BO212" s="456"/>
      <c r="BQ212" s="144">
        <f>SUM(BM212:BP212)*1000</f>
        <v>4692.7353611839462</v>
      </c>
      <c r="BR212" s="456">
        <f>Rdcr_pri*BA212^2</f>
        <v>2.585919863477216</v>
      </c>
      <c r="BS212" s="456">
        <f>Rdcr_sec*BB212^2</f>
        <v>1.5636247482681709</v>
      </c>
      <c r="BT212" s="456">
        <f>Rdcr_sec2*BC212^2</f>
        <v>2.2501030173268832E-2</v>
      </c>
      <c r="BU212" s="456">
        <f>AI212^2.5*AM212^2.5*k_core</f>
        <v>15.753747888078045</v>
      </c>
      <c r="BV212" s="456"/>
      <c r="BW212" s="538">
        <f>0.5*Lleak*0.000000001*AI212^2*AM212*1000</f>
        <v>7.6006654098801061</v>
      </c>
      <c r="BX212" s="144">
        <f>SUM(BR212:BW212)*1000</f>
        <v>27526.458939876811</v>
      </c>
      <c r="BY212" s="150">
        <f>SUM(BE212:BI212,BM212:BP212,BR212:BW212)</f>
        <v>36.877793541963911</v>
      </c>
      <c r="BZ212" s="5">
        <f>MIN(H212+I212,O212+P212)</f>
        <v>181.62225725036262</v>
      </c>
      <c r="CA212" s="150">
        <f>BZ212/(BZ212+BY212)</f>
        <v>0.83122295208519459</v>
      </c>
      <c r="CB212" s="5">
        <f>CA212*100</f>
        <v>83.122295208519461</v>
      </c>
      <c r="CC212">
        <f>F212/Iout*100</f>
        <v>146.69889302304034</v>
      </c>
      <c r="CE212" s="59">
        <f>IF(ABS(F212-Ioutmax_Vinmin)&lt;Iout/200, AM212, -50)</f>
        <v>82.771246313594347</v>
      </c>
      <c r="CF212">
        <f>IF(ABS(F212-Ioutmax_Vinmin)&lt;Iout/200, (O212+P212)*CA212, -50)</f>
        <v>150.96858883602306</v>
      </c>
      <c r="CG212" s="150">
        <f>MIN(SQRT(2*DT212*1000*Ls1_*(CL212+CJ212*Vfwd1))/(CW212+Vfwd1), 1-DY212)</f>
        <v>0.39199567588303091</v>
      </c>
      <c r="CH212" s="150">
        <f>MIN(SQRT(2*DT212*1000*Ls2_*(CM212+CK212*Vfwd22))/(Vout2+Vfwd22), 1-DY212)</f>
        <v>8.2740061272353602E-2</v>
      </c>
      <c r="CI212" s="147">
        <v>100</v>
      </c>
      <c r="CJ212" s="188">
        <f>IF(PLOT_TYPE=1, CI212/100*Iout_max, min_I*EXP(CS212*rr/100))</f>
        <v>4</v>
      </c>
      <c r="CK212" s="188">
        <f>IF(PLOT_TYPE=1, CI212/100*Iout2, min_I*EXP(CU212*rr/100))</f>
        <v>0.85</v>
      </c>
      <c r="CL212" s="188">
        <f>CJ212*Vout</f>
        <v>120</v>
      </c>
      <c r="CM212" s="188">
        <f>Vout2*CK212</f>
        <v>5.0999999999999996</v>
      </c>
      <c r="CN212" s="465">
        <f t="shared" si="539"/>
        <v>20</v>
      </c>
      <c r="CO212" s="379">
        <f>(CW212+Vfwd2)*Nps</f>
        <v>30.7</v>
      </c>
      <c r="CP212" s="379">
        <f>(Vout+Vfwd2)*Nps+CN212</f>
        <v>50.7</v>
      </c>
      <c r="CQ212" s="379"/>
      <c r="CR212" s="188">
        <f>(Vout+Vfwd1)*Nps/((Vout+Vfwd1)*Nps+CN212)</f>
        <v>0.60317460317460314</v>
      </c>
      <c r="CS212" s="149">
        <f>CR212*CN212*Isw_max*0.5*Efficiency*Pout/(Pout+Pout2)</f>
        <v>175.32871249897633</v>
      </c>
      <c r="CT212" s="149">
        <f>CR212*CN212*Isw_max*0.5*Efficiency*(Pout2/Pout_total)</f>
        <v>7.4514702812064924</v>
      </c>
      <c r="CU212" s="188">
        <f>CS212/Vout</f>
        <v>5.8442904166325444</v>
      </c>
      <c r="CV212" s="188">
        <f>CS212/Vout2</f>
        <v>29.22145208316272</v>
      </c>
      <c r="CW212" s="188">
        <f>MIN(Vout,CS212/CJ212)</f>
        <v>30</v>
      </c>
      <c r="CX212" s="188">
        <f>MIN(2*(Vout*CJ212+Vout2*CK212)/(Efficiency*CN212*CR212), Isw_max)</f>
        <v>20.740263157894738</v>
      </c>
      <c r="CY212" s="188">
        <f>L*CX212/CN212*1000000</f>
        <v>4.8739618421052633</v>
      </c>
      <c r="CZ212" s="188">
        <f>L*CX212/CO212*1000000</f>
        <v>3.1752194411109205</v>
      </c>
      <c r="DA212" s="172">
        <f>IF(1/((350000*L)*(1/CN212+1/CO212))&gt;Isw_min, 350, 0.001/((Isw_min*L)*(1/CN212+1/CO212)))</f>
        <v>350</v>
      </c>
      <c r="DB212" s="379">
        <f>MIN(1/(CY212+CZ212)*1000, 350)</f>
        <v>124.2362378003783</v>
      </c>
      <c r="DD212" s="188">
        <f>1/((DA212*1000*L)*(1/CN212+1/CO212))</f>
        <v>7.3619779020761014</v>
      </c>
      <c r="DE212" s="150">
        <f>L*DD212/CO212*1000000</f>
        <v>1.1270780501549733</v>
      </c>
      <c r="DF212" s="150">
        <f>0.5*DE212*DD212*Nps*DA212/1000*(Pout/(Pout+Pout2))</f>
        <v>1.3928696857096292</v>
      </c>
      <c r="DG212" s="150"/>
      <c r="DH212" s="150">
        <f>L*Isw_min/CO212*1000000</f>
        <v>0.92784522751949461</v>
      </c>
      <c r="DI212" s="314">
        <f>MAX(10, CJ212/(0.5*DH212/1000000*Isw_min*Nps)/1000*Pout_total/Pout)</f>
        <v>1483.113734042553</v>
      </c>
      <c r="DJ212" s="456">
        <f>0.5*DH212/1000000*Isw_min*Nps*DA212*1000*(Pout/Pout_total)</f>
        <v>0.94395997276890675</v>
      </c>
      <c r="DL212" s="150">
        <f>SQRT((CL212+CM212)/(0.5*L*Fsw_DCM))</f>
        <v>12.332771968932612</v>
      </c>
      <c r="DM212" s="150">
        <f>MAX(IF(CJ212&gt;DF212,CX212,DL212),Isw_min)</f>
        <v>20.740263157894738</v>
      </c>
      <c r="DN212" s="150">
        <f>IF(CJ212&gt;DJ212, (DM212-Isw_min)/1.08*0.8+1.2, DI212*0.2/350+1)</f>
        <v>12.073820072065686</v>
      </c>
      <c r="DP212" s="314">
        <f>CJ212*1000</f>
        <v>4000</v>
      </c>
      <c r="DQ212" s="144">
        <f>IF(CJ212&gt;DJ212, DB212, DI212)</f>
        <v>124.2362378003783</v>
      </c>
      <c r="DS212">
        <f>IF(CL212&gt;CS212, "",DP212)</f>
        <v>4000</v>
      </c>
      <c r="DT212">
        <f>IF(CL212&gt;CS212, "",DQ212)</f>
        <v>124.2362378003783</v>
      </c>
      <c r="DV212" s="5">
        <f>1/DQ212*1000</f>
        <v>8.0491812832161838</v>
      </c>
      <c r="DW212" s="5">
        <f>L*DM212/CN212*1000000</f>
        <v>4.8739618421052633</v>
      </c>
      <c r="DX212" s="5">
        <f>DV212-DW212</f>
        <v>3.1752194411109205</v>
      </c>
      <c r="DY212" s="150">
        <f>DW212/DV212</f>
        <v>0.60552268244575935</v>
      </c>
      <c r="EA212" s="5">
        <f>CJ212*DW212/Vout_ripple*1000</f>
        <v>64.986157894736849</v>
      </c>
      <c r="EB212" s="5">
        <f>CK212*DW212/Vout_ripple2*1000</f>
        <v>69.047792763157901</v>
      </c>
      <c r="EC212" s="5">
        <f>CL212/Efficiency/CN212*DX212/Vinripple1</f>
        <v>11.206656850979718</v>
      </c>
      <c r="ED212" s="5"/>
      <c r="EE212" s="150">
        <f>DM212*SQRT(DY212/3)</f>
        <v>9.3179171206098488</v>
      </c>
      <c r="EF212" s="150">
        <f>DM212*Npri_sec1*SQRT((1-DY212)/3)*(Pout/Pout_total)</f>
        <v>7.2142068363971656</v>
      </c>
      <c r="EG212" s="150">
        <f>DM212*Npri_sec2*SQRT((1-DY212)/3)*(Pout2/Pout_total)</f>
        <v>1.448113287659877</v>
      </c>
      <c r="EH212" s="150"/>
      <c r="EI212" s="456">
        <f>Rdson*EE212^2</f>
        <v>1.0418829535986496</v>
      </c>
      <c r="EJ212" s="456">
        <f>0.5*CP212*DM212*DQ212*1000*Trise</f>
        <v>2.482127659574469</v>
      </c>
      <c r="EK212" s="456">
        <f>Qg*Vdd*DQ212*1000</f>
        <v>1.4287167347043505E-2</v>
      </c>
      <c r="EL212" s="456">
        <f>0.5*(Coss+Csw)*CP212^2*DQ212*1000</f>
        <v>0.16526259357255838</v>
      </c>
      <c r="EM212">
        <f>CN212*IQ</f>
        <v>8.9999999999999993E-3</v>
      </c>
      <c r="EN212" s="144">
        <f>(EK212+EM212)*1000</f>
        <v>23.287167347043503</v>
      </c>
      <c r="EP212" s="144">
        <f>SUM(EI212:EM212)*1000</f>
        <v>3712.5603740927208</v>
      </c>
      <c r="EQ212" s="150">
        <f>Vfwd2*CJ212</f>
        <v>2.8</v>
      </c>
      <c r="ER212" s="150">
        <f>Vfwd22*CK212*(1+Diode_TC/1000*(Ta-25))</f>
        <v>0.40714999999999996</v>
      </c>
      <c r="ES212" s="456"/>
      <c r="EU212" s="144">
        <f>SUM(EQ212:ET212)*1000</f>
        <v>3207.15</v>
      </c>
      <c r="EV212" s="456">
        <f>Rdcr_pri*EE212^2</f>
        <v>1.2155301125317579</v>
      </c>
      <c r="EW212" s="456">
        <f>Rdcr_sec*EF212^2</f>
        <v>0.72862692389647443</v>
      </c>
      <c r="EX212" s="456">
        <f>Rdcr_sec2*EG212^2</f>
        <v>1.0485160469485489E-2</v>
      </c>
      <c r="EY212" s="456">
        <f>DM212^2.5*DQ212^2.5*k_core</f>
        <v>16.851027564949874</v>
      </c>
      <c r="EZ212" s="456"/>
      <c r="FA212" s="538">
        <f>0.5*Lleak*0.000000001*DM212^2*DQ212*1000</f>
        <v>5.3441275668082469</v>
      </c>
      <c r="FB212" s="144">
        <f>SUM(EV212:FA212)*1000</f>
        <v>24149.797328655841</v>
      </c>
      <c r="FC212" s="150">
        <f>SUM(EI212:EM212,EQ212:ET212,EV212:FA212)</f>
        <v>31.06950770274856</v>
      </c>
      <c r="FD212" s="5">
        <f>MIN(CL212+CM212,CS212+CT212)</f>
        <v>125.1</v>
      </c>
      <c r="FE212" s="150">
        <f>FD212/(FD212+FC212)</f>
        <v>0.80105266284192977</v>
      </c>
      <c r="FF212" s="5">
        <f>FE212*100</f>
        <v>80.105266284192979</v>
      </c>
      <c r="FG212">
        <f>CJ212/Iout*100</f>
        <v>100</v>
      </c>
      <c r="FI212" s="59">
        <f>IF(ABS(CJ212-Ioutmax_Vinmin)&lt;Iout/200, DQ212, -50)</f>
        <v>-50</v>
      </c>
      <c r="FJ212">
        <f>IF(ABS(CJ212-Ioutmax_Vinmin)&lt;Iout/200, (CS212+CT212)*FE212, -50)</f>
        <v>-50</v>
      </c>
    </row>
    <row r="213" spans="1:169">
      <c r="G213" s="188"/>
      <c r="H213" s="188"/>
      <c r="I213" s="188"/>
      <c r="J213" s="465"/>
      <c r="K213" s="379"/>
      <c r="L213" s="149"/>
      <c r="M213" s="379"/>
      <c r="N213" s="188"/>
      <c r="O213" s="149"/>
      <c r="P213" s="149"/>
      <c r="Q213" s="188"/>
      <c r="R213" s="188"/>
      <c r="S213" s="188"/>
      <c r="T213" s="188"/>
      <c r="U213" s="188"/>
      <c r="V213" s="188"/>
      <c r="W213" s="172"/>
      <c r="X213" s="379"/>
      <c r="Z213" s="188"/>
      <c r="AA213" s="150"/>
      <c r="AB213" s="150"/>
      <c r="AC213" s="150"/>
      <c r="AD213" s="150"/>
      <c r="AE213" s="314"/>
      <c r="AF213" s="456"/>
      <c r="AH213" s="150"/>
      <c r="AI213" s="150"/>
      <c r="AJ213" s="150"/>
      <c r="AL213" s="314"/>
      <c r="AM213" s="144"/>
      <c r="AR213" s="5"/>
      <c r="AS213" s="5"/>
      <c r="AT213" s="5"/>
      <c r="AU213" s="150"/>
      <c r="CE213" s="59"/>
      <c r="CG213" s="150"/>
      <c r="CH213" s="150"/>
      <c r="CK213" s="188"/>
      <c r="CL213" s="188"/>
      <c r="CM213" s="188"/>
      <c r="CN213" s="465"/>
      <c r="CO213" s="379"/>
      <c r="CP213" s="379"/>
      <c r="CQ213" s="379"/>
      <c r="CR213" s="188"/>
      <c r="CS213" s="149"/>
      <c r="CT213" s="149"/>
      <c r="CU213" s="188"/>
      <c r="CV213" s="188"/>
      <c r="CW213" s="188"/>
      <c r="CX213" s="188"/>
      <c r="CY213" s="188"/>
      <c r="CZ213" s="188"/>
      <c r="DA213" s="172"/>
      <c r="DB213" s="379"/>
      <c r="DD213" s="188"/>
      <c r="DE213" s="150"/>
      <c r="DF213" s="150"/>
      <c r="DG213" s="150"/>
      <c r="DH213" s="150"/>
      <c r="DI213" s="314"/>
      <c r="DJ213" s="456"/>
      <c r="DL213" s="150"/>
      <c r="DM213" s="150"/>
      <c r="DN213" s="150"/>
      <c r="DP213" s="314"/>
      <c r="DQ213" s="144"/>
      <c r="DV213" s="5"/>
      <c r="DW213" s="5"/>
      <c r="DX213" s="5"/>
      <c r="DY213" s="150"/>
      <c r="FI213" s="59"/>
    </row>
    <row r="214" spans="1:169">
      <c r="E214" s="159" t="s">
        <v>435</v>
      </c>
      <c r="G214" s="188"/>
      <c r="H214" s="188"/>
      <c r="I214" s="188"/>
      <c r="J214" s="465"/>
      <c r="K214" s="379"/>
      <c r="L214" s="149"/>
      <c r="M214" s="379"/>
      <c r="N214" s="188"/>
      <c r="O214" s="149"/>
      <c r="P214" s="149"/>
      <c r="Q214" s="188"/>
      <c r="R214" s="188"/>
      <c r="S214" s="188"/>
      <c r="T214" s="188"/>
      <c r="U214" s="188"/>
      <c r="V214" s="188"/>
      <c r="W214" s="172"/>
      <c r="X214" s="379"/>
      <c r="Z214" s="188"/>
      <c r="AA214" s="150"/>
      <c r="AB214" s="150"/>
      <c r="AC214" s="150"/>
      <c r="AD214" s="150"/>
      <c r="AE214" s="314"/>
      <c r="AF214" s="456"/>
      <c r="AH214" s="150"/>
      <c r="AI214" s="150"/>
      <c r="AJ214" s="150"/>
      <c r="AL214" s="314"/>
      <c r="AM214" s="144"/>
      <c r="AR214" s="5"/>
      <c r="AS214" s="5"/>
      <c r="AT214" s="5"/>
      <c r="AU214" s="150"/>
      <c r="CE214" s="59"/>
      <c r="CG214" s="150"/>
      <c r="CH214" s="150"/>
      <c r="CI214" s="159" t="s">
        <v>435</v>
      </c>
      <c r="CK214" s="188"/>
      <c r="CL214" s="188"/>
      <c r="CM214" s="188"/>
      <c r="CN214" s="465"/>
      <c r="CO214" s="379"/>
      <c r="CP214" s="379"/>
      <c r="CQ214" s="379"/>
      <c r="CR214" s="188"/>
      <c r="CS214" s="149"/>
      <c r="CT214" s="149"/>
      <c r="CU214" s="188"/>
      <c r="CV214" s="188"/>
      <c r="CW214" s="188"/>
      <c r="CX214" s="188"/>
      <c r="CY214" s="188"/>
      <c r="CZ214" s="188"/>
      <c r="DA214" s="172"/>
      <c r="DB214" s="379"/>
      <c r="DD214" s="188"/>
      <c r="DE214" s="150"/>
      <c r="DF214" s="150"/>
      <c r="DG214" s="150"/>
      <c r="DH214" s="150"/>
      <c r="DI214" s="314"/>
      <c r="DJ214" s="456"/>
      <c r="DL214" s="150"/>
      <c r="DM214" s="150"/>
      <c r="DN214" s="150"/>
      <c r="DP214" s="314"/>
      <c r="DQ214" s="144"/>
      <c r="DV214" s="5"/>
      <c r="DW214" s="5"/>
      <c r="DX214" s="5"/>
      <c r="DY214" s="150"/>
      <c r="FI214" s="59"/>
    </row>
    <row r="215" spans="1:169" ht="45" customHeight="1" thickBot="1">
      <c r="E215" s="211" t="s">
        <v>25</v>
      </c>
      <c r="F215" s="516" t="s">
        <v>580</v>
      </c>
      <c r="G215" s="380" t="s">
        <v>579</v>
      </c>
      <c r="H215" s="517" t="s">
        <v>581</v>
      </c>
      <c r="I215" s="518" t="s">
        <v>582</v>
      </c>
      <c r="J215" s="212" t="s">
        <v>412</v>
      </c>
      <c r="K215" s="213" t="s">
        <v>586</v>
      </c>
      <c r="L215" s="519" t="s">
        <v>413</v>
      </c>
      <c r="M215" s="520"/>
      <c r="N215" s="214" t="s">
        <v>48</v>
      </c>
      <c r="O215" s="520" t="s">
        <v>590</v>
      </c>
      <c r="P215" s="520" t="s">
        <v>606</v>
      </c>
      <c r="Q215" s="520" t="s">
        <v>583</v>
      </c>
      <c r="R215" s="520" t="s">
        <v>584</v>
      </c>
      <c r="S215" s="520" t="s">
        <v>585</v>
      </c>
      <c r="T215" s="520" t="s">
        <v>414</v>
      </c>
      <c r="U215" s="520" t="s">
        <v>466</v>
      </c>
      <c r="V215" s="520" t="s">
        <v>465</v>
      </c>
      <c r="W215" s="521" t="s">
        <v>420</v>
      </c>
      <c r="X215" s="522" t="s">
        <v>425</v>
      </c>
      <c r="Z215" s="215" t="s">
        <v>417</v>
      </c>
      <c r="AA215" s="215" t="s">
        <v>464</v>
      </c>
      <c r="AB215" s="215" t="s">
        <v>587</v>
      </c>
      <c r="AC215" s="468"/>
      <c r="AD215" s="215" t="s">
        <v>463</v>
      </c>
      <c r="AE215" s="521" t="s">
        <v>426</v>
      </c>
      <c r="AF215" s="215" t="s">
        <v>588</v>
      </c>
      <c r="AG215" s="468"/>
      <c r="AH215" s="215" t="s">
        <v>429</v>
      </c>
      <c r="AI215" s="470" t="s">
        <v>430</v>
      </c>
      <c r="AJ215" s="470" t="s">
        <v>431</v>
      </c>
      <c r="AL215" s="467" t="s">
        <v>275</v>
      </c>
      <c r="AM215" s="467" t="s">
        <v>432</v>
      </c>
      <c r="AO215" s="215" t="s">
        <v>275</v>
      </c>
      <c r="AP215" s="215" t="s">
        <v>432</v>
      </c>
      <c r="AQ215" s="471"/>
      <c r="AR215" s="215" t="s">
        <v>467</v>
      </c>
      <c r="AS215" s="215" t="s">
        <v>461</v>
      </c>
      <c r="AT215" s="215" t="s">
        <v>462</v>
      </c>
      <c r="AU215" s="215" t="s">
        <v>48</v>
      </c>
      <c r="AV215" s="468"/>
      <c r="AW215" s="215" t="s">
        <v>591</v>
      </c>
      <c r="AX215" s="215" t="s">
        <v>592</v>
      </c>
      <c r="AY215" s="215" t="s">
        <v>514</v>
      </c>
      <c r="AZ215" s="468"/>
      <c r="BA215" s="479" t="s">
        <v>456</v>
      </c>
      <c r="BB215" s="215" t="s">
        <v>599</v>
      </c>
      <c r="BC215" s="215" t="s">
        <v>598</v>
      </c>
      <c r="BD215" s="468"/>
      <c r="BE215" s="479" t="s">
        <v>474</v>
      </c>
      <c r="BF215" s="215" t="s">
        <v>475</v>
      </c>
      <c r="BG215" s="215" t="s">
        <v>473</v>
      </c>
      <c r="BH215" s="215" t="s">
        <v>469</v>
      </c>
      <c r="BI215" s="215" t="s">
        <v>478</v>
      </c>
      <c r="BJ215" s="215" t="s">
        <v>491</v>
      </c>
      <c r="BK215" s="215" t="s">
        <v>776</v>
      </c>
      <c r="BL215" s="215" t="s">
        <v>778</v>
      </c>
      <c r="BM215" s="479" t="s">
        <v>601</v>
      </c>
      <c r="BN215" s="215" t="s">
        <v>600</v>
      </c>
      <c r="BO215" s="215" t="s">
        <v>477</v>
      </c>
      <c r="BP215" s="215" t="s">
        <v>483</v>
      </c>
      <c r="BQ215" s="215" t="s">
        <v>487</v>
      </c>
      <c r="BR215" s="479" t="s">
        <v>458</v>
      </c>
      <c r="BS215" s="215" t="s">
        <v>603</v>
      </c>
      <c r="BT215" s="215" t="s">
        <v>602</v>
      </c>
      <c r="BU215" s="215" t="s">
        <v>468</v>
      </c>
      <c r="BV215" s="215" t="s">
        <v>673</v>
      </c>
      <c r="BW215" s="215" t="s">
        <v>484</v>
      </c>
      <c r="BX215" s="215" t="s">
        <v>667</v>
      </c>
      <c r="BY215" s="479" t="s">
        <v>482</v>
      </c>
      <c r="BZ215" s="215" t="s">
        <v>223</v>
      </c>
      <c r="CA215" s="215" t="s">
        <v>47</v>
      </c>
      <c r="CB215" s="215" t="s">
        <v>485</v>
      </c>
      <c r="CC215" s="215" t="s">
        <v>604</v>
      </c>
      <c r="CE215" s="490" t="s">
        <v>497</v>
      </c>
      <c r="CG215" s="668" t="s">
        <v>829</v>
      </c>
      <c r="CH215" s="669" t="s">
        <v>830</v>
      </c>
      <c r="CI215" s="211" t="s">
        <v>25</v>
      </c>
      <c r="CJ215" s="516" t="s">
        <v>580</v>
      </c>
      <c r="CK215" s="380" t="s">
        <v>579</v>
      </c>
      <c r="CL215" s="517" t="s">
        <v>581</v>
      </c>
      <c r="CM215" s="518" t="s">
        <v>582</v>
      </c>
      <c r="CN215" s="212" t="s">
        <v>412</v>
      </c>
      <c r="CO215" s="213" t="s">
        <v>586</v>
      </c>
      <c r="CP215" s="519" t="s">
        <v>413</v>
      </c>
      <c r="CQ215" s="520"/>
      <c r="CR215" s="214" t="s">
        <v>48</v>
      </c>
      <c r="CS215" s="520" t="s">
        <v>590</v>
      </c>
      <c r="CT215" s="520" t="s">
        <v>606</v>
      </c>
      <c r="CU215" s="520" t="s">
        <v>583</v>
      </c>
      <c r="CV215" s="520" t="s">
        <v>584</v>
      </c>
      <c r="CW215" s="520" t="s">
        <v>585</v>
      </c>
      <c r="CX215" s="520" t="s">
        <v>414</v>
      </c>
      <c r="CY215" s="520" t="s">
        <v>466</v>
      </c>
      <c r="CZ215" s="520" t="s">
        <v>465</v>
      </c>
      <c r="DA215" s="521" t="s">
        <v>420</v>
      </c>
      <c r="DB215" s="522" t="s">
        <v>425</v>
      </c>
      <c r="DD215" s="215" t="s">
        <v>417</v>
      </c>
      <c r="DE215" s="215" t="s">
        <v>464</v>
      </c>
      <c r="DF215" s="215" t="s">
        <v>587</v>
      </c>
      <c r="DG215" s="468"/>
      <c r="DH215" s="215" t="s">
        <v>463</v>
      </c>
      <c r="DI215" s="521" t="s">
        <v>426</v>
      </c>
      <c r="DJ215" s="215" t="s">
        <v>588</v>
      </c>
      <c r="DK215" s="468"/>
      <c r="DL215" s="215" t="s">
        <v>429</v>
      </c>
      <c r="DM215" s="470" t="s">
        <v>430</v>
      </c>
      <c r="DN215" s="470" t="s">
        <v>431</v>
      </c>
      <c r="DP215" s="467" t="s">
        <v>275</v>
      </c>
      <c r="DQ215" s="467" t="s">
        <v>432</v>
      </c>
      <c r="DS215" s="215" t="s">
        <v>275</v>
      </c>
      <c r="DT215" s="215" t="s">
        <v>432</v>
      </c>
      <c r="DU215" s="471"/>
      <c r="DV215" s="215" t="s">
        <v>467</v>
      </c>
      <c r="DW215" s="215" t="s">
        <v>461</v>
      </c>
      <c r="DX215" s="215" t="s">
        <v>462</v>
      </c>
      <c r="DY215" s="215" t="s">
        <v>48</v>
      </c>
      <c r="DZ215" s="468"/>
      <c r="EA215" s="215" t="s">
        <v>591</v>
      </c>
      <c r="EB215" s="215" t="s">
        <v>592</v>
      </c>
      <c r="EC215" s="215" t="s">
        <v>514</v>
      </c>
      <c r="ED215" s="468"/>
      <c r="EE215" s="479" t="s">
        <v>456</v>
      </c>
      <c r="EF215" s="215" t="s">
        <v>599</v>
      </c>
      <c r="EG215" s="215" t="s">
        <v>598</v>
      </c>
      <c r="EH215" s="468"/>
      <c r="EI215" s="479" t="s">
        <v>474</v>
      </c>
      <c r="EJ215" s="215" t="s">
        <v>475</v>
      </c>
      <c r="EK215" s="215" t="s">
        <v>473</v>
      </c>
      <c r="EL215" s="215" t="s">
        <v>469</v>
      </c>
      <c r="EM215" s="215" t="s">
        <v>478</v>
      </c>
      <c r="EN215" s="215" t="s">
        <v>491</v>
      </c>
      <c r="EO215" s="215" t="s">
        <v>776</v>
      </c>
      <c r="EP215" s="215" t="s">
        <v>778</v>
      </c>
      <c r="EQ215" s="479" t="s">
        <v>601</v>
      </c>
      <c r="ER215" s="215" t="s">
        <v>600</v>
      </c>
      <c r="ES215" s="215" t="s">
        <v>477</v>
      </c>
      <c r="ET215" s="215" t="s">
        <v>483</v>
      </c>
      <c r="EU215" s="215" t="s">
        <v>487</v>
      </c>
      <c r="EV215" s="479" t="s">
        <v>458</v>
      </c>
      <c r="EW215" s="215" t="s">
        <v>603</v>
      </c>
      <c r="EX215" s="215" t="s">
        <v>602</v>
      </c>
      <c r="EY215" s="215" t="s">
        <v>468</v>
      </c>
      <c r="EZ215" s="215" t="s">
        <v>673</v>
      </c>
      <c r="FA215" s="215" t="s">
        <v>484</v>
      </c>
      <c r="FB215" s="215" t="s">
        <v>486</v>
      </c>
      <c r="FC215" s="479" t="s">
        <v>482</v>
      </c>
      <c r="FD215" s="215" t="s">
        <v>223</v>
      </c>
      <c r="FE215" s="215" t="s">
        <v>47</v>
      </c>
      <c r="FF215" s="215" t="s">
        <v>485</v>
      </c>
      <c r="FG215" s="215" t="s">
        <v>604</v>
      </c>
      <c r="FI215" s="490" t="s">
        <v>497</v>
      </c>
      <c r="FL215" s="668" t="s">
        <v>876</v>
      </c>
      <c r="FM215" s="668" t="s">
        <v>875</v>
      </c>
    </row>
    <row r="216" spans="1:169">
      <c r="E216" s="147">
        <v>0.1</v>
      </c>
      <c r="F216" s="188">
        <v>1.0000000000000001E-9</v>
      </c>
      <c r="G216" s="188">
        <f t="shared" ref="G216:G247" si="615">IF(PLOT_TYPE=1, E216/100*Iout2, min_I*EXP(Q216*rr/100))</f>
        <v>8.4999999999999995E-4</v>
      </c>
      <c r="H216" s="188">
        <f t="shared" ref="H216:H247" si="616">F216*Vout</f>
        <v>3.0000000000000004E-8</v>
      </c>
      <c r="I216" s="188">
        <f t="shared" ref="I216:I247" si="617">Vout2*G216</f>
        <v>5.0999999999999995E-3</v>
      </c>
      <c r="J216" s="465">
        <f t="shared" ref="J216:J247" si="618">VIN_max-(F216/CG216/Nps+G216/CH216/(Nps/Nsec1sec2))*(Rdcr_pri+RON/1000)</f>
        <v>47.993929191230912</v>
      </c>
      <c r="K216" s="379">
        <f t="shared" ref="K216:K247" si="619">MAX((S216+Vfwd2+Rdcr_sec*F216/CG216)*Nps,(Vout2+Vfwd22+Rdcr_sec2*G216/CH216)*Nps/Nsec1sec2)</f>
        <v>30.725980123023511</v>
      </c>
      <c r="L216" s="149">
        <f t="shared" ref="L216:L247" si="620">MAX((Vout+Vfwd2+F216/CG216*Rdcr_sec)*Nps+J216, (Vout2+Vfwd22+G216/CH216*Rdcr_sec2)*Nps/Nsec1sec2+J216)</f>
        <v>78.719909314254423</v>
      </c>
      <c r="M216" s="379"/>
      <c r="N216" s="188">
        <f t="shared" ref="N216:N247" si="621">MAX((Vout+Vfwd2+F216/CG216*Rdcr_sec)*Nps/((Vout+Vfwd2+F216/CG216*Rdcr_sec)*Nps+J216), (Vout2+Vfwd22+G216/CH216*Rdcr_sec2)*Nps/Nsec1sec2/((Vout2+Vfwd22+G216/CH216*Rdcr_sec2)*Nps/Nsec1sec2+J216))</f>
        <v>0.39032031909950027</v>
      </c>
      <c r="O216" s="149">
        <f t="shared" ref="O216:O247" si="622">N216*J216*Isw_max*0.5*Efficiency*Pout/(Pout+Pout2)</f>
        <v>272.26227391555955</v>
      </c>
      <c r="P216" s="149">
        <f t="shared" ref="P216:P247" si="623">N216*J216*Isw_max*0.5*Efficiency*(Pout2/Pout_total)</f>
        <v>11.571146641411278</v>
      </c>
      <c r="Q216" s="188">
        <f t="shared" ref="Q216:Q279" si="624">O216/Vout</f>
        <v>9.0754091305186524</v>
      </c>
      <c r="R216" s="188">
        <f t="shared" ref="R216:R247" si="625">O216/Vout2</f>
        <v>45.37704565259326</v>
      </c>
      <c r="S216" s="188">
        <f t="shared" ref="S216:S247" si="626">MIN(Vout,O216/F216)</f>
        <v>30</v>
      </c>
      <c r="T216" s="188">
        <f t="shared" ref="T216:T247" si="627">MIN(2*(Vout*F216+Vout2*G216)/(Efficiency*J216*N216), Isw_max)</f>
        <v>5.444967098416207E-4</v>
      </c>
      <c r="U216" s="188">
        <f t="shared" ref="U216:U279" si="628">L*T216/J216*1000000</f>
        <v>5.3322046754263305E-5</v>
      </c>
      <c r="V216" s="188">
        <f t="shared" ref="V216:V279" si="629">L*T216/K216*1000000</f>
        <v>8.3288947203933553E-5</v>
      </c>
      <c r="W216" s="172">
        <f t="shared" ref="W216:W279" si="630">IF(1/((350000*L)*(1/J216+1/K216))&gt;Isw_min, 350, 0.001/((Isw_min*L)*(1/J216+1/K216)))</f>
        <v>350</v>
      </c>
      <c r="X216" s="379">
        <f>MIN(1/(U216+V216+0.2)*1000, 350)</f>
        <v>350</v>
      </c>
      <c r="Z216" s="188">
        <f t="shared" ref="Z216:Z279" si="631">1/((W216*1000*L)*(1/J216+1/K216))</f>
        <v>11.387845444838948</v>
      </c>
      <c r="AA216" s="150">
        <f t="shared" ref="AA216:AA279" si="632">L*Z216/K216*1000000</f>
        <v>1.7419419454299989</v>
      </c>
      <c r="AB216" s="150">
        <f t="shared" ref="AB216:AB247" si="633">0.5*AA216*Z216*Nps*W216/1000*(Pout/(Pout+Pout2))</f>
        <v>3.3299462719202007</v>
      </c>
      <c r="AC216" s="150"/>
      <c r="AD216" s="150">
        <f t="shared" ref="AD216:AD279" si="634">L*Isw_min/K216*1000000</f>
        <v>0.92706069491675192</v>
      </c>
      <c r="AE216" s="314">
        <f t="shared" ref="AE216:AE247" si="635">MAX(10, F216/(0.5*AD216/1000000*Isw_min*Nps)/1000*Pout_total/Pout)</f>
        <v>10</v>
      </c>
      <c r="AF216" s="456">
        <f t="shared" ref="AF216:AF247" si="636">0.5*AD216/1000000*Isw_min*Nps*W216*1000*(Pout/Pout_total)</f>
        <v>0.94316181446366754</v>
      </c>
      <c r="AH216" s="150">
        <f t="shared" ref="AH216:AH247" si="637">SQRT((H216+I216)/(0.5*L*Fsw_DCM))</f>
        <v>7.8744170431211583E-2</v>
      </c>
      <c r="AI216" s="150">
        <f t="shared" ref="AI216:AI247" si="638">MAX(IF(F216&gt;AB216,T216,AH216),Isw_min)</f>
        <v>6.0606060606060606</v>
      </c>
      <c r="AJ216" s="150">
        <f t="shared" ref="AJ216:AJ247" si="639">IF(F216&gt;AF216, (AI216-Isw_min)/1.08*0.8+1.2, AE216*0.2/350+1)</f>
        <v>1.0057142857142858</v>
      </c>
      <c r="AL216" s="314">
        <f t="shared" ref="AL216:AL247" si="640">F216*1000</f>
        <v>1.0000000000000002E-6</v>
      </c>
      <c r="AM216" s="144">
        <f t="shared" ref="AM216:AM247" si="641">IF(F216&gt;AF216, X216, AE216)</f>
        <v>10</v>
      </c>
      <c r="AO216">
        <f t="shared" ref="AO216:AO279" si="642">IF(H216&gt;O216, "",AL216)</f>
        <v>1.0000000000000002E-6</v>
      </c>
      <c r="AP216">
        <f t="shared" ref="AP216:AP279" si="643">IF(H216&gt;O216, "",AM216)</f>
        <v>10</v>
      </c>
      <c r="AR216" s="5">
        <f t="shared" si="614"/>
        <v>100</v>
      </c>
      <c r="AS216" s="5">
        <f t="shared" si="602"/>
        <v>0.59350940764510318</v>
      </c>
      <c r="AT216" s="5">
        <f t="shared" si="603"/>
        <v>99.406490592354899</v>
      </c>
      <c r="AU216" s="150">
        <f t="shared" si="604"/>
        <v>5.9350940764510314E-3</v>
      </c>
      <c r="BA216" s="150">
        <f>AI216*SQRT(AU216/3)</f>
        <v>0.26956855588744943</v>
      </c>
      <c r="BB216" s="150">
        <f>AI216*Npri_sec1*SQRT((1-AU216)/3)*(Pout/Pout_total)</f>
        <v>3.3464684564557783</v>
      </c>
      <c r="BC216" s="150">
        <f>AI216*Npri_sec2*SQRT((1-AU216)/3)*(Pout2/Pout_total)</f>
        <v>0.67173918747087336</v>
      </c>
      <c r="BD216" s="150"/>
      <c r="BE216" s="456">
        <f>Rdson*BA216^2</f>
        <v>8.7200647587893938E-4</v>
      </c>
      <c r="BF216" s="456">
        <f t="shared" ref="BF216:BF247" si="644">0.5*L216*AI216*AM216*1000*Tfall</f>
        <v>8.7068990605160199E-2</v>
      </c>
      <c r="BG216" s="456">
        <f>Qg*Vdd*AM216*1000</f>
        <v>1.15E-3</v>
      </c>
      <c r="BH216" s="456">
        <f>0.5*(Coss+Csw)*L216^2*AM216*1000</f>
        <v>3.2068564833649976E-2</v>
      </c>
      <c r="BI216">
        <f>J216*IQ</f>
        <v>2.1597268136053911E-2</v>
      </c>
      <c r="BJ216" s="144">
        <f>(BG216+BI216)*1000</f>
        <v>22.747268136053911</v>
      </c>
      <c r="BK216">
        <f t="shared" ref="BK216:BK247" si="645">(BF216+BG216*0+BH216+BI216*0+BE216*(1+RdsonTC*(Ta-25)))/(1-BE216*RdsonTC*ThetaJA)</f>
        <v>0.12026992223666445</v>
      </c>
      <c r="BL216" s="144">
        <f>SUM(BE216:BI216)*1000</f>
        <v>142.75683005074302</v>
      </c>
      <c r="BM216" s="150">
        <f t="shared" ref="BM216:BM247" si="646">Vfwd2*F216*(1+Diode_TC/1000*(Ta-25))</f>
        <v>6.7059999999999994E-10</v>
      </c>
      <c r="BN216" s="150">
        <f t="shared" ref="BN216:BN247" si="647">Vfwd22*G216*(1+Diode_TC/1000*(Ta-25))</f>
        <v>4.0714999999999995E-4</v>
      </c>
      <c r="BQ216" s="144">
        <f>SUM(BM216:BP216)*1000</f>
        <v>0.40715067059999993</v>
      </c>
      <c r="BR216" s="456">
        <f>Rdcr_pri*BA216^2</f>
        <v>1.0173408885254293E-3</v>
      </c>
      <c r="BS216" s="456">
        <f>Rdcr_sec*BB216^2</f>
        <v>0.15678391582074927</v>
      </c>
      <c r="BT216" s="456">
        <f>Rdcr_sec2*BC216^2</f>
        <v>2.2561676799201457E-3</v>
      </c>
      <c r="BU216" s="456">
        <f>AI216^2.5*AM216^2.5*k_core</f>
        <v>1.4297501270184099E-3</v>
      </c>
      <c r="BV216" s="456"/>
      <c r="BW216" s="538">
        <f>0.5*Lleak*0.000000001*AI216^2*AM216*1000</f>
        <v>3.6730945821854911E-2</v>
      </c>
      <c r="BX216" s="144">
        <f>SUM(BR216:BW216)*1000</f>
        <v>198.21812033806816</v>
      </c>
      <c r="BY216" s="150">
        <f>SUM(BE216:BI216,BM216:BP216,BR216:BW216)</f>
        <v>0.34138210105941119</v>
      </c>
      <c r="BZ216" s="5">
        <f>MIN(H216+I216,O216+P216)</f>
        <v>5.1000299999999993E-3</v>
      </c>
      <c r="CA216" s="150">
        <f>BZ216/(BZ216+BY216)</f>
        <v>1.4719460378536805E-2</v>
      </c>
      <c r="CB216" s="5">
        <f>CA216*100</f>
        <v>1.4719460378536804</v>
      </c>
      <c r="CC216">
        <f>F216/Iout*100</f>
        <v>2.5000000000000002E-8</v>
      </c>
      <c r="CE216" s="59">
        <f t="shared" ref="CE216:CE247" si="648">IF(ABS(F216-Ioutmax_Vinmax)&lt;Iout/200, AM216, -50)</f>
        <v>-50</v>
      </c>
      <c r="CG216" s="150">
        <f t="shared" ref="CG216:CG247" si="649">MIN(SQRT(2*DT216*1000*Ls1_*CL216)/CW216, 1-DY216)</f>
        <v>1.7701224063135673E-6</v>
      </c>
      <c r="CH216" s="150">
        <f t="shared" ref="CH216:CH247" si="650">MIN(SQRT(2*DT216*1000*Ls2_*CM216)/Vout2, 1-DY216)</f>
        <v>7.7263209665751943E-4</v>
      </c>
      <c r="CI216" s="147">
        <v>0.1</v>
      </c>
      <c r="CJ216" s="188">
        <v>1.0000000000000001E-9</v>
      </c>
      <c r="CK216" s="188">
        <f t="shared" ref="CK216:CK279" si="651">IF(PLOT_TYPE=1, CI216/100*Iout2, min_I*EXP(CU216*rr/100))</f>
        <v>8.4999999999999995E-4</v>
      </c>
      <c r="CL216" s="188">
        <f t="shared" ref="CL216:CL279" si="652">CJ216*Vout</f>
        <v>3.0000000000000004E-8</v>
      </c>
      <c r="CM216" s="188">
        <f t="shared" ref="CM216:CM279" si="653">Vout2*CK216</f>
        <v>5.0999999999999995E-3</v>
      </c>
      <c r="CN216" s="465">
        <f t="shared" ref="CN216:CN279" si="654">VIN_max</f>
        <v>48</v>
      </c>
      <c r="CO216" s="379">
        <f t="shared" ref="CO216:CO247" si="655">(CW216+Vfwd2)*Nps</f>
        <v>30.7</v>
      </c>
      <c r="CP216" s="379">
        <f t="shared" ref="CP216:CP247" si="656">(Vout+Vfwd2)*Nps+CN216</f>
        <v>78.7</v>
      </c>
      <c r="CQ216" s="379"/>
      <c r="CR216" s="188">
        <f t="shared" ref="CR216:CR279" si="657">(Vout+Vfwd1)*Nps/((Vout+Vfwd1)*Nps+CN216)</f>
        <v>0.38775510204081626</v>
      </c>
      <c r="CS216" s="149">
        <f t="shared" ref="CS216:CS279" si="658">CR216*CN216*Isw_max*0.5*Efficiency*Pout/(Pout+Pout2)</f>
        <v>270.50715642699197</v>
      </c>
      <c r="CT216" s="149">
        <f t="shared" ref="CT216:CT279" si="659">CR216*CN216*Isw_max*0.5*Efficiency*(Pout2/Pout_total)</f>
        <v>11.496554148147156</v>
      </c>
      <c r="CU216" s="188">
        <f t="shared" ref="CU216:CU279" si="660">CS216/Vout</f>
        <v>9.0169052142330663</v>
      </c>
      <c r="CV216" s="188">
        <f t="shared" ref="CV216:CV279" si="661">CS216/Vout2</f>
        <v>45.084526071165328</v>
      </c>
      <c r="CW216" s="188">
        <f t="shared" ref="CW216:CW279" si="662">MIN(Vout,CS216/CJ216)</f>
        <v>30</v>
      </c>
      <c r="CX216" s="188">
        <f t="shared" ref="CX216:CX279" si="663">MIN(2*(Vout*CJ216+Vout2*CK216)/(Efficiency*CN216*CR216), Isw_max)</f>
        <v>5.4802953947368426E-4</v>
      </c>
      <c r="CY216" s="188">
        <f t="shared" ref="CY216:CY279" si="664">L*CX216/CN216*1000000</f>
        <v>5.3661225740131584E-5</v>
      </c>
      <c r="CZ216" s="188">
        <f t="shared" ref="CZ216:CZ279" si="665">L*CX216/CO216*1000000</f>
        <v>8.3900287802160121E-5</v>
      </c>
      <c r="DA216" s="172">
        <f t="shared" ref="DA216:DA279" si="666">IF(1/((350000*L)*(1/CN216+1/CO216))&gt;Isw_min, 350, 0.001/((Isw_min*L)*(1/CN216+1/CO216)))</f>
        <v>350</v>
      </c>
      <c r="DB216" s="379">
        <f t="shared" ref="DB216:DB279" si="667">MIN(1/(CY216+CZ216)*1000, 350)</f>
        <v>350</v>
      </c>
      <c r="DD216" s="188">
        <f t="shared" ref="DD216:DD279" si="668">1/((DA216*1000*L)*(1/CN216+1/CO216))</f>
        <v>11.382534575916392</v>
      </c>
      <c r="DE216" s="150">
        <f t="shared" ref="DE216:DE279" si="669">L*DD216/CO216*1000000</f>
        <v>1.7426030132510437</v>
      </c>
      <c r="DF216" s="150">
        <f t="shared" ref="DF216:DF279" si="670">0.5*DE216*DD216*Nps*DA216/1000*(Pout/(Pout+Pout2))</f>
        <v>3.3296564353233258</v>
      </c>
      <c r="DG216" s="150"/>
      <c r="DH216" s="150">
        <f t="shared" ref="DH216:DH279" si="671">L*Isw_min/CO216*1000000</f>
        <v>0.92784522751949461</v>
      </c>
      <c r="DI216" s="314">
        <f t="shared" ref="DI216:DI279" si="672">MAX(10, CJ216/(0.5*DH216/1000000*Isw_min*Nps)/1000*Pout_total/Pout)</f>
        <v>10</v>
      </c>
      <c r="DJ216" s="456">
        <f t="shared" ref="DJ216:DJ279" si="673">0.5*DH216/1000000*Isw_min*Nps*DA216*1000*(Pout/Pout_total)</f>
        <v>0.94395997276890675</v>
      </c>
      <c r="DL216" s="150">
        <f t="shared" ref="DL216:DL279" si="674">SQRT((CL216+CM216)/(0.5*L*Fsw_DCM))</f>
        <v>7.8744170431211583E-2</v>
      </c>
      <c r="DM216" s="150">
        <f t="shared" ref="DM216:DM279" si="675">MAX(IF(CJ216&gt;DF216,CX216,DL216),Isw_min)</f>
        <v>6.0606060606060606</v>
      </c>
      <c r="DN216" s="150">
        <f t="shared" ref="DN216:DN279" si="676">IF(CJ216&gt;DJ216, (DM216-Isw_min)/1.08*0.8+1.2, DI216*0.2/350+1)</f>
        <v>1.0057142857142858</v>
      </c>
      <c r="DP216" s="314">
        <f t="shared" ref="DP216:DP279" si="677">CJ216*1000</f>
        <v>1.0000000000000002E-6</v>
      </c>
      <c r="DQ216" s="144">
        <f t="shared" ref="DQ216:DQ279" si="678">IF(CJ216&gt;DJ216, DB216, DI216)</f>
        <v>10</v>
      </c>
      <c r="DS216">
        <f t="shared" ref="DS216:DS279" si="679">IF(CL216&gt;CS216, "",DP216)</f>
        <v>1.0000000000000002E-6</v>
      </c>
      <c r="DT216">
        <f t="shared" ref="DT216:DT279" si="680">IF(CL216&gt;CS216, "",DQ216)</f>
        <v>10</v>
      </c>
      <c r="DV216" s="5">
        <f t="shared" ref="DV216:DV280" si="681">1/DQ216*1000</f>
        <v>100</v>
      </c>
      <c r="DW216" s="5">
        <f t="shared" ref="DW216:DW279" si="682">L*DM216/CN216*1000000</f>
        <v>0.59343434343434343</v>
      </c>
      <c r="DX216" s="5">
        <f t="shared" ref="DX216:DX279" si="683">DV216-DW216</f>
        <v>99.406565656565661</v>
      </c>
      <c r="DY216" s="150">
        <f t="shared" ref="DY216:DY279" si="684">DW216/DV216</f>
        <v>5.9343434343434344E-3</v>
      </c>
      <c r="EA216" s="5">
        <f>CJ216*DW216/Vout_ripple*1000</f>
        <v>1.9781144781144782E-9</v>
      </c>
      <c r="EB216" s="5">
        <f>CK216*DW216/Vout_ripple2*1000</f>
        <v>8.4069865319865312E-3</v>
      </c>
      <c r="EC216" s="5">
        <f>CL216/Efficiency/CN216*DX216/Vinripple1</f>
        <v>3.6546531491384435E-8</v>
      </c>
      <c r="ED216" s="5"/>
      <c r="EE216" s="150">
        <f>DM216*SQRT(DY216/3)</f>
        <v>0.26955150848223741</v>
      </c>
      <c r="EF216" s="150">
        <f>DM216*Npri_sec1*SQRT((1-DY216)/3)*(Pout/Pout_total)</f>
        <v>3.3464697199545927</v>
      </c>
      <c r="EG216" s="150">
        <f>DM216*Npri_sec2*SQRT((1-DY216)/3)*(Pout2/Pout_total)</f>
        <v>0.67173944109396222</v>
      </c>
      <c r="EH216" s="150"/>
      <c r="EI216" s="456">
        <f>Rdson*EE216^2</f>
        <v>8.7189618870059653E-4</v>
      </c>
      <c r="EJ216" s="456">
        <f>0.5*CP216*DM216*DQ216*1000*Trise</f>
        <v>9.0624242424242427E-2</v>
      </c>
      <c r="EK216" s="456">
        <f>Qg*Vdd*DQ216*1000</f>
        <v>1.15E-3</v>
      </c>
      <c r="EL216" s="456">
        <f>0.5*(Coss+Csw)*CP216^2*DQ216*1000</f>
        <v>3.2052345750000003E-2</v>
      </c>
      <c r="EM216">
        <f>CN216*IQ</f>
        <v>2.1600000000000001E-2</v>
      </c>
      <c r="EN216" s="144">
        <f>(EK216+EM216)*1000</f>
        <v>22.75</v>
      </c>
      <c r="EP216" s="144">
        <f>SUM(EI216:EM216)*1000</f>
        <v>146.29848436294301</v>
      </c>
      <c r="EQ216" s="150">
        <f>Vfwd2*CJ216</f>
        <v>6.9999999999999996E-10</v>
      </c>
      <c r="ER216" s="150">
        <f t="shared" ref="ER216:ER247" si="685">Vfwd22*CK216*(1+Diode_TC/1000*(Ta-25))</f>
        <v>4.0714999999999995E-4</v>
      </c>
      <c r="ES216" s="456"/>
      <c r="EU216" s="144">
        <f>SUM(EQ216:ET216)*1000</f>
        <v>0.40715069999999998</v>
      </c>
      <c r="EV216" s="456">
        <f>Rdcr_pri*EE216^2</f>
        <v>1.0172122201506958E-3</v>
      </c>
      <c r="EW216" s="456">
        <f>Rdcr_sec*EF216^2</f>
        <v>0.15678403421202158</v>
      </c>
      <c r="EX216" s="456">
        <f>Rdcr_sec2*EG216^2</f>
        <v>2.2561693836061435E-3</v>
      </c>
      <c r="EY216" s="456">
        <f>DM216^2.5*DQ216^2.5*k_core</f>
        <v>1.4297501270184099E-3</v>
      </c>
      <c r="EZ216" s="456"/>
      <c r="FA216" s="538">
        <f>0.5*Lleak*0.000000001*DM216^2*DQ216*1000</f>
        <v>3.6730945821854911E-2</v>
      </c>
      <c r="FB216" s="144">
        <f>SUM(EV216:FA216)*1000</f>
        <v>198.21811176465172</v>
      </c>
      <c r="FC216" s="150">
        <f>SUM(EI216:EM216,EQ216:ET216,EV216:FA216)</f>
        <v>0.34492374682759475</v>
      </c>
      <c r="FD216" s="5">
        <f>MIN(CL216+CM216,CS216+CT216)</f>
        <v>5.1000299999999993E-3</v>
      </c>
      <c r="FE216" s="150">
        <f>FD216/(FD216+FC216)</f>
        <v>1.4570524454720214E-2</v>
      </c>
      <c r="FF216" s="5">
        <f>FE216*100</f>
        <v>1.4570524454720215</v>
      </c>
      <c r="FG216">
        <f>CJ216/Iout*100</f>
        <v>2.5000000000000002E-8</v>
      </c>
      <c r="FI216" s="59">
        <f t="shared" ref="FI216:FI279" si="686">IF(ABS(CJ216-Ioutmax_Vinmax)&lt;Iout/200, DQ216, -50)</f>
        <v>-50</v>
      </c>
    </row>
    <row r="217" spans="1:169">
      <c r="E217" s="147">
        <v>1</v>
      </c>
      <c r="F217" s="188">
        <f t="shared" ref="F217:F248" si="687">IF(PLOT_TYPE=1, E217/100*Iout_max, min_I*EXP(O217*rr/100))</f>
        <v>0.04</v>
      </c>
      <c r="G217" s="188">
        <f t="shared" si="615"/>
        <v>8.5000000000000006E-3</v>
      </c>
      <c r="H217" s="188">
        <f t="shared" si="616"/>
        <v>1.2</v>
      </c>
      <c r="I217" s="188">
        <f t="shared" si="617"/>
        <v>5.1000000000000004E-2</v>
      </c>
      <c r="J217" s="465">
        <f t="shared" si="618"/>
        <v>47.907994023579676</v>
      </c>
      <c r="K217" s="379">
        <f t="shared" si="619"/>
        <v>30.767461186454312</v>
      </c>
      <c r="L217" s="149">
        <f t="shared" si="620"/>
        <v>78.675455210033988</v>
      </c>
      <c r="M217" s="379"/>
      <c r="N217" s="188">
        <f t="shared" si="621"/>
        <v>0.39106810509474293</v>
      </c>
      <c r="O217" s="149">
        <f t="shared" si="622"/>
        <v>272.29545006455311</v>
      </c>
      <c r="P217" s="149">
        <f t="shared" si="623"/>
        <v>11.572556627743504</v>
      </c>
      <c r="Q217" s="188">
        <f t="shared" si="624"/>
        <v>9.0765150021517709</v>
      </c>
      <c r="R217" s="188">
        <f t="shared" si="625"/>
        <v>45.382575010758849</v>
      </c>
      <c r="S217" s="188">
        <f t="shared" si="626"/>
        <v>30</v>
      </c>
      <c r="T217" s="188">
        <f t="shared" si="627"/>
        <v>0.13354478143140341</v>
      </c>
      <c r="U217" s="188">
        <f t="shared" si="628"/>
        <v>1.3101372443577369E-2</v>
      </c>
      <c r="V217" s="188">
        <f t="shared" si="629"/>
        <v>2.0400138604999035E-2</v>
      </c>
      <c r="W217" s="172">
        <f t="shared" si="630"/>
        <v>350</v>
      </c>
      <c r="X217" s="379">
        <f t="shared" ref="X217:X280" si="688">MIN(1/(U217+V217+0.2)*1000, 350)</f>
        <v>350</v>
      </c>
      <c r="Z217" s="188">
        <f t="shared" si="631"/>
        <v>11.389233095253237</v>
      </c>
      <c r="AA217" s="150">
        <f t="shared" si="632"/>
        <v>1.7398054140150203</v>
      </c>
      <c r="AB217" s="150">
        <f t="shared" si="633"/>
        <v>3.3262672854725279</v>
      </c>
      <c r="AC217" s="150"/>
      <c r="AD217" s="150">
        <f t="shared" si="634"/>
        <v>0.92581082047124597</v>
      </c>
      <c r="AE217" s="314">
        <f t="shared" si="635"/>
        <v>14.863727767834392</v>
      </c>
      <c r="AF217" s="456">
        <f t="shared" si="636"/>
        <v>0.94189023229397884</v>
      </c>
      <c r="AH217" s="150">
        <f t="shared" si="637"/>
        <v>1.2332771968932612</v>
      </c>
      <c r="AI217" s="150">
        <f t="shared" si="638"/>
        <v>6.0606060606060606</v>
      </c>
      <c r="AJ217" s="150">
        <f t="shared" si="639"/>
        <v>1.0084935587244768</v>
      </c>
      <c r="AL217" s="314">
        <f t="shared" si="640"/>
        <v>40</v>
      </c>
      <c r="AM217" s="144">
        <f t="shared" si="641"/>
        <v>14.863727767834392</v>
      </c>
      <c r="AO217">
        <f t="shared" si="642"/>
        <v>40</v>
      </c>
      <c r="AP217">
        <f t="shared" si="643"/>
        <v>14.863727767834392</v>
      </c>
      <c r="AR217" s="5">
        <f t="shared" si="614"/>
        <v>67.277873735284217</v>
      </c>
      <c r="AS217" s="5">
        <f t="shared" si="602"/>
        <v>0.59457401766453877</v>
      </c>
      <c r="AT217" s="5">
        <f t="shared" si="603"/>
        <v>66.683299717619676</v>
      </c>
      <c r="AU217" s="150">
        <f t="shared" si="604"/>
        <v>8.8375863363932602E-3</v>
      </c>
      <c r="BA217" s="150">
        <f t="shared" ref="BA217:BA280" si="689">AI217*SQRT(AU217/3)</f>
        <v>0.32894422268728479</v>
      </c>
      <c r="BB217" s="150">
        <f t="shared" ref="BB217:BB280" si="690">AI217*Npri_sec1*SQRT((1-AU217)/3)*(Pout/Pout_total)</f>
        <v>3.3415793394403468</v>
      </c>
      <c r="BC217" s="150">
        <f t="shared" ref="BC217:BC280" si="691">AI217*Npri_sec2*SQRT((1-AU217)/3)*(Pout2/Pout_total)</f>
        <v>0.67075779125150636</v>
      </c>
      <c r="BD217" s="150"/>
      <c r="BE217" s="456">
        <f t="shared" ref="BE217:BE280" si="692">Rdson*BA217^2</f>
        <v>1.2984516196721042E-3</v>
      </c>
      <c r="BF217" s="456">
        <f t="shared" si="644"/>
        <v>0.12934389397337079</v>
      </c>
      <c r="BG217" s="456">
        <f t="shared" ref="BG217:BG280" si="693">Qg*Vdd*AM217*1000</f>
        <v>1.7093286933009553E-3</v>
      </c>
      <c r="BH217" s="456">
        <f t="shared" ref="BH217:BH280" si="694">0.5*(Coss+Csw)*L217^2*AM217*1000</f>
        <v>4.7612021981781744E-2</v>
      </c>
      <c r="BI217">
        <f t="shared" ref="BI217:BI280" si="695">J217*IQ</f>
        <v>2.1558597310610852E-2</v>
      </c>
      <c r="BJ217" s="144">
        <f t="shared" ref="BJ217:BJ280" si="696">(BG217+BI217)*1000</f>
        <v>23.267926003911807</v>
      </c>
      <c r="BK217">
        <f t="shared" si="645"/>
        <v>0.17866006830585893</v>
      </c>
      <c r="BL217" s="144">
        <f t="shared" ref="BL217:BL280" si="697">SUM(BE217:BI217)*1000</f>
        <v>201.52229357873645</v>
      </c>
      <c r="BM217" s="150">
        <f t="shared" si="646"/>
        <v>2.6823999999999997E-2</v>
      </c>
      <c r="BN217" s="150">
        <f t="shared" si="647"/>
        <v>4.0715000000000005E-3</v>
      </c>
      <c r="BQ217" s="144">
        <f t="shared" ref="BQ217:BQ280" si="698">SUM(BM217:BP217)*1000</f>
        <v>30.895499999999998</v>
      </c>
      <c r="BR217" s="456">
        <f t="shared" ref="BR217:BR280" si="699">Rdcr_pri*BA217^2</f>
        <v>1.5148602229507883E-3</v>
      </c>
      <c r="BS217" s="456">
        <f t="shared" ref="BS217:BS280" si="700">Rdcr_sec*BB217^2</f>
        <v>0.15632613474484419</v>
      </c>
      <c r="BT217" s="456">
        <f t="shared" ref="BT217:BT280" si="701">Rdcr_sec2*BC217^2</f>
        <v>2.2495800726229972E-3</v>
      </c>
      <c r="BU217" s="456">
        <f t="shared" ref="BU217:BU280" si="702">AI217^2.5*AM217^2.5*k_core</f>
        <v>3.8510530399180707E-3</v>
      </c>
      <c r="BV217" s="456"/>
      <c r="BW217" s="538">
        <f t="shared" ref="BW217:BW280" si="703">0.5*Lleak*0.000000001*AI217^2*AM217*1000</f>
        <v>5.4595877935112558E-2</v>
      </c>
      <c r="BX217" s="144">
        <f t="shared" ref="BX217:BX280" si="704">SUM(BR217:BW217)*1000</f>
        <v>218.53750601544857</v>
      </c>
      <c r="BY217" s="150">
        <f t="shared" ref="BY217:BY280" si="705">SUM(BE217:BI217,BM217:BP217,BR217:BW217)</f>
        <v>0.45095529959418501</v>
      </c>
      <c r="BZ217" s="5">
        <f t="shared" ref="BZ217:BZ280" si="706">MIN(H217+I217,O217+P217)</f>
        <v>1.2509999999999999</v>
      </c>
      <c r="CA217" s="150">
        <f t="shared" ref="CA217:CA280" si="707">BZ217/(BZ217+BY217)</f>
        <v>0.73503693093366729</v>
      </c>
      <c r="CB217" s="5">
        <f t="shared" ref="CB217:CB280" si="708">CA217*100</f>
        <v>73.503693093366735</v>
      </c>
      <c r="CC217">
        <f t="shared" ref="CC217:CC280" si="709">F217/Iout*100</f>
        <v>1</v>
      </c>
      <c r="CE217" s="59">
        <f t="shared" si="648"/>
        <v>-50</v>
      </c>
      <c r="CG217" s="150">
        <f t="shared" si="649"/>
        <v>1.3633913158004198E-2</v>
      </c>
      <c r="CH217" s="150">
        <f t="shared" si="650"/>
        <v>2.9755001324606955E-3</v>
      </c>
      <c r="CI217" s="147">
        <v>1</v>
      </c>
      <c r="CJ217" s="188">
        <f t="shared" ref="CJ217:CJ280" si="710">IF(PLOT_TYPE=1, CI217/100*Iout_max, min_I*EXP(CS217*rr/100))</f>
        <v>0.04</v>
      </c>
      <c r="CK217" s="188">
        <f t="shared" si="651"/>
        <v>8.5000000000000006E-3</v>
      </c>
      <c r="CL217" s="188">
        <f t="shared" si="652"/>
        <v>1.2</v>
      </c>
      <c r="CM217" s="188">
        <f t="shared" si="653"/>
        <v>5.1000000000000004E-2</v>
      </c>
      <c r="CN217" s="465">
        <f t="shared" si="654"/>
        <v>48</v>
      </c>
      <c r="CO217" s="379">
        <f t="shared" si="655"/>
        <v>30.7</v>
      </c>
      <c r="CP217" s="379">
        <f t="shared" si="656"/>
        <v>78.7</v>
      </c>
      <c r="CQ217" s="379"/>
      <c r="CR217" s="188">
        <f t="shared" si="657"/>
        <v>0.38775510204081626</v>
      </c>
      <c r="CS217" s="149">
        <f t="shared" si="658"/>
        <v>270.50715642699197</v>
      </c>
      <c r="CT217" s="149">
        <f t="shared" si="659"/>
        <v>11.496554148147156</v>
      </c>
      <c r="CU217" s="188">
        <f t="shared" si="660"/>
        <v>9.0169052142330663</v>
      </c>
      <c r="CV217" s="188">
        <f t="shared" si="661"/>
        <v>45.084526071165328</v>
      </c>
      <c r="CW217" s="188">
        <f t="shared" si="662"/>
        <v>30</v>
      </c>
      <c r="CX217" s="188">
        <f t="shared" si="663"/>
        <v>0.13442763157894738</v>
      </c>
      <c r="CY217" s="188">
        <f t="shared" si="664"/>
        <v>1.3162705592105264E-2</v>
      </c>
      <c r="CZ217" s="188">
        <f t="shared" si="665"/>
        <v>2.0580126007200415E-2</v>
      </c>
      <c r="DA217" s="172">
        <f t="shared" si="666"/>
        <v>350</v>
      </c>
      <c r="DB217" s="379">
        <f t="shared" si="667"/>
        <v>350</v>
      </c>
      <c r="DD217" s="188">
        <f t="shared" si="668"/>
        <v>11.382534575916392</v>
      </c>
      <c r="DE217" s="150">
        <f t="shared" si="669"/>
        <v>1.7426030132510437</v>
      </c>
      <c r="DF217" s="150">
        <f t="shared" si="670"/>
        <v>3.3296564353233258</v>
      </c>
      <c r="DG217" s="150"/>
      <c r="DH217" s="150">
        <f t="shared" si="671"/>
        <v>0.92784522751949461</v>
      </c>
      <c r="DI217" s="314">
        <f t="shared" si="672"/>
        <v>14.831137340425533</v>
      </c>
      <c r="DJ217" s="456">
        <f t="shared" si="673"/>
        <v>0.94395997276890675</v>
      </c>
      <c r="DL217" s="150">
        <f t="shared" si="674"/>
        <v>1.2332771968932612</v>
      </c>
      <c r="DM217" s="150">
        <f t="shared" si="675"/>
        <v>6.0606060606060606</v>
      </c>
      <c r="DN217" s="150">
        <f t="shared" si="676"/>
        <v>1.0084749356231002</v>
      </c>
      <c r="DP217" s="314">
        <f t="shared" si="677"/>
        <v>40</v>
      </c>
      <c r="DQ217" s="144">
        <f t="shared" si="678"/>
        <v>14.831137340425533</v>
      </c>
      <c r="DS217">
        <f t="shared" si="679"/>
        <v>40</v>
      </c>
      <c r="DT217">
        <f t="shared" si="680"/>
        <v>14.831137340425533</v>
      </c>
      <c r="DV217" s="5">
        <f t="shared" si="681"/>
        <v>67.425712340636181</v>
      </c>
      <c r="DW217" s="5">
        <f t="shared" si="682"/>
        <v>0.59343434343434343</v>
      </c>
      <c r="DX217" s="5">
        <f t="shared" si="683"/>
        <v>66.832277997201842</v>
      </c>
      <c r="DY217" s="150">
        <f t="shared" si="684"/>
        <v>8.8013062500000017E-3</v>
      </c>
      <c r="EA217" s="5">
        <f t="shared" ref="EA217:EA280" si="711">CJ217*DW217/Vout_ripple*1000</f>
        <v>7.9124579124579125E-2</v>
      </c>
      <c r="EB217" s="5">
        <f t="shared" ref="EB217:EB280" si="712">CK217*DW217/Vout_ripple2*1000</f>
        <v>8.4069865319865322E-2</v>
      </c>
      <c r="EC217" s="5">
        <f t="shared" ref="EC217:EC280" si="713">CL217/Efficiency/CN217*DX217/Vinripple1</f>
        <v>0.98282761760590931</v>
      </c>
      <c r="ED217" s="5"/>
      <c r="EE217" s="150">
        <f t="shared" ref="EE217:EE280" si="714">DM217*SQRT(DY217/3)</f>
        <v>0.32826833689849072</v>
      </c>
      <c r="EF217" s="150">
        <f t="shared" ref="EF217:EF280" si="715">DM217*Npri_sec1*SQRT((1-DY217)/3)*(Pout/Pout_total)</f>
        <v>3.3416404957534218</v>
      </c>
      <c r="EG217" s="150">
        <f t="shared" ref="EG217:EG280" si="716">DM217*Npri_sec2*SQRT((1-DY217)/3)*(Pout2/Pout_total)</f>
        <v>0.67077006720527332</v>
      </c>
      <c r="EH217" s="150"/>
      <c r="EI217" s="456">
        <f t="shared" ref="EI217:EI280" si="717">Rdson*EE217^2</f>
        <v>1.293121212121212E-3</v>
      </c>
      <c r="EJ217" s="456">
        <f t="shared" ref="EJ217:EJ280" si="718">0.5*CP217*DM217*DQ217*1000*Trise</f>
        <v>0.13440605857659577</v>
      </c>
      <c r="EK217" s="456">
        <f t="shared" ref="EK217:EK280" si="719">Qg*Vdd*DQ217*1000</f>
        <v>1.7055807941489364E-3</v>
      </c>
      <c r="EL217" s="456">
        <f t="shared" ref="EL217:EL280" si="720">0.5*(Coss+Csw)*CP217^2*DQ217*1000</f>
        <v>4.753727419010547E-2</v>
      </c>
      <c r="EM217">
        <f t="shared" ref="EM217:EM280" si="721">CN217*IQ</f>
        <v>2.1600000000000001E-2</v>
      </c>
      <c r="EN217" s="144">
        <f t="shared" ref="EN217:EN280" si="722">(EK217+EM217)*1000</f>
        <v>23.305580794148938</v>
      </c>
      <c r="EP217" s="144">
        <f t="shared" ref="EP217:EP280" si="723">SUM(EI217:EM217)*1000</f>
        <v>206.54203477297139</v>
      </c>
      <c r="EQ217" s="150">
        <f t="shared" ref="EQ217:EQ280" si="724">Vfwd2*CJ217</f>
        <v>2.7999999999999997E-2</v>
      </c>
      <c r="ER217" s="150">
        <f t="shared" si="685"/>
        <v>4.0715000000000005E-3</v>
      </c>
      <c r="ES217" s="456"/>
      <c r="EU217" s="144">
        <f t="shared" ref="EU217:EU280" si="725">SUM(EQ217:ET217)*1000</f>
        <v>32.071499999999993</v>
      </c>
      <c r="EV217" s="456">
        <f t="shared" ref="EV217:EV280" si="726">Rdcr_pri*EE217^2</f>
        <v>1.5086414141414141E-3</v>
      </c>
      <c r="EW217" s="456">
        <f t="shared" ref="EW217:EW280" si="727">Rdcr_sec*EF217^2</f>
        <v>0.15633185684002845</v>
      </c>
      <c r="EX217" s="456">
        <f t="shared" ref="EX217:EX280" si="728">Rdcr_sec2*EG217^2</f>
        <v>2.2496624152928343E-3</v>
      </c>
      <c r="EY217" s="456">
        <f t="shared" ref="EY217:EY280" si="729">DM217^2.5*DQ217^2.5*k_core</f>
        <v>3.8299780529067427E-3</v>
      </c>
      <c r="EZ217" s="456"/>
      <c r="FA217" s="538">
        <f t="shared" ref="FA217:FA280" si="730">0.5*Lleak*0.000000001*DM217^2*DQ217*1000</f>
        <v>5.4476170212765962E-2</v>
      </c>
      <c r="FB217" s="144">
        <f t="shared" ref="FB217:FB280" si="731">SUM(EV217:FA217)*1000</f>
        <v>218.39630893513544</v>
      </c>
      <c r="FC217" s="150">
        <f t="shared" ref="FC217:FC280" si="732">SUM(EI217:EM217,EQ217:ET217,EV217:FA217)</f>
        <v>0.45700984370810682</v>
      </c>
      <c r="FD217" s="5">
        <f t="shared" ref="FD217:FD280" si="733">MIN(CL217+CM217,CS217+CT217)</f>
        <v>1.2509999999999999</v>
      </c>
      <c r="FE217" s="150">
        <f t="shared" ref="FE217:FE280" si="734">FD217/(FD217+FC217)</f>
        <v>0.73243137597150276</v>
      </c>
      <c r="FF217" s="5">
        <f t="shared" ref="FF217:FF280" si="735">FE217*100</f>
        <v>73.24313759715028</v>
      </c>
      <c r="FG217">
        <f t="shared" ref="FG217:FG280" si="736">CJ217/Iout*100</f>
        <v>1</v>
      </c>
      <c r="FI217" s="59">
        <f t="shared" si="686"/>
        <v>-50</v>
      </c>
    </row>
    <row r="218" spans="1:169">
      <c r="E218" s="147">
        <v>2</v>
      </c>
      <c r="F218" s="188">
        <f t="shared" si="687"/>
        <v>0.08</v>
      </c>
      <c r="G218" s="188">
        <f t="shared" si="615"/>
        <v>1.7000000000000001E-2</v>
      </c>
      <c r="H218" s="188">
        <f t="shared" si="616"/>
        <v>2.4</v>
      </c>
      <c r="I218" s="188">
        <f t="shared" si="617"/>
        <v>0.10200000000000001</v>
      </c>
      <c r="J218" s="465">
        <f t="shared" si="618"/>
        <v>47.907994023579676</v>
      </c>
      <c r="K218" s="379">
        <f t="shared" si="619"/>
        <v>30.767461186454312</v>
      </c>
      <c r="L218" s="149">
        <f t="shared" si="620"/>
        <v>78.675455210033988</v>
      </c>
      <c r="M218" s="379"/>
      <c r="N218" s="188">
        <f t="shared" si="621"/>
        <v>0.39106810509474293</v>
      </c>
      <c r="O218" s="149">
        <f t="shared" si="622"/>
        <v>272.29545006455311</v>
      </c>
      <c r="P218" s="149">
        <f t="shared" si="623"/>
        <v>11.572556627743504</v>
      </c>
      <c r="Q218" s="188">
        <f t="shared" si="624"/>
        <v>9.0765150021517709</v>
      </c>
      <c r="R218" s="188">
        <f t="shared" si="625"/>
        <v>45.382575010758849</v>
      </c>
      <c r="S218" s="188">
        <f t="shared" si="626"/>
        <v>30</v>
      </c>
      <c r="T218" s="188">
        <f t="shared" si="627"/>
        <v>0.26708956286280683</v>
      </c>
      <c r="U218" s="188">
        <f t="shared" si="628"/>
        <v>2.6202744887154739E-2</v>
      </c>
      <c r="V218" s="188">
        <f t="shared" si="629"/>
        <v>4.080027720999807E-2</v>
      </c>
      <c r="W218" s="172">
        <f t="shared" si="630"/>
        <v>350</v>
      </c>
      <c r="X218" s="379">
        <f t="shared" si="688"/>
        <v>350</v>
      </c>
      <c r="Z218" s="188">
        <f t="shared" si="631"/>
        <v>11.389233095253237</v>
      </c>
      <c r="AA218" s="150">
        <f t="shared" si="632"/>
        <v>1.7398054140150203</v>
      </c>
      <c r="AB218" s="150">
        <f t="shared" si="633"/>
        <v>3.3262672854725279</v>
      </c>
      <c r="AC218" s="150"/>
      <c r="AD218" s="150">
        <f t="shared" si="634"/>
        <v>0.92581082047124597</v>
      </c>
      <c r="AE218" s="314">
        <f t="shared" si="635"/>
        <v>29.727455535668785</v>
      </c>
      <c r="AF218" s="456">
        <f t="shared" si="636"/>
        <v>0.94189023229397884</v>
      </c>
      <c r="AH218" s="150">
        <f t="shared" si="637"/>
        <v>1.7441173380119237</v>
      </c>
      <c r="AI218" s="150">
        <f t="shared" si="638"/>
        <v>6.0606060606060606</v>
      </c>
      <c r="AJ218" s="150">
        <f t="shared" si="639"/>
        <v>1.0169871174489535</v>
      </c>
      <c r="AL218" s="314">
        <f t="shared" si="640"/>
        <v>80</v>
      </c>
      <c r="AM218" s="144">
        <f t="shared" si="641"/>
        <v>29.727455535668785</v>
      </c>
      <c r="AO218">
        <f t="shared" si="642"/>
        <v>80</v>
      </c>
      <c r="AP218">
        <f t="shared" si="643"/>
        <v>29.727455535668785</v>
      </c>
      <c r="AR218" s="5">
        <f t="shared" si="614"/>
        <v>33.638936867642109</v>
      </c>
      <c r="AS218" s="5">
        <f t="shared" si="602"/>
        <v>0.59457401766453877</v>
      </c>
      <c r="AT218" s="5">
        <f t="shared" si="603"/>
        <v>33.044362849977567</v>
      </c>
      <c r="AU218" s="150">
        <f t="shared" si="604"/>
        <v>1.767517267278652E-2</v>
      </c>
      <c r="BA218" s="150">
        <f t="shared" si="689"/>
        <v>0.46519738098863378</v>
      </c>
      <c r="BB218" s="150">
        <f t="shared" si="690"/>
        <v>3.3266485777518393</v>
      </c>
      <c r="BC218" s="150">
        <f t="shared" si="691"/>
        <v>0.66776072797257102</v>
      </c>
      <c r="BD218" s="150"/>
      <c r="BE218" s="456">
        <f t="shared" si="692"/>
        <v>2.5969032393442092E-3</v>
      </c>
      <c r="BF218" s="456">
        <f t="shared" si="644"/>
        <v>0.25868778794674158</v>
      </c>
      <c r="BG218" s="456">
        <f t="shared" si="693"/>
        <v>3.4186573866019105E-3</v>
      </c>
      <c r="BH218" s="456">
        <f t="shared" si="694"/>
        <v>9.5224043963563487E-2</v>
      </c>
      <c r="BI218">
        <f t="shared" si="695"/>
        <v>2.1558597310610852E-2</v>
      </c>
      <c r="BJ218" s="144">
        <f t="shared" si="696"/>
        <v>24.977254697212764</v>
      </c>
      <c r="BK218">
        <f t="shared" si="645"/>
        <v>0.35743044226041926</v>
      </c>
      <c r="BL218" s="144">
        <f t="shared" si="697"/>
        <v>381.48598984686197</v>
      </c>
      <c r="BM218" s="150">
        <f t="shared" si="646"/>
        <v>5.3647999999999994E-2</v>
      </c>
      <c r="BN218" s="150">
        <f t="shared" si="647"/>
        <v>8.1430000000000009E-3</v>
      </c>
      <c r="BQ218" s="144">
        <f t="shared" si="698"/>
        <v>61.790999999999997</v>
      </c>
      <c r="BR218" s="456">
        <f t="shared" si="699"/>
        <v>3.029720445901577E-3</v>
      </c>
      <c r="BS218" s="456">
        <f t="shared" si="700"/>
        <v>0.15493227063801671</v>
      </c>
      <c r="BT218" s="456">
        <f t="shared" si="701"/>
        <v>2.22952194911229E-3</v>
      </c>
      <c r="BU218" s="456">
        <f t="shared" si="702"/>
        <v>2.1784845753881114E-2</v>
      </c>
      <c r="BV218" s="456"/>
      <c r="BW218" s="538">
        <f t="shared" si="703"/>
        <v>0.10919175587022512</v>
      </c>
      <c r="BX218" s="144">
        <f t="shared" si="704"/>
        <v>291.16811465713681</v>
      </c>
      <c r="BY218" s="150">
        <f t="shared" si="705"/>
        <v>0.73444510450399869</v>
      </c>
      <c r="BZ218" s="5">
        <f t="shared" si="706"/>
        <v>2.5019999999999998</v>
      </c>
      <c r="CA218" s="150">
        <f t="shared" si="707"/>
        <v>0.77307042733958065</v>
      </c>
      <c r="CB218" s="5">
        <f t="shared" si="708"/>
        <v>77.30704273395807</v>
      </c>
      <c r="CC218">
        <f t="shared" si="709"/>
        <v>2</v>
      </c>
      <c r="CE218" s="59">
        <f t="shared" si="648"/>
        <v>-50</v>
      </c>
      <c r="CG218" s="150">
        <f t="shared" si="649"/>
        <v>2.7267826316008395E-2</v>
      </c>
      <c r="CH218" s="150">
        <f t="shared" si="650"/>
        <v>5.9510002649213909E-3</v>
      </c>
      <c r="CI218" s="147">
        <v>2</v>
      </c>
      <c r="CJ218" s="188">
        <f t="shared" si="710"/>
        <v>0.08</v>
      </c>
      <c r="CK218" s="188">
        <f t="shared" si="651"/>
        <v>1.7000000000000001E-2</v>
      </c>
      <c r="CL218" s="188">
        <f t="shared" si="652"/>
        <v>2.4</v>
      </c>
      <c r="CM218" s="188">
        <f t="shared" si="653"/>
        <v>0.10200000000000001</v>
      </c>
      <c r="CN218" s="465">
        <f t="shared" si="654"/>
        <v>48</v>
      </c>
      <c r="CO218" s="379">
        <f t="shared" si="655"/>
        <v>30.7</v>
      </c>
      <c r="CP218" s="379">
        <f t="shared" si="656"/>
        <v>78.7</v>
      </c>
      <c r="CQ218" s="379"/>
      <c r="CR218" s="188">
        <f t="shared" si="657"/>
        <v>0.38775510204081626</v>
      </c>
      <c r="CS218" s="149">
        <f t="shared" si="658"/>
        <v>270.50715642699197</v>
      </c>
      <c r="CT218" s="149">
        <f t="shared" si="659"/>
        <v>11.496554148147156</v>
      </c>
      <c r="CU218" s="188">
        <f t="shared" si="660"/>
        <v>9.0169052142330663</v>
      </c>
      <c r="CV218" s="188">
        <f t="shared" si="661"/>
        <v>45.084526071165328</v>
      </c>
      <c r="CW218" s="188">
        <f t="shared" si="662"/>
        <v>30</v>
      </c>
      <c r="CX218" s="188">
        <f t="shared" si="663"/>
        <v>0.26885526315789476</v>
      </c>
      <c r="CY218" s="188">
        <f t="shared" si="664"/>
        <v>2.6325411184210529E-2</v>
      </c>
      <c r="CZ218" s="188">
        <f t="shared" si="665"/>
        <v>4.1160252014400829E-2</v>
      </c>
      <c r="DA218" s="172">
        <f t="shared" si="666"/>
        <v>350</v>
      </c>
      <c r="DB218" s="379">
        <f t="shared" si="667"/>
        <v>350</v>
      </c>
      <c r="DD218" s="188">
        <f t="shared" si="668"/>
        <v>11.382534575916392</v>
      </c>
      <c r="DE218" s="150">
        <f t="shared" si="669"/>
        <v>1.7426030132510437</v>
      </c>
      <c r="DF218" s="150">
        <f t="shared" si="670"/>
        <v>3.3296564353233258</v>
      </c>
      <c r="DG218" s="150"/>
      <c r="DH218" s="150">
        <f t="shared" si="671"/>
        <v>0.92784522751949461</v>
      </c>
      <c r="DI218" s="314">
        <f t="shared" si="672"/>
        <v>29.662274680851066</v>
      </c>
      <c r="DJ218" s="456">
        <f t="shared" si="673"/>
        <v>0.94395997276890675</v>
      </c>
      <c r="DL218" s="150">
        <f t="shared" si="674"/>
        <v>1.7441173380119237</v>
      </c>
      <c r="DM218" s="150">
        <f t="shared" si="675"/>
        <v>6.0606060606060606</v>
      </c>
      <c r="DN218" s="150">
        <f t="shared" si="676"/>
        <v>1.0169498712462006</v>
      </c>
      <c r="DP218" s="314">
        <f t="shared" si="677"/>
        <v>80</v>
      </c>
      <c r="DQ218" s="144">
        <f t="shared" si="678"/>
        <v>29.662274680851066</v>
      </c>
      <c r="DS218">
        <f t="shared" si="679"/>
        <v>80</v>
      </c>
      <c r="DT218">
        <f t="shared" si="680"/>
        <v>29.662274680851066</v>
      </c>
      <c r="DV218" s="5">
        <f t="shared" si="681"/>
        <v>33.712856170318091</v>
      </c>
      <c r="DW218" s="5">
        <f t="shared" si="682"/>
        <v>0.59343434343434343</v>
      </c>
      <c r="DX218" s="5">
        <f t="shared" si="683"/>
        <v>33.119421826883745</v>
      </c>
      <c r="DY218" s="150">
        <f t="shared" si="684"/>
        <v>1.7602612500000003E-2</v>
      </c>
      <c r="EA218" s="5">
        <f t="shared" si="711"/>
        <v>0.15824915824915825</v>
      </c>
      <c r="EB218" s="5">
        <f t="shared" si="712"/>
        <v>0.16813973063973064</v>
      </c>
      <c r="EC218" s="5">
        <f t="shared" si="713"/>
        <v>0.97410064196716883</v>
      </c>
      <c r="ED218" s="5"/>
      <c r="EE218" s="150">
        <f t="shared" si="714"/>
        <v>0.46424153413950592</v>
      </c>
      <c r="EF218" s="150">
        <f t="shared" si="715"/>
        <v>3.3267714382006348</v>
      </c>
      <c r="EG218" s="150">
        <f t="shared" si="716"/>
        <v>0.66778538984496572</v>
      </c>
      <c r="EH218" s="150"/>
      <c r="EI218" s="456">
        <f t="shared" si="717"/>
        <v>2.5862424242424245E-3</v>
      </c>
      <c r="EJ218" s="456">
        <f t="shared" si="718"/>
        <v>0.26881211715319153</v>
      </c>
      <c r="EK218" s="456">
        <f t="shared" si="719"/>
        <v>3.4111615882978729E-3</v>
      </c>
      <c r="EL218" s="456">
        <f t="shared" si="720"/>
        <v>9.5074548380210941E-2</v>
      </c>
      <c r="EM218">
        <f t="shared" si="721"/>
        <v>2.1600000000000001E-2</v>
      </c>
      <c r="EN218" s="144">
        <f t="shared" si="722"/>
        <v>25.011161588297874</v>
      </c>
      <c r="EP218" s="144">
        <f t="shared" si="723"/>
        <v>391.48406954594276</v>
      </c>
      <c r="EQ218" s="150">
        <f t="shared" si="724"/>
        <v>5.5999999999999994E-2</v>
      </c>
      <c r="ER218" s="150">
        <f t="shared" si="685"/>
        <v>8.1430000000000009E-3</v>
      </c>
      <c r="ES218" s="456"/>
      <c r="EU218" s="144">
        <f t="shared" si="725"/>
        <v>64.142999999999986</v>
      </c>
      <c r="EV218" s="456">
        <f t="shared" si="726"/>
        <v>3.0172828282828286E-3</v>
      </c>
      <c r="EW218" s="456">
        <f t="shared" si="727"/>
        <v>0.15494371482838529</v>
      </c>
      <c r="EX218" s="456">
        <f t="shared" si="728"/>
        <v>2.2296866344519643E-3</v>
      </c>
      <c r="EY218" s="456">
        <f t="shared" si="729"/>
        <v>2.1665627624048063E-2</v>
      </c>
      <c r="EZ218" s="456"/>
      <c r="FA218" s="538">
        <f t="shared" si="730"/>
        <v>0.10895234042553192</v>
      </c>
      <c r="FB218" s="144">
        <f t="shared" si="731"/>
        <v>290.80865234070006</v>
      </c>
      <c r="FC218" s="150">
        <f t="shared" si="732"/>
        <v>0.74643572188664298</v>
      </c>
      <c r="FD218" s="5">
        <f t="shared" si="733"/>
        <v>2.5019999999999998</v>
      </c>
      <c r="FE218" s="150">
        <f t="shared" si="734"/>
        <v>0.7702168718138821</v>
      </c>
      <c r="FF218" s="5">
        <f t="shared" si="735"/>
        <v>77.021687181388216</v>
      </c>
      <c r="FG218">
        <f t="shared" si="736"/>
        <v>2</v>
      </c>
      <c r="FI218" s="59">
        <f t="shared" si="686"/>
        <v>-50</v>
      </c>
    </row>
    <row r="219" spans="1:169">
      <c r="E219" s="147">
        <v>3</v>
      </c>
      <c r="F219" s="188">
        <f t="shared" si="687"/>
        <v>0.12</v>
      </c>
      <c r="G219" s="188">
        <f t="shared" si="615"/>
        <v>2.5499999999999998E-2</v>
      </c>
      <c r="H219" s="188">
        <f t="shared" si="616"/>
        <v>3.5999999999999996</v>
      </c>
      <c r="I219" s="188">
        <f t="shared" si="617"/>
        <v>0.153</v>
      </c>
      <c r="J219" s="465">
        <f t="shared" si="618"/>
        <v>47.907994023579676</v>
      </c>
      <c r="K219" s="379">
        <f t="shared" si="619"/>
        <v>30.767461186454312</v>
      </c>
      <c r="L219" s="149">
        <f t="shared" si="620"/>
        <v>78.675455210033988</v>
      </c>
      <c r="M219" s="379"/>
      <c r="N219" s="188">
        <f t="shared" si="621"/>
        <v>0.39106810509474293</v>
      </c>
      <c r="O219" s="149">
        <f t="shared" si="622"/>
        <v>272.29545006455311</v>
      </c>
      <c r="P219" s="149">
        <f t="shared" si="623"/>
        <v>11.572556627743504</v>
      </c>
      <c r="Q219" s="188">
        <f t="shared" si="624"/>
        <v>9.0765150021517709</v>
      </c>
      <c r="R219" s="188">
        <f t="shared" si="625"/>
        <v>45.382575010758849</v>
      </c>
      <c r="S219" s="188">
        <f t="shared" si="626"/>
        <v>30</v>
      </c>
      <c r="T219" s="188">
        <f t="shared" si="627"/>
        <v>0.40063434429421024</v>
      </c>
      <c r="U219" s="188">
        <f t="shared" si="628"/>
        <v>3.9304117330732108E-2</v>
      </c>
      <c r="V219" s="188">
        <f t="shared" si="629"/>
        <v>6.1200415814997106E-2</v>
      </c>
      <c r="W219" s="172">
        <f t="shared" si="630"/>
        <v>350</v>
      </c>
      <c r="X219" s="379">
        <f t="shared" si="688"/>
        <v>350</v>
      </c>
      <c r="Z219" s="188">
        <f t="shared" si="631"/>
        <v>11.389233095253237</v>
      </c>
      <c r="AA219" s="150">
        <f t="shared" si="632"/>
        <v>1.7398054140150203</v>
      </c>
      <c r="AB219" s="150">
        <f t="shared" si="633"/>
        <v>3.3262672854725279</v>
      </c>
      <c r="AC219" s="150"/>
      <c r="AD219" s="150">
        <f t="shared" si="634"/>
        <v>0.92581082047124597</v>
      </c>
      <c r="AE219" s="314">
        <f t="shared" si="635"/>
        <v>44.591183303503172</v>
      </c>
      <c r="AF219" s="456">
        <f t="shared" si="636"/>
        <v>0.94189023229397884</v>
      </c>
      <c r="AH219" s="150">
        <f t="shared" si="637"/>
        <v>2.1360987648352543</v>
      </c>
      <c r="AI219" s="150">
        <f t="shared" si="638"/>
        <v>6.0606060606060606</v>
      </c>
      <c r="AJ219" s="150">
        <f t="shared" si="639"/>
        <v>1.0254806761734303</v>
      </c>
      <c r="AL219" s="314">
        <f t="shared" si="640"/>
        <v>120</v>
      </c>
      <c r="AM219" s="144">
        <f t="shared" si="641"/>
        <v>44.591183303503172</v>
      </c>
      <c r="AO219">
        <f t="shared" si="642"/>
        <v>120</v>
      </c>
      <c r="AP219">
        <f t="shared" si="643"/>
        <v>44.591183303503172</v>
      </c>
      <c r="AR219" s="5">
        <f t="shared" si="614"/>
        <v>22.425957911761405</v>
      </c>
      <c r="AS219" s="5">
        <f t="shared" si="602"/>
        <v>0.59457401766453877</v>
      </c>
      <c r="AT219" s="5">
        <f t="shared" si="603"/>
        <v>21.831383894096867</v>
      </c>
      <c r="AU219" s="150">
        <f t="shared" si="604"/>
        <v>2.6512759009179782E-2</v>
      </c>
      <c r="BA219" s="150">
        <f t="shared" si="689"/>
        <v>0.56974810655062835</v>
      </c>
      <c r="BB219" s="150">
        <f t="shared" si="690"/>
        <v>3.3116505005724992</v>
      </c>
      <c r="BC219" s="150">
        <f t="shared" si="691"/>
        <v>0.66475015240337965</v>
      </c>
      <c r="BD219" s="150"/>
      <c r="BE219" s="456">
        <f t="shared" si="692"/>
        <v>3.8953548590163136E-3</v>
      </c>
      <c r="BF219" s="456">
        <f t="shared" si="644"/>
        <v>0.38803168192011223</v>
      </c>
      <c r="BG219" s="456">
        <f t="shared" si="693"/>
        <v>5.1279860799028649E-3</v>
      </c>
      <c r="BH219" s="456">
        <f t="shared" si="694"/>
        <v>0.1428360659453452</v>
      </c>
      <c r="BI219">
        <f t="shared" si="695"/>
        <v>2.1558597310610852E-2</v>
      </c>
      <c r="BJ219" s="144">
        <f t="shared" si="696"/>
        <v>26.686583390513718</v>
      </c>
      <c r="BK219">
        <f t="shared" si="645"/>
        <v>0.53631122405014175</v>
      </c>
      <c r="BL219" s="144">
        <f t="shared" si="697"/>
        <v>561.44968611498746</v>
      </c>
      <c r="BM219" s="150">
        <f t="shared" si="646"/>
        <v>8.0471999999999988E-2</v>
      </c>
      <c r="BN219" s="150">
        <f t="shared" si="647"/>
        <v>1.2214499999999998E-2</v>
      </c>
      <c r="BQ219" s="144">
        <f t="shared" si="698"/>
        <v>92.686499999999995</v>
      </c>
      <c r="BR219" s="456">
        <f t="shared" si="699"/>
        <v>4.5445806688523662E-3</v>
      </c>
      <c r="BS219" s="456">
        <f t="shared" si="700"/>
        <v>0.15353840653118919</v>
      </c>
      <c r="BT219" s="456">
        <f t="shared" si="701"/>
        <v>2.2094638256015824E-3</v>
      </c>
      <c r="BU219" s="456">
        <f t="shared" si="702"/>
        <v>6.0031975750026043E-2</v>
      </c>
      <c r="BV219" s="456"/>
      <c r="BW219" s="538">
        <f t="shared" si="703"/>
        <v>0.16378763380533765</v>
      </c>
      <c r="BX219" s="144">
        <f t="shared" si="704"/>
        <v>384.1120605810068</v>
      </c>
      <c r="BY219" s="150">
        <f t="shared" si="705"/>
        <v>1.0382482466959944</v>
      </c>
      <c r="BZ219" s="5">
        <f t="shared" si="706"/>
        <v>3.7529999999999997</v>
      </c>
      <c r="CA219" s="150">
        <f t="shared" si="707"/>
        <v>0.78330318254497422</v>
      </c>
      <c r="CB219" s="5">
        <f t="shared" si="708"/>
        <v>78.330318254497428</v>
      </c>
      <c r="CC219">
        <f t="shared" si="709"/>
        <v>3</v>
      </c>
      <c r="CE219" s="59">
        <f t="shared" si="648"/>
        <v>-50</v>
      </c>
      <c r="CG219" s="150">
        <f t="shared" si="649"/>
        <v>4.0901739474012593E-2</v>
      </c>
      <c r="CH219" s="150">
        <f t="shared" si="650"/>
        <v>8.926500397382086E-3</v>
      </c>
      <c r="CI219" s="147">
        <v>3</v>
      </c>
      <c r="CJ219" s="188">
        <f t="shared" si="710"/>
        <v>0.12</v>
      </c>
      <c r="CK219" s="188">
        <f t="shared" si="651"/>
        <v>2.5499999999999998E-2</v>
      </c>
      <c r="CL219" s="188">
        <f t="shared" si="652"/>
        <v>3.5999999999999996</v>
      </c>
      <c r="CM219" s="188">
        <f t="shared" si="653"/>
        <v>0.153</v>
      </c>
      <c r="CN219" s="465">
        <f t="shared" si="654"/>
        <v>48</v>
      </c>
      <c r="CO219" s="379">
        <f t="shared" si="655"/>
        <v>30.7</v>
      </c>
      <c r="CP219" s="379">
        <f t="shared" si="656"/>
        <v>78.7</v>
      </c>
      <c r="CQ219" s="379"/>
      <c r="CR219" s="188">
        <f t="shared" si="657"/>
        <v>0.38775510204081626</v>
      </c>
      <c r="CS219" s="149">
        <f t="shared" si="658"/>
        <v>270.50715642699197</v>
      </c>
      <c r="CT219" s="149">
        <f t="shared" si="659"/>
        <v>11.496554148147156</v>
      </c>
      <c r="CU219" s="188">
        <f t="shared" si="660"/>
        <v>9.0169052142330663</v>
      </c>
      <c r="CV219" s="188">
        <f t="shared" si="661"/>
        <v>45.084526071165328</v>
      </c>
      <c r="CW219" s="188">
        <f t="shared" si="662"/>
        <v>30</v>
      </c>
      <c r="CX219" s="188">
        <f t="shared" si="663"/>
        <v>0.40328289473684215</v>
      </c>
      <c r="CY219" s="188">
        <f t="shared" si="664"/>
        <v>3.9488116776315793E-2</v>
      </c>
      <c r="CZ219" s="188">
        <f t="shared" si="665"/>
        <v>6.1740378021601247E-2</v>
      </c>
      <c r="DA219" s="172">
        <f t="shared" si="666"/>
        <v>350</v>
      </c>
      <c r="DB219" s="379">
        <f t="shared" si="667"/>
        <v>350</v>
      </c>
      <c r="DD219" s="188">
        <f t="shared" si="668"/>
        <v>11.382534575916392</v>
      </c>
      <c r="DE219" s="150">
        <f t="shared" si="669"/>
        <v>1.7426030132510437</v>
      </c>
      <c r="DF219" s="150">
        <f t="shared" si="670"/>
        <v>3.3296564353233258</v>
      </c>
      <c r="DG219" s="150"/>
      <c r="DH219" s="150">
        <f t="shared" si="671"/>
        <v>0.92784522751949461</v>
      </c>
      <c r="DI219" s="314">
        <f t="shared" si="672"/>
        <v>44.493412021276598</v>
      </c>
      <c r="DJ219" s="456">
        <f t="shared" si="673"/>
        <v>0.94395997276890675</v>
      </c>
      <c r="DL219" s="150">
        <f t="shared" si="674"/>
        <v>2.1360987648352543</v>
      </c>
      <c r="DM219" s="150">
        <f t="shared" si="675"/>
        <v>6.0606060606060606</v>
      </c>
      <c r="DN219" s="150">
        <f t="shared" si="676"/>
        <v>1.0254248068693008</v>
      </c>
      <c r="DP219" s="314">
        <f t="shared" si="677"/>
        <v>120</v>
      </c>
      <c r="DQ219" s="144">
        <f t="shared" si="678"/>
        <v>44.493412021276598</v>
      </c>
      <c r="DS219">
        <f t="shared" si="679"/>
        <v>120</v>
      </c>
      <c r="DT219">
        <f t="shared" si="680"/>
        <v>44.493412021276598</v>
      </c>
      <c r="DV219" s="5">
        <f t="shared" si="681"/>
        <v>22.475237446878729</v>
      </c>
      <c r="DW219" s="5">
        <f t="shared" si="682"/>
        <v>0.59343434343434343</v>
      </c>
      <c r="DX219" s="5">
        <f t="shared" si="683"/>
        <v>21.881803103444387</v>
      </c>
      <c r="DY219" s="150">
        <f t="shared" si="684"/>
        <v>2.6403918750000002E-2</v>
      </c>
      <c r="EA219" s="5">
        <f t="shared" si="711"/>
        <v>0.23737373737373738</v>
      </c>
      <c r="EB219" s="5">
        <f t="shared" si="712"/>
        <v>0.25220959595959597</v>
      </c>
      <c r="EC219" s="5">
        <f t="shared" si="713"/>
        <v>0.9653736663284288</v>
      </c>
      <c r="ED219" s="5"/>
      <c r="EE219" s="150">
        <f t="shared" si="714"/>
        <v>0.56857743802432315</v>
      </c>
      <c r="EF219" s="150">
        <f t="shared" si="715"/>
        <v>3.3118356241208384</v>
      </c>
      <c r="EG219" s="150">
        <f t="shared" si="716"/>
        <v>0.66478731239564037</v>
      </c>
      <c r="EH219" s="150"/>
      <c r="EI219" s="456">
        <f t="shared" si="717"/>
        <v>3.8793636363636365E-3</v>
      </c>
      <c r="EJ219" s="456">
        <f t="shared" si="718"/>
        <v>0.4032181757297873</v>
      </c>
      <c r="EK219" s="456">
        <f t="shared" si="719"/>
        <v>5.1167423824468091E-3</v>
      </c>
      <c r="EL219" s="456">
        <f t="shared" si="720"/>
        <v>0.1426118225703164</v>
      </c>
      <c r="EM219">
        <f t="shared" si="721"/>
        <v>2.1600000000000001E-2</v>
      </c>
      <c r="EN219" s="144">
        <f t="shared" si="722"/>
        <v>26.71674238244681</v>
      </c>
      <c r="EP219" s="144">
        <f t="shared" si="723"/>
        <v>576.42610431891421</v>
      </c>
      <c r="EQ219" s="150">
        <f t="shared" si="724"/>
        <v>8.3999999999999991E-2</v>
      </c>
      <c r="ER219" s="150">
        <f t="shared" si="685"/>
        <v>1.2214499999999998E-2</v>
      </c>
      <c r="ES219" s="456"/>
      <c r="EU219" s="144">
        <f t="shared" si="725"/>
        <v>96.214500000000001</v>
      </c>
      <c r="EV219" s="456">
        <f t="shared" si="726"/>
        <v>4.5259242424242428E-3</v>
      </c>
      <c r="EW219" s="456">
        <f t="shared" si="727"/>
        <v>0.15355557281674209</v>
      </c>
      <c r="EX219" s="456">
        <f t="shared" si="728"/>
        <v>2.2097108536110938E-3</v>
      </c>
      <c r="EY219" s="456">
        <f t="shared" si="729"/>
        <v>5.9703449215573814E-2</v>
      </c>
      <c r="EZ219" s="456"/>
      <c r="FA219" s="538">
        <f t="shared" si="730"/>
        <v>0.16342851063829789</v>
      </c>
      <c r="FB219" s="144">
        <f t="shared" si="731"/>
        <v>383.42316776664916</v>
      </c>
      <c r="FC219" s="150">
        <f t="shared" si="732"/>
        <v>1.0560637720855635</v>
      </c>
      <c r="FD219" s="5">
        <f t="shared" si="733"/>
        <v>3.7529999999999997</v>
      </c>
      <c r="FE219" s="150">
        <f t="shared" si="734"/>
        <v>0.78040137911758711</v>
      </c>
      <c r="FF219" s="5">
        <f t="shared" si="735"/>
        <v>78.040137911758706</v>
      </c>
      <c r="FG219">
        <f t="shared" si="736"/>
        <v>3</v>
      </c>
      <c r="FI219" s="59">
        <f t="shared" si="686"/>
        <v>-50</v>
      </c>
    </row>
    <row r="220" spans="1:169">
      <c r="E220" s="147">
        <v>4</v>
      </c>
      <c r="F220" s="188">
        <f t="shared" si="687"/>
        <v>0.16</v>
      </c>
      <c r="G220" s="188">
        <f t="shared" si="615"/>
        <v>3.4000000000000002E-2</v>
      </c>
      <c r="H220" s="188">
        <f t="shared" si="616"/>
        <v>4.8</v>
      </c>
      <c r="I220" s="188">
        <f t="shared" si="617"/>
        <v>0.20400000000000001</v>
      </c>
      <c r="J220" s="465">
        <f t="shared" si="618"/>
        <v>47.907994023579676</v>
      </c>
      <c r="K220" s="379">
        <f t="shared" si="619"/>
        <v>30.767461186454312</v>
      </c>
      <c r="L220" s="149">
        <f t="shared" si="620"/>
        <v>78.675455210033988</v>
      </c>
      <c r="M220" s="379"/>
      <c r="N220" s="188">
        <f t="shared" si="621"/>
        <v>0.39106810509474293</v>
      </c>
      <c r="O220" s="149">
        <f t="shared" si="622"/>
        <v>272.29545006455311</v>
      </c>
      <c r="P220" s="149">
        <f t="shared" si="623"/>
        <v>11.572556627743504</v>
      </c>
      <c r="Q220" s="188">
        <f t="shared" si="624"/>
        <v>9.0765150021517709</v>
      </c>
      <c r="R220" s="188">
        <f t="shared" si="625"/>
        <v>45.382575010758849</v>
      </c>
      <c r="S220" s="188">
        <f t="shared" si="626"/>
        <v>30</v>
      </c>
      <c r="T220" s="188">
        <f t="shared" si="627"/>
        <v>0.53417912572561366</v>
      </c>
      <c r="U220" s="188">
        <f t="shared" si="628"/>
        <v>5.2405489774309477E-2</v>
      </c>
      <c r="V220" s="188">
        <f t="shared" si="629"/>
        <v>8.1600554419996141E-2</v>
      </c>
      <c r="W220" s="172">
        <f t="shared" si="630"/>
        <v>350</v>
      </c>
      <c r="X220" s="379">
        <f t="shared" si="688"/>
        <v>350</v>
      </c>
      <c r="Z220" s="188">
        <f t="shared" si="631"/>
        <v>11.389233095253237</v>
      </c>
      <c r="AA220" s="150">
        <f t="shared" si="632"/>
        <v>1.7398054140150203</v>
      </c>
      <c r="AB220" s="150">
        <f t="shared" si="633"/>
        <v>3.3262672854725279</v>
      </c>
      <c r="AC220" s="150"/>
      <c r="AD220" s="150">
        <f t="shared" si="634"/>
        <v>0.92581082047124597</v>
      </c>
      <c r="AE220" s="314">
        <f t="shared" si="635"/>
        <v>59.45491107133757</v>
      </c>
      <c r="AF220" s="456">
        <f t="shared" si="636"/>
        <v>0.94189023229397884</v>
      </c>
      <c r="AH220" s="150">
        <f t="shared" si="637"/>
        <v>2.4665543937865224</v>
      </c>
      <c r="AI220" s="150">
        <f t="shared" si="638"/>
        <v>6.0606060606060606</v>
      </c>
      <c r="AJ220" s="150">
        <f t="shared" si="639"/>
        <v>1.0339742348979071</v>
      </c>
      <c r="AL220" s="314">
        <f t="shared" si="640"/>
        <v>160</v>
      </c>
      <c r="AM220" s="144">
        <f t="shared" si="641"/>
        <v>59.45491107133757</v>
      </c>
      <c r="AO220">
        <f t="shared" si="642"/>
        <v>160</v>
      </c>
      <c r="AP220">
        <f t="shared" si="643"/>
        <v>59.45491107133757</v>
      </c>
      <c r="AR220" s="5">
        <f t="shared" si="614"/>
        <v>16.819468433821054</v>
      </c>
      <c r="AS220" s="5">
        <f t="shared" si="602"/>
        <v>0.59457401766453877</v>
      </c>
      <c r="AT220" s="5">
        <f t="shared" si="603"/>
        <v>16.224894416156516</v>
      </c>
      <c r="AU220" s="150">
        <f t="shared" si="604"/>
        <v>3.5350345345573041E-2</v>
      </c>
      <c r="BA220" s="150">
        <f t="shared" si="689"/>
        <v>0.65788844537456959</v>
      </c>
      <c r="BB220" s="150">
        <f t="shared" si="690"/>
        <v>3.2965841891305971</v>
      </c>
      <c r="BC220" s="150">
        <f t="shared" si="691"/>
        <v>0.66172588011817635</v>
      </c>
      <c r="BD220" s="150"/>
      <c r="BE220" s="456">
        <f t="shared" si="692"/>
        <v>5.1938064786884166E-3</v>
      </c>
      <c r="BF220" s="456">
        <f t="shared" si="644"/>
        <v>0.51737557589348315</v>
      </c>
      <c r="BG220" s="456">
        <f t="shared" si="693"/>
        <v>6.837314773203821E-3</v>
      </c>
      <c r="BH220" s="456">
        <f t="shared" si="694"/>
        <v>0.19044808792712697</v>
      </c>
      <c r="BI220">
        <f t="shared" si="695"/>
        <v>2.1558597310610852E-2</v>
      </c>
      <c r="BJ220" s="144">
        <f t="shared" si="696"/>
        <v>28.395912083814672</v>
      </c>
      <c r="BK220">
        <f t="shared" si="645"/>
        <v>0.71530251598774641</v>
      </c>
      <c r="BL220" s="144">
        <f t="shared" si="697"/>
        <v>741.41338238311312</v>
      </c>
      <c r="BM220" s="150">
        <f t="shared" si="646"/>
        <v>0.10729599999999999</v>
      </c>
      <c r="BN220" s="150">
        <f t="shared" si="647"/>
        <v>1.6286000000000002E-2</v>
      </c>
      <c r="BQ220" s="144">
        <f t="shared" si="698"/>
        <v>123.58199999999999</v>
      </c>
      <c r="BR220" s="456">
        <f t="shared" si="699"/>
        <v>6.0594408918031532E-3</v>
      </c>
      <c r="BS220" s="456">
        <f t="shared" si="700"/>
        <v>0.15214454242436171</v>
      </c>
      <c r="BT220" s="456">
        <f t="shared" si="701"/>
        <v>2.1894057020908756E-3</v>
      </c>
      <c r="BU220" s="456">
        <f t="shared" si="702"/>
        <v>0.1232336972773781</v>
      </c>
      <c r="BV220" s="456"/>
      <c r="BW220" s="538">
        <f t="shared" si="703"/>
        <v>0.21838351174045023</v>
      </c>
      <c r="BX220" s="144">
        <f t="shared" si="704"/>
        <v>502.01059803608405</v>
      </c>
      <c r="BY220" s="150">
        <f t="shared" si="705"/>
        <v>1.3670059804191972</v>
      </c>
      <c r="BZ220" s="5">
        <f t="shared" si="706"/>
        <v>5.0039999999999996</v>
      </c>
      <c r="CA220" s="150">
        <f t="shared" si="707"/>
        <v>0.78543326052108786</v>
      </c>
      <c r="CB220" s="5">
        <f t="shared" si="708"/>
        <v>78.543326052108782</v>
      </c>
      <c r="CC220">
        <f t="shared" si="709"/>
        <v>4</v>
      </c>
      <c r="CE220" s="59">
        <f t="shared" si="648"/>
        <v>-50</v>
      </c>
      <c r="CG220" s="150">
        <f t="shared" si="649"/>
        <v>5.453565263201679E-2</v>
      </c>
      <c r="CH220" s="150">
        <f t="shared" si="650"/>
        <v>1.1902000529842782E-2</v>
      </c>
      <c r="CI220" s="147">
        <v>4</v>
      </c>
      <c r="CJ220" s="188">
        <f t="shared" si="710"/>
        <v>0.16</v>
      </c>
      <c r="CK220" s="188">
        <f t="shared" si="651"/>
        <v>3.4000000000000002E-2</v>
      </c>
      <c r="CL220" s="188">
        <f t="shared" si="652"/>
        <v>4.8</v>
      </c>
      <c r="CM220" s="188">
        <f t="shared" si="653"/>
        <v>0.20400000000000001</v>
      </c>
      <c r="CN220" s="465">
        <f t="shared" si="654"/>
        <v>48</v>
      </c>
      <c r="CO220" s="379">
        <f t="shared" si="655"/>
        <v>30.7</v>
      </c>
      <c r="CP220" s="379">
        <f t="shared" si="656"/>
        <v>78.7</v>
      </c>
      <c r="CQ220" s="379"/>
      <c r="CR220" s="188">
        <f t="shared" si="657"/>
        <v>0.38775510204081626</v>
      </c>
      <c r="CS220" s="149">
        <f t="shared" si="658"/>
        <v>270.50715642699197</v>
      </c>
      <c r="CT220" s="149">
        <f t="shared" si="659"/>
        <v>11.496554148147156</v>
      </c>
      <c r="CU220" s="188">
        <f t="shared" si="660"/>
        <v>9.0169052142330663</v>
      </c>
      <c r="CV220" s="188">
        <f t="shared" si="661"/>
        <v>45.084526071165328</v>
      </c>
      <c r="CW220" s="188">
        <f t="shared" si="662"/>
        <v>30</v>
      </c>
      <c r="CX220" s="188">
        <f t="shared" si="663"/>
        <v>0.53771052631578953</v>
      </c>
      <c r="CY220" s="188">
        <f t="shared" si="664"/>
        <v>5.2650822368421057E-2</v>
      </c>
      <c r="CZ220" s="188">
        <f t="shared" si="665"/>
        <v>8.2320504028801658E-2</v>
      </c>
      <c r="DA220" s="172">
        <f t="shared" si="666"/>
        <v>350</v>
      </c>
      <c r="DB220" s="379">
        <f t="shared" si="667"/>
        <v>350</v>
      </c>
      <c r="DD220" s="188">
        <f t="shared" si="668"/>
        <v>11.382534575916392</v>
      </c>
      <c r="DE220" s="150">
        <f t="shared" si="669"/>
        <v>1.7426030132510437</v>
      </c>
      <c r="DF220" s="150">
        <f t="shared" si="670"/>
        <v>3.3296564353233258</v>
      </c>
      <c r="DG220" s="150"/>
      <c r="DH220" s="150">
        <f t="shared" si="671"/>
        <v>0.92784522751949461</v>
      </c>
      <c r="DI220" s="314">
        <f t="shared" si="672"/>
        <v>59.324549361702132</v>
      </c>
      <c r="DJ220" s="456">
        <f t="shared" si="673"/>
        <v>0.94395997276890675</v>
      </c>
      <c r="DL220" s="150">
        <f t="shared" si="674"/>
        <v>2.4665543937865224</v>
      </c>
      <c r="DM220" s="150">
        <f t="shared" si="675"/>
        <v>6.0606060606060606</v>
      </c>
      <c r="DN220" s="150">
        <f t="shared" si="676"/>
        <v>1.0338997424924012</v>
      </c>
      <c r="DP220" s="314">
        <f t="shared" si="677"/>
        <v>160</v>
      </c>
      <c r="DQ220" s="144">
        <f t="shared" si="678"/>
        <v>59.324549361702132</v>
      </c>
      <c r="DS220">
        <f t="shared" si="679"/>
        <v>160</v>
      </c>
      <c r="DT220">
        <f t="shared" si="680"/>
        <v>59.324549361702132</v>
      </c>
      <c r="DV220" s="5">
        <f t="shared" si="681"/>
        <v>16.856428085159045</v>
      </c>
      <c r="DW220" s="5">
        <f t="shared" si="682"/>
        <v>0.59343434343434343</v>
      </c>
      <c r="DX220" s="5">
        <f t="shared" si="683"/>
        <v>16.262993741724703</v>
      </c>
      <c r="DY220" s="150">
        <f t="shared" si="684"/>
        <v>3.5205225000000007E-2</v>
      </c>
      <c r="EA220" s="5">
        <f t="shared" si="711"/>
        <v>0.3164983164983165</v>
      </c>
      <c r="EB220" s="5">
        <f t="shared" si="712"/>
        <v>0.33627946127946129</v>
      </c>
      <c r="EC220" s="5">
        <f t="shared" si="713"/>
        <v>0.95664669068968822</v>
      </c>
      <c r="ED220" s="5"/>
      <c r="EE220" s="150">
        <f t="shared" si="714"/>
        <v>0.65653667379698144</v>
      </c>
      <c r="EF220" s="150">
        <f t="shared" si="715"/>
        <v>3.2968321462222185</v>
      </c>
      <c r="EG220" s="150">
        <f t="shared" si="716"/>
        <v>0.66177565273591377</v>
      </c>
      <c r="EH220" s="150"/>
      <c r="EI220" s="456">
        <f t="shared" si="717"/>
        <v>5.1724848484848481E-3</v>
      </c>
      <c r="EJ220" s="456">
        <f t="shared" si="718"/>
        <v>0.53762423430638306</v>
      </c>
      <c r="EK220" s="456">
        <f t="shared" si="719"/>
        <v>6.8223231765957458E-3</v>
      </c>
      <c r="EL220" s="456">
        <f t="shared" si="720"/>
        <v>0.19014909676042188</v>
      </c>
      <c r="EM220">
        <f t="shared" si="721"/>
        <v>2.1600000000000001E-2</v>
      </c>
      <c r="EN220" s="144">
        <f t="shared" si="722"/>
        <v>28.422323176595746</v>
      </c>
      <c r="EP220" s="144">
        <f t="shared" si="723"/>
        <v>761.3681390918855</v>
      </c>
      <c r="EQ220" s="150">
        <f t="shared" si="724"/>
        <v>0.11199999999999999</v>
      </c>
      <c r="ER220" s="150">
        <f t="shared" si="685"/>
        <v>1.6286000000000002E-2</v>
      </c>
      <c r="ES220" s="456"/>
      <c r="EU220" s="144">
        <f t="shared" si="725"/>
        <v>128.28599999999997</v>
      </c>
      <c r="EV220" s="456">
        <f t="shared" si="726"/>
        <v>6.0345656565656564E-3</v>
      </c>
      <c r="EW220" s="456">
        <f t="shared" si="727"/>
        <v>0.15216743080509879</v>
      </c>
      <c r="EX220" s="456">
        <f t="shared" si="728"/>
        <v>2.1897350727702238E-3</v>
      </c>
      <c r="EY220" s="456">
        <f t="shared" si="729"/>
        <v>0.1225592976930157</v>
      </c>
      <c r="EZ220" s="456"/>
      <c r="FA220" s="538">
        <f t="shared" si="730"/>
        <v>0.21790468085106385</v>
      </c>
      <c r="FB220" s="144">
        <f t="shared" si="731"/>
        <v>500.85571007851428</v>
      </c>
      <c r="FC220" s="150">
        <f t="shared" si="732"/>
        <v>1.3905098491703998</v>
      </c>
      <c r="FD220" s="5">
        <f t="shared" si="733"/>
        <v>5.0039999999999996</v>
      </c>
      <c r="FE220" s="150">
        <f t="shared" si="734"/>
        <v>0.78254629643727902</v>
      </c>
      <c r="FF220" s="5">
        <f t="shared" si="735"/>
        <v>78.254629643727895</v>
      </c>
      <c r="FG220">
        <f t="shared" si="736"/>
        <v>4</v>
      </c>
      <c r="FI220" s="59">
        <f t="shared" si="686"/>
        <v>-50</v>
      </c>
    </row>
    <row r="221" spans="1:169">
      <c r="E221" s="147">
        <v>5</v>
      </c>
      <c r="F221" s="188">
        <f t="shared" si="687"/>
        <v>0.2</v>
      </c>
      <c r="G221" s="188">
        <f t="shared" si="615"/>
        <v>4.2500000000000003E-2</v>
      </c>
      <c r="H221" s="188">
        <f t="shared" si="616"/>
        <v>6</v>
      </c>
      <c r="I221" s="188">
        <f t="shared" si="617"/>
        <v>0.255</v>
      </c>
      <c r="J221" s="465">
        <f t="shared" si="618"/>
        <v>47.907994023579676</v>
      </c>
      <c r="K221" s="379">
        <f t="shared" si="619"/>
        <v>30.767461186454312</v>
      </c>
      <c r="L221" s="149">
        <f t="shared" si="620"/>
        <v>78.675455210033988</v>
      </c>
      <c r="M221" s="379"/>
      <c r="N221" s="188">
        <f t="shared" si="621"/>
        <v>0.39106810509474293</v>
      </c>
      <c r="O221" s="149">
        <f t="shared" si="622"/>
        <v>272.29545006455311</v>
      </c>
      <c r="P221" s="149">
        <f t="shared" si="623"/>
        <v>11.572556627743504</v>
      </c>
      <c r="Q221" s="188">
        <f t="shared" si="624"/>
        <v>9.0765150021517709</v>
      </c>
      <c r="R221" s="188">
        <f t="shared" si="625"/>
        <v>45.382575010758849</v>
      </c>
      <c r="S221" s="188">
        <f t="shared" si="626"/>
        <v>30</v>
      </c>
      <c r="T221" s="188">
        <f t="shared" si="627"/>
        <v>0.66772390715701713</v>
      </c>
      <c r="U221" s="188">
        <f t="shared" si="628"/>
        <v>6.5506862217886846E-2</v>
      </c>
      <c r="V221" s="188">
        <f t="shared" si="629"/>
        <v>0.10200069302499519</v>
      </c>
      <c r="W221" s="172">
        <f t="shared" si="630"/>
        <v>350</v>
      </c>
      <c r="X221" s="379">
        <f t="shared" si="688"/>
        <v>350</v>
      </c>
      <c r="Z221" s="188">
        <f t="shared" si="631"/>
        <v>11.389233095253237</v>
      </c>
      <c r="AA221" s="150">
        <f t="shared" si="632"/>
        <v>1.7398054140150203</v>
      </c>
      <c r="AB221" s="150">
        <f t="shared" si="633"/>
        <v>3.3262672854725279</v>
      </c>
      <c r="AC221" s="150"/>
      <c r="AD221" s="150">
        <f t="shared" si="634"/>
        <v>0.92581082047124597</v>
      </c>
      <c r="AE221" s="314">
        <f t="shared" si="635"/>
        <v>74.318638839171953</v>
      </c>
      <c r="AF221" s="456">
        <f t="shared" si="636"/>
        <v>0.94189023229397884</v>
      </c>
      <c r="AH221" s="150">
        <f t="shared" si="637"/>
        <v>2.7576916473537243</v>
      </c>
      <c r="AI221" s="150">
        <f t="shared" si="638"/>
        <v>6.0606060606060606</v>
      </c>
      <c r="AJ221" s="150">
        <f t="shared" si="639"/>
        <v>1.0424677936223841</v>
      </c>
      <c r="AL221" s="314">
        <f t="shared" si="640"/>
        <v>200</v>
      </c>
      <c r="AM221" s="144">
        <f t="shared" si="641"/>
        <v>74.318638839171953</v>
      </c>
      <c r="AO221">
        <f t="shared" si="642"/>
        <v>200</v>
      </c>
      <c r="AP221">
        <f t="shared" si="643"/>
        <v>74.318638839171953</v>
      </c>
      <c r="AR221" s="5">
        <f t="shared" si="614"/>
        <v>13.455574747056843</v>
      </c>
      <c r="AS221" s="5">
        <f t="shared" si="602"/>
        <v>0.59457401766453877</v>
      </c>
      <c r="AT221" s="5">
        <f t="shared" si="603"/>
        <v>12.861000729392305</v>
      </c>
      <c r="AU221" s="150">
        <f t="shared" si="604"/>
        <v>4.4187931681966303E-2</v>
      </c>
      <c r="BA221" s="150">
        <f t="shared" si="689"/>
        <v>0.73554164273459743</v>
      </c>
      <c r="BB221" s="150">
        <f t="shared" si="690"/>
        <v>3.2814487035621309</v>
      </c>
      <c r="BC221" s="150">
        <f t="shared" si="691"/>
        <v>0.65868772245733676</v>
      </c>
      <c r="BD221" s="150"/>
      <c r="BE221" s="456">
        <f t="shared" si="692"/>
        <v>6.4922580983605219E-3</v>
      </c>
      <c r="BF221" s="456">
        <f t="shared" si="644"/>
        <v>0.6467194698668538</v>
      </c>
      <c r="BG221" s="456">
        <f t="shared" si="693"/>
        <v>8.5466434665047754E-3</v>
      </c>
      <c r="BH221" s="456">
        <f t="shared" si="694"/>
        <v>0.23806010990890869</v>
      </c>
      <c r="BI221">
        <f t="shared" si="695"/>
        <v>2.1558597310610852E-2</v>
      </c>
      <c r="BJ221" s="144">
        <f t="shared" si="696"/>
        <v>30.105240777115625</v>
      </c>
      <c r="BK221">
        <f t="shared" si="645"/>
        <v>0.89440442051240643</v>
      </c>
      <c r="BL221" s="144">
        <f t="shared" si="697"/>
        <v>921.37707865123866</v>
      </c>
      <c r="BM221" s="150">
        <f t="shared" si="646"/>
        <v>0.13411999999999999</v>
      </c>
      <c r="BN221" s="150">
        <f t="shared" si="647"/>
        <v>2.0357500000000001E-2</v>
      </c>
      <c r="BQ221" s="144">
        <f t="shared" si="698"/>
        <v>154.47749999999999</v>
      </c>
      <c r="BR221" s="456">
        <f t="shared" si="699"/>
        <v>7.5743011147539419E-3</v>
      </c>
      <c r="BS221" s="456">
        <f t="shared" si="700"/>
        <v>0.15075067831753425</v>
      </c>
      <c r="BT221" s="456">
        <f t="shared" si="701"/>
        <v>2.1693475785801676E-3</v>
      </c>
      <c r="BU221" s="456">
        <f t="shared" si="702"/>
        <v>0.21528040955535041</v>
      </c>
      <c r="BV221" s="456"/>
      <c r="BW221" s="538">
        <f t="shared" si="703"/>
        <v>0.27297938967556273</v>
      </c>
      <c r="BX221" s="144">
        <f t="shared" si="704"/>
        <v>648.75412624178148</v>
      </c>
      <c r="BY221" s="150">
        <f t="shared" si="705"/>
        <v>1.7246087048930203</v>
      </c>
      <c r="BZ221" s="5">
        <f t="shared" si="706"/>
        <v>6.2549999999999999</v>
      </c>
      <c r="CA221" s="150">
        <f t="shared" si="707"/>
        <v>0.78387302326798225</v>
      </c>
      <c r="CB221" s="5">
        <f t="shared" si="708"/>
        <v>78.387302326798221</v>
      </c>
      <c r="CC221">
        <f t="shared" si="709"/>
        <v>5</v>
      </c>
      <c r="CE221" s="59">
        <f t="shared" si="648"/>
        <v>-50</v>
      </c>
      <c r="CG221" s="150">
        <f t="shared" si="649"/>
        <v>6.8169565790020994E-2</v>
      </c>
      <c r="CH221" s="150">
        <f t="shared" si="650"/>
        <v>1.4877500662303478E-2</v>
      </c>
      <c r="CI221" s="147">
        <v>5</v>
      </c>
      <c r="CJ221" s="188">
        <f t="shared" si="710"/>
        <v>0.2</v>
      </c>
      <c r="CK221" s="188">
        <f t="shared" si="651"/>
        <v>4.2500000000000003E-2</v>
      </c>
      <c r="CL221" s="188">
        <f t="shared" si="652"/>
        <v>6</v>
      </c>
      <c r="CM221" s="188">
        <f t="shared" si="653"/>
        <v>0.255</v>
      </c>
      <c r="CN221" s="465">
        <f t="shared" si="654"/>
        <v>48</v>
      </c>
      <c r="CO221" s="379">
        <f t="shared" si="655"/>
        <v>30.7</v>
      </c>
      <c r="CP221" s="379">
        <f t="shared" si="656"/>
        <v>78.7</v>
      </c>
      <c r="CQ221" s="379"/>
      <c r="CR221" s="188">
        <f t="shared" si="657"/>
        <v>0.38775510204081626</v>
      </c>
      <c r="CS221" s="149">
        <f t="shared" si="658"/>
        <v>270.50715642699197</v>
      </c>
      <c r="CT221" s="149">
        <f t="shared" si="659"/>
        <v>11.496554148147156</v>
      </c>
      <c r="CU221" s="188">
        <f t="shared" si="660"/>
        <v>9.0169052142330663</v>
      </c>
      <c r="CV221" s="188">
        <f t="shared" si="661"/>
        <v>45.084526071165328</v>
      </c>
      <c r="CW221" s="188">
        <f t="shared" si="662"/>
        <v>30</v>
      </c>
      <c r="CX221" s="188">
        <f t="shared" si="663"/>
        <v>0.67213815789473697</v>
      </c>
      <c r="CY221" s="188">
        <f t="shared" si="664"/>
        <v>6.5813527960526322E-2</v>
      </c>
      <c r="CZ221" s="188">
        <f t="shared" si="665"/>
        <v>0.10290063003600207</v>
      </c>
      <c r="DA221" s="172">
        <f t="shared" si="666"/>
        <v>350</v>
      </c>
      <c r="DB221" s="379">
        <f t="shared" si="667"/>
        <v>350</v>
      </c>
      <c r="DD221" s="188">
        <f t="shared" si="668"/>
        <v>11.382534575916392</v>
      </c>
      <c r="DE221" s="150">
        <f t="shared" si="669"/>
        <v>1.7426030132510437</v>
      </c>
      <c r="DF221" s="150">
        <f t="shared" si="670"/>
        <v>3.3296564353233258</v>
      </c>
      <c r="DG221" s="150"/>
      <c r="DH221" s="150">
        <f t="shared" si="671"/>
        <v>0.92784522751949461</v>
      </c>
      <c r="DI221" s="314">
        <f t="shared" si="672"/>
        <v>74.155686702127667</v>
      </c>
      <c r="DJ221" s="456">
        <f t="shared" si="673"/>
        <v>0.94395997276890675</v>
      </c>
      <c r="DL221" s="150">
        <f t="shared" si="674"/>
        <v>2.7576916473537243</v>
      </c>
      <c r="DM221" s="150">
        <f t="shared" si="675"/>
        <v>6.0606060606060606</v>
      </c>
      <c r="DN221" s="150">
        <f t="shared" si="676"/>
        <v>1.0423746781155014</v>
      </c>
      <c r="DP221" s="314">
        <f t="shared" si="677"/>
        <v>200</v>
      </c>
      <c r="DQ221" s="144">
        <f t="shared" si="678"/>
        <v>74.155686702127667</v>
      </c>
      <c r="DS221">
        <f t="shared" si="679"/>
        <v>200</v>
      </c>
      <c r="DT221">
        <f t="shared" si="680"/>
        <v>74.155686702127667</v>
      </c>
      <c r="DV221" s="5">
        <f t="shared" si="681"/>
        <v>13.485142468127236</v>
      </c>
      <c r="DW221" s="5">
        <f t="shared" si="682"/>
        <v>0.59343434343434343</v>
      </c>
      <c r="DX221" s="5">
        <f t="shared" si="683"/>
        <v>12.891708124692894</v>
      </c>
      <c r="DY221" s="150">
        <f t="shared" si="684"/>
        <v>4.4006531250000008E-2</v>
      </c>
      <c r="EA221" s="5">
        <f t="shared" si="711"/>
        <v>0.3956228956228956</v>
      </c>
      <c r="EB221" s="5">
        <f t="shared" si="712"/>
        <v>0.42034932659932667</v>
      </c>
      <c r="EC221" s="5">
        <f t="shared" si="713"/>
        <v>0.94791971505094796</v>
      </c>
      <c r="ED221" s="5"/>
      <c r="EE221" s="150">
        <f t="shared" si="714"/>
        <v>0.73403031616582781</v>
      </c>
      <c r="EF221" s="150">
        <f t="shared" si="715"/>
        <v>3.2817600764730721</v>
      </c>
      <c r="EG221" s="150">
        <f t="shared" si="716"/>
        <v>0.65875022458126764</v>
      </c>
      <c r="EH221" s="150"/>
      <c r="EI221" s="456">
        <f t="shared" si="717"/>
        <v>6.4656060606060614E-3</v>
      </c>
      <c r="EJ221" s="456">
        <f t="shared" si="718"/>
        <v>0.67203029288297877</v>
      </c>
      <c r="EK221" s="456">
        <f t="shared" si="719"/>
        <v>8.5279039707446824E-3</v>
      </c>
      <c r="EL221" s="456">
        <f t="shared" si="720"/>
        <v>0.23768637095052736</v>
      </c>
      <c r="EM221">
        <f t="shared" si="721"/>
        <v>2.1600000000000001E-2</v>
      </c>
      <c r="EN221" s="144">
        <f t="shared" si="722"/>
        <v>30.127903970744683</v>
      </c>
      <c r="EP221" s="144">
        <f t="shared" si="723"/>
        <v>946.31017386485678</v>
      </c>
      <c r="EQ221" s="150">
        <f t="shared" si="724"/>
        <v>0.13999999999999999</v>
      </c>
      <c r="ER221" s="150">
        <f t="shared" si="685"/>
        <v>2.0357500000000001E-2</v>
      </c>
      <c r="ES221" s="456"/>
      <c r="EU221" s="144">
        <f t="shared" si="725"/>
        <v>160.35749999999999</v>
      </c>
      <c r="EV221" s="456">
        <f t="shared" si="726"/>
        <v>7.5432070707070718E-3</v>
      </c>
      <c r="EW221" s="456">
        <f t="shared" si="727"/>
        <v>0.15077928879345562</v>
      </c>
      <c r="EX221" s="456">
        <f t="shared" si="728"/>
        <v>2.1697592919293525E-3</v>
      </c>
      <c r="EY221" s="456">
        <f t="shared" si="729"/>
        <v>0.21410228196579384</v>
      </c>
      <c r="EZ221" s="456"/>
      <c r="FA221" s="538">
        <f t="shared" si="730"/>
        <v>0.27238085106382981</v>
      </c>
      <c r="FB221" s="144">
        <f t="shared" si="731"/>
        <v>646.9753881857157</v>
      </c>
      <c r="FC221" s="150">
        <f t="shared" si="732"/>
        <v>1.7536430620505725</v>
      </c>
      <c r="FD221" s="5">
        <f t="shared" si="733"/>
        <v>6.2549999999999999</v>
      </c>
      <c r="FE221" s="150">
        <f t="shared" si="734"/>
        <v>0.78103118737301291</v>
      </c>
      <c r="FF221" s="5">
        <f t="shared" si="735"/>
        <v>78.103118737301287</v>
      </c>
      <c r="FG221">
        <f t="shared" si="736"/>
        <v>5</v>
      </c>
      <c r="FI221" s="59">
        <f t="shared" si="686"/>
        <v>-50</v>
      </c>
    </row>
    <row r="222" spans="1:169">
      <c r="E222" s="147">
        <v>6</v>
      </c>
      <c r="F222" s="188">
        <f t="shared" si="687"/>
        <v>0.24</v>
      </c>
      <c r="G222" s="188">
        <f t="shared" si="615"/>
        <v>5.0999999999999997E-2</v>
      </c>
      <c r="H222" s="188">
        <f t="shared" si="616"/>
        <v>7.1999999999999993</v>
      </c>
      <c r="I222" s="188">
        <f t="shared" si="617"/>
        <v>0.30599999999999999</v>
      </c>
      <c r="J222" s="465">
        <f t="shared" si="618"/>
        <v>47.907994023579676</v>
      </c>
      <c r="K222" s="379">
        <f t="shared" si="619"/>
        <v>30.767461186454312</v>
      </c>
      <c r="L222" s="149">
        <f t="shared" si="620"/>
        <v>78.675455210033988</v>
      </c>
      <c r="M222" s="379"/>
      <c r="N222" s="188">
        <f t="shared" si="621"/>
        <v>0.39106810509474293</v>
      </c>
      <c r="O222" s="149">
        <f t="shared" si="622"/>
        <v>272.29545006455311</v>
      </c>
      <c r="P222" s="149">
        <f t="shared" si="623"/>
        <v>11.572556627743504</v>
      </c>
      <c r="Q222" s="188">
        <f t="shared" si="624"/>
        <v>9.0765150021517709</v>
      </c>
      <c r="R222" s="188">
        <f t="shared" si="625"/>
        <v>45.382575010758849</v>
      </c>
      <c r="S222" s="188">
        <f t="shared" si="626"/>
        <v>30</v>
      </c>
      <c r="T222" s="188">
        <f t="shared" si="627"/>
        <v>0.80126868858842049</v>
      </c>
      <c r="U222" s="188">
        <f t="shared" si="628"/>
        <v>7.8608234661464216E-2</v>
      </c>
      <c r="V222" s="188">
        <f t="shared" si="629"/>
        <v>0.12240083162999421</v>
      </c>
      <c r="W222" s="172">
        <f t="shared" si="630"/>
        <v>350</v>
      </c>
      <c r="X222" s="379">
        <f t="shared" si="688"/>
        <v>350</v>
      </c>
      <c r="Z222" s="188">
        <f t="shared" si="631"/>
        <v>11.389233095253237</v>
      </c>
      <c r="AA222" s="150">
        <f t="shared" si="632"/>
        <v>1.7398054140150203</v>
      </c>
      <c r="AB222" s="150">
        <f t="shared" si="633"/>
        <v>3.3262672854725279</v>
      </c>
      <c r="AC222" s="150"/>
      <c r="AD222" s="150">
        <f t="shared" si="634"/>
        <v>0.92581082047124597</v>
      </c>
      <c r="AE222" s="314">
        <f t="shared" si="635"/>
        <v>89.182366607006344</v>
      </c>
      <c r="AF222" s="456">
        <f t="shared" si="636"/>
        <v>0.94189023229397884</v>
      </c>
      <c r="AH222" s="150">
        <f t="shared" si="637"/>
        <v>3.0208998437984329</v>
      </c>
      <c r="AI222" s="150">
        <f t="shared" si="638"/>
        <v>6.0606060606060606</v>
      </c>
      <c r="AJ222" s="150">
        <f t="shared" si="639"/>
        <v>1.0509613523468608</v>
      </c>
      <c r="AL222" s="314">
        <f t="shared" si="640"/>
        <v>240</v>
      </c>
      <c r="AM222" s="144">
        <f t="shared" si="641"/>
        <v>89.182366607006344</v>
      </c>
      <c r="AO222">
        <f t="shared" si="642"/>
        <v>240</v>
      </c>
      <c r="AP222">
        <f t="shared" si="643"/>
        <v>89.182366607006344</v>
      </c>
      <c r="AR222" s="5">
        <f t="shared" si="614"/>
        <v>11.212978955880702</v>
      </c>
      <c r="AS222" s="5">
        <f t="shared" si="602"/>
        <v>0.59457401766453877</v>
      </c>
      <c r="AT222" s="5">
        <f t="shared" si="603"/>
        <v>10.618404938216164</v>
      </c>
      <c r="AU222" s="150">
        <f t="shared" si="604"/>
        <v>5.3025518018359565E-2</v>
      </c>
      <c r="BA222" s="150">
        <f t="shared" si="689"/>
        <v>0.80574549942028972</v>
      </c>
      <c r="BB222" s="150">
        <f t="shared" si="690"/>
        <v>3.2662430822266328</v>
      </c>
      <c r="BC222" s="150">
        <f t="shared" si="691"/>
        <v>0.65563548639003066</v>
      </c>
      <c r="BD222" s="150"/>
      <c r="BE222" s="456">
        <f t="shared" si="692"/>
        <v>7.7907097180326262E-3</v>
      </c>
      <c r="BF222" s="456">
        <f t="shared" si="644"/>
        <v>0.77606336384022445</v>
      </c>
      <c r="BG222" s="456">
        <f t="shared" si="693"/>
        <v>1.025597215980573E-2</v>
      </c>
      <c r="BH222" s="456">
        <f t="shared" si="694"/>
        <v>0.28567213189069041</v>
      </c>
      <c r="BI222">
        <f t="shared" si="695"/>
        <v>2.1558597310610852E-2</v>
      </c>
      <c r="BJ222" s="144">
        <f t="shared" si="696"/>
        <v>31.814569470416583</v>
      </c>
      <c r="BK222">
        <f t="shared" si="645"/>
        <v>1.0736170401899447</v>
      </c>
      <c r="BL222" s="144">
        <f t="shared" si="697"/>
        <v>1101.3407749193643</v>
      </c>
      <c r="BM222" s="150">
        <f t="shared" si="646"/>
        <v>0.16094399999999998</v>
      </c>
      <c r="BN222" s="150">
        <f t="shared" si="647"/>
        <v>2.4428999999999996E-2</v>
      </c>
      <c r="BQ222" s="144">
        <f t="shared" si="698"/>
        <v>185.37299999999999</v>
      </c>
      <c r="BR222" s="456">
        <f t="shared" si="699"/>
        <v>9.0891613377047306E-3</v>
      </c>
      <c r="BS222" s="456">
        <f t="shared" si="700"/>
        <v>0.14935681421070668</v>
      </c>
      <c r="BT222" s="456">
        <f t="shared" si="701"/>
        <v>2.1492894550694604E-3</v>
      </c>
      <c r="BU222" s="456">
        <f t="shared" si="702"/>
        <v>0.33959213712695868</v>
      </c>
      <c r="BV222" s="456"/>
      <c r="BW222" s="538">
        <f t="shared" si="703"/>
        <v>0.32757526761067529</v>
      </c>
      <c r="BX222" s="144">
        <f t="shared" si="704"/>
        <v>827.76266974111491</v>
      </c>
      <c r="BY222" s="150">
        <f t="shared" si="705"/>
        <v>2.1144764446604789</v>
      </c>
      <c r="BZ222" s="5">
        <f t="shared" si="706"/>
        <v>7.5059999999999993</v>
      </c>
      <c r="CA222" s="150">
        <f t="shared" si="707"/>
        <v>0.78021083915921352</v>
      </c>
      <c r="CB222" s="5">
        <f t="shared" si="708"/>
        <v>78.021083915921352</v>
      </c>
      <c r="CC222">
        <f t="shared" si="709"/>
        <v>6</v>
      </c>
      <c r="CE222" s="59">
        <f t="shared" si="648"/>
        <v>-50</v>
      </c>
      <c r="CG222" s="150">
        <f t="shared" si="649"/>
        <v>8.1803478948025185E-2</v>
      </c>
      <c r="CH222" s="150">
        <f t="shared" si="650"/>
        <v>1.7853000794764172E-2</v>
      </c>
      <c r="CI222" s="147">
        <v>6</v>
      </c>
      <c r="CJ222" s="188">
        <f t="shared" si="710"/>
        <v>0.24</v>
      </c>
      <c r="CK222" s="188">
        <f t="shared" si="651"/>
        <v>5.0999999999999997E-2</v>
      </c>
      <c r="CL222" s="188">
        <f t="shared" si="652"/>
        <v>7.1999999999999993</v>
      </c>
      <c r="CM222" s="188">
        <f t="shared" si="653"/>
        <v>0.30599999999999999</v>
      </c>
      <c r="CN222" s="465">
        <f t="shared" si="654"/>
        <v>48</v>
      </c>
      <c r="CO222" s="379">
        <f t="shared" si="655"/>
        <v>30.7</v>
      </c>
      <c r="CP222" s="379">
        <f t="shared" si="656"/>
        <v>78.7</v>
      </c>
      <c r="CQ222" s="379"/>
      <c r="CR222" s="188">
        <f t="shared" si="657"/>
        <v>0.38775510204081626</v>
      </c>
      <c r="CS222" s="149">
        <f t="shared" si="658"/>
        <v>270.50715642699197</v>
      </c>
      <c r="CT222" s="149">
        <f t="shared" si="659"/>
        <v>11.496554148147156</v>
      </c>
      <c r="CU222" s="188">
        <f t="shared" si="660"/>
        <v>9.0169052142330663</v>
      </c>
      <c r="CV222" s="188">
        <f t="shared" si="661"/>
        <v>45.084526071165328</v>
      </c>
      <c r="CW222" s="188">
        <f t="shared" si="662"/>
        <v>30</v>
      </c>
      <c r="CX222" s="188">
        <f t="shared" si="663"/>
        <v>0.80656578947368429</v>
      </c>
      <c r="CY222" s="188">
        <f t="shared" si="664"/>
        <v>7.8976233552631586E-2</v>
      </c>
      <c r="CZ222" s="188">
        <f t="shared" si="665"/>
        <v>0.12348075604320249</v>
      </c>
      <c r="DA222" s="172">
        <f t="shared" si="666"/>
        <v>350</v>
      </c>
      <c r="DB222" s="379">
        <f t="shared" si="667"/>
        <v>350</v>
      </c>
      <c r="DD222" s="188">
        <f t="shared" si="668"/>
        <v>11.382534575916392</v>
      </c>
      <c r="DE222" s="150">
        <f t="shared" si="669"/>
        <v>1.7426030132510437</v>
      </c>
      <c r="DF222" s="150">
        <f t="shared" si="670"/>
        <v>3.3296564353233258</v>
      </c>
      <c r="DG222" s="150"/>
      <c r="DH222" s="150">
        <f t="shared" si="671"/>
        <v>0.92784522751949461</v>
      </c>
      <c r="DI222" s="314">
        <f t="shared" si="672"/>
        <v>88.986824042553195</v>
      </c>
      <c r="DJ222" s="456">
        <f t="shared" si="673"/>
        <v>0.94395997276890675</v>
      </c>
      <c r="DL222" s="150">
        <f t="shared" si="674"/>
        <v>3.0208998437984329</v>
      </c>
      <c r="DM222" s="150">
        <f t="shared" si="675"/>
        <v>6.0606060606060606</v>
      </c>
      <c r="DN222" s="150">
        <f t="shared" si="676"/>
        <v>1.0508496137386019</v>
      </c>
      <c r="DP222" s="314">
        <f t="shared" si="677"/>
        <v>240</v>
      </c>
      <c r="DQ222" s="144">
        <f t="shared" si="678"/>
        <v>88.986824042553195</v>
      </c>
      <c r="DS222">
        <f t="shared" si="679"/>
        <v>240</v>
      </c>
      <c r="DT222">
        <f t="shared" si="680"/>
        <v>88.986824042553195</v>
      </c>
      <c r="DV222" s="5">
        <f t="shared" si="681"/>
        <v>11.237618723439365</v>
      </c>
      <c r="DW222" s="5">
        <f t="shared" si="682"/>
        <v>0.59343434343434343</v>
      </c>
      <c r="DX222" s="5">
        <f t="shared" si="683"/>
        <v>10.644184380005022</v>
      </c>
      <c r="DY222" s="150">
        <f t="shared" si="684"/>
        <v>5.2807837500000003E-2</v>
      </c>
      <c r="EA222" s="5">
        <f t="shared" si="711"/>
        <v>0.47474747474747475</v>
      </c>
      <c r="EB222" s="5">
        <f t="shared" si="712"/>
        <v>0.50441919191919193</v>
      </c>
      <c r="EC222" s="5">
        <f t="shared" si="713"/>
        <v>0.93919273941220782</v>
      </c>
      <c r="ED222" s="5"/>
      <c r="EE222" s="150">
        <f t="shared" si="714"/>
        <v>0.80408992411334568</v>
      </c>
      <c r="EF222" s="150">
        <f t="shared" si="715"/>
        <v>3.2666184654319346</v>
      </c>
      <c r="EG222" s="150">
        <f t="shared" si="716"/>
        <v>0.65571083734958724</v>
      </c>
      <c r="EH222" s="150"/>
      <c r="EI222" s="456">
        <f t="shared" si="717"/>
        <v>7.758727272727273E-3</v>
      </c>
      <c r="EJ222" s="456">
        <f t="shared" si="718"/>
        <v>0.8064363514595746</v>
      </c>
      <c r="EK222" s="456">
        <f t="shared" si="719"/>
        <v>1.0233484764893618E-2</v>
      </c>
      <c r="EL222" s="456">
        <f t="shared" si="720"/>
        <v>0.28522364514063281</v>
      </c>
      <c r="EM222">
        <f t="shared" si="721"/>
        <v>2.1600000000000001E-2</v>
      </c>
      <c r="EN222" s="144">
        <f t="shared" si="722"/>
        <v>31.833484764893615</v>
      </c>
      <c r="EP222" s="144">
        <f t="shared" si="723"/>
        <v>1131.2522086378285</v>
      </c>
      <c r="EQ222" s="150">
        <f t="shared" si="724"/>
        <v>0.16799999999999998</v>
      </c>
      <c r="ER222" s="150">
        <f t="shared" si="685"/>
        <v>2.4428999999999996E-2</v>
      </c>
      <c r="ES222" s="456"/>
      <c r="EU222" s="144">
        <f t="shared" si="725"/>
        <v>192.429</v>
      </c>
      <c r="EV222" s="456">
        <f t="shared" si="726"/>
        <v>9.0518484848484855E-3</v>
      </c>
      <c r="EW222" s="456">
        <f t="shared" si="727"/>
        <v>0.14939114678181242</v>
      </c>
      <c r="EX222" s="456">
        <f t="shared" si="728"/>
        <v>2.1497835110884842E-3</v>
      </c>
      <c r="EY222" s="456">
        <f t="shared" si="729"/>
        <v>0.33773371040447103</v>
      </c>
      <c r="EZ222" s="456"/>
      <c r="FA222" s="538">
        <f t="shared" si="730"/>
        <v>0.32685702127659577</v>
      </c>
      <c r="FB222" s="144">
        <f t="shared" si="731"/>
        <v>825.18351045881627</v>
      </c>
      <c r="FC222" s="150">
        <f t="shared" si="732"/>
        <v>2.148864719096645</v>
      </c>
      <c r="FD222" s="5">
        <f t="shared" si="733"/>
        <v>7.5059999999999993</v>
      </c>
      <c r="FE222" s="150">
        <f t="shared" si="734"/>
        <v>0.77743191835237824</v>
      </c>
      <c r="FF222" s="5">
        <f t="shared" si="735"/>
        <v>77.743191835237823</v>
      </c>
      <c r="FG222">
        <f t="shared" si="736"/>
        <v>6</v>
      </c>
      <c r="FI222" s="59">
        <f t="shared" si="686"/>
        <v>-50</v>
      </c>
    </row>
    <row r="223" spans="1:169">
      <c r="E223" s="147">
        <v>7</v>
      </c>
      <c r="F223" s="188">
        <f t="shared" si="687"/>
        <v>0.28000000000000003</v>
      </c>
      <c r="G223" s="188">
        <f t="shared" si="615"/>
        <v>5.9500000000000004E-2</v>
      </c>
      <c r="H223" s="188">
        <f t="shared" si="616"/>
        <v>8.4</v>
      </c>
      <c r="I223" s="188">
        <f t="shared" si="617"/>
        <v>0.35700000000000004</v>
      </c>
      <c r="J223" s="465">
        <f t="shared" si="618"/>
        <v>47.907994023579676</v>
      </c>
      <c r="K223" s="379">
        <f t="shared" si="619"/>
        <v>30.767461186454312</v>
      </c>
      <c r="L223" s="149">
        <f t="shared" si="620"/>
        <v>78.675455210033988</v>
      </c>
      <c r="M223" s="379"/>
      <c r="N223" s="188">
        <f t="shared" si="621"/>
        <v>0.39106810509474293</v>
      </c>
      <c r="O223" s="149">
        <f t="shared" si="622"/>
        <v>272.29545006455311</v>
      </c>
      <c r="P223" s="149">
        <f t="shared" si="623"/>
        <v>11.572556627743504</v>
      </c>
      <c r="Q223" s="188">
        <f t="shared" si="624"/>
        <v>9.0765150021517709</v>
      </c>
      <c r="R223" s="188">
        <f t="shared" si="625"/>
        <v>45.382575010758849</v>
      </c>
      <c r="S223" s="188">
        <f t="shared" si="626"/>
        <v>30</v>
      </c>
      <c r="T223" s="188">
        <f t="shared" si="627"/>
        <v>0.93481347001982396</v>
      </c>
      <c r="U223" s="188">
        <f t="shared" si="628"/>
        <v>9.1709607105041585E-2</v>
      </c>
      <c r="V223" s="188">
        <f t="shared" si="629"/>
        <v>0.14280097023499325</v>
      </c>
      <c r="W223" s="172">
        <f t="shared" si="630"/>
        <v>350</v>
      </c>
      <c r="X223" s="379">
        <f t="shared" si="688"/>
        <v>350</v>
      </c>
      <c r="Z223" s="188">
        <f t="shared" si="631"/>
        <v>11.389233095253237</v>
      </c>
      <c r="AA223" s="150">
        <f t="shared" si="632"/>
        <v>1.7398054140150203</v>
      </c>
      <c r="AB223" s="150">
        <f t="shared" si="633"/>
        <v>3.3262672854725279</v>
      </c>
      <c r="AC223" s="150"/>
      <c r="AD223" s="150">
        <f t="shared" si="634"/>
        <v>0.92581082047124597</v>
      </c>
      <c r="AE223" s="314">
        <f t="shared" si="635"/>
        <v>104.04609437484076</v>
      </c>
      <c r="AF223" s="456">
        <f t="shared" si="636"/>
        <v>0.94189023229397884</v>
      </c>
      <c r="AH223" s="150">
        <f t="shared" si="637"/>
        <v>3.262944760586409</v>
      </c>
      <c r="AI223" s="150">
        <f t="shared" si="638"/>
        <v>6.0606060606060606</v>
      </c>
      <c r="AJ223" s="150">
        <f t="shared" si="639"/>
        <v>1.0594549110713376</v>
      </c>
      <c r="AL223" s="314">
        <f t="shared" si="640"/>
        <v>280</v>
      </c>
      <c r="AM223" s="144">
        <f t="shared" si="641"/>
        <v>104.04609437484076</v>
      </c>
      <c r="AO223">
        <f t="shared" si="642"/>
        <v>280</v>
      </c>
      <c r="AP223">
        <f t="shared" si="643"/>
        <v>104.04609437484076</v>
      </c>
      <c r="AR223" s="5">
        <f t="shared" si="614"/>
        <v>9.6111248193263137</v>
      </c>
      <c r="AS223" s="5">
        <f t="shared" si="602"/>
        <v>0.59457401766453877</v>
      </c>
      <c r="AT223" s="5">
        <f t="shared" si="603"/>
        <v>9.0165508016617757</v>
      </c>
      <c r="AU223" s="150">
        <f t="shared" si="604"/>
        <v>6.186310435475284E-2</v>
      </c>
      <c r="BA223" s="150">
        <f t="shared" si="689"/>
        <v>0.87030460844200652</v>
      </c>
      <c r="BB223" s="150">
        <f t="shared" si="690"/>
        <v>3.2509663409941796</v>
      </c>
      <c r="BC223" s="150">
        <f t="shared" si="691"/>
        <v>0.65256897437110084</v>
      </c>
      <c r="BD223" s="150"/>
      <c r="BE223" s="456">
        <f t="shared" si="692"/>
        <v>9.0891613377047323E-3</v>
      </c>
      <c r="BF223" s="456">
        <f t="shared" si="644"/>
        <v>0.90540725781359555</v>
      </c>
      <c r="BG223" s="456">
        <f t="shared" si="693"/>
        <v>1.1965300853106689E-2</v>
      </c>
      <c r="BH223" s="456">
        <f t="shared" si="694"/>
        <v>0.33328415387247229</v>
      </c>
      <c r="BI223">
        <f t="shared" si="695"/>
        <v>2.1558597310610852E-2</v>
      </c>
      <c r="BJ223" s="144">
        <f t="shared" si="696"/>
        <v>33.52389816371754</v>
      </c>
      <c r="BK223">
        <f t="shared" si="645"/>
        <v>1.2529404777130304</v>
      </c>
      <c r="BL223" s="144">
        <f t="shared" si="697"/>
        <v>1281.3044711874902</v>
      </c>
      <c r="BM223" s="150">
        <f t="shared" si="646"/>
        <v>0.18776799999999999</v>
      </c>
      <c r="BN223" s="150">
        <f t="shared" si="647"/>
        <v>2.8500500000000002E-2</v>
      </c>
      <c r="BQ223" s="144">
        <f t="shared" si="698"/>
        <v>216.26849999999999</v>
      </c>
      <c r="BR223" s="456">
        <f t="shared" si="699"/>
        <v>1.060402156065552E-2</v>
      </c>
      <c r="BS223" s="456">
        <f t="shared" si="700"/>
        <v>0.14796295010387917</v>
      </c>
      <c r="BT223" s="456">
        <f t="shared" si="701"/>
        <v>2.1292313315587523E-3</v>
      </c>
      <c r="BU223" s="456">
        <f t="shared" si="702"/>
        <v>0.49925750283778375</v>
      </c>
      <c r="BV223" s="456"/>
      <c r="BW223" s="538">
        <f t="shared" si="703"/>
        <v>0.3821711455457879</v>
      </c>
      <c r="BX223" s="144">
        <f t="shared" si="704"/>
        <v>1042.124851379665</v>
      </c>
      <c r="BY223" s="150">
        <f t="shared" si="705"/>
        <v>2.5396978225671556</v>
      </c>
      <c r="BZ223" s="5">
        <f t="shared" si="706"/>
        <v>8.7569999999999997</v>
      </c>
      <c r="CA223" s="150">
        <f t="shared" si="707"/>
        <v>0.77518228225122043</v>
      </c>
      <c r="CB223" s="5">
        <f t="shared" si="708"/>
        <v>77.518228225122044</v>
      </c>
      <c r="CC223">
        <f t="shared" si="709"/>
        <v>7.0000000000000009</v>
      </c>
      <c r="CE223" s="59">
        <f t="shared" si="648"/>
        <v>-50</v>
      </c>
      <c r="CG223" s="150">
        <f t="shared" si="649"/>
        <v>9.5437392106029389E-2</v>
      </c>
      <c r="CH223" s="150">
        <f t="shared" si="650"/>
        <v>2.082850092722487E-2</v>
      </c>
      <c r="CI223" s="147">
        <v>7</v>
      </c>
      <c r="CJ223" s="188">
        <f t="shared" si="710"/>
        <v>0.28000000000000003</v>
      </c>
      <c r="CK223" s="188">
        <f t="shared" si="651"/>
        <v>5.9500000000000004E-2</v>
      </c>
      <c r="CL223" s="188">
        <f t="shared" si="652"/>
        <v>8.4</v>
      </c>
      <c r="CM223" s="188">
        <f t="shared" si="653"/>
        <v>0.35700000000000004</v>
      </c>
      <c r="CN223" s="465">
        <f t="shared" si="654"/>
        <v>48</v>
      </c>
      <c r="CO223" s="379">
        <f t="shared" si="655"/>
        <v>30.7</v>
      </c>
      <c r="CP223" s="379">
        <f t="shared" si="656"/>
        <v>78.7</v>
      </c>
      <c r="CQ223" s="379"/>
      <c r="CR223" s="188">
        <f t="shared" si="657"/>
        <v>0.38775510204081626</v>
      </c>
      <c r="CS223" s="149">
        <f t="shared" si="658"/>
        <v>270.50715642699197</v>
      </c>
      <c r="CT223" s="149">
        <f t="shared" si="659"/>
        <v>11.496554148147156</v>
      </c>
      <c r="CU223" s="188">
        <f t="shared" si="660"/>
        <v>9.0169052142330663</v>
      </c>
      <c r="CV223" s="188">
        <f t="shared" si="661"/>
        <v>45.084526071165328</v>
      </c>
      <c r="CW223" s="188">
        <f t="shared" si="662"/>
        <v>30</v>
      </c>
      <c r="CX223" s="188">
        <f t="shared" si="663"/>
        <v>0.94099342105263173</v>
      </c>
      <c r="CY223" s="188">
        <f t="shared" si="664"/>
        <v>9.2138939144736851E-2</v>
      </c>
      <c r="CZ223" s="188">
        <f t="shared" si="665"/>
        <v>0.14406088205040291</v>
      </c>
      <c r="DA223" s="172">
        <f t="shared" si="666"/>
        <v>350</v>
      </c>
      <c r="DB223" s="379">
        <f t="shared" si="667"/>
        <v>350</v>
      </c>
      <c r="DD223" s="188">
        <f t="shared" si="668"/>
        <v>11.382534575916392</v>
      </c>
      <c r="DE223" s="150">
        <f t="shared" si="669"/>
        <v>1.7426030132510437</v>
      </c>
      <c r="DF223" s="150">
        <f t="shared" si="670"/>
        <v>3.3296564353233258</v>
      </c>
      <c r="DG223" s="150"/>
      <c r="DH223" s="150">
        <f t="shared" si="671"/>
        <v>0.92784522751949461</v>
      </c>
      <c r="DI223" s="314">
        <f t="shared" si="672"/>
        <v>103.81796138297874</v>
      </c>
      <c r="DJ223" s="456">
        <f t="shared" si="673"/>
        <v>0.94395997276890675</v>
      </c>
      <c r="DL223" s="150">
        <f t="shared" si="674"/>
        <v>3.262944760586409</v>
      </c>
      <c r="DM223" s="150">
        <f t="shared" si="675"/>
        <v>6.0606060606060606</v>
      </c>
      <c r="DN223" s="150">
        <f t="shared" si="676"/>
        <v>1.0593245493617021</v>
      </c>
      <c r="DP223" s="314">
        <f t="shared" si="677"/>
        <v>280</v>
      </c>
      <c r="DQ223" s="144">
        <f t="shared" si="678"/>
        <v>103.81796138297874</v>
      </c>
      <c r="DS223">
        <f t="shared" si="679"/>
        <v>280</v>
      </c>
      <c r="DT223">
        <f t="shared" si="680"/>
        <v>103.81796138297874</v>
      </c>
      <c r="DV223" s="5">
        <f t="shared" si="681"/>
        <v>9.6322446200908836</v>
      </c>
      <c r="DW223" s="5">
        <f t="shared" si="682"/>
        <v>0.59343434343434343</v>
      </c>
      <c r="DX223" s="5">
        <f t="shared" si="683"/>
        <v>9.038810276656541</v>
      </c>
      <c r="DY223" s="150">
        <f t="shared" si="684"/>
        <v>6.1609143750000005E-2</v>
      </c>
      <c r="EA223" s="5">
        <f t="shared" si="711"/>
        <v>0.55387205387205396</v>
      </c>
      <c r="EB223" s="5">
        <f t="shared" si="712"/>
        <v>0.5884890572390572</v>
      </c>
      <c r="EC223" s="5">
        <f t="shared" si="713"/>
        <v>0.93046576377346746</v>
      </c>
      <c r="ED223" s="5"/>
      <c r="EE223" s="150">
        <f t="shared" si="714"/>
        <v>0.86851638273017462</v>
      </c>
      <c r="EF223" s="150">
        <f t="shared" si="715"/>
        <v>3.2514063415496421</v>
      </c>
      <c r="EG223" s="150">
        <f t="shared" si="716"/>
        <v>0.65265729602106071</v>
      </c>
      <c r="EH223" s="150"/>
      <c r="EI223" s="456">
        <f t="shared" si="717"/>
        <v>9.0518484848484872E-3</v>
      </c>
      <c r="EJ223" s="456">
        <f t="shared" si="718"/>
        <v>0.94084241003617053</v>
      </c>
      <c r="EK223" s="456">
        <f t="shared" si="719"/>
        <v>1.1939065559042556E-2</v>
      </c>
      <c r="EL223" s="456">
        <f t="shared" si="720"/>
        <v>0.33276091933073831</v>
      </c>
      <c r="EM223">
        <f t="shared" si="721"/>
        <v>2.1600000000000001E-2</v>
      </c>
      <c r="EN223" s="144">
        <f t="shared" si="722"/>
        <v>33.539065559042555</v>
      </c>
      <c r="EP223" s="144">
        <f t="shared" si="723"/>
        <v>1316.1942434108</v>
      </c>
      <c r="EQ223" s="150">
        <f t="shared" si="724"/>
        <v>0.19600000000000001</v>
      </c>
      <c r="ER223" s="150">
        <f t="shared" si="685"/>
        <v>2.8500500000000002E-2</v>
      </c>
      <c r="ES223" s="456"/>
      <c r="EU223" s="144">
        <f t="shared" si="725"/>
        <v>224.50050000000002</v>
      </c>
      <c r="EV223" s="456">
        <f t="shared" si="726"/>
        <v>1.0560489898989901E-2</v>
      </c>
      <c r="EW223" s="456">
        <f t="shared" si="727"/>
        <v>0.1480030047701692</v>
      </c>
      <c r="EX223" s="456">
        <f t="shared" si="728"/>
        <v>2.1298077302476124E-3</v>
      </c>
      <c r="EY223" s="456">
        <f t="shared" si="729"/>
        <v>0.49652530328650379</v>
      </c>
      <c r="EZ223" s="456"/>
      <c r="FA223" s="538">
        <f t="shared" si="730"/>
        <v>0.38133319148936179</v>
      </c>
      <c r="FB223" s="144">
        <f t="shared" si="731"/>
        <v>1038.5517971752722</v>
      </c>
      <c r="FC223" s="150">
        <f t="shared" si="732"/>
        <v>2.5792465405860723</v>
      </c>
      <c r="FD223" s="5">
        <f t="shared" si="733"/>
        <v>8.7569999999999997</v>
      </c>
      <c r="FE223" s="150">
        <f t="shared" si="734"/>
        <v>0.77247790691991003</v>
      </c>
      <c r="FF223" s="5">
        <f t="shared" si="735"/>
        <v>77.247790691991</v>
      </c>
      <c r="FG223">
        <f t="shared" si="736"/>
        <v>7.0000000000000009</v>
      </c>
      <c r="FI223" s="59">
        <f t="shared" si="686"/>
        <v>-50</v>
      </c>
    </row>
    <row r="224" spans="1:169">
      <c r="E224" s="147">
        <v>8</v>
      </c>
      <c r="F224" s="188">
        <f t="shared" si="687"/>
        <v>0.32</v>
      </c>
      <c r="G224" s="188">
        <f t="shared" si="615"/>
        <v>6.8000000000000005E-2</v>
      </c>
      <c r="H224" s="188">
        <f t="shared" si="616"/>
        <v>9.6</v>
      </c>
      <c r="I224" s="188">
        <f t="shared" si="617"/>
        <v>0.40800000000000003</v>
      </c>
      <c r="J224" s="465">
        <f t="shared" si="618"/>
        <v>47.907994023579676</v>
      </c>
      <c r="K224" s="379">
        <f t="shared" si="619"/>
        <v>30.767461186454312</v>
      </c>
      <c r="L224" s="149">
        <f t="shared" si="620"/>
        <v>78.675455210033988</v>
      </c>
      <c r="M224" s="379"/>
      <c r="N224" s="188">
        <f t="shared" si="621"/>
        <v>0.39106810509474293</v>
      </c>
      <c r="O224" s="149">
        <f t="shared" si="622"/>
        <v>272.29545006455311</v>
      </c>
      <c r="P224" s="149">
        <f t="shared" si="623"/>
        <v>11.572556627743504</v>
      </c>
      <c r="Q224" s="188">
        <f t="shared" si="624"/>
        <v>9.0765150021517709</v>
      </c>
      <c r="R224" s="188">
        <f t="shared" si="625"/>
        <v>45.382575010758849</v>
      </c>
      <c r="S224" s="188">
        <f t="shared" si="626"/>
        <v>30</v>
      </c>
      <c r="T224" s="188">
        <f t="shared" si="627"/>
        <v>1.0683582514512273</v>
      </c>
      <c r="U224" s="188">
        <f t="shared" si="628"/>
        <v>0.10481097954861895</v>
      </c>
      <c r="V224" s="188">
        <f t="shared" si="629"/>
        <v>0.16320110883999228</v>
      </c>
      <c r="W224" s="172">
        <f t="shared" si="630"/>
        <v>350</v>
      </c>
      <c r="X224" s="379">
        <f t="shared" si="688"/>
        <v>350</v>
      </c>
      <c r="Z224" s="188">
        <f t="shared" si="631"/>
        <v>11.389233095253237</v>
      </c>
      <c r="AA224" s="150">
        <f t="shared" si="632"/>
        <v>1.7398054140150203</v>
      </c>
      <c r="AB224" s="150">
        <f t="shared" si="633"/>
        <v>3.3262672854725279</v>
      </c>
      <c r="AC224" s="150"/>
      <c r="AD224" s="150">
        <f t="shared" si="634"/>
        <v>0.92581082047124597</v>
      </c>
      <c r="AE224" s="314">
        <f t="shared" si="635"/>
        <v>118.90982214267514</v>
      </c>
      <c r="AF224" s="456">
        <f t="shared" si="636"/>
        <v>0.94189023229397884</v>
      </c>
      <c r="AH224" s="150">
        <f t="shared" si="637"/>
        <v>3.4882346760238474</v>
      </c>
      <c r="AI224" s="150">
        <f t="shared" si="638"/>
        <v>6.0606060606060606</v>
      </c>
      <c r="AJ224" s="150">
        <f t="shared" si="639"/>
        <v>1.0679484697958144</v>
      </c>
      <c r="AL224" s="314">
        <f t="shared" si="640"/>
        <v>320</v>
      </c>
      <c r="AM224" s="144">
        <f t="shared" si="641"/>
        <v>118.90982214267514</v>
      </c>
      <c r="AO224">
        <f t="shared" si="642"/>
        <v>320</v>
      </c>
      <c r="AP224">
        <f t="shared" si="643"/>
        <v>118.90982214267514</v>
      </c>
      <c r="AR224" s="5">
        <f t="shared" si="614"/>
        <v>8.4097342169105271</v>
      </c>
      <c r="AS224" s="5">
        <f t="shared" si="602"/>
        <v>0.59457401766453877</v>
      </c>
      <c r="AT224" s="5">
        <f t="shared" si="603"/>
        <v>7.8151601992459883</v>
      </c>
      <c r="AU224" s="150">
        <f t="shared" si="604"/>
        <v>7.0700690691146081E-2</v>
      </c>
      <c r="BA224" s="150">
        <f t="shared" si="689"/>
        <v>0.93039476197726756</v>
      </c>
      <c r="BB224" s="150">
        <f t="shared" si="690"/>
        <v>3.2356174725020939</v>
      </c>
      <c r="BC224" s="150">
        <f t="shared" si="691"/>
        <v>0.6494879841918626</v>
      </c>
      <c r="BD224" s="150"/>
      <c r="BE224" s="456">
        <f t="shared" si="692"/>
        <v>1.0387612957376837E-2</v>
      </c>
      <c r="BF224" s="456">
        <f t="shared" si="644"/>
        <v>1.0347511517869663</v>
      </c>
      <c r="BG224" s="456">
        <f t="shared" si="693"/>
        <v>1.3674629546407642E-2</v>
      </c>
      <c r="BH224" s="456">
        <f t="shared" si="694"/>
        <v>0.38089617585425395</v>
      </c>
      <c r="BI224">
        <f t="shared" si="695"/>
        <v>2.1558597310610852E-2</v>
      </c>
      <c r="BJ224" s="144">
        <f t="shared" si="696"/>
        <v>35.233226857018494</v>
      </c>
      <c r="BK224">
        <f t="shared" si="645"/>
        <v>1.4323748359013713</v>
      </c>
      <c r="BL224" s="144">
        <f t="shared" si="697"/>
        <v>1461.2681674556156</v>
      </c>
      <c r="BM224" s="150">
        <f t="shared" si="646"/>
        <v>0.21459199999999998</v>
      </c>
      <c r="BN224" s="150">
        <f t="shared" si="647"/>
        <v>3.2572000000000004E-2</v>
      </c>
      <c r="BQ224" s="144">
        <f t="shared" si="698"/>
        <v>247.16399999999999</v>
      </c>
      <c r="BR224" s="456">
        <f t="shared" si="699"/>
        <v>1.2118881783606308E-2</v>
      </c>
      <c r="BS224" s="456">
        <f t="shared" si="700"/>
        <v>0.14656908599705173</v>
      </c>
      <c r="BT224" s="456">
        <f t="shared" si="701"/>
        <v>2.109173208048046E-3</v>
      </c>
      <c r="BU224" s="456">
        <f t="shared" si="702"/>
        <v>0.69711506412419466</v>
      </c>
      <c r="BV224" s="456"/>
      <c r="BW224" s="538">
        <f t="shared" si="703"/>
        <v>0.43676702348090046</v>
      </c>
      <c r="BX224" s="144">
        <f t="shared" si="704"/>
        <v>1294.6792285938011</v>
      </c>
      <c r="BY224" s="150">
        <f t="shared" si="705"/>
        <v>3.0031113960494165</v>
      </c>
      <c r="BZ224" s="5">
        <f t="shared" si="706"/>
        <v>10.007999999999999</v>
      </c>
      <c r="CA224" s="150">
        <f t="shared" si="707"/>
        <v>0.76918871073832662</v>
      </c>
      <c r="CB224" s="5">
        <f t="shared" si="708"/>
        <v>76.918871073832662</v>
      </c>
      <c r="CC224">
        <f t="shared" si="709"/>
        <v>8</v>
      </c>
      <c r="CE224" s="59">
        <f t="shared" si="648"/>
        <v>-50</v>
      </c>
      <c r="CG224" s="150">
        <f t="shared" si="649"/>
        <v>0.10907130526403358</v>
      </c>
      <c r="CH224" s="150">
        <f t="shared" si="650"/>
        <v>2.3804001059685564E-2</v>
      </c>
      <c r="CI224" s="147">
        <v>8</v>
      </c>
      <c r="CJ224" s="188">
        <f t="shared" si="710"/>
        <v>0.32</v>
      </c>
      <c r="CK224" s="188">
        <f t="shared" si="651"/>
        <v>6.8000000000000005E-2</v>
      </c>
      <c r="CL224" s="188">
        <f t="shared" si="652"/>
        <v>9.6</v>
      </c>
      <c r="CM224" s="188">
        <f t="shared" si="653"/>
        <v>0.40800000000000003</v>
      </c>
      <c r="CN224" s="465">
        <f t="shared" si="654"/>
        <v>48</v>
      </c>
      <c r="CO224" s="379">
        <f t="shared" si="655"/>
        <v>30.7</v>
      </c>
      <c r="CP224" s="379">
        <f t="shared" si="656"/>
        <v>78.7</v>
      </c>
      <c r="CQ224" s="379"/>
      <c r="CR224" s="188">
        <f t="shared" si="657"/>
        <v>0.38775510204081626</v>
      </c>
      <c r="CS224" s="149">
        <f t="shared" si="658"/>
        <v>270.50715642699197</v>
      </c>
      <c r="CT224" s="149">
        <f t="shared" si="659"/>
        <v>11.496554148147156</v>
      </c>
      <c r="CU224" s="188">
        <f t="shared" si="660"/>
        <v>9.0169052142330663</v>
      </c>
      <c r="CV224" s="188">
        <f t="shared" si="661"/>
        <v>45.084526071165328</v>
      </c>
      <c r="CW224" s="188">
        <f t="shared" si="662"/>
        <v>30</v>
      </c>
      <c r="CX224" s="188">
        <f t="shared" si="663"/>
        <v>1.0754210526315791</v>
      </c>
      <c r="CY224" s="188">
        <f t="shared" si="664"/>
        <v>0.10530164473684211</v>
      </c>
      <c r="CZ224" s="188">
        <f t="shared" si="665"/>
        <v>0.16464100805760332</v>
      </c>
      <c r="DA224" s="172">
        <f t="shared" si="666"/>
        <v>350</v>
      </c>
      <c r="DB224" s="379">
        <f t="shared" si="667"/>
        <v>350</v>
      </c>
      <c r="DD224" s="188">
        <f t="shared" si="668"/>
        <v>11.382534575916392</v>
      </c>
      <c r="DE224" s="150">
        <f t="shared" si="669"/>
        <v>1.7426030132510437</v>
      </c>
      <c r="DF224" s="150">
        <f t="shared" si="670"/>
        <v>3.3296564353233258</v>
      </c>
      <c r="DG224" s="150"/>
      <c r="DH224" s="150">
        <f t="shared" si="671"/>
        <v>0.92784522751949461</v>
      </c>
      <c r="DI224" s="314">
        <f t="shared" si="672"/>
        <v>118.64909872340426</v>
      </c>
      <c r="DJ224" s="456">
        <f t="shared" si="673"/>
        <v>0.94395997276890675</v>
      </c>
      <c r="DL224" s="150">
        <f t="shared" si="674"/>
        <v>3.4882346760238474</v>
      </c>
      <c r="DM224" s="150">
        <f t="shared" si="675"/>
        <v>6.0606060606060606</v>
      </c>
      <c r="DN224" s="150">
        <f t="shared" si="676"/>
        <v>1.0677994849848025</v>
      </c>
      <c r="DP224" s="314">
        <f t="shared" si="677"/>
        <v>320</v>
      </c>
      <c r="DQ224" s="144">
        <f t="shared" si="678"/>
        <v>118.64909872340426</v>
      </c>
      <c r="DS224">
        <f t="shared" si="679"/>
        <v>320</v>
      </c>
      <c r="DT224">
        <f t="shared" si="680"/>
        <v>118.64909872340426</v>
      </c>
      <c r="DV224" s="5">
        <f t="shared" si="681"/>
        <v>8.4282140425795227</v>
      </c>
      <c r="DW224" s="5">
        <f t="shared" si="682"/>
        <v>0.59343434343434343</v>
      </c>
      <c r="DX224" s="5">
        <f t="shared" si="683"/>
        <v>7.8347796991451792</v>
      </c>
      <c r="DY224" s="150">
        <f t="shared" si="684"/>
        <v>7.0410450000000013E-2</v>
      </c>
      <c r="EA224" s="5">
        <f t="shared" si="711"/>
        <v>0.632996632996633</v>
      </c>
      <c r="EB224" s="5">
        <f t="shared" si="712"/>
        <v>0.67255892255892258</v>
      </c>
      <c r="EC224" s="5">
        <f t="shared" si="713"/>
        <v>0.92173878813472687</v>
      </c>
      <c r="ED224" s="5"/>
      <c r="EE224" s="150">
        <f t="shared" si="714"/>
        <v>0.92848306827901184</v>
      </c>
      <c r="EF224" s="150">
        <f t="shared" si="715"/>
        <v>3.23612271044186</v>
      </c>
      <c r="EG224" s="150">
        <f t="shared" si="716"/>
        <v>0.64958940099215645</v>
      </c>
      <c r="EH224" s="150"/>
      <c r="EI224" s="456">
        <f t="shared" si="717"/>
        <v>1.0344969696969698E-2</v>
      </c>
      <c r="EJ224" s="456">
        <f t="shared" si="718"/>
        <v>1.0752484686127661</v>
      </c>
      <c r="EK224" s="456">
        <f t="shared" si="719"/>
        <v>1.3644646353191492E-2</v>
      </c>
      <c r="EL224" s="456">
        <f t="shared" si="720"/>
        <v>0.38029819352084376</v>
      </c>
      <c r="EM224">
        <f t="shared" si="721"/>
        <v>2.1600000000000001E-2</v>
      </c>
      <c r="EN224" s="144">
        <f t="shared" si="722"/>
        <v>35.244646353191492</v>
      </c>
      <c r="EP224" s="144">
        <f t="shared" si="723"/>
        <v>1501.1362781837711</v>
      </c>
      <c r="EQ224" s="150">
        <f t="shared" si="724"/>
        <v>0.22399999999999998</v>
      </c>
      <c r="ER224" s="150">
        <f t="shared" si="685"/>
        <v>3.2572000000000004E-2</v>
      </c>
      <c r="ES224" s="456"/>
      <c r="EU224" s="144">
        <f t="shared" si="725"/>
        <v>256.57199999999995</v>
      </c>
      <c r="EV224" s="456">
        <f t="shared" si="726"/>
        <v>1.2069131313131315E-2</v>
      </c>
      <c r="EW224" s="456">
        <f t="shared" si="727"/>
        <v>0.146614862758526</v>
      </c>
      <c r="EX224" s="456">
        <f t="shared" si="728"/>
        <v>2.1098319494067433E-3</v>
      </c>
      <c r="EY224" s="456">
        <f t="shared" si="729"/>
        <v>0.69330008396953702</v>
      </c>
      <c r="EZ224" s="456"/>
      <c r="FA224" s="538">
        <f t="shared" si="730"/>
        <v>0.4358093617021277</v>
      </c>
      <c r="FB224" s="144">
        <f t="shared" si="731"/>
        <v>1289.9032716927288</v>
      </c>
      <c r="FC224" s="150">
        <f t="shared" si="732"/>
        <v>3.0476115498765002</v>
      </c>
      <c r="FD224" s="5">
        <f t="shared" si="733"/>
        <v>10.007999999999999</v>
      </c>
      <c r="FE224" s="150">
        <f t="shared" si="734"/>
        <v>0.76656692501659729</v>
      </c>
      <c r="FF224" s="5">
        <f t="shared" si="735"/>
        <v>76.656692501659734</v>
      </c>
      <c r="FG224">
        <f t="shared" si="736"/>
        <v>8</v>
      </c>
      <c r="FI224" s="59">
        <f t="shared" si="686"/>
        <v>-50</v>
      </c>
    </row>
    <row r="225" spans="5:165">
      <c r="E225" s="147">
        <v>9</v>
      </c>
      <c r="F225" s="188">
        <f t="shared" si="687"/>
        <v>0.36</v>
      </c>
      <c r="G225" s="188">
        <f t="shared" si="615"/>
        <v>7.6499999999999999E-2</v>
      </c>
      <c r="H225" s="188">
        <f t="shared" si="616"/>
        <v>10.799999999999999</v>
      </c>
      <c r="I225" s="188">
        <f t="shared" si="617"/>
        <v>0.45899999999999996</v>
      </c>
      <c r="J225" s="465">
        <f t="shared" si="618"/>
        <v>47.907994023579676</v>
      </c>
      <c r="K225" s="379">
        <f t="shared" si="619"/>
        <v>30.767461186454312</v>
      </c>
      <c r="L225" s="149">
        <f t="shared" si="620"/>
        <v>78.675455210033988</v>
      </c>
      <c r="M225" s="379"/>
      <c r="N225" s="188">
        <f t="shared" si="621"/>
        <v>0.39106810509474293</v>
      </c>
      <c r="O225" s="149">
        <f t="shared" si="622"/>
        <v>272.29545006455311</v>
      </c>
      <c r="P225" s="149">
        <f t="shared" si="623"/>
        <v>11.572556627743504</v>
      </c>
      <c r="Q225" s="188">
        <f t="shared" si="624"/>
        <v>9.0765150021517709</v>
      </c>
      <c r="R225" s="188">
        <f t="shared" si="625"/>
        <v>45.382575010758849</v>
      </c>
      <c r="S225" s="188">
        <f t="shared" si="626"/>
        <v>30</v>
      </c>
      <c r="T225" s="188">
        <f t="shared" si="627"/>
        <v>1.2019030328826308</v>
      </c>
      <c r="U225" s="188">
        <f t="shared" si="628"/>
        <v>0.11791235199219634</v>
      </c>
      <c r="V225" s="188">
        <f t="shared" si="629"/>
        <v>0.18360124744499132</v>
      </c>
      <c r="W225" s="172">
        <f t="shared" si="630"/>
        <v>350</v>
      </c>
      <c r="X225" s="379">
        <f t="shared" si="688"/>
        <v>350</v>
      </c>
      <c r="Z225" s="188">
        <f t="shared" si="631"/>
        <v>11.389233095253237</v>
      </c>
      <c r="AA225" s="150">
        <f t="shared" si="632"/>
        <v>1.7398054140150203</v>
      </c>
      <c r="AB225" s="150">
        <f t="shared" si="633"/>
        <v>3.3262672854725279</v>
      </c>
      <c r="AC225" s="150"/>
      <c r="AD225" s="150">
        <f t="shared" si="634"/>
        <v>0.92581082047124597</v>
      </c>
      <c r="AE225" s="314">
        <f t="shared" si="635"/>
        <v>133.7735499105095</v>
      </c>
      <c r="AF225" s="456">
        <f t="shared" si="636"/>
        <v>0.94189023229397884</v>
      </c>
      <c r="AH225" s="150">
        <f t="shared" si="637"/>
        <v>3.6998315906797834</v>
      </c>
      <c r="AI225" s="150">
        <f t="shared" si="638"/>
        <v>6.0606060606060606</v>
      </c>
      <c r="AJ225" s="150">
        <f t="shared" si="639"/>
        <v>1.0764420285202911</v>
      </c>
      <c r="AL225" s="314">
        <f t="shared" si="640"/>
        <v>360</v>
      </c>
      <c r="AM225" s="144">
        <f t="shared" si="641"/>
        <v>133.7735499105095</v>
      </c>
      <c r="AO225">
        <f t="shared" si="642"/>
        <v>360</v>
      </c>
      <c r="AP225">
        <f t="shared" si="643"/>
        <v>133.7735499105095</v>
      </c>
      <c r="AR225" s="5">
        <f t="shared" si="614"/>
        <v>7.4753193039204691</v>
      </c>
      <c r="AS225" s="5">
        <f t="shared" si="602"/>
        <v>0.59457401766453877</v>
      </c>
      <c r="AT225" s="5">
        <f t="shared" si="603"/>
        <v>6.8807452862559302</v>
      </c>
      <c r="AU225" s="150">
        <f t="shared" si="604"/>
        <v>7.9538277027539336E-2</v>
      </c>
      <c r="BA225" s="150">
        <f t="shared" si="689"/>
        <v>0.98683266806185443</v>
      </c>
      <c r="BB225" s="150">
        <f t="shared" si="690"/>
        <v>3.2201954453797654</v>
      </c>
      <c r="BC225" s="150">
        <f t="shared" si="691"/>
        <v>0.64639230882449983</v>
      </c>
      <c r="BD225" s="150"/>
      <c r="BE225" s="456">
        <f t="shared" si="692"/>
        <v>1.1686064577048938E-2</v>
      </c>
      <c r="BF225" s="456">
        <f t="shared" si="644"/>
        <v>1.1640950457603367</v>
      </c>
      <c r="BG225" s="456">
        <f t="shared" si="693"/>
        <v>1.5383958239708595E-2</v>
      </c>
      <c r="BH225" s="456">
        <f t="shared" si="694"/>
        <v>0.42850819783603561</v>
      </c>
      <c r="BI225">
        <f t="shared" si="695"/>
        <v>2.1558597310610852E-2</v>
      </c>
      <c r="BJ225" s="144">
        <f t="shared" si="696"/>
        <v>36.942555550319447</v>
      </c>
      <c r="BK225">
        <f t="shared" si="645"/>
        <v>1.6119202177019152</v>
      </c>
      <c r="BL225" s="144">
        <f t="shared" si="697"/>
        <v>1641.2318637237408</v>
      </c>
      <c r="BM225" s="150">
        <f t="shared" si="646"/>
        <v>0.24141599999999999</v>
      </c>
      <c r="BN225" s="150">
        <f t="shared" si="647"/>
        <v>3.6643499999999996E-2</v>
      </c>
      <c r="BQ225" s="144">
        <f t="shared" si="698"/>
        <v>278.05950000000001</v>
      </c>
      <c r="BR225" s="456">
        <f t="shared" si="699"/>
        <v>1.3633742006557094E-2</v>
      </c>
      <c r="BS225" s="456">
        <f t="shared" si="700"/>
        <v>0.14517522189022419</v>
      </c>
      <c r="BT225" s="456">
        <f t="shared" si="701"/>
        <v>2.0891150845373375E-3</v>
      </c>
      <c r="BU225" s="456">
        <f t="shared" si="702"/>
        <v>0.93580588870009196</v>
      </c>
      <c r="BV225" s="456"/>
      <c r="BW225" s="538">
        <f t="shared" si="703"/>
        <v>0.49136290141601285</v>
      </c>
      <c r="BX225" s="144">
        <f t="shared" si="704"/>
        <v>1588.0668690974233</v>
      </c>
      <c r="BY225" s="150">
        <f t="shared" si="705"/>
        <v>3.5073582328211645</v>
      </c>
      <c r="BZ225" s="5">
        <f t="shared" si="706"/>
        <v>11.258999999999999</v>
      </c>
      <c r="CA225" s="150">
        <f t="shared" si="707"/>
        <v>0.76247642258702863</v>
      </c>
      <c r="CB225" s="5">
        <f t="shared" si="708"/>
        <v>76.247642258702868</v>
      </c>
      <c r="CC225">
        <f t="shared" si="709"/>
        <v>9</v>
      </c>
      <c r="CE225" s="59">
        <f t="shared" si="648"/>
        <v>-50</v>
      </c>
      <c r="CG225" s="150">
        <f t="shared" si="649"/>
        <v>0.12270521842203776</v>
      </c>
      <c r="CH225" s="150">
        <f t="shared" si="650"/>
        <v>2.6779501192146254E-2</v>
      </c>
      <c r="CI225" s="147">
        <v>9</v>
      </c>
      <c r="CJ225" s="188">
        <f t="shared" si="710"/>
        <v>0.36</v>
      </c>
      <c r="CK225" s="188">
        <f t="shared" si="651"/>
        <v>7.6499999999999999E-2</v>
      </c>
      <c r="CL225" s="188">
        <f t="shared" si="652"/>
        <v>10.799999999999999</v>
      </c>
      <c r="CM225" s="188">
        <f t="shared" si="653"/>
        <v>0.45899999999999996</v>
      </c>
      <c r="CN225" s="465">
        <f t="shared" si="654"/>
        <v>48</v>
      </c>
      <c r="CO225" s="379">
        <f t="shared" si="655"/>
        <v>30.7</v>
      </c>
      <c r="CP225" s="379">
        <f t="shared" si="656"/>
        <v>78.7</v>
      </c>
      <c r="CQ225" s="379"/>
      <c r="CR225" s="188">
        <f t="shared" si="657"/>
        <v>0.38775510204081626</v>
      </c>
      <c r="CS225" s="149">
        <f t="shared" si="658"/>
        <v>270.50715642699197</v>
      </c>
      <c r="CT225" s="149">
        <f t="shared" si="659"/>
        <v>11.496554148147156</v>
      </c>
      <c r="CU225" s="188">
        <f t="shared" si="660"/>
        <v>9.0169052142330663</v>
      </c>
      <c r="CV225" s="188">
        <f t="shared" si="661"/>
        <v>45.084526071165328</v>
      </c>
      <c r="CW225" s="188">
        <f t="shared" si="662"/>
        <v>30</v>
      </c>
      <c r="CX225" s="188">
        <f t="shared" si="663"/>
        <v>1.2098486842105265</v>
      </c>
      <c r="CY225" s="188">
        <f t="shared" si="664"/>
        <v>0.11846435032894738</v>
      </c>
      <c r="CZ225" s="188">
        <f t="shared" si="665"/>
        <v>0.18522113406480373</v>
      </c>
      <c r="DA225" s="172">
        <f t="shared" si="666"/>
        <v>350</v>
      </c>
      <c r="DB225" s="379">
        <f t="shared" si="667"/>
        <v>350</v>
      </c>
      <c r="DD225" s="188">
        <f t="shared" si="668"/>
        <v>11.382534575916392</v>
      </c>
      <c r="DE225" s="150">
        <f t="shared" si="669"/>
        <v>1.7426030132510437</v>
      </c>
      <c r="DF225" s="150">
        <f t="shared" si="670"/>
        <v>3.3296564353233258</v>
      </c>
      <c r="DG225" s="150"/>
      <c r="DH225" s="150">
        <f t="shared" si="671"/>
        <v>0.92784522751949461</v>
      </c>
      <c r="DI225" s="314">
        <f t="shared" si="672"/>
        <v>133.48023606382975</v>
      </c>
      <c r="DJ225" s="456">
        <f t="shared" si="673"/>
        <v>0.94395997276890675</v>
      </c>
      <c r="DL225" s="150">
        <f t="shared" si="674"/>
        <v>3.6998315906797834</v>
      </c>
      <c r="DM225" s="150">
        <f t="shared" si="675"/>
        <v>6.0606060606060606</v>
      </c>
      <c r="DN225" s="150">
        <f t="shared" si="676"/>
        <v>1.0762744206079027</v>
      </c>
      <c r="DP225" s="314">
        <f t="shared" si="677"/>
        <v>360</v>
      </c>
      <c r="DQ225" s="144">
        <f t="shared" si="678"/>
        <v>133.48023606382975</v>
      </c>
      <c r="DS225">
        <f t="shared" si="679"/>
        <v>360</v>
      </c>
      <c r="DT225">
        <f t="shared" si="680"/>
        <v>133.48023606382975</v>
      </c>
      <c r="DV225" s="5">
        <f t="shared" si="681"/>
        <v>7.4917458156262455</v>
      </c>
      <c r="DW225" s="5">
        <f t="shared" si="682"/>
        <v>0.59343434343434343</v>
      </c>
      <c r="DX225" s="5">
        <f t="shared" si="683"/>
        <v>6.8983114721919021</v>
      </c>
      <c r="DY225" s="150">
        <f t="shared" si="684"/>
        <v>7.9211756249999973E-2</v>
      </c>
      <c r="EA225" s="5">
        <f t="shared" si="711"/>
        <v>0.71212121212121215</v>
      </c>
      <c r="EB225" s="5">
        <f t="shared" si="712"/>
        <v>0.75662878787878773</v>
      </c>
      <c r="EC225" s="5">
        <f t="shared" si="713"/>
        <v>0.91301181249598695</v>
      </c>
      <c r="ED225" s="5"/>
      <c r="EE225" s="150">
        <f t="shared" si="714"/>
        <v>0.98480501069547199</v>
      </c>
      <c r="EF225" s="150">
        <f t="shared" si="715"/>
        <v>3.2207665541305399</v>
      </c>
      <c r="EG225" s="150">
        <f t="shared" si="716"/>
        <v>0.64650694792335706</v>
      </c>
      <c r="EH225" s="150"/>
      <c r="EI225" s="456">
        <f t="shared" si="717"/>
        <v>1.1638090909090905E-2</v>
      </c>
      <c r="EJ225" s="456">
        <f t="shared" si="718"/>
        <v>1.2096545271893615</v>
      </c>
      <c r="EK225" s="456">
        <f t="shared" si="719"/>
        <v>1.5350227147340424E-2</v>
      </c>
      <c r="EL225" s="456">
        <f t="shared" si="720"/>
        <v>0.42783546771094905</v>
      </c>
      <c r="EM225">
        <f t="shared" si="721"/>
        <v>2.1600000000000001E-2</v>
      </c>
      <c r="EN225" s="144">
        <f t="shared" si="722"/>
        <v>36.950227147340428</v>
      </c>
      <c r="EP225" s="144">
        <f t="shared" si="723"/>
        <v>1686.0783129567421</v>
      </c>
      <c r="EQ225" s="150">
        <f t="shared" si="724"/>
        <v>0.252</v>
      </c>
      <c r="ER225" s="150">
        <f t="shared" si="685"/>
        <v>3.6643499999999996E-2</v>
      </c>
      <c r="ES225" s="456"/>
      <c r="EU225" s="144">
        <f t="shared" si="725"/>
        <v>288.64350000000002</v>
      </c>
      <c r="EV225" s="456">
        <f t="shared" si="726"/>
        <v>1.3577772727272721E-2</v>
      </c>
      <c r="EW225" s="456">
        <f t="shared" si="727"/>
        <v>0.14522672074688275</v>
      </c>
      <c r="EX225" s="456">
        <f t="shared" si="728"/>
        <v>2.0898561685658715E-3</v>
      </c>
      <c r="EY225" s="456">
        <f t="shared" si="729"/>
        <v>0.93068466685633655</v>
      </c>
      <c r="EZ225" s="456"/>
      <c r="FA225" s="538">
        <f t="shared" si="730"/>
        <v>0.49028553191489344</v>
      </c>
      <c r="FB225" s="144">
        <f t="shared" si="731"/>
        <v>1581.8645484139515</v>
      </c>
      <c r="FC225" s="150">
        <f t="shared" si="732"/>
        <v>3.5565863613706941</v>
      </c>
      <c r="FD225" s="5">
        <f t="shared" si="733"/>
        <v>11.258999999999999</v>
      </c>
      <c r="FE225" s="150">
        <f t="shared" si="734"/>
        <v>0.75994292263423791</v>
      </c>
      <c r="FF225" s="5">
        <f t="shared" si="735"/>
        <v>75.994292263423787</v>
      </c>
      <c r="FG225">
        <f t="shared" si="736"/>
        <v>9</v>
      </c>
      <c r="FI225" s="59">
        <f t="shared" si="686"/>
        <v>-50</v>
      </c>
    </row>
    <row r="226" spans="5:165">
      <c r="E226" s="147">
        <v>10</v>
      </c>
      <c r="F226" s="188">
        <f t="shared" si="687"/>
        <v>0.4</v>
      </c>
      <c r="G226" s="188">
        <f t="shared" si="615"/>
        <v>8.5000000000000006E-2</v>
      </c>
      <c r="H226" s="188">
        <f t="shared" si="616"/>
        <v>12</v>
      </c>
      <c r="I226" s="188">
        <f t="shared" si="617"/>
        <v>0.51</v>
      </c>
      <c r="J226" s="465">
        <f t="shared" si="618"/>
        <v>47.907994023579676</v>
      </c>
      <c r="K226" s="379">
        <f t="shared" si="619"/>
        <v>30.767461186454312</v>
      </c>
      <c r="L226" s="149">
        <f t="shared" si="620"/>
        <v>78.675455210033988</v>
      </c>
      <c r="M226" s="379"/>
      <c r="N226" s="188">
        <f t="shared" si="621"/>
        <v>0.39106810509474293</v>
      </c>
      <c r="O226" s="149">
        <f t="shared" si="622"/>
        <v>272.29545006455311</v>
      </c>
      <c r="P226" s="149">
        <f t="shared" si="623"/>
        <v>11.572556627743504</v>
      </c>
      <c r="Q226" s="188">
        <f t="shared" si="624"/>
        <v>9.0765150021517709</v>
      </c>
      <c r="R226" s="188">
        <f t="shared" si="625"/>
        <v>45.382575010758849</v>
      </c>
      <c r="S226" s="188">
        <f t="shared" si="626"/>
        <v>30</v>
      </c>
      <c r="T226" s="188">
        <f t="shared" si="627"/>
        <v>1.3354478143140343</v>
      </c>
      <c r="U226" s="188">
        <f t="shared" si="628"/>
        <v>0.13101372443577369</v>
      </c>
      <c r="V226" s="188">
        <f t="shared" si="629"/>
        <v>0.20400138604999038</v>
      </c>
      <c r="W226" s="172">
        <f t="shared" si="630"/>
        <v>350</v>
      </c>
      <c r="X226" s="379">
        <f t="shared" si="688"/>
        <v>350</v>
      </c>
      <c r="Z226" s="188">
        <f t="shared" si="631"/>
        <v>11.389233095253237</v>
      </c>
      <c r="AA226" s="150">
        <f t="shared" si="632"/>
        <v>1.7398054140150203</v>
      </c>
      <c r="AB226" s="150">
        <f t="shared" si="633"/>
        <v>3.3262672854725279</v>
      </c>
      <c r="AC226" s="150"/>
      <c r="AD226" s="150">
        <f t="shared" si="634"/>
        <v>0.92581082047124597</v>
      </c>
      <c r="AE226" s="314">
        <f t="shared" si="635"/>
        <v>148.63727767834391</v>
      </c>
      <c r="AF226" s="456">
        <f t="shared" si="636"/>
        <v>0.94189023229397884</v>
      </c>
      <c r="AH226" s="150">
        <f t="shared" si="637"/>
        <v>3.8999649285306397</v>
      </c>
      <c r="AI226" s="150">
        <f t="shared" si="638"/>
        <v>6.0606060606060606</v>
      </c>
      <c r="AJ226" s="150">
        <f t="shared" si="639"/>
        <v>1.0849355872447679</v>
      </c>
      <c r="AL226" s="314">
        <f t="shared" si="640"/>
        <v>400</v>
      </c>
      <c r="AM226" s="144">
        <f t="shared" si="641"/>
        <v>148.63727767834391</v>
      </c>
      <c r="AO226">
        <f t="shared" si="642"/>
        <v>400</v>
      </c>
      <c r="AP226">
        <f t="shared" si="643"/>
        <v>148.63727767834391</v>
      </c>
      <c r="AR226" s="5">
        <f t="shared" si="614"/>
        <v>6.7277873735284217</v>
      </c>
      <c r="AS226" s="5">
        <f t="shared" si="602"/>
        <v>0.59457401766453877</v>
      </c>
      <c r="AT226" s="5">
        <f t="shared" si="603"/>
        <v>6.1332133558638828</v>
      </c>
      <c r="AU226" s="150">
        <f t="shared" si="604"/>
        <v>8.8375863363932605E-2</v>
      </c>
      <c r="BA226" s="150">
        <f t="shared" si="689"/>
        <v>1.0402129668454534</v>
      </c>
      <c r="BB226" s="150">
        <f t="shared" si="690"/>
        <v>3.2046992034399016</v>
      </c>
      <c r="BC226" s="150">
        <f t="shared" si="691"/>
        <v>0.64328173625972473</v>
      </c>
      <c r="BD226" s="150"/>
      <c r="BE226" s="456">
        <f t="shared" si="692"/>
        <v>1.2984516196721044E-2</v>
      </c>
      <c r="BF226" s="456">
        <f t="shared" si="644"/>
        <v>1.2934389397337076</v>
      </c>
      <c r="BG226" s="456">
        <f t="shared" si="693"/>
        <v>1.7093286933009551E-2</v>
      </c>
      <c r="BH226" s="456">
        <f t="shared" si="694"/>
        <v>0.47612021981781738</v>
      </c>
      <c r="BI226">
        <f t="shared" si="695"/>
        <v>2.1558597310610852E-2</v>
      </c>
      <c r="BJ226" s="144">
        <f t="shared" si="696"/>
        <v>38.651884243620401</v>
      </c>
      <c r="BK226">
        <f t="shared" si="645"/>
        <v>1.7915767261890443</v>
      </c>
      <c r="BL226" s="144">
        <f t="shared" si="697"/>
        <v>1821.1955599918665</v>
      </c>
      <c r="BM226" s="150">
        <f t="shared" si="646"/>
        <v>0.26823999999999998</v>
      </c>
      <c r="BN226" s="150">
        <f t="shared" si="647"/>
        <v>4.0715000000000001E-2</v>
      </c>
      <c r="BQ226" s="144">
        <f t="shared" si="698"/>
        <v>308.95499999999998</v>
      </c>
      <c r="BR226" s="456">
        <f t="shared" si="699"/>
        <v>1.5148602229507884E-2</v>
      </c>
      <c r="BS226" s="456">
        <f t="shared" si="700"/>
        <v>0.14378135778339676</v>
      </c>
      <c r="BT226" s="456">
        <f t="shared" si="701"/>
        <v>2.0690569610266303E-3</v>
      </c>
      <c r="BU226" s="456">
        <f t="shared" si="702"/>
        <v>1.217809899625643</v>
      </c>
      <c r="BV226" s="456"/>
      <c r="BW226" s="538">
        <f t="shared" si="703"/>
        <v>0.54595877935112547</v>
      </c>
      <c r="BX226" s="144">
        <f t="shared" si="704"/>
        <v>1924.7676959506998</v>
      </c>
      <c r="BY226" s="150">
        <f t="shared" si="705"/>
        <v>4.0549182559425665</v>
      </c>
      <c r="BZ226" s="5">
        <f t="shared" si="706"/>
        <v>12.51</v>
      </c>
      <c r="CA226" s="150">
        <f t="shared" si="707"/>
        <v>0.7552104880150623</v>
      </c>
      <c r="CB226" s="5">
        <f t="shared" si="708"/>
        <v>75.521048801506225</v>
      </c>
      <c r="CC226">
        <f t="shared" si="709"/>
        <v>10</v>
      </c>
      <c r="CE226" s="59">
        <f t="shared" si="648"/>
        <v>-50</v>
      </c>
      <c r="CG226" s="150">
        <f t="shared" si="649"/>
        <v>0.13633913158004199</v>
      </c>
      <c r="CH226" s="150">
        <f t="shared" si="650"/>
        <v>2.9755001324606956E-2</v>
      </c>
      <c r="CI226" s="147">
        <v>10</v>
      </c>
      <c r="CJ226" s="188">
        <f t="shared" si="710"/>
        <v>0.4</v>
      </c>
      <c r="CK226" s="188">
        <f t="shared" si="651"/>
        <v>8.5000000000000006E-2</v>
      </c>
      <c r="CL226" s="188">
        <f t="shared" si="652"/>
        <v>12</v>
      </c>
      <c r="CM226" s="188">
        <f t="shared" si="653"/>
        <v>0.51</v>
      </c>
      <c r="CN226" s="465">
        <f t="shared" si="654"/>
        <v>48</v>
      </c>
      <c r="CO226" s="379">
        <f t="shared" si="655"/>
        <v>30.7</v>
      </c>
      <c r="CP226" s="379">
        <f t="shared" si="656"/>
        <v>78.7</v>
      </c>
      <c r="CQ226" s="379"/>
      <c r="CR226" s="188">
        <f t="shared" si="657"/>
        <v>0.38775510204081626</v>
      </c>
      <c r="CS226" s="149">
        <f t="shared" si="658"/>
        <v>270.50715642699197</v>
      </c>
      <c r="CT226" s="149">
        <f t="shared" si="659"/>
        <v>11.496554148147156</v>
      </c>
      <c r="CU226" s="188">
        <f t="shared" si="660"/>
        <v>9.0169052142330663</v>
      </c>
      <c r="CV226" s="188">
        <f t="shared" si="661"/>
        <v>45.084526071165328</v>
      </c>
      <c r="CW226" s="188">
        <f t="shared" si="662"/>
        <v>30</v>
      </c>
      <c r="CX226" s="188">
        <f t="shared" si="663"/>
        <v>1.3442763157894739</v>
      </c>
      <c r="CY226" s="188">
        <f t="shared" si="664"/>
        <v>0.13162705592105264</v>
      </c>
      <c r="CZ226" s="188">
        <f t="shared" si="665"/>
        <v>0.20580126007200414</v>
      </c>
      <c r="DA226" s="172">
        <f t="shared" si="666"/>
        <v>350</v>
      </c>
      <c r="DB226" s="379">
        <f t="shared" si="667"/>
        <v>350</v>
      </c>
      <c r="DD226" s="188">
        <f t="shared" si="668"/>
        <v>11.382534575916392</v>
      </c>
      <c r="DE226" s="150">
        <f t="shared" si="669"/>
        <v>1.7426030132510437</v>
      </c>
      <c r="DF226" s="150">
        <f t="shared" si="670"/>
        <v>3.3296564353233258</v>
      </c>
      <c r="DG226" s="150"/>
      <c r="DH226" s="150">
        <f t="shared" si="671"/>
        <v>0.92784522751949461</v>
      </c>
      <c r="DI226" s="314">
        <f t="shared" si="672"/>
        <v>148.31137340425533</v>
      </c>
      <c r="DJ226" s="456">
        <f t="shared" si="673"/>
        <v>0.94395997276890675</v>
      </c>
      <c r="DL226" s="150">
        <f t="shared" si="674"/>
        <v>3.8999649285306397</v>
      </c>
      <c r="DM226" s="150">
        <f t="shared" si="675"/>
        <v>6.0606060606060606</v>
      </c>
      <c r="DN226" s="150">
        <f t="shared" si="676"/>
        <v>1.0847493562310031</v>
      </c>
      <c r="DP226" s="314">
        <f t="shared" si="677"/>
        <v>400</v>
      </c>
      <c r="DQ226" s="144">
        <f t="shared" si="678"/>
        <v>148.31137340425533</v>
      </c>
      <c r="DS226">
        <f t="shared" si="679"/>
        <v>400</v>
      </c>
      <c r="DT226">
        <f t="shared" si="680"/>
        <v>148.31137340425533</v>
      </c>
      <c r="DV226" s="5">
        <f t="shared" si="681"/>
        <v>6.7425712340636181</v>
      </c>
      <c r="DW226" s="5">
        <f t="shared" si="682"/>
        <v>0.59343434343434343</v>
      </c>
      <c r="DX226" s="5">
        <f t="shared" si="683"/>
        <v>6.1491368906292747</v>
      </c>
      <c r="DY226" s="150">
        <f t="shared" si="684"/>
        <v>8.8013062500000017E-2</v>
      </c>
      <c r="EA226" s="5">
        <f t="shared" si="711"/>
        <v>0.7912457912457912</v>
      </c>
      <c r="EB226" s="5">
        <f t="shared" si="712"/>
        <v>0.84069865319865333</v>
      </c>
      <c r="EC226" s="5">
        <f t="shared" si="713"/>
        <v>0.90428483685724614</v>
      </c>
      <c r="ED226" s="5"/>
      <c r="EE226" s="150">
        <f t="shared" si="714"/>
        <v>1.0380756283147246</v>
      </c>
      <c r="EF226" s="150">
        <f t="shared" si="715"/>
        <v>3.2053368302526732</v>
      </c>
      <c r="EG226" s="150">
        <f t="shared" si="716"/>
        <v>0.64340972758033455</v>
      </c>
      <c r="EH226" s="150"/>
      <c r="EI226" s="456">
        <f t="shared" si="717"/>
        <v>1.2931212121212121E-2</v>
      </c>
      <c r="EJ226" s="456">
        <f t="shared" si="718"/>
        <v>1.3440605857659575</v>
      </c>
      <c r="EK226" s="456">
        <f t="shared" si="719"/>
        <v>1.7055807941489365E-2</v>
      </c>
      <c r="EL226" s="456">
        <f t="shared" si="720"/>
        <v>0.47537274190105472</v>
      </c>
      <c r="EM226">
        <f t="shared" si="721"/>
        <v>2.1600000000000001E-2</v>
      </c>
      <c r="EN226" s="144">
        <f t="shared" si="722"/>
        <v>38.655807941489364</v>
      </c>
      <c r="EP226" s="144">
        <f t="shared" si="723"/>
        <v>1871.0203477297139</v>
      </c>
      <c r="EQ226" s="150">
        <f t="shared" si="724"/>
        <v>0.27999999999999997</v>
      </c>
      <c r="ER226" s="150">
        <f t="shared" si="685"/>
        <v>4.0715000000000001E-2</v>
      </c>
      <c r="ES226" s="456"/>
      <c r="EU226" s="144">
        <f t="shared" si="725"/>
        <v>320.71499999999997</v>
      </c>
      <c r="EV226" s="456">
        <f t="shared" si="726"/>
        <v>1.5086414141414142E-2</v>
      </c>
      <c r="EW226" s="456">
        <f t="shared" si="727"/>
        <v>0.14383857873523959</v>
      </c>
      <c r="EX226" s="456">
        <f t="shared" si="728"/>
        <v>2.0698803877250015E-3</v>
      </c>
      <c r="EY226" s="456">
        <f t="shared" si="729"/>
        <v>1.211145403564218</v>
      </c>
      <c r="EZ226" s="456"/>
      <c r="FA226" s="538">
        <f t="shared" si="730"/>
        <v>0.54476170212765962</v>
      </c>
      <c r="FB226" s="144">
        <f t="shared" si="731"/>
        <v>1916.9019789562562</v>
      </c>
      <c r="FC226" s="150">
        <f t="shared" si="732"/>
        <v>4.1086373266859697</v>
      </c>
      <c r="FD226" s="5">
        <f t="shared" si="733"/>
        <v>12.51</v>
      </c>
      <c r="FE226" s="150">
        <f t="shared" si="734"/>
        <v>0.75276930076039505</v>
      </c>
      <c r="FF226" s="5">
        <f t="shared" si="735"/>
        <v>75.276930076039505</v>
      </c>
      <c r="FG226">
        <f t="shared" si="736"/>
        <v>10</v>
      </c>
      <c r="FI226" s="59">
        <f t="shared" si="686"/>
        <v>-50</v>
      </c>
    </row>
    <row r="227" spans="5:165">
      <c r="E227" s="147">
        <v>11</v>
      </c>
      <c r="F227" s="188">
        <f t="shared" si="687"/>
        <v>0.44</v>
      </c>
      <c r="G227" s="188">
        <f t="shared" si="615"/>
        <v>9.35E-2</v>
      </c>
      <c r="H227" s="188">
        <f t="shared" si="616"/>
        <v>13.2</v>
      </c>
      <c r="I227" s="188">
        <f t="shared" si="617"/>
        <v>0.56099999999999994</v>
      </c>
      <c r="J227" s="465">
        <f t="shared" si="618"/>
        <v>47.907994023579676</v>
      </c>
      <c r="K227" s="379">
        <f t="shared" si="619"/>
        <v>30.767461186454312</v>
      </c>
      <c r="L227" s="149">
        <f t="shared" si="620"/>
        <v>78.675455210033988</v>
      </c>
      <c r="M227" s="379"/>
      <c r="N227" s="188">
        <f t="shared" si="621"/>
        <v>0.39106810509474293</v>
      </c>
      <c r="O227" s="149">
        <f t="shared" si="622"/>
        <v>272.29545006455311</v>
      </c>
      <c r="P227" s="149">
        <f t="shared" si="623"/>
        <v>11.572556627743504</v>
      </c>
      <c r="Q227" s="188">
        <f t="shared" si="624"/>
        <v>9.0765150021517709</v>
      </c>
      <c r="R227" s="188">
        <f t="shared" si="625"/>
        <v>45.382575010758849</v>
      </c>
      <c r="S227" s="188">
        <f t="shared" si="626"/>
        <v>30</v>
      </c>
      <c r="T227" s="188">
        <f t="shared" si="627"/>
        <v>1.4689925957454377</v>
      </c>
      <c r="U227" s="188">
        <f t="shared" si="628"/>
        <v>0.14411509687935106</v>
      </c>
      <c r="V227" s="188">
        <f t="shared" si="629"/>
        <v>0.22440152465498939</v>
      </c>
      <c r="W227" s="172">
        <f t="shared" si="630"/>
        <v>350</v>
      </c>
      <c r="X227" s="379">
        <f t="shared" si="688"/>
        <v>350</v>
      </c>
      <c r="Z227" s="188">
        <f t="shared" si="631"/>
        <v>11.389233095253237</v>
      </c>
      <c r="AA227" s="150">
        <f t="shared" si="632"/>
        <v>1.7398054140150203</v>
      </c>
      <c r="AB227" s="150">
        <f t="shared" si="633"/>
        <v>3.3262672854725279</v>
      </c>
      <c r="AC227" s="150"/>
      <c r="AD227" s="150">
        <f t="shared" si="634"/>
        <v>0.92581082047124597</v>
      </c>
      <c r="AE227" s="314">
        <f t="shared" si="635"/>
        <v>163.50100544617831</v>
      </c>
      <c r="AF227" s="456">
        <f t="shared" si="636"/>
        <v>0.94189023229397884</v>
      </c>
      <c r="AH227" s="150">
        <f t="shared" si="637"/>
        <v>4.0903177245962077</v>
      </c>
      <c r="AI227" s="150">
        <f t="shared" si="638"/>
        <v>6.0606060606060606</v>
      </c>
      <c r="AJ227" s="150">
        <f t="shared" si="639"/>
        <v>1.0934291459692447</v>
      </c>
      <c r="AL227" s="314">
        <f t="shared" si="640"/>
        <v>440</v>
      </c>
      <c r="AM227" s="144">
        <f t="shared" si="641"/>
        <v>163.50100544617831</v>
      </c>
      <c r="AO227">
        <f t="shared" si="642"/>
        <v>440</v>
      </c>
      <c r="AP227">
        <f t="shared" si="643"/>
        <v>163.50100544617831</v>
      </c>
      <c r="AR227" s="5">
        <f t="shared" si="614"/>
        <v>6.1161703395712923</v>
      </c>
      <c r="AS227" s="5">
        <f t="shared" si="602"/>
        <v>0.59457401766453877</v>
      </c>
      <c r="AT227" s="5">
        <f t="shared" si="603"/>
        <v>5.5215963219067534</v>
      </c>
      <c r="AU227" s="150">
        <f t="shared" si="604"/>
        <v>9.721344970032586E-2</v>
      </c>
      <c r="BA227" s="150">
        <f t="shared" si="689"/>
        <v>1.090984563608836</v>
      </c>
      <c r="BB227" s="150">
        <f t="shared" si="690"/>
        <v>3.189127664834396</v>
      </c>
      <c r="BC227" s="150">
        <f t="shared" si="691"/>
        <v>0.64015604933733505</v>
      </c>
      <c r="BD227" s="150"/>
      <c r="BE227" s="456">
        <f t="shared" si="692"/>
        <v>1.428296781639315E-2</v>
      </c>
      <c r="BF227" s="456">
        <f t="shared" si="644"/>
        <v>1.4227828337070785</v>
      </c>
      <c r="BG227" s="456">
        <f t="shared" si="693"/>
        <v>1.8802615626310505E-2</v>
      </c>
      <c r="BH227" s="456">
        <f t="shared" si="694"/>
        <v>0.52373224179959921</v>
      </c>
      <c r="BI227">
        <f t="shared" si="695"/>
        <v>2.1558597310610852E-2</v>
      </c>
      <c r="BJ227" s="144">
        <f t="shared" si="696"/>
        <v>40.361212936921355</v>
      </c>
      <c r="BK227">
        <f t="shared" si="645"/>
        <v>1.9713444645647717</v>
      </c>
      <c r="BL227" s="144">
        <f t="shared" si="697"/>
        <v>2001.1592562599922</v>
      </c>
      <c r="BM227" s="150">
        <f t="shared" si="646"/>
        <v>0.29506399999999999</v>
      </c>
      <c r="BN227" s="150">
        <f t="shared" si="647"/>
        <v>4.47865E-2</v>
      </c>
      <c r="BQ227" s="144">
        <f t="shared" si="698"/>
        <v>339.85050000000001</v>
      </c>
      <c r="BR227" s="456">
        <f t="shared" si="699"/>
        <v>1.6663462452458675E-2</v>
      </c>
      <c r="BS227" s="456">
        <f t="shared" si="700"/>
        <v>0.14238749367656922</v>
      </c>
      <c r="BT227" s="456">
        <f t="shared" si="701"/>
        <v>2.0489988375159227E-3</v>
      </c>
      <c r="BU227" s="456">
        <f t="shared" si="702"/>
        <v>1.5454722557210607</v>
      </c>
      <c r="BV227" s="456"/>
      <c r="BW227" s="538">
        <f t="shared" si="703"/>
        <v>0.60055465728623814</v>
      </c>
      <c r="BX227" s="144">
        <f t="shared" si="704"/>
        <v>2307.1268679738423</v>
      </c>
      <c r="BY227" s="150">
        <f t="shared" si="705"/>
        <v>4.6481366242338353</v>
      </c>
      <c r="BZ227" s="5">
        <f t="shared" si="706"/>
        <v>13.760999999999999</v>
      </c>
      <c r="CA227" s="150">
        <f t="shared" si="707"/>
        <v>0.74750925482757202</v>
      </c>
      <c r="CB227" s="5">
        <f t="shared" si="708"/>
        <v>74.750925482757197</v>
      </c>
      <c r="CC227">
        <f t="shared" si="709"/>
        <v>11</v>
      </c>
      <c r="CE227" s="59">
        <f t="shared" si="648"/>
        <v>-50</v>
      </c>
      <c r="CG227" s="150">
        <f t="shared" si="649"/>
        <v>0.14997304473804618</v>
      </c>
      <c r="CH227" s="150">
        <f t="shared" si="650"/>
        <v>3.2730501457067643E-2</v>
      </c>
      <c r="CI227" s="147">
        <v>11</v>
      </c>
      <c r="CJ227" s="188">
        <f t="shared" si="710"/>
        <v>0.44</v>
      </c>
      <c r="CK227" s="188">
        <f t="shared" si="651"/>
        <v>9.35E-2</v>
      </c>
      <c r="CL227" s="188">
        <f t="shared" si="652"/>
        <v>13.2</v>
      </c>
      <c r="CM227" s="188">
        <f t="shared" si="653"/>
        <v>0.56099999999999994</v>
      </c>
      <c r="CN227" s="465">
        <f t="shared" si="654"/>
        <v>48</v>
      </c>
      <c r="CO227" s="379">
        <f t="shared" si="655"/>
        <v>30.7</v>
      </c>
      <c r="CP227" s="379">
        <f t="shared" si="656"/>
        <v>78.7</v>
      </c>
      <c r="CQ227" s="379"/>
      <c r="CR227" s="188">
        <f t="shared" si="657"/>
        <v>0.38775510204081626</v>
      </c>
      <c r="CS227" s="149">
        <f t="shared" si="658"/>
        <v>270.50715642699197</v>
      </c>
      <c r="CT227" s="149">
        <f t="shared" si="659"/>
        <v>11.496554148147156</v>
      </c>
      <c r="CU227" s="188">
        <f t="shared" si="660"/>
        <v>9.0169052142330663</v>
      </c>
      <c r="CV227" s="188">
        <f t="shared" si="661"/>
        <v>45.084526071165328</v>
      </c>
      <c r="CW227" s="188">
        <f t="shared" si="662"/>
        <v>30</v>
      </c>
      <c r="CX227" s="188">
        <f t="shared" si="663"/>
        <v>1.4787039473684214</v>
      </c>
      <c r="CY227" s="188">
        <f t="shared" si="664"/>
        <v>0.14478976151315795</v>
      </c>
      <c r="CZ227" s="188">
        <f t="shared" si="665"/>
        <v>0.22638138607920458</v>
      </c>
      <c r="DA227" s="172">
        <f t="shared" si="666"/>
        <v>350</v>
      </c>
      <c r="DB227" s="379">
        <f t="shared" si="667"/>
        <v>350</v>
      </c>
      <c r="DD227" s="188">
        <f t="shared" si="668"/>
        <v>11.382534575916392</v>
      </c>
      <c r="DE227" s="150">
        <f t="shared" si="669"/>
        <v>1.7426030132510437</v>
      </c>
      <c r="DF227" s="150">
        <f t="shared" si="670"/>
        <v>3.3296564353233258</v>
      </c>
      <c r="DG227" s="150"/>
      <c r="DH227" s="150">
        <f t="shared" si="671"/>
        <v>0.92784522751949461</v>
      </c>
      <c r="DI227" s="314">
        <f t="shared" si="672"/>
        <v>163.14251074468086</v>
      </c>
      <c r="DJ227" s="456">
        <f t="shared" si="673"/>
        <v>0.94395997276890675</v>
      </c>
      <c r="DL227" s="150">
        <f t="shared" si="674"/>
        <v>4.0903177245962077</v>
      </c>
      <c r="DM227" s="150">
        <f t="shared" si="675"/>
        <v>6.0606060606060606</v>
      </c>
      <c r="DN227" s="150">
        <f t="shared" si="676"/>
        <v>1.0932242918541033</v>
      </c>
      <c r="DP227" s="314">
        <f t="shared" si="677"/>
        <v>440</v>
      </c>
      <c r="DQ227" s="144">
        <f t="shared" si="678"/>
        <v>163.14251074468086</v>
      </c>
      <c r="DS227">
        <f t="shared" si="679"/>
        <v>440</v>
      </c>
      <c r="DT227">
        <f t="shared" si="680"/>
        <v>163.14251074468086</v>
      </c>
      <c r="DV227" s="5">
        <f t="shared" si="681"/>
        <v>6.1296102127851082</v>
      </c>
      <c r="DW227" s="5">
        <f t="shared" si="682"/>
        <v>0.59343434343434343</v>
      </c>
      <c r="DX227" s="5">
        <f t="shared" si="683"/>
        <v>5.5361758693507648</v>
      </c>
      <c r="DY227" s="150">
        <f t="shared" si="684"/>
        <v>9.6814368750000004E-2</v>
      </c>
      <c r="EA227" s="5">
        <f t="shared" si="711"/>
        <v>0.87037037037037046</v>
      </c>
      <c r="EB227" s="5">
        <f t="shared" si="712"/>
        <v>0.9247685185185186</v>
      </c>
      <c r="EC227" s="5">
        <f t="shared" si="713"/>
        <v>0.89555786121850589</v>
      </c>
      <c r="ED227" s="5"/>
      <c r="EE227" s="150">
        <f t="shared" si="714"/>
        <v>1.0887429040462726</v>
      </c>
      <c r="EF227" s="150">
        <f t="shared" si="715"/>
        <v>3.189832471234594</v>
      </c>
      <c r="EG227" s="150">
        <f t="shared" si="716"/>
        <v>0.64029752566820552</v>
      </c>
      <c r="EH227" s="150"/>
      <c r="EI227" s="456">
        <f t="shared" si="717"/>
        <v>1.4224333333333334E-2</v>
      </c>
      <c r="EJ227" s="456">
        <f t="shared" si="718"/>
        <v>1.4784666443425534</v>
      </c>
      <c r="EK227" s="456">
        <f t="shared" si="719"/>
        <v>1.8761388735638301E-2</v>
      </c>
      <c r="EL227" s="456">
        <f t="shared" si="720"/>
        <v>0.52291001609116017</v>
      </c>
      <c r="EM227">
        <f t="shared" si="721"/>
        <v>2.1600000000000001E-2</v>
      </c>
      <c r="EN227" s="144">
        <f t="shared" si="722"/>
        <v>40.3613887356383</v>
      </c>
      <c r="EP227" s="144">
        <f t="shared" si="723"/>
        <v>2055.9623825026852</v>
      </c>
      <c r="EQ227" s="150">
        <f t="shared" si="724"/>
        <v>0.308</v>
      </c>
      <c r="ER227" s="150">
        <f t="shared" si="685"/>
        <v>4.47865E-2</v>
      </c>
      <c r="ES227" s="456"/>
      <c r="EU227" s="144">
        <f t="shared" si="725"/>
        <v>352.78649999999999</v>
      </c>
      <c r="EV227" s="456">
        <f t="shared" si="726"/>
        <v>1.6595055555555554E-2</v>
      </c>
      <c r="EW227" s="456">
        <f t="shared" si="727"/>
        <v>0.14245043672359636</v>
      </c>
      <c r="EX227" s="456">
        <f t="shared" si="728"/>
        <v>2.0499046068841315E-3</v>
      </c>
      <c r="EY227" s="456">
        <f t="shared" si="729"/>
        <v>1.5370146189712981</v>
      </c>
      <c r="EZ227" s="456"/>
      <c r="FA227" s="538">
        <f t="shared" si="730"/>
        <v>0.59923787234042558</v>
      </c>
      <c r="FB227" s="144">
        <f t="shared" si="731"/>
        <v>2297.3478881977594</v>
      </c>
      <c r="FC227" s="150">
        <f t="shared" si="732"/>
        <v>4.7060967707004444</v>
      </c>
      <c r="FD227" s="5">
        <f t="shared" si="733"/>
        <v>13.760999999999999</v>
      </c>
      <c r="FE227" s="150">
        <f t="shared" si="734"/>
        <v>0.74516314994530974</v>
      </c>
      <c r="FF227" s="5">
        <f t="shared" si="735"/>
        <v>74.516314994530973</v>
      </c>
      <c r="FG227">
        <f t="shared" si="736"/>
        <v>11</v>
      </c>
      <c r="FI227" s="59">
        <f t="shared" si="686"/>
        <v>-50</v>
      </c>
    </row>
    <row r="228" spans="5:165">
      <c r="E228" s="147">
        <v>12</v>
      </c>
      <c r="F228" s="188">
        <f t="shared" si="687"/>
        <v>0.48</v>
      </c>
      <c r="G228" s="188">
        <f t="shared" si="615"/>
        <v>0.10199999999999999</v>
      </c>
      <c r="H228" s="188">
        <f t="shared" si="616"/>
        <v>14.399999999999999</v>
      </c>
      <c r="I228" s="188">
        <f t="shared" si="617"/>
        <v>0.61199999999999999</v>
      </c>
      <c r="J228" s="465">
        <f t="shared" si="618"/>
        <v>47.907994023579676</v>
      </c>
      <c r="K228" s="379">
        <f t="shared" si="619"/>
        <v>30.767461186454312</v>
      </c>
      <c r="L228" s="149">
        <f t="shared" si="620"/>
        <v>78.675455210033988</v>
      </c>
      <c r="M228" s="379"/>
      <c r="N228" s="188">
        <f t="shared" si="621"/>
        <v>0.39106810509474293</v>
      </c>
      <c r="O228" s="149">
        <f t="shared" si="622"/>
        <v>272.29545006455311</v>
      </c>
      <c r="P228" s="149">
        <f t="shared" si="623"/>
        <v>11.572556627743504</v>
      </c>
      <c r="Q228" s="188">
        <f t="shared" si="624"/>
        <v>9.0765150021517709</v>
      </c>
      <c r="R228" s="188">
        <f t="shared" si="625"/>
        <v>45.382575010758849</v>
      </c>
      <c r="S228" s="188">
        <f t="shared" si="626"/>
        <v>30</v>
      </c>
      <c r="T228" s="188">
        <f t="shared" si="627"/>
        <v>1.602537377176841</v>
      </c>
      <c r="U228" s="188">
        <f t="shared" si="628"/>
        <v>0.15721646932292843</v>
      </c>
      <c r="V228" s="188">
        <f t="shared" si="629"/>
        <v>0.24480166325998842</v>
      </c>
      <c r="W228" s="172">
        <f t="shared" si="630"/>
        <v>350</v>
      </c>
      <c r="X228" s="379">
        <f t="shared" si="688"/>
        <v>350</v>
      </c>
      <c r="Z228" s="188">
        <f t="shared" si="631"/>
        <v>11.389233095253237</v>
      </c>
      <c r="AA228" s="150">
        <f t="shared" si="632"/>
        <v>1.7398054140150203</v>
      </c>
      <c r="AB228" s="150">
        <f t="shared" si="633"/>
        <v>3.3262672854725279</v>
      </c>
      <c r="AC228" s="150"/>
      <c r="AD228" s="150">
        <f t="shared" si="634"/>
        <v>0.92581082047124597</v>
      </c>
      <c r="AE228" s="314">
        <f t="shared" si="635"/>
        <v>178.36473321401269</v>
      </c>
      <c r="AF228" s="456">
        <f t="shared" si="636"/>
        <v>0.94189023229397884</v>
      </c>
      <c r="AH228" s="150">
        <f t="shared" si="637"/>
        <v>4.2721975296705086</v>
      </c>
      <c r="AI228" s="150">
        <f t="shared" si="638"/>
        <v>6.0606060606060606</v>
      </c>
      <c r="AJ228" s="150">
        <f t="shared" si="639"/>
        <v>1.1019227046937214</v>
      </c>
      <c r="AL228" s="314">
        <f t="shared" si="640"/>
        <v>480</v>
      </c>
      <c r="AM228" s="144">
        <f t="shared" si="641"/>
        <v>178.36473321401269</v>
      </c>
      <c r="AO228">
        <f t="shared" si="642"/>
        <v>480</v>
      </c>
      <c r="AP228">
        <f t="shared" si="643"/>
        <v>178.36473321401269</v>
      </c>
      <c r="AR228" s="5">
        <f t="shared" si="614"/>
        <v>5.6064894779403511</v>
      </c>
      <c r="AS228" s="5">
        <f t="shared" si="602"/>
        <v>0.59457401766453877</v>
      </c>
      <c r="AT228" s="5">
        <f t="shared" si="603"/>
        <v>5.0119154602758123</v>
      </c>
      <c r="AU228" s="150">
        <f t="shared" si="604"/>
        <v>0.10605103603671913</v>
      </c>
      <c r="BA228" s="150">
        <f t="shared" si="689"/>
        <v>1.1394962131012567</v>
      </c>
      <c r="BB228" s="150">
        <f t="shared" si="690"/>
        <v>3.1734797211729333</v>
      </c>
      <c r="BC228" s="150">
        <f t="shared" si="691"/>
        <v>0.63701502556928991</v>
      </c>
      <c r="BD228" s="150"/>
      <c r="BE228" s="456">
        <f t="shared" si="692"/>
        <v>1.5581419436065254E-2</v>
      </c>
      <c r="BF228" s="456">
        <f t="shared" si="644"/>
        <v>1.5521267276804489</v>
      </c>
      <c r="BG228" s="456">
        <f t="shared" si="693"/>
        <v>2.051194431961146E-2</v>
      </c>
      <c r="BH228" s="456">
        <f t="shared" si="694"/>
        <v>0.57134426378138081</v>
      </c>
      <c r="BI228">
        <f t="shared" si="695"/>
        <v>2.1558597310610852E-2</v>
      </c>
      <c r="BJ228" s="144">
        <f t="shared" si="696"/>
        <v>42.070541630222309</v>
      </c>
      <c r="BK228">
        <f t="shared" si="645"/>
        <v>2.1512235361589407</v>
      </c>
      <c r="BL228" s="144">
        <f t="shared" si="697"/>
        <v>2181.1229525281174</v>
      </c>
      <c r="BM228" s="150">
        <f t="shared" si="646"/>
        <v>0.32188799999999995</v>
      </c>
      <c r="BN228" s="150">
        <f t="shared" si="647"/>
        <v>4.8857999999999992E-2</v>
      </c>
      <c r="BQ228" s="144">
        <f t="shared" si="698"/>
        <v>370.74599999999998</v>
      </c>
      <c r="BR228" s="456">
        <f t="shared" si="699"/>
        <v>1.8178322675409465E-2</v>
      </c>
      <c r="BS228" s="456">
        <f t="shared" si="700"/>
        <v>0.14099362956974174</v>
      </c>
      <c r="BT228" s="456">
        <f t="shared" si="701"/>
        <v>2.0289407140052155E-3</v>
      </c>
      <c r="BU228" s="456">
        <f t="shared" si="702"/>
        <v>1.9210232240008343</v>
      </c>
      <c r="BV228" s="456"/>
      <c r="BW228" s="538">
        <f t="shared" si="703"/>
        <v>0.65515053522135058</v>
      </c>
      <c r="BX228" s="144">
        <f t="shared" si="704"/>
        <v>2737.3746521813414</v>
      </c>
      <c r="BY228" s="150">
        <f t="shared" si="705"/>
        <v>5.2892436047094584</v>
      </c>
      <c r="BZ228" s="5">
        <f t="shared" si="706"/>
        <v>15.011999999999999</v>
      </c>
      <c r="CA228" s="150">
        <f t="shared" si="707"/>
        <v>0.73946208874206776</v>
      </c>
      <c r="CB228" s="5">
        <f t="shared" si="708"/>
        <v>73.946208874206775</v>
      </c>
      <c r="CC228">
        <f t="shared" si="709"/>
        <v>12</v>
      </c>
      <c r="CE228" s="59">
        <f t="shared" si="648"/>
        <v>-50</v>
      </c>
      <c r="CG228" s="150">
        <f t="shared" si="649"/>
        <v>0.16360695789605037</v>
      </c>
      <c r="CH228" s="150">
        <f t="shared" si="650"/>
        <v>3.5706001589528344E-2</v>
      </c>
      <c r="CI228" s="147">
        <v>12</v>
      </c>
      <c r="CJ228" s="188">
        <f t="shared" si="710"/>
        <v>0.48</v>
      </c>
      <c r="CK228" s="188">
        <f t="shared" si="651"/>
        <v>0.10199999999999999</v>
      </c>
      <c r="CL228" s="188">
        <f t="shared" si="652"/>
        <v>14.399999999999999</v>
      </c>
      <c r="CM228" s="188">
        <f t="shared" si="653"/>
        <v>0.61199999999999999</v>
      </c>
      <c r="CN228" s="465">
        <f t="shared" si="654"/>
        <v>48</v>
      </c>
      <c r="CO228" s="379">
        <f t="shared" si="655"/>
        <v>30.7</v>
      </c>
      <c r="CP228" s="379">
        <f t="shared" si="656"/>
        <v>78.7</v>
      </c>
      <c r="CQ228" s="379"/>
      <c r="CR228" s="188">
        <f t="shared" si="657"/>
        <v>0.38775510204081626</v>
      </c>
      <c r="CS228" s="149">
        <f t="shared" si="658"/>
        <v>270.50715642699197</v>
      </c>
      <c r="CT228" s="149">
        <f t="shared" si="659"/>
        <v>11.496554148147156</v>
      </c>
      <c r="CU228" s="188">
        <f t="shared" si="660"/>
        <v>9.0169052142330663</v>
      </c>
      <c r="CV228" s="188">
        <f t="shared" si="661"/>
        <v>45.084526071165328</v>
      </c>
      <c r="CW228" s="188">
        <f t="shared" si="662"/>
        <v>30</v>
      </c>
      <c r="CX228" s="188">
        <f t="shared" si="663"/>
        <v>1.6131315789473686</v>
      </c>
      <c r="CY228" s="188">
        <f t="shared" si="664"/>
        <v>0.15795246710526317</v>
      </c>
      <c r="CZ228" s="188">
        <f t="shared" si="665"/>
        <v>0.24696151208640499</v>
      </c>
      <c r="DA228" s="172">
        <f t="shared" si="666"/>
        <v>350</v>
      </c>
      <c r="DB228" s="379">
        <f t="shared" si="667"/>
        <v>350</v>
      </c>
      <c r="DD228" s="188">
        <f t="shared" si="668"/>
        <v>11.382534575916392</v>
      </c>
      <c r="DE228" s="150">
        <f t="shared" si="669"/>
        <v>1.7426030132510437</v>
      </c>
      <c r="DF228" s="150">
        <f t="shared" si="670"/>
        <v>3.3296564353233258</v>
      </c>
      <c r="DG228" s="150"/>
      <c r="DH228" s="150">
        <f t="shared" si="671"/>
        <v>0.92784522751949461</v>
      </c>
      <c r="DI228" s="314">
        <f t="shared" si="672"/>
        <v>177.97364808510639</v>
      </c>
      <c r="DJ228" s="456">
        <f t="shared" si="673"/>
        <v>0.94395997276890675</v>
      </c>
      <c r="DL228" s="150">
        <f t="shared" si="674"/>
        <v>4.2721975296705086</v>
      </c>
      <c r="DM228" s="150">
        <f t="shared" si="675"/>
        <v>6.0606060606060606</v>
      </c>
      <c r="DN228" s="150">
        <f t="shared" si="676"/>
        <v>1.1016992274772037</v>
      </c>
      <c r="DP228" s="314">
        <f t="shared" si="677"/>
        <v>480</v>
      </c>
      <c r="DQ228" s="144">
        <f t="shared" si="678"/>
        <v>177.97364808510639</v>
      </c>
      <c r="DS228">
        <f t="shared" si="679"/>
        <v>480</v>
      </c>
      <c r="DT228">
        <f t="shared" si="680"/>
        <v>177.97364808510639</v>
      </c>
      <c r="DV228" s="5">
        <f t="shared" si="681"/>
        <v>5.6188093617196824</v>
      </c>
      <c r="DW228" s="5">
        <f t="shared" si="682"/>
        <v>0.59343434343434343</v>
      </c>
      <c r="DX228" s="5">
        <f t="shared" si="683"/>
        <v>5.0253750182853389</v>
      </c>
      <c r="DY228" s="150">
        <f t="shared" si="684"/>
        <v>0.10561567500000001</v>
      </c>
      <c r="EA228" s="5">
        <f t="shared" si="711"/>
        <v>0.9494949494949495</v>
      </c>
      <c r="EB228" s="5">
        <f t="shared" si="712"/>
        <v>1.0088383838383839</v>
      </c>
      <c r="EC228" s="5">
        <f t="shared" si="713"/>
        <v>0.88683088557976553</v>
      </c>
      <c r="ED228" s="5"/>
      <c r="EE228" s="150">
        <f t="shared" si="714"/>
        <v>1.1371548760486463</v>
      </c>
      <c r="EF228" s="150">
        <f t="shared" si="715"/>
        <v>3.1742523834299847</v>
      </c>
      <c r="EG228" s="150">
        <f t="shared" si="716"/>
        <v>0.63717012265850326</v>
      </c>
      <c r="EH228" s="150"/>
      <c r="EI228" s="456">
        <f t="shared" si="717"/>
        <v>1.5517454545454546E-2</v>
      </c>
      <c r="EJ228" s="456">
        <f t="shared" si="718"/>
        <v>1.6128727029191492</v>
      </c>
      <c r="EK228" s="456">
        <f t="shared" si="719"/>
        <v>2.0466969529787236E-2</v>
      </c>
      <c r="EL228" s="456">
        <f t="shared" si="720"/>
        <v>0.57044729028126562</v>
      </c>
      <c r="EM228">
        <f t="shared" si="721"/>
        <v>2.1600000000000001E-2</v>
      </c>
      <c r="EN228" s="144">
        <f t="shared" si="722"/>
        <v>42.066969529787237</v>
      </c>
      <c r="EP228" s="144">
        <f t="shared" si="723"/>
        <v>2240.9044172756567</v>
      </c>
      <c r="EQ228" s="150">
        <f t="shared" si="724"/>
        <v>0.33599999999999997</v>
      </c>
      <c r="ER228" s="150">
        <f t="shared" si="685"/>
        <v>4.8857999999999992E-2</v>
      </c>
      <c r="ES228" s="456"/>
      <c r="EU228" s="144">
        <f t="shared" si="725"/>
        <v>384.858</v>
      </c>
      <c r="EV228" s="456">
        <f t="shared" si="726"/>
        <v>1.8103696969696971E-2</v>
      </c>
      <c r="EW228" s="456">
        <f t="shared" si="727"/>
        <v>0.14106229471195314</v>
      </c>
      <c r="EX228" s="456">
        <f t="shared" si="728"/>
        <v>2.0299288260432606E-3</v>
      </c>
      <c r="EY228" s="456">
        <f t="shared" si="729"/>
        <v>1.9105103748983594</v>
      </c>
      <c r="EZ228" s="456"/>
      <c r="FA228" s="538">
        <f t="shared" si="730"/>
        <v>0.65371404255319154</v>
      </c>
      <c r="FB228" s="144">
        <f t="shared" si="731"/>
        <v>2725.4203379592445</v>
      </c>
      <c r="FC228" s="150">
        <f t="shared" si="732"/>
        <v>5.3511827552349018</v>
      </c>
      <c r="FD228" s="5">
        <f t="shared" si="733"/>
        <v>15.011999999999999</v>
      </c>
      <c r="FE228" s="150">
        <f t="shared" si="734"/>
        <v>0.73721285029182193</v>
      </c>
      <c r="FF228" s="5">
        <f t="shared" si="735"/>
        <v>73.721285029182198</v>
      </c>
      <c r="FG228">
        <f t="shared" si="736"/>
        <v>12</v>
      </c>
      <c r="FI228" s="59">
        <f t="shared" si="686"/>
        <v>-50</v>
      </c>
    </row>
    <row r="229" spans="5:165">
      <c r="E229" s="147">
        <v>13</v>
      </c>
      <c r="F229" s="188">
        <f t="shared" si="687"/>
        <v>0.52</v>
      </c>
      <c r="G229" s="188">
        <f t="shared" si="615"/>
        <v>0.1105</v>
      </c>
      <c r="H229" s="188">
        <f t="shared" si="616"/>
        <v>15.600000000000001</v>
      </c>
      <c r="I229" s="188">
        <f t="shared" si="617"/>
        <v>0.66300000000000003</v>
      </c>
      <c r="J229" s="465">
        <f t="shared" si="618"/>
        <v>47.907994023579676</v>
      </c>
      <c r="K229" s="379">
        <f t="shared" si="619"/>
        <v>30.767461186454312</v>
      </c>
      <c r="L229" s="149">
        <f t="shared" si="620"/>
        <v>78.675455210033988</v>
      </c>
      <c r="M229" s="379"/>
      <c r="N229" s="188">
        <f t="shared" si="621"/>
        <v>0.39106810509474293</v>
      </c>
      <c r="O229" s="149">
        <f t="shared" si="622"/>
        <v>272.29545006455311</v>
      </c>
      <c r="P229" s="149">
        <f t="shared" si="623"/>
        <v>11.572556627743504</v>
      </c>
      <c r="Q229" s="188">
        <f t="shared" si="624"/>
        <v>9.0765150021517709</v>
      </c>
      <c r="R229" s="188">
        <f t="shared" si="625"/>
        <v>45.382575010758849</v>
      </c>
      <c r="S229" s="188">
        <f t="shared" si="626"/>
        <v>30</v>
      </c>
      <c r="T229" s="188">
        <f t="shared" si="627"/>
        <v>1.7360821586082447</v>
      </c>
      <c r="U229" s="188">
        <f t="shared" si="628"/>
        <v>0.17031784176650583</v>
      </c>
      <c r="V229" s="188">
        <f t="shared" si="629"/>
        <v>0.26520180186498749</v>
      </c>
      <c r="W229" s="172">
        <f t="shared" si="630"/>
        <v>350</v>
      </c>
      <c r="X229" s="379">
        <f t="shared" si="688"/>
        <v>350</v>
      </c>
      <c r="Z229" s="188">
        <f t="shared" si="631"/>
        <v>11.389233095253237</v>
      </c>
      <c r="AA229" s="150">
        <f t="shared" si="632"/>
        <v>1.7398054140150203</v>
      </c>
      <c r="AB229" s="150">
        <f t="shared" si="633"/>
        <v>3.3262672854725279</v>
      </c>
      <c r="AC229" s="150"/>
      <c r="AD229" s="150">
        <f t="shared" si="634"/>
        <v>0.92581082047124597</v>
      </c>
      <c r="AE229" s="314">
        <f t="shared" si="635"/>
        <v>193.22846098184712</v>
      </c>
      <c r="AF229" s="456">
        <f t="shared" si="636"/>
        <v>0.94189023229397884</v>
      </c>
      <c r="AH229" s="150">
        <f t="shared" si="637"/>
        <v>4.4466441702591517</v>
      </c>
      <c r="AI229" s="150">
        <f t="shared" si="638"/>
        <v>6.0606060606060606</v>
      </c>
      <c r="AJ229" s="150">
        <f t="shared" si="639"/>
        <v>1.1104162634181984</v>
      </c>
      <c r="AL229" s="314">
        <f t="shared" si="640"/>
        <v>520</v>
      </c>
      <c r="AM229" s="144">
        <f t="shared" si="641"/>
        <v>193.22846098184712</v>
      </c>
      <c r="AO229">
        <f t="shared" si="642"/>
        <v>520</v>
      </c>
      <c r="AP229">
        <f t="shared" si="643"/>
        <v>193.22846098184712</v>
      </c>
      <c r="AR229" s="5">
        <f t="shared" si="614"/>
        <v>5.1752210565603232</v>
      </c>
      <c r="AS229" s="5">
        <f t="shared" si="602"/>
        <v>0.59457401766453877</v>
      </c>
      <c r="AT229" s="5">
        <f t="shared" si="603"/>
        <v>4.5806470388957843</v>
      </c>
      <c r="AU229" s="150">
        <f t="shared" si="604"/>
        <v>0.11488862237311241</v>
      </c>
      <c r="BA229" s="150">
        <f t="shared" si="689"/>
        <v>1.1860252616666505</v>
      </c>
      <c r="BB229" s="150">
        <f t="shared" si="690"/>
        <v>3.1577542366022699</v>
      </c>
      <c r="BC229" s="150">
        <f t="shared" si="691"/>
        <v>0.63385843695489408</v>
      </c>
      <c r="BD229" s="150"/>
      <c r="BE229" s="456">
        <f t="shared" si="692"/>
        <v>1.687987105573736E-2</v>
      </c>
      <c r="BF229" s="456">
        <f t="shared" si="644"/>
        <v>1.6814706216538202</v>
      </c>
      <c r="BG229" s="456">
        <f t="shared" si="693"/>
        <v>2.2221273012912421E-2</v>
      </c>
      <c r="BH229" s="456">
        <f t="shared" si="694"/>
        <v>0.61895628576316275</v>
      </c>
      <c r="BI229">
        <f t="shared" si="695"/>
        <v>2.1558597310610852E-2</v>
      </c>
      <c r="BJ229" s="144">
        <f t="shared" si="696"/>
        <v>43.779870323523276</v>
      </c>
      <c r="BK229">
        <f t="shared" si="645"/>
        <v>2.3312140444294238</v>
      </c>
      <c r="BL229" s="144">
        <f t="shared" si="697"/>
        <v>2361.0866487962435</v>
      </c>
      <c r="BM229" s="150">
        <f t="shared" si="646"/>
        <v>0.34871199999999997</v>
      </c>
      <c r="BN229" s="150">
        <f t="shared" si="647"/>
        <v>5.2929499999999997E-2</v>
      </c>
      <c r="BQ229" s="144">
        <f t="shared" si="698"/>
        <v>401.64150000000001</v>
      </c>
      <c r="BR229" s="456">
        <f t="shared" si="699"/>
        <v>1.9693182898360254E-2</v>
      </c>
      <c r="BS229" s="456">
        <f t="shared" si="700"/>
        <v>0.13959976546291419</v>
      </c>
      <c r="BT229" s="456">
        <f t="shared" si="701"/>
        <v>2.0088825904945071E-3</v>
      </c>
      <c r="BU229" s="456">
        <f t="shared" si="702"/>
        <v>2.3465935947925778</v>
      </c>
      <c r="BV229" s="456"/>
      <c r="BW229" s="538">
        <f t="shared" si="703"/>
        <v>0.70974641315646325</v>
      </c>
      <c r="BX229" s="144">
        <f t="shared" si="704"/>
        <v>3217.6418389008099</v>
      </c>
      <c r="BY229" s="150">
        <f t="shared" si="705"/>
        <v>5.9803699876970526</v>
      </c>
      <c r="BZ229" s="5">
        <f t="shared" si="706"/>
        <v>16.263000000000002</v>
      </c>
      <c r="CA229" s="150">
        <f t="shared" si="707"/>
        <v>0.73113921177389796</v>
      </c>
      <c r="CB229" s="5">
        <f t="shared" si="708"/>
        <v>73.113921177389798</v>
      </c>
      <c r="CC229">
        <f t="shared" si="709"/>
        <v>13</v>
      </c>
      <c r="CE229" s="59">
        <f t="shared" si="648"/>
        <v>-50</v>
      </c>
      <c r="CG229" s="150">
        <f t="shared" si="649"/>
        <v>0.17724087105405456</v>
      </c>
      <c r="CH229" s="150">
        <f t="shared" si="650"/>
        <v>3.8681501721989038E-2</v>
      </c>
      <c r="CI229" s="147">
        <v>13</v>
      </c>
      <c r="CJ229" s="188">
        <f t="shared" si="710"/>
        <v>0.52</v>
      </c>
      <c r="CK229" s="188">
        <f t="shared" si="651"/>
        <v>0.1105</v>
      </c>
      <c r="CL229" s="188">
        <f t="shared" si="652"/>
        <v>15.600000000000001</v>
      </c>
      <c r="CM229" s="188">
        <f t="shared" si="653"/>
        <v>0.66300000000000003</v>
      </c>
      <c r="CN229" s="465">
        <f t="shared" si="654"/>
        <v>48</v>
      </c>
      <c r="CO229" s="379">
        <f t="shared" si="655"/>
        <v>30.7</v>
      </c>
      <c r="CP229" s="379">
        <f t="shared" si="656"/>
        <v>78.7</v>
      </c>
      <c r="CQ229" s="379"/>
      <c r="CR229" s="188">
        <f t="shared" si="657"/>
        <v>0.38775510204081626</v>
      </c>
      <c r="CS229" s="149">
        <f t="shared" si="658"/>
        <v>270.50715642699197</v>
      </c>
      <c r="CT229" s="149">
        <f t="shared" si="659"/>
        <v>11.496554148147156</v>
      </c>
      <c r="CU229" s="188">
        <f t="shared" si="660"/>
        <v>9.0169052142330663</v>
      </c>
      <c r="CV229" s="188">
        <f t="shared" si="661"/>
        <v>45.084526071165328</v>
      </c>
      <c r="CW229" s="188">
        <f t="shared" si="662"/>
        <v>30</v>
      </c>
      <c r="CX229" s="188">
        <f t="shared" si="663"/>
        <v>1.7475592105263165</v>
      </c>
      <c r="CY229" s="188">
        <f t="shared" si="664"/>
        <v>0.17111517269736851</v>
      </c>
      <c r="CZ229" s="188">
        <f t="shared" si="665"/>
        <v>0.26754163809360548</v>
      </c>
      <c r="DA229" s="172">
        <f t="shared" si="666"/>
        <v>350</v>
      </c>
      <c r="DB229" s="379">
        <f t="shared" si="667"/>
        <v>350</v>
      </c>
      <c r="DD229" s="188">
        <f t="shared" si="668"/>
        <v>11.382534575916392</v>
      </c>
      <c r="DE229" s="150">
        <f t="shared" si="669"/>
        <v>1.7426030132510437</v>
      </c>
      <c r="DF229" s="150">
        <f t="shared" si="670"/>
        <v>3.3296564353233258</v>
      </c>
      <c r="DG229" s="150"/>
      <c r="DH229" s="150">
        <f t="shared" si="671"/>
        <v>0.92784522751949461</v>
      </c>
      <c r="DI229" s="314">
        <f t="shared" si="672"/>
        <v>192.80478542553192</v>
      </c>
      <c r="DJ229" s="456">
        <f t="shared" si="673"/>
        <v>0.94395997276890675</v>
      </c>
      <c r="DL229" s="150">
        <f t="shared" si="674"/>
        <v>4.4466441702591517</v>
      </c>
      <c r="DM229" s="150">
        <f t="shared" si="675"/>
        <v>6.0606060606060606</v>
      </c>
      <c r="DN229" s="150">
        <f t="shared" si="676"/>
        <v>1.1101741631003039</v>
      </c>
      <c r="DP229" s="314">
        <f t="shared" si="677"/>
        <v>520</v>
      </c>
      <c r="DQ229" s="144">
        <f t="shared" si="678"/>
        <v>192.80478542553192</v>
      </c>
      <c r="DS229">
        <f t="shared" si="679"/>
        <v>520</v>
      </c>
      <c r="DT229">
        <f t="shared" si="680"/>
        <v>192.80478542553192</v>
      </c>
      <c r="DV229" s="5">
        <f t="shared" si="681"/>
        <v>5.1865932569720146</v>
      </c>
      <c r="DW229" s="5">
        <f t="shared" si="682"/>
        <v>0.59343434343434343</v>
      </c>
      <c r="DX229" s="5">
        <f t="shared" si="683"/>
        <v>4.5931589135376711</v>
      </c>
      <c r="DY229" s="150">
        <f t="shared" si="684"/>
        <v>0.11441698124999999</v>
      </c>
      <c r="EA229" s="5">
        <f t="shared" si="711"/>
        <v>1.0286195286195285</v>
      </c>
      <c r="EB229" s="5">
        <f t="shared" si="712"/>
        <v>1.0929082491582491</v>
      </c>
      <c r="EC229" s="5">
        <f t="shared" si="713"/>
        <v>0.87810390994102527</v>
      </c>
      <c r="ED229" s="5"/>
      <c r="EE229" s="150">
        <f t="shared" si="714"/>
        <v>1.1835883207987956</v>
      </c>
      <c r="EF229" s="150">
        <f t="shared" si="715"/>
        <v>3.1585954462196137</v>
      </c>
      <c r="EG229" s="150">
        <f t="shared" si="716"/>
        <v>0.63402729360846777</v>
      </c>
      <c r="EH229" s="150"/>
      <c r="EI229" s="456">
        <f t="shared" si="717"/>
        <v>1.6810575757575753E-2</v>
      </c>
      <c r="EJ229" s="456">
        <f t="shared" si="718"/>
        <v>1.747278761495745</v>
      </c>
      <c r="EK229" s="456">
        <f t="shared" si="719"/>
        <v>2.2172550323936172E-2</v>
      </c>
      <c r="EL229" s="456">
        <f t="shared" si="720"/>
        <v>0.61798456447137107</v>
      </c>
      <c r="EM229">
        <f t="shared" si="721"/>
        <v>2.1600000000000001E-2</v>
      </c>
      <c r="EN229" s="144">
        <f t="shared" si="722"/>
        <v>43.77255032393618</v>
      </c>
      <c r="EP229" s="144">
        <f t="shared" si="723"/>
        <v>2425.8464520486282</v>
      </c>
      <c r="EQ229" s="150">
        <f t="shared" si="724"/>
        <v>0.36399999999999999</v>
      </c>
      <c r="ER229" s="150">
        <f t="shared" si="685"/>
        <v>5.2929499999999997E-2</v>
      </c>
      <c r="ES229" s="456"/>
      <c r="EU229" s="144">
        <f t="shared" si="725"/>
        <v>416.92950000000002</v>
      </c>
      <c r="EV229" s="456">
        <f t="shared" si="726"/>
        <v>1.9612338383838378E-2</v>
      </c>
      <c r="EW229" s="456">
        <f t="shared" si="727"/>
        <v>0.13967415270030994</v>
      </c>
      <c r="EX229" s="456">
        <f t="shared" si="728"/>
        <v>2.009953045202391E-3</v>
      </c>
      <c r="EY229" s="456">
        <f t="shared" si="729"/>
        <v>2.3337518008680309</v>
      </c>
      <c r="EZ229" s="456"/>
      <c r="FA229" s="538">
        <f t="shared" si="730"/>
        <v>0.70819021276595739</v>
      </c>
      <c r="FB229" s="144">
        <f t="shared" si="731"/>
        <v>3203.2384577633388</v>
      </c>
      <c r="FC229" s="150">
        <f t="shared" si="732"/>
        <v>6.046014409811967</v>
      </c>
      <c r="FD229" s="5">
        <f t="shared" si="733"/>
        <v>16.263000000000002</v>
      </c>
      <c r="FE229" s="150">
        <f t="shared" si="734"/>
        <v>0.72898782981856858</v>
      </c>
      <c r="FF229" s="5">
        <f t="shared" si="735"/>
        <v>72.898782981856854</v>
      </c>
      <c r="FG229">
        <f t="shared" si="736"/>
        <v>13</v>
      </c>
      <c r="FI229" s="59">
        <f t="shared" si="686"/>
        <v>-50</v>
      </c>
    </row>
    <row r="230" spans="5:165">
      <c r="E230" s="147">
        <v>14</v>
      </c>
      <c r="F230" s="188">
        <f t="shared" si="687"/>
        <v>0.56000000000000005</v>
      </c>
      <c r="G230" s="188">
        <f t="shared" si="615"/>
        <v>0.11900000000000001</v>
      </c>
      <c r="H230" s="188">
        <f t="shared" si="616"/>
        <v>16.8</v>
      </c>
      <c r="I230" s="188">
        <f t="shared" si="617"/>
        <v>0.71400000000000008</v>
      </c>
      <c r="J230" s="465">
        <f t="shared" si="618"/>
        <v>47.907994023579676</v>
      </c>
      <c r="K230" s="379">
        <f t="shared" si="619"/>
        <v>30.767461186454312</v>
      </c>
      <c r="L230" s="149">
        <f t="shared" si="620"/>
        <v>78.675455210033988</v>
      </c>
      <c r="M230" s="379"/>
      <c r="N230" s="188">
        <f t="shared" si="621"/>
        <v>0.39106810509474293</v>
      </c>
      <c r="O230" s="149">
        <f t="shared" si="622"/>
        <v>272.29545006455311</v>
      </c>
      <c r="P230" s="149">
        <f t="shared" si="623"/>
        <v>11.572556627743504</v>
      </c>
      <c r="Q230" s="188">
        <f t="shared" si="624"/>
        <v>9.0765150021517709</v>
      </c>
      <c r="R230" s="188">
        <f t="shared" si="625"/>
        <v>45.382575010758849</v>
      </c>
      <c r="S230" s="188">
        <f t="shared" si="626"/>
        <v>30</v>
      </c>
      <c r="T230" s="188">
        <f t="shared" si="627"/>
        <v>1.8696269400396479</v>
      </c>
      <c r="U230" s="188">
        <f t="shared" si="628"/>
        <v>0.18341921421008317</v>
      </c>
      <c r="V230" s="188">
        <f t="shared" si="629"/>
        <v>0.28560194046998649</v>
      </c>
      <c r="W230" s="172">
        <f t="shared" si="630"/>
        <v>350</v>
      </c>
      <c r="X230" s="379">
        <f t="shared" si="688"/>
        <v>350</v>
      </c>
      <c r="Z230" s="188">
        <f t="shared" si="631"/>
        <v>11.389233095253237</v>
      </c>
      <c r="AA230" s="150">
        <f t="shared" si="632"/>
        <v>1.7398054140150203</v>
      </c>
      <c r="AB230" s="150">
        <f t="shared" si="633"/>
        <v>3.3262672854725279</v>
      </c>
      <c r="AC230" s="150"/>
      <c r="AD230" s="150">
        <f t="shared" si="634"/>
        <v>0.92581082047124597</v>
      </c>
      <c r="AE230" s="314">
        <f t="shared" si="635"/>
        <v>208.09218874968153</v>
      </c>
      <c r="AF230" s="456">
        <f t="shared" si="636"/>
        <v>0.94189023229397884</v>
      </c>
      <c r="AH230" s="150">
        <f t="shared" si="637"/>
        <v>4.6145007336955315</v>
      </c>
      <c r="AI230" s="150">
        <f t="shared" si="638"/>
        <v>6.0606060606060606</v>
      </c>
      <c r="AJ230" s="150">
        <f t="shared" si="639"/>
        <v>1.1189098221426752</v>
      </c>
      <c r="AL230" s="314">
        <f t="shared" si="640"/>
        <v>560</v>
      </c>
      <c r="AM230" s="144">
        <f t="shared" si="641"/>
        <v>208.09218874968153</v>
      </c>
      <c r="AO230">
        <f t="shared" si="642"/>
        <v>560</v>
      </c>
      <c r="AP230">
        <f t="shared" si="643"/>
        <v>208.09218874968153</v>
      </c>
      <c r="AR230" s="5">
        <f t="shared" si="614"/>
        <v>4.8055624096631568</v>
      </c>
      <c r="AS230" s="5">
        <f t="shared" si="602"/>
        <v>0.59457401766453877</v>
      </c>
      <c r="AT230" s="5">
        <f t="shared" si="603"/>
        <v>4.210988391998618</v>
      </c>
      <c r="AU230" s="150">
        <f t="shared" si="604"/>
        <v>0.12372620870950568</v>
      </c>
      <c r="BA230" s="150">
        <f t="shared" si="689"/>
        <v>1.2307965806544918</v>
      </c>
      <c r="BB230" s="150">
        <f t="shared" si="690"/>
        <v>3.1419500468440513</v>
      </c>
      <c r="BC230" s="150">
        <f t="shared" si="691"/>
        <v>0.63068604978765785</v>
      </c>
      <c r="BD230" s="150"/>
      <c r="BE230" s="456">
        <f t="shared" si="692"/>
        <v>1.8178322675409468E-2</v>
      </c>
      <c r="BF230" s="456">
        <f t="shared" si="644"/>
        <v>1.8108145156271911</v>
      </c>
      <c r="BG230" s="456">
        <f t="shared" si="693"/>
        <v>2.3930601706213379E-2</v>
      </c>
      <c r="BH230" s="456">
        <f t="shared" si="694"/>
        <v>0.66656830774494458</v>
      </c>
      <c r="BI230">
        <f t="shared" si="695"/>
        <v>2.1558597310610852E-2</v>
      </c>
      <c r="BJ230" s="144">
        <f t="shared" si="696"/>
        <v>45.48919901682423</v>
      </c>
      <c r="BK230">
        <f t="shared" si="645"/>
        <v>2.5113160929623155</v>
      </c>
      <c r="BL230" s="144">
        <f t="shared" si="697"/>
        <v>2541.0503450643691</v>
      </c>
      <c r="BM230" s="150">
        <f t="shared" si="646"/>
        <v>0.37553599999999998</v>
      </c>
      <c r="BN230" s="150">
        <f t="shared" si="647"/>
        <v>5.7001000000000003E-2</v>
      </c>
      <c r="BQ230" s="144">
        <f t="shared" si="698"/>
        <v>432.53699999999998</v>
      </c>
      <c r="BR230" s="456">
        <f t="shared" si="699"/>
        <v>2.1208043121311047E-2</v>
      </c>
      <c r="BS230" s="456">
        <f t="shared" si="700"/>
        <v>0.13820590135608674</v>
      </c>
      <c r="BT230" s="456">
        <f t="shared" si="701"/>
        <v>1.9888244669838003E-3</v>
      </c>
      <c r="BU230" s="456">
        <f t="shared" si="702"/>
        <v>2.8242269265188744</v>
      </c>
      <c r="BV230" s="456"/>
      <c r="BW230" s="538">
        <f t="shared" si="703"/>
        <v>0.76434229109157581</v>
      </c>
      <c r="BX230" s="144">
        <f t="shared" si="704"/>
        <v>3749.9719865548318</v>
      </c>
      <c r="BY230" s="150">
        <f t="shared" si="705"/>
        <v>6.7235593316192013</v>
      </c>
      <c r="BZ230" s="5">
        <f t="shared" si="706"/>
        <v>17.513999999999999</v>
      </c>
      <c r="CA230" s="150">
        <f t="shared" si="707"/>
        <v>0.72259750911272824</v>
      </c>
      <c r="CB230" s="5">
        <f t="shared" si="708"/>
        <v>72.259750911272818</v>
      </c>
      <c r="CC230">
        <f t="shared" si="709"/>
        <v>14.000000000000002</v>
      </c>
      <c r="CE230" s="59">
        <f t="shared" si="648"/>
        <v>-50</v>
      </c>
      <c r="CG230" s="150">
        <f t="shared" si="649"/>
        <v>0.19087478421205878</v>
      </c>
      <c r="CH230" s="150">
        <f t="shared" si="650"/>
        <v>4.1657001854449739E-2</v>
      </c>
      <c r="CI230" s="147">
        <v>14</v>
      </c>
      <c r="CJ230" s="188">
        <f t="shared" si="710"/>
        <v>0.56000000000000005</v>
      </c>
      <c r="CK230" s="188">
        <f t="shared" si="651"/>
        <v>0.11900000000000001</v>
      </c>
      <c r="CL230" s="188">
        <f t="shared" si="652"/>
        <v>16.8</v>
      </c>
      <c r="CM230" s="188">
        <f t="shared" si="653"/>
        <v>0.71400000000000008</v>
      </c>
      <c r="CN230" s="465">
        <f t="shared" si="654"/>
        <v>48</v>
      </c>
      <c r="CO230" s="379">
        <f t="shared" si="655"/>
        <v>30.7</v>
      </c>
      <c r="CP230" s="379">
        <f t="shared" si="656"/>
        <v>78.7</v>
      </c>
      <c r="CQ230" s="379"/>
      <c r="CR230" s="188">
        <f t="shared" si="657"/>
        <v>0.38775510204081626</v>
      </c>
      <c r="CS230" s="149">
        <f t="shared" si="658"/>
        <v>270.50715642699197</v>
      </c>
      <c r="CT230" s="149">
        <f t="shared" si="659"/>
        <v>11.496554148147156</v>
      </c>
      <c r="CU230" s="188">
        <f t="shared" si="660"/>
        <v>9.0169052142330663</v>
      </c>
      <c r="CV230" s="188">
        <f t="shared" si="661"/>
        <v>45.084526071165328</v>
      </c>
      <c r="CW230" s="188">
        <f t="shared" si="662"/>
        <v>30</v>
      </c>
      <c r="CX230" s="188">
        <f t="shared" si="663"/>
        <v>1.8819868421052635</v>
      </c>
      <c r="CY230" s="188">
        <f t="shared" si="664"/>
        <v>0.1842778782894737</v>
      </c>
      <c r="CZ230" s="188">
        <f t="shared" si="665"/>
        <v>0.28812176410080581</v>
      </c>
      <c r="DA230" s="172">
        <f t="shared" si="666"/>
        <v>350</v>
      </c>
      <c r="DB230" s="379">
        <f t="shared" si="667"/>
        <v>350</v>
      </c>
      <c r="DD230" s="188">
        <f t="shared" si="668"/>
        <v>11.382534575916392</v>
      </c>
      <c r="DE230" s="150">
        <f t="shared" si="669"/>
        <v>1.7426030132510437</v>
      </c>
      <c r="DF230" s="150">
        <f t="shared" si="670"/>
        <v>3.3296564353233258</v>
      </c>
      <c r="DG230" s="150"/>
      <c r="DH230" s="150">
        <f t="shared" si="671"/>
        <v>0.92784522751949461</v>
      </c>
      <c r="DI230" s="314">
        <f t="shared" si="672"/>
        <v>207.63592276595747</v>
      </c>
      <c r="DJ230" s="456">
        <f t="shared" si="673"/>
        <v>0.94395997276890675</v>
      </c>
      <c r="DL230" s="150">
        <f t="shared" si="674"/>
        <v>4.6145007336955315</v>
      </c>
      <c r="DM230" s="150">
        <f t="shared" si="675"/>
        <v>6.0606060606060606</v>
      </c>
      <c r="DN230" s="150">
        <f t="shared" si="676"/>
        <v>1.1186490987234043</v>
      </c>
      <c r="DP230" s="314">
        <f t="shared" si="677"/>
        <v>560</v>
      </c>
      <c r="DQ230" s="144">
        <f t="shared" si="678"/>
        <v>207.63592276595747</v>
      </c>
      <c r="DS230">
        <f t="shared" si="679"/>
        <v>560</v>
      </c>
      <c r="DT230">
        <f t="shared" si="680"/>
        <v>207.63592276595747</v>
      </c>
      <c r="DV230" s="5">
        <f t="shared" si="681"/>
        <v>4.8161223100454418</v>
      </c>
      <c r="DW230" s="5">
        <f t="shared" si="682"/>
        <v>0.59343434343434343</v>
      </c>
      <c r="DX230" s="5">
        <f t="shared" si="683"/>
        <v>4.2226879666110984</v>
      </c>
      <c r="DY230" s="150">
        <f t="shared" si="684"/>
        <v>0.12321828750000001</v>
      </c>
      <c r="EA230" s="5">
        <f t="shared" si="711"/>
        <v>1.1077441077441079</v>
      </c>
      <c r="EB230" s="5">
        <f t="shared" si="712"/>
        <v>1.1769781144781144</v>
      </c>
      <c r="EC230" s="5">
        <f t="shared" si="713"/>
        <v>0.86937693430228502</v>
      </c>
      <c r="ED230" s="5"/>
      <c r="EE230" s="150">
        <f t="shared" si="714"/>
        <v>1.2282676476002348</v>
      </c>
      <c r="EF230" s="150">
        <f t="shared" si="715"/>
        <v>3.1428605110707069</v>
      </c>
      <c r="EG230" s="150">
        <f t="shared" si="716"/>
        <v>0.63086880797223144</v>
      </c>
      <c r="EH230" s="150"/>
      <c r="EI230" s="456">
        <f t="shared" si="717"/>
        <v>1.8103696969696974E-2</v>
      </c>
      <c r="EJ230" s="456">
        <f t="shared" si="718"/>
        <v>1.8816848200723411</v>
      </c>
      <c r="EK230" s="456">
        <f t="shared" si="719"/>
        <v>2.3878131118085111E-2</v>
      </c>
      <c r="EL230" s="456">
        <f t="shared" si="720"/>
        <v>0.66552183866147663</v>
      </c>
      <c r="EM230">
        <f t="shared" si="721"/>
        <v>2.1600000000000001E-2</v>
      </c>
      <c r="EN230" s="144">
        <f t="shared" si="722"/>
        <v>45.478131118085116</v>
      </c>
      <c r="EP230" s="144">
        <f t="shared" si="723"/>
        <v>2610.7884868215997</v>
      </c>
      <c r="EQ230" s="150">
        <f t="shared" si="724"/>
        <v>0.39200000000000002</v>
      </c>
      <c r="ER230" s="150">
        <f t="shared" si="685"/>
        <v>5.7001000000000003E-2</v>
      </c>
      <c r="ES230" s="456"/>
      <c r="EU230" s="144">
        <f t="shared" si="725"/>
        <v>449.00100000000003</v>
      </c>
      <c r="EV230" s="456">
        <f t="shared" si="726"/>
        <v>2.1120979797979802E-2</v>
      </c>
      <c r="EW230" s="456">
        <f t="shared" si="727"/>
        <v>0.13828601068866675</v>
      </c>
      <c r="EX230" s="456">
        <f t="shared" si="728"/>
        <v>1.9899772643615209E-3</v>
      </c>
      <c r="EY230" s="456">
        <f t="shared" si="729"/>
        <v>2.808771271876755</v>
      </c>
      <c r="EZ230" s="456"/>
      <c r="FA230" s="538">
        <f t="shared" si="730"/>
        <v>0.76266638297872358</v>
      </c>
      <c r="FB230" s="144">
        <f t="shared" si="731"/>
        <v>3732.8346226064868</v>
      </c>
      <c r="FC230" s="150">
        <f t="shared" si="732"/>
        <v>6.7926241094280861</v>
      </c>
      <c r="FD230" s="5">
        <f t="shared" si="733"/>
        <v>17.513999999999999</v>
      </c>
      <c r="FE230" s="150">
        <f t="shared" si="734"/>
        <v>0.72054432245104105</v>
      </c>
      <c r="FF230" s="5">
        <f t="shared" si="735"/>
        <v>72.05443224510411</v>
      </c>
      <c r="FG230">
        <f t="shared" si="736"/>
        <v>14.000000000000002</v>
      </c>
      <c r="FI230" s="59">
        <f t="shared" si="686"/>
        <v>-50</v>
      </c>
    </row>
    <row r="231" spans="5:165">
      <c r="E231" s="147">
        <v>15</v>
      </c>
      <c r="F231" s="188">
        <f t="shared" si="687"/>
        <v>0.6</v>
      </c>
      <c r="G231" s="188">
        <f t="shared" si="615"/>
        <v>0.1275</v>
      </c>
      <c r="H231" s="188">
        <f t="shared" si="616"/>
        <v>18</v>
      </c>
      <c r="I231" s="188">
        <f t="shared" si="617"/>
        <v>0.76500000000000001</v>
      </c>
      <c r="J231" s="465">
        <f t="shared" si="618"/>
        <v>47.907994023579676</v>
      </c>
      <c r="K231" s="379">
        <f t="shared" si="619"/>
        <v>30.767461186454312</v>
      </c>
      <c r="L231" s="149">
        <f t="shared" si="620"/>
        <v>78.675455210033988</v>
      </c>
      <c r="M231" s="379"/>
      <c r="N231" s="188">
        <f t="shared" si="621"/>
        <v>0.39106810509474293</v>
      </c>
      <c r="O231" s="149">
        <f t="shared" si="622"/>
        <v>272.29545006455311</v>
      </c>
      <c r="P231" s="149">
        <f t="shared" si="623"/>
        <v>11.572556627743504</v>
      </c>
      <c r="Q231" s="188">
        <f t="shared" si="624"/>
        <v>9.0765150021517709</v>
      </c>
      <c r="R231" s="188">
        <f t="shared" si="625"/>
        <v>45.382575010758849</v>
      </c>
      <c r="S231" s="188">
        <f t="shared" si="626"/>
        <v>30</v>
      </c>
      <c r="T231" s="188">
        <f t="shared" si="627"/>
        <v>2.0031717214710514</v>
      </c>
      <c r="U231" s="188">
        <f t="shared" si="628"/>
        <v>0.19652058665366054</v>
      </c>
      <c r="V231" s="188">
        <f t="shared" si="629"/>
        <v>0.30600207907498556</v>
      </c>
      <c r="W231" s="172">
        <f t="shared" si="630"/>
        <v>350</v>
      </c>
      <c r="X231" s="379">
        <f t="shared" si="688"/>
        <v>350</v>
      </c>
      <c r="Z231" s="188">
        <f t="shared" si="631"/>
        <v>11.389233095253237</v>
      </c>
      <c r="AA231" s="150">
        <f t="shared" si="632"/>
        <v>1.7398054140150203</v>
      </c>
      <c r="AB231" s="150">
        <f t="shared" si="633"/>
        <v>3.3262672854725279</v>
      </c>
      <c r="AC231" s="150"/>
      <c r="AD231" s="150">
        <f t="shared" si="634"/>
        <v>0.92581082047124597</v>
      </c>
      <c r="AE231" s="314">
        <f t="shared" si="635"/>
        <v>222.95591651751587</v>
      </c>
      <c r="AF231" s="456">
        <f t="shared" si="636"/>
        <v>0.94189023229397884</v>
      </c>
      <c r="AH231" s="150">
        <f t="shared" si="637"/>
        <v>4.7764620448249664</v>
      </c>
      <c r="AI231" s="150">
        <f t="shared" si="638"/>
        <v>6.0606060606060606</v>
      </c>
      <c r="AJ231" s="150">
        <f t="shared" si="639"/>
        <v>1.127403380867152</v>
      </c>
      <c r="AL231" s="314">
        <f t="shared" si="640"/>
        <v>600</v>
      </c>
      <c r="AM231" s="144">
        <f t="shared" si="641"/>
        <v>222.95591651751587</v>
      </c>
      <c r="AO231">
        <f t="shared" si="642"/>
        <v>600</v>
      </c>
      <c r="AP231">
        <f t="shared" si="643"/>
        <v>222.95591651751587</v>
      </c>
      <c r="AR231" s="5">
        <f t="shared" si="614"/>
        <v>4.4851915823522805</v>
      </c>
      <c r="AS231" s="5">
        <f t="shared" si="602"/>
        <v>0.59457401766453877</v>
      </c>
      <c r="AT231" s="5">
        <f t="shared" si="603"/>
        <v>3.8906175646877417</v>
      </c>
      <c r="AU231" s="150">
        <f t="shared" si="604"/>
        <v>0.13256379504589891</v>
      </c>
      <c r="BA231" s="150">
        <f t="shared" si="689"/>
        <v>1.2739954962989981</v>
      </c>
      <c r="BB231" s="150">
        <f t="shared" si="690"/>
        <v>3.1260659581888368</v>
      </c>
      <c r="BC231" s="150">
        <f t="shared" si="691"/>
        <v>0.62749762445336688</v>
      </c>
      <c r="BD231" s="150"/>
      <c r="BE231" s="456">
        <f t="shared" si="692"/>
        <v>1.9476774295081566E-2</v>
      </c>
      <c r="BF231" s="456">
        <f t="shared" si="644"/>
        <v>1.9401584096005617</v>
      </c>
      <c r="BG231" s="456">
        <f t="shared" si="693"/>
        <v>2.563993039951433E-2</v>
      </c>
      <c r="BH231" s="456">
        <f t="shared" si="694"/>
        <v>0.71418032972672607</v>
      </c>
      <c r="BI231">
        <f t="shared" si="695"/>
        <v>2.1558597310610852E-2</v>
      </c>
      <c r="BJ231" s="144">
        <f t="shared" si="696"/>
        <v>47.198527710125184</v>
      </c>
      <c r="BK231">
        <f t="shared" si="645"/>
        <v>2.6915297854721363</v>
      </c>
      <c r="BL231" s="144">
        <f t="shared" si="697"/>
        <v>2721.0140413324948</v>
      </c>
      <c r="BM231" s="150">
        <f t="shared" si="646"/>
        <v>0.40236</v>
      </c>
      <c r="BN231" s="150">
        <f t="shared" si="647"/>
        <v>6.1072500000000002E-2</v>
      </c>
      <c r="BQ231" s="144">
        <f t="shared" si="698"/>
        <v>463.4325</v>
      </c>
      <c r="BR231" s="456">
        <f t="shared" si="699"/>
        <v>2.2722903344261827E-2</v>
      </c>
      <c r="BS231" s="456">
        <f t="shared" si="700"/>
        <v>0.13681203724925925</v>
      </c>
      <c r="BT231" s="456">
        <f t="shared" si="701"/>
        <v>1.9687663434730931E-3</v>
      </c>
      <c r="BU231" s="456">
        <f t="shared" si="702"/>
        <v>3.3558894650169342</v>
      </c>
      <c r="BV231" s="456"/>
      <c r="BW231" s="538">
        <f t="shared" si="703"/>
        <v>0.81893816902668826</v>
      </c>
      <c r="BX231" s="144">
        <f t="shared" si="704"/>
        <v>4336.3313409806169</v>
      </c>
      <c r="BY231" s="150">
        <f t="shared" si="705"/>
        <v>7.5207778823131104</v>
      </c>
      <c r="BZ231" s="5">
        <f t="shared" si="706"/>
        <v>18.765000000000001</v>
      </c>
      <c r="CA231" s="150">
        <f t="shared" si="707"/>
        <v>0.71388414236834852</v>
      </c>
      <c r="CB231" s="5">
        <f t="shared" si="708"/>
        <v>71.388414236834848</v>
      </c>
      <c r="CC231">
        <f t="shared" si="709"/>
        <v>15</v>
      </c>
      <c r="CE231" s="59">
        <f t="shared" si="648"/>
        <v>-50</v>
      </c>
      <c r="CG231" s="150">
        <f t="shared" si="649"/>
        <v>0.20450869737006297</v>
      </c>
      <c r="CH231" s="150">
        <f t="shared" si="650"/>
        <v>4.4632501986910426E-2</v>
      </c>
      <c r="CI231" s="147">
        <v>15</v>
      </c>
      <c r="CJ231" s="188">
        <f t="shared" si="710"/>
        <v>0.6</v>
      </c>
      <c r="CK231" s="188">
        <f t="shared" si="651"/>
        <v>0.1275</v>
      </c>
      <c r="CL231" s="188">
        <f t="shared" si="652"/>
        <v>18</v>
      </c>
      <c r="CM231" s="188">
        <f t="shared" si="653"/>
        <v>0.76500000000000001</v>
      </c>
      <c r="CN231" s="465">
        <f t="shared" si="654"/>
        <v>48</v>
      </c>
      <c r="CO231" s="379">
        <f t="shared" si="655"/>
        <v>30.7</v>
      </c>
      <c r="CP231" s="379">
        <f t="shared" si="656"/>
        <v>78.7</v>
      </c>
      <c r="CQ231" s="379"/>
      <c r="CR231" s="188">
        <f t="shared" si="657"/>
        <v>0.38775510204081626</v>
      </c>
      <c r="CS231" s="149">
        <f t="shared" si="658"/>
        <v>270.50715642699197</v>
      </c>
      <c r="CT231" s="149">
        <f t="shared" si="659"/>
        <v>11.496554148147156</v>
      </c>
      <c r="CU231" s="188">
        <f t="shared" si="660"/>
        <v>9.0169052142330663</v>
      </c>
      <c r="CV231" s="188">
        <f t="shared" si="661"/>
        <v>45.084526071165328</v>
      </c>
      <c r="CW231" s="188">
        <f t="shared" si="662"/>
        <v>30</v>
      </c>
      <c r="CX231" s="188">
        <f t="shared" si="663"/>
        <v>2.0164144736842111</v>
      </c>
      <c r="CY231" s="188">
        <f t="shared" si="664"/>
        <v>0.19744058388157901</v>
      </c>
      <c r="CZ231" s="188">
        <f t="shared" si="665"/>
        <v>0.30870189010800625</v>
      </c>
      <c r="DA231" s="172">
        <f t="shared" si="666"/>
        <v>350</v>
      </c>
      <c r="DB231" s="379">
        <f t="shared" si="667"/>
        <v>350</v>
      </c>
      <c r="DD231" s="188">
        <f t="shared" si="668"/>
        <v>11.382534575916392</v>
      </c>
      <c r="DE231" s="150">
        <f t="shared" si="669"/>
        <v>1.7426030132510437</v>
      </c>
      <c r="DF231" s="150">
        <f t="shared" si="670"/>
        <v>3.3296564353233258</v>
      </c>
      <c r="DG231" s="150"/>
      <c r="DH231" s="150">
        <f t="shared" si="671"/>
        <v>0.92784522751949461</v>
      </c>
      <c r="DI231" s="314">
        <f t="shared" si="672"/>
        <v>222.46706010638297</v>
      </c>
      <c r="DJ231" s="456">
        <f t="shared" si="673"/>
        <v>0.94395997276890675</v>
      </c>
      <c r="DL231" s="150">
        <f t="shared" si="674"/>
        <v>4.7764620448249664</v>
      </c>
      <c r="DM231" s="150">
        <f t="shared" si="675"/>
        <v>6.0606060606060606</v>
      </c>
      <c r="DN231" s="150">
        <f t="shared" si="676"/>
        <v>1.1271240343465045</v>
      </c>
      <c r="DP231" s="314">
        <f t="shared" si="677"/>
        <v>600</v>
      </c>
      <c r="DQ231" s="144">
        <f t="shared" si="678"/>
        <v>222.46706010638297</v>
      </c>
      <c r="DS231">
        <f t="shared" si="679"/>
        <v>600</v>
      </c>
      <c r="DT231">
        <f t="shared" si="680"/>
        <v>222.46706010638297</v>
      </c>
      <c r="DV231" s="5">
        <f t="shared" si="681"/>
        <v>4.4950474893757457</v>
      </c>
      <c r="DW231" s="5">
        <f t="shared" si="682"/>
        <v>0.59343434343434343</v>
      </c>
      <c r="DX231" s="5">
        <f t="shared" si="683"/>
        <v>3.9016131459414023</v>
      </c>
      <c r="DY231" s="150">
        <f t="shared" si="684"/>
        <v>0.13201959375</v>
      </c>
      <c r="EA231" s="5">
        <f t="shared" si="711"/>
        <v>1.1868686868686866</v>
      </c>
      <c r="EB231" s="5">
        <f t="shared" si="712"/>
        <v>1.2610479797979799</v>
      </c>
      <c r="EC231" s="5">
        <f t="shared" si="713"/>
        <v>0.86064995866354455</v>
      </c>
      <c r="ED231" s="5"/>
      <c r="EE231" s="150">
        <f t="shared" si="714"/>
        <v>1.2713778018950603</v>
      </c>
      <c r="EF231" s="150">
        <f t="shared" si="715"/>
        <v>3.1270464005537182</v>
      </c>
      <c r="EG231" s="150">
        <f t="shared" si="716"/>
        <v>0.62769442940345588</v>
      </c>
      <c r="EH231" s="150"/>
      <c r="EI231" s="456">
        <f t="shared" si="717"/>
        <v>1.9396818181818182E-2</v>
      </c>
      <c r="EJ231" s="456">
        <f t="shared" si="718"/>
        <v>2.0160908786489364</v>
      </c>
      <c r="EK231" s="456">
        <f t="shared" si="719"/>
        <v>2.5583711912234044E-2</v>
      </c>
      <c r="EL231" s="456">
        <f t="shared" si="720"/>
        <v>0.71305911285158197</v>
      </c>
      <c r="EM231">
        <f t="shared" si="721"/>
        <v>2.1600000000000001E-2</v>
      </c>
      <c r="EN231" s="144">
        <f t="shared" si="722"/>
        <v>47.183711912234038</v>
      </c>
      <c r="EP231" s="144">
        <f t="shared" si="723"/>
        <v>2795.7305215945703</v>
      </c>
      <c r="EQ231" s="150">
        <f t="shared" si="724"/>
        <v>0.42</v>
      </c>
      <c r="ER231" s="150">
        <f t="shared" si="685"/>
        <v>6.1072500000000002E-2</v>
      </c>
      <c r="ES231" s="456"/>
      <c r="EU231" s="144">
        <f t="shared" si="725"/>
        <v>481.07249999999999</v>
      </c>
      <c r="EV231" s="456">
        <f t="shared" si="726"/>
        <v>2.2629621212121212E-2</v>
      </c>
      <c r="EW231" s="456">
        <f t="shared" si="727"/>
        <v>0.13689786867702353</v>
      </c>
      <c r="EX231" s="456">
        <f t="shared" si="728"/>
        <v>1.9700014835206505E-3</v>
      </c>
      <c r="EY231" s="456">
        <f t="shared" si="729"/>
        <v>3.3375242734307387</v>
      </c>
      <c r="EZ231" s="456"/>
      <c r="FA231" s="538">
        <f t="shared" si="730"/>
        <v>0.81714255319148932</v>
      </c>
      <c r="FB231" s="144">
        <f t="shared" si="731"/>
        <v>4316.1643179948933</v>
      </c>
      <c r="FC231" s="150">
        <f t="shared" si="732"/>
        <v>7.5929673395894639</v>
      </c>
      <c r="FD231" s="5">
        <f t="shared" si="733"/>
        <v>18.765000000000001</v>
      </c>
      <c r="FE231" s="150">
        <f t="shared" si="734"/>
        <v>0.71192894953682995</v>
      </c>
      <c r="FF231" s="5">
        <f t="shared" si="735"/>
        <v>71.192894953682995</v>
      </c>
      <c r="FG231">
        <f t="shared" si="736"/>
        <v>15</v>
      </c>
      <c r="FI231" s="59">
        <f t="shared" si="686"/>
        <v>-50</v>
      </c>
    </row>
    <row r="232" spans="5:165">
      <c r="E232" s="147">
        <v>16</v>
      </c>
      <c r="F232" s="188">
        <f t="shared" si="687"/>
        <v>0.64</v>
      </c>
      <c r="G232" s="188">
        <f t="shared" si="615"/>
        <v>0.13600000000000001</v>
      </c>
      <c r="H232" s="188">
        <f t="shared" si="616"/>
        <v>19.2</v>
      </c>
      <c r="I232" s="188">
        <f t="shared" si="617"/>
        <v>0.81600000000000006</v>
      </c>
      <c r="J232" s="465">
        <f t="shared" si="618"/>
        <v>47.907994023579676</v>
      </c>
      <c r="K232" s="379">
        <f t="shared" si="619"/>
        <v>30.767461186454312</v>
      </c>
      <c r="L232" s="149">
        <f t="shared" si="620"/>
        <v>78.675455210033988</v>
      </c>
      <c r="M232" s="379"/>
      <c r="N232" s="188">
        <f t="shared" si="621"/>
        <v>0.39106810509474293</v>
      </c>
      <c r="O232" s="149">
        <f t="shared" si="622"/>
        <v>272.29545006455311</v>
      </c>
      <c r="P232" s="149">
        <f t="shared" si="623"/>
        <v>11.572556627743504</v>
      </c>
      <c r="Q232" s="188">
        <f t="shared" si="624"/>
        <v>9.0765150021517709</v>
      </c>
      <c r="R232" s="188">
        <f t="shared" si="625"/>
        <v>45.382575010758849</v>
      </c>
      <c r="S232" s="188">
        <f t="shared" si="626"/>
        <v>30</v>
      </c>
      <c r="T232" s="188">
        <f t="shared" si="627"/>
        <v>2.1367165029024546</v>
      </c>
      <c r="U232" s="188">
        <f t="shared" si="628"/>
        <v>0.20962195909723791</v>
      </c>
      <c r="V232" s="188">
        <f t="shared" si="629"/>
        <v>0.32640221767998456</v>
      </c>
      <c r="W232" s="172">
        <f t="shared" si="630"/>
        <v>350</v>
      </c>
      <c r="X232" s="379">
        <f t="shared" si="688"/>
        <v>350</v>
      </c>
      <c r="Z232" s="188">
        <f t="shared" si="631"/>
        <v>11.389233095253237</v>
      </c>
      <c r="AA232" s="150">
        <f t="shared" si="632"/>
        <v>1.7398054140150203</v>
      </c>
      <c r="AB232" s="150">
        <f t="shared" si="633"/>
        <v>3.3262672854725279</v>
      </c>
      <c r="AC232" s="150"/>
      <c r="AD232" s="150">
        <f t="shared" si="634"/>
        <v>0.92581082047124597</v>
      </c>
      <c r="AE232" s="314">
        <f t="shared" si="635"/>
        <v>237.81964428535028</v>
      </c>
      <c r="AF232" s="456">
        <f t="shared" si="636"/>
        <v>0.94189023229397884</v>
      </c>
      <c r="AH232" s="150">
        <f t="shared" si="637"/>
        <v>4.9331087875730448</v>
      </c>
      <c r="AI232" s="150">
        <f t="shared" si="638"/>
        <v>6.0606060606060606</v>
      </c>
      <c r="AJ232" s="150">
        <f t="shared" si="639"/>
        <v>1.1358969395916287</v>
      </c>
      <c r="AL232" s="314">
        <f t="shared" si="640"/>
        <v>640</v>
      </c>
      <c r="AM232" s="144">
        <f t="shared" si="641"/>
        <v>237.81964428535028</v>
      </c>
      <c r="AO232">
        <f t="shared" si="642"/>
        <v>640</v>
      </c>
      <c r="AP232">
        <f t="shared" si="643"/>
        <v>237.81964428535028</v>
      </c>
      <c r="AR232" s="5">
        <f t="shared" si="614"/>
        <v>4.2048671084552636</v>
      </c>
      <c r="AS232" s="5">
        <f t="shared" si="602"/>
        <v>0.59457401766453877</v>
      </c>
      <c r="AT232" s="5">
        <f t="shared" si="603"/>
        <v>3.6102930907907247</v>
      </c>
      <c r="AU232" s="150">
        <f t="shared" si="604"/>
        <v>0.14140138138229216</v>
      </c>
      <c r="BA232" s="150">
        <f t="shared" si="689"/>
        <v>1.3157768907491392</v>
      </c>
      <c r="BB232" s="150">
        <f t="shared" si="690"/>
        <v>3.1101007464438895</v>
      </c>
      <c r="BC232" s="150">
        <f t="shared" si="691"/>
        <v>0.62429291521887154</v>
      </c>
      <c r="BD232" s="150"/>
      <c r="BE232" s="456">
        <f t="shared" si="692"/>
        <v>2.0775225914753667E-2</v>
      </c>
      <c r="BF232" s="456">
        <f t="shared" si="644"/>
        <v>2.0695023035739326</v>
      </c>
      <c r="BG232" s="456">
        <f t="shared" si="693"/>
        <v>2.7349259092815284E-2</v>
      </c>
      <c r="BH232" s="456">
        <f t="shared" si="694"/>
        <v>0.7617923517085079</v>
      </c>
      <c r="BI232">
        <f t="shared" si="695"/>
        <v>2.1558597310610852E-2</v>
      </c>
      <c r="BJ232" s="144">
        <f t="shared" si="696"/>
        <v>48.907856403426138</v>
      </c>
      <c r="BK232">
        <f t="shared" si="645"/>
        <v>2.8718552258020331</v>
      </c>
      <c r="BL232" s="144">
        <f t="shared" si="697"/>
        <v>2900.9777376006205</v>
      </c>
      <c r="BM232" s="150">
        <f t="shared" si="646"/>
        <v>0.42918399999999995</v>
      </c>
      <c r="BN232" s="150">
        <f t="shared" si="647"/>
        <v>6.5144000000000007E-2</v>
      </c>
      <c r="BQ232" s="144">
        <f t="shared" si="698"/>
        <v>494.32799999999997</v>
      </c>
      <c r="BR232" s="456">
        <f t="shared" si="699"/>
        <v>2.4237763567212613E-2</v>
      </c>
      <c r="BS232" s="456">
        <f t="shared" si="700"/>
        <v>0.13541817314243176</v>
      </c>
      <c r="BT232" s="456">
        <f t="shared" si="701"/>
        <v>1.9487082199623857E-3</v>
      </c>
      <c r="BU232" s="456">
        <f t="shared" si="702"/>
        <v>3.9434783128761079</v>
      </c>
      <c r="BV232" s="456"/>
      <c r="BW232" s="538">
        <f t="shared" si="703"/>
        <v>0.87353404696180093</v>
      </c>
      <c r="BX232" s="144">
        <f t="shared" si="704"/>
        <v>4978.6170047675159</v>
      </c>
      <c r="BY232" s="150">
        <f t="shared" si="705"/>
        <v>8.3739227423681353</v>
      </c>
      <c r="BZ232" s="5">
        <f t="shared" si="706"/>
        <v>20.015999999999998</v>
      </c>
      <c r="CA232" s="150">
        <f t="shared" si="707"/>
        <v>0.70503890347432385</v>
      </c>
      <c r="CB232" s="5">
        <f t="shared" si="708"/>
        <v>70.503890347432389</v>
      </c>
      <c r="CC232">
        <f t="shared" si="709"/>
        <v>16</v>
      </c>
      <c r="CE232" s="59">
        <f t="shared" si="648"/>
        <v>-50</v>
      </c>
      <c r="CG232" s="150">
        <f t="shared" si="649"/>
        <v>0.21814261052806716</v>
      </c>
      <c r="CH232" s="150">
        <f t="shared" si="650"/>
        <v>4.7608002119371128E-2</v>
      </c>
      <c r="CI232" s="147">
        <v>16</v>
      </c>
      <c r="CJ232" s="188">
        <f t="shared" si="710"/>
        <v>0.64</v>
      </c>
      <c r="CK232" s="188">
        <f t="shared" si="651"/>
        <v>0.13600000000000001</v>
      </c>
      <c r="CL232" s="188">
        <f t="shared" si="652"/>
        <v>19.2</v>
      </c>
      <c r="CM232" s="188">
        <f t="shared" si="653"/>
        <v>0.81600000000000006</v>
      </c>
      <c r="CN232" s="465">
        <f t="shared" si="654"/>
        <v>48</v>
      </c>
      <c r="CO232" s="379">
        <f t="shared" si="655"/>
        <v>30.7</v>
      </c>
      <c r="CP232" s="379">
        <f t="shared" si="656"/>
        <v>78.7</v>
      </c>
      <c r="CQ232" s="379"/>
      <c r="CR232" s="188">
        <f t="shared" si="657"/>
        <v>0.38775510204081626</v>
      </c>
      <c r="CS232" s="149">
        <f t="shared" si="658"/>
        <v>270.50715642699197</v>
      </c>
      <c r="CT232" s="149">
        <f t="shared" si="659"/>
        <v>11.496554148147156</v>
      </c>
      <c r="CU232" s="188">
        <f t="shared" si="660"/>
        <v>9.0169052142330663</v>
      </c>
      <c r="CV232" s="188">
        <f t="shared" si="661"/>
        <v>45.084526071165328</v>
      </c>
      <c r="CW232" s="188">
        <f t="shared" si="662"/>
        <v>30</v>
      </c>
      <c r="CX232" s="188">
        <f t="shared" si="663"/>
        <v>2.1508421052631581</v>
      </c>
      <c r="CY232" s="188">
        <f t="shared" si="664"/>
        <v>0.21060328947368423</v>
      </c>
      <c r="CZ232" s="188">
        <f t="shared" si="665"/>
        <v>0.32928201611520663</v>
      </c>
      <c r="DA232" s="172">
        <f t="shared" si="666"/>
        <v>350</v>
      </c>
      <c r="DB232" s="379">
        <f t="shared" si="667"/>
        <v>350</v>
      </c>
      <c r="DD232" s="188">
        <f t="shared" si="668"/>
        <v>11.382534575916392</v>
      </c>
      <c r="DE232" s="150">
        <f t="shared" si="669"/>
        <v>1.7426030132510437</v>
      </c>
      <c r="DF232" s="150">
        <f t="shared" si="670"/>
        <v>3.3296564353233258</v>
      </c>
      <c r="DG232" s="150"/>
      <c r="DH232" s="150">
        <f t="shared" si="671"/>
        <v>0.92784522751949461</v>
      </c>
      <c r="DI232" s="314">
        <f t="shared" si="672"/>
        <v>237.29819744680853</v>
      </c>
      <c r="DJ232" s="456">
        <f t="shared" si="673"/>
        <v>0.94395997276890675</v>
      </c>
      <c r="DL232" s="150">
        <f t="shared" si="674"/>
        <v>4.9331087875730448</v>
      </c>
      <c r="DM232" s="150">
        <f t="shared" si="675"/>
        <v>6.0606060606060606</v>
      </c>
      <c r="DN232" s="150">
        <f t="shared" si="676"/>
        <v>1.135598969969605</v>
      </c>
      <c r="DP232" s="314">
        <f t="shared" si="677"/>
        <v>640</v>
      </c>
      <c r="DQ232" s="144">
        <f t="shared" si="678"/>
        <v>237.29819744680853</v>
      </c>
      <c r="DS232">
        <f t="shared" si="679"/>
        <v>640</v>
      </c>
      <c r="DT232">
        <f t="shared" si="680"/>
        <v>237.29819744680853</v>
      </c>
      <c r="DV232" s="5">
        <f t="shared" si="681"/>
        <v>4.2141070212897613</v>
      </c>
      <c r="DW232" s="5">
        <f t="shared" si="682"/>
        <v>0.59343434343434343</v>
      </c>
      <c r="DX232" s="5">
        <f t="shared" si="683"/>
        <v>3.6206726778554179</v>
      </c>
      <c r="DY232" s="150">
        <f t="shared" si="684"/>
        <v>0.14082090000000003</v>
      </c>
      <c r="EA232" s="5">
        <f t="shared" si="711"/>
        <v>1.265993265993266</v>
      </c>
      <c r="EB232" s="5">
        <f t="shared" si="712"/>
        <v>1.3451178451178452</v>
      </c>
      <c r="EC232" s="5">
        <f t="shared" si="713"/>
        <v>0.85192298302480407</v>
      </c>
      <c r="ED232" s="5"/>
      <c r="EE232" s="150">
        <f t="shared" si="714"/>
        <v>1.3130733475939629</v>
      </c>
      <c r="EF232" s="150">
        <f t="shared" si="715"/>
        <v>3.1111519073141229</v>
      </c>
      <c r="EG232" s="150">
        <f t="shared" si="716"/>
        <v>0.6245039155489388</v>
      </c>
      <c r="EH232" s="150"/>
      <c r="EI232" s="456">
        <f t="shared" si="717"/>
        <v>2.0689939393939392E-2</v>
      </c>
      <c r="EJ232" s="456">
        <f t="shared" si="718"/>
        <v>2.1504969372255323</v>
      </c>
      <c r="EK232" s="456">
        <f t="shared" si="719"/>
        <v>2.7289292706382983E-2</v>
      </c>
      <c r="EL232" s="456">
        <f t="shared" si="720"/>
        <v>0.76059638704168753</v>
      </c>
      <c r="EM232">
        <f t="shared" si="721"/>
        <v>2.1600000000000001E-2</v>
      </c>
      <c r="EN232" s="144">
        <f t="shared" si="722"/>
        <v>48.889292706382982</v>
      </c>
      <c r="EP232" s="144">
        <f t="shared" si="723"/>
        <v>2980.6725563675418</v>
      </c>
      <c r="EQ232" s="150">
        <f t="shared" si="724"/>
        <v>0.44799999999999995</v>
      </c>
      <c r="ER232" s="150">
        <f t="shared" si="685"/>
        <v>6.5144000000000007E-2</v>
      </c>
      <c r="ES232" s="456"/>
      <c r="EU232" s="144">
        <f t="shared" si="725"/>
        <v>513.14399999999989</v>
      </c>
      <c r="EV232" s="456">
        <f t="shared" si="726"/>
        <v>2.4138262626262626E-2</v>
      </c>
      <c r="EW232" s="456">
        <f t="shared" si="727"/>
        <v>0.13550972666538028</v>
      </c>
      <c r="EX232" s="456">
        <f t="shared" si="728"/>
        <v>1.9500257026797804E-3</v>
      </c>
      <c r="EY232" s="456">
        <f t="shared" si="729"/>
        <v>3.9218975261765046</v>
      </c>
      <c r="EZ232" s="456"/>
      <c r="FA232" s="538">
        <f t="shared" si="730"/>
        <v>0.87161872340425539</v>
      </c>
      <c r="FB232" s="144">
        <f t="shared" si="731"/>
        <v>4955.1142645750824</v>
      </c>
      <c r="FC232" s="150">
        <f t="shared" si="732"/>
        <v>8.4489308209426248</v>
      </c>
      <c r="FD232" s="5">
        <f t="shared" si="733"/>
        <v>20.015999999999998</v>
      </c>
      <c r="FE232" s="150">
        <f t="shared" si="734"/>
        <v>0.703181052007811</v>
      </c>
      <c r="FF232" s="5">
        <f t="shared" si="735"/>
        <v>70.318105200781105</v>
      </c>
      <c r="FG232">
        <f t="shared" si="736"/>
        <v>16</v>
      </c>
      <c r="FI232" s="59">
        <f t="shared" si="686"/>
        <v>-50</v>
      </c>
    </row>
    <row r="233" spans="5:165">
      <c r="E233" s="147">
        <v>17</v>
      </c>
      <c r="F233" s="188">
        <f t="shared" si="687"/>
        <v>0.68</v>
      </c>
      <c r="G233" s="188">
        <f t="shared" si="615"/>
        <v>0.14450000000000002</v>
      </c>
      <c r="H233" s="188">
        <f t="shared" si="616"/>
        <v>20.400000000000002</v>
      </c>
      <c r="I233" s="188">
        <f t="shared" si="617"/>
        <v>0.8670000000000001</v>
      </c>
      <c r="J233" s="465">
        <f t="shared" si="618"/>
        <v>47.907994023579676</v>
      </c>
      <c r="K233" s="379">
        <f t="shared" si="619"/>
        <v>30.767461186454312</v>
      </c>
      <c r="L233" s="149">
        <f t="shared" si="620"/>
        <v>78.675455210033988</v>
      </c>
      <c r="M233" s="379"/>
      <c r="N233" s="188">
        <f t="shared" si="621"/>
        <v>0.39106810509474293</v>
      </c>
      <c r="O233" s="149">
        <f t="shared" si="622"/>
        <v>272.29545006455311</v>
      </c>
      <c r="P233" s="149">
        <f t="shared" si="623"/>
        <v>11.572556627743504</v>
      </c>
      <c r="Q233" s="188">
        <f t="shared" si="624"/>
        <v>9.0765150021517709</v>
      </c>
      <c r="R233" s="188">
        <f t="shared" si="625"/>
        <v>45.382575010758849</v>
      </c>
      <c r="S233" s="188">
        <f t="shared" si="626"/>
        <v>30</v>
      </c>
      <c r="T233" s="188">
        <f t="shared" si="627"/>
        <v>2.2702612843338588</v>
      </c>
      <c r="U233" s="188">
        <f t="shared" si="628"/>
        <v>0.22272333154081536</v>
      </c>
      <c r="V233" s="188">
        <f t="shared" si="629"/>
        <v>0.34680235628498374</v>
      </c>
      <c r="W233" s="172">
        <f t="shared" si="630"/>
        <v>350</v>
      </c>
      <c r="X233" s="379">
        <f t="shared" si="688"/>
        <v>350</v>
      </c>
      <c r="Z233" s="188">
        <f t="shared" si="631"/>
        <v>11.389233095253237</v>
      </c>
      <c r="AA233" s="150">
        <f t="shared" si="632"/>
        <v>1.7398054140150203</v>
      </c>
      <c r="AB233" s="150">
        <f t="shared" si="633"/>
        <v>3.3262672854725279</v>
      </c>
      <c r="AC233" s="150"/>
      <c r="AD233" s="150">
        <f t="shared" si="634"/>
        <v>0.92581082047124597</v>
      </c>
      <c r="AE233" s="314">
        <f t="shared" si="635"/>
        <v>252.68337205318466</v>
      </c>
      <c r="AF233" s="456">
        <f t="shared" si="636"/>
        <v>0.94189023229397884</v>
      </c>
      <c r="AH233" s="150">
        <f t="shared" si="637"/>
        <v>5.084932148456585</v>
      </c>
      <c r="AI233" s="150">
        <f t="shared" si="638"/>
        <v>6.0606060606060606</v>
      </c>
      <c r="AJ233" s="150">
        <f t="shared" si="639"/>
        <v>1.1443904983161055</v>
      </c>
      <c r="AL233" s="314">
        <f t="shared" si="640"/>
        <v>680</v>
      </c>
      <c r="AM233" s="144">
        <f t="shared" si="641"/>
        <v>252.68337205318466</v>
      </c>
      <c r="AO233">
        <f t="shared" si="642"/>
        <v>680</v>
      </c>
      <c r="AP233">
        <f t="shared" si="643"/>
        <v>252.68337205318466</v>
      </c>
      <c r="AR233" s="5">
        <f t="shared" si="614"/>
        <v>3.9575219844284826</v>
      </c>
      <c r="AS233" s="5">
        <f t="shared" si="602"/>
        <v>0.59457401766453877</v>
      </c>
      <c r="AT233" s="5">
        <f t="shared" si="603"/>
        <v>3.3629479667639437</v>
      </c>
      <c r="AU233" s="150">
        <f t="shared" si="604"/>
        <v>0.15023896771868545</v>
      </c>
      <c r="BA233" s="150">
        <f t="shared" si="689"/>
        <v>1.3562717750763726</v>
      </c>
      <c r="BB233" s="150">
        <f t="shared" si="690"/>
        <v>3.0940531558321025</v>
      </c>
      <c r="BC233" s="150">
        <f t="shared" si="691"/>
        <v>0.62107167001106689</v>
      </c>
      <c r="BD233" s="150"/>
      <c r="BE233" s="456">
        <f t="shared" si="692"/>
        <v>2.2073677534425778E-2</v>
      </c>
      <c r="BF233" s="456">
        <f t="shared" si="644"/>
        <v>2.198846197547303</v>
      </c>
      <c r="BG233" s="456">
        <f t="shared" si="693"/>
        <v>2.9058587786116238E-2</v>
      </c>
      <c r="BH233" s="456">
        <f t="shared" si="694"/>
        <v>0.8094043736902895</v>
      </c>
      <c r="BI233">
        <f t="shared" si="695"/>
        <v>2.1558597310610852E-2</v>
      </c>
      <c r="BJ233" s="144">
        <f t="shared" si="696"/>
        <v>50.617185096727091</v>
      </c>
      <c r="BK233">
        <f t="shared" si="645"/>
        <v>3.052292517923973</v>
      </c>
      <c r="BL233" s="144">
        <f t="shared" si="697"/>
        <v>3080.9414338687457</v>
      </c>
      <c r="BM233" s="150">
        <f t="shared" si="646"/>
        <v>0.45600799999999997</v>
      </c>
      <c r="BN233" s="150">
        <f t="shared" si="647"/>
        <v>6.9215499999999999E-2</v>
      </c>
      <c r="BQ233" s="144">
        <f t="shared" si="698"/>
        <v>525.22349999999994</v>
      </c>
      <c r="BR233" s="456">
        <f t="shared" si="699"/>
        <v>2.5752623790163409E-2</v>
      </c>
      <c r="BS233" s="456">
        <f t="shared" si="700"/>
        <v>0.13402430903560428</v>
      </c>
      <c r="BT233" s="456">
        <f t="shared" si="701"/>
        <v>1.9286500964516779E-3</v>
      </c>
      <c r="BU233" s="456">
        <f t="shared" si="702"/>
        <v>4.5888282530436362</v>
      </c>
      <c r="BV233" s="456"/>
      <c r="BW233" s="538">
        <f t="shared" si="703"/>
        <v>0.92812992489691337</v>
      </c>
      <c r="BX233" s="144">
        <f t="shared" si="704"/>
        <v>5678.6637608627689</v>
      </c>
      <c r="BY233" s="150">
        <f t="shared" si="705"/>
        <v>9.2848286947315142</v>
      </c>
      <c r="BZ233" s="5">
        <f t="shared" si="706"/>
        <v>21.267000000000003</v>
      </c>
      <c r="CA233" s="150">
        <f t="shared" si="707"/>
        <v>0.69609581189054559</v>
      </c>
      <c r="CB233" s="5">
        <f t="shared" si="708"/>
        <v>69.609581189054552</v>
      </c>
      <c r="CC233">
        <f t="shared" si="709"/>
        <v>17</v>
      </c>
      <c r="CE233" s="59">
        <f t="shared" si="648"/>
        <v>-50</v>
      </c>
      <c r="CG233" s="150">
        <f t="shared" si="649"/>
        <v>0.23177652368607138</v>
      </c>
      <c r="CH233" s="150">
        <f t="shared" si="650"/>
        <v>5.0583502251831829E-2</v>
      </c>
      <c r="CI233" s="147">
        <v>17</v>
      </c>
      <c r="CJ233" s="188">
        <f t="shared" si="710"/>
        <v>0.68</v>
      </c>
      <c r="CK233" s="188">
        <f t="shared" si="651"/>
        <v>0.14450000000000002</v>
      </c>
      <c r="CL233" s="188">
        <f t="shared" si="652"/>
        <v>20.400000000000002</v>
      </c>
      <c r="CM233" s="188">
        <f t="shared" si="653"/>
        <v>0.8670000000000001</v>
      </c>
      <c r="CN233" s="465">
        <f t="shared" si="654"/>
        <v>48</v>
      </c>
      <c r="CO233" s="379">
        <f t="shared" si="655"/>
        <v>30.7</v>
      </c>
      <c r="CP233" s="379">
        <f t="shared" si="656"/>
        <v>78.7</v>
      </c>
      <c r="CQ233" s="379"/>
      <c r="CR233" s="188">
        <f t="shared" si="657"/>
        <v>0.38775510204081626</v>
      </c>
      <c r="CS233" s="149">
        <f t="shared" si="658"/>
        <v>270.50715642699197</v>
      </c>
      <c r="CT233" s="149">
        <f t="shared" si="659"/>
        <v>11.496554148147156</v>
      </c>
      <c r="CU233" s="188">
        <f t="shared" si="660"/>
        <v>9.0169052142330663</v>
      </c>
      <c r="CV233" s="188">
        <f t="shared" si="661"/>
        <v>45.084526071165328</v>
      </c>
      <c r="CW233" s="188">
        <f t="shared" si="662"/>
        <v>30</v>
      </c>
      <c r="CX233" s="188">
        <f t="shared" si="663"/>
        <v>2.285269736842106</v>
      </c>
      <c r="CY233" s="188">
        <f t="shared" si="664"/>
        <v>0.22376599506578956</v>
      </c>
      <c r="CZ233" s="188">
        <f t="shared" si="665"/>
        <v>0.34986214212240713</v>
      </c>
      <c r="DA233" s="172">
        <f t="shared" si="666"/>
        <v>350</v>
      </c>
      <c r="DB233" s="379">
        <f t="shared" si="667"/>
        <v>350</v>
      </c>
      <c r="DD233" s="188">
        <f t="shared" si="668"/>
        <v>11.382534575916392</v>
      </c>
      <c r="DE233" s="150">
        <f t="shared" si="669"/>
        <v>1.7426030132510437</v>
      </c>
      <c r="DF233" s="150">
        <f t="shared" si="670"/>
        <v>3.3296564353233258</v>
      </c>
      <c r="DG233" s="150"/>
      <c r="DH233" s="150">
        <f t="shared" si="671"/>
        <v>0.92784522751949461</v>
      </c>
      <c r="DI233" s="314">
        <f t="shared" si="672"/>
        <v>252.12933478723406</v>
      </c>
      <c r="DJ233" s="456">
        <f t="shared" si="673"/>
        <v>0.94395997276890675</v>
      </c>
      <c r="DL233" s="150">
        <f t="shared" si="674"/>
        <v>5.084932148456585</v>
      </c>
      <c r="DM233" s="150">
        <f t="shared" si="675"/>
        <v>6.0606060606060606</v>
      </c>
      <c r="DN233" s="150">
        <f t="shared" si="676"/>
        <v>1.1440739055927052</v>
      </c>
      <c r="DP233" s="314">
        <f t="shared" si="677"/>
        <v>680</v>
      </c>
      <c r="DQ233" s="144">
        <f t="shared" si="678"/>
        <v>252.12933478723406</v>
      </c>
      <c r="DS233">
        <f t="shared" si="679"/>
        <v>680</v>
      </c>
      <c r="DT233">
        <f t="shared" si="680"/>
        <v>252.12933478723406</v>
      </c>
      <c r="DV233" s="5">
        <f t="shared" si="681"/>
        <v>3.9662183729785991</v>
      </c>
      <c r="DW233" s="5">
        <f t="shared" si="682"/>
        <v>0.59343434343434343</v>
      </c>
      <c r="DX233" s="5">
        <f t="shared" si="683"/>
        <v>3.3727840295442557</v>
      </c>
      <c r="DY233" s="150">
        <f t="shared" si="684"/>
        <v>0.14962220625</v>
      </c>
      <c r="EA233" s="5">
        <f t="shared" si="711"/>
        <v>1.3451178451178454</v>
      </c>
      <c r="EB233" s="5">
        <f t="shared" si="712"/>
        <v>1.4291877104377106</v>
      </c>
      <c r="EC233" s="5">
        <f t="shared" si="713"/>
        <v>0.84319600738606393</v>
      </c>
      <c r="ED233" s="5"/>
      <c r="EE233" s="150">
        <f t="shared" si="714"/>
        <v>1.3534850265783205</v>
      </c>
      <c r="EF233" s="150">
        <f t="shared" si="715"/>
        <v>3.0951757929966841</v>
      </c>
      <c r="EG233" s="150">
        <f t="shared" si="716"/>
        <v>0.62129701783268043</v>
      </c>
      <c r="EH233" s="150"/>
      <c r="EI233" s="456">
        <f t="shared" si="717"/>
        <v>2.1983060606060603E-2</v>
      </c>
      <c r="EJ233" s="456">
        <f t="shared" si="718"/>
        <v>2.2849029958021281</v>
      </c>
      <c r="EK233" s="456">
        <f t="shared" si="719"/>
        <v>2.8994873500531919E-2</v>
      </c>
      <c r="EL233" s="456">
        <f t="shared" si="720"/>
        <v>0.80813366123179298</v>
      </c>
      <c r="EM233">
        <f t="shared" si="721"/>
        <v>2.1600000000000001E-2</v>
      </c>
      <c r="EN233" s="144">
        <f t="shared" si="722"/>
        <v>50.594873500531918</v>
      </c>
      <c r="EP233" s="144">
        <f t="shared" si="723"/>
        <v>3165.6145911405138</v>
      </c>
      <c r="EQ233" s="150">
        <f t="shared" si="724"/>
        <v>0.47599999999999998</v>
      </c>
      <c r="ER233" s="150">
        <f t="shared" si="685"/>
        <v>6.9215499999999999E-2</v>
      </c>
      <c r="ES233" s="456"/>
      <c r="EU233" s="144">
        <f t="shared" si="725"/>
        <v>545.21550000000002</v>
      </c>
      <c r="EV233" s="456">
        <f t="shared" si="726"/>
        <v>2.5646904040404036E-2</v>
      </c>
      <c r="EW233" s="456">
        <f t="shared" si="727"/>
        <v>0.13412158465373714</v>
      </c>
      <c r="EX233" s="456">
        <f t="shared" si="728"/>
        <v>1.93004992183891E-3</v>
      </c>
      <c r="EY233" s="456">
        <f t="shared" si="729"/>
        <v>4.5637157721643327</v>
      </c>
      <c r="EZ233" s="456"/>
      <c r="FA233" s="538">
        <f t="shared" si="730"/>
        <v>0.92609489361702135</v>
      </c>
      <c r="FB233" s="144">
        <f t="shared" si="731"/>
        <v>5651.5092043973336</v>
      </c>
      <c r="FC233" s="150">
        <f t="shared" si="732"/>
        <v>9.3623392955378471</v>
      </c>
      <c r="FD233" s="5">
        <f t="shared" si="733"/>
        <v>21.267000000000003</v>
      </c>
      <c r="FE233" s="150">
        <f t="shared" si="734"/>
        <v>0.69433427194749275</v>
      </c>
      <c r="FF233" s="5">
        <f t="shared" si="735"/>
        <v>69.433427194749271</v>
      </c>
      <c r="FG233">
        <f t="shared" si="736"/>
        <v>17</v>
      </c>
      <c r="FI233" s="59">
        <f t="shared" si="686"/>
        <v>-50</v>
      </c>
    </row>
    <row r="234" spans="5:165">
      <c r="E234" s="147">
        <v>18</v>
      </c>
      <c r="F234" s="188">
        <f t="shared" si="687"/>
        <v>0.72</v>
      </c>
      <c r="G234" s="188">
        <f t="shared" si="615"/>
        <v>0.153</v>
      </c>
      <c r="H234" s="188">
        <f t="shared" si="616"/>
        <v>21.599999999999998</v>
      </c>
      <c r="I234" s="188">
        <f t="shared" si="617"/>
        <v>0.91799999999999993</v>
      </c>
      <c r="J234" s="465">
        <f t="shared" si="618"/>
        <v>47.907994023579676</v>
      </c>
      <c r="K234" s="379">
        <f t="shared" si="619"/>
        <v>30.767461186454312</v>
      </c>
      <c r="L234" s="149">
        <f t="shared" si="620"/>
        <v>78.675455210033988</v>
      </c>
      <c r="M234" s="379"/>
      <c r="N234" s="188">
        <f t="shared" si="621"/>
        <v>0.39106810509474293</v>
      </c>
      <c r="O234" s="149">
        <f t="shared" si="622"/>
        <v>272.29545006455311</v>
      </c>
      <c r="P234" s="149">
        <f t="shared" si="623"/>
        <v>11.572556627743504</v>
      </c>
      <c r="Q234" s="188">
        <f t="shared" si="624"/>
        <v>9.0765150021517709</v>
      </c>
      <c r="R234" s="188">
        <f t="shared" si="625"/>
        <v>45.382575010758849</v>
      </c>
      <c r="S234" s="188">
        <f t="shared" si="626"/>
        <v>30</v>
      </c>
      <c r="T234" s="188">
        <f t="shared" si="627"/>
        <v>2.4038060657652616</v>
      </c>
      <c r="U234" s="188">
        <f t="shared" si="628"/>
        <v>0.23582470398439268</v>
      </c>
      <c r="V234" s="188">
        <f t="shared" si="629"/>
        <v>0.36720249488998263</v>
      </c>
      <c r="W234" s="172">
        <f t="shared" si="630"/>
        <v>350</v>
      </c>
      <c r="X234" s="379">
        <f t="shared" si="688"/>
        <v>350</v>
      </c>
      <c r="Z234" s="188">
        <f t="shared" si="631"/>
        <v>11.389233095253237</v>
      </c>
      <c r="AA234" s="150">
        <f t="shared" si="632"/>
        <v>1.7398054140150203</v>
      </c>
      <c r="AB234" s="150">
        <f t="shared" si="633"/>
        <v>3.3262672854725279</v>
      </c>
      <c r="AC234" s="150"/>
      <c r="AD234" s="150">
        <f t="shared" si="634"/>
        <v>0.92581082047124597</v>
      </c>
      <c r="AE234" s="314">
        <f t="shared" si="635"/>
        <v>267.547099821019</v>
      </c>
      <c r="AF234" s="456">
        <f t="shared" si="636"/>
        <v>0.94189023229397884</v>
      </c>
      <c r="AH234" s="150">
        <f t="shared" si="637"/>
        <v>5.2323520140357713</v>
      </c>
      <c r="AI234" s="150">
        <f t="shared" si="638"/>
        <v>6.0606060606060606</v>
      </c>
      <c r="AJ234" s="150">
        <f t="shared" si="639"/>
        <v>1.1528840570405823</v>
      </c>
      <c r="AL234" s="314">
        <f t="shared" si="640"/>
        <v>720</v>
      </c>
      <c r="AM234" s="144">
        <f t="shared" si="641"/>
        <v>267.547099821019</v>
      </c>
      <c r="AO234">
        <f t="shared" si="642"/>
        <v>720</v>
      </c>
      <c r="AP234">
        <f t="shared" si="643"/>
        <v>267.547099821019</v>
      </c>
      <c r="AR234" s="5">
        <f t="shared" si="614"/>
        <v>3.7376596519602345</v>
      </c>
      <c r="AS234" s="5">
        <f t="shared" si="602"/>
        <v>0.59457401766453877</v>
      </c>
      <c r="AT234" s="5">
        <f t="shared" si="603"/>
        <v>3.1430856342956957</v>
      </c>
      <c r="AU234" s="150">
        <f t="shared" si="604"/>
        <v>0.15907655405507867</v>
      </c>
      <c r="BA234" s="150">
        <f t="shared" si="689"/>
        <v>1.3955921429659011</v>
      </c>
      <c r="BB234" s="150">
        <f t="shared" si="690"/>
        <v>3.0779218978392455</v>
      </c>
      <c r="BC234" s="150">
        <f t="shared" si="691"/>
        <v>0.61783363018550075</v>
      </c>
      <c r="BD234" s="150"/>
      <c r="BE234" s="456">
        <f t="shared" si="692"/>
        <v>2.3372129154097872E-2</v>
      </c>
      <c r="BF234" s="456">
        <f t="shared" si="644"/>
        <v>2.3281900915206735</v>
      </c>
      <c r="BG234" s="456">
        <f t="shared" si="693"/>
        <v>3.0767916479417189E-2</v>
      </c>
      <c r="BH234" s="456">
        <f t="shared" si="694"/>
        <v>0.85701639567207122</v>
      </c>
      <c r="BI234">
        <f t="shared" si="695"/>
        <v>2.1558597310610852E-2</v>
      </c>
      <c r="BJ234" s="144">
        <f t="shared" si="696"/>
        <v>52.326513790028038</v>
      </c>
      <c r="BK234">
        <f t="shared" si="645"/>
        <v>3.2328417659389461</v>
      </c>
      <c r="BL234" s="144">
        <f t="shared" si="697"/>
        <v>3260.9051301368709</v>
      </c>
      <c r="BM234" s="150">
        <f t="shared" si="646"/>
        <v>0.48283199999999998</v>
      </c>
      <c r="BN234" s="150">
        <f t="shared" si="647"/>
        <v>7.3286999999999991E-2</v>
      </c>
      <c r="BQ234" s="144">
        <f t="shared" si="698"/>
        <v>556.11900000000003</v>
      </c>
      <c r="BR234" s="456">
        <f t="shared" si="699"/>
        <v>2.7267484013114185E-2</v>
      </c>
      <c r="BS234" s="456">
        <f t="shared" si="700"/>
        <v>0.13263044492877679</v>
      </c>
      <c r="BT234" s="456">
        <f t="shared" si="701"/>
        <v>1.9085919729409707E-3</v>
      </c>
      <c r="BU234" s="456">
        <f t="shared" si="702"/>
        <v>5.2937175181931044</v>
      </c>
      <c r="BV234" s="456"/>
      <c r="BW234" s="538">
        <f t="shared" si="703"/>
        <v>0.98272580283202571</v>
      </c>
      <c r="BX234" s="144">
        <f t="shared" si="704"/>
        <v>6438.2498419399617</v>
      </c>
      <c r="BY234" s="150">
        <f t="shared" si="705"/>
        <v>10.255273972076832</v>
      </c>
      <c r="BZ234" s="5">
        <f t="shared" si="706"/>
        <v>22.517999999999997</v>
      </c>
      <c r="CA234" s="150">
        <f t="shared" si="707"/>
        <v>0.68708423879730685</v>
      </c>
      <c r="CB234" s="5">
        <f t="shared" si="708"/>
        <v>68.708423879730688</v>
      </c>
      <c r="CC234">
        <f t="shared" si="709"/>
        <v>18</v>
      </c>
      <c r="CE234" s="59">
        <f t="shared" si="648"/>
        <v>-50</v>
      </c>
      <c r="CG234" s="150">
        <f t="shared" si="649"/>
        <v>0.24541043684407551</v>
      </c>
      <c r="CH234" s="150">
        <f t="shared" si="650"/>
        <v>5.3559002384292509E-2</v>
      </c>
      <c r="CI234" s="147">
        <v>18</v>
      </c>
      <c r="CJ234" s="188">
        <f t="shared" si="710"/>
        <v>0.72</v>
      </c>
      <c r="CK234" s="188">
        <f t="shared" si="651"/>
        <v>0.153</v>
      </c>
      <c r="CL234" s="188">
        <f t="shared" si="652"/>
        <v>21.599999999999998</v>
      </c>
      <c r="CM234" s="188">
        <f t="shared" si="653"/>
        <v>0.91799999999999993</v>
      </c>
      <c r="CN234" s="465">
        <f t="shared" si="654"/>
        <v>48</v>
      </c>
      <c r="CO234" s="379">
        <f t="shared" si="655"/>
        <v>30.7</v>
      </c>
      <c r="CP234" s="379">
        <f t="shared" si="656"/>
        <v>78.7</v>
      </c>
      <c r="CQ234" s="379"/>
      <c r="CR234" s="188">
        <f t="shared" si="657"/>
        <v>0.38775510204081626</v>
      </c>
      <c r="CS234" s="149">
        <f t="shared" si="658"/>
        <v>270.50715642699197</v>
      </c>
      <c r="CT234" s="149">
        <f t="shared" si="659"/>
        <v>11.496554148147156</v>
      </c>
      <c r="CU234" s="188">
        <f t="shared" si="660"/>
        <v>9.0169052142330663</v>
      </c>
      <c r="CV234" s="188">
        <f t="shared" si="661"/>
        <v>45.084526071165328</v>
      </c>
      <c r="CW234" s="188">
        <f t="shared" si="662"/>
        <v>30</v>
      </c>
      <c r="CX234" s="188">
        <f t="shared" si="663"/>
        <v>2.419697368421053</v>
      </c>
      <c r="CY234" s="188">
        <f t="shared" si="664"/>
        <v>0.23692870065789476</v>
      </c>
      <c r="CZ234" s="188">
        <f t="shared" si="665"/>
        <v>0.37044226812960745</v>
      </c>
      <c r="DA234" s="172">
        <f t="shared" si="666"/>
        <v>350</v>
      </c>
      <c r="DB234" s="379">
        <f t="shared" si="667"/>
        <v>350</v>
      </c>
      <c r="DD234" s="188">
        <f t="shared" si="668"/>
        <v>11.382534575916392</v>
      </c>
      <c r="DE234" s="150">
        <f t="shared" si="669"/>
        <v>1.7426030132510437</v>
      </c>
      <c r="DF234" s="150">
        <f t="shared" si="670"/>
        <v>3.3296564353233258</v>
      </c>
      <c r="DG234" s="150"/>
      <c r="DH234" s="150">
        <f t="shared" si="671"/>
        <v>0.92784522751949461</v>
      </c>
      <c r="DI234" s="314">
        <f t="shared" si="672"/>
        <v>266.9604721276595</v>
      </c>
      <c r="DJ234" s="456">
        <f t="shared" si="673"/>
        <v>0.94395997276890675</v>
      </c>
      <c r="DL234" s="150">
        <f t="shared" si="674"/>
        <v>5.2323520140357713</v>
      </c>
      <c r="DM234" s="150">
        <f t="shared" si="675"/>
        <v>6.0606060606060606</v>
      </c>
      <c r="DN234" s="150">
        <f t="shared" si="676"/>
        <v>1.1525488412158054</v>
      </c>
      <c r="DP234" s="314">
        <f t="shared" si="677"/>
        <v>720</v>
      </c>
      <c r="DQ234" s="144">
        <f t="shared" si="678"/>
        <v>266.9604721276595</v>
      </c>
      <c r="DS234">
        <f t="shared" si="679"/>
        <v>720</v>
      </c>
      <c r="DT234">
        <f t="shared" si="680"/>
        <v>266.9604721276595</v>
      </c>
      <c r="DV234" s="5">
        <f t="shared" si="681"/>
        <v>3.7458729078131228</v>
      </c>
      <c r="DW234" s="5">
        <f t="shared" si="682"/>
        <v>0.59343434343434343</v>
      </c>
      <c r="DX234" s="5">
        <f t="shared" si="683"/>
        <v>3.1524385643787793</v>
      </c>
      <c r="DY234" s="150">
        <f t="shared" si="684"/>
        <v>0.15842351249999995</v>
      </c>
      <c r="EA234" s="5">
        <f t="shared" si="711"/>
        <v>1.4242424242424243</v>
      </c>
      <c r="EB234" s="5">
        <f t="shared" si="712"/>
        <v>1.5132575757575755</v>
      </c>
      <c r="EC234" s="5">
        <f t="shared" si="713"/>
        <v>0.83446903174732379</v>
      </c>
      <c r="ED234" s="5"/>
      <c r="EE234" s="150">
        <f t="shared" si="714"/>
        <v>1.3927246024185176</v>
      </c>
      <c r="EF234" s="150">
        <f t="shared" si="715"/>
        <v>3.0791167871194807</v>
      </c>
      <c r="EG234" s="150">
        <f t="shared" si="716"/>
        <v>0.61807348122986794</v>
      </c>
      <c r="EH234" s="150"/>
      <c r="EI234" s="456">
        <f t="shared" si="717"/>
        <v>2.3276181818181814E-2</v>
      </c>
      <c r="EJ234" s="456">
        <f t="shared" si="718"/>
        <v>2.419309054378723</v>
      </c>
      <c r="EK234" s="456">
        <f t="shared" si="719"/>
        <v>3.0700454294680848E-2</v>
      </c>
      <c r="EL234" s="456">
        <f t="shared" si="720"/>
        <v>0.85567093542189809</v>
      </c>
      <c r="EM234">
        <f t="shared" si="721"/>
        <v>2.1600000000000001E-2</v>
      </c>
      <c r="EN234" s="144">
        <f t="shared" si="722"/>
        <v>52.300454294680847</v>
      </c>
      <c r="EP234" s="144">
        <f t="shared" si="723"/>
        <v>3350.5566259134839</v>
      </c>
      <c r="EQ234" s="150">
        <f t="shared" si="724"/>
        <v>0.504</v>
      </c>
      <c r="ER234" s="150">
        <f t="shared" si="685"/>
        <v>7.3286999999999991E-2</v>
      </c>
      <c r="ES234" s="456"/>
      <c r="EU234" s="144">
        <f t="shared" si="725"/>
        <v>577.28700000000003</v>
      </c>
      <c r="EV234" s="456">
        <f t="shared" si="726"/>
        <v>2.715554545454545E-2</v>
      </c>
      <c r="EW234" s="456">
        <f t="shared" si="727"/>
        <v>0.13273344264209391</v>
      </c>
      <c r="EX234" s="456">
        <f t="shared" si="728"/>
        <v>1.9100741409980395E-3</v>
      </c>
      <c r="EY234" s="456">
        <f t="shared" si="729"/>
        <v>5.264747512643674</v>
      </c>
      <c r="EZ234" s="456"/>
      <c r="FA234" s="538">
        <f t="shared" si="730"/>
        <v>0.98057106382978687</v>
      </c>
      <c r="FB234" s="144">
        <f t="shared" si="731"/>
        <v>6407.1176387110991</v>
      </c>
      <c r="FC234" s="150">
        <f t="shared" si="732"/>
        <v>10.334961264624583</v>
      </c>
      <c r="FD234" s="5">
        <f t="shared" si="733"/>
        <v>22.517999999999997</v>
      </c>
      <c r="FE234" s="150">
        <f t="shared" si="734"/>
        <v>0.68541766505069768</v>
      </c>
      <c r="FF234" s="5">
        <f t="shared" si="735"/>
        <v>68.541766505069774</v>
      </c>
      <c r="FG234">
        <f t="shared" si="736"/>
        <v>18</v>
      </c>
      <c r="FI234" s="59">
        <f t="shared" si="686"/>
        <v>-50</v>
      </c>
    </row>
    <row r="235" spans="5:165">
      <c r="E235" s="147">
        <v>19</v>
      </c>
      <c r="F235" s="188">
        <f t="shared" si="687"/>
        <v>0.76</v>
      </c>
      <c r="G235" s="188">
        <f t="shared" si="615"/>
        <v>0.1615</v>
      </c>
      <c r="H235" s="188">
        <f t="shared" si="616"/>
        <v>22.8</v>
      </c>
      <c r="I235" s="188">
        <f t="shared" si="617"/>
        <v>0.96900000000000008</v>
      </c>
      <c r="J235" s="465">
        <f t="shared" si="618"/>
        <v>47.907994023579676</v>
      </c>
      <c r="K235" s="379">
        <f t="shared" si="619"/>
        <v>30.767461186454312</v>
      </c>
      <c r="L235" s="149">
        <f t="shared" si="620"/>
        <v>78.675455210033988</v>
      </c>
      <c r="M235" s="379"/>
      <c r="N235" s="188">
        <f t="shared" si="621"/>
        <v>0.39106810509474293</v>
      </c>
      <c r="O235" s="149">
        <f t="shared" si="622"/>
        <v>272.29545006455311</v>
      </c>
      <c r="P235" s="149">
        <f t="shared" si="623"/>
        <v>11.572556627743504</v>
      </c>
      <c r="Q235" s="188">
        <f t="shared" si="624"/>
        <v>9.0765150021517709</v>
      </c>
      <c r="R235" s="188">
        <f t="shared" si="625"/>
        <v>45.382575010758849</v>
      </c>
      <c r="S235" s="188">
        <f t="shared" si="626"/>
        <v>30</v>
      </c>
      <c r="T235" s="188">
        <f t="shared" si="627"/>
        <v>2.5373508471966653</v>
      </c>
      <c r="U235" s="188">
        <f t="shared" si="628"/>
        <v>0.24892607642797007</v>
      </c>
      <c r="V235" s="188">
        <f t="shared" si="629"/>
        <v>0.38760263349498175</v>
      </c>
      <c r="W235" s="172">
        <f t="shared" si="630"/>
        <v>350</v>
      </c>
      <c r="X235" s="379">
        <f t="shared" si="688"/>
        <v>350</v>
      </c>
      <c r="Z235" s="188">
        <f t="shared" si="631"/>
        <v>11.389233095253237</v>
      </c>
      <c r="AA235" s="150">
        <f t="shared" si="632"/>
        <v>1.7398054140150203</v>
      </c>
      <c r="AB235" s="150">
        <f t="shared" si="633"/>
        <v>3.3262672854725279</v>
      </c>
      <c r="AC235" s="150"/>
      <c r="AD235" s="150">
        <f t="shared" si="634"/>
        <v>0.92581082047124597</v>
      </c>
      <c r="AE235" s="314">
        <f t="shared" si="635"/>
        <v>282.41082758885346</v>
      </c>
      <c r="AF235" s="456">
        <f t="shared" si="636"/>
        <v>0.94189023229397884</v>
      </c>
      <c r="AH235" s="150">
        <f t="shared" si="637"/>
        <v>5.3757306706308396</v>
      </c>
      <c r="AI235" s="150">
        <f t="shared" si="638"/>
        <v>6.0606060606060606</v>
      </c>
      <c r="AJ235" s="150">
        <f t="shared" si="639"/>
        <v>1.161377615765059</v>
      </c>
      <c r="AL235" s="314">
        <f t="shared" si="640"/>
        <v>760</v>
      </c>
      <c r="AM235" s="144">
        <f t="shared" si="641"/>
        <v>282.41082758885346</v>
      </c>
      <c r="AO235">
        <f t="shared" si="642"/>
        <v>760</v>
      </c>
      <c r="AP235">
        <f t="shared" si="643"/>
        <v>282.41082758885346</v>
      </c>
      <c r="AR235" s="5">
        <f t="shared" si="614"/>
        <v>3.5409407229096952</v>
      </c>
      <c r="AS235" s="5">
        <f t="shared" si="602"/>
        <v>0.59457401766453877</v>
      </c>
      <c r="AT235" s="5">
        <f t="shared" si="603"/>
        <v>2.9463667052451563</v>
      </c>
      <c r="AU235" s="150">
        <f t="shared" si="604"/>
        <v>0.16791414039147196</v>
      </c>
      <c r="BA235" s="150">
        <f t="shared" si="689"/>
        <v>1.4338346247554139</v>
      </c>
      <c r="BB235" s="150">
        <f t="shared" si="690"/>
        <v>3.06170565000656</v>
      </c>
      <c r="BC235" s="150">
        <f t="shared" si="691"/>
        <v>0.61457853028400899</v>
      </c>
      <c r="BD235" s="150"/>
      <c r="BE235" s="456">
        <f t="shared" si="692"/>
        <v>2.467058077376998E-2</v>
      </c>
      <c r="BF235" s="456">
        <f t="shared" si="644"/>
        <v>2.4575339854940448</v>
      </c>
      <c r="BG235" s="456">
        <f t="shared" si="693"/>
        <v>3.2477245172718154E-2</v>
      </c>
      <c r="BH235" s="456">
        <f t="shared" si="694"/>
        <v>0.90462841765385316</v>
      </c>
      <c r="BI235">
        <f t="shared" si="695"/>
        <v>2.1558597310610852E-2</v>
      </c>
      <c r="BJ235" s="144">
        <f t="shared" si="696"/>
        <v>54.035842483329006</v>
      </c>
      <c r="BK235">
        <f t="shared" si="645"/>
        <v>3.4135030740771684</v>
      </c>
      <c r="BL235" s="144">
        <f t="shared" si="697"/>
        <v>3440.868826404997</v>
      </c>
      <c r="BM235" s="150">
        <f t="shared" si="646"/>
        <v>0.50965599999999989</v>
      </c>
      <c r="BN235" s="150">
        <f t="shared" si="647"/>
        <v>7.7358499999999997E-2</v>
      </c>
      <c r="BQ235" s="144">
        <f t="shared" si="698"/>
        <v>587.01449999999988</v>
      </c>
      <c r="BR235" s="456">
        <f t="shared" si="699"/>
        <v>2.8782344236064978E-2</v>
      </c>
      <c r="BS235" s="456">
        <f t="shared" si="700"/>
        <v>0.13123658082194928</v>
      </c>
      <c r="BT235" s="456">
        <f t="shared" si="701"/>
        <v>1.8885338494302629E-3</v>
      </c>
      <c r="BU235" s="456">
        <f t="shared" si="702"/>
        <v>6.0598727208256928</v>
      </c>
      <c r="BV235" s="456"/>
      <c r="BW235" s="538">
        <f t="shared" si="703"/>
        <v>1.0373216807671386</v>
      </c>
      <c r="BX235" s="144">
        <f t="shared" si="704"/>
        <v>7259.1018605002764</v>
      </c>
      <c r="BY235" s="150">
        <f t="shared" si="705"/>
        <v>11.286985186905273</v>
      </c>
      <c r="BZ235" s="5">
        <f t="shared" si="706"/>
        <v>23.769000000000002</v>
      </c>
      <c r="CA235" s="150">
        <f t="shared" si="707"/>
        <v>0.67802972511748483</v>
      </c>
      <c r="CB235" s="5">
        <f t="shared" si="708"/>
        <v>67.802972511748479</v>
      </c>
      <c r="CC235">
        <f t="shared" si="709"/>
        <v>19</v>
      </c>
      <c r="CE235" s="59">
        <f t="shared" si="648"/>
        <v>-50</v>
      </c>
      <c r="CG235" s="150">
        <f t="shared" si="649"/>
        <v>0.25904435000207976</v>
      </c>
      <c r="CH235" s="150">
        <f t="shared" si="650"/>
        <v>5.653450251675321E-2</v>
      </c>
      <c r="CI235" s="147">
        <v>19</v>
      </c>
      <c r="CJ235" s="188">
        <f t="shared" si="710"/>
        <v>0.76</v>
      </c>
      <c r="CK235" s="188">
        <f t="shared" si="651"/>
        <v>0.1615</v>
      </c>
      <c r="CL235" s="188">
        <f t="shared" si="652"/>
        <v>22.8</v>
      </c>
      <c r="CM235" s="188">
        <f t="shared" si="653"/>
        <v>0.96900000000000008</v>
      </c>
      <c r="CN235" s="465">
        <f t="shared" si="654"/>
        <v>48</v>
      </c>
      <c r="CO235" s="379">
        <f t="shared" si="655"/>
        <v>30.7</v>
      </c>
      <c r="CP235" s="379">
        <f t="shared" si="656"/>
        <v>78.7</v>
      </c>
      <c r="CQ235" s="379"/>
      <c r="CR235" s="188">
        <f t="shared" si="657"/>
        <v>0.38775510204081626</v>
      </c>
      <c r="CS235" s="149">
        <f t="shared" si="658"/>
        <v>270.50715642699197</v>
      </c>
      <c r="CT235" s="149">
        <f t="shared" si="659"/>
        <v>11.496554148147156</v>
      </c>
      <c r="CU235" s="188">
        <f t="shared" si="660"/>
        <v>9.0169052142330663</v>
      </c>
      <c r="CV235" s="188">
        <f t="shared" si="661"/>
        <v>45.084526071165328</v>
      </c>
      <c r="CW235" s="188">
        <f t="shared" si="662"/>
        <v>30</v>
      </c>
      <c r="CX235" s="188">
        <f t="shared" si="663"/>
        <v>2.5541250000000009</v>
      </c>
      <c r="CY235" s="188">
        <f t="shared" si="664"/>
        <v>0.25009140625000009</v>
      </c>
      <c r="CZ235" s="188">
        <f t="shared" si="665"/>
        <v>0.39102239413680795</v>
      </c>
      <c r="DA235" s="172">
        <f t="shared" si="666"/>
        <v>350</v>
      </c>
      <c r="DB235" s="379">
        <f t="shared" si="667"/>
        <v>350</v>
      </c>
      <c r="DD235" s="188">
        <f t="shared" si="668"/>
        <v>11.382534575916392</v>
      </c>
      <c r="DE235" s="150">
        <f t="shared" si="669"/>
        <v>1.7426030132510437</v>
      </c>
      <c r="DF235" s="150">
        <f t="shared" si="670"/>
        <v>3.3296564353233258</v>
      </c>
      <c r="DG235" s="150"/>
      <c r="DH235" s="150">
        <f t="shared" si="671"/>
        <v>0.92784522751949461</v>
      </c>
      <c r="DI235" s="314">
        <f t="shared" si="672"/>
        <v>281.79160946808508</v>
      </c>
      <c r="DJ235" s="456">
        <f t="shared" si="673"/>
        <v>0.94395997276890675</v>
      </c>
      <c r="DL235" s="150">
        <f t="shared" si="674"/>
        <v>5.3757306706308396</v>
      </c>
      <c r="DM235" s="150">
        <f t="shared" si="675"/>
        <v>6.0606060606060606</v>
      </c>
      <c r="DN235" s="150">
        <f t="shared" si="676"/>
        <v>1.1610237768389058</v>
      </c>
      <c r="DP235" s="314">
        <f t="shared" si="677"/>
        <v>760</v>
      </c>
      <c r="DQ235" s="144">
        <f t="shared" si="678"/>
        <v>281.79160946808508</v>
      </c>
      <c r="DS235">
        <f t="shared" si="679"/>
        <v>760</v>
      </c>
      <c r="DT235">
        <f t="shared" si="680"/>
        <v>281.79160946808508</v>
      </c>
      <c r="DV235" s="5">
        <f t="shared" si="681"/>
        <v>3.5487217021387472</v>
      </c>
      <c r="DW235" s="5">
        <f t="shared" si="682"/>
        <v>0.59343434343434343</v>
      </c>
      <c r="DX235" s="5">
        <f t="shared" si="683"/>
        <v>2.9552873587044037</v>
      </c>
      <c r="DY235" s="150">
        <f t="shared" si="684"/>
        <v>0.16722481874999998</v>
      </c>
      <c r="EA235" s="5">
        <f t="shared" si="711"/>
        <v>1.5033670033670032</v>
      </c>
      <c r="EB235" s="5">
        <f t="shared" si="712"/>
        <v>1.597327441077441</v>
      </c>
      <c r="EC235" s="5">
        <f t="shared" si="713"/>
        <v>0.82574205610858331</v>
      </c>
      <c r="ED235" s="5"/>
      <c r="EE235" s="150">
        <f t="shared" si="714"/>
        <v>1.4308885069046851</v>
      </c>
      <c r="EF235" s="150">
        <f t="shared" si="715"/>
        <v>3.0629735858948139</v>
      </c>
      <c r="EG235" s="150">
        <f t="shared" si="716"/>
        <v>0.61483304403019345</v>
      </c>
      <c r="EH235" s="150"/>
      <c r="EI235" s="456">
        <f t="shared" si="717"/>
        <v>2.4569303030303028E-2</v>
      </c>
      <c r="EJ235" s="456">
        <f t="shared" si="718"/>
        <v>2.5537151129553188</v>
      </c>
      <c r="EK235" s="456">
        <f t="shared" si="719"/>
        <v>3.2406035088829784E-2</v>
      </c>
      <c r="EL235" s="456">
        <f t="shared" si="720"/>
        <v>0.90320820961200388</v>
      </c>
      <c r="EM235">
        <f t="shared" si="721"/>
        <v>2.1600000000000001E-2</v>
      </c>
      <c r="EN235" s="144">
        <f t="shared" si="722"/>
        <v>54.006035088829783</v>
      </c>
      <c r="EP235" s="144">
        <f t="shared" si="723"/>
        <v>3535.4986606864559</v>
      </c>
      <c r="EQ235" s="150">
        <f t="shared" si="724"/>
        <v>0.53199999999999992</v>
      </c>
      <c r="ER235" s="150">
        <f t="shared" si="685"/>
        <v>7.7358499999999997E-2</v>
      </c>
      <c r="ES235" s="456"/>
      <c r="EU235" s="144">
        <f t="shared" si="725"/>
        <v>609.35849999999994</v>
      </c>
      <c r="EV235" s="456">
        <f t="shared" si="726"/>
        <v>2.8664186868686867E-2</v>
      </c>
      <c r="EW235" s="456">
        <f t="shared" si="727"/>
        <v>0.13134530063045069</v>
      </c>
      <c r="EX235" s="456">
        <f t="shared" si="728"/>
        <v>1.8900983601571693E-3</v>
      </c>
      <c r="EY235" s="456">
        <f t="shared" si="729"/>
        <v>6.0267099111842954</v>
      </c>
      <c r="EZ235" s="456"/>
      <c r="FA235" s="538">
        <f t="shared" si="730"/>
        <v>1.0350472340425532</v>
      </c>
      <c r="FB235" s="144">
        <f t="shared" si="731"/>
        <v>7223.6567310861428</v>
      </c>
      <c r="FC235" s="150">
        <f t="shared" si="732"/>
        <v>11.368513891772599</v>
      </c>
      <c r="FD235" s="5">
        <f t="shared" si="733"/>
        <v>23.769000000000002</v>
      </c>
      <c r="FE235" s="150">
        <f t="shared" si="734"/>
        <v>0.67645650950750613</v>
      </c>
      <c r="FF235" s="5">
        <f t="shared" si="735"/>
        <v>67.645650950750607</v>
      </c>
      <c r="FG235">
        <f t="shared" si="736"/>
        <v>19</v>
      </c>
      <c r="FI235" s="59">
        <f t="shared" si="686"/>
        <v>-50</v>
      </c>
    </row>
    <row r="236" spans="5:165">
      <c r="E236" s="147">
        <v>20</v>
      </c>
      <c r="F236" s="188">
        <f t="shared" si="687"/>
        <v>0.8</v>
      </c>
      <c r="G236" s="188">
        <f t="shared" si="615"/>
        <v>0.17</v>
      </c>
      <c r="H236" s="188">
        <f t="shared" si="616"/>
        <v>24</v>
      </c>
      <c r="I236" s="188">
        <f t="shared" si="617"/>
        <v>1.02</v>
      </c>
      <c r="J236" s="465">
        <f t="shared" si="618"/>
        <v>47.907994023579676</v>
      </c>
      <c r="K236" s="379">
        <f t="shared" si="619"/>
        <v>30.767461186454312</v>
      </c>
      <c r="L236" s="149">
        <f t="shared" si="620"/>
        <v>78.675455210033988</v>
      </c>
      <c r="M236" s="379"/>
      <c r="N236" s="188">
        <f t="shared" si="621"/>
        <v>0.39106810509474293</v>
      </c>
      <c r="O236" s="149">
        <f t="shared" si="622"/>
        <v>272.29545006455311</v>
      </c>
      <c r="P236" s="149">
        <f t="shared" si="623"/>
        <v>11.572556627743504</v>
      </c>
      <c r="Q236" s="188">
        <f t="shared" si="624"/>
        <v>9.0765150021517709</v>
      </c>
      <c r="R236" s="188">
        <f t="shared" si="625"/>
        <v>45.382575010758849</v>
      </c>
      <c r="S236" s="188">
        <f t="shared" si="626"/>
        <v>30</v>
      </c>
      <c r="T236" s="188">
        <f t="shared" si="627"/>
        <v>2.6708956286280685</v>
      </c>
      <c r="U236" s="188">
        <f t="shared" si="628"/>
        <v>0.26202744887154739</v>
      </c>
      <c r="V236" s="188">
        <f t="shared" si="629"/>
        <v>0.40800277209998076</v>
      </c>
      <c r="W236" s="172">
        <f t="shared" si="630"/>
        <v>350</v>
      </c>
      <c r="X236" s="379">
        <f t="shared" si="688"/>
        <v>350</v>
      </c>
      <c r="Z236" s="188">
        <f t="shared" si="631"/>
        <v>11.389233095253237</v>
      </c>
      <c r="AA236" s="150">
        <f t="shared" si="632"/>
        <v>1.7398054140150203</v>
      </c>
      <c r="AB236" s="150">
        <f t="shared" si="633"/>
        <v>3.3262672854725279</v>
      </c>
      <c r="AC236" s="150"/>
      <c r="AD236" s="150">
        <f t="shared" si="634"/>
        <v>0.92581082047124597</v>
      </c>
      <c r="AE236" s="314">
        <f t="shared" si="635"/>
        <v>297.27455535668781</v>
      </c>
      <c r="AF236" s="456">
        <f t="shared" si="636"/>
        <v>0.94189023229397884</v>
      </c>
      <c r="AH236" s="150">
        <f t="shared" si="637"/>
        <v>5.5153832947074486</v>
      </c>
      <c r="AI236" s="150">
        <f t="shared" si="638"/>
        <v>6.0606060606060606</v>
      </c>
      <c r="AJ236" s="150">
        <f t="shared" si="639"/>
        <v>1.1698711744895358</v>
      </c>
      <c r="AL236" s="314">
        <f t="shared" si="640"/>
        <v>800</v>
      </c>
      <c r="AM236" s="144">
        <f t="shared" si="641"/>
        <v>297.27455535668781</v>
      </c>
      <c r="AO236">
        <f t="shared" si="642"/>
        <v>800</v>
      </c>
      <c r="AP236">
        <f t="shared" si="643"/>
        <v>297.27455535668781</v>
      </c>
      <c r="AR236" s="5">
        <f t="shared" si="614"/>
        <v>3.3638936867642109</v>
      </c>
      <c r="AS236" s="5">
        <f t="shared" si="602"/>
        <v>0.59457401766453877</v>
      </c>
      <c r="AT236" s="5">
        <f t="shared" si="603"/>
        <v>2.769319669099672</v>
      </c>
      <c r="AU236" s="150">
        <f t="shared" si="604"/>
        <v>0.17675172672786521</v>
      </c>
      <c r="BA236" s="150">
        <f t="shared" si="689"/>
        <v>1.4710832854691949</v>
      </c>
      <c r="BB236" s="150">
        <f t="shared" si="690"/>
        <v>3.0454030546654804</v>
      </c>
      <c r="BC236" s="150">
        <f t="shared" si="691"/>
        <v>0.61130609778073619</v>
      </c>
      <c r="BD236" s="150"/>
      <c r="BE236" s="456">
        <f t="shared" si="692"/>
        <v>2.5969032393442087E-2</v>
      </c>
      <c r="BF236" s="456">
        <f t="shared" si="644"/>
        <v>2.5868778794674152</v>
      </c>
      <c r="BG236" s="456">
        <f t="shared" si="693"/>
        <v>3.4186573866019102E-2</v>
      </c>
      <c r="BH236" s="456">
        <f t="shared" si="694"/>
        <v>0.95224043963563476</v>
      </c>
      <c r="BI236">
        <f t="shared" si="695"/>
        <v>2.1558597310610852E-2</v>
      </c>
      <c r="BJ236" s="144">
        <f t="shared" si="696"/>
        <v>55.74517117662996</v>
      </c>
      <c r="BK236">
        <f t="shared" si="645"/>
        <v>3.5942765466982753</v>
      </c>
      <c r="BL236" s="144">
        <f t="shared" si="697"/>
        <v>3620.8325226731222</v>
      </c>
      <c r="BM236" s="150">
        <f t="shared" si="646"/>
        <v>0.53647999999999996</v>
      </c>
      <c r="BN236" s="150">
        <f t="shared" si="647"/>
        <v>8.1430000000000002E-2</v>
      </c>
      <c r="BQ236" s="144">
        <f t="shared" si="698"/>
        <v>617.91</v>
      </c>
      <c r="BR236" s="456">
        <f t="shared" si="699"/>
        <v>3.0297204459015768E-2</v>
      </c>
      <c r="BS236" s="456">
        <f t="shared" si="700"/>
        <v>0.12984271671512176</v>
      </c>
      <c r="BT236" s="456">
        <f t="shared" si="701"/>
        <v>1.868475725919555E-3</v>
      </c>
      <c r="BU236" s="456">
        <f t="shared" si="702"/>
        <v>6.8889731057712167</v>
      </c>
      <c r="BV236" s="456"/>
      <c r="BW236" s="538">
        <f t="shared" si="703"/>
        <v>1.0919175587022509</v>
      </c>
      <c r="BX236" s="144">
        <f t="shared" si="704"/>
        <v>8142.899061373525</v>
      </c>
      <c r="BY236" s="150">
        <f t="shared" si="705"/>
        <v>12.381641584046648</v>
      </c>
      <c r="BZ236" s="5">
        <f t="shared" si="706"/>
        <v>25.02</v>
      </c>
      <c r="CA236" s="150">
        <f t="shared" si="707"/>
        <v>0.66895459504836463</v>
      </c>
      <c r="CB236" s="5">
        <f t="shared" si="708"/>
        <v>66.895459504836467</v>
      </c>
      <c r="CC236">
        <f t="shared" si="709"/>
        <v>20</v>
      </c>
      <c r="CE236" s="59">
        <f t="shared" si="648"/>
        <v>-50</v>
      </c>
      <c r="CG236" s="150">
        <f t="shared" si="649"/>
        <v>0.27267826316008398</v>
      </c>
      <c r="CH236" s="150">
        <f t="shared" si="650"/>
        <v>5.9510002649213911E-2</v>
      </c>
      <c r="CI236" s="147">
        <v>20</v>
      </c>
      <c r="CJ236" s="188">
        <f t="shared" si="710"/>
        <v>0.8</v>
      </c>
      <c r="CK236" s="188">
        <f t="shared" si="651"/>
        <v>0.17</v>
      </c>
      <c r="CL236" s="188">
        <f t="shared" si="652"/>
        <v>24</v>
      </c>
      <c r="CM236" s="188">
        <f t="shared" si="653"/>
        <v>1.02</v>
      </c>
      <c r="CN236" s="465">
        <f t="shared" si="654"/>
        <v>48</v>
      </c>
      <c r="CO236" s="379">
        <f t="shared" si="655"/>
        <v>30.7</v>
      </c>
      <c r="CP236" s="379">
        <f t="shared" si="656"/>
        <v>78.7</v>
      </c>
      <c r="CQ236" s="379"/>
      <c r="CR236" s="188">
        <f t="shared" si="657"/>
        <v>0.38775510204081626</v>
      </c>
      <c r="CS236" s="149">
        <f t="shared" si="658"/>
        <v>270.50715642699197</v>
      </c>
      <c r="CT236" s="149">
        <f t="shared" si="659"/>
        <v>11.496554148147156</v>
      </c>
      <c r="CU236" s="188">
        <f t="shared" si="660"/>
        <v>9.0169052142330663</v>
      </c>
      <c r="CV236" s="188">
        <f t="shared" si="661"/>
        <v>45.084526071165328</v>
      </c>
      <c r="CW236" s="188">
        <f t="shared" si="662"/>
        <v>30</v>
      </c>
      <c r="CX236" s="188">
        <f t="shared" si="663"/>
        <v>2.6885526315789479</v>
      </c>
      <c r="CY236" s="188">
        <f t="shared" si="664"/>
        <v>0.26325411184210529</v>
      </c>
      <c r="CZ236" s="188">
        <f t="shared" si="665"/>
        <v>0.41160252014400828</v>
      </c>
      <c r="DA236" s="172">
        <f t="shared" si="666"/>
        <v>350</v>
      </c>
      <c r="DB236" s="379">
        <f t="shared" si="667"/>
        <v>350</v>
      </c>
      <c r="DD236" s="188">
        <f t="shared" si="668"/>
        <v>11.382534575916392</v>
      </c>
      <c r="DE236" s="150">
        <f t="shared" si="669"/>
        <v>1.7426030132510437</v>
      </c>
      <c r="DF236" s="150">
        <f t="shared" si="670"/>
        <v>3.3296564353233258</v>
      </c>
      <c r="DG236" s="150"/>
      <c r="DH236" s="150">
        <f t="shared" si="671"/>
        <v>0.92784522751949461</v>
      </c>
      <c r="DI236" s="314">
        <f t="shared" si="672"/>
        <v>296.62274680851067</v>
      </c>
      <c r="DJ236" s="456">
        <f t="shared" si="673"/>
        <v>0.94395997276890675</v>
      </c>
      <c r="DL236" s="150">
        <f t="shared" si="674"/>
        <v>5.5153832947074486</v>
      </c>
      <c r="DM236" s="150">
        <f t="shared" si="675"/>
        <v>6.0606060606060606</v>
      </c>
      <c r="DN236" s="150">
        <f t="shared" si="676"/>
        <v>1.1694987124620062</v>
      </c>
      <c r="DP236" s="314">
        <f t="shared" si="677"/>
        <v>800</v>
      </c>
      <c r="DQ236" s="144">
        <f t="shared" si="678"/>
        <v>296.62274680851067</v>
      </c>
      <c r="DS236">
        <f t="shared" si="679"/>
        <v>800</v>
      </c>
      <c r="DT236">
        <f t="shared" si="680"/>
        <v>296.62274680851067</v>
      </c>
      <c r="DV236" s="5">
        <f t="shared" si="681"/>
        <v>3.3712856170318091</v>
      </c>
      <c r="DW236" s="5">
        <f t="shared" si="682"/>
        <v>0.59343434343434343</v>
      </c>
      <c r="DX236" s="5">
        <f t="shared" si="683"/>
        <v>2.7778512735974656</v>
      </c>
      <c r="DY236" s="150">
        <f t="shared" si="684"/>
        <v>0.17602612500000003</v>
      </c>
      <c r="EA236" s="5">
        <f t="shared" si="711"/>
        <v>1.5824915824915824</v>
      </c>
      <c r="EB236" s="5">
        <f t="shared" si="712"/>
        <v>1.6813973063973067</v>
      </c>
      <c r="EC236" s="5">
        <f t="shared" si="713"/>
        <v>0.81701508046984272</v>
      </c>
      <c r="ED236" s="5"/>
      <c r="EE236" s="150">
        <f t="shared" si="714"/>
        <v>1.4680606323316556</v>
      </c>
      <c r="EF236" s="150">
        <f t="shared" si="715"/>
        <v>3.046744850993873</v>
      </c>
      <c r="EG236" s="150">
        <f t="shared" si="716"/>
        <v>0.61157543758988542</v>
      </c>
      <c r="EH236" s="150"/>
      <c r="EI236" s="456">
        <f t="shared" si="717"/>
        <v>2.5862424242424246E-2</v>
      </c>
      <c r="EJ236" s="456">
        <f t="shared" si="718"/>
        <v>2.6881211715319151</v>
      </c>
      <c r="EK236" s="456">
        <f t="shared" si="719"/>
        <v>3.411161588297873E-2</v>
      </c>
      <c r="EL236" s="456">
        <f t="shared" si="720"/>
        <v>0.95074548380210944</v>
      </c>
      <c r="EM236">
        <f t="shared" si="721"/>
        <v>2.1600000000000001E-2</v>
      </c>
      <c r="EN236" s="144">
        <f t="shared" si="722"/>
        <v>55.711615882978734</v>
      </c>
      <c r="EP236" s="144">
        <f t="shared" si="723"/>
        <v>3720.4406954594274</v>
      </c>
      <c r="EQ236" s="150">
        <f t="shared" si="724"/>
        <v>0.55999999999999994</v>
      </c>
      <c r="ER236" s="150">
        <f t="shared" si="685"/>
        <v>8.1430000000000002E-2</v>
      </c>
      <c r="ES236" s="456"/>
      <c r="EU236" s="144">
        <f t="shared" si="725"/>
        <v>641.42999999999995</v>
      </c>
      <c r="EV236" s="456">
        <f t="shared" si="726"/>
        <v>3.0172828282828287E-2</v>
      </c>
      <c r="EW236" s="456">
        <f t="shared" si="727"/>
        <v>0.12995715861880747</v>
      </c>
      <c r="EX236" s="456">
        <f t="shared" si="728"/>
        <v>1.8701225793162992E-3</v>
      </c>
      <c r="EY236" s="456">
        <f t="shared" si="729"/>
        <v>6.8512730229054064</v>
      </c>
      <c r="EZ236" s="456"/>
      <c r="FA236" s="538">
        <f t="shared" si="730"/>
        <v>1.0895234042553192</v>
      </c>
      <c r="FB236" s="144">
        <f t="shared" si="731"/>
        <v>8102.7965366416784</v>
      </c>
      <c r="FC236" s="150">
        <f t="shared" si="732"/>
        <v>12.464667232101105</v>
      </c>
      <c r="FD236" s="5">
        <f t="shared" si="733"/>
        <v>25.02</v>
      </c>
      <c r="FE236" s="150">
        <f t="shared" si="734"/>
        <v>0.66747291219310556</v>
      </c>
      <c r="FF236" s="5">
        <f t="shared" si="735"/>
        <v>66.747291219310554</v>
      </c>
      <c r="FG236">
        <f t="shared" si="736"/>
        <v>20</v>
      </c>
      <c r="FI236" s="59">
        <f t="shared" si="686"/>
        <v>-50</v>
      </c>
    </row>
    <row r="237" spans="5:165">
      <c r="E237" s="147">
        <v>21</v>
      </c>
      <c r="F237" s="188">
        <f t="shared" si="687"/>
        <v>0.84</v>
      </c>
      <c r="G237" s="188">
        <f t="shared" si="615"/>
        <v>0.17849999999999999</v>
      </c>
      <c r="H237" s="188">
        <f t="shared" si="616"/>
        <v>25.2</v>
      </c>
      <c r="I237" s="188">
        <f t="shared" si="617"/>
        <v>1.071</v>
      </c>
      <c r="J237" s="465">
        <f t="shared" si="618"/>
        <v>47.907994023579676</v>
      </c>
      <c r="K237" s="379">
        <f t="shared" si="619"/>
        <v>30.767461186454312</v>
      </c>
      <c r="L237" s="149">
        <f t="shared" si="620"/>
        <v>78.675455210033988</v>
      </c>
      <c r="M237" s="379"/>
      <c r="N237" s="188">
        <f t="shared" si="621"/>
        <v>0.39106810509474293</v>
      </c>
      <c r="O237" s="149">
        <f t="shared" si="622"/>
        <v>272.29545006455311</v>
      </c>
      <c r="P237" s="149">
        <f t="shared" si="623"/>
        <v>11.572556627743504</v>
      </c>
      <c r="Q237" s="188">
        <f t="shared" si="624"/>
        <v>9.0765150021517709</v>
      </c>
      <c r="R237" s="188">
        <f t="shared" si="625"/>
        <v>45.382575010758849</v>
      </c>
      <c r="S237" s="188">
        <f t="shared" si="626"/>
        <v>30</v>
      </c>
      <c r="T237" s="188">
        <f t="shared" si="627"/>
        <v>2.8044404100594722</v>
      </c>
      <c r="U237" s="188">
        <f t="shared" si="628"/>
        <v>0.27512882131512478</v>
      </c>
      <c r="V237" s="188">
        <f t="shared" si="629"/>
        <v>0.42840291070497977</v>
      </c>
      <c r="W237" s="172">
        <f t="shared" si="630"/>
        <v>350</v>
      </c>
      <c r="X237" s="379">
        <f t="shared" si="688"/>
        <v>350</v>
      </c>
      <c r="Z237" s="188">
        <f t="shared" si="631"/>
        <v>11.389233095253237</v>
      </c>
      <c r="AA237" s="150">
        <f t="shared" si="632"/>
        <v>1.7398054140150203</v>
      </c>
      <c r="AB237" s="150">
        <f t="shared" si="633"/>
        <v>3.3262672854725279</v>
      </c>
      <c r="AC237" s="150"/>
      <c r="AD237" s="150">
        <f t="shared" si="634"/>
        <v>0.92581082047124597</v>
      </c>
      <c r="AE237" s="314">
        <f t="shared" si="635"/>
        <v>312.13828312452222</v>
      </c>
      <c r="AF237" s="456">
        <f t="shared" si="636"/>
        <v>0.94189023229397884</v>
      </c>
      <c r="AH237" s="150">
        <f t="shared" si="637"/>
        <v>5.6515861076263265</v>
      </c>
      <c r="AI237" s="150">
        <f t="shared" si="638"/>
        <v>6.0606060606060606</v>
      </c>
      <c r="AJ237" s="150">
        <f t="shared" si="639"/>
        <v>1.1783647332140128</v>
      </c>
      <c r="AL237" s="314">
        <f t="shared" si="640"/>
        <v>840</v>
      </c>
      <c r="AM237" s="144">
        <f t="shared" si="641"/>
        <v>312.13828312452222</v>
      </c>
      <c r="AO237">
        <f t="shared" si="642"/>
        <v>840</v>
      </c>
      <c r="AP237">
        <f t="shared" si="643"/>
        <v>312.13828312452222</v>
      </c>
      <c r="AR237" s="5">
        <f t="shared" si="614"/>
        <v>3.2037082731087723</v>
      </c>
      <c r="AS237" s="5">
        <f t="shared" si="602"/>
        <v>0.59457401766453877</v>
      </c>
      <c r="AT237" s="5">
        <f t="shared" si="603"/>
        <v>2.6091342554442334</v>
      </c>
      <c r="AU237" s="150">
        <f t="shared" si="604"/>
        <v>0.18558931306425847</v>
      </c>
      <c r="BA237" s="150">
        <f t="shared" si="689"/>
        <v>1.5074117998828929</v>
      </c>
      <c r="BB237" s="150">
        <f t="shared" si="690"/>
        <v>3.0290127176110686</v>
      </c>
      <c r="BC237" s="150">
        <f t="shared" si="691"/>
        <v>0.60801605281585247</v>
      </c>
      <c r="BD237" s="150"/>
      <c r="BE237" s="456">
        <f t="shared" si="692"/>
        <v>2.7267484013114192E-2</v>
      </c>
      <c r="BF237" s="456">
        <f t="shared" si="644"/>
        <v>2.7162217734407861</v>
      </c>
      <c r="BG237" s="456">
        <f t="shared" si="693"/>
        <v>3.5895902559320063E-2</v>
      </c>
      <c r="BH237" s="456">
        <f t="shared" si="694"/>
        <v>0.99985246161741648</v>
      </c>
      <c r="BI237">
        <f t="shared" si="695"/>
        <v>2.1558597310610852E-2</v>
      </c>
      <c r="BJ237" s="144">
        <f t="shared" si="696"/>
        <v>57.454499869930913</v>
      </c>
      <c r="BK237">
        <f t="shared" si="645"/>
        <v>3.7751622882915306</v>
      </c>
      <c r="BL237" s="144">
        <f t="shared" si="697"/>
        <v>3800.7962189412478</v>
      </c>
      <c r="BM237" s="150">
        <f t="shared" si="646"/>
        <v>0.56330399999999992</v>
      </c>
      <c r="BN237" s="150">
        <f t="shared" si="647"/>
        <v>8.5501499999999994E-2</v>
      </c>
      <c r="BQ237" s="144">
        <f t="shared" si="698"/>
        <v>648.80549999999994</v>
      </c>
      <c r="BR237" s="456">
        <f t="shared" si="699"/>
        <v>3.1812064681966561E-2</v>
      </c>
      <c r="BS237" s="456">
        <f t="shared" si="700"/>
        <v>0.12844885260829428</v>
      </c>
      <c r="BT237" s="456">
        <f t="shared" si="701"/>
        <v>1.8484176024088476E-3</v>
      </c>
      <c r="BU237" s="456">
        <f t="shared" si="702"/>
        <v>7.7826542487750352</v>
      </c>
      <c r="BV237" s="456"/>
      <c r="BW237" s="538">
        <f t="shared" si="703"/>
        <v>1.1465134366373635</v>
      </c>
      <c r="BX237" s="144">
        <f t="shared" si="704"/>
        <v>9091.2770203050695</v>
      </c>
      <c r="BY237" s="150">
        <f t="shared" si="705"/>
        <v>13.540878739246317</v>
      </c>
      <c r="BZ237" s="5">
        <f t="shared" si="706"/>
        <v>26.271000000000001</v>
      </c>
      <c r="CA237" s="150">
        <f t="shared" si="707"/>
        <v>0.65987842905042815</v>
      </c>
      <c r="CB237" s="5">
        <f t="shared" si="708"/>
        <v>65.987842905042811</v>
      </c>
      <c r="CC237">
        <f t="shared" si="709"/>
        <v>21</v>
      </c>
      <c r="CE237" s="59">
        <f t="shared" si="648"/>
        <v>-50</v>
      </c>
      <c r="CG237" s="150">
        <f t="shared" si="649"/>
        <v>0.28631217631808814</v>
      </c>
      <c r="CH237" s="150">
        <f t="shared" si="650"/>
        <v>6.2485502781674605E-2</v>
      </c>
      <c r="CI237" s="147">
        <v>21</v>
      </c>
      <c r="CJ237" s="188">
        <f t="shared" si="710"/>
        <v>0.84</v>
      </c>
      <c r="CK237" s="188">
        <f t="shared" si="651"/>
        <v>0.17849999999999999</v>
      </c>
      <c r="CL237" s="188">
        <f t="shared" si="652"/>
        <v>25.2</v>
      </c>
      <c r="CM237" s="188">
        <f t="shared" si="653"/>
        <v>1.071</v>
      </c>
      <c r="CN237" s="465">
        <f t="shared" si="654"/>
        <v>48</v>
      </c>
      <c r="CO237" s="379">
        <f t="shared" si="655"/>
        <v>30.7</v>
      </c>
      <c r="CP237" s="379">
        <f t="shared" si="656"/>
        <v>78.7</v>
      </c>
      <c r="CQ237" s="379"/>
      <c r="CR237" s="188">
        <f t="shared" si="657"/>
        <v>0.38775510204081626</v>
      </c>
      <c r="CS237" s="149">
        <f t="shared" si="658"/>
        <v>270.50715642699197</v>
      </c>
      <c r="CT237" s="149">
        <f t="shared" si="659"/>
        <v>11.496554148147156</v>
      </c>
      <c r="CU237" s="188">
        <f t="shared" si="660"/>
        <v>9.0169052142330663</v>
      </c>
      <c r="CV237" s="188">
        <f t="shared" si="661"/>
        <v>45.084526071165328</v>
      </c>
      <c r="CW237" s="188">
        <f t="shared" si="662"/>
        <v>30</v>
      </c>
      <c r="CX237" s="188">
        <f t="shared" si="663"/>
        <v>2.8229802631578953</v>
      </c>
      <c r="CY237" s="188">
        <f t="shared" si="664"/>
        <v>0.27641681743421054</v>
      </c>
      <c r="CZ237" s="188">
        <f t="shared" si="665"/>
        <v>0.43218264615120872</v>
      </c>
      <c r="DA237" s="172">
        <f t="shared" si="666"/>
        <v>350</v>
      </c>
      <c r="DB237" s="379">
        <f t="shared" si="667"/>
        <v>350</v>
      </c>
      <c r="DD237" s="188">
        <f t="shared" si="668"/>
        <v>11.382534575916392</v>
      </c>
      <c r="DE237" s="150">
        <f t="shared" si="669"/>
        <v>1.7426030132510437</v>
      </c>
      <c r="DF237" s="150">
        <f t="shared" si="670"/>
        <v>3.3296564353233258</v>
      </c>
      <c r="DG237" s="150"/>
      <c r="DH237" s="150">
        <f t="shared" si="671"/>
        <v>0.92784522751949461</v>
      </c>
      <c r="DI237" s="314">
        <f t="shared" si="672"/>
        <v>311.4538841489362</v>
      </c>
      <c r="DJ237" s="456">
        <f t="shared" si="673"/>
        <v>0.94395997276890675</v>
      </c>
      <c r="DL237" s="150">
        <f t="shared" si="674"/>
        <v>5.6515861076263265</v>
      </c>
      <c r="DM237" s="150">
        <f t="shared" si="675"/>
        <v>6.0606060606060606</v>
      </c>
      <c r="DN237" s="150">
        <f t="shared" si="676"/>
        <v>1.1779736480851064</v>
      </c>
      <c r="DP237" s="314">
        <f t="shared" si="677"/>
        <v>840</v>
      </c>
      <c r="DQ237" s="144">
        <f t="shared" si="678"/>
        <v>311.4538841489362</v>
      </c>
      <c r="DS237">
        <f t="shared" si="679"/>
        <v>840</v>
      </c>
      <c r="DT237">
        <f t="shared" si="680"/>
        <v>311.4538841489362</v>
      </c>
      <c r="DV237" s="5">
        <f t="shared" si="681"/>
        <v>3.210748206696961</v>
      </c>
      <c r="DW237" s="5">
        <f t="shared" si="682"/>
        <v>0.59343434343434343</v>
      </c>
      <c r="DX237" s="5">
        <f t="shared" si="683"/>
        <v>2.6173138632626176</v>
      </c>
      <c r="DY237" s="150">
        <f t="shared" si="684"/>
        <v>0.18482743125000003</v>
      </c>
      <c r="EA237" s="5">
        <f t="shared" si="711"/>
        <v>1.6616161616161615</v>
      </c>
      <c r="EB237" s="5">
        <f t="shared" si="712"/>
        <v>1.7654671717171717</v>
      </c>
      <c r="EC237" s="5">
        <f t="shared" si="713"/>
        <v>0.80828810483110247</v>
      </c>
      <c r="ED237" s="5"/>
      <c r="EE237" s="150">
        <f t="shared" si="714"/>
        <v>1.5043145020945992</v>
      </c>
      <c r="EF237" s="150">
        <f t="shared" si="715"/>
        <v>3.0304292082518636</v>
      </c>
      <c r="EG237" s="150">
        <f t="shared" si="716"/>
        <v>0.60830038607178749</v>
      </c>
      <c r="EH237" s="150"/>
      <c r="EI237" s="456">
        <f t="shared" si="717"/>
        <v>2.715554545454546E-2</v>
      </c>
      <c r="EJ237" s="456">
        <f t="shared" si="718"/>
        <v>2.8225272301085118</v>
      </c>
      <c r="EK237" s="456">
        <f t="shared" si="719"/>
        <v>3.5817196677127669E-2</v>
      </c>
      <c r="EL237" s="456">
        <f t="shared" si="720"/>
        <v>0.99828275799221489</v>
      </c>
      <c r="EM237">
        <f t="shared" si="721"/>
        <v>2.1600000000000001E-2</v>
      </c>
      <c r="EN237" s="144">
        <f t="shared" si="722"/>
        <v>57.41719667712767</v>
      </c>
      <c r="EP237" s="144">
        <f t="shared" si="723"/>
        <v>3905.3827302323998</v>
      </c>
      <c r="EQ237" s="150">
        <f t="shared" si="724"/>
        <v>0.58799999999999997</v>
      </c>
      <c r="ER237" s="150">
        <f t="shared" si="685"/>
        <v>8.5501499999999994E-2</v>
      </c>
      <c r="ES237" s="456"/>
      <c r="EU237" s="144">
        <f t="shared" si="725"/>
        <v>673.50149999999996</v>
      </c>
      <c r="EV237" s="456">
        <f t="shared" si="726"/>
        <v>3.1681469696969701E-2</v>
      </c>
      <c r="EW237" s="456">
        <f t="shared" si="727"/>
        <v>0.12856901660716424</v>
      </c>
      <c r="EX237" s="456">
        <f t="shared" si="728"/>
        <v>1.8501467984754286E-3</v>
      </c>
      <c r="EY237" s="456">
        <f t="shared" si="729"/>
        <v>7.7400634728219444</v>
      </c>
      <c r="EZ237" s="456"/>
      <c r="FA237" s="538">
        <f t="shared" si="730"/>
        <v>1.1439995744680853</v>
      </c>
      <c r="FB237" s="144">
        <f t="shared" si="731"/>
        <v>9046.1636803926376</v>
      </c>
      <c r="FC237" s="150">
        <f t="shared" si="732"/>
        <v>13.625047910625039</v>
      </c>
      <c r="FD237" s="5">
        <f t="shared" si="733"/>
        <v>26.271000000000001</v>
      </c>
      <c r="FE237" s="150">
        <f t="shared" si="734"/>
        <v>0.65848627560434514</v>
      </c>
      <c r="FF237" s="5">
        <f t="shared" si="735"/>
        <v>65.848627560434508</v>
      </c>
      <c r="FG237">
        <f t="shared" si="736"/>
        <v>21</v>
      </c>
      <c r="FI237" s="59">
        <f t="shared" si="686"/>
        <v>-50</v>
      </c>
    </row>
    <row r="238" spans="5:165">
      <c r="E238" s="147">
        <v>22</v>
      </c>
      <c r="F238" s="188">
        <f t="shared" si="687"/>
        <v>0.88</v>
      </c>
      <c r="G238" s="188">
        <f t="shared" si="615"/>
        <v>0.187</v>
      </c>
      <c r="H238" s="188">
        <f t="shared" si="616"/>
        <v>26.4</v>
      </c>
      <c r="I238" s="188">
        <f t="shared" si="617"/>
        <v>1.1219999999999999</v>
      </c>
      <c r="J238" s="465">
        <f t="shared" si="618"/>
        <v>47.907994023579676</v>
      </c>
      <c r="K238" s="379">
        <f t="shared" si="619"/>
        <v>30.767461186454312</v>
      </c>
      <c r="L238" s="149">
        <f t="shared" si="620"/>
        <v>78.675455210033988</v>
      </c>
      <c r="M238" s="379"/>
      <c r="N238" s="188">
        <f t="shared" si="621"/>
        <v>0.39106810509474293</v>
      </c>
      <c r="O238" s="149">
        <f t="shared" si="622"/>
        <v>272.29545006455311</v>
      </c>
      <c r="P238" s="149">
        <f t="shared" si="623"/>
        <v>11.572556627743504</v>
      </c>
      <c r="Q238" s="188">
        <f t="shared" si="624"/>
        <v>9.0765150021517709</v>
      </c>
      <c r="R238" s="188">
        <f t="shared" si="625"/>
        <v>45.382575010758849</v>
      </c>
      <c r="S238" s="188">
        <f t="shared" si="626"/>
        <v>30</v>
      </c>
      <c r="T238" s="188">
        <f t="shared" si="627"/>
        <v>2.9379851914908754</v>
      </c>
      <c r="U238" s="188">
        <f t="shared" si="628"/>
        <v>0.28823019375870212</v>
      </c>
      <c r="V238" s="188">
        <f t="shared" si="629"/>
        <v>0.44880304930997877</v>
      </c>
      <c r="W238" s="172">
        <f t="shared" si="630"/>
        <v>350</v>
      </c>
      <c r="X238" s="379">
        <f t="shared" si="688"/>
        <v>350</v>
      </c>
      <c r="Z238" s="188">
        <f t="shared" si="631"/>
        <v>11.389233095253237</v>
      </c>
      <c r="AA238" s="150">
        <f t="shared" si="632"/>
        <v>1.7398054140150203</v>
      </c>
      <c r="AB238" s="150">
        <f t="shared" si="633"/>
        <v>3.3262672854725279</v>
      </c>
      <c r="AC238" s="150"/>
      <c r="AD238" s="150">
        <f t="shared" si="634"/>
        <v>0.92581082047124597</v>
      </c>
      <c r="AE238" s="314">
        <f t="shared" si="635"/>
        <v>327.00201089235662</v>
      </c>
      <c r="AF238" s="456">
        <f t="shared" si="636"/>
        <v>0.94189023229397884</v>
      </c>
      <c r="AH238" s="150">
        <f t="shared" si="637"/>
        <v>5.784582800539015</v>
      </c>
      <c r="AI238" s="150">
        <f t="shared" si="638"/>
        <v>6.0606060606060606</v>
      </c>
      <c r="AJ238" s="150">
        <f t="shared" si="639"/>
        <v>1.1868582919384896</v>
      </c>
      <c r="AL238" s="314">
        <f t="shared" si="640"/>
        <v>880</v>
      </c>
      <c r="AM238" s="144">
        <f t="shared" si="641"/>
        <v>327.00201089235662</v>
      </c>
      <c r="AO238">
        <f t="shared" si="642"/>
        <v>880</v>
      </c>
      <c r="AP238">
        <f t="shared" si="643"/>
        <v>327.00201089235662</v>
      </c>
      <c r="AR238" s="5">
        <f t="shared" si="614"/>
        <v>3.0580851697856462</v>
      </c>
      <c r="AS238" s="5">
        <f t="shared" si="602"/>
        <v>0.59457401766453877</v>
      </c>
      <c r="AT238" s="5">
        <f t="shared" si="603"/>
        <v>2.4635111521211073</v>
      </c>
      <c r="AU238" s="150">
        <f t="shared" si="604"/>
        <v>0.19442689940065172</v>
      </c>
      <c r="BA238" s="150">
        <f t="shared" si="689"/>
        <v>1.5428851661953082</v>
      </c>
      <c r="BB238" s="150">
        <f t="shared" si="690"/>
        <v>3.0125332067104829</v>
      </c>
      <c r="BC238" s="150">
        <f t="shared" si="691"/>
        <v>0.60470810791623097</v>
      </c>
      <c r="BD238" s="150"/>
      <c r="BE238" s="456">
        <f t="shared" si="692"/>
        <v>2.8565935632786289E-2</v>
      </c>
      <c r="BF238" s="456">
        <f t="shared" si="644"/>
        <v>2.845565667414157</v>
      </c>
      <c r="BG238" s="456">
        <f t="shared" si="693"/>
        <v>3.760523125262101E-2</v>
      </c>
      <c r="BH238" s="456">
        <f t="shared" si="694"/>
        <v>1.0474644835991984</v>
      </c>
      <c r="BI238">
        <f t="shared" si="695"/>
        <v>2.1558597310610852E-2</v>
      </c>
      <c r="BJ238" s="144">
        <f t="shared" si="696"/>
        <v>59.163828563231867</v>
      </c>
      <c r="BK238">
        <f t="shared" si="645"/>
        <v>3.9561604034760229</v>
      </c>
      <c r="BL238" s="144">
        <f t="shared" si="697"/>
        <v>3980.7599152093735</v>
      </c>
      <c r="BM238" s="150">
        <f t="shared" si="646"/>
        <v>0.59012799999999999</v>
      </c>
      <c r="BN238" s="150">
        <f t="shared" si="647"/>
        <v>8.9573E-2</v>
      </c>
      <c r="BQ238" s="144">
        <f t="shared" si="698"/>
        <v>679.70100000000002</v>
      </c>
      <c r="BR238" s="456">
        <f t="shared" si="699"/>
        <v>3.3326924904917336E-2</v>
      </c>
      <c r="BS238" s="456">
        <f t="shared" si="700"/>
        <v>0.12705498850146682</v>
      </c>
      <c r="BT238" s="456">
        <f t="shared" si="701"/>
        <v>1.8283594788981402E-3</v>
      </c>
      <c r="BU238" s="456">
        <f t="shared" si="702"/>
        <v>8.7425112972482495</v>
      </c>
      <c r="BV238" s="456"/>
      <c r="BW238" s="538">
        <f t="shared" si="703"/>
        <v>1.2011093145724763</v>
      </c>
      <c r="BX238" s="144">
        <f t="shared" si="704"/>
        <v>10105.830884706009</v>
      </c>
      <c r="BY238" s="150">
        <f t="shared" si="705"/>
        <v>14.766291799915383</v>
      </c>
      <c r="BZ238" s="5">
        <f t="shared" si="706"/>
        <v>27.521999999999998</v>
      </c>
      <c r="CA238" s="150">
        <f t="shared" si="707"/>
        <v>0.65081843764744041</v>
      </c>
      <c r="CB238" s="5">
        <f t="shared" si="708"/>
        <v>65.081843764744036</v>
      </c>
      <c r="CC238">
        <f t="shared" si="709"/>
        <v>22</v>
      </c>
      <c r="CE238" s="59">
        <f t="shared" si="648"/>
        <v>-50</v>
      </c>
      <c r="CG238" s="150">
        <f t="shared" si="649"/>
        <v>0.29994608947609236</v>
      </c>
      <c r="CH238" s="150">
        <f t="shared" si="650"/>
        <v>6.5461002914135286E-2</v>
      </c>
      <c r="CI238" s="147">
        <v>22</v>
      </c>
      <c r="CJ238" s="188">
        <f t="shared" si="710"/>
        <v>0.88</v>
      </c>
      <c r="CK238" s="188">
        <f t="shared" si="651"/>
        <v>0.187</v>
      </c>
      <c r="CL238" s="188">
        <f t="shared" si="652"/>
        <v>26.4</v>
      </c>
      <c r="CM238" s="188">
        <f t="shared" si="653"/>
        <v>1.1219999999999999</v>
      </c>
      <c r="CN238" s="465">
        <f t="shared" si="654"/>
        <v>48</v>
      </c>
      <c r="CO238" s="379">
        <f t="shared" si="655"/>
        <v>30.7</v>
      </c>
      <c r="CP238" s="379">
        <f t="shared" si="656"/>
        <v>78.7</v>
      </c>
      <c r="CQ238" s="379"/>
      <c r="CR238" s="188">
        <f t="shared" si="657"/>
        <v>0.38775510204081626</v>
      </c>
      <c r="CS238" s="149">
        <f t="shared" si="658"/>
        <v>270.50715642699197</v>
      </c>
      <c r="CT238" s="149">
        <f t="shared" si="659"/>
        <v>11.496554148147156</v>
      </c>
      <c r="CU238" s="188">
        <f t="shared" si="660"/>
        <v>9.0169052142330663</v>
      </c>
      <c r="CV238" s="188">
        <f t="shared" si="661"/>
        <v>45.084526071165328</v>
      </c>
      <c r="CW238" s="188">
        <f t="shared" si="662"/>
        <v>30</v>
      </c>
      <c r="CX238" s="188">
        <f t="shared" si="663"/>
        <v>2.9574078947368427</v>
      </c>
      <c r="CY238" s="188">
        <f t="shared" si="664"/>
        <v>0.2895795230263159</v>
      </c>
      <c r="CZ238" s="188">
        <f t="shared" si="665"/>
        <v>0.45276277215840915</v>
      </c>
      <c r="DA238" s="172">
        <f t="shared" si="666"/>
        <v>350</v>
      </c>
      <c r="DB238" s="379">
        <f t="shared" si="667"/>
        <v>350</v>
      </c>
      <c r="DD238" s="188">
        <f t="shared" si="668"/>
        <v>11.382534575916392</v>
      </c>
      <c r="DE238" s="150">
        <f t="shared" si="669"/>
        <v>1.7426030132510437</v>
      </c>
      <c r="DF238" s="150">
        <f t="shared" si="670"/>
        <v>3.3296564353233258</v>
      </c>
      <c r="DG238" s="150"/>
      <c r="DH238" s="150">
        <f t="shared" si="671"/>
        <v>0.92784522751949461</v>
      </c>
      <c r="DI238" s="314">
        <f t="shared" si="672"/>
        <v>326.28502148936172</v>
      </c>
      <c r="DJ238" s="456">
        <f t="shared" si="673"/>
        <v>0.94395997276890675</v>
      </c>
      <c r="DL238" s="150">
        <f t="shared" si="674"/>
        <v>5.784582800539015</v>
      </c>
      <c r="DM238" s="150">
        <f t="shared" si="675"/>
        <v>6.0606060606060606</v>
      </c>
      <c r="DN238" s="150">
        <f t="shared" si="676"/>
        <v>1.1864485837082066</v>
      </c>
      <c r="DP238" s="314">
        <f t="shared" si="677"/>
        <v>880</v>
      </c>
      <c r="DQ238" s="144">
        <f t="shared" si="678"/>
        <v>326.28502148936172</v>
      </c>
      <c r="DS238">
        <f t="shared" si="679"/>
        <v>880</v>
      </c>
      <c r="DT238">
        <f t="shared" si="680"/>
        <v>326.28502148936172</v>
      </c>
      <c r="DV238" s="5">
        <f t="shared" si="681"/>
        <v>3.0648051063925541</v>
      </c>
      <c r="DW238" s="5">
        <f t="shared" si="682"/>
        <v>0.59343434343434343</v>
      </c>
      <c r="DX238" s="5">
        <f t="shared" si="683"/>
        <v>2.4713707629582107</v>
      </c>
      <c r="DY238" s="150">
        <f t="shared" si="684"/>
        <v>0.19362873750000001</v>
      </c>
      <c r="EA238" s="5">
        <f t="shared" si="711"/>
        <v>1.7407407407407409</v>
      </c>
      <c r="EB238" s="5">
        <f t="shared" si="712"/>
        <v>1.8495370370370372</v>
      </c>
      <c r="EC238" s="5">
        <f t="shared" si="713"/>
        <v>0.79956112919236211</v>
      </c>
      <c r="ED238" s="5"/>
      <c r="EE238" s="150">
        <f t="shared" si="714"/>
        <v>1.5397149808397079</v>
      </c>
      <c r="EF238" s="150">
        <f t="shared" si="715"/>
        <v>3.0140252463100503</v>
      </c>
      <c r="EG238" s="150">
        <f t="shared" si="716"/>
        <v>0.60500760617277505</v>
      </c>
      <c r="EH238" s="150"/>
      <c r="EI238" s="456">
        <f t="shared" si="717"/>
        <v>2.8448666666666667E-2</v>
      </c>
      <c r="EJ238" s="456">
        <f t="shared" si="718"/>
        <v>2.9569332886851067</v>
      </c>
      <c r="EK238" s="456">
        <f t="shared" si="719"/>
        <v>3.7522777471276601E-2</v>
      </c>
      <c r="EL238" s="456">
        <f t="shared" si="720"/>
        <v>1.0458200321823203</v>
      </c>
      <c r="EM238">
        <f t="shared" si="721"/>
        <v>2.1600000000000001E-2</v>
      </c>
      <c r="EN238" s="144">
        <f t="shared" si="722"/>
        <v>59.122777471276599</v>
      </c>
      <c r="EP238" s="144">
        <f t="shared" si="723"/>
        <v>4090.3247650053709</v>
      </c>
      <c r="EQ238" s="150">
        <f t="shared" si="724"/>
        <v>0.61599999999999999</v>
      </c>
      <c r="ER238" s="150">
        <f t="shared" si="685"/>
        <v>8.9573E-2</v>
      </c>
      <c r="ES238" s="456"/>
      <c r="EU238" s="144">
        <f t="shared" si="725"/>
        <v>705.57299999999998</v>
      </c>
      <c r="EV238" s="456">
        <f t="shared" si="726"/>
        <v>3.3190111111111108E-2</v>
      </c>
      <c r="EW238" s="456">
        <f t="shared" si="727"/>
        <v>0.12718087459552105</v>
      </c>
      <c r="EX238" s="456">
        <f t="shared" si="728"/>
        <v>1.8301710176345585E-3</v>
      </c>
      <c r="EY238" s="456">
        <f t="shared" si="729"/>
        <v>8.6946676788597106</v>
      </c>
      <c r="EZ238" s="456"/>
      <c r="FA238" s="538">
        <f t="shared" si="730"/>
        <v>1.1984757446808512</v>
      </c>
      <c r="FB238" s="144">
        <f t="shared" si="731"/>
        <v>10055.344580264828</v>
      </c>
      <c r="FC238" s="150">
        <f t="shared" si="732"/>
        <v>14.851242345270199</v>
      </c>
      <c r="FD238" s="5">
        <f t="shared" si="733"/>
        <v>27.521999999999998</v>
      </c>
      <c r="FE238" s="150">
        <f t="shared" si="734"/>
        <v>0.6495136665667991</v>
      </c>
      <c r="FF238" s="5">
        <f t="shared" si="735"/>
        <v>64.951366656679909</v>
      </c>
      <c r="FG238">
        <f t="shared" si="736"/>
        <v>22</v>
      </c>
      <c r="FI238" s="59">
        <f t="shared" si="686"/>
        <v>-50</v>
      </c>
    </row>
    <row r="239" spans="5:165">
      <c r="E239" s="147">
        <v>23</v>
      </c>
      <c r="F239" s="188">
        <f t="shared" si="687"/>
        <v>0.92</v>
      </c>
      <c r="G239" s="188">
        <f t="shared" si="615"/>
        <v>0.19550000000000001</v>
      </c>
      <c r="H239" s="188">
        <f t="shared" si="616"/>
        <v>27.6</v>
      </c>
      <c r="I239" s="188">
        <f t="shared" si="617"/>
        <v>1.173</v>
      </c>
      <c r="J239" s="465">
        <f t="shared" si="618"/>
        <v>47.907994023579676</v>
      </c>
      <c r="K239" s="379">
        <f t="shared" si="619"/>
        <v>30.767461186454312</v>
      </c>
      <c r="L239" s="149">
        <f t="shared" si="620"/>
        <v>78.675455210033988</v>
      </c>
      <c r="M239" s="379"/>
      <c r="N239" s="188">
        <f t="shared" si="621"/>
        <v>0.39106810509474293</v>
      </c>
      <c r="O239" s="149">
        <f t="shared" si="622"/>
        <v>272.29545006455311</v>
      </c>
      <c r="P239" s="149">
        <f t="shared" si="623"/>
        <v>11.572556627743504</v>
      </c>
      <c r="Q239" s="188">
        <f t="shared" si="624"/>
        <v>9.0765150021517709</v>
      </c>
      <c r="R239" s="188">
        <f t="shared" si="625"/>
        <v>45.382575010758849</v>
      </c>
      <c r="S239" s="188">
        <f t="shared" si="626"/>
        <v>30</v>
      </c>
      <c r="T239" s="188">
        <f t="shared" si="627"/>
        <v>3.0715299729222791</v>
      </c>
      <c r="U239" s="188">
        <f t="shared" si="628"/>
        <v>0.30133156620227952</v>
      </c>
      <c r="V239" s="188">
        <f t="shared" si="629"/>
        <v>0.46920318791497789</v>
      </c>
      <c r="W239" s="172">
        <f t="shared" si="630"/>
        <v>350</v>
      </c>
      <c r="X239" s="379">
        <f t="shared" si="688"/>
        <v>350</v>
      </c>
      <c r="Z239" s="188">
        <f t="shared" si="631"/>
        <v>11.389233095253237</v>
      </c>
      <c r="AA239" s="150">
        <f t="shared" si="632"/>
        <v>1.7398054140150203</v>
      </c>
      <c r="AB239" s="150">
        <f t="shared" si="633"/>
        <v>3.3262672854725279</v>
      </c>
      <c r="AC239" s="150"/>
      <c r="AD239" s="150">
        <f t="shared" si="634"/>
        <v>0.92581082047124597</v>
      </c>
      <c r="AE239" s="314">
        <f t="shared" si="635"/>
        <v>341.86573866019103</v>
      </c>
      <c r="AF239" s="456">
        <f t="shared" si="636"/>
        <v>0.94189023229397884</v>
      </c>
      <c r="AH239" s="150">
        <f t="shared" si="637"/>
        <v>5.9145896578434503</v>
      </c>
      <c r="AI239" s="150">
        <f t="shared" si="638"/>
        <v>6.0606060606060606</v>
      </c>
      <c r="AJ239" s="150">
        <f t="shared" si="639"/>
        <v>1.1953518506629663</v>
      </c>
      <c r="AL239" s="314">
        <f t="shared" si="640"/>
        <v>920</v>
      </c>
      <c r="AM239" s="144">
        <f t="shared" si="641"/>
        <v>341.86573866019103</v>
      </c>
      <c r="AO239">
        <f t="shared" si="642"/>
        <v>920</v>
      </c>
      <c r="AP239">
        <f t="shared" si="643"/>
        <v>341.86573866019103</v>
      </c>
      <c r="AR239" s="5">
        <f t="shared" si="614"/>
        <v>2.9251249450123566</v>
      </c>
      <c r="AS239" s="5">
        <f t="shared" si="602"/>
        <v>0.59457401766453877</v>
      </c>
      <c r="AT239" s="5">
        <f t="shared" si="603"/>
        <v>2.3305509273478178</v>
      </c>
      <c r="AU239" s="150">
        <f t="shared" si="604"/>
        <v>0.20326448573704503</v>
      </c>
      <c r="BA239" s="150">
        <f t="shared" si="689"/>
        <v>1.5775610725752798</v>
      </c>
      <c r="BB239" s="150">
        <f t="shared" si="690"/>
        <v>2.9959630504425605</v>
      </c>
      <c r="BC239" s="150">
        <f t="shared" si="691"/>
        <v>0.60138196770229702</v>
      </c>
      <c r="BD239" s="150"/>
      <c r="BE239" s="456">
        <f t="shared" si="692"/>
        <v>2.9864387252458404E-2</v>
      </c>
      <c r="BF239" s="456">
        <f t="shared" si="644"/>
        <v>2.9749095613875274</v>
      </c>
      <c r="BG239" s="456">
        <f t="shared" si="693"/>
        <v>3.9314559945921972E-2</v>
      </c>
      <c r="BH239" s="456">
        <f t="shared" si="694"/>
        <v>1.0950765055809801</v>
      </c>
      <c r="BI239">
        <f t="shared" si="695"/>
        <v>2.1558597310610852E-2</v>
      </c>
      <c r="BJ239" s="144">
        <f t="shared" si="696"/>
        <v>60.873157256532821</v>
      </c>
      <c r="BK239">
        <f t="shared" si="645"/>
        <v>4.1372709970008668</v>
      </c>
      <c r="BL239" s="144">
        <f t="shared" si="697"/>
        <v>4160.7236114774987</v>
      </c>
      <c r="BM239" s="150">
        <f t="shared" si="646"/>
        <v>0.61695199999999994</v>
      </c>
      <c r="BN239" s="150">
        <f t="shared" si="647"/>
        <v>9.3644500000000006E-2</v>
      </c>
      <c r="BQ239" s="144">
        <f t="shared" si="698"/>
        <v>710.59649999999999</v>
      </c>
      <c r="BR239" s="456">
        <f t="shared" si="699"/>
        <v>3.484178512786814E-2</v>
      </c>
      <c r="BS239" s="456">
        <f t="shared" si="700"/>
        <v>0.12566112439463931</v>
      </c>
      <c r="BT239" s="456">
        <f t="shared" si="701"/>
        <v>1.808301355387433E-3</v>
      </c>
      <c r="BU239" s="456">
        <f t="shared" si="702"/>
        <v>9.770101828831061</v>
      </c>
      <c r="BV239" s="456"/>
      <c r="BW239" s="538">
        <f t="shared" si="703"/>
        <v>1.2557051925075888</v>
      </c>
      <c r="BX239" s="144">
        <f t="shared" si="704"/>
        <v>11188.118232216546</v>
      </c>
      <c r="BY239" s="150">
        <f t="shared" si="705"/>
        <v>16.05943834369404</v>
      </c>
      <c r="BZ239" s="5">
        <f t="shared" si="706"/>
        <v>28.773000000000003</v>
      </c>
      <c r="CA239" s="150">
        <f t="shared" si="707"/>
        <v>0.64178976346146255</v>
      </c>
      <c r="CB239" s="5">
        <f t="shared" si="708"/>
        <v>64.178976346146257</v>
      </c>
      <c r="CC239">
        <f t="shared" si="709"/>
        <v>23</v>
      </c>
      <c r="CE239" s="59">
        <f t="shared" si="648"/>
        <v>-50</v>
      </c>
      <c r="CG239" s="150">
        <f t="shared" si="649"/>
        <v>0.31358000263409658</v>
      </c>
      <c r="CH239" s="150">
        <f t="shared" si="650"/>
        <v>6.8436503046596001E-2</v>
      </c>
      <c r="CI239" s="147">
        <v>23</v>
      </c>
      <c r="CJ239" s="188">
        <f t="shared" si="710"/>
        <v>0.92</v>
      </c>
      <c r="CK239" s="188">
        <f t="shared" si="651"/>
        <v>0.19550000000000001</v>
      </c>
      <c r="CL239" s="188">
        <f t="shared" si="652"/>
        <v>27.6</v>
      </c>
      <c r="CM239" s="188">
        <f t="shared" si="653"/>
        <v>1.173</v>
      </c>
      <c r="CN239" s="465">
        <f t="shared" si="654"/>
        <v>48</v>
      </c>
      <c r="CO239" s="379">
        <f t="shared" si="655"/>
        <v>30.7</v>
      </c>
      <c r="CP239" s="379">
        <f t="shared" si="656"/>
        <v>78.7</v>
      </c>
      <c r="CQ239" s="379"/>
      <c r="CR239" s="188">
        <f t="shared" si="657"/>
        <v>0.38775510204081626</v>
      </c>
      <c r="CS239" s="149">
        <f t="shared" si="658"/>
        <v>270.50715642699197</v>
      </c>
      <c r="CT239" s="149">
        <f t="shared" si="659"/>
        <v>11.496554148147156</v>
      </c>
      <c r="CU239" s="188">
        <f t="shared" si="660"/>
        <v>9.0169052142330663</v>
      </c>
      <c r="CV239" s="188">
        <f t="shared" si="661"/>
        <v>45.084526071165328</v>
      </c>
      <c r="CW239" s="188">
        <f t="shared" si="662"/>
        <v>30</v>
      </c>
      <c r="CX239" s="188">
        <f t="shared" si="663"/>
        <v>3.0918355263157906</v>
      </c>
      <c r="CY239" s="188">
        <f t="shared" si="664"/>
        <v>0.30274222861842115</v>
      </c>
      <c r="CZ239" s="188">
        <f t="shared" si="665"/>
        <v>0.47334289816560959</v>
      </c>
      <c r="DA239" s="172">
        <f t="shared" si="666"/>
        <v>350</v>
      </c>
      <c r="DB239" s="379">
        <f t="shared" si="667"/>
        <v>350</v>
      </c>
      <c r="DD239" s="188">
        <f t="shared" si="668"/>
        <v>11.382534575916392</v>
      </c>
      <c r="DE239" s="150">
        <f t="shared" si="669"/>
        <v>1.7426030132510437</v>
      </c>
      <c r="DF239" s="150">
        <f t="shared" si="670"/>
        <v>3.3296564353233258</v>
      </c>
      <c r="DG239" s="150"/>
      <c r="DH239" s="150">
        <f t="shared" si="671"/>
        <v>0.92784522751949461</v>
      </c>
      <c r="DI239" s="314">
        <f t="shared" si="672"/>
        <v>341.11615882978725</v>
      </c>
      <c r="DJ239" s="456">
        <f t="shared" si="673"/>
        <v>0.94395997276890675</v>
      </c>
      <c r="DL239" s="150">
        <f t="shared" si="674"/>
        <v>5.9145896578434503</v>
      </c>
      <c r="DM239" s="150">
        <f t="shared" si="675"/>
        <v>6.0606060606060606</v>
      </c>
      <c r="DN239" s="150">
        <f t="shared" si="676"/>
        <v>1.194923519331307</v>
      </c>
      <c r="DP239" s="314">
        <f t="shared" si="677"/>
        <v>920</v>
      </c>
      <c r="DQ239" s="144">
        <f t="shared" si="678"/>
        <v>341.11615882978725</v>
      </c>
      <c r="DS239">
        <f t="shared" si="679"/>
        <v>920</v>
      </c>
      <c r="DT239">
        <f t="shared" si="680"/>
        <v>341.11615882978725</v>
      </c>
      <c r="DV239" s="5">
        <f t="shared" si="681"/>
        <v>2.9315527104624426</v>
      </c>
      <c r="DW239" s="5">
        <f t="shared" si="682"/>
        <v>0.59343434343434343</v>
      </c>
      <c r="DX239" s="5">
        <f t="shared" si="683"/>
        <v>2.3381183670280992</v>
      </c>
      <c r="DY239" s="150">
        <f t="shared" si="684"/>
        <v>0.20243004375000004</v>
      </c>
      <c r="EA239" s="5">
        <f t="shared" si="711"/>
        <v>1.8198653198653199</v>
      </c>
      <c r="EB239" s="5">
        <f t="shared" si="712"/>
        <v>1.9336069023569022</v>
      </c>
      <c r="EC239" s="5">
        <f t="shared" si="713"/>
        <v>0.79083415355362174</v>
      </c>
      <c r="ED239" s="5"/>
      <c r="EE239" s="150">
        <f t="shared" si="714"/>
        <v>1.5743196382032221</v>
      </c>
      <c r="EF239" s="150">
        <f t="shared" si="715"/>
        <v>2.9975315151909081</v>
      </c>
      <c r="EG239" s="150">
        <f t="shared" si="716"/>
        <v>0.60169680683774418</v>
      </c>
      <c r="EH239" s="150"/>
      <c r="EI239" s="456">
        <f t="shared" si="717"/>
        <v>2.9741787878787888E-2</v>
      </c>
      <c r="EJ239" s="456">
        <f t="shared" si="718"/>
        <v>3.0913393472617026</v>
      </c>
      <c r="EK239" s="456">
        <f t="shared" si="719"/>
        <v>3.9228358265425534E-2</v>
      </c>
      <c r="EL239" s="456">
        <f t="shared" si="720"/>
        <v>1.0933573063724258</v>
      </c>
      <c r="EM239">
        <f t="shared" si="721"/>
        <v>2.1600000000000001E-2</v>
      </c>
      <c r="EN239" s="144">
        <f t="shared" si="722"/>
        <v>60.828358265425535</v>
      </c>
      <c r="EP239" s="144">
        <f t="shared" si="723"/>
        <v>4275.2667997783428</v>
      </c>
      <c r="EQ239" s="150">
        <f t="shared" si="724"/>
        <v>0.64400000000000002</v>
      </c>
      <c r="ER239" s="150">
        <f t="shared" si="685"/>
        <v>9.3644500000000006E-2</v>
      </c>
      <c r="ES239" s="456"/>
      <c r="EU239" s="144">
        <f t="shared" si="725"/>
        <v>737.64449999999999</v>
      </c>
      <c r="EV239" s="456">
        <f t="shared" si="726"/>
        <v>3.4698752525252535E-2</v>
      </c>
      <c r="EW239" s="456">
        <f t="shared" si="727"/>
        <v>0.12579273258387783</v>
      </c>
      <c r="EX239" s="456">
        <f t="shared" si="728"/>
        <v>1.8101952367936883E-3</v>
      </c>
      <c r="EY239" s="456">
        <f t="shared" si="729"/>
        <v>9.7166346947750757</v>
      </c>
      <c r="EZ239" s="456"/>
      <c r="FA239" s="538">
        <f t="shared" si="730"/>
        <v>1.2529519148936172</v>
      </c>
      <c r="FB239" s="144">
        <f t="shared" si="731"/>
        <v>11131.888290014618</v>
      </c>
      <c r="FC239" s="150">
        <f t="shared" si="732"/>
        <v>16.14479958979296</v>
      </c>
      <c r="FD239" s="5">
        <f t="shared" si="733"/>
        <v>28.773000000000003</v>
      </c>
      <c r="FE239" s="150">
        <f t="shared" si="734"/>
        <v>0.64057011391400231</v>
      </c>
      <c r="FF239" s="5">
        <f t="shared" si="735"/>
        <v>64.057011391400238</v>
      </c>
      <c r="FG239">
        <f t="shared" si="736"/>
        <v>23</v>
      </c>
      <c r="FI239" s="59">
        <f t="shared" si="686"/>
        <v>-50</v>
      </c>
    </row>
    <row r="240" spans="5:165">
      <c r="E240" s="147">
        <v>24</v>
      </c>
      <c r="F240" s="188">
        <f t="shared" si="687"/>
        <v>0.96</v>
      </c>
      <c r="G240" s="188">
        <f t="shared" si="615"/>
        <v>0.20399999999999999</v>
      </c>
      <c r="H240" s="188">
        <f t="shared" si="616"/>
        <v>28.799999999999997</v>
      </c>
      <c r="I240" s="188">
        <f t="shared" si="617"/>
        <v>1.224</v>
      </c>
      <c r="J240" s="465">
        <f t="shared" si="618"/>
        <v>47.907215620942516</v>
      </c>
      <c r="K240" s="379">
        <f t="shared" si="619"/>
        <v>30.768031931611148</v>
      </c>
      <c r="L240" s="149">
        <f t="shared" si="620"/>
        <v>78.675247552553657</v>
      </c>
      <c r="M240" s="379"/>
      <c r="N240" s="188">
        <f t="shared" si="621"/>
        <v>0.39107639173373626</v>
      </c>
      <c r="O240" s="149">
        <f t="shared" si="622"/>
        <v>272.29679562601973</v>
      </c>
      <c r="P240" s="149">
        <f t="shared" si="623"/>
        <v>11.572613814105836</v>
      </c>
      <c r="Q240" s="188">
        <f t="shared" si="624"/>
        <v>9.0765598542006583</v>
      </c>
      <c r="R240" s="188">
        <f t="shared" si="625"/>
        <v>45.382799271003286</v>
      </c>
      <c r="S240" s="188">
        <f t="shared" si="626"/>
        <v>30</v>
      </c>
      <c r="T240" s="188">
        <f t="shared" si="627"/>
        <v>3.2050589163961432</v>
      </c>
      <c r="U240" s="188">
        <f t="shared" si="628"/>
        <v>0.31443649378939864</v>
      </c>
      <c r="V240" s="188">
        <f t="shared" si="629"/>
        <v>0.4895918250652006</v>
      </c>
      <c r="W240" s="172">
        <f t="shared" si="630"/>
        <v>350</v>
      </c>
      <c r="X240" s="379">
        <f t="shared" si="688"/>
        <v>350</v>
      </c>
      <c r="Z240" s="188">
        <f t="shared" si="631"/>
        <v>11.389289375713242</v>
      </c>
      <c r="AA240" s="150">
        <f t="shared" si="632"/>
        <v>1.7397817379036107</v>
      </c>
      <c r="AB240" s="150">
        <f t="shared" si="633"/>
        <v>3.3262384567136349</v>
      </c>
      <c r="AC240" s="150"/>
      <c r="AD240" s="150">
        <f t="shared" si="634"/>
        <v>0.92579364673575637</v>
      </c>
      <c r="AE240" s="314">
        <f t="shared" si="635"/>
        <v>356.73608386109953</v>
      </c>
      <c r="AF240" s="456">
        <f t="shared" si="636"/>
        <v>0.94187276028635925</v>
      </c>
      <c r="AH240" s="150">
        <f t="shared" si="637"/>
        <v>6.0417996875968658</v>
      </c>
      <c r="AI240" s="150">
        <f t="shared" si="638"/>
        <v>6.0606060606060606</v>
      </c>
      <c r="AJ240" s="150">
        <f t="shared" si="639"/>
        <v>1.2</v>
      </c>
      <c r="AL240" s="314">
        <f t="shared" si="640"/>
        <v>960</v>
      </c>
      <c r="AM240" s="144">
        <f t="shared" si="641"/>
        <v>350</v>
      </c>
      <c r="AO240">
        <f t="shared" si="642"/>
        <v>960</v>
      </c>
      <c r="AP240">
        <f t="shared" si="643"/>
        <v>350</v>
      </c>
      <c r="AR240" s="5">
        <f t="shared" si="614"/>
        <v>2.8571428571428572</v>
      </c>
      <c r="AS240" s="5">
        <f t="shared" si="602"/>
        <v>0.59458367838009785</v>
      </c>
      <c r="AT240" s="5">
        <f t="shared" si="603"/>
        <v>2.2625591787627592</v>
      </c>
      <c r="AU240" s="150">
        <f t="shared" si="604"/>
        <v>0.20810428743303425</v>
      </c>
      <c r="BA240" s="150">
        <f t="shared" si="689"/>
        <v>1.5962317403809201</v>
      </c>
      <c r="BB240" s="150">
        <f t="shared" si="690"/>
        <v>2.9868496408268594</v>
      </c>
      <c r="BC240" s="150">
        <f t="shared" si="691"/>
        <v>0.59955262597982217</v>
      </c>
      <c r="BD240" s="150"/>
      <c r="BE240" s="456">
        <f t="shared" si="692"/>
        <v>3.0575469227994014E-2</v>
      </c>
      <c r="BF240" s="456">
        <f t="shared" si="644"/>
        <v>3.0456857196481</v>
      </c>
      <c r="BG240" s="456">
        <f t="shared" si="693"/>
        <v>4.0250000000000001E-2</v>
      </c>
      <c r="BH240" s="456">
        <f t="shared" si="694"/>
        <v>1.1211265428416457</v>
      </c>
      <c r="BI240">
        <f t="shared" si="695"/>
        <v>2.1558247029424132E-2</v>
      </c>
      <c r="BJ240" s="144">
        <f t="shared" si="696"/>
        <v>61.80824702942413</v>
      </c>
      <c r="BK240">
        <f t="shared" si="645"/>
        <v>4.2364195589782065</v>
      </c>
      <c r="BL240" s="144">
        <f t="shared" si="697"/>
        <v>4259.1959787471642</v>
      </c>
      <c r="BM240" s="150">
        <f t="shared" si="646"/>
        <v>0.6437759999999999</v>
      </c>
      <c r="BN240" s="150">
        <f t="shared" si="647"/>
        <v>9.7715999999999983E-2</v>
      </c>
      <c r="BQ240" s="144">
        <f t="shared" si="698"/>
        <v>741.49199999999996</v>
      </c>
      <c r="BR240" s="456">
        <f t="shared" si="699"/>
        <v>3.5671380765993015E-2</v>
      </c>
      <c r="BS240" s="456">
        <f t="shared" si="700"/>
        <v>0.12489779087670555</v>
      </c>
      <c r="BT240" s="456">
        <f t="shared" si="701"/>
        <v>1.7973167565965027E-3</v>
      </c>
      <c r="BU240" s="456">
        <f t="shared" si="702"/>
        <v>10.361681881138685</v>
      </c>
      <c r="BV240" s="456"/>
      <c r="BW240" s="538">
        <f t="shared" si="703"/>
        <v>1.2855831037649221</v>
      </c>
      <c r="BX240" s="144">
        <f t="shared" si="704"/>
        <v>11809.631473302903</v>
      </c>
      <c r="BY240" s="150">
        <f t="shared" si="705"/>
        <v>16.810319452050067</v>
      </c>
      <c r="BZ240" s="5">
        <f t="shared" si="706"/>
        <v>30.023999999999997</v>
      </c>
      <c r="CA240" s="150">
        <f t="shared" si="707"/>
        <v>0.64106835225265058</v>
      </c>
      <c r="CB240" s="5">
        <f t="shared" si="708"/>
        <v>64.106835225265058</v>
      </c>
      <c r="CC240">
        <f t="shared" si="709"/>
        <v>24</v>
      </c>
      <c r="CE240" s="59">
        <f t="shared" si="648"/>
        <v>-50</v>
      </c>
      <c r="CG240" s="150">
        <f t="shared" si="649"/>
        <v>0.32446879665077194</v>
      </c>
      <c r="CH240" s="150">
        <f t="shared" si="650"/>
        <v>7.0812901345710416E-2</v>
      </c>
      <c r="CI240" s="147">
        <v>24</v>
      </c>
      <c r="CJ240" s="188">
        <f t="shared" si="710"/>
        <v>0.96</v>
      </c>
      <c r="CK240" s="188">
        <f t="shared" si="651"/>
        <v>0.20399999999999999</v>
      </c>
      <c r="CL240" s="188">
        <f t="shared" si="652"/>
        <v>28.799999999999997</v>
      </c>
      <c r="CM240" s="188">
        <f t="shared" si="653"/>
        <v>1.224</v>
      </c>
      <c r="CN240" s="465">
        <f t="shared" si="654"/>
        <v>48</v>
      </c>
      <c r="CO240" s="379">
        <f t="shared" si="655"/>
        <v>30.7</v>
      </c>
      <c r="CP240" s="379">
        <f t="shared" si="656"/>
        <v>78.7</v>
      </c>
      <c r="CQ240" s="379"/>
      <c r="CR240" s="188">
        <f t="shared" si="657"/>
        <v>0.38775510204081626</v>
      </c>
      <c r="CS240" s="149">
        <f t="shared" si="658"/>
        <v>270.50715642699197</v>
      </c>
      <c r="CT240" s="149">
        <f t="shared" si="659"/>
        <v>11.496554148147156</v>
      </c>
      <c r="CU240" s="188">
        <f t="shared" si="660"/>
        <v>9.0169052142330663</v>
      </c>
      <c r="CV240" s="188">
        <f t="shared" si="661"/>
        <v>45.084526071165328</v>
      </c>
      <c r="CW240" s="188">
        <f t="shared" si="662"/>
        <v>30</v>
      </c>
      <c r="CX240" s="188">
        <f t="shared" si="663"/>
        <v>3.2262631578947372</v>
      </c>
      <c r="CY240" s="188">
        <f t="shared" si="664"/>
        <v>0.31590493421052634</v>
      </c>
      <c r="CZ240" s="188">
        <f t="shared" si="665"/>
        <v>0.49392302417280998</v>
      </c>
      <c r="DA240" s="172">
        <f t="shared" si="666"/>
        <v>350</v>
      </c>
      <c r="DB240" s="379">
        <f t="shared" si="667"/>
        <v>350</v>
      </c>
      <c r="DD240" s="188">
        <f t="shared" si="668"/>
        <v>11.382534575916392</v>
      </c>
      <c r="DE240" s="150">
        <f t="shared" si="669"/>
        <v>1.7426030132510437</v>
      </c>
      <c r="DF240" s="150">
        <f t="shared" si="670"/>
        <v>3.3296564353233258</v>
      </c>
      <c r="DG240" s="150"/>
      <c r="DH240" s="150">
        <f t="shared" si="671"/>
        <v>0.92784522751949461</v>
      </c>
      <c r="DI240" s="314">
        <f t="shared" si="672"/>
        <v>355.94729617021278</v>
      </c>
      <c r="DJ240" s="456">
        <f t="shared" si="673"/>
        <v>0.94395997276890675</v>
      </c>
      <c r="DL240" s="150">
        <f t="shared" si="674"/>
        <v>6.0417996875968658</v>
      </c>
      <c r="DM240" s="150">
        <f t="shared" si="675"/>
        <v>6.0606060606060606</v>
      </c>
      <c r="DN240" s="150">
        <f t="shared" si="676"/>
        <v>1.2</v>
      </c>
      <c r="DP240" s="314">
        <f t="shared" si="677"/>
        <v>960</v>
      </c>
      <c r="DQ240" s="144">
        <f t="shared" si="678"/>
        <v>350</v>
      </c>
      <c r="DS240">
        <f t="shared" si="679"/>
        <v>960</v>
      </c>
      <c r="DT240">
        <f t="shared" si="680"/>
        <v>350</v>
      </c>
      <c r="DV240" s="5">
        <f t="shared" si="681"/>
        <v>2.8571428571428572</v>
      </c>
      <c r="DW240" s="5">
        <f t="shared" si="682"/>
        <v>0.59343434343434343</v>
      </c>
      <c r="DX240" s="5">
        <f t="shared" si="683"/>
        <v>2.2637085137085138</v>
      </c>
      <c r="DY240" s="150">
        <f t="shared" si="684"/>
        <v>0.20770202020202019</v>
      </c>
      <c r="EA240" s="5">
        <f t="shared" si="711"/>
        <v>1.898989898989899</v>
      </c>
      <c r="EB240" s="5">
        <f t="shared" si="712"/>
        <v>2.0176767676767677</v>
      </c>
      <c r="EC240" s="5">
        <f t="shared" si="713"/>
        <v>0.79895594601476949</v>
      </c>
      <c r="ED240" s="5"/>
      <c r="EE240" s="150">
        <f t="shared" si="714"/>
        <v>1.5946882298357692</v>
      </c>
      <c r="EF240" s="150">
        <f t="shared" si="715"/>
        <v>2.9876081745378951</v>
      </c>
      <c r="EG240" s="150">
        <f t="shared" si="716"/>
        <v>0.59970488703512581</v>
      </c>
      <c r="EH240" s="150"/>
      <c r="EI240" s="456">
        <f t="shared" si="717"/>
        <v>3.051636660452087E-2</v>
      </c>
      <c r="EJ240" s="456">
        <f t="shared" si="718"/>
        <v>3.1718484848484851</v>
      </c>
      <c r="EK240" s="456">
        <f t="shared" si="719"/>
        <v>4.0250000000000001E-2</v>
      </c>
      <c r="EL240" s="456">
        <f t="shared" si="720"/>
        <v>1.1218321012500001</v>
      </c>
      <c r="EM240">
        <f t="shared" si="721"/>
        <v>2.1600000000000001E-2</v>
      </c>
      <c r="EN240" s="144">
        <f t="shared" si="722"/>
        <v>61.85</v>
      </c>
      <c r="EP240" s="144">
        <f t="shared" si="723"/>
        <v>4386.0469527030064</v>
      </c>
      <c r="EQ240" s="150">
        <f t="shared" si="724"/>
        <v>0.67199999999999993</v>
      </c>
      <c r="ER240" s="150">
        <f t="shared" si="685"/>
        <v>9.7715999999999983E-2</v>
      </c>
      <c r="ES240" s="456"/>
      <c r="EU240" s="144">
        <f t="shared" si="725"/>
        <v>769.71600000000001</v>
      </c>
      <c r="EV240" s="456">
        <f t="shared" si="726"/>
        <v>3.5602427705274352E-2</v>
      </c>
      <c r="EW240" s="456">
        <f t="shared" si="727"/>
        <v>0.12496123646391916</v>
      </c>
      <c r="EX240" s="456">
        <f t="shared" si="728"/>
        <v>1.798229757669065E-3</v>
      </c>
      <c r="EY240" s="456">
        <f t="shared" si="729"/>
        <v>10.361681881138685</v>
      </c>
      <c r="EZ240" s="456"/>
      <c r="FA240" s="538">
        <f t="shared" si="730"/>
        <v>1.2855831037649221</v>
      </c>
      <c r="FB240" s="144">
        <f t="shared" si="731"/>
        <v>11809.62687883047</v>
      </c>
      <c r="FC240" s="150">
        <f t="shared" si="732"/>
        <v>16.965389831533475</v>
      </c>
      <c r="FD240" s="5">
        <f t="shared" si="733"/>
        <v>30.023999999999997</v>
      </c>
      <c r="FE240" s="150">
        <f t="shared" si="734"/>
        <v>0.638952753113887</v>
      </c>
      <c r="FF240" s="5">
        <f t="shared" si="735"/>
        <v>63.895275311388701</v>
      </c>
      <c r="FG240">
        <f t="shared" si="736"/>
        <v>24</v>
      </c>
      <c r="FI240" s="59">
        <f t="shared" si="686"/>
        <v>-50</v>
      </c>
    </row>
    <row r="241" spans="5:165">
      <c r="E241" s="147">
        <v>25</v>
      </c>
      <c r="F241" s="188">
        <f t="shared" si="687"/>
        <v>1</v>
      </c>
      <c r="G241" s="188">
        <f t="shared" si="615"/>
        <v>0.21249999999999999</v>
      </c>
      <c r="H241" s="188">
        <f t="shared" si="616"/>
        <v>30</v>
      </c>
      <c r="I241" s="188">
        <f t="shared" si="617"/>
        <v>1.2749999999999999</v>
      </c>
      <c r="J241" s="465">
        <f t="shared" si="618"/>
        <v>47.905302339670079</v>
      </c>
      <c r="K241" s="379">
        <f t="shared" si="619"/>
        <v>30.769434799443012</v>
      </c>
      <c r="L241" s="149">
        <f t="shared" si="620"/>
        <v>78.674737139113091</v>
      </c>
      <c r="M241" s="379"/>
      <c r="N241" s="188">
        <f t="shared" si="621"/>
        <v>0.39109676013326022</v>
      </c>
      <c r="O241" s="149">
        <f t="shared" si="622"/>
        <v>272.3001022927005</v>
      </c>
      <c r="P241" s="149">
        <f t="shared" si="623"/>
        <v>11.572754347439771</v>
      </c>
      <c r="Q241" s="188">
        <f t="shared" si="624"/>
        <v>9.0766700764233494</v>
      </c>
      <c r="R241" s="188">
        <f t="shared" si="625"/>
        <v>45.383350382116753</v>
      </c>
      <c r="S241" s="188">
        <f t="shared" si="626"/>
        <v>30</v>
      </c>
      <c r="T241" s="188">
        <f t="shared" si="627"/>
        <v>3.3385624957045006</v>
      </c>
      <c r="U241" s="188">
        <f t="shared" si="628"/>
        <v>0.32754711824075755</v>
      </c>
      <c r="V241" s="188">
        <f t="shared" si="629"/>
        <v>0.5099620396698088</v>
      </c>
      <c r="W241" s="172">
        <f t="shared" si="630"/>
        <v>350</v>
      </c>
      <c r="X241" s="379">
        <f t="shared" si="688"/>
        <v>350</v>
      </c>
      <c r="Z241" s="188">
        <f t="shared" si="631"/>
        <v>11.389427682826296</v>
      </c>
      <c r="AA241" s="150">
        <f t="shared" si="632"/>
        <v>1.7397235424763995</v>
      </c>
      <c r="AB241" s="150">
        <f t="shared" si="633"/>
        <v>3.3261675857558113</v>
      </c>
      <c r="AC241" s="150"/>
      <c r="AD241" s="150">
        <f t="shared" si="634"/>
        <v>0.92575143711655417</v>
      </c>
      <c r="AE241" s="314">
        <f t="shared" si="635"/>
        <v>371.6170304542411</v>
      </c>
      <c r="AF241" s="456">
        <f t="shared" si="636"/>
        <v>0.94182981757370543</v>
      </c>
      <c r="AH241" s="150">
        <f t="shared" si="637"/>
        <v>6.1663859844663058</v>
      </c>
      <c r="AI241" s="150">
        <f t="shared" si="638"/>
        <v>6.1663859844663058</v>
      </c>
      <c r="AJ241" s="150">
        <f t="shared" si="639"/>
        <v>1.2783554991557371</v>
      </c>
      <c r="AL241" s="314">
        <f t="shared" si="640"/>
        <v>1000</v>
      </c>
      <c r="AM241" s="144">
        <f t="shared" si="641"/>
        <v>350</v>
      </c>
      <c r="AO241">
        <f t="shared" si="642"/>
        <v>1000</v>
      </c>
      <c r="AP241">
        <f t="shared" si="643"/>
        <v>350</v>
      </c>
      <c r="AR241" s="5">
        <f t="shared" si="614"/>
        <v>2.8571428571428572</v>
      </c>
      <c r="AS241" s="5">
        <f t="shared" si="602"/>
        <v>0.60498551750067575</v>
      </c>
      <c r="AT241" s="5">
        <f t="shared" si="603"/>
        <v>2.2521573396421815</v>
      </c>
      <c r="AU241" s="150">
        <f t="shared" si="604"/>
        <v>0.21174493112523651</v>
      </c>
      <c r="BA241" s="150">
        <f t="shared" si="689"/>
        <v>1.6382364700772889</v>
      </c>
      <c r="BB241" s="150">
        <f t="shared" si="690"/>
        <v>3.0319874612657021</v>
      </c>
      <c r="BC241" s="150">
        <f t="shared" si="691"/>
        <v>0.60861317539791149</v>
      </c>
      <c r="BD241" s="150"/>
      <c r="BE241" s="456">
        <f t="shared" si="692"/>
        <v>3.2205824782695555E-2</v>
      </c>
      <c r="BF241" s="456">
        <f t="shared" si="644"/>
        <v>3.098824062172338</v>
      </c>
      <c r="BG241" s="456">
        <f t="shared" si="693"/>
        <v>4.0250000000000001E-2</v>
      </c>
      <c r="BH241" s="456">
        <f t="shared" si="694"/>
        <v>1.1211119960504345</v>
      </c>
      <c r="BI241">
        <f t="shared" si="695"/>
        <v>2.1557386052851533E-2</v>
      </c>
      <c r="BJ241" s="144">
        <f t="shared" si="696"/>
        <v>61.807386052851534</v>
      </c>
      <c r="BK241">
        <f t="shared" si="645"/>
        <v>4.2936932427989749</v>
      </c>
      <c r="BL241" s="144">
        <f t="shared" si="697"/>
        <v>4313.9492690583193</v>
      </c>
      <c r="BM241" s="150">
        <f t="shared" si="646"/>
        <v>0.67059999999999997</v>
      </c>
      <c r="BN241" s="150">
        <f t="shared" si="647"/>
        <v>0.10178749999999999</v>
      </c>
      <c r="BQ241" s="144">
        <f t="shared" si="698"/>
        <v>772.38750000000005</v>
      </c>
      <c r="BR241" s="456">
        <f t="shared" si="699"/>
        <v>3.7573462246478145E-2</v>
      </c>
      <c r="BS241" s="456">
        <f t="shared" si="700"/>
        <v>0.12870127151381411</v>
      </c>
      <c r="BT241" s="456">
        <f t="shared" si="701"/>
        <v>1.8520499863396449E-3</v>
      </c>
      <c r="BU241" s="456">
        <f t="shared" si="702"/>
        <v>10.819741374162291</v>
      </c>
      <c r="BV241" s="456"/>
      <c r="BW241" s="538">
        <f t="shared" si="703"/>
        <v>1.3308510638297872</v>
      </c>
      <c r="BX241" s="144">
        <f t="shared" si="704"/>
        <v>12318.719221738709</v>
      </c>
      <c r="BY241" s="150">
        <f t="shared" si="705"/>
        <v>17.405055990797031</v>
      </c>
      <c r="BZ241" s="5">
        <f t="shared" si="706"/>
        <v>31.274999999999999</v>
      </c>
      <c r="CA241" s="150">
        <f t="shared" si="707"/>
        <v>0.64246023065200542</v>
      </c>
      <c r="CB241" s="5">
        <f t="shared" si="708"/>
        <v>64.246023065200546</v>
      </c>
      <c r="CC241">
        <f t="shared" si="709"/>
        <v>25</v>
      </c>
      <c r="CE241" s="59">
        <f t="shared" si="648"/>
        <v>-50</v>
      </c>
      <c r="CG241" s="150">
        <f t="shared" si="649"/>
        <v>0.33115957885386116</v>
      </c>
      <c r="CH241" s="150">
        <f t="shared" si="650"/>
        <v>7.2273114792931151E-2</v>
      </c>
      <c r="CI241" s="147">
        <v>25</v>
      </c>
      <c r="CJ241" s="188">
        <f t="shared" si="710"/>
        <v>1</v>
      </c>
      <c r="CK241" s="188">
        <f t="shared" si="651"/>
        <v>0.21249999999999999</v>
      </c>
      <c r="CL241" s="188">
        <f t="shared" si="652"/>
        <v>30</v>
      </c>
      <c r="CM241" s="188">
        <f t="shared" si="653"/>
        <v>1.2749999999999999</v>
      </c>
      <c r="CN241" s="465">
        <f t="shared" si="654"/>
        <v>48</v>
      </c>
      <c r="CO241" s="379">
        <f t="shared" si="655"/>
        <v>30.7</v>
      </c>
      <c r="CP241" s="379">
        <f t="shared" si="656"/>
        <v>78.7</v>
      </c>
      <c r="CQ241" s="379"/>
      <c r="CR241" s="188">
        <f t="shared" si="657"/>
        <v>0.38775510204081626</v>
      </c>
      <c r="CS241" s="149">
        <f t="shared" si="658"/>
        <v>270.50715642699197</v>
      </c>
      <c r="CT241" s="149">
        <f t="shared" si="659"/>
        <v>11.496554148147156</v>
      </c>
      <c r="CU241" s="188">
        <f t="shared" si="660"/>
        <v>9.0169052142330663</v>
      </c>
      <c r="CV241" s="188">
        <f t="shared" si="661"/>
        <v>45.084526071165328</v>
      </c>
      <c r="CW241" s="188">
        <f t="shared" si="662"/>
        <v>30</v>
      </c>
      <c r="CX241" s="188">
        <f t="shared" si="663"/>
        <v>3.3606907894736846</v>
      </c>
      <c r="CY241" s="188">
        <f t="shared" si="664"/>
        <v>0.3290676398026316</v>
      </c>
      <c r="CZ241" s="188">
        <f t="shared" si="665"/>
        <v>0.51450315018001036</v>
      </c>
      <c r="DA241" s="172">
        <f t="shared" si="666"/>
        <v>350</v>
      </c>
      <c r="DB241" s="379">
        <f t="shared" si="667"/>
        <v>350</v>
      </c>
      <c r="DD241" s="188">
        <f t="shared" si="668"/>
        <v>11.382534575916392</v>
      </c>
      <c r="DE241" s="150">
        <f t="shared" si="669"/>
        <v>1.7426030132510437</v>
      </c>
      <c r="DF241" s="150">
        <f t="shared" si="670"/>
        <v>3.3296564353233258</v>
      </c>
      <c r="DG241" s="150"/>
      <c r="DH241" s="150">
        <f t="shared" si="671"/>
        <v>0.92784522751949461</v>
      </c>
      <c r="DI241" s="314">
        <f t="shared" si="672"/>
        <v>370.77843351063825</v>
      </c>
      <c r="DJ241" s="456">
        <f t="shared" si="673"/>
        <v>0.94395997276890675</v>
      </c>
      <c r="DL241" s="150">
        <f t="shared" si="674"/>
        <v>6.1663859844663058</v>
      </c>
      <c r="DM241" s="150">
        <f t="shared" si="675"/>
        <v>6.1663859844663058</v>
      </c>
      <c r="DN241" s="150">
        <f t="shared" si="676"/>
        <v>1.2783554991557371</v>
      </c>
      <c r="DP241" s="314">
        <f t="shared" si="677"/>
        <v>1000</v>
      </c>
      <c r="DQ241" s="144">
        <f t="shared" si="678"/>
        <v>350</v>
      </c>
      <c r="DS241">
        <f t="shared" si="679"/>
        <v>1000</v>
      </c>
      <c r="DT241">
        <f t="shared" si="680"/>
        <v>350</v>
      </c>
      <c r="DV241" s="5">
        <f t="shared" si="681"/>
        <v>2.8571428571428572</v>
      </c>
      <c r="DW241" s="5">
        <f t="shared" si="682"/>
        <v>0.60379196097899246</v>
      </c>
      <c r="DX241" s="5">
        <f t="shared" si="683"/>
        <v>2.2533508961638646</v>
      </c>
      <c r="DY241" s="150">
        <f t="shared" si="684"/>
        <v>0.21132718634264736</v>
      </c>
      <c r="EA241" s="5">
        <f t="shared" si="711"/>
        <v>2.0126398699299748</v>
      </c>
      <c r="EB241" s="5">
        <f t="shared" si="712"/>
        <v>2.1384298618005984</v>
      </c>
      <c r="EC241" s="5">
        <f t="shared" si="713"/>
        <v>0.82843782947200895</v>
      </c>
      <c r="ED241" s="5"/>
      <c r="EE241" s="150">
        <f t="shared" si="714"/>
        <v>1.6366196601539866</v>
      </c>
      <c r="EF241" s="150">
        <f t="shared" si="715"/>
        <v>3.0327907730523282</v>
      </c>
      <c r="EG241" s="150">
        <f t="shared" si="716"/>
        <v>0.60877442479077315</v>
      </c>
      <c r="EH241" s="150"/>
      <c r="EI241" s="456">
        <f t="shared" si="717"/>
        <v>3.214228694403061E-2</v>
      </c>
      <c r="EJ241" s="456">
        <f t="shared" si="718"/>
        <v>3.2272089369003636</v>
      </c>
      <c r="EK241" s="456">
        <f t="shared" si="719"/>
        <v>4.0250000000000001E-2</v>
      </c>
      <c r="EL241" s="456">
        <f t="shared" si="720"/>
        <v>1.1218321012500001</v>
      </c>
      <c r="EM241">
        <f t="shared" si="721"/>
        <v>2.1600000000000001E-2</v>
      </c>
      <c r="EN241" s="144">
        <f t="shared" si="722"/>
        <v>61.85</v>
      </c>
      <c r="EP241" s="144">
        <f t="shared" si="723"/>
        <v>4443.033325094395</v>
      </c>
      <c r="EQ241" s="150">
        <f t="shared" si="724"/>
        <v>0.7</v>
      </c>
      <c r="ER241" s="150">
        <f t="shared" si="685"/>
        <v>0.10178749999999999</v>
      </c>
      <c r="ES241" s="456"/>
      <c r="EU241" s="144">
        <f t="shared" si="725"/>
        <v>801.78750000000002</v>
      </c>
      <c r="EV241" s="456">
        <f t="shared" si="726"/>
        <v>3.7499334768035707E-2</v>
      </c>
      <c r="EW241" s="456">
        <f t="shared" si="727"/>
        <v>0.12876947822355875</v>
      </c>
      <c r="EX241" s="456">
        <f t="shared" si="728"/>
        <v>1.8530315013966837E-3</v>
      </c>
      <c r="EY241" s="456">
        <f t="shared" si="729"/>
        <v>10.819741374162291</v>
      </c>
      <c r="EZ241" s="456"/>
      <c r="FA241" s="538">
        <f t="shared" si="730"/>
        <v>1.3308510638297872</v>
      </c>
      <c r="FB241" s="144">
        <f t="shared" si="731"/>
        <v>12318.714282485069</v>
      </c>
      <c r="FC241" s="150">
        <f t="shared" si="732"/>
        <v>17.563535107579465</v>
      </c>
      <c r="FD241" s="5">
        <f t="shared" si="733"/>
        <v>31.274999999999999</v>
      </c>
      <c r="FE241" s="150">
        <f t="shared" si="734"/>
        <v>0.64037547258755312</v>
      </c>
      <c r="FF241" s="5">
        <f t="shared" si="735"/>
        <v>64.037547258755311</v>
      </c>
      <c r="FG241">
        <f t="shared" si="736"/>
        <v>25</v>
      </c>
      <c r="FI241" s="59">
        <f t="shared" si="686"/>
        <v>-50</v>
      </c>
    </row>
    <row r="242" spans="5:165">
      <c r="E242" s="147">
        <v>26</v>
      </c>
      <c r="F242" s="188">
        <f t="shared" si="687"/>
        <v>1.04</v>
      </c>
      <c r="G242" s="188">
        <f t="shared" si="615"/>
        <v>0.221</v>
      </c>
      <c r="H242" s="188">
        <f t="shared" si="616"/>
        <v>31.200000000000003</v>
      </c>
      <c r="I242" s="188">
        <f t="shared" si="617"/>
        <v>1.3260000000000001</v>
      </c>
      <c r="J242" s="465">
        <f t="shared" si="618"/>
        <v>47.903426956417228</v>
      </c>
      <c r="K242" s="379">
        <f t="shared" si="619"/>
        <v>30.770809879456465</v>
      </c>
      <c r="L242" s="149">
        <f t="shared" si="620"/>
        <v>78.6742368358737</v>
      </c>
      <c r="M242" s="379"/>
      <c r="N242" s="188">
        <f t="shared" si="621"/>
        <v>0.39111672533473701</v>
      </c>
      <c r="O242" s="149">
        <f t="shared" si="622"/>
        <v>272.30334254059551</v>
      </c>
      <c r="P242" s="149">
        <f t="shared" si="623"/>
        <v>11.572892057975308</v>
      </c>
      <c r="Q242" s="188">
        <f t="shared" si="624"/>
        <v>9.0767780846865165</v>
      </c>
      <c r="R242" s="188">
        <f t="shared" si="625"/>
        <v>45.383890423432582</v>
      </c>
      <c r="S242" s="188">
        <f t="shared" si="626"/>
        <v>30</v>
      </c>
      <c r="T242" s="188">
        <f t="shared" si="627"/>
        <v>3.4720636795473614</v>
      </c>
      <c r="U242" s="188">
        <f t="shared" si="628"/>
        <v>0.34065828544415899</v>
      </c>
      <c r="V242" s="188">
        <f t="shared" si="629"/>
        <v>0.53033050991509523</v>
      </c>
      <c r="W242" s="172">
        <f t="shared" si="630"/>
        <v>350</v>
      </c>
      <c r="X242" s="379">
        <f t="shared" si="688"/>
        <v>350</v>
      </c>
      <c r="Z242" s="188">
        <f t="shared" si="631"/>
        <v>11.389563211857554</v>
      </c>
      <c r="AA242" s="150">
        <f t="shared" si="632"/>
        <v>1.7396664990436084</v>
      </c>
      <c r="AB242" s="150">
        <f t="shared" si="633"/>
        <v>3.3260981033298984</v>
      </c>
      <c r="AC242" s="150"/>
      <c r="AD242" s="150">
        <f t="shared" si="634"/>
        <v>0.92571006731499261</v>
      </c>
      <c r="AE242" s="314">
        <f t="shared" si="635"/>
        <v>386.49898346439363</v>
      </c>
      <c r="AF242" s="456">
        <f t="shared" si="636"/>
        <v>0.94178772926458076</v>
      </c>
      <c r="AH242" s="150">
        <f t="shared" si="637"/>
        <v>6.2885044926277498</v>
      </c>
      <c r="AI242" s="150">
        <f t="shared" si="638"/>
        <v>6.2885044926277498</v>
      </c>
      <c r="AJ242" s="150">
        <f t="shared" si="639"/>
        <v>1.3688136533493993</v>
      </c>
      <c r="AL242" s="314">
        <f t="shared" si="640"/>
        <v>1040</v>
      </c>
      <c r="AM242" s="144">
        <f t="shared" si="641"/>
        <v>350</v>
      </c>
      <c r="AO242">
        <f t="shared" si="642"/>
        <v>1040</v>
      </c>
      <c r="AP242">
        <f t="shared" si="643"/>
        <v>350</v>
      </c>
      <c r="AR242" s="5">
        <f t="shared" si="614"/>
        <v>2.8571428571428572</v>
      </c>
      <c r="AS242" s="5">
        <f t="shared" si="602"/>
        <v>0.61699074561493472</v>
      </c>
      <c r="AT242" s="5">
        <f t="shared" si="603"/>
        <v>2.2401521115279226</v>
      </c>
      <c r="AU242" s="150">
        <f t="shared" si="604"/>
        <v>0.21594676096522714</v>
      </c>
      <c r="BA242" s="150">
        <f t="shared" si="689"/>
        <v>1.6871748593252571</v>
      </c>
      <c r="BB242" s="150">
        <f t="shared" si="690"/>
        <v>3.0837805232181354</v>
      </c>
      <c r="BC242" s="150">
        <f t="shared" si="691"/>
        <v>0.6190096365644403</v>
      </c>
      <c r="BD242" s="150"/>
      <c r="BE242" s="456">
        <f t="shared" si="692"/>
        <v>3.4158708071270416E-2</v>
      </c>
      <c r="BF242" s="456">
        <f t="shared" si="644"/>
        <v>3.1601727763498335</v>
      </c>
      <c r="BG242" s="456">
        <f t="shared" si="693"/>
        <v>4.0250000000000001E-2</v>
      </c>
      <c r="BH242" s="456">
        <f t="shared" si="694"/>
        <v>1.121097737491707</v>
      </c>
      <c r="BI242">
        <f t="shared" si="695"/>
        <v>2.1556542130387751E-2</v>
      </c>
      <c r="BJ242" s="144">
        <f t="shared" si="696"/>
        <v>61.806542130387747</v>
      </c>
      <c r="BK242">
        <f t="shared" si="645"/>
        <v>4.3600386219565852</v>
      </c>
      <c r="BL242" s="144">
        <f t="shared" si="697"/>
        <v>4377.2357640431992</v>
      </c>
      <c r="BM242" s="150">
        <f t="shared" si="646"/>
        <v>0.69742399999999993</v>
      </c>
      <c r="BN242" s="150">
        <f t="shared" si="647"/>
        <v>0.10585899999999999</v>
      </c>
      <c r="BQ242" s="144">
        <f t="shared" si="698"/>
        <v>803.28300000000002</v>
      </c>
      <c r="BR242" s="456">
        <f t="shared" si="699"/>
        <v>3.9851826083148814E-2</v>
      </c>
      <c r="BS242" s="456">
        <f t="shared" si="700"/>
        <v>0.13313583241531324</v>
      </c>
      <c r="BT242" s="456">
        <f t="shared" si="701"/>
        <v>1.9158646507982024E-3</v>
      </c>
      <c r="BU242" s="456">
        <f t="shared" si="702"/>
        <v>11.363406792063676</v>
      </c>
      <c r="BV242" s="456"/>
      <c r="BW242" s="538">
        <f t="shared" si="703"/>
        <v>1.3840851063829787</v>
      </c>
      <c r="BX242" s="144">
        <f t="shared" si="704"/>
        <v>12922.395421595915</v>
      </c>
      <c r="BY242" s="150">
        <f t="shared" si="705"/>
        <v>18.102914185639115</v>
      </c>
      <c r="BZ242" s="5">
        <f t="shared" si="706"/>
        <v>32.526000000000003</v>
      </c>
      <c r="CA242" s="150">
        <f t="shared" si="707"/>
        <v>0.64243921725712216</v>
      </c>
      <c r="CB242" s="5">
        <f t="shared" si="708"/>
        <v>64.243921725712212</v>
      </c>
      <c r="CC242">
        <f t="shared" si="709"/>
        <v>26</v>
      </c>
      <c r="CE242" s="59">
        <f t="shared" si="648"/>
        <v>-50</v>
      </c>
      <c r="CG242" s="150">
        <f t="shared" si="649"/>
        <v>0.33771783093780133</v>
      </c>
      <c r="CH242" s="150">
        <f t="shared" si="650"/>
        <v>7.3704404527457468E-2</v>
      </c>
      <c r="CI242" s="147">
        <v>26</v>
      </c>
      <c r="CJ242" s="188">
        <f t="shared" si="710"/>
        <v>1.04</v>
      </c>
      <c r="CK242" s="188">
        <f t="shared" si="651"/>
        <v>0.221</v>
      </c>
      <c r="CL242" s="188">
        <f t="shared" si="652"/>
        <v>31.200000000000003</v>
      </c>
      <c r="CM242" s="188">
        <f t="shared" si="653"/>
        <v>1.3260000000000001</v>
      </c>
      <c r="CN242" s="465">
        <f t="shared" si="654"/>
        <v>48</v>
      </c>
      <c r="CO242" s="379">
        <f t="shared" si="655"/>
        <v>30.7</v>
      </c>
      <c r="CP242" s="379">
        <f t="shared" si="656"/>
        <v>78.7</v>
      </c>
      <c r="CQ242" s="379"/>
      <c r="CR242" s="188">
        <f t="shared" si="657"/>
        <v>0.38775510204081626</v>
      </c>
      <c r="CS242" s="149">
        <f t="shared" si="658"/>
        <v>270.50715642699197</v>
      </c>
      <c r="CT242" s="149">
        <f t="shared" si="659"/>
        <v>11.496554148147156</v>
      </c>
      <c r="CU242" s="188">
        <f t="shared" si="660"/>
        <v>9.0169052142330663</v>
      </c>
      <c r="CV242" s="188">
        <f t="shared" si="661"/>
        <v>45.084526071165328</v>
      </c>
      <c r="CW242" s="188">
        <f t="shared" si="662"/>
        <v>30</v>
      </c>
      <c r="CX242" s="188">
        <f t="shared" si="663"/>
        <v>3.4951184210526329</v>
      </c>
      <c r="CY242" s="188">
        <f t="shared" si="664"/>
        <v>0.34223034539473701</v>
      </c>
      <c r="CZ242" s="188">
        <f t="shared" si="665"/>
        <v>0.53508327618721097</v>
      </c>
      <c r="DA242" s="172">
        <f t="shared" si="666"/>
        <v>350</v>
      </c>
      <c r="DB242" s="379">
        <f t="shared" si="667"/>
        <v>350</v>
      </c>
      <c r="DD242" s="188">
        <f t="shared" si="668"/>
        <v>11.382534575916392</v>
      </c>
      <c r="DE242" s="150">
        <f t="shared" si="669"/>
        <v>1.7426030132510437</v>
      </c>
      <c r="DF242" s="150">
        <f t="shared" si="670"/>
        <v>3.3296564353233258</v>
      </c>
      <c r="DG242" s="150"/>
      <c r="DH242" s="150">
        <f t="shared" si="671"/>
        <v>0.92784522751949461</v>
      </c>
      <c r="DI242" s="314">
        <f t="shared" si="672"/>
        <v>385.60957085106384</v>
      </c>
      <c r="DJ242" s="456">
        <f t="shared" si="673"/>
        <v>0.94395997276890675</v>
      </c>
      <c r="DL242" s="150">
        <f t="shared" si="674"/>
        <v>6.2885044926277498</v>
      </c>
      <c r="DM242" s="150">
        <f t="shared" si="675"/>
        <v>6.2885044926277498</v>
      </c>
      <c r="DN242" s="150">
        <f t="shared" si="676"/>
        <v>1.3688136533493993</v>
      </c>
      <c r="DP242" s="314">
        <f t="shared" si="677"/>
        <v>1040</v>
      </c>
      <c r="DQ242" s="144">
        <f t="shared" si="678"/>
        <v>350</v>
      </c>
      <c r="DS242">
        <f t="shared" si="679"/>
        <v>1040</v>
      </c>
      <c r="DT242">
        <f t="shared" si="680"/>
        <v>350</v>
      </c>
      <c r="DV242" s="5">
        <f t="shared" si="681"/>
        <v>2.8571428571428572</v>
      </c>
      <c r="DW242" s="5">
        <f t="shared" si="682"/>
        <v>0.61574939823646713</v>
      </c>
      <c r="DX242" s="5">
        <f t="shared" si="683"/>
        <v>2.2413934589063902</v>
      </c>
      <c r="DY242" s="150">
        <f t="shared" si="684"/>
        <v>0.21551228938276348</v>
      </c>
      <c r="EA242" s="5">
        <f t="shared" si="711"/>
        <v>2.1345979138864193</v>
      </c>
      <c r="EB242" s="5">
        <f t="shared" si="712"/>
        <v>2.2680102835043203</v>
      </c>
      <c r="EC242" s="5">
        <f t="shared" si="713"/>
        <v>0.85700338134656084</v>
      </c>
      <c r="ED242" s="5"/>
      <c r="EE242" s="150">
        <f t="shared" si="714"/>
        <v>1.6854767588265893</v>
      </c>
      <c r="EF242" s="150">
        <f t="shared" si="715"/>
        <v>3.0846348207191898</v>
      </c>
      <c r="EG242" s="150">
        <f t="shared" si="716"/>
        <v>0.61918112035897888</v>
      </c>
      <c r="EH242" s="150"/>
      <c r="EI242" s="456">
        <f t="shared" si="717"/>
        <v>3.4089982854535017E-2</v>
      </c>
      <c r="EJ242" s="456">
        <f t="shared" si="718"/>
        <v>3.2911202687391965</v>
      </c>
      <c r="EK242" s="456">
        <f t="shared" si="719"/>
        <v>4.0250000000000001E-2</v>
      </c>
      <c r="EL242" s="456">
        <f t="shared" si="720"/>
        <v>1.1218321012500001</v>
      </c>
      <c r="EM242">
        <f t="shared" si="721"/>
        <v>2.1600000000000001E-2</v>
      </c>
      <c r="EN242" s="144">
        <f t="shared" si="722"/>
        <v>61.85</v>
      </c>
      <c r="EP242" s="144">
        <f t="shared" si="723"/>
        <v>4508.8923528437317</v>
      </c>
      <c r="EQ242" s="150">
        <f t="shared" si="724"/>
        <v>0.72799999999999998</v>
      </c>
      <c r="ER242" s="150">
        <f t="shared" si="685"/>
        <v>0.10585899999999999</v>
      </c>
      <c r="ES242" s="456"/>
      <c r="EU242" s="144">
        <f t="shared" si="725"/>
        <v>833.85900000000004</v>
      </c>
      <c r="EV242" s="456">
        <f t="shared" si="726"/>
        <v>3.9771646663624184E-2</v>
      </c>
      <c r="EW242" s="456">
        <f t="shared" si="727"/>
        <v>0.13320960768070633</v>
      </c>
      <c r="EX242" s="456">
        <f t="shared" si="728"/>
        <v>1.9169262990450014E-3</v>
      </c>
      <c r="EY242" s="456">
        <f t="shared" si="729"/>
        <v>11.363406792063676</v>
      </c>
      <c r="EZ242" s="456"/>
      <c r="FA242" s="538">
        <f t="shared" si="730"/>
        <v>1.3840851063829787</v>
      </c>
      <c r="FB242" s="144">
        <f t="shared" si="731"/>
        <v>12922.390079090028</v>
      </c>
      <c r="FC242" s="150">
        <f t="shared" si="732"/>
        <v>18.265141431933763</v>
      </c>
      <c r="FD242" s="5">
        <f t="shared" si="733"/>
        <v>32.526000000000003</v>
      </c>
      <c r="FE242" s="150">
        <f t="shared" si="734"/>
        <v>0.64038726208956642</v>
      </c>
      <c r="FF242" s="5">
        <f t="shared" si="735"/>
        <v>64.038726208956646</v>
      </c>
      <c r="FG242">
        <f t="shared" si="736"/>
        <v>26</v>
      </c>
      <c r="FI242" s="59">
        <f t="shared" si="686"/>
        <v>-50</v>
      </c>
    </row>
    <row r="243" spans="5:165">
      <c r="E243" s="147">
        <v>27</v>
      </c>
      <c r="F243" s="188">
        <f t="shared" si="687"/>
        <v>1.08</v>
      </c>
      <c r="G243" s="188">
        <f t="shared" si="615"/>
        <v>0.22950000000000001</v>
      </c>
      <c r="H243" s="188">
        <f t="shared" si="616"/>
        <v>32.400000000000006</v>
      </c>
      <c r="I243" s="188">
        <f t="shared" si="617"/>
        <v>1.377</v>
      </c>
      <c r="J243" s="465">
        <f t="shared" si="618"/>
        <v>47.901587304570405</v>
      </c>
      <c r="K243" s="379">
        <f t="shared" si="619"/>
        <v>30.772158760269196</v>
      </c>
      <c r="L243" s="149">
        <f t="shared" si="620"/>
        <v>78.673746064839605</v>
      </c>
      <c r="M243" s="379"/>
      <c r="N243" s="188">
        <f t="shared" si="621"/>
        <v>0.39113631038883129</v>
      </c>
      <c r="O243" s="149">
        <f t="shared" si="622"/>
        <v>272.30652016682149</v>
      </c>
      <c r="P243" s="149">
        <f t="shared" si="623"/>
        <v>11.573027107089912</v>
      </c>
      <c r="Q243" s="188">
        <f t="shared" si="624"/>
        <v>9.0768840055607161</v>
      </c>
      <c r="R243" s="188">
        <f t="shared" si="625"/>
        <v>45.384420027803579</v>
      </c>
      <c r="S243" s="188">
        <f t="shared" si="626"/>
        <v>30</v>
      </c>
      <c r="T243" s="188">
        <f t="shared" si="627"/>
        <v>3.6055625154208459</v>
      </c>
      <c r="U243" s="188">
        <f t="shared" si="628"/>
        <v>0.35376998500550944</v>
      </c>
      <c r="V243" s="188">
        <f t="shared" si="629"/>
        <v>0.5506972700387085</v>
      </c>
      <c r="W243" s="172">
        <f t="shared" si="630"/>
        <v>350</v>
      </c>
      <c r="X243" s="379">
        <f t="shared" si="688"/>
        <v>350</v>
      </c>
      <c r="Z243" s="188">
        <f t="shared" si="631"/>
        <v>11.389696121628054</v>
      </c>
      <c r="AA243" s="150">
        <f t="shared" si="632"/>
        <v>1.7396105417461962</v>
      </c>
      <c r="AB243" s="150">
        <f t="shared" si="633"/>
        <v>3.3260299300549048</v>
      </c>
      <c r="AC243" s="150"/>
      <c r="AD243" s="150">
        <f t="shared" si="634"/>
        <v>0.9256694893185744</v>
      </c>
      <c r="AE243" s="314">
        <f t="shared" si="635"/>
        <v>401.38192334016742</v>
      </c>
      <c r="AF243" s="456">
        <f t="shared" si="636"/>
        <v>0.94174644651261119</v>
      </c>
      <c r="AH243" s="150">
        <f t="shared" si="637"/>
        <v>6.4082962945057638</v>
      </c>
      <c r="AI243" s="150">
        <f t="shared" si="638"/>
        <v>6.4082962945057638</v>
      </c>
      <c r="AJ243" s="150">
        <f t="shared" si="639"/>
        <v>1.4575483214071876</v>
      </c>
      <c r="AL243" s="314">
        <f t="shared" si="640"/>
        <v>1080</v>
      </c>
      <c r="AM243" s="144">
        <f t="shared" si="641"/>
        <v>350</v>
      </c>
      <c r="AO243">
        <f t="shared" si="642"/>
        <v>1080</v>
      </c>
      <c r="AP243">
        <f t="shared" si="643"/>
        <v>350</v>
      </c>
      <c r="AR243" s="5">
        <f t="shared" si="614"/>
        <v>2.8571428571428572</v>
      </c>
      <c r="AS243" s="5">
        <f t="shared" ref="AS243:AS306" si="737">L*AI243/J243*1000000</f>
        <v>0.62876815318609214</v>
      </c>
      <c r="AT243" s="5">
        <f t="shared" ref="AT243:AT306" si="738">AR243-AS243</f>
        <v>2.228374703956765</v>
      </c>
      <c r="AU243" s="150">
        <f t="shared" ref="AU243:AU306" si="739">AS243/AR243</f>
        <v>0.22006885361513223</v>
      </c>
      <c r="BA243" s="150">
        <f t="shared" si="689"/>
        <v>1.735646379897704</v>
      </c>
      <c r="BB243" s="150">
        <f t="shared" si="690"/>
        <v>3.1342528156446439</v>
      </c>
      <c r="BC243" s="150">
        <f t="shared" si="691"/>
        <v>0.62914097864805363</v>
      </c>
      <c r="BD243" s="150"/>
      <c r="BE243" s="456">
        <f t="shared" si="692"/>
        <v>3.6149620272624063E-2</v>
      </c>
      <c r="BF243" s="456">
        <f t="shared" si="644"/>
        <v>3.2203518640037965</v>
      </c>
      <c r="BG243" s="456">
        <f t="shared" si="693"/>
        <v>4.0250000000000001E-2</v>
      </c>
      <c r="BH243" s="456">
        <f t="shared" si="694"/>
        <v>1.121083750687335</v>
      </c>
      <c r="BI243">
        <f t="shared" si="695"/>
        <v>2.1555714287056681E-2</v>
      </c>
      <c r="BJ243" s="144">
        <f t="shared" si="696"/>
        <v>61.805714287056681</v>
      </c>
      <c r="BK243">
        <f t="shared" si="645"/>
        <v>4.4253556751467018</v>
      </c>
      <c r="BL243" s="144">
        <f t="shared" si="697"/>
        <v>4439.3909492508119</v>
      </c>
      <c r="BM243" s="150">
        <f t="shared" si="646"/>
        <v>0.724248</v>
      </c>
      <c r="BN243" s="150">
        <f t="shared" si="647"/>
        <v>0.1099305</v>
      </c>
      <c r="BQ243" s="144">
        <f t="shared" si="698"/>
        <v>834.1785000000001</v>
      </c>
      <c r="BR243" s="456">
        <f t="shared" si="699"/>
        <v>4.2174556984728072E-2</v>
      </c>
      <c r="BS243" s="456">
        <f t="shared" si="700"/>
        <v>0.13752956997326929</v>
      </c>
      <c r="BT243" s="456">
        <f t="shared" si="701"/>
        <v>1.9790918550711533E-3</v>
      </c>
      <c r="BU243" s="456">
        <f t="shared" si="702"/>
        <v>11.912326114503072</v>
      </c>
      <c r="BV243" s="456"/>
      <c r="BW243" s="538">
        <f t="shared" si="703"/>
        <v>1.4373191489361707</v>
      </c>
      <c r="BX243" s="144">
        <f t="shared" si="704"/>
        <v>13531.328482252311</v>
      </c>
      <c r="BY243" s="150">
        <f t="shared" si="705"/>
        <v>18.804897931503124</v>
      </c>
      <c r="BZ243" s="5">
        <f t="shared" si="706"/>
        <v>33.777000000000008</v>
      </c>
      <c r="CA243" s="150">
        <f t="shared" si="707"/>
        <v>0.64236935768275794</v>
      </c>
      <c r="CB243" s="5">
        <f t="shared" si="708"/>
        <v>64.236935768275799</v>
      </c>
      <c r="CC243">
        <f t="shared" si="709"/>
        <v>27</v>
      </c>
      <c r="CE243" s="59">
        <f t="shared" si="648"/>
        <v>-50</v>
      </c>
      <c r="CG243" s="150">
        <f t="shared" si="649"/>
        <v>0.3441511295927997</v>
      </c>
      <c r="CH243" s="150">
        <f t="shared" si="650"/>
        <v>7.5108424105568741E-2</v>
      </c>
      <c r="CI243" s="147">
        <v>27</v>
      </c>
      <c r="CJ243" s="188">
        <f t="shared" si="710"/>
        <v>1.08</v>
      </c>
      <c r="CK243" s="188">
        <f t="shared" si="651"/>
        <v>0.22950000000000001</v>
      </c>
      <c r="CL243" s="188">
        <f t="shared" si="652"/>
        <v>32.400000000000006</v>
      </c>
      <c r="CM243" s="188">
        <f t="shared" si="653"/>
        <v>1.377</v>
      </c>
      <c r="CN243" s="465">
        <f t="shared" si="654"/>
        <v>48</v>
      </c>
      <c r="CO243" s="379">
        <f t="shared" si="655"/>
        <v>30.7</v>
      </c>
      <c r="CP243" s="379">
        <f t="shared" si="656"/>
        <v>78.7</v>
      </c>
      <c r="CQ243" s="379"/>
      <c r="CR243" s="188">
        <f t="shared" si="657"/>
        <v>0.38775510204081626</v>
      </c>
      <c r="CS243" s="149">
        <f t="shared" si="658"/>
        <v>270.50715642699197</v>
      </c>
      <c r="CT243" s="149">
        <f t="shared" si="659"/>
        <v>11.496554148147156</v>
      </c>
      <c r="CU243" s="188">
        <f t="shared" si="660"/>
        <v>9.0169052142330663</v>
      </c>
      <c r="CV243" s="188">
        <f t="shared" si="661"/>
        <v>45.084526071165328</v>
      </c>
      <c r="CW243" s="188">
        <f t="shared" si="662"/>
        <v>30</v>
      </c>
      <c r="CX243" s="188">
        <f t="shared" si="663"/>
        <v>3.6295460526315808</v>
      </c>
      <c r="CY243" s="188">
        <f t="shared" si="664"/>
        <v>0.35539305098684232</v>
      </c>
      <c r="CZ243" s="188">
        <f t="shared" si="665"/>
        <v>0.55566340219441146</v>
      </c>
      <c r="DA243" s="172">
        <f t="shared" si="666"/>
        <v>350</v>
      </c>
      <c r="DB243" s="379">
        <f t="shared" si="667"/>
        <v>350</v>
      </c>
      <c r="DD243" s="188">
        <f t="shared" si="668"/>
        <v>11.382534575916392</v>
      </c>
      <c r="DE243" s="150">
        <f t="shared" si="669"/>
        <v>1.7426030132510437</v>
      </c>
      <c r="DF243" s="150">
        <f t="shared" si="670"/>
        <v>3.3296564353233258</v>
      </c>
      <c r="DG243" s="150"/>
      <c r="DH243" s="150">
        <f t="shared" si="671"/>
        <v>0.92784522751949461</v>
      </c>
      <c r="DI243" s="314">
        <f t="shared" si="672"/>
        <v>400.44070819148942</v>
      </c>
      <c r="DJ243" s="456">
        <f t="shared" si="673"/>
        <v>0.94395997276890675</v>
      </c>
      <c r="DL243" s="150">
        <f t="shared" si="674"/>
        <v>6.4082962945057638</v>
      </c>
      <c r="DM243" s="150">
        <f t="shared" si="675"/>
        <v>6.4082962945057638</v>
      </c>
      <c r="DN243" s="150">
        <f t="shared" si="676"/>
        <v>1.4575483214071876</v>
      </c>
      <c r="DP243" s="314">
        <f t="shared" si="677"/>
        <v>1080</v>
      </c>
      <c r="DQ243" s="144">
        <f t="shared" si="678"/>
        <v>350</v>
      </c>
      <c r="DS243">
        <f t="shared" si="679"/>
        <v>1080</v>
      </c>
      <c r="DT243">
        <f t="shared" si="680"/>
        <v>350</v>
      </c>
      <c r="DV243" s="5">
        <f t="shared" si="681"/>
        <v>2.8571428571428572</v>
      </c>
      <c r="DW243" s="5">
        <f t="shared" si="682"/>
        <v>0.62747901217035607</v>
      </c>
      <c r="DX243" s="5">
        <f t="shared" si="683"/>
        <v>2.2296638449725013</v>
      </c>
      <c r="DY243" s="150">
        <f t="shared" si="684"/>
        <v>0.21961765425962462</v>
      </c>
      <c r="EA243" s="5">
        <f t="shared" si="711"/>
        <v>2.2589244438132821</v>
      </c>
      <c r="EB243" s="5">
        <f t="shared" si="712"/>
        <v>2.4001072215516119</v>
      </c>
      <c r="EC243" s="5">
        <f t="shared" si="713"/>
        <v>0.88530770315084628</v>
      </c>
      <c r="ED243" s="5"/>
      <c r="EE243" s="150">
        <f t="shared" si="714"/>
        <v>1.7338661999012543</v>
      </c>
      <c r="EF243" s="150">
        <f t="shared" si="715"/>
        <v>3.1351592856498467</v>
      </c>
      <c r="EG243" s="150">
        <f t="shared" si="716"/>
        <v>0.62932293506948256</v>
      </c>
      <c r="EH243" s="150"/>
      <c r="EI243" s="456">
        <f t="shared" si="717"/>
        <v>3.6075503989920196E-2</v>
      </c>
      <c r="EJ243" s="456">
        <f t="shared" si="718"/>
        <v>3.3538139072110642</v>
      </c>
      <c r="EK243" s="456">
        <f t="shared" si="719"/>
        <v>4.0250000000000001E-2</v>
      </c>
      <c r="EL243" s="456">
        <f t="shared" si="720"/>
        <v>1.1218321012500001</v>
      </c>
      <c r="EM243">
        <f t="shared" si="721"/>
        <v>2.1600000000000001E-2</v>
      </c>
      <c r="EN243" s="144">
        <f t="shared" si="722"/>
        <v>61.85</v>
      </c>
      <c r="EP243" s="144">
        <f t="shared" si="723"/>
        <v>4573.5715124509852</v>
      </c>
      <c r="EQ243" s="150">
        <f t="shared" si="724"/>
        <v>0.75600000000000001</v>
      </c>
      <c r="ER243" s="150">
        <f t="shared" si="685"/>
        <v>0.1099305</v>
      </c>
      <c r="ES243" s="456"/>
      <c r="EU243" s="144">
        <f t="shared" si="725"/>
        <v>865.93050000000005</v>
      </c>
      <c r="EV243" s="456">
        <f t="shared" si="726"/>
        <v>4.2088087988240236E-2</v>
      </c>
      <c r="EW243" s="456">
        <f t="shared" si="727"/>
        <v>0.13760913244955039</v>
      </c>
      <c r="EX243" s="456">
        <f t="shared" si="728"/>
        <v>1.9802367830223408E-3</v>
      </c>
      <c r="EY243" s="456">
        <f t="shared" si="729"/>
        <v>11.912326114503072</v>
      </c>
      <c r="EZ243" s="456"/>
      <c r="FA243" s="538">
        <f t="shared" si="730"/>
        <v>1.4373191489361707</v>
      </c>
      <c r="FB243" s="144">
        <f t="shared" si="731"/>
        <v>13531.322720660055</v>
      </c>
      <c r="FC243" s="150">
        <f t="shared" si="732"/>
        <v>18.970824733111041</v>
      </c>
      <c r="FD243" s="5">
        <f t="shared" si="733"/>
        <v>33.777000000000008</v>
      </c>
      <c r="FE243" s="150">
        <f t="shared" si="734"/>
        <v>0.64034868112385679</v>
      </c>
      <c r="FF243" s="5">
        <f t="shared" si="735"/>
        <v>64.034868112385681</v>
      </c>
      <c r="FG243">
        <f t="shared" si="736"/>
        <v>27</v>
      </c>
      <c r="FI243" s="59">
        <f t="shared" si="686"/>
        <v>-50</v>
      </c>
    </row>
    <row r="244" spans="5:165">
      <c r="E244" s="147">
        <v>28</v>
      </c>
      <c r="F244" s="188">
        <f t="shared" si="687"/>
        <v>1.1200000000000001</v>
      </c>
      <c r="G244" s="188">
        <f t="shared" si="615"/>
        <v>0.23800000000000002</v>
      </c>
      <c r="H244" s="188">
        <f t="shared" si="616"/>
        <v>33.6</v>
      </c>
      <c r="I244" s="188">
        <f t="shared" si="617"/>
        <v>1.4280000000000002</v>
      </c>
      <c r="J244" s="465">
        <f t="shared" si="618"/>
        <v>47.899781416410946</v>
      </c>
      <c r="K244" s="379">
        <f t="shared" si="619"/>
        <v>30.773482884663945</v>
      </c>
      <c r="L244" s="149">
        <f t="shared" si="620"/>
        <v>78.673264301074894</v>
      </c>
      <c r="M244" s="379"/>
      <c r="N244" s="188">
        <f t="shared" si="621"/>
        <v>0.39115553623015864</v>
      </c>
      <c r="O244" s="149">
        <f t="shared" si="622"/>
        <v>272.30963861992024</v>
      </c>
      <c r="P244" s="149">
        <f t="shared" si="623"/>
        <v>11.573159641346608</v>
      </c>
      <c r="Q244" s="188">
        <f t="shared" si="624"/>
        <v>9.0769879539973406</v>
      </c>
      <c r="R244" s="188">
        <f t="shared" si="625"/>
        <v>45.384939769986708</v>
      </c>
      <c r="S244" s="188">
        <f t="shared" si="626"/>
        <v>30</v>
      </c>
      <c r="T244" s="188">
        <f t="shared" si="627"/>
        <v>3.7390590481556876</v>
      </c>
      <c r="U244" s="188">
        <f t="shared" si="628"/>
        <v>0.36688220711401509</v>
      </c>
      <c r="V244" s="188">
        <f t="shared" si="629"/>
        <v>0.57106235235692404</v>
      </c>
      <c r="W244" s="172">
        <f t="shared" si="630"/>
        <v>350</v>
      </c>
      <c r="X244" s="379">
        <f t="shared" si="688"/>
        <v>350</v>
      </c>
      <c r="Z244" s="188">
        <f t="shared" si="631"/>
        <v>11.389826556379095</v>
      </c>
      <c r="AA244" s="150">
        <f t="shared" si="632"/>
        <v>1.7395556107709755</v>
      </c>
      <c r="AB244" s="150">
        <f t="shared" si="633"/>
        <v>3.3259629938369932</v>
      </c>
      <c r="AC244" s="150"/>
      <c r="AD244" s="150">
        <f t="shared" si="634"/>
        <v>0.92562965952235421</v>
      </c>
      <c r="AE244" s="314">
        <f t="shared" si="635"/>
        <v>416.26583162733533</v>
      </c>
      <c r="AF244" s="456">
        <f t="shared" si="636"/>
        <v>0.94170592495552341</v>
      </c>
      <c r="AH244" s="150">
        <f t="shared" si="637"/>
        <v>6.5258895211728181</v>
      </c>
      <c r="AI244" s="150">
        <f t="shared" si="638"/>
        <v>6.5258895211728181</v>
      </c>
      <c r="AJ244" s="150">
        <f t="shared" si="639"/>
        <v>1.5446544152346351</v>
      </c>
      <c r="AL244" s="314">
        <f t="shared" si="640"/>
        <v>1120</v>
      </c>
      <c r="AM244" s="144">
        <f t="shared" si="641"/>
        <v>350</v>
      </c>
      <c r="AO244">
        <f t="shared" si="642"/>
        <v>1120</v>
      </c>
      <c r="AP244">
        <f t="shared" si="643"/>
        <v>350</v>
      </c>
      <c r="AR244" s="5">
        <f t="shared" si="614"/>
        <v>2.8571428571428572</v>
      </c>
      <c r="AS244" s="5">
        <f t="shared" si="737"/>
        <v>0.64033028632994604</v>
      </c>
      <c r="AT244" s="5">
        <f t="shared" si="738"/>
        <v>2.2168125708129112</v>
      </c>
      <c r="AU244" s="150">
        <f t="shared" si="739"/>
        <v>0.2241156002154811</v>
      </c>
      <c r="BA244" s="150">
        <f t="shared" si="689"/>
        <v>1.7836725707524514</v>
      </c>
      <c r="BB244" s="150">
        <f t="shared" si="690"/>
        <v>3.1834756777663609</v>
      </c>
      <c r="BC244" s="150">
        <f t="shared" si="691"/>
        <v>0.63902152162548598</v>
      </c>
      <c r="BD244" s="150"/>
      <c r="BE244" s="456">
        <f t="shared" si="692"/>
        <v>3.8177854075855909E-2</v>
      </c>
      <c r="BF244" s="456">
        <f t="shared" si="644"/>
        <v>3.2794257361438675</v>
      </c>
      <c r="BG244" s="456">
        <f t="shared" si="693"/>
        <v>4.0250000000000001E-2</v>
      </c>
      <c r="BH244" s="456">
        <f t="shared" si="694"/>
        <v>1.1210700206718816</v>
      </c>
      <c r="BI244">
        <f t="shared" si="695"/>
        <v>2.1554901637384924E-2</v>
      </c>
      <c r="BJ244" s="144">
        <f t="shared" si="696"/>
        <v>61.804901637384923</v>
      </c>
      <c r="BK244">
        <f t="shared" si="645"/>
        <v>4.48970803404859</v>
      </c>
      <c r="BL244" s="144">
        <f t="shared" si="697"/>
        <v>4500.47851252899</v>
      </c>
      <c r="BM244" s="150">
        <f t="shared" si="646"/>
        <v>0.75107199999999996</v>
      </c>
      <c r="BN244" s="150">
        <f t="shared" si="647"/>
        <v>0.11400200000000001</v>
      </c>
      <c r="BQ244" s="144">
        <f t="shared" si="698"/>
        <v>865.07399999999996</v>
      </c>
      <c r="BR244" s="456">
        <f t="shared" si="699"/>
        <v>4.4540829755165226E-2</v>
      </c>
      <c r="BS244" s="456">
        <f t="shared" si="700"/>
        <v>0.14188324347301989</v>
      </c>
      <c r="BT244" s="456">
        <f t="shared" si="701"/>
        <v>2.0417425255027572E-3</v>
      </c>
      <c r="BU244" s="456">
        <f t="shared" si="702"/>
        <v>12.466352653255591</v>
      </c>
      <c r="BV244" s="456"/>
      <c r="BW244" s="538">
        <f t="shared" si="703"/>
        <v>1.4905531914893619</v>
      </c>
      <c r="BX244" s="144">
        <f t="shared" si="704"/>
        <v>14145.37166049864</v>
      </c>
      <c r="BY244" s="150">
        <f t="shared" si="705"/>
        <v>19.510924173027629</v>
      </c>
      <c r="BZ244" s="5">
        <f t="shared" si="706"/>
        <v>35.027999999999999</v>
      </c>
      <c r="CA244" s="150">
        <f t="shared" si="707"/>
        <v>0.64225689323962121</v>
      </c>
      <c r="CB244" s="5">
        <f t="shared" si="708"/>
        <v>64.225689323962115</v>
      </c>
      <c r="CC244">
        <f t="shared" si="709"/>
        <v>28.000000000000004</v>
      </c>
      <c r="CE244" s="59">
        <f t="shared" si="648"/>
        <v>-50</v>
      </c>
      <c r="CG244" s="150">
        <f t="shared" si="649"/>
        <v>0.35046635596968034</v>
      </c>
      <c r="CH244" s="150">
        <f t="shared" si="650"/>
        <v>7.6486675287247716E-2</v>
      </c>
      <c r="CI244" s="147">
        <v>28</v>
      </c>
      <c r="CJ244" s="188">
        <f t="shared" si="710"/>
        <v>1.1200000000000001</v>
      </c>
      <c r="CK244" s="188">
        <f t="shared" si="651"/>
        <v>0.23800000000000002</v>
      </c>
      <c r="CL244" s="188">
        <f t="shared" si="652"/>
        <v>33.6</v>
      </c>
      <c r="CM244" s="188">
        <f t="shared" si="653"/>
        <v>1.4280000000000002</v>
      </c>
      <c r="CN244" s="465">
        <f t="shared" si="654"/>
        <v>48</v>
      </c>
      <c r="CO244" s="379">
        <f t="shared" si="655"/>
        <v>30.7</v>
      </c>
      <c r="CP244" s="379">
        <f t="shared" si="656"/>
        <v>78.7</v>
      </c>
      <c r="CQ244" s="379"/>
      <c r="CR244" s="188">
        <f t="shared" si="657"/>
        <v>0.38775510204081626</v>
      </c>
      <c r="CS244" s="149">
        <f t="shared" si="658"/>
        <v>270.50715642699197</v>
      </c>
      <c r="CT244" s="149">
        <f t="shared" si="659"/>
        <v>11.496554148147156</v>
      </c>
      <c r="CU244" s="188">
        <f t="shared" si="660"/>
        <v>9.0169052142330663</v>
      </c>
      <c r="CV244" s="188">
        <f t="shared" si="661"/>
        <v>45.084526071165328</v>
      </c>
      <c r="CW244" s="188">
        <f t="shared" si="662"/>
        <v>30</v>
      </c>
      <c r="CX244" s="188">
        <f t="shared" si="663"/>
        <v>3.7639736842105269</v>
      </c>
      <c r="CY244" s="188">
        <f t="shared" si="664"/>
        <v>0.3685557565789474</v>
      </c>
      <c r="CZ244" s="188">
        <f t="shared" si="665"/>
        <v>0.57624352820161162</v>
      </c>
      <c r="DA244" s="172">
        <f t="shared" si="666"/>
        <v>350</v>
      </c>
      <c r="DB244" s="379">
        <f t="shared" si="667"/>
        <v>350</v>
      </c>
      <c r="DD244" s="188">
        <f t="shared" si="668"/>
        <v>11.382534575916392</v>
      </c>
      <c r="DE244" s="150">
        <f t="shared" si="669"/>
        <v>1.7426030132510437</v>
      </c>
      <c r="DF244" s="150">
        <f t="shared" si="670"/>
        <v>3.3296564353233258</v>
      </c>
      <c r="DG244" s="150"/>
      <c r="DH244" s="150">
        <f t="shared" si="671"/>
        <v>0.92784522751949461</v>
      </c>
      <c r="DI244" s="314">
        <f t="shared" si="672"/>
        <v>415.27184553191495</v>
      </c>
      <c r="DJ244" s="456">
        <f t="shared" si="673"/>
        <v>0.94395997276890675</v>
      </c>
      <c r="DL244" s="150">
        <f t="shared" si="674"/>
        <v>6.5258895211728181</v>
      </c>
      <c r="DM244" s="150">
        <f t="shared" si="675"/>
        <v>6.5258895211728181</v>
      </c>
      <c r="DN244" s="150">
        <f t="shared" si="676"/>
        <v>1.5446544152346351</v>
      </c>
      <c r="DP244" s="314">
        <f t="shared" si="677"/>
        <v>1120</v>
      </c>
      <c r="DQ244" s="144">
        <f t="shared" si="678"/>
        <v>350</v>
      </c>
      <c r="DS244">
        <f t="shared" si="679"/>
        <v>1120</v>
      </c>
      <c r="DT244">
        <f t="shared" si="680"/>
        <v>350</v>
      </c>
      <c r="DV244" s="5">
        <f t="shared" si="681"/>
        <v>2.8571428571428572</v>
      </c>
      <c r="DW244" s="5">
        <f t="shared" si="682"/>
        <v>0.63899334894817184</v>
      </c>
      <c r="DX244" s="5">
        <f t="shared" si="683"/>
        <v>2.2181495081946854</v>
      </c>
      <c r="DY244" s="150">
        <f t="shared" si="684"/>
        <v>0.22364767213186013</v>
      </c>
      <c r="EA244" s="5">
        <f t="shared" si="711"/>
        <v>2.3855751694065082</v>
      </c>
      <c r="EB244" s="5">
        <f t="shared" si="712"/>
        <v>2.5346736174944153</v>
      </c>
      <c r="EC244" s="5">
        <f t="shared" si="713"/>
        <v>0.91335567984487043</v>
      </c>
      <c r="ED244" s="5"/>
      <c r="EE244" s="150">
        <f t="shared" si="714"/>
        <v>1.7818095442696946</v>
      </c>
      <c r="EF244" s="150">
        <f t="shared" si="715"/>
        <v>3.1844354941674173</v>
      </c>
      <c r="EG244" s="150">
        <f t="shared" si="716"/>
        <v>0.63921418630999027</v>
      </c>
      <c r="EH244" s="150"/>
      <c r="EI244" s="456">
        <f t="shared" si="717"/>
        <v>3.8098143024606922E-2</v>
      </c>
      <c r="EJ244" s="456">
        <f t="shared" si="718"/>
        <v>3.4153569103534007</v>
      </c>
      <c r="EK244" s="456">
        <f t="shared" si="719"/>
        <v>4.0250000000000001E-2</v>
      </c>
      <c r="EL244" s="456">
        <f t="shared" si="720"/>
        <v>1.1218321012500001</v>
      </c>
      <c r="EM244">
        <f t="shared" si="721"/>
        <v>2.1600000000000001E-2</v>
      </c>
      <c r="EN244" s="144">
        <f t="shared" si="722"/>
        <v>61.85</v>
      </c>
      <c r="EP244" s="144">
        <f t="shared" si="723"/>
        <v>4637.1371546280079</v>
      </c>
      <c r="EQ244" s="150">
        <f t="shared" si="724"/>
        <v>0.78400000000000003</v>
      </c>
      <c r="ER244" s="150">
        <f t="shared" si="685"/>
        <v>0.11400200000000001</v>
      </c>
      <c r="ES244" s="456"/>
      <c r="EU244" s="144">
        <f t="shared" si="725"/>
        <v>898.00200000000007</v>
      </c>
      <c r="EV244" s="456">
        <f t="shared" si="726"/>
        <v>4.4447833528708076E-2</v>
      </c>
      <c r="EW244" s="456">
        <f t="shared" si="727"/>
        <v>0.14196881183118595</v>
      </c>
      <c r="EX244" s="456">
        <f t="shared" si="728"/>
        <v>2.0429738798997147E-3</v>
      </c>
      <c r="EY244" s="456">
        <f t="shared" si="729"/>
        <v>12.466352653255591</v>
      </c>
      <c r="EZ244" s="456"/>
      <c r="FA244" s="538">
        <f t="shared" si="730"/>
        <v>1.4905531914893619</v>
      </c>
      <c r="FB244" s="144">
        <f t="shared" si="731"/>
        <v>14145.365463984746</v>
      </c>
      <c r="FC244" s="150">
        <f t="shared" si="732"/>
        <v>19.680504618612755</v>
      </c>
      <c r="FD244" s="5">
        <f t="shared" si="733"/>
        <v>35.027999999999999</v>
      </c>
      <c r="FE244" s="150">
        <f t="shared" si="734"/>
        <v>0.64026608375040261</v>
      </c>
      <c r="FF244" s="5">
        <f t="shared" si="735"/>
        <v>64.026608375040269</v>
      </c>
      <c r="FG244">
        <f t="shared" si="736"/>
        <v>28.000000000000004</v>
      </c>
      <c r="FI244" s="59">
        <f t="shared" si="686"/>
        <v>-50</v>
      </c>
    </row>
    <row r="245" spans="5:165">
      <c r="E245" s="147">
        <v>29</v>
      </c>
      <c r="F245" s="188">
        <f t="shared" si="687"/>
        <v>1.1599999999999999</v>
      </c>
      <c r="G245" s="188">
        <f t="shared" si="615"/>
        <v>0.24649999999999997</v>
      </c>
      <c r="H245" s="188">
        <f t="shared" si="616"/>
        <v>34.799999999999997</v>
      </c>
      <c r="I245" s="188">
        <f t="shared" si="617"/>
        <v>1.4789999999999999</v>
      </c>
      <c r="J245" s="465">
        <f t="shared" si="618"/>
        <v>47.898007498454668</v>
      </c>
      <c r="K245" s="379">
        <f t="shared" si="619"/>
        <v>30.774783567670195</v>
      </c>
      <c r="L245" s="149">
        <f t="shared" si="620"/>
        <v>78.672791066124859</v>
      </c>
      <c r="M245" s="379"/>
      <c r="N245" s="188">
        <f t="shared" si="621"/>
        <v>0.39117442193964924</v>
      </c>
      <c r="O245" s="149">
        <f t="shared" si="622"/>
        <v>272.31270104307816</v>
      </c>
      <c r="P245" s="149">
        <f t="shared" si="623"/>
        <v>11.573289794330819</v>
      </c>
      <c r="Q245" s="188">
        <f t="shared" si="624"/>
        <v>9.077090034769272</v>
      </c>
      <c r="R245" s="188">
        <f t="shared" si="625"/>
        <v>45.385450173846358</v>
      </c>
      <c r="S245" s="188">
        <f t="shared" si="626"/>
        <v>30</v>
      </c>
      <c r="T245" s="188">
        <f t="shared" si="627"/>
        <v>3.8725533201575941</v>
      </c>
      <c r="U245" s="188">
        <f t="shared" si="628"/>
        <v>0.37999494248957871</v>
      </c>
      <c r="V245" s="188">
        <f t="shared" si="629"/>
        <v>0.59142578743791308</v>
      </c>
      <c r="W245" s="172">
        <f t="shared" si="630"/>
        <v>350</v>
      </c>
      <c r="X245" s="379">
        <f t="shared" si="688"/>
        <v>350</v>
      </c>
      <c r="Z245" s="188">
        <f t="shared" si="631"/>
        <v>11.389954647579932</v>
      </c>
      <c r="AA245" s="150">
        <f t="shared" si="632"/>
        <v>1.7395016516010018</v>
      </c>
      <c r="AB245" s="150">
        <f t="shared" si="633"/>
        <v>3.3258972289659612</v>
      </c>
      <c r="AC245" s="150"/>
      <c r="AD245" s="150">
        <f t="shared" si="634"/>
        <v>0.92559053818245673</v>
      </c>
      <c r="AE245" s="314">
        <f t="shared" si="635"/>
        <v>431.15069086989047</v>
      </c>
      <c r="AF245" s="456">
        <f t="shared" si="636"/>
        <v>0.94166612415917395</v>
      </c>
      <c r="AH245" s="150">
        <f t="shared" si="637"/>
        <v>6.6414009581510802</v>
      </c>
      <c r="AI245" s="150">
        <f t="shared" si="638"/>
        <v>6.6414009581510802</v>
      </c>
      <c r="AJ245" s="150">
        <f t="shared" si="639"/>
        <v>1.6302184426259405</v>
      </c>
      <c r="AL245" s="314">
        <f t="shared" si="640"/>
        <v>1160</v>
      </c>
      <c r="AM245" s="144">
        <f t="shared" si="641"/>
        <v>350</v>
      </c>
      <c r="AO245">
        <f t="shared" si="642"/>
        <v>1160</v>
      </c>
      <c r="AP245">
        <f t="shared" si="643"/>
        <v>350</v>
      </c>
      <c r="AR245" s="5">
        <f t="shared" si="614"/>
        <v>2.8571428571428572</v>
      </c>
      <c r="AS245" s="5">
        <f t="shared" si="737"/>
        <v>0.65168858024662402</v>
      </c>
      <c r="AT245" s="5">
        <f t="shared" si="738"/>
        <v>2.2054542768962331</v>
      </c>
      <c r="AU245" s="150">
        <f t="shared" si="739"/>
        <v>0.22809100308631841</v>
      </c>
      <c r="BA245" s="150">
        <f t="shared" si="689"/>
        <v>1.831273246274346</v>
      </c>
      <c r="BB245" s="150">
        <f t="shared" si="690"/>
        <v>3.2315141423211435</v>
      </c>
      <c r="BC245" s="150">
        <f t="shared" si="691"/>
        <v>0.64866431956823256</v>
      </c>
      <c r="BD245" s="150"/>
      <c r="BE245" s="456">
        <f t="shared" si="692"/>
        <v>4.0242740430242174E-2</v>
      </c>
      <c r="BF245" s="456">
        <f t="shared" si="644"/>
        <v>3.3374531004140939</v>
      </c>
      <c r="BG245" s="456">
        <f t="shared" si="693"/>
        <v>4.0250000000000001E-2</v>
      </c>
      <c r="BH245" s="456">
        <f t="shared" si="694"/>
        <v>1.1210565338050453</v>
      </c>
      <c r="BI245">
        <f t="shared" si="695"/>
        <v>2.1554103374304599E-2</v>
      </c>
      <c r="BJ245" s="144">
        <f t="shared" si="696"/>
        <v>61.804103374304603</v>
      </c>
      <c r="BK245">
        <f t="shared" si="645"/>
        <v>4.5531536909582639</v>
      </c>
      <c r="BL245" s="144">
        <f t="shared" si="697"/>
        <v>4560.5564780236864</v>
      </c>
      <c r="BM245" s="150">
        <f t="shared" si="646"/>
        <v>0.77789599999999992</v>
      </c>
      <c r="BN245" s="150">
        <f t="shared" si="647"/>
        <v>0.11807349999999998</v>
      </c>
      <c r="BQ245" s="144">
        <f t="shared" si="698"/>
        <v>895.96949999999981</v>
      </c>
      <c r="BR245" s="456">
        <f t="shared" si="699"/>
        <v>4.6949863835282539E-2</v>
      </c>
      <c r="BS245" s="456">
        <f t="shared" si="700"/>
        <v>0.14619757112830178</v>
      </c>
      <c r="BT245" s="456">
        <f t="shared" si="701"/>
        <v>2.1038269974045908E-3</v>
      </c>
      <c r="BU245" s="456">
        <f t="shared" si="702"/>
        <v>13.025348935544372</v>
      </c>
      <c r="BV245" s="456"/>
      <c r="BW245" s="538">
        <f t="shared" si="703"/>
        <v>1.5437872340425534</v>
      </c>
      <c r="BX245" s="144">
        <f t="shared" si="704"/>
        <v>14764.387431547913</v>
      </c>
      <c r="BY245" s="150">
        <f t="shared" si="705"/>
        <v>20.220913409571601</v>
      </c>
      <c r="BZ245" s="5">
        <f t="shared" si="706"/>
        <v>36.278999999999996</v>
      </c>
      <c r="CA245" s="150">
        <f t="shared" si="707"/>
        <v>0.64210717876700329</v>
      </c>
      <c r="CB245" s="5">
        <f t="shared" si="708"/>
        <v>64.210717876700329</v>
      </c>
      <c r="CC245">
        <f t="shared" si="709"/>
        <v>28.999999999999996</v>
      </c>
      <c r="CE245" s="59">
        <f t="shared" si="648"/>
        <v>-50</v>
      </c>
      <c r="CG245" s="150">
        <f t="shared" si="649"/>
        <v>0.35666978191785931</v>
      </c>
      <c r="CH245" s="150">
        <f t="shared" si="650"/>
        <v>7.7840526856976996E-2</v>
      </c>
      <c r="CI245" s="147">
        <v>29</v>
      </c>
      <c r="CJ245" s="188">
        <f t="shared" si="710"/>
        <v>1.1599999999999999</v>
      </c>
      <c r="CK245" s="188">
        <f t="shared" si="651"/>
        <v>0.24649999999999997</v>
      </c>
      <c r="CL245" s="188">
        <f t="shared" si="652"/>
        <v>34.799999999999997</v>
      </c>
      <c r="CM245" s="188">
        <f t="shared" si="653"/>
        <v>1.4789999999999999</v>
      </c>
      <c r="CN245" s="465">
        <f t="shared" si="654"/>
        <v>48</v>
      </c>
      <c r="CO245" s="379">
        <f t="shared" si="655"/>
        <v>30.7</v>
      </c>
      <c r="CP245" s="379">
        <f t="shared" si="656"/>
        <v>78.7</v>
      </c>
      <c r="CQ245" s="379"/>
      <c r="CR245" s="188">
        <f t="shared" si="657"/>
        <v>0.38775510204081626</v>
      </c>
      <c r="CS245" s="149">
        <f t="shared" si="658"/>
        <v>270.50715642699197</v>
      </c>
      <c r="CT245" s="149">
        <f t="shared" si="659"/>
        <v>11.496554148147156</v>
      </c>
      <c r="CU245" s="188">
        <f t="shared" si="660"/>
        <v>9.0169052142330663</v>
      </c>
      <c r="CV245" s="188">
        <f t="shared" si="661"/>
        <v>45.084526071165328</v>
      </c>
      <c r="CW245" s="188">
        <f t="shared" si="662"/>
        <v>30</v>
      </c>
      <c r="CX245" s="188">
        <f t="shared" si="663"/>
        <v>3.8984013157894744</v>
      </c>
      <c r="CY245" s="188">
        <f t="shared" si="664"/>
        <v>0.38171846217105265</v>
      </c>
      <c r="CZ245" s="188">
        <f t="shared" si="665"/>
        <v>0.596823654208812</v>
      </c>
      <c r="DA245" s="172">
        <f t="shared" si="666"/>
        <v>350</v>
      </c>
      <c r="DB245" s="379">
        <f t="shared" si="667"/>
        <v>350</v>
      </c>
      <c r="DD245" s="188">
        <f t="shared" si="668"/>
        <v>11.382534575916392</v>
      </c>
      <c r="DE245" s="150">
        <f t="shared" si="669"/>
        <v>1.7426030132510437</v>
      </c>
      <c r="DF245" s="150">
        <f t="shared" si="670"/>
        <v>3.3296564353233258</v>
      </c>
      <c r="DG245" s="150"/>
      <c r="DH245" s="150">
        <f t="shared" si="671"/>
        <v>0.92784522751949461</v>
      </c>
      <c r="DI245" s="314">
        <f t="shared" si="672"/>
        <v>430.10298287234042</v>
      </c>
      <c r="DJ245" s="456">
        <f t="shared" si="673"/>
        <v>0.94395997276890675</v>
      </c>
      <c r="DL245" s="150">
        <f t="shared" si="674"/>
        <v>6.6414009581510802</v>
      </c>
      <c r="DM245" s="150">
        <f t="shared" si="675"/>
        <v>6.6414009581510802</v>
      </c>
      <c r="DN245" s="150">
        <f t="shared" si="676"/>
        <v>1.6302184426259405</v>
      </c>
      <c r="DP245" s="314">
        <f t="shared" si="677"/>
        <v>1160</v>
      </c>
      <c r="DQ245" s="144">
        <f t="shared" si="678"/>
        <v>350</v>
      </c>
      <c r="DS245">
        <f t="shared" si="679"/>
        <v>1160</v>
      </c>
      <c r="DT245">
        <f t="shared" si="680"/>
        <v>350</v>
      </c>
      <c r="DV245" s="5">
        <f t="shared" si="681"/>
        <v>2.8571428571428572</v>
      </c>
      <c r="DW245" s="5">
        <f t="shared" si="682"/>
        <v>0.65030384381895989</v>
      </c>
      <c r="DX245" s="5">
        <f t="shared" si="683"/>
        <v>2.2068390133238971</v>
      </c>
      <c r="DY245" s="150">
        <f t="shared" si="684"/>
        <v>0.22760634533663596</v>
      </c>
      <c r="EA245" s="5">
        <f t="shared" si="711"/>
        <v>2.5145081960999782</v>
      </c>
      <c r="EB245" s="5">
        <f t="shared" si="712"/>
        <v>2.6716649583562266</v>
      </c>
      <c r="EC245" s="5">
        <f t="shared" si="713"/>
        <v>0.94115193215283832</v>
      </c>
      <c r="ED245" s="5"/>
      <c r="EE245" s="150">
        <f t="shared" si="714"/>
        <v>1.8293266268734991</v>
      </c>
      <c r="EF245" s="150">
        <f t="shared" si="715"/>
        <v>3.2325284669481205</v>
      </c>
      <c r="EG245" s="150">
        <f t="shared" si="716"/>
        <v>0.64886792573085528</v>
      </c>
      <c r="EH245" s="150"/>
      <c r="EI245" s="456">
        <f t="shared" si="717"/>
        <v>4.0157230893460495E-2</v>
      </c>
      <c r="EJ245" s="456">
        <f t="shared" si="718"/>
        <v>3.475810398453159</v>
      </c>
      <c r="EK245" s="456">
        <f t="shared" si="719"/>
        <v>4.0250000000000001E-2</v>
      </c>
      <c r="EL245" s="456">
        <f t="shared" si="720"/>
        <v>1.1218321012500001</v>
      </c>
      <c r="EM245">
        <f t="shared" si="721"/>
        <v>2.1600000000000001E-2</v>
      </c>
      <c r="EN245" s="144">
        <f t="shared" si="722"/>
        <v>61.85</v>
      </c>
      <c r="EP245" s="144">
        <f t="shared" si="723"/>
        <v>4699.6497305966195</v>
      </c>
      <c r="EQ245" s="150">
        <f t="shared" si="724"/>
        <v>0.81199999999999994</v>
      </c>
      <c r="ER245" s="150">
        <f t="shared" si="685"/>
        <v>0.11807349999999998</v>
      </c>
      <c r="ES245" s="456"/>
      <c r="EU245" s="144">
        <f t="shared" si="725"/>
        <v>930.07349999999985</v>
      </c>
      <c r="EV245" s="456">
        <f t="shared" si="726"/>
        <v>4.6850102709037243E-2</v>
      </c>
      <c r="EW245" s="456">
        <f t="shared" si="727"/>
        <v>0.14628936405481952</v>
      </c>
      <c r="EX245" s="456">
        <f t="shared" si="728"/>
        <v>2.1051479252113137E-3</v>
      </c>
      <c r="EY245" s="456">
        <f t="shared" si="729"/>
        <v>13.025348935544372</v>
      </c>
      <c r="EZ245" s="456"/>
      <c r="FA245" s="538">
        <f t="shared" si="730"/>
        <v>1.5437872340425534</v>
      </c>
      <c r="FB245" s="144">
        <f t="shared" si="731"/>
        <v>14764.380784275992</v>
      </c>
      <c r="FC245" s="150">
        <f t="shared" si="732"/>
        <v>20.394104014872614</v>
      </c>
      <c r="FD245" s="5">
        <f t="shared" si="733"/>
        <v>36.278999999999996</v>
      </c>
      <c r="FE245" s="150">
        <f t="shared" si="734"/>
        <v>0.64014492642717036</v>
      </c>
      <c r="FF245" s="5">
        <f t="shared" si="735"/>
        <v>64.01449264271703</v>
      </c>
      <c r="FG245">
        <f t="shared" si="736"/>
        <v>28.999999999999996</v>
      </c>
      <c r="FI245" s="59">
        <f t="shared" si="686"/>
        <v>-50</v>
      </c>
    </row>
    <row r="246" spans="5:165">
      <c r="E246" s="147">
        <v>30</v>
      </c>
      <c r="F246" s="188">
        <f t="shared" si="687"/>
        <v>1.2</v>
      </c>
      <c r="G246" s="188">
        <f t="shared" si="615"/>
        <v>0.255</v>
      </c>
      <c r="H246" s="188">
        <f t="shared" si="616"/>
        <v>36</v>
      </c>
      <c r="I246" s="188">
        <f t="shared" si="617"/>
        <v>1.53</v>
      </c>
      <c r="J246" s="465">
        <f t="shared" si="618"/>
        <v>47.896263910588679</v>
      </c>
      <c r="K246" s="379">
        <f t="shared" si="619"/>
        <v>30.776062011861573</v>
      </c>
      <c r="L246" s="149">
        <f t="shared" si="620"/>
        <v>78.672325922450256</v>
      </c>
      <c r="M246" s="379"/>
      <c r="N246" s="188">
        <f t="shared" si="621"/>
        <v>0.39119298496651145</v>
      </c>
      <c r="O246" s="149">
        <f t="shared" si="622"/>
        <v>272.31571031068938</v>
      </c>
      <c r="P246" s="149">
        <f t="shared" si="623"/>
        <v>11.573417688204298</v>
      </c>
      <c r="Q246" s="188">
        <f t="shared" si="624"/>
        <v>9.0771903436896455</v>
      </c>
      <c r="R246" s="188">
        <f t="shared" si="625"/>
        <v>45.385951718448233</v>
      </c>
      <c r="S246" s="188">
        <f t="shared" si="626"/>
        <v>30</v>
      </c>
      <c r="T246" s="188">
        <f t="shared" si="627"/>
        <v>4.0060453716183151</v>
      </c>
      <c r="U246" s="188">
        <f t="shared" si="628"/>
        <v>0.39310818233660988</v>
      </c>
      <c r="V246" s="188">
        <f t="shared" si="629"/>
        <v>0.61178760425389433</v>
      </c>
      <c r="W246" s="172">
        <f t="shared" si="630"/>
        <v>350</v>
      </c>
      <c r="X246" s="379">
        <f t="shared" si="688"/>
        <v>350</v>
      </c>
      <c r="Z246" s="188">
        <f t="shared" si="631"/>
        <v>11.390080515457132</v>
      </c>
      <c r="AA246" s="150">
        <f t="shared" si="632"/>
        <v>1.7394486143813956</v>
      </c>
      <c r="AB246" s="150">
        <f t="shared" si="633"/>
        <v>3.3258325753508657</v>
      </c>
      <c r="AC246" s="150"/>
      <c r="AD246" s="150">
        <f t="shared" si="634"/>
        <v>0.9255520889537453</v>
      </c>
      <c r="AE246" s="314">
        <f t="shared" si="635"/>
        <v>446.0364845231648</v>
      </c>
      <c r="AF246" s="456">
        <f t="shared" si="636"/>
        <v>0.9416270071471865</v>
      </c>
      <c r="AH246" s="150">
        <f t="shared" si="637"/>
        <v>6.7549374039517938</v>
      </c>
      <c r="AI246" s="150">
        <f t="shared" si="638"/>
        <v>6.7549374039517938</v>
      </c>
      <c r="AJ246" s="150">
        <f t="shared" si="639"/>
        <v>1.714319513589432</v>
      </c>
      <c r="AL246" s="314">
        <f t="shared" si="640"/>
        <v>1200</v>
      </c>
      <c r="AM246" s="144">
        <f t="shared" si="641"/>
        <v>350</v>
      </c>
      <c r="AO246">
        <f t="shared" si="642"/>
        <v>1200</v>
      </c>
      <c r="AP246">
        <f t="shared" si="643"/>
        <v>350</v>
      </c>
      <c r="AR246" s="5">
        <f t="shared" si="614"/>
        <v>2.8571428571428572</v>
      </c>
      <c r="AS246" s="5">
        <f t="shared" si="737"/>
        <v>0.66285349224398871</v>
      </c>
      <c r="AT246" s="5">
        <f t="shared" si="738"/>
        <v>2.1942893648988684</v>
      </c>
      <c r="AU246" s="150">
        <f t="shared" si="739"/>
        <v>0.23199872228539603</v>
      </c>
      <c r="BA246" s="150">
        <f t="shared" si="689"/>
        <v>1.8784666888887882</v>
      </c>
      <c r="BB246" s="150">
        <f t="shared" si="690"/>
        <v>3.2784276899584368</v>
      </c>
      <c r="BC246" s="150">
        <f t="shared" si="691"/>
        <v>0.65808131207281073</v>
      </c>
      <c r="BD246" s="150"/>
      <c r="BE246" s="456">
        <f t="shared" si="692"/>
        <v>4.2343645215177687E-2</v>
      </c>
      <c r="BF246" s="456">
        <f t="shared" si="644"/>
        <v>3.3944876440255833</v>
      </c>
      <c r="BG246" s="456">
        <f t="shared" si="693"/>
        <v>4.0250000000000001E-2</v>
      </c>
      <c r="BH246" s="456">
        <f t="shared" si="694"/>
        <v>1.1210432776129873</v>
      </c>
      <c r="BI246">
        <f t="shared" si="695"/>
        <v>2.1553318759764906E-2</v>
      </c>
      <c r="BJ246" s="144">
        <f t="shared" si="696"/>
        <v>61.803318759764906</v>
      </c>
      <c r="BK246">
        <f t="shared" si="645"/>
        <v>4.6157456764265268</v>
      </c>
      <c r="BL246" s="144">
        <f t="shared" si="697"/>
        <v>4619.6778856135134</v>
      </c>
      <c r="BM246" s="150">
        <f t="shared" si="646"/>
        <v>0.80471999999999999</v>
      </c>
      <c r="BN246" s="150">
        <f t="shared" si="647"/>
        <v>0.122145</v>
      </c>
      <c r="BQ246" s="144">
        <f t="shared" si="698"/>
        <v>926.86500000000001</v>
      </c>
      <c r="BR246" s="456">
        <f t="shared" si="699"/>
        <v>4.9400919417707308E-2</v>
      </c>
      <c r="BS246" s="456">
        <f t="shared" si="700"/>
        <v>0.15047323365600698</v>
      </c>
      <c r="BT246" s="456">
        <f t="shared" si="701"/>
        <v>2.1653550664973605E-3</v>
      </c>
      <c r="BU246" s="456">
        <f t="shared" si="702"/>
        <v>13.589185825599449</v>
      </c>
      <c r="BV246" s="456"/>
      <c r="BW246" s="538">
        <f t="shared" si="703"/>
        <v>1.5970212765957452</v>
      </c>
      <c r="BX246" s="144">
        <f t="shared" si="704"/>
        <v>15388.246610335405</v>
      </c>
      <c r="BY246" s="150">
        <f t="shared" si="705"/>
        <v>20.93478949594892</v>
      </c>
      <c r="BZ246" s="5">
        <f t="shared" si="706"/>
        <v>37.53</v>
      </c>
      <c r="CA246" s="150">
        <f t="shared" si="707"/>
        <v>0.64192482900499437</v>
      </c>
      <c r="CB246" s="5">
        <f t="shared" si="708"/>
        <v>64.192482900499442</v>
      </c>
      <c r="CC246">
        <f t="shared" si="709"/>
        <v>30</v>
      </c>
      <c r="CE246" s="59">
        <f t="shared" si="648"/>
        <v>-50</v>
      </c>
      <c r="CG246" s="150">
        <f t="shared" si="649"/>
        <v>0.36276714294434104</v>
      </c>
      <c r="CH246" s="150">
        <f t="shared" si="650"/>
        <v>7.9171230546497412E-2</v>
      </c>
      <c r="CI246" s="147">
        <v>30</v>
      </c>
      <c r="CJ246" s="188">
        <f t="shared" si="710"/>
        <v>1.2</v>
      </c>
      <c r="CK246" s="188">
        <f t="shared" si="651"/>
        <v>0.255</v>
      </c>
      <c r="CL246" s="188">
        <f t="shared" si="652"/>
        <v>36</v>
      </c>
      <c r="CM246" s="188">
        <f t="shared" si="653"/>
        <v>1.53</v>
      </c>
      <c r="CN246" s="465">
        <f t="shared" si="654"/>
        <v>48</v>
      </c>
      <c r="CO246" s="379">
        <f t="shared" si="655"/>
        <v>30.7</v>
      </c>
      <c r="CP246" s="379">
        <f t="shared" si="656"/>
        <v>78.7</v>
      </c>
      <c r="CQ246" s="379"/>
      <c r="CR246" s="188">
        <f t="shared" si="657"/>
        <v>0.38775510204081626</v>
      </c>
      <c r="CS246" s="149">
        <f t="shared" si="658"/>
        <v>270.50715642699197</v>
      </c>
      <c r="CT246" s="149">
        <f t="shared" si="659"/>
        <v>11.496554148147156</v>
      </c>
      <c r="CU246" s="188">
        <f t="shared" si="660"/>
        <v>9.0169052142330663</v>
      </c>
      <c r="CV246" s="188">
        <f t="shared" si="661"/>
        <v>45.084526071165328</v>
      </c>
      <c r="CW246" s="188">
        <f t="shared" si="662"/>
        <v>30</v>
      </c>
      <c r="CX246" s="188">
        <f t="shared" si="663"/>
        <v>4.0328289473684222</v>
      </c>
      <c r="CY246" s="188">
        <f t="shared" si="664"/>
        <v>0.39488116776315801</v>
      </c>
      <c r="CZ246" s="188">
        <f t="shared" si="665"/>
        <v>0.6174037802160125</v>
      </c>
      <c r="DA246" s="172">
        <f t="shared" si="666"/>
        <v>350</v>
      </c>
      <c r="DB246" s="379">
        <f t="shared" si="667"/>
        <v>350</v>
      </c>
      <c r="DD246" s="188">
        <f t="shared" si="668"/>
        <v>11.382534575916392</v>
      </c>
      <c r="DE246" s="150">
        <f t="shared" si="669"/>
        <v>1.7426030132510437</v>
      </c>
      <c r="DF246" s="150">
        <f t="shared" si="670"/>
        <v>3.3296564353233258</v>
      </c>
      <c r="DG246" s="150"/>
      <c r="DH246" s="150">
        <f t="shared" si="671"/>
        <v>0.92784522751949461</v>
      </c>
      <c r="DI246" s="314">
        <f t="shared" si="672"/>
        <v>444.93412021276595</v>
      </c>
      <c r="DJ246" s="456">
        <f t="shared" si="673"/>
        <v>0.94395997276890675</v>
      </c>
      <c r="DL246" s="150">
        <f t="shared" si="674"/>
        <v>6.7549374039517938</v>
      </c>
      <c r="DM246" s="150">
        <f t="shared" si="675"/>
        <v>6.7549374039517938</v>
      </c>
      <c r="DN246" s="150">
        <f t="shared" si="676"/>
        <v>1.714319513589432</v>
      </c>
      <c r="DP246" s="314">
        <f t="shared" si="677"/>
        <v>1200</v>
      </c>
      <c r="DQ246" s="144">
        <f t="shared" si="678"/>
        <v>350</v>
      </c>
      <c r="DS246">
        <f t="shared" si="679"/>
        <v>1200</v>
      </c>
      <c r="DT246">
        <f t="shared" si="680"/>
        <v>350</v>
      </c>
      <c r="DV246" s="5">
        <f t="shared" si="681"/>
        <v>2.8571428571428572</v>
      </c>
      <c r="DW246" s="5">
        <f t="shared" si="682"/>
        <v>0.66142095413694635</v>
      </c>
      <c r="DX246" s="5">
        <f t="shared" si="683"/>
        <v>2.1957219030059107</v>
      </c>
      <c r="DY246" s="150">
        <f t="shared" si="684"/>
        <v>0.23149733394793121</v>
      </c>
      <c r="EA246" s="5">
        <f t="shared" si="711"/>
        <v>2.6456838165477854</v>
      </c>
      <c r="EB246" s="5">
        <f t="shared" si="712"/>
        <v>2.8110390550820221</v>
      </c>
      <c r="EC246" s="5">
        <f t="shared" si="713"/>
        <v>0.96870083956143116</v>
      </c>
      <c r="ED246" s="5"/>
      <c r="EE246" s="150">
        <f t="shared" si="714"/>
        <v>1.8764357494489043</v>
      </c>
      <c r="EF246" s="150">
        <f t="shared" si="715"/>
        <v>3.2794976733437688</v>
      </c>
      <c r="EG246" s="150">
        <f t="shared" si="716"/>
        <v>0.65829609066081263</v>
      </c>
      <c r="EH246" s="150"/>
      <c r="EI246" s="456">
        <f t="shared" si="717"/>
        <v>4.2252133461718452E-2</v>
      </c>
      <c r="EJ246" s="456">
        <f t="shared" si="718"/>
        <v>3.535230265045191</v>
      </c>
      <c r="EK246" s="456">
        <f t="shared" si="719"/>
        <v>4.0250000000000001E-2</v>
      </c>
      <c r="EL246" s="456">
        <f t="shared" si="720"/>
        <v>1.1218321012500001</v>
      </c>
      <c r="EM246">
        <f t="shared" si="721"/>
        <v>2.1600000000000001E-2</v>
      </c>
      <c r="EN246" s="144">
        <f t="shared" si="722"/>
        <v>61.85</v>
      </c>
      <c r="EP246" s="144">
        <f t="shared" si="723"/>
        <v>4761.1644997569092</v>
      </c>
      <c r="EQ246" s="150">
        <f t="shared" si="724"/>
        <v>0.84</v>
      </c>
      <c r="ER246" s="150">
        <f t="shared" si="685"/>
        <v>0.122145</v>
      </c>
      <c r="ES246" s="456"/>
      <c r="EU246" s="144">
        <f t="shared" si="725"/>
        <v>962.14499999999998</v>
      </c>
      <c r="EV246" s="456">
        <f t="shared" si="726"/>
        <v>4.9294155705338197E-2</v>
      </c>
      <c r="EW246" s="456">
        <f t="shared" si="727"/>
        <v>0.15057146985254072</v>
      </c>
      <c r="EX246" s="456">
        <f t="shared" si="728"/>
        <v>2.1667687148965442E-3</v>
      </c>
      <c r="EY246" s="456">
        <f t="shared" si="729"/>
        <v>13.589185825599449</v>
      </c>
      <c r="EZ246" s="456"/>
      <c r="FA246" s="538">
        <f t="shared" si="730"/>
        <v>1.5970212765957452</v>
      </c>
      <c r="FB246" s="144">
        <f t="shared" si="731"/>
        <v>15388.23949646797</v>
      </c>
      <c r="FC246" s="150">
        <f t="shared" si="732"/>
        <v>21.111548996224883</v>
      </c>
      <c r="FD246" s="5">
        <f t="shared" si="733"/>
        <v>37.53</v>
      </c>
      <c r="FE246" s="150">
        <f t="shared" si="734"/>
        <v>0.6399899157236798</v>
      </c>
      <c r="FF246" s="5">
        <f t="shared" si="735"/>
        <v>63.998991572367977</v>
      </c>
      <c r="FG246">
        <f t="shared" si="736"/>
        <v>30</v>
      </c>
      <c r="FI246" s="59">
        <f t="shared" si="686"/>
        <v>-50</v>
      </c>
    </row>
    <row r="247" spans="5:165">
      <c r="E247" s="147">
        <v>31</v>
      </c>
      <c r="F247" s="188">
        <f t="shared" si="687"/>
        <v>1.24</v>
      </c>
      <c r="G247" s="188">
        <f t="shared" si="615"/>
        <v>0.26350000000000001</v>
      </c>
      <c r="H247" s="188">
        <f t="shared" si="616"/>
        <v>37.200000000000003</v>
      </c>
      <c r="I247" s="188">
        <f t="shared" si="617"/>
        <v>1.581</v>
      </c>
      <c r="J247" s="465">
        <f t="shared" si="618"/>
        <v>47.894549148314333</v>
      </c>
      <c r="K247" s="379">
        <f t="shared" si="619"/>
        <v>30.777319320375813</v>
      </c>
      <c r="L247" s="149">
        <f t="shared" si="620"/>
        <v>78.67186846869015</v>
      </c>
      <c r="M247" s="379"/>
      <c r="N247" s="188">
        <f t="shared" si="621"/>
        <v>0.39121124131714985</v>
      </c>
      <c r="O247" s="149">
        <f t="shared" si="622"/>
        <v>272.31866905947669</v>
      </c>
      <c r="P247" s="149">
        <f t="shared" si="623"/>
        <v>11.573543435027759</v>
      </c>
      <c r="Q247" s="188">
        <f t="shared" si="624"/>
        <v>9.0772889686492224</v>
      </c>
      <c r="R247" s="188">
        <f t="shared" si="625"/>
        <v>45.386444843246117</v>
      </c>
      <c r="S247" s="188">
        <f t="shared" si="626"/>
        <v>30</v>
      </c>
      <c r="T247" s="188">
        <f t="shared" si="627"/>
        <v>4.1395352407018473</v>
      </c>
      <c r="U247" s="188">
        <f t="shared" si="628"/>
        <v>0.40622191830327392</v>
      </c>
      <c r="V247" s="188">
        <f t="shared" si="629"/>
        <v>0.63214783031536326</v>
      </c>
      <c r="W247" s="172">
        <f t="shared" si="630"/>
        <v>350</v>
      </c>
      <c r="X247" s="379">
        <f t="shared" si="688"/>
        <v>350</v>
      </c>
      <c r="Z247" s="188">
        <f t="shared" si="631"/>
        <v>11.390204270296225</v>
      </c>
      <c r="AA247" s="150">
        <f t="shared" si="632"/>
        <v>1.7393964533795716</v>
      </c>
      <c r="AB247" s="150">
        <f t="shared" si="633"/>
        <v>3.3257689778694184</v>
      </c>
      <c r="AC247" s="150"/>
      <c r="AD247" s="150">
        <f t="shared" si="634"/>
        <v>0.9255142784963204</v>
      </c>
      <c r="AE247" s="314">
        <f t="shared" si="635"/>
        <v>460.92319687717918</v>
      </c>
      <c r="AF247" s="456">
        <f t="shared" si="636"/>
        <v>0.94158854000061665</v>
      </c>
      <c r="AH247" s="150">
        <f t="shared" si="637"/>
        <v>6.866596826353204</v>
      </c>
      <c r="AI247" s="150">
        <f t="shared" si="638"/>
        <v>6.866596826353204</v>
      </c>
      <c r="AJ247" s="150">
        <f t="shared" si="639"/>
        <v>1.797030196849736</v>
      </c>
      <c r="AL247" s="314">
        <f t="shared" si="640"/>
        <v>1240</v>
      </c>
      <c r="AM247" s="144">
        <f t="shared" si="641"/>
        <v>350</v>
      </c>
      <c r="AO247">
        <f t="shared" si="642"/>
        <v>1240</v>
      </c>
      <c r="AP247">
        <f t="shared" si="643"/>
        <v>350</v>
      </c>
      <c r="AR247" s="5">
        <f t="shared" si="614"/>
        <v>2.8571428571428572</v>
      </c>
      <c r="AS247" s="5">
        <f t="shared" si="737"/>
        <v>0.67383461495630181</v>
      </c>
      <c r="AT247" s="5">
        <f t="shared" si="738"/>
        <v>2.1833082421865555</v>
      </c>
      <c r="AU247" s="150">
        <f t="shared" si="739"/>
        <v>0.23584211523470563</v>
      </c>
      <c r="BA247" s="150">
        <f t="shared" si="689"/>
        <v>1.925269814474768</v>
      </c>
      <c r="BB247" s="150">
        <f t="shared" si="690"/>
        <v>3.3242708913803725</v>
      </c>
      <c r="BC247" s="150">
        <f t="shared" si="691"/>
        <v>0.66728345315823689</v>
      </c>
      <c r="BD247" s="150"/>
      <c r="BE247" s="456">
        <f t="shared" si="692"/>
        <v>4.4479966302332488E-2</v>
      </c>
      <c r="BF247" s="456">
        <f t="shared" si="644"/>
        <v>3.4505786150130815</v>
      </c>
      <c r="BG247" s="456">
        <f t="shared" si="693"/>
        <v>4.0250000000000001E-2</v>
      </c>
      <c r="BH247" s="456">
        <f t="shared" si="694"/>
        <v>1.1210302406532782</v>
      </c>
      <c r="BI247">
        <f t="shared" si="695"/>
        <v>2.1552547116741448E-2</v>
      </c>
      <c r="BJ247" s="144">
        <f t="shared" si="696"/>
        <v>61.802547116741451</v>
      </c>
      <c r="BK247">
        <f t="shared" si="645"/>
        <v>4.6775326358496283</v>
      </c>
      <c r="BL247" s="144">
        <f t="shared" si="697"/>
        <v>4677.8913690854333</v>
      </c>
      <c r="BM247" s="150">
        <f t="shared" si="646"/>
        <v>0.83154399999999995</v>
      </c>
      <c r="BN247" s="150">
        <f t="shared" si="647"/>
        <v>0.12621650000000001</v>
      </c>
      <c r="BQ247" s="144">
        <f t="shared" si="698"/>
        <v>957.76049999999998</v>
      </c>
      <c r="BR247" s="456">
        <f t="shared" si="699"/>
        <v>5.1893294019387907E-2</v>
      </c>
      <c r="BS247" s="456">
        <f t="shared" si="700"/>
        <v>0.154710877429904</v>
      </c>
      <c r="BT247" s="456">
        <f t="shared" si="701"/>
        <v>2.2263360342939047E-3</v>
      </c>
      <c r="BU247" s="456">
        <f t="shared" si="702"/>
        <v>14.157741756599076</v>
      </c>
      <c r="BV247" s="456"/>
      <c r="BW247" s="538">
        <f t="shared" si="703"/>
        <v>1.6502553191489362</v>
      </c>
      <c r="BX247" s="144">
        <f t="shared" si="704"/>
        <v>16016.827583231599</v>
      </c>
      <c r="BY247" s="150">
        <f t="shared" si="705"/>
        <v>21.652479452317031</v>
      </c>
      <c r="BZ247" s="5">
        <f t="shared" si="706"/>
        <v>38.781000000000006</v>
      </c>
      <c r="CA247" s="150">
        <f t="shared" si="707"/>
        <v>0.64171383728780373</v>
      </c>
      <c r="CB247" s="5">
        <f t="shared" si="708"/>
        <v>64.17138372878037</v>
      </c>
      <c r="CC247">
        <f t="shared" si="709"/>
        <v>31</v>
      </c>
      <c r="CE247" s="59">
        <f t="shared" si="648"/>
        <v>-50</v>
      </c>
      <c r="CG247" s="150">
        <f t="shared" si="649"/>
        <v>0.36876370031046529</v>
      </c>
      <c r="CH247" s="150">
        <f t="shared" si="650"/>
        <v>8.0479934586961066E-2</v>
      </c>
      <c r="CI247" s="147">
        <v>31</v>
      </c>
      <c r="CJ247" s="188">
        <f t="shared" si="710"/>
        <v>1.24</v>
      </c>
      <c r="CK247" s="188">
        <f t="shared" si="651"/>
        <v>0.26350000000000001</v>
      </c>
      <c r="CL247" s="188">
        <f t="shared" si="652"/>
        <v>37.200000000000003</v>
      </c>
      <c r="CM247" s="188">
        <f t="shared" si="653"/>
        <v>1.581</v>
      </c>
      <c r="CN247" s="465">
        <f t="shared" si="654"/>
        <v>48</v>
      </c>
      <c r="CO247" s="379">
        <f t="shared" si="655"/>
        <v>30.7</v>
      </c>
      <c r="CP247" s="379">
        <f t="shared" si="656"/>
        <v>78.7</v>
      </c>
      <c r="CQ247" s="379"/>
      <c r="CR247" s="188">
        <f t="shared" si="657"/>
        <v>0.38775510204081626</v>
      </c>
      <c r="CS247" s="149">
        <f t="shared" si="658"/>
        <v>270.50715642699197</v>
      </c>
      <c r="CT247" s="149">
        <f t="shared" si="659"/>
        <v>11.496554148147156</v>
      </c>
      <c r="CU247" s="188">
        <f t="shared" si="660"/>
        <v>9.0169052142330663</v>
      </c>
      <c r="CV247" s="188">
        <f t="shared" si="661"/>
        <v>45.084526071165328</v>
      </c>
      <c r="CW247" s="188">
        <f t="shared" si="662"/>
        <v>30</v>
      </c>
      <c r="CX247" s="188">
        <f t="shared" si="663"/>
        <v>4.1672565789473701</v>
      </c>
      <c r="CY247" s="188">
        <f t="shared" si="664"/>
        <v>0.40804387335526332</v>
      </c>
      <c r="CZ247" s="188">
        <f t="shared" si="665"/>
        <v>0.63798390622321299</v>
      </c>
      <c r="DA247" s="172">
        <f t="shared" si="666"/>
        <v>350</v>
      </c>
      <c r="DB247" s="379">
        <f t="shared" si="667"/>
        <v>350</v>
      </c>
      <c r="DD247" s="188">
        <f t="shared" si="668"/>
        <v>11.382534575916392</v>
      </c>
      <c r="DE247" s="150">
        <f t="shared" si="669"/>
        <v>1.7426030132510437</v>
      </c>
      <c r="DF247" s="150">
        <f t="shared" si="670"/>
        <v>3.3296564353233258</v>
      </c>
      <c r="DG247" s="150"/>
      <c r="DH247" s="150">
        <f t="shared" si="671"/>
        <v>0.92784522751949461</v>
      </c>
      <c r="DI247" s="314">
        <f t="shared" si="672"/>
        <v>459.76525755319147</v>
      </c>
      <c r="DJ247" s="456">
        <f t="shared" si="673"/>
        <v>0.94395997276890675</v>
      </c>
      <c r="DL247" s="150">
        <f t="shared" si="674"/>
        <v>6.866596826353204</v>
      </c>
      <c r="DM247" s="150">
        <f t="shared" si="675"/>
        <v>6.866596826353204</v>
      </c>
      <c r="DN247" s="150">
        <f t="shared" si="676"/>
        <v>1.797030196849736</v>
      </c>
      <c r="DP247" s="314">
        <f t="shared" si="677"/>
        <v>1240</v>
      </c>
      <c r="DQ247" s="144">
        <f t="shared" si="678"/>
        <v>350</v>
      </c>
      <c r="DS247">
        <f t="shared" si="679"/>
        <v>1240</v>
      </c>
      <c r="DT247">
        <f t="shared" si="680"/>
        <v>350</v>
      </c>
      <c r="DV247" s="5">
        <f t="shared" si="681"/>
        <v>2.8571428571428572</v>
      </c>
      <c r="DW247" s="5">
        <f t="shared" si="682"/>
        <v>0.6723542725804178</v>
      </c>
      <c r="DX247" s="5">
        <f t="shared" si="683"/>
        <v>2.1847885845624395</v>
      </c>
      <c r="DY247" s="150">
        <f t="shared" si="684"/>
        <v>0.23532399540314622</v>
      </c>
      <c r="EA247" s="5">
        <f t="shared" si="711"/>
        <v>2.7790643266657269</v>
      </c>
      <c r="EB247" s="5">
        <f t="shared" si="712"/>
        <v>2.9527558470823347</v>
      </c>
      <c r="EC247" s="5">
        <f t="shared" si="713"/>
        <v>0.99600656060934734</v>
      </c>
      <c r="ED247" s="5"/>
      <c r="EE247" s="150">
        <f t="shared" si="714"/>
        <v>1.9231538460545723</v>
      </c>
      <c r="EF247" s="150">
        <f t="shared" si="715"/>
        <v>3.3253976734590664</v>
      </c>
      <c r="EG247" s="150">
        <f t="shared" si="716"/>
        <v>0.66750963299164856</v>
      </c>
      <c r="EH247" s="150"/>
      <c r="EI247" s="456">
        <f t="shared" si="717"/>
        <v>4.4382248587133924E-2</v>
      </c>
      <c r="EJ247" s="456">
        <f t="shared" si="718"/>
        <v>3.5936677820560816</v>
      </c>
      <c r="EK247" s="456">
        <f t="shared" si="719"/>
        <v>4.0250000000000001E-2</v>
      </c>
      <c r="EL247" s="456">
        <f t="shared" si="720"/>
        <v>1.1218321012500001</v>
      </c>
      <c r="EM247">
        <f t="shared" si="721"/>
        <v>2.1600000000000001E-2</v>
      </c>
      <c r="EN247" s="144">
        <f t="shared" si="722"/>
        <v>61.85</v>
      </c>
      <c r="EP247" s="144">
        <f t="shared" si="723"/>
        <v>4821.7321318932163</v>
      </c>
      <c r="EQ247" s="150">
        <f t="shared" si="724"/>
        <v>0.86799999999999999</v>
      </c>
      <c r="ER247" s="150">
        <f t="shared" si="685"/>
        <v>0.12621650000000001</v>
      </c>
      <c r="ES247" s="456"/>
      <c r="EU247" s="144">
        <f t="shared" si="725"/>
        <v>994.21650000000011</v>
      </c>
      <c r="EV247" s="456">
        <f t="shared" si="726"/>
        <v>5.1779290018322911E-2</v>
      </c>
      <c r="EW247" s="456">
        <f t="shared" si="727"/>
        <v>0.15481577561305759</v>
      </c>
      <c r="EX247" s="456">
        <f t="shared" si="728"/>
        <v>2.2278455506832269E-3</v>
      </c>
      <c r="EY247" s="456">
        <f t="shared" si="729"/>
        <v>14.157741756599076</v>
      </c>
      <c r="EZ247" s="456"/>
      <c r="FA247" s="538">
        <f t="shared" si="730"/>
        <v>1.6502553191489362</v>
      </c>
      <c r="FB247" s="144">
        <f t="shared" si="731"/>
        <v>16016.819986930077</v>
      </c>
      <c r="FC247" s="150">
        <f t="shared" si="732"/>
        <v>21.832768618823291</v>
      </c>
      <c r="FD247" s="5">
        <f t="shared" si="733"/>
        <v>38.781000000000006</v>
      </c>
      <c r="FE247" s="150">
        <f t="shared" si="734"/>
        <v>0.63980512816945623</v>
      </c>
      <c r="FF247" s="5">
        <f t="shared" si="735"/>
        <v>63.98051281694562</v>
      </c>
      <c r="FG247">
        <f t="shared" si="736"/>
        <v>31</v>
      </c>
      <c r="FI247" s="59">
        <f t="shared" si="686"/>
        <v>-50</v>
      </c>
    </row>
    <row r="248" spans="5:165">
      <c r="E248" s="147">
        <v>32</v>
      </c>
      <c r="F248" s="188">
        <f t="shared" si="687"/>
        <v>1.28</v>
      </c>
      <c r="G248" s="188">
        <f t="shared" ref="G248:G279" si="740">IF(PLOT_TYPE=1, E248/100*Iout2, min_I*EXP(Q248*rr/100))</f>
        <v>0.27200000000000002</v>
      </c>
      <c r="H248" s="188">
        <f t="shared" ref="H248:H279" si="741">F248*Vout</f>
        <v>38.4</v>
      </c>
      <c r="I248" s="188">
        <f t="shared" ref="I248:I279" si="742">Vout2*G248</f>
        <v>1.6320000000000001</v>
      </c>
      <c r="J248" s="465">
        <f t="shared" ref="J248:J279" si="743">VIN_max-(F248/CG248/Nps+G248/CH248/(Nps/Nsec1sec2))*(Rdcr_pri+RON/1000)</f>
        <v>47.89286182754914</v>
      </c>
      <c r="K248" s="379">
        <f t="shared" ref="K248:K279" si="744">MAX((S248+Vfwd2+Rdcr_sec*F248/CG248)*Nps,(Vout2+Vfwd22+Rdcr_sec2*G248/CH248)*Nps/Nsec1sec2)</f>
        <v>30.778556508058372</v>
      </c>
      <c r="L248" s="149">
        <f t="shared" ref="L248:L279" si="745">MAX((Vout+Vfwd2+F248/CG248*Rdcr_sec)*Nps+J248, (Vout2+Vfwd22+G248/CH248*Rdcr_sec2)*Nps/Nsec1sec2+J248)</f>
        <v>78.671418335607513</v>
      </c>
      <c r="M248" s="379"/>
      <c r="N248" s="188">
        <f t="shared" ref="N248:N279" si="746">MAX((Vout+Vfwd2+F248/CG248*Rdcr_sec)*Nps/((Vout+Vfwd2+F248/CG248*Rdcr_sec)*Nps+J248), (Vout2+Vfwd22+G248/CH248*Rdcr_sec2)*Nps/Nsec1sec2/((Vout2+Vfwd22+G248/CH248*Rdcr_sec2)*Nps/Nsec1sec2+J248))</f>
        <v>0.39122920571685782</v>
      </c>
      <c r="O248" s="149">
        <f t="shared" ref="O248:O279" si="747">N248*J248*Isw_max*0.5*Efficiency*Pout/(Pout+Pout2)</f>
        <v>272.3215797151264</v>
      </c>
      <c r="P248" s="149">
        <f t="shared" ref="P248:P279" si="748">N248*J248*Isw_max*0.5*Efficiency*(Pout2/Pout_total)</f>
        <v>11.573667137892871</v>
      </c>
      <c r="Q248" s="188">
        <f t="shared" si="624"/>
        <v>9.0773859905042134</v>
      </c>
      <c r="R248" s="188">
        <f t="shared" ref="R248:R279" si="749">O248/Vout2</f>
        <v>45.386929952521065</v>
      </c>
      <c r="S248" s="188">
        <f t="shared" ref="S248:S279" si="750">MIN(Vout,O248/F248)</f>
        <v>30</v>
      </c>
      <c r="T248" s="188">
        <f t="shared" ref="T248:T279" si="751">MIN(2*(Vout*F248+Vout2*G248)/(Efficiency*J248*N248), Isw_max)</f>
        <v>4.2730229637094315</v>
      </c>
      <c r="U248" s="188">
        <f t="shared" si="628"/>
        <v>0.41933614244538586</v>
      </c>
      <c r="V248" s="188">
        <f t="shared" si="629"/>
        <v>0.65250649179002884</v>
      </c>
      <c r="W248" s="172">
        <f t="shared" si="630"/>
        <v>350</v>
      </c>
      <c r="X248" s="379">
        <f t="shared" si="688"/>
        <v>350</v>
      </c>
      <c r="Z248" s="188">
        <f t="shared" si="631"/>
        <v>11.390326013555788</v>
      </c>
      <c r="AA248" s="150">
        <f t="shared" si="632"/>
        <v>1.7393451265232636</v>
      </c>
      <c r="AB248" s="150">
        <f t="shared" ref="AB248:AB279" si="752">0.5*AA248*Z248*Nps*W248/1000*(Pout/(Pout+Pout2))</f>
        <v>3.3257063858111726</v>
      </c>
      <c r="AC248" s="150"/>
      <c r="AD248" s="150">
        <f t="shared" si="634"/>
        <v>0.92547707613872809</v>
      </c>
      <c r="AE248" s="314">
        <f t="shared" ref="AE248:AE279" si="753">MAX(10, F248/(0.5*AD248/1000000*Isw_min*Nps)/1000*Pout_total/Pout)</f>
        <v>475.81081298872891</v>
      </c>
      <c r="AF248" s="456">
        <f t="shared" ref="AF248:AF279" si="754">0.5*AD248/1000000*Isw_min*Nps*W248*1000*(Pout/Pout_total)</f>
        <v>0.94155069151531079</v>
      </c>
      <c r="AH248" s="150">
        <f t="shared" ref="AH248:AH279" si="755">SQRT((H248+I248)/(0.5*L*Fsw_DCM))</f>
        <v>6.9764693520476948</v>
      </c>
      <c r="AI248" s="150">
        <f t="shared" ref="AI248:AI279" si="756">MAX(IF(F248&gt;AB248,T248,AH248),Isw_min)</f>
        <v>6.9764693520476948</v>
      </c>
      <c r="AJ248" s="150">
        <f t="shared" ref="AJ248:AJ279" si="757">IF(F248&gt;AF248, (AI248-Isw_min)/1.08*0.8+1.2, AE248*0.2/350+1)</f>
        <v>1.8784172529197289</v>
      </c>
      <c r="AL248" s="314">
        <f t="shared" ref="AL248:AL279" si="758">F248*1000</f>
        <v>1280</v>
      </c>
      <c r="AM248" s="144">
        <f t="shared" ref="AM248:AM279" si="759">IF(F248&gt;AF248, X248, AE248)</f>
        <v>350</v>
      </c>
      <c r="AO248">
        <f t="shared" si="642"/>
        <v>1280</v>
      </c>
      <c r="AP248">
        <f t="shared" si="643"/>
        <v>350</v>
      </c>
      <c r="AR248" s="5">
        <f t="shared" si="614"/>
        <v>2.8571428571428572</v>
      </c>
      <c r="AS248" s="5">
        <f t="shared" si="737"/>
        <v>0.68464077324698314</v>
      </c>
      <c r="AT248" s="5">
        <f t="shared" si="738"/>
        <v>2.172502083895874</v>
      </c>
      <c r="AU248" s="150">
        <f t="shared" si="739"/>
        <v>0.23962427063644409</v>
      </c>
      <c r="BA248" s="150">
        <f t="shared" si="689"/>
        <v>1.9716983151704133</v>
      </c>
      <c r="BB248" s="150">
        <f t="shared" si="690"/>
        <v>3.369093956996879</v>
      </c>
      <c r="BC248" s="150">
        <f t="shared" si="691"/>
        <v>0.67628082159871949</v>
      </c>
      <c r="BD248" s="150"/>
      <c r="BE248" s="456">
        <f t="shared" si="692"/>
        <v>4.6651130952550156E-2</v>
      </c>
      <c r="BF248" s="456">
        <f t="shared" ref="BF248:BF279" si="760">0.5*L248*AI248*AM248*1000*Tfall</f>
        <v>3.5057713197268727</v>
      </c>
      <c r="BG248" s="456">
        <f t="shared" si="693"/>
        <v>4.0250000000000001E-2</v>
      </c>
      <c r="BH248" s="456">
        <f t="shared" si="694"/>
        <v>1.1210174123993124</v>
      </c>
      <c r="BI248">
        <f t="shared" si="695"/>
        <v>2.1551787822397112E-2</v>
      </c>
      <c r="BJ248" s="144">
        <f t="shared" si="696"/>
        <v>61.80178782239711</v>
      </c>
      <c r="BK248">
        <f t="shared" ref="BK248:BK279" si="761">(BF248+BG248*0+BH248+BI248*0+BE248*(1+RdsonTC*(Ta-25)))/(1-BE248*RdsonTC*ThetaJA)</f>
        <v>4.7385593228313336</v>
      </c>
      <c r="BL248" s="144">
        <f t="shared" si="697"/>
        <v>4735.2416509011327</v>
      </c>
      <c r="BM248" s="150">
        <f t="shared" ref="BM248:BM279" si="762">Vfwd2*F248*(1+Diode_TC/1000*(Ta-25))</f>
        <v>0.85836799999999991</v>
      </c>
      <c r="BN248" s="150">
        <f t="shared" ref="BN248:BN279" si="763">Vfwd22*G248*(1+Diode_TC/1000*(Ta-25))</f>
        <v>0.13028800000000001</v>
      </c>
      <c r="BQ248" s="144">
        <f t="shared" si="698"/>
        <v>988.65599999999995</v>
      </c>
      <c r="BR248" s="456">
        <f t="shared" si="699"/>
        <v>5.4426319444641852E-2</v>
      </c>
      <c r="BS248" s="456">
        <f t="shared" si="700"/>
        <v>0.15891111727502044</v>
      </c>
      <c r="BT248" s="456">
        <f t="shared" si="701"/>
        <v>2.2867787483111953E-3</v>
      </c>
      <c r="BU248" s="456">
        <f t="shared" si="702"/>
        <v>14.73090205599058</v>
      </c>
      <c r="BV248" s="456"/>
      <c r="BW248" s="538">
        <f t="shared" si="703"/>
        <v>1.7034893617021274</v>
      </c>
      <c r="BX248" s="144">
        <f t="shared" si="704"/>
        <v>16650.015633160681</v>
      </c>
      <c r="BY248" s="150">
        <f t="shared" si="705"/>
        <v>22.373913284061814</v>
      </c>
      <c r="BZ248" s="5">
        <f t="shared" si="706"/>
        <v>40.031999999999996</v>
      </c>
      <c r="CA248" s="150">
        <f t="shared" si="707"/>
        <v>0.64147767244076193</v>
      </c>
      <c r="CB248" s="5">
        <f t="shared" si="708"/>
        <v>64.147767244076192</v>
      </c>
      <c r="CC248">
        <f t="shared" si="709"/>
        <v>32</v>
      </c>
      <c r="CE248" s="59">
        <f t="shared" ref="CE248:CE279" si="764">IF(ABS(F248-Ioutmax_Vinmax)&lt;Iout/200, AM248, -50)</f>
        <v>-50</v>
      </c>
      <c r="CG248" s="150">
        <f t="shared" ref="CG248:CG279" si="765">MIN(SQRT(2*DT248*1000*Ls1_*CL248)/CW248, 1-DY248)</f>
        <v>0.37466429417991426</v>
      </c>
      <c r="CH248" s="150">
        <f t="shared" ref="CH248:CH279" si="766">MIN(SQRT(2*DT248*1000*Ls2_*CM248)/Vout2, 1-DY248)</f>
        <v>8.1767695308088639E-2</v>
      </c>
      <c r="CI248" s="147">
        <v>32</v>
      </c>
      <c r="CJ248" s="188">
        <f t="shared" si="710"/>
        <v>1.28</v>
      </c>
      <c r="CK248" s="188">
        <f t="shared" si="651"/>
        <v>0.27200000000000002</v>
      </c>
      <c r="CL248" s="188">
        <f t="shared" si="652"/>
        <v>38.4</v>
      </c>
      <c r="CM248" s="188">
        <f t="shared" si="653"/>
        <v>1.6320000000000001</v>
      </c>
      <c r="CN248" s="465">
        <f t="shared" si="654"/>
        <v>48</v>
      </c>
      <c r="CO248" s="379">
        <f t="shared" ref="CO248:CO279" si="767">(CW248+Vfwd2)*Nps</f>
        <v>30.7</v>
      </c>
      <c r="CP248" s="379">
        <f t="shared" ref="CP248:CP279" si="768">(Vout+Vfwd2)*Nps+CN248</f>
        <v>78.7</v>
      </c>
      <c r="CQ248" s="379"/>
      <c r="CR248" s="188">
        <f t="shared" si="657"/>
        <v>0.38775510204081626</v>
      </c>
      <c r="CS248" s="149">
        <f t="shared" si="658"/>
        <v>270.50715642699197</v>
      </c>
      <c r="CT248" s="149">
        <f t="shared" si="659"/>
        <v>11.496554148147156</v>
      </c>
      <c r="CU248" s="188">
        <f t="shared" si="660"/>
        <v>9.0169052142330663</v>
      </c>
      <c r="CV248" s="188">
        <f t="shared" si="661"/>
        <v>45.084526071165328</v>
      </c>
      <c r="CW248" s="188">
        <f t="shared" si="662"/>
        <v>30</v>
      </c>
      <c r="CX248" s="188">
        <f t="shared" si="663"/>
        <v>4.3016842105263162</v>
      </c>
      <c r="CY248" s="188">
        <f t="shared" si="664"/>
        <v>0.42120657894736846</v>
      </c>
      <c r="CZ248" s="188">
        <f t="shared" si="665"/>
        <v>0.65856403223041327</v>
      </c>
      <c r="DA248" s="172">
        <f t="shared" si="666"/>
        <v>350</v>
      </c>
      <c r="DB248" s="379">
        <f t="shared" si="667"/>
        <v>350</v>
      </c>
      <c r="DD248" s="188">
        <f t="shared" si="668"/>
        <v>11.382534575916392</v>
      </c>
      <c r="DE248" s="150">
        <f t="shared" si="669"/>
        <v>1.7426030132510437</v>
      </c>
      <c r="DF248" s="150">
        <f t="shared" si="670"/>
        <v>3.3296564353233258</v>
      </c>
      <c r="DG248" s="150"/>
      <c r="DH248" s="150">
        <f t="shared" si="671"/>
        <v>0.92784522751949461</v>
      </c>
      <c r="DI248" s="314">
        <f t="shared" si="672"/>
        <v>474.59639489361706</v>
      </c>
      <c r="DJ248" s="456">
        <f t="shared" si="673"/>
        <v>0.94395997276890675</v>
      </c>
      <c r="DL248" s="150">
        <f t="shared" si="674"/>
        <v>6.9764693520476948</v>
      </c>
      <c r="DM248" s="150">
        <f t="shared" si="675"/>
        <v>6.9764693520476948</v>
      </c>
      <c r="DN248" s="150">
        <f t="shared" si="676"/>
        <v>1.8784172529197289</v>
      </c>
      <c r="DP248" s="314">
        <f t="shared" si="677"/>
        <v>1280</v>
      </c>
      <c r="DQ248" s="144">
        <f t="shared" si="678"/>
        <v>350</v>
      </c>
      <c r="DS248">
        <f t="shared" si="679"/>
        <v>1280</v>
      </c>
      <c r="DT248">
        <f t="shared" si="680"/>
        <v>350</v>
      </c>
      <c r="DV248" s="5">
        <f t="shared" si="681"/>
        <v>2.8571428571428572</v>
      </c>
      <c r="DW248" s="5">
        <f t="shared" si="682"/>
        <v>0.6831126240546701</v>
      </c>
      <c r="DX248" s="5">
        <f t="shared" si="683"/>
        <v>2.1740302330881871</v>
      </c>
      <c r="DY248" s="150">
        <f t="shared" si="684"/>
        <v>0.23908941841913453</v>
      </c>
      <c r="EA248" s="5">
        <f t="shared" si="711"/>
        <v>2.9146138626332596</v>
      </c>
      <c r="EB248" s="5">
        <f t="shared" si="712"/>
        <v>3.0967772290478384</v>
      </c>
      <c r="EC248" s="5">
        <f t="shared" si="713"/>
        <v>1.023073050865029</v>
      </c>
      <c r="ED248" s="5"/>
      <c r="EE248" s="150">
        <f t="shared" si="714"/>
        <v>1.9694966259779472</v>
      </c>
      <c r="EF248" s="150">
        <f t="shared" si="715"/>
        <v>3.3702786677502314</v>
      </c>
      <c r="EG248" s="150">
        <f t="shared" si="716"/>
        <v>0.67651862949955588</v>
      </c>
      <c r="EH248" s="150"/>
      <c r="EI248" s="456">
        <f t="shared" si="717"/>
        <v>4.6547003516862216E-2</v>
      </c>
      <c r="EJ248" s="456">
        <f t="shared" si="718"/>
        <v>3.6511701177409224</v>
      </c>
      <c r="EK248" s="456">
        <f t="shared" si="719"/>
        <v>4.0250000000000001E-2</v>
      </c>
      <c r="EL248" s="456">
        <f t="shared" si="720"/>
        <v>1.1218321012500001</v>
      </c>
      <c r="EM248">
        <f t="shared" si="721"/>
        <v>2.1600000000000001E-2</v>
      </c>
      <c r="EN248" s="144">
        <f t="shared" si="722"/>
        <v>61.85</v>
      </c>
      <c r="EP248" s="144">
        <f t="shared" si="723"/>
        <v>4881.3992225077845</v>
      </c>
      <c r="EQ248" s="150">
        <f t="shared" si="724"/>
        <v>0.89599999999999991</v>
      </c>
      <c r="ER248" s="150">
        <f t="shared" ref="ER248:ER279" si="769">Vfwd22*CK248*(1+Diode_TC/1000*(Ta-25))</f>
        <v>0.13028800000000001</v>
      </c>
      <c r="ES248" s="456"/>
      <c r="EU248" s="144">
        <f t="shared" si="725"/>
        <v>1026.2879999999998</v>
      </c>
      <c r="EV248" s="456">
        <f t="shared" si="726"/>
        <v>5.4304837436339251E-2</v>
      </c>
      <c r="EW248" s="456">
        <f t="shared" si="727"/>
        <v>0.15902289617609186</v>
      </c>
      <c r="EX248" s="456">
        <f t="shared" si="728"/>
        <v>2.2883872802997867E-3</v>
      </c>
      <c r="EY248" s="456">
        <f t="shared" si="729"/>
        <v>14.73090205599058</v>
      </c>
      <c r="EZ248" s="456"/>
      <c r="FA248" s="538">
        <f t="shared" si="730"/>
        <v>1.7034893617021274</v>
      </c>
      <c r="FB248" s="144">
        <f t="shared" si="731"/>
        <v>16650.00753858544</v>
      </c>
      <c r="FC248" s="150">
        <f t="shared" si="732"/>
        <v>22.557694761093224</v>
      </c>
      <c r="FD248" s="5">
        <f t="shared" si="733"/>
        <v>40.031999999999996</v>
      </c>
      <c r="FE248" s="150">
        <f t="shared" si="734"/>
        <v>0.63959410814836792</v>
      </c>
      <c r="FF248" s="5">
        <f t="shared" si="735"/>
        <v>63.959410814836794</v>
      </c>
      <c r="FG248">
        <f t="shared" si="736"/>
        <v>32</v>
      </c>
      <c r="FI248" s="59">
        <f t="shared" si="686"/>
        <v>-50</v>
      </c>
    </row>
    <row r="249" spans="5:165">
      <c r="E249" s="147">
        <v>33</v>
      </c>
      <c r="F249" s="188">
        <f t="shared" ref="F249:F280" si="770">IF(PLOT_TYPE=1, E249/100*Iout_max, min_I*EXP(O249*rr/100))</f>
        <v>1.32</v>
      </c>
      <c r="G249" s="188">
        <f t="shared" si="740"/>
        <v>0.28050000000000003</v>
      </c>
      <c r="H249" s="188">
        <f t="shared" si="741"/>
        <v>39.6</v>
      </c>
      <c r="I249" s="188">
        <f t="shared" si="742"/>
        <v>1.6830000000000003</v>
      </c>
      <c r="J249" s="465">
        <f t="shared" si="743"/>
        <v>47.891200671550834</v>
      </c>
      <c r="K249" s="379">
        <f t="shared" si="744"/>
        <v>30.779774511050043</v>
      </c>
      <c r="L249" s="149">
        <f t="shared" si="745"/>
        <v>78.67097518260087</v>
      </c>
      <c r="M249" s="379"/>
      <c r="N249" s="188">
        <f t="shared" si="746"/>
        <v>0.39124689174893307</v>
      </c>
      <c r="O249" s="149">
        <f t="shared" si="747"/>
        <v>272.32444451520502</v>
      </c>
      <c r="P249" s="149">
        <f t="shared" si="748"/>
        <v>11.573788891896214</v>
      </c>
      <c r="Q249" s="188">
        <f t="shared" si="624"/>
        <v>9.0774814838401667</v>
      </c>
      <c r="R249" s="188">
        <f t="shared" si="749"/>
        <v>45.387407419200834</v>
      </c>
      <c r="S249" s="188">
        <f t="shared" si="750"/>
        <v>30</v>
      </c>
      <c r="T249" s="188">
        <f t="shared" si="751"/>
        <v>4.4065085752263382</v>
      </c>
      <c r="U249" s="188">
        <f t="shared" si="628"/>
        <v>0.4324508471942875</v>
      </c>
      <c r="V249" s="188">
        <f t="shared" si="629"/>
        <v>0.67286361360862523</v>
      </c>
      <c r="W249" s="172">
        <f t="shared" si="630"/>
        <v>350</v>
      </c>
      <c r="X249" s="379">
        <f t="shared" si="688"/>
        <v>350</v>
      </c>
      <c r="Z249" s="188">
        <f t="shared" si="631"/>
        <v>11.390445838825944</v>
      </c>
      <c r="AA249" s="150">
        <f t="shared" si="632"/>
        <v>1.7392945950030485</v>
      </c>
      <c r="AB249" s="150">
        <f t="shared" si="752"/>
        <v>3.3256447523984294</v>
      </c>
      <c r="AC249" s="150"/>
      <c r="AD249" s="150">
        <f t="shared" si="634"/>
        <v>0.92544045358819393</v>
      </c>
      <c r="AE249" s="314">
        <f t="shared" si="753"/>
        <v>490.69931862096115</v>
      </c>
      <c r="AF249" s="456">
        <f t="shared" si="754"/>
        <v>0.94151343290710798</v>
      </c>
      <c r="AH249" s="150">
        <f t="shared" si="755"/>
        <v>7.0846381181001536</v>
      </c>
      <c r="AI249" s="150">
        <f t="shared" si="756"/>
        <v>7.0846381181001536</v>
      </c>
      <c r="AJ249" s="150">
        <f t="shared" si="757"/>
        <v>1.9585422648104394</v>
      </c>
      <c r="AL249" s="314">
        <f t="shared" si="758"/>
        <v>1320</v>
      </c>
      <c r="AM249" s="144">
        <f t="shared" si="759"/>
        <v>350</v>
      </c>
      <c r="AO249">
        <f t="shared" si="642"/>
        <v>1320</v>
      </c>
      <c r="AP249">
        <f t="shared" si="643"/>
        <v>350</v>
      </c>
      <c r="AR249" s="5">
        <f t="shared" si="614"/>
        <v>2.8571428571428572</v>
      </c>
      <c r="AS249" s="5">
        <f t="shared" si="737"/>
        <v>0.69528010758040693</v>
      </c>
      <c r="AT249" s="5">
        <f t="shared" si="738"/>
        <v>2.1618627495624505</v>
      </c>
      <c r="AU249" s="150">
        <f t="shared" si="739"/>
        <v>0.24334803765314242</v>
      </c>
      <c r="BA249" s="150">
        <f t="shared" si="689"/>
        <v>2.0177667832694453</v>
      </c>
      <c r="BB249" s="150">
        <f t="shared" si="690"/>
        <v>3.4129432098753285</v>
      </c>
      <c r="BC249" s="150">
        <f t="shared" si="691"/>
        <v>0.68508271585920522</v>
      </c>
      <c r="BD249" s="150"/>
      <c r="BE249" s="456">
        <f t="shared" si="692"/>
        <v>4.8856593499986292E-2</v>
      </c>
      <c r="BF249" s="456">
        <f t="shared" si="760"/>
        <v>3.560107550857714</v>
      </c>
      <c r="BG249" s="456">
        <f t="shared" si="693"/>
        <v>4.0250000000000001E-2</v>
      </c>
      <c r="BH249" s="456">
        <f t="shared" si="694"/>
        <v>1.1210047831408565</v>
      </c>
      <c r="BI249">
        <f t="shared" si="695"/>
        <v>2.1551040302197875E-2</v>
      </c>
      <c r="BJ249" s="144">
        <f t="shared" si="696"/>
        <v>61.801040302197876</v>
      </c>
      <c r="BK249">
        <f t="shared" si="761"/>
        <v>4.7988670235375945</v>
      </c>
      <c r="BL249" s="144">
        <f t="shared" si="697"/>
        <v>4791.7699678007548</v>
      </c>
      <c r="BM249" s="150">
        <f t="shared" si="762"/>
        <v>0.88519199999999987</v>
      </c>
      <c r="BN249" s="150">
        <f t="shared" si="763"/>
        <v>0.13435950000000002</v>
      </c>
      <c r="BQ249" s="144">
        <f t="shared" si="698"/>
        <v>1019.5514999999999</v>
      </c>
      <c r="BR249" s="456">
        <f t="shared" si="699"/>
        <v>5.6999359083317339E-2</v>
      </c>
      <c r="BS249" s="456">
        <f t="shared" si="700"/>
        <v>0.16307453895367757</v>
      </c>
      <c r="BT249" s="456">
        <f t="shared" si="701"/>
        <v>2.3466916378451223E-3</v>
      </c>
      <c r="BU249" s="456">
        <f t="shared" si="702"/>
        <v>15.308558350259574</v>
      </c>
      <c r="BV249" s="456"/>
      <c r="BW249" s="538">
        <f t="shared" si="703"/>
        <v>1.7567234042553193</v>
      </c>
      <c r="BX249" s="144">
        <f t="shared" si="704"/>
        <v>17287.702344189733</v>
      </c>
      <c r="BY249" s="150">
        <f t="shared" si="705"/>
        <v>23.099023811990484</v>
      </c>
      <c r="BZ249" s="5">
        <f t="shared" si="706"/>
        <v>41.283000000000001</v>
      </c>
      <c r="CA249" s="150">
        <f t="shared" si="707"/>
        <v>0.6412193583810808</v>
      </c>
      <c r="CB249" s="5">
        <f t="shared" si="708"/>
        <v>64.121935838108072</v>
      </c>
      <c r="CC249">
        <f t="shared" si="709"/>
        <v>33</v>
      </c>
      <c r="CE249" s="59">
        <f t="shared" si="764"/>
        <v>-50</v>
      </c>
      <c r="CG249" s="150">
        <f t="shared" si="765"/>
        <v>0.38047338934543112</v>
      </c>
      <c r="CH249" s="150">
        <f t="shared" si="766"/>
        <v>8.3035487117685478E-2</v>
      </c>
      <c r="CI249" s="147">
        <v>33</v>
      </c>
      <c r="CJ249" s="188">
        <f t="shared" si="710"/>
        <v>1.32</v>
      </c>
      <c r="CK249" s="188">
        <f t="shared" si="651"/>
        <v>0.28050000000000003</v>
      </c>
      <c r="CL249" s="188">
        <f t="shared" si="652"/>
        <v>39.6</v>
      </c>
      <c r="CM249" s="188">
        <f t="shared" si="653"/>
        <v>1.6830000000000003</v>
      </c>
      <c r="CN249" s="465">
        <f t="shared" si="654"/>
        <v>48</v>
      </c>
      <c r="CO249" s="379">
        <f t="shared" si="767"/>
        <v>30.7</v>
      </c>
      <c r="CP249" s="379">
        <f t="shared" si="768"/>
        <v>78.7</v>
      </c>
      <c r="CQ249" s="379"/>
      <c r="CR249" s="188">
        <f t="shared" si="657"/>
        <v>0.38775510204081626</v>
      </c>
      <c r="CS249" s="149">
        <f t="shared" si="658"/>
        <v>270.50715642699197</v>
      </c>
      <c r="CT249" s="149">
        <f t="shared" si="659"/>
        <v>11.496554148147156</v>
      </c>
      <c r="CU249" s="188">
        <f t="shared" si="660"/>
        <v>9.0169052142330663</v>
      </c>
      <c r="CV249" s="188">
        <f t="shared" si="661"/>
        <v>45.084526071165328</v>
      </c>
      <c r="CW249" s="188">
        <f t="shared" si="662"/>
        <v>30</v>
      </c>
      <c r="CX249" s="188">
        <f t="shared" si="663"/>
        <v>4.4361118421052641</v>
      </c>
      <c r="CY249" s="188">
        <f t="shared" si="664"/>
        <v>0.43436928453947377</v>
      </c>
      <c r="CZ249" s="188">
        <f t="shared" si="665"/>
        <v>0.67914415823761376</v>
      </c>
      <c r="DA249" s="172">
        <f t="shared" si="666"/>
        <v>350</v>
      </c>
      <c r="DB249" s="379">
        <f t="shared" si="667"/>
        <v>350</v>
      </c>
      <c r="DD249" s="188">
        <f t="shared" si="668"/>
        <v>11.382534575916392</v>
      </c>
      <c r="DE249" s="150">
        <f t="shared" si="669"/>
        <v>1.7426030132510437</v>
      </c>
      <c r="DF249" s="150">
        <f t="shared" si="670"/>
        <v>3.3296564353233258</v>
      </c>
      <c r="DG249" s="150"/>
      <c r="DH249" s="150">
        <f t="shared" si="671"/>
        <v>0.92784522751949461</v>
      </c>
      <c r="DI249" s="314">
        <f t="shared" si="672"/>
        <v>489.42753223404264</v>
      </c>
      <c r="DJ249" s="456">
        <f t="shared" si="673"/>
        <v>0.94395997276890675</v>
      </c>
      <c r="DL249" s="150">
        <f t="shared" si="674"/>
        <v>7.0846381181001536</v>
      </c>
      <c r="DM249" s="150">
        <f t="shared" si="675"/>
        <v>7.0846381181001536</v>
      </c>
      <c r="DN249" s="150">
        <f t="shared" si="676"/>
        <v>1.9585422648104394</v>
      </c>
      <c r="DP249" s="314">
        <f t="shared" si="677"/>
        <v>1320</v>
      </c>
      <c r="DQ249" s="144">
        <f t="shared" si="678"/>
        <v>350</v>
      </c>
      <c r="DS249">
        <f t="shared" si="679"/>
        <v>1320</v>
      </c>
      <c r="DT249">
        <f t="shared" si="680"/>
        <v>350</v>
      </c>
      <c r="DV249" s="5">
        <f t="shared" si="681"/>
        <v>2.8571428571428572</v>
      </c>
      <c r="DW249" s="5">
        <f t="shared" si="682"/>
        <v>0.69370414906397337</v>
      </c>
      <c r="DX249" s="5">
        <f t="shared" si="683"/>
        <v>2.1634387080788837</v>
      </c>
      <c r="DY249" s="150">
        <f t="shared" si="684"/>
        <v>0.24279645217239068</v>
      </c>
      <c r="EA249" s="5">
        <f t="shared" si="711"/>
        <v>3.0522982558814826</v>
      </c>
      <c r="EB249" s="5">
        <f t="shared" si="712"/>
        <v>3.2430668968740761</v>
      </c>
      <c r="EC249" s="5">
        <f t="shared" si="713"/>
        <v>1.0499040789206346</v>
      </c>
      <c r="ED249" s="5"/>
      <c r="EE249" s="150">
        <f t="shared" si="714"/>
        <v>2.0154786977206367</v>
      </c>
      <c r="EF249" s="150">
        <f t="shared" si="715"/>
        <v>3.4141869699244389</v>
      </c>
      <c r="EG249" s="150">
        <f t="shared" si="716"/>
        <v>0.68533237677060166</v>
      </c>
      <c r="EH249" s="150"/>
      <c r="EI249" s="456">
        <f t="shared" si="717"/>
        <v>4.8745852571588089E-2</v>
      </c>
      <c r="EJ249" s="456">
        <f t="shared" si="718"/>
        <v>3.7077807822983067</v>
      </c>
      <c r="EK249" s="456">
        <f t="shared" si="719"/>
        <v>4.0250000000000001E-2</v>
      </c>
      <c r="EL249" s="456">
        <f t="shared" si="720"/>
        <v>1.1218321012500001</v>
      </c>
      <c r="EM249">
        <f t="shared" si="721"/>
        <v>2.1600000000000001E-2</v>
      </c>
      <c r="EN249" s="144">
        <f t="shared" si="722"/>
        <v>61.85</v>
      </c>
      <c r="EP249" s="144">
        <f t="shared" si="723"/>
        <v>4940.2087361198946</v>
      </c>
      <c r="EQ249" s="150">
        <f t="shared" si="724"/>
        <v>0.92399999999999993</v>
      </c>
      <c r="ER249" s="150">
        <f t="shared" si="769"/>
        <v>0.13435950000000002</v>
      </c>
      <c r="ES249" s="456"/>
      <c r="EU249" s="144">
        <f t="shared" si="725"/>
        <v>1058.3594999999998</v>
      </c>
      <c r="EV249" s="456">
        <f t="shared" si="726"/>
        <v>5.687016133351943E-2</v>
      </c>
      <c r="EW249" s="456">
        <f t="shared" si="727"/>
        <v>0.16319341731842549</v>
      </c>
      <c r="EX249" s="456">
        <f t="shared" si="728"/>
        <v>2.3484023332502098E-3</v>
      </c>
      <c r="EY249" s="456">
        <f t="shared" si="729"/>
        <v>15.308558350259574</v>
      </c>
      <c r="EZ249" s="456"/>
      <c r="FA249" s="538">
        <f t="shared" si="730"/>
        <v>1.7567234042553193</v>
      </c>
      <c r="FB249" s="144">
        <f t="shared" si="731"/>
        <v>17287.693735500088</v>
      </c>
      <c r="FC249" s="150">
        <f t="shared" si="732"/>
        <v>23.286261971619982</v>
      </c>
      <c r="FD249" s="5">
        <f t="shared" si="733"/>
        <v>41.283000000000001</v>
      </c>
      <c r="FE249" s="150">
        <f t="shared" si="734"/>
        <v>0.63935994836281462</v>
      </c>
      <c r="FF249" s="5">
        <f t="shared" si="735"/>
        <v>63.935994836281459</v>
      </c>
      <c r="FG249">
        <f t="shared" si="736"/>
        <v>33</v>
      </c>
      <c r="FI249" s="59">
        <f t="shared" si="686"/>
        <v>-50</v>
      </c>
    </row>
    <row r="250" spans="5:165">
      <c r="E250" s="147">
        <v>34</v>
      </c>
      <c r="F250" s="188">
        <f t="shared" si="770"/>
        <v>1.36</v>
      </c>
      <c r="G250" s="188">
        <f t="shared" si="740"/>
        <v>0.28900000000000003</v>
      </c>
      <c r="H250" s="188">
        <f t="shared" si="741"/>
        <v>40.800000000000004</v>
      </c>
      <c r="I250" s="188">
        <f t="shared" si="742"/>
        <v>1.7340000000000002</v>
      </c>
      <c r="J250" s="465">
        <f t="shared" si="743"/>
        <v>47.889564499612362</v>
      </c>
      <c r="K250" s="379">
        <f t="shared" si="744"/>
        <v>30.780974195076091</v>
      </c>
      <c r="L250" s="149">
        <f t="shared" si="745"/>
        <v>78.670538694688446</v>
      </c>
      <c r="M250" s="379"/>
      <c r="N250" s="188">
        <f t="shared" si="746"/>
        <v>0.39126431197495171</v>
      </c>
      <c r="O250" s="149">
        <f t="shared" si="747"/>
        <v>272.32726552897185</v>
      </c>
      <c r="P250" s="149">
        <f t="shared" si="748"/>
        <v>11.573908784981301</v>
      </c>
      <c r="Q250" s="188">
        <f t="shared" si="624"/>
        <v>9.0775755176323951</v>
      </c>
      <c r="R250" s="188">
        <f t="shared" si="749"/>
        <v>45.387877588161977</v>
      </c>
      <c r="S250" s="188">
        <f t="shared" si="750"/>
        <v>30</v>
      </c>
      <c r="T250" s="188">
        <f t="shared" si="751"/>
        <v>4.539992108252946</v>
      </c>
      <c r="U250" s="188">
        <f t="shared" si="628"/>
        <v>0.44556602532816025</v>
      </c>
      <c r="V250" s="188">
        <f t="shared" si="629"/>
        <v>0.69321921955940546</v>
      </c>
      <c r="W250" s="172">
        <f t="shared" si="630"/>
        <v>350</v>
      </c>
      <c r="X250" s="379">
        <f t="shared" si="688"/>
        <v>350</v>
      </c>
      <c r="Z250" s="188">
        <f t="shared" si="631"/>
        <v>11.390563832657083</v>
      </c>
      <c r="AA250" s="150">
        <f t="shared" si="632"/>
        <v>1.7392448229287094</v>
      </c>
      <c r="AB250" s="150">
        <f t="shared" si="752"/>
        <v>3.3255840343720577</v>
      </c>
      <c r="AC250" s="150"/>
      <c r="AD250" s="150">
        <f t="shared" si="634"/>
        <v>0.92540438468010178</v>
      </c>
      <c r="AE250" s="314">
        <f t="shared" si="753"/>
        <v>505.58870018941712</v>
      </c>
      <c r="AF250" s="456">
        <f t="shared" si="754"/>
        <v>0.94147673755696704</v>
      </c>
      <c r="AH250" s="150">
        <f t="shared" si="755"/>
        <v>7.1911800080942623</v>
      </c>
      <c r="AI250" s="150">
        <f t="shared" si="756"/>
        <v>7.1911800080942623</v>
      </c>
      <c r="AJ250" s="150">
        <f t="shared" si="757"/>
        <v>2.0374621833245938</v>
      </c>
      <c r="AL250" s="314">
        <f t="shared" si="758"/>
        <v>1360</v>
      </c>
      <c r="AM250" s="144">
        <f t="shared" si="759"/>
        <v>350</v>
      </c>
      <c r="AO250">
        <f t="shared" si="642"/>
        <v>1360</v>
      </c>
      <c r="AP250">
        <f t="shared" si="643"/>
        <v>350</v>
      </c>
      <c r="AR250" s="5">
        <f t="shared" si="614"/>
        <v>2.8571428571428572</v>
      </c>
      <c r="AS250" s="5">
        <f t="shared" si="737"/>
        <v>0.70576014610274052</v>
      </c>
      <c r="AT250" s="5">
        <f t="shared" si="738"/>
        <v>2.1513827110401165</v>
      </c>
      <c r="AU250" s="150">
        <f t="shared" si="739"/>
        <v>0.24701605113595917</v>
      </c>
      <c r="BA250" s="150">
        <f t="shared" si="689"/>
        <v>2.063488819208315</v>
      </c>
      <c r="BB250" s="150">
        <f t="shared" si="690"/>
        <v>3.4558614946782447</v>
      </c>
      <c r="BC250" s="150">
        <f t="shared" si="691"/>
        <v>0.69369773618175978</v>
      </c>
      <c r="BD250" s="150"/>
      <c r="BE250" s="456">
        <f t="shared" si="692"/>
        <v>5.1095833283972714E-2</v>
      </c>
      <c r="BF250" s="456">
        <f t="shared" si="760"/>
        <v>3.6136259574948077</v>
      </c>
      <c r="BG250" s="456">
        <f t="shared" si="693"/>
        <v>4.0250000000000001E-2</v>
      </c>
      <c r="BH250" s="456">
        <f t="shared" si="694"/>
        <v>1.1209923438980716</v>
      </c>
      <c r="BI250">
        <f t="shared" si="695"/>
        <v>2.1550304024825561E-2</v>
      </c>
      <c r="BJ250" s="144">
        <f t="shared" si="696"/>
        <v>61.800304024825557</v>
      </c>
      <c r="BK250">
        <f t="shared" si="761"/>
        <v>4.8584939234803475</v>
      </c>
      <c r="BL250" s="144">
        <f t="shared" si="697"/>
        <v>4847.5144387016771</v>
      </c>
      <c r="BM250" s="150">
        <f t="shared" si="762"/>
        <v>0.91201599999999994</v>
      </c>
      <c r="BN250" s="150">
        <f t="shared" si="763"/>
        <v>0.138431</v>
      </c>
      <c r="BQ250" s="144">
        <f t="shared" si="698"/>
        <v>1050.4469999999999</v>
      </c>
      <c r="BR250" s="456">
        <f t="shared" si="699"/>
        <v>5.9611805497968164E-2</v>
      </c>
      <c r="BS250" s="456">
        <f t="shared" si="700"/>
        <v>0.16720170138559654</v>
      </c>
      <c r="BT250" s="456">
        <f t="shared" si="701"/>
        <v>2.4060827459184918E-3</v>
      </c>
      <c r="BU250" s="456">
        <f t="shared" si="702"/>
        <v>15.890608037655559</v>
      </c>
      <c r="BV250" s="456"/>
      <c r="BW250" s="538">
        <f t="shared" si="703"/>
        <v>1.8099574468085111</v>
      </c>
      <c r="BX250" s="144">
        <f t="shared" si="704"/>
        <v>17929.78507409355</v>
      </c>
      <c r="BY250" s="150">
        <f t="shared" si="705"/>
        <v>23.82774651279523</v>
      </c>
      <c r="BZ250" s="5">
        <f t="shared" si="706"/>
        <v>42.534000000000006</v>
      </c>
      <c r="CA250" s="150">
        <f t="shared" si="707"/>
        <v>0.64094153989450842</v>
      </c>
      <c r="CB250" s="5">
        <f t="shared" si="708"/>
        <v>64.094153989450845</v>
      </c>
      <c r="CC250">
        <f t="shared" si="709"/>
        <v>34</v>
      </c>
      <c r="CE250" s="59">
        <f t="shared" si="764"/>
        <v>-50</v>
      </c>
      <c r="CG250" s="150">
        <f t="shared" si="765"/>
        <v>0.3861951147628187</v>
      </c>
      <c r="CH250" s="150">
        <f t="shared" si="766"/>
        <v>8.428421112964278E-2</v>
      </c>
      <c r="CI250" s="147">
        <v>34</v>
      </c>
      <c r="CJ250" s="188">
        <f t="shared" si="710"/>
        <v>1.36</v>
      </c>
      <c r="CK250" s="188">
        <f t="shared" si="651"/>
        <v>0.28900000000000003</v>
      </c>
      <c r="CL250" s="188">
        <f t="shared" si="652"/>
        <v>40.800000000000004</v>
      </c>
      <c r="CM250" s="188">
        <f t="shared" si="653"/>
        <v>1.7340000000000002</v>
      </c>
      <c r="CN250" s="465">
        <f t="shared" si="654"/>
        <v>48</v>
      </c>
      <c r="CO250" s="379">
        <f t="shared" si="767"/>
        <v>30.7</v>
      </c>
      <c r="CP250" s="379">
        <f t="shared" si="768"/>
        <v>78.7</v>
      </c>
      <c r="CQ250" s="379"/>
      <c r="CR250" s="188">
        <f t="shared" si="657"/>
        <v>0.38775510204081626</v>
      </c>
      <c r="CS250" s="149">
        <f t="shared" si="658"/>
        <v>270.50715642699197</v>
      </c>
      <c r="CT250" s="149">
        <f t="shared" si="659"/>
        <v>11.496554148147156</v>
      </c>
      <c r="CU250" s="188">
        <f t="shared" si="660"/>
        <v>9.0169052142330663</v>
      </c>
      <c r="CV250" s="188">
        <f t="shared" si="661"/>
        <v>45.084526071165328</v>
      </c>
      <c r="CW250" s="188">
        <f t="shared" si="662"/>
        <v>30</v>
      </c>
      <c r="CX250" s="188">
        <f t="shared" si="663"/>
        <v>4.570539473684212</v>
      </c>
      <c r="CY250" s="188">
        <f t="shared" si="664"/>
        <v>0.44753199013157913</v>
      </c>
      <c r="CZ250" s="188">
        <f t="shared" si="665"/>
        <v>0.69972428424481425</v>
      </c>
      <c r="DA250" s="172">
        <f t="shared" si="666"/>
        <v>350</v>
      </c>
      <c r="DB250" s="379">
        <f t="shared" si="667"/>
        <v>350</v>
      </c>
      <c r="DD250" s="188">
        <f t="shared" si="668"/>
        <v>11.382534575916392</v>
      </c>
      <c r="DE250" s="150">
        <f t="shared" si="669"/>
        <v>1.7426030132510437</v>
      </c>
      <c r="DF250" s="150">
        <f t="shared" si="670"/>
        <v>3.3296564353233258</v>
      </c>
      <c r="DG250" s="150"/>
      <c r="DH250" s="150">
        <f t="shared" si="671"/>
        <v>0.92784522751949461</v>
      </c>
      <c r="DI250" s="314">
        <f t="shared" si="672"/>
        <v>504.25866957446812</v>
      </c>
      <c r="DJ250" s="456">
        <f t="shared" si="673"/>
        <v>0.94395997276890675</v>
      </c>
      <c r="DL250" s="150">
        <f t="shared" si="674"/>
        <v>7.1911800080942623</v>
      </c>
      <c r="DM250" s="150">
        <f t="shared" si="675"/>
        <v>7.1911800080942623</v>
      </c>
      <c r="DN250" s="150">
        <f t="shared" si="676"/>
        <v>2.0374621833245938</v>
      </c>
      <c r="DP250" s="314">
        <f t="shared" si="677"/>
        <v>1360</v>
      </c>
      <c r="DQ250" s="144">
        <f t="shared" si="678"/>
        <v>350</v>
      </c>
      <c r="DS250">
        <f t="shared" si="679"/>
        <v>1360</v>
      </c>
      <c r="DT250">
        <f t="shared" si="680"/>
        <v>350</v>
      </c>
      <c r="DV250" s="5">
        <f t="shared" si="681"/>
        <v>2.8571428571428572</v>
      </c>
      <c r="DW250" s="5">
        <f t="shared" si="682"/>
        <v>0.70413637579256316</v>
      </c>
      <c r="DX250" s="5">
        <f t="shared" si="683"/>
        <v>2.1530064813502943</v>
      </c>
      <c r="DY250" s="150">
        <f t="shared" si="684"/>
        <v>0.2464477315273971</v>
      </c>
      <c r="EA250" s="5">
        <f t="shared" si="711"/>
        <v>3.1920849035929533</v>
      </c>
      <c r="EB250" s="5">
        <f t="shared" si="712"/>
        <v>3.3915902100675126</v>
      </c>
      <c r="EC250" s="5">
        <f t="shared" si="713"/>
        <v>1.0765032406751471</v>
      </c>
      <c r="ED250" s="5"/>
      <c r="EE250" s="150">
        <f t="shared" si="714"/>
        <v>2.0611136770643403</v>
      </c>
      <c r="EF250" s="150">
        <f t="shared" si="715"/>
        <v>3.4571654158327192</v>
      </c>
      <c r="EG250" s="150">
        <f t="shared" si="716"/>
        <v>0.69395947327811369</v>
      </c>
      <c r="EH250" s="150"/>
      <c r="EI250" s="456">
        <f t="shared" si="717"/>
        <v>5.0978275077380231E-2</v>
      </c>
      <c r="EJ250" s="456">
        <f t="shared" si="718"/>
        <v>3.7635400131361725</v>
      </c>
      <c r="EK250" s="456">
        <f t="shared" si="719"/>
        <v>4.0250000000000001E-2</v>
      </c>
      <c r="EL250" s="456">
        <f t="shared" si="720"/>
        <v>1.1218321012500001</v>
      </c>
      <c r="EM250">
        <f t="shared" si="721"/>
        <v>2.1600000000000001E-2</v>
      </c>
      <c r="EN250" s="144">
        <f t="shared" si="722"/>
        <v>61.85</v>
      </c>
      <c r="EP250" s="144">
        <f t="shared" si="723"/>
        <v>4998.2003894635527</v>
      </c>
      <c r="EQ250" s="150">
        <f t="shared" si="724"/>
        <v>0.95199999999999996</v>
      </c>
      <c r="ER250" s="150">
        <f t="shared" si="769"/>
        <v>0.138431</v>
      </c>
      <c r="ES250" s="456"/>
      <c r="EU250" s="144">
        <f t="shared" si="725"/>
        <v>1090.431</v>
      </c>
      <c r="EV250" s="456">
        <f t="shared" si="726"/>
        <v>5.94746542569436E-2</v>
      </c>
      <c r="EW250" s="456">
        <f t="shared" si="727"/>
        <v>0.16732789797401748</v>
      </c>
      <c r="EX250" s="456">
        <f t="shared" si="728"/>
        <v>2.4078987527621849E-3</v>
      </c>
      <c r="EY250" s="456">
        <f t="shared" si="729"/>
        <v>15.890608037655559</v>
      </c>
      <c r="EZ250" s="456"/>
      <c r="FA250" s="538">
        <f t="shared" si="730"/>
        <v>1.8099574468085111</v>
      </c>
      <c r="FB250" s="144">
        <f t="shared" si="731"/>
        <v>17929.775935447793</v>
      </c>
      <c r="FC250" s="150">
        <f t="shared" si="732"/>
        <v>24.018407324911344</v>
      </c>
      <c r="FD250" s="5">
        <f t="shared" si="733"/>
        <v>42.534000000000006</v>
      </c>
      <c r="FE250" s="150">
        <f t="shared" si="734"/>
        <v>0.63910535635994992</v>
      </c>
      <c r="FF250" s="5">
        <f t="shared" si="735"/>
        <v>63.910535635994989</v>
      </c>
      <c r="FG250">
        <f t="shared" si="736"/>
        <v>34</v>
      </c>
      <c r="FI250" s="59">
        <f t="shared" si="686"/>
        <v>-50</v>
      </c>
    </row>
    <row r="251" spans="5:165">
      <c r="E251" s="147">
        <v>35</v>
      </c>
      <c r="F251" s="188">
        <f t="shared" si="770"/>
        <v>1.4</v>
      </c>
      <c r="G251" s="188">
        <f t="shared" si="740"/>
        <v>0.29749999999999999</v>
      </c>
      <c r="H251" s="188">
        <f t="shared" si="741"/>
        <v>42</v>
      </c>
      <c r="I251" s="188">
        <f t="shared" si="742"/>
        <v>1.7849999999999999</v>
      </c>
      <c r="J251" s="465">
        <f t="shared" si="743"/>
        <v>47.887952217243061</v>
      </c>
      <c r="K251" s="379">
        <f t="shared" si="744"/>
        <v>30.782156362645679</v>
      </c>
      <c r="L251" s="149">
        <f t="shared" si="745"/>
        <v>78.670108579888733</v>
      </c>
      <c r="M251" s="379"/>
      <c r="N251" s="188">
        <f t="shared" si="746"/>
        <v>0.39128147803923136</v>
      </c>
      <c r="O251" s="149">
        <f t="shared" si="747"/>
        <v>272.33004467458687</v>
      </c>
      <c r="P251" s="149">
        <f t="shared" si="748"/>
        <v>11.574026898669942</v>
      </c>
      <c r="Q251" s="188">
        <f t="shared" si="624"/>
        <v>9.0776681558195627</v>
      </c>
      <c r="R251" s="188">
        <f t="shared" si="749"/>
        <v>45.38834077909781</v>
      </c>
      <c r="S251" s="188">
        <f t="shared" si="750"/>
        <v>30</v>
      </c>
      <c r="T251" s="188">
        <f t="shared" si="751"/>
        <v>4.6734735943222212</v>
      </c>
      <c r="U251" s="188">
        <f t="shared" si="628"/>
        <v>0.4586816699463161</v>
      </c>
      <c r="V251" s="188">
        <f t="shared" si="629"/>
        <v>0.71357333237282516</v>
      </c>
      <c r="W251" s="172">
        <f t="shared" si="630"/>
        <v>350</v>
      </c>
      <c r="X251" s="379">
        <f t="shared" si="688"/>
        <v>350</v>
      </c>
      <c r="Z251" s="188">
        <f t="shared" si="631"/>
        <v>11.390680075279604</v>
      </c>
      <c r="AA251" s="150">
        <f t="shared" si="632"/>
        <v>1.7391957770307678</v>
      </c>
      <c r="AB251" s="150">
        <f t="shared" si="752"/>
        <v>3.3255241916317404</v>
      </c>
      <c r="AC251" s="150"/>
      <c r="AD251" s="150">
        <f t="shared" si="634"/>
        <v>0.92536884516040629</v>
      </c>
      <c r="AE251" s="314">
        <f t="shared" si="753"/>
        <v>520.47894471367465</v>
      </c>
      <c r="AF251" s="456">
        <f t="shared" si="754"/>
        <v>0.94144058078960013</v>
      </c>
      <c r="AH251" s="150">
        <f t="shared" si="755"/>
        <v>7.296166291497987</v>
      </c>
      <c r="AI251" s="150">
        <f t="shared" si="756"/>
        <v>7.296166291497987</v>
      </c>
      <c r="AJ251" s="150">
        <f t="shared" si="757"/>
        <v>2.1152298006606864</v>
      </c>
      <c r="AL251" s="314">
        <f t="shared" si="758"/>
        <v>1400</v>
      </c>
      <c r="AM251" s="144">
        <f t="shared" si="759"/>
        <v>350</v>
      </c>
      <c r="AO251">
        <f t="shared" si="642"/>
        <v>1400</v>
      </c>
      <c r="AP251">
        <f t="shared" si="643"/>
        <v>350</v>
      </c>
      <c r="AR251" s="5">
        <f t="shared" si="614"/>
        <v>2.8571428571428572</v>
      </c>
      <c r="AS251" s="5">
        <f t="shared" si="737"/>
        <v>0.71608786724634665</v>
      </c>
      <c r="AT251" s="5">
        <f t="shared" si="738"/>
        <v>2.1410549898965106</v>
      </c>
      <c r="AU251" s="150">
        <f t="shared" si="739"/>
        <v>0.25063075353622133</v>
      </c>
      <c r="BA251" s="150">
        <f t="shared" si="689"/>
        <v>2.1088771260938568</v>
      </c>
      <c r="BB251" s="150">
        <f t="shared" si="690"/>
        <v>3.4978885328720577</v>
      </c>
      <c r="BC251" s="150">
        <f t="shared" si="691"/>
        <v>0.70213385588689492</v>
      </c>
      <c r="BD251" s="150"/>
      <c r="BE251" s="456">
        <f t="shared" si="692"/>
        <v>5.3368352795542619E-2</v>
      </c>
      <c r="BF251" s="456">
        <f t="shared" si="760"/>
        <v>3.6663623665324394</v>
      </c>
      <c r="BG251" s="456">
        <f t="shared" si="693"/>
        <v>4.0250000000000001E-2</v>
      </c>
      <c r="BH251" s="456">
        <f t="shared" si="694"/>
        <v>1.1209800863468349</v>
      </c>
      <c r="BI251">
        <f t="shared" si="695"/>
        <v>2.1549578497759379E-2</v>
      </c>
      <c r="BJ251" s="144">
        <f t="shared" si="696"/>
        <v>61.799578497759384</v>
      </c>
      <c r="BK251">
        <f t="shared" si="761"/>
        <v>4.9174754259929312</v>
      </c>
      <c r="BL251" s="144">
        <f t="shared" si="697"/>
        <v>4902.5103841725759</v>
      </c>
      <c r="BM251" s="150">
        <f t="shared" si="762"/>
        <v>0.93883999999999979</v>
      </c>
      <c r="BN251" s="150">
        <f t="shared" si="763"/>
        <v>0.14250249999999998</v>
      </c>
      <c r="BQ251" s="144">
        <f t="shared" si="698"/>
        <v>1081.3425</v>
      </c>
      <c r="BR251" s="456">
        <f t="shared" si="699"/>
        <v>6.226307826146639E-2</v>
      </c>
      <c r="BS251" s="456">
        <f t="shared" si="700"/>
        <v>0.1712931386375697</v>
      </c>
      <c r="BT251" s="456">
        <f t="shared" si="701"/>
        <v>2.4649597579129946E-3</v>
      </c>
      <c r="BU251" s="456">
        <f t="shared" si="702"/>
        <v>16.476953819335609</v>
      </c>
      <c r="BV251" s="456"/>
      <c r="BW251" s="538">
        <f t="shared" si="703"/>
        <v>1.8631914893617021</v>
      </c>
      <c r="BX251" s="144">
        <f t="shared" si="704"/>
        <v>18576.166485354261</v>
      </c>
      <c r="BY251" s="150">
        <f t="shared" si="705"/>
        <v>24.560019369526838</v>
      </c>
      <c r="BZ251" s="5">
        <f t="shared" si="706"/>
        <v>43.784999999999997</v>
      </c>
      <c r="CA251" s="150">
        <f t="shared" si="707"/>
        <v>0.64064653728845855</v>
      </c>
      <c r="CB251" s="5">
        <f t="shared" si="708"/>
        <v>64.064653728845855</v>
      </c>
      <c r="CC251">
        <f t="shared" si="709"/>
        <v>35</v>
      </c>
      <c r="CE251" s="59">
        <f t="shared" si="764"/>
        <v>-50</v>
      </c>
      <c r="CG251" s="150">
        <f t="shared" si="765"/>
        <v>0.39183329788742222</v>
      </c>
      <c r="CH251" s="150">
        <f t="shared" si="766"/>
        <v>8.5514702657619568E-2</v>
      </c>
      <c r="CI251" s="147">
        <v>35</v>
      </c>
      <c r="CJ251" s="188">
        <f t="shared" si="710"/>
        <v>1.4</v>
      </c>
      <c r="CK251" s="188">
        <f t="shared" si="651"/>
        <v>0.29749999999999999</v>
      </c>
      <c r="CL251" s="188">
        <f t="shared" si="652"/>
        <v>42</v>
      </c>
      <c r="CM251" s="188">
        <f t="shared" si="653"/>
        <v>1.7849999999999999</v>
      </c>
      <c r="CN251" s="465">
        <f t="shared" si="654"/>
        <v>48</v>
      </c>
      <c r="CO251" s="379">
        <f t="shared" si="767"/>
        <v>30.7</v>
      </c>
      <c r="CP251" s="379">
        <f t="shared" si="768"/>
        <v>78.7</v>
      </c>
      <c r="CQ251" s="379"/>
      <c r="CR251" s="188">
        <f t="shared" si="657"/>
        <v>0.38775510204081626</v>
      </c>
      <c r="CS251" s="149">
        <f t="shared" si="658"/>
        <v>270.50715642699197</v>
      </c>
      <c r="CT251" s="149">
        <f t="shared" si="659"/>
        <v>11.496554148147156</v>
      </c>
      <c r="CU251" s="188">
        <f t="shared" si="660"/>
        <v>9.0169052142330663</v>
      </c>
      <c r="CV251" s="188">
        <f t="shared" si="661"/>
        <v>45.084526071165328</v>
      </c>
      <c r="CW251" s="188">
        <f t="shared" si="662"/>
        <v>30</v>
      </c>
      <c r="CX251" s="188">
        <f t="shared" si="663"/>
        <v>4.704967105263159</v>
      </c>
      <c r="CY251" s="188">
        <f t="shared" si="664"/>
        <v>0.46069469572368427</v>
      </c>
      <c r="CZ251" s="188">
        <f t="shared" si="665"/>
        <v>0.72030441025201453</v>
      </c>
      <c r="DA251" s="172">
        <f t="shared" si="666"/>
        <v>350</v>
      </c>
      <c r="DB251" s="379">
        <f t="shared" si="667"/>
        <v>350</v>
      </c>
      <c r="DD251" s="188">
        <f t="shared" si="668"/>
        <v>11.382534575916392</v>
      </c>
      <c r="DE251" s="150">
        <f t="shared" si="669"/>
        <v>1.7426030132510437</v>
      </c>
      <c r="DF251" s="150">
        <f t="shared" si="670"/>
        <v>3.3296564353233258</v>
      </c>
      <c r="DG251" s="150"/>
      <c r="DH251" s="150">
        <f t="shared" si="671"/>
        <v>0.92784522751949461</v>
      </c>
      <c r="DI251" s="314">
        <f t="shared" si="672"/>
        <v>519.08980691489353</v>
      </c>
      <c r="DJ251" s="456">
        <f t="shared" si="673"/>
        <v>0.94395997276890675</v>
      </c>
      <c r="DL251" s="150">
        <f t="shared" si="674"/>
        <v>7.296166291497987</v>
      </c>
      <c r="DM251" s="150">
        <f t="shared" si="675"/>
        <v>7.296166291497987</v>
      </c>
      <c r="DN251" s="150">
        <f t="shared" si="676"/>
        <v>2.1152298006606864</v>
      </c>
      <c r="DP251" s="314">
        <f t="shared" si="677"/>
        <v>1400</v>
      </c>
      <c r="DQ251" s="144">
        <f t="shared" si="678"/>
        <v>350</v>
      </c>
      <c r="DS251">
        <f t="shared" si="679"/>
        <v>1400</v>
      </c>
      <c r="DT251">
        <f t="shared" si="680"/>
        <v>350</v>
      </c>
      <c r="DV251" s="5">
        <f t="shared" si="681"/>
        <v>2.8571428571428572</v>
      </c>
      <c r="DW251" s="5">
        <f t="shared" si="682"/>
        <v>0.7144162827091779</v>
      </c>
      <c r="DX251" s="5">
        <f t="shared" si="683"/>
        <v>2.1427265744336794</v>
      </c>
      <c r="DY251" s="150">
        <f t="shared" si="684"/>
        <v>0.25004569894821227</v>
      </c>
      <c r="EA251" s="5">
        <f t="shared" si="711"/>
        <v>3.3339426526428304</v>
      </c>
      <c r="EB251" s="5">
        <f t="shared" si="712"/>
        <v>3.542314068433007</v>
      </c>
      <c r="EC251" s="5">
        <f t="shared" si="713"/>
        <v>1.1028739721349821</v>
      </c>
      <c r="ED251" s="5"/>
      <c r="EE251" s="150">
        <f t="shared" si="714"/>
        <v>2.1064142816685454</v>
      </c>
      <c r="EF251" s="150">
        <f t="shared" si="715"/>
        <v>3.4992537186386037</v>
      </c>
      <c r="EG251" s="150">
        <f t="shared" si="716"/>
        <v>0.70240789067595666</v>
      </c>
      <c r="EH251" s="150"/>
      <c r="EI251" s="456">
        <f t="shared" si="717"/>
        <v>5.324377351220657E-2</v>
      </c>
      <c r="EJ251" s="456">
        <f t="shared" si="718"/>
        <v>3.8184851094869297</v>
      </c>
      <c r="EK251" s="456">
        <f t="shared" si="719"/>
        <v>4.0250000000000001E-2</v>
      </c>
      <c r="EL251" s="456">
        <f t="shared" si="720"/>
        <v>1.1218321012500001</v>
      </c>
      <c r="EM251">
        <f t="shared" si="721"/>
        <v>2.1600000000000001E-2</v>
      </c>
      <c r="EN251" s="144">
        <f t="shared" si="722"/>
        <v>61.85</v>
      </c>
      <c r="EP251" s="144">
        <f t="shared" si="723"/>
        <v>5055.4109842491362</v>
      </c>
      <c r="EQ251" s="150">
        <f t="shared" si="724"/>
        <v>0.97999999999999987</v>
      </c>
      <c r="ER251" s="150">
        <f t="shared" si="769"/>
        <v>0.14250249999999998</v>
      </c>
      <c r="ES251" s="456"/>
      <c r="EU251" s="144">
        <f t="shared" si="725"/>
        <v>1122.5025000000001</v>
      </c>
      <c r="EV251" s="456">
        <f t="shared" si="726"/>
        <v>6.2117735764240997E-2</v>
      </c>
      <c r="EW251" s="456">
        <f t="shared" si="727"/>
        <v>0.17142687222368536</v>
      </c>
      <c r="EX251" s="456">
        <f t="shared" si="728"/>
        <v>2.4668842244192335E-3</v>
      </c>
      <c r="EY251" s="456">
        <f t="shared" si="729"/>
        <v>16.476953819335609</v>
      </c>
      <c r="EZ251" s="456"/>
      <c r="FA251" s="538">
        <f t="shared" si="730"/>
        <v>1.8631914893617021</v>
      </c>
      <c r="FB251" s="144">
        <f t="shared" si="731"/>
        <v>18576.156800909659</v>
      </c>
      <c r="FC251" s="150">
        <f t="shared" si="732"/>
        <v>24.754070285158797</v>
      </c>
      <c r="FD251" s="5">
        <f t="shared" si="733"/>
        <v>43.784999999999997</v>
      </c>
      <c r="FE251" s="150">
        <f t="shared" si="734"/>
        <v>0.63883270983734131</v>
      </c>
      <c r="FF251" s="5">
        <f t="shared" si="735"/>
        <v>63.883270983734128</v>
      </c>
      <c r="FG251">
        <f t="shared" si="736"/>
        <v>35</v>
      </c>
      <c r="FI251" s="59">
        <f t="shared" si="686"/>
        <v>-50</v>
      </c>
    </row>
    <row r="252" spans="5:165">
      <c r="E252" s="147">
        <v>36</v>
      </c>
      <c r="F252" s="188">
        <f t="shared" si="770"/>
        <v>1.44</v>
      </c>
      <c r="G252" s="188">
        <f t="shared" si="740"/>
        <v>0.30599999999999999</v>
      </c>
      <c r="H252" s="188">
        <f t="shared" si="741"/>
        <v>43.199999999999996</v>
      </c>
      <c r="I252" s="188">
        <f t="shared" si="742"/>
        <v>1.8359999999999999</v>
      </c>
      <c r="J252" s="465">
        <f t="shared" si="743"/>
        <v>47.886362807604094</v>
      </c>
      <c r="K252" s="379">
        <f t="shared" si="744"/>
        <v>30.783321759331617</v>
      </c>
      <c r="L252" s="149">
        <f t="shared" si="745"/>
        <v>78.669684566935715</v>
      </c>
      <c r="M252" s="379"/>
      <c r="N252" s="188">
        <f t="shared" si="746"/>
        <v>0.39129840075994937</v>
      </c>
      <c r="O252" s="149">
        <f t="shared" si="747"/>
        <v>272.33278373412111</v>
      </c>
      <c r="P252" s="149">
        <f t="shared" si="748"/>
        <v>11.574143308700144</v>
      </c>
      <c r="Q252" s="188">
        <f t="shared" si="624"/>
        <v>9.0777594578040368</v>
      </c>
      <c r="R252" s="188">
        <f t="shared" si="749"/>
        <v>45.388797289020182</v>
      </c>
      <c r="S252" s="188">
        <f t="shared" si="750"/>
        <v>30</v>
      </c>
      <c r="T252" s="188">
        <f t="shared" si="751"/>
        <v>4.8069530636053592</v>
      </c>
      <c r="U252" s="188">
        <f t="shared" si="628"/>
        <v>0.47179777444608073</v>
      </c>
      <c r="V252" s="188">
        <f t="shared" si="629"/>
        <v>0.73392597379769353</v>
      </c>
      <c r="W252" s="172">
        <f t="shared" si="630"/>
        <v>350</v>
      </c>
      <c r="X252" s="379">
        <f t="shared" si="688"/>
        <v>350</v>
      </c>
      <c r="Z252" s="188">
        <f t="shared" si="631"/>
        <v>11.390794641231736</v>
      </c>
      <c r="AA252" s="150">
        <f t="shared" si="632"/>
        <v>1.7391474264001447</v>
      </c>
      <c r="AB252" s="150">
        <f t="shared" si="752"/>
        <v>3.3254651869221856</v>
      </c>
      <c r="AC252" s="150"/>
      <c r="AD252" s="150">
        <f t="shared" si="634"/>
        <v>0.92533381249584024</v>
      </c>
      <c r="AE252" s="314">
        <f t="shared" si="753"/>
        <v>535.37003977386473</v>
      </c>
      <c r="AF252" s="456">
        <f t="shared" si="754"/>
        <v>0.94140493968038408</v>
      </c>
      <c r="AH252" s="150">
        <f t="shared" si="755"/>
        <v>7.3996631813595668</v>
      </c>
      <c r="AI252" s="150">
        <f t="shared" si="756"/>
        <v>7.3996631813595668</v>
      </c>
      <c r="AJ252" s="150">
        <f t="shared" si="757"/>
        <v>2.1918941635211158</v>
      </c>
      <c r="AL252" s="314">
        <f t="shared" si="758"/>
        <v>1440</v>
      </c>
      <c r="AM252" s="144">
        <f t="shared" si="759"/>
        <v>350</v>
      </c>
      <c r="AO252">
        <f t="shared" si="642"/>
        <v>1440</v>
      </c>
      <c r="AP252">
        <f t="shared" si="643"/>
        <v>350</v>
      </c>
      <c r="AR252" s="5">
        <f t="shared" si="614"/>
        <v>2.8571428571428572</v>
      </c>
      <c r="AS252" s="5">
        <f t="shared" si="737"/>
        <v>0.72626975433739438</v>
      </c>
      <c r="AT252" s="5">
        <f t="shared" si="738"/>
        <v>2.130873102805463</v>
      </c>
      <c r="AU252" s="150">
        <f t="shared" si="739"/>
        <v>0.25419441401808801</v>
      </c>
      <c r="BA252" s="150">
        <f t="shared" si="689"/>
        <v>2.1539435927849024</v>
      </c>
      <c r="BB252" s="150">
        <f t="shared" si="690"/>
        <v>3.5390612325927169</v>
      </c>
      <c r="BC252" s="150">
        <f t="shared" si="691"/>
        <v>0.71039848357313029</v>
      </c>
      <c r="BD252" s="150"/>
      <c r="BE252" s="456">
        <f t="shared" si="692"/>
        <v>5.5673676010789611E-2</v>
      </c>
      <c r="BF252" s="456">
        <f t="shared" si="760"/>
        <v>3.7183500630216622</v>
      </c>
      <c r="BG252" s="456">
        <f t="shared" si="693"/>
        <v>4.0250000000000001E-2</v>
      </c>
      <c r="BH252" s="456">
        <f t="shared" si="694"/>
        <v>1.1209680027536033</v>
      </c>
      <c r="BI252">
        <f t="shared" si="695"/>
        <v>2.1548863263421841E-2</v>
      </c>
      <c r="BJ252" s="144">
        <f t="shared" si="696"/>
        <v>61.798863263421843</v>
      </c>
      <c r="BK252">
        <f t="shared" si="761"/>
        <v>4.9758444299488893</v>
      </c>
      <c r="BL252" s="144">
        <f t="shared" si="697"/>
        <v>4956.7906050494767</v>
      </c>
      <c r="BM252" s="150">
        <f t="shared" si="762"/>
        <v>0.96566399999999997</v>
      </c>
      <c r="BN252" s="150">
        <f t="shared" si="763"/>
        <v>0.14657399999999998</v>
      </c>
      <c r="BQ252" s="144">
        <f t="shared" si="698"/>
        <v>1112.2380000000001</v>
      </c>
      <c r="BR252" s="456">
        <f t="shared" si="699"/>
        <v>6.4952622012587877E-2</v>
      </c>
      <c r="BS252" s="456">
        <f t="shared" si="700"/>
        <v>0.17534936171256951</v>
      </c>
      <c r="BT252" s="456">
        <f t="shared" si="701"/>
        <v>2.5233300273150155E-3</v>
      </c>
      <c r="BU252" s="456">
        <f t="shared" si="702"/>
        <v>17.067503280961812</v>
      </c>
      <c r="BV252" s="456"/>
      <c r="BW252" s="538">
        <f t="shared" si="703"/>
        <v>1.9164255319148937</v>
      </c>
      <c r="BX252" s="144">
        <f t="shared" si="704"/>
        <v>19226.754126629177</v>
      </c>
      <c r="BY252" s="150">
        <f t="shared" si="705"/>
        <v>25.295782731678656</v>
      </c>
      <c r="BZ252" s="5">
        <f t="shared" si="706"/>
        <v>45.035999999999994</v>
      </c>
      <c r="CA252" s="150">
        <f t="shared" si="707"/>
        <v>0.64033639203794834</v>
      </c>
      <c r="CB252" s="5">
        <f t="shared" si="708"/>
        <v>64.033639203794834</v>
      </c>
      <c r="CC252">
        <f t="shared" si="709"/>
        <v>36</v>
      </c>
      <c r="CE252" s="59">
        <f t="shared" si="764"/>
        <v>-50</v>
      </c>
      <c r="CG252" s="150">
        <f t="shared" si="765"/>
        <v>0.39739149462463336</v>
      </c>
      <c r="CH252" s="150">
        <f t="shared" si="766"/>
        <v>8.6727737751517375E-2</v>
      </c>
      <c r="CI252" s="147">
        <v>36</v>
      </c>
      <c r="CJ252" s="188">
        <f t="shared" si="710"/>
        <v>1.44</v>
      </c>
      <c r="CK252" s="188">
        <f t="shared" si="651"/>
        <v>0.30599999999999999</v>
      </c>
      <c r="CL252" s="188">
        <f t="shared" si="652"/>
        <v>43.199999999999996</v>
      </c>
      <c r="CM252" s="188">
        <f t="shared" si="653"/>
        <v>1.8359999999999999</v>
      </c>
      <c r="CN252" s="465">
        <f t="shared" si="654"/>
        <v>48</v>
      </c>
      <c r="CO252" s="379">
        <f t="shared" si="767"/>
        <v>30.7</v>
      </c>
      <c r="CP252" s="379">
        <f t="shared" si="768"/>
        <v>78.7</v>
      </c>
      <c r="CQ252" s="379"/>
      <c r="CR252" s="188">
        <f t="shared" si="657"/>
        <v>0.38775510204081626</v>
      </c>
      <c r="CS252" s="149">
        <f t="shared" si="658"/>
        <v>270.50715642699197</v>
      </c>
      <c r="CT252" s="149">
        <f t="shared" si="659"/>
        <v>11.496554148147156</v>
      </c>
      <c r="CU252" s="188">
        <f t="shared" si="660"/>
        <v>9.0169052142330663</v>
      </c>
      <c r="CV252" s="188">
        <f t="shared" si="661"/>
        <v>45.084526071165328</v>
      </c>
      <c r="CW252" s="188">
        <f t="shared" si="662"/>
        <v>30</v>
      </c>
      <c r="CX252" s="188">
        <f t="shared" si="663"/>
        <v>4.839394736842106</v>
      </c>
      <c r="CY252" s="188">
        <f t="shared" si="664"/>
        <v>0.47385740131578952</v>
      </c>
      <c r="CZ252" s="188">
        <f t="shared" si="665"/>
        <v>0.74088453625921491</v>
      </c>
      <c r="DA252" s="172">
        <f t="shared" si="666"/>
        <v>350</v>
      </c>
      <c r="DB252" s="379">
        <f t="shared" si="667"/>
        <v>350</v>
      </c>
      <c r="DD252" s="188">
        <f t="shared" si="668"/>
        <v>11.382534575916392</v>
      </c>
      <c r="DE252" s="150">
        <f t="shared" si="669"/>
        <v>1.7426030132510437</v>
      </c>
      <c r="DF252" s="150">
        <f t="shared" si="670"/>
        <v>3.3296564353233258</v>
      </c>
      <c r="DG252" s="150"/>
      <c r="DH252" s="150">
        <f t="shared" si="671"/>
        <v>0.92784522751949461</v>
      </c>
      <c r="DI252" s="314">
        <f t="shared" si="672"/>
        <v>533.920944255319</v>
      </c>
      <c r="DJ252" s="456">
        <f t="shared" si="673"/>
        <v>0.94395997276890675</v>
      </c>
      <c r="DL252" s="150">
        <f t="shared" si="674"/>
        <v>7.3996631813595668</v>
      </c>
      <c r="DM252" s="150">
        <f t="shared" si="675"/>
        <v>7.3996631813595668</v>
      </c>
      <c r="DN252" s="150">
        <f t="shared" si="676"/>
        <v>2.1918941635211158</v>
      </c>
      <c r="DP252" s="314">
        <f t="shared" si="677"/>
        <v>1440</v>
      </c>
      <c r="DQ252" s="144">
        <f t="shared" si="678"/>
        <v>350</v>
      </c>
      <c r="DS252">
        <f t="shared" si="679"/>
        <v>1440</v>
      </c>
      <c r="DT252">
        <f t="shared" si="680"/>
        <v>350</v>
      </c>
      <c r="DV252" s="5">
        <f t="shared" si="681"/>
        <v>2.8571428571428572</v>
      </c>
      <c r="DW252" s="5">
        <f t="shared" si="682"/>
        <v>0.72455035317479088</v>
      </c>
      <c r="DX252" s="5">
        <f t="shared" si="683"/>
        <v>2.1325925039680662</v>
      </c>
      <c r="DY252" s="150">
        <f t="shared" si="684"/>
        <v>0.25359262361117679</v>
      </c>
      <c r="EA252" s="5">
        <f t="shared" si="711"/>
        <v>3.4778416952389959</v>
      </c>
      <c r="EB252" s="5">
        <f t="shared" si="712"/>
        <v>3.6952068011914334</v>
      </c>
      <c r="EC252" s="5">
        <f t="shared" si="713"/>
        <v>1.1290195609242701</v>
      </c>
      <c r="ED252" s="5"/>
      <c r="EE252" s="150">
        <f t="shared" si="714"/>
        <v>2.1513924142146656</v>
      </c>
      <c r="EF252" s="150">
        <f t="shared" si="715"/>
        <v>3.540488778647696</v>
      </c>
      <c r="EG252" s="150">
        <f t="shared" si="716"/>
        <v>0.71068503599085853</v>
      </c>
      <c r="EH252" s="150"/>
      <c r="EI252" s="456">
        <f t="shared" si="717"/>
        <v>5.5541871839284891E-2</v>
      </c>
      <c r="EJ252" s="456">
        <f t="shared" si="718"/>
        <v>3.8726507242804371</v>
      </c>
      <c r="EK252" s="456">
        <f t="shared" si="719"/>
        <v>4.0250000000000001E-2</v>
      </c>
      <c r="EL252" s="456">
        <f t="shared" si="720"/>
        <v>1.1218321012500001</v>
      </c>
      <c r="EM252">
        <f t="shared" si="721"/>
        <v>2.1600000000000001E-2</v>
      </c>
      <c r="EN252" s="144">
        <f t="shared" si="722"/>
        <v>61.85</v>
      </c>
      <c r="EP252" s="144">
        <f t="shared" si="723"/>
        <v>5111.8746973697225</v>
      </c>
      <c r="EQ252" s="150">
        <f t="shared" si="724"/>
        <v>1.008</v>
      </c>
      <c r="ER252" s="150">
        <f t="shared" si="769"/>
        <v>0.14657399999999998</v>
      </c>
      <c r="ES252" s="456"/>
      <c r="EU252" s="144">
        <f t="shared" si="725"/>
        <v>1154.5740000000001</v>
      </c>
      <c r="EV252" s="456">
        <f t="shared" si="726"/>
        <v>6.4798850479165712E-2</v>
      </c>
      <c r="EW252" s="456">
        <f t="shared" si="727"/>
        <v>0.17549085108422358</v>
      </c>
      <c r="EX252" s="456">
        <f t="shared" si="728"/>
        <v>2.5253661019066392E-3</v>
      </c>
      <c r="EY252" s="456">
        <f t="shared" si="729"/>
        <v>17.067503280961812</v>
      </c>
      <c r="EZ252" s="456"/>
      <c r="FA252" s="538">
        <f t="shared" si="730"/>
        <v>1.9164255319148937</v>
      </c>
      <c r="FB252" s="144">
        <f t="shared" si="731"/>
        <v>19226.743880542002</v>
      </c>
      <c r="FC252" s="150">
        <f t="shared" si="732"/>
        <v>25.493192577911724</v>
      </c>
      <c r="FD252" s="5">
        <f t="shared" si="733"/>
        <v>45.035999999999994</v>
      </c>
      <c r="FE252" s="150">
        <f t="shared" si="734"/>
        <v>0.63854410285854224</v>
      </c>
      <c r="FF252" s="5">
        <f t="shared" si="735"/>
        <v>63.854410285854222</v>
      </c>
      <c r="FG252">
        <f t="shared" si="736"/>
        <v>36</v>
      </c>
      <c r="FI252" s="59">
        <f t="shared" si="686"/>
        <v>-50</v>
      </c>
    </row>
    <row r="253" spans="5:165">
      <c r="E253" s="147">
        <v>37</v>
      </c>
      <c r="F253" s="188">
        <f t="shared" si="770"/>
        <v>1.48</v>
      </c>
      <c r="G253" s="188">
        <f t="shared" si="740"/>
        <v>0.3145</v>
      </c>
      <c r="H253" s="188">
        <f t="shared" si="741"/>
        <v>44.4</v>
      </c>
      <c r="I253" s="188">
        <f t="shared" si="742"/>
        <v>1.887</v>
      </c>
      <c r="J253" s="465">
        <f t="shared" si="743"/>
        <v>47.884795324007648</v>
      </c>
      <c r="K253" s="379">
        <f t="shared" si="744"/>
        <v>30.784471079270148</v>
      </c>
      <c r="L253" s="149">
        <f t="shared" si="745"/>
        <v>78.669266403277788</v>
      </c>
      <c r="M253" s="379"/>
      <c r="N253" s="188">
        <f t="shared" si="746"/>
        <v>0.39131509020894467</v>
      </c>
      <c r="O253" s="149">
        <f t="shared" si="747"/>
        <v>272.33548436670162</v>
      </c>
      <c r="P253" s="149">
        <f t="shared" si="748"/>
        <v>11.574258085584818</v>
      </c>
      <c r="Q253" s="188">
        <f t="shared" si="624"/>
        <v>9.0778494788900534</v>
      </c>
      <c r="R253" s="188">
        <f t="shared" si="749"/>
        <v>45.389247394450273</v>
      </c>
      <c r="S253" s="188">
        <f t="shared" si="750"/>
        <v>30</v>
      </c>
      <c r="T253" s="188">
        <f t="shared" si="751"/>
        <v>4.94043054500706</v>
      </c>
      <c r="U253" s="188">
        <f t="shared" si="628"/>
        <v>0.48491433250193988</v>
      </c>
      <c r="V253" s="188">
        <f t="shared" si="629"/>
        <v>0.75427716466985972</v>
      </c>
      <c r="W253" s="172">
        <f t="shared" si="630"/>
        <v>350</v>
      </c>
      <c r="X253" s="379">
        <f t="shared" si="688"/>
        <v>350</v>
      </c>
      <c r="Z253" s="188">
        <f t="shared" si="631"/>
        <v>11.390907599909363</v>
      </c>
      <c r="AA253" s="150">
        <f t="shared" si="632"/>
        <v>1.7390997422601582</v>
      </c>
      <c r="AB253" s="150">
        <f t="shared" si="752"/>
        <v>3.3254069855583106</v>
      </c>
      <c r="AC253" s="150"/>
      <c r="AD253" s="150">
        <f t="shared" si="634"/>
        <v>0.92529926570769638</v>
      </c>
      <c r="AE253" s="314">
        <f t="shared" si="753"/>
        <v>550.26197347144932</v>
      </c>
      <c r="AF253" s="456">
        <f t="shared" si="754"/>
        <v>0.94136979288625466</v>
      </c>
      <c r="AH253" s="150">
        <f t="shared" si="755"/>
        <v>7.5017323227335488</v>
      </c>
      <c r="AI253" s="150">
        <f t="shared" si="756"/>
        <v>7.5017323227335488</v>
      </c>
      <c r="AJ253" s="150">
        <f t="shared" si="757"/>
        <v>2.2675009349092505</v>
      </c>
      <c r="AL253" s="314">
        <f t="shared" si="758"/>
        <v>1480</v>
      </c>
      <c r="AM253" s="144">
        <f t="shared" si="759"/>
        <v>350</v>
      </c>
      <c r="AO253">
        <f t="shared" si="642"/>
        <v>1480</v>
      </c>
      <c r="AP253">
        <f t="shared" si="643"/>
        <v>350</v>
      </c>
      <c r="AR253" s="5">
        <f t="shared" si="614"/>
        <v>2.8571428571428572</v>
      </c>
      <c r="AS253" s="5">
        <f t="shared" si="737"/>
        <v>0.73631184342079792</v>
      </c>
      <c r="AT253" s="5">
        <f t="shared" si="738"/>
        <v>2.1208310137220594</v>
      </c>
      <c r="AU253" s="150">
        <f t="shared" si="739"/>
        <v>0.25770914519727928</v>
      </c>
      <c r="BA253" s="150">
        <f t="shared" si="689"/>
        <v>2.1986993671926589</v>
      </c>
      <c r="BB253" s="150">
        <f t="shared" si="690"/>
        <v>3.5794139600495227</v>
      </c>
      <c r="BC253" s="150">
        <f t="shared" si="691"/>
        <v>0.71849851759609462</v>
      </c>
      <c r="BD253" s="150"/>
      <c r="BE253" s="456">
        <f t="shared" si="692"/>
        <v>5.8011346887520791E-2</v>
      </c>
      <c r="BF253" s="456">
        <f t="shared" si="760"/>
        <v>3.7696200357002247</v>
      </c>
      <c r="BG253" s="456">
        <f t="shared" si="693"/>
        <v>4.0250000000000001E-2</v>
      </c>
      <c r="BH253" s="456">
        <f t="shared" si="694"/>
        <v>1.120956085918364</v>
      </c>
      <c r="BI253">
        <f t="shared" si="695"/>
        <v>2.154815789580344E-2</v>
      </c>
      <c r="BJ253" s="144">
        <f t="shared" si="696"/>
        <v>61.798157895803435</v>
      </c>
      <c r="BK253">
        <f t="shared" si="761"/>
        <v>5.0336315729196137</v>
      </c>
      <c r="BL253" s="144">
        <f t="shared" si="697"/>
        <v>5010.3856264019132</v>
      </c>
      <c r="BM253" s="150">
        <f t="shared" si="762"/>
        <v>0.99248800000000004</v>
      </c>
      <c r="BN253" s="150">
        <f t="shared" si="763"/>
        <v>0.15064549999999999</v>
      </c>
      <c r="BQ253" s="144">
        <f t="shared" si="698"/>
        <v>1143.1334999999999</v>
      </c>
      <c r="BR253" s="456">
        <f t="shared" si="699"/>
        <v>6.7679904702107593E-2</v>
      </c>
      <c r="BS253" s="456">
        <f t="shared" si="700"/>
        <v>0.17937086016356368</v>
      </c>
      <c r="BT253" s="456">
        <f t="shared" si="701"/>
        <v>2.5812005989389276E-3</v>
      </c>
      <c r="BU253" s="456">
        <f t="shared" si="702"/>
        <v>17.662168518066164</v>
      </c>
      <c r="BV253" s="456"/>
      <c r="BW253" s="538">
        <f t="shared" si="703"/>
        <v>1.9696595744680854</v>
      </c>
      <c r="BX253" s="144">
        <f t="shared" si="704"/>
        <v>19881.460057998858</v>
      </c>
      <c r="BY253" s="150">
        <f t="shared" si="705"/>
        <v>26.034979184400772</v>
      </c>
      <c r="BZ253" s="5">
        <f t="shared" si="706"/>
        <v>46.286999999999999</v>
      </c>
      <c r="CA253" s="150">
        <f t="shared" si="707"/>
        <v>0.64001290509460651</v>
      </c>
      <c r="CB253" s="5">
        <f t="shared" si="708"/>
        <v>64.001290509460645</v>
      </c>
      <c r="CC253">
        <f t="shared" si="709"/>
        <v>37</v>
      </c>
      <c r="CE253" s="59">
        <f t="shared" si="764"/>
        <v>-50</v>
      </c>
      <c r="CG253" s="150">
        <f t="shared" si="765"/>
        <v>0.40287301556032101</v>
      </c>
      <c r="CH253" s="150">
        <f t="shared" si="766"/>
        <v>8.7924038922076717E-2</v>
      </c>
      <c r="CI253" s="147">
        <v>37</v>
      </c>
      <c r="CJ253" s="188">
        <f t="shared" si="710"/>
        <v>1.48</v>
      </c>
      <c r="CK253" s="188">
        <f t="shared" si="651"/>
        <v>0.3145</v>
      </c>
      <c r="CL253" s="188">
        <f t="shared" si="652"/>
        <v>44.4</v>
      </c>
      <c r="CM253" s="188">
        <f t="shared" si="653"/>
        <v>1.887</v>
      </c>
      <c r="CN253" s="465">
        <f t="shared" si="654"/>
        <v>48</v>
      </c>
      <c r="CO253" s="379">
        <f t="shared" si="767"/>
        <v>30.7</v>
      </c>
      <c r="CP253" s="379">
        <f t="shared" si="768"/>
        <v>78.7</v>
      </c>
      <c r="CQ253" s="379"/>
      <c r="CR253" s="188">
        <f t="shared" si="657"/>
        <v>0.38775510204081626</v>
      </c>
      <c r="CS253" s="149">
        <f t="shared" si="658"/>
        <v>270.50715642699197</v>
      </c>
      <c r="CT253" s="149">
        <f t="shared" si="659"/>
        <v>11.496554148147156</v>
      </c>
      <c r="CU253" s="188">
        <f t="shared" si="660"/>
        <v>9.0169052142330663</v>
      </c>
      <c r="CV253" s="188">
        <f t="shared" si="661"/>
        <v>45.084526071165328</v>
      </c>
      <c r="CW253" s="188">
        <f t="shared" si="662"/>
        <v>30</v>
      </c>
      <c r="CX253" s="188">
        <f t="shared" si="663"/>
        <v>4.9738223684210539</v>
      </c>
      <c r="CY253" s="188">
        <f t="shared" si="664"/>
        <v>0.48702010690789482</v>
      </c>
      <c r="CZ253" s="188">
        <f t="shared" si="665"/>
        <v>0.7614646622664154</v>
      </c>
      <c r="DA253" s="172">
        <f t="shared" si="666"/>
        <v>350</v>
      </c>
      <c r="DB253" s="379">
        <f t="shared" si="667"/>
        <v>350</v>
      </c>
      <c r="DD253" s="188">
        <f t="shared" si="668"/>
        <v>11.382534575916392</v>
      </c>
      <c r="DE253" s="150">
        <f t="shared" si="669"/>
        <v>1.7426030132510437</v>
      </c>
      <c r="DF253" s="150">
        <f t="shared" si="670"/>
        <v>3.3296564353233258</v>
      </c>
      <c r="DG253" s="150"/>
      <c r="DH253" s="150">
        <f t="shared" si="671"/>
        <v>0.92784522751949461</v>
      </c>
      <c r="DI253" s="314">
        <f t="shared" si="672"/>
        <v>548.75208159574458</v>
      </c>
      <c r="DJ253" s="456">
        <f t="shared" si="673"/>
        <v>0.94395997276890675</v>
      </c>
      <c r="DL253" s="150">
        <f t="shared" si="674"/>
        <v>7.5017323227335488</v>
      </c>
      <c r="DM253" s="150">
        <f t="shared" si="675"/>
        <v>7.5017323227335488</v>
      </c>
      <c r="DN253" s="150">
        <f t="shared" si="676"/>
        <v>2.2675009349092505</v>
      </c>
      <c r="DP253" s="314">
        <f t="shared" si="677"/>
        <v>1480</v>
      </c>
      <c r="DQ253" s="144">
        <f t="shared" si="678"/>
        <v>350</v>
      </c>
      <c r="DS253">
        <f t="shared" si="679"/>
        <v>1480</v>
      </c>
      <c r="DT253">
        <f t="shared" si="680"/>
        <v>350</v>
      </c>
      <c r="DV253" s="5">
        <f t="shared" si="681"/>
        <v>2.8571428571428572</v>
      </c>
      <c r="DW253" s="5">
        <f t="shared" si="682"/>
        <v>0.73454462326766001</v>
      </c>
      <c r="DX253" s="5">
        <f t="shared" si="683"/>
        <v>2.1225982338751974</v>
      </c>
      <c r="DY253" s="150">
        <f t="shared" si="684"/>
        <v>0.257090618143681</v>
      </c>
      <c r="EA253" s="5">
        <f t="shared" si="711"/>
        <v>3.6237534747871227</v>
      </c>
      <c r="EB253" s="5">
        <f t="shared" si="712"/>
        <v>3.8502380669613179</v>
      </c>
      <c r="EC253" s="5">
        <f t="shared" si="713"/>
        <v>1.1549431566673867</v>
      </c>
      <c r="ED253" s="5"/>
      <c r="EE253" s="150">
        <f t="shared" si="714"/>
        <v>2.1960592357623985</v>
      </c>
      <c r="EF253" s="150">
        <f t="shared" si="715"/>
        <v>3.5809049546790246</v>
      </c>
      <c r="EG253" s="150">
        <f t="shared" si="716"/>
        <v>0.71879780609499333</v>
      </c>
      <c r="EH253" s="150"/>
      <c r="EI253" s="456">
        <f t="shared" si="717"/>
        <v>5.7872114003727951E-2</v>
      </c>
      <c r="EJ253" s="456">
        <f t="shared" si="718"/>
        <v>3.9260691197642164</v>
      </c>
      <c r="EK253" s="456">
        <f t="shared" si="719"/>
        <v>4.0250000000000001E-2</v>
      </c>
      <c r="EL253" s="456">
        <f t="shared" si="720"/>
        <v>1.1218321012500001</v>
      </c>
      <c r="EM253">
        <f t="shared" si="721"/>
        <v>2.1600000000000001E-2</v>
      </c>
      <c r="EN253" s="144">
        <f t="shared" si="722"/>
        <v>61.85</v>
      </c>
      <c r="EP253" s="144">
        <f t="shared" si="723"/>
        <v>5167.6233350179446</v>
      </c>
      <c r="EQ253" s="150">
        <f t="shared" si="724"/>
        <v>1.036</v>
      </c>
      <c r="ER253" s="150">
        <f t="shared" si="769"/>
        <v>0.15064549999999999</v>
      </c>
      <c r="ES253" s="456"/>
      <c r="EU253" s="144">
        <f t="shared" si="725"/>
        <v>1186.6455000000001</v>
      </c>
      <c r="EV253" s="456">
        <f t="shared" si="726"/>
        <v>6.7517466337682616E-2</v>
      </c>
      <c r="EW253" s="456">
        <f t="shared" si="727"/>
        <v>0.17952032412222702</v>
      </c>
      <c r="EX253" s="456">
        <f t="shared" si="728"/>
        <v>2.5833514302348783E-3</v>
      </c>
      <c r="EY253" s="456">
        <f t="shared" si="729"/>
        <v>17.662168518066164</v>
      </c>
      <c r="EZ253" s="456"/>
      <c r="FA253" s="538">
        <f t="shared" si="730"/>
        <v>1.9696595744680854</v>
      </c>
      <c r="FB253" s="144">
        <f t="shared" si="731"/>
        <v>19881.449234424395</v>
      </c>
      <c r="FC253" s="150">
        <f t="shared" si="732"/>
        <v>26.235718069442338</v>
      </c>
      <c r="FD253" s="5">
        <f t="shared" si="733"/>
        <v>46.286999999999999</v>
      </c>
      <c r="FE253" s="150">
        <f t="shared" si="734"/>
        <v>0.63824138466072144</v>
      </c>
      <c r="FF253" s="5">
        <f t="shared" si="735"/>
        <v>63.824138466072142</v>
      </c>
      <c r="FG253">
        <f t="shared" si="736"/>
        <v>37</v>
      </c>
      <c r="FI253" s="59">
        <f t="shared" si="686"/>
        <v>-50</v>
      </c>
    </row>
    <row r="254" spans="5:165">
      <c r="E254" s="147">
        <v>38</v>
      </c>
      <c r="F254" s="188">
        <f t="shared" si="770"/>
        <v>1.52</v>
      </c>
      <c r="G254" s="188">
        <f t="shared" si="740"/>
        <v>0.32300000000000001</v>
      </c>
      <c r="H254" s="188">
        <f t="shared" si="741"/>
        <v>45.6</v>
      </c>
      <c r="I254" s="188">
        <f t="shared" si="742"/>
        <v>1.9380000000000002</v>
      </c>
      <c r="J254" s="465">
        <f t="shared" si="743"/>
        <v>47.883248883322764</v>
      </c>
      <c r="K254" s="379">
        <f t="shared" si="744"/>
        <v>30.785604969995973</v>
      </c>
      <c r="L254" s="149">
        <f t="shared" si="745"/>
        <v>78.668853853318737</v>
      </c>
      <c r="M254" s="379"/>
      <c r="N254" s="188">
        <f t="shared" si="746"/>
        <v>0.39133155578187245</v>
      </c>
      <c r="O254" s="149">
        <f t="shared" si="747"/>
        <v>272.33814812006841</v>
      </c>
      <c r="P254" s="149">
        <f t="shared" si="748"/>
        <v>11.574371295102905</v>
      </c>
      <c r="Q254" s="188">
        <f t="shared" si="624"/>
        <v>9.0779382706689464</v>
      </c>
      <c r="R254" s="188">
        <f t="shared" si="749"/>
        <v>45.389691353344737</v>
      </c>
      <c r="S254" s="188">
        <f t="shared" si="750"/>
        <v>30</v>
      </c>
      <c r="T254" s="188">
        <f t="shared" si="751"/>
        <v>5.0739060662517481</v>
      </c>
      <c r="U254" s="188">
        <f t="shared" si="628"/>
        <v>0.49803133804667543</v>
      </c>
      <c r="V254" s="188">
        <f t="shared" si="629"/>
        <v>0.77462692497435548</v>
      </c>
      <c r="W254" s="172">
        <f t="shared" si="630"/>
        <v>350</v>
      </c>
      <c r="X254" s="379">
        <f t="shared" si="688"/>
        <v>350</v>
      </c>
      <c r="Z254" s="188">
        <f t="shared" si="631"/>
        <v>11.391019016049425</v>
      </c>
      <c r="AA254" s="150">
        <f t="shared" si="632"/>
        <v>1.7390526977660787</v>
      </c>
      <c r="AB254" s="150">
        <f t="shared" si="752"/>
        <v>3.3253495551836498</v>
      </c>
      <c r="AC254" s="150"/>
      <c r="AD254" s="150">
        <f t="shared" si="634"/>
        <v>0.92526518522569778</v>
      </c>
      <c r="AE254" s="314">
        <f t="shared" si="753"/>
        <v>565.15473439373591</v>
      </c>
      <c r="AF254" s="456">
        <f t="shared" si="754"/>
        <v>0.94133512049704016</v>
      </c>
      <c r="AH254" s="150">
        <f t="shared" si="755"/>
        <v>7.6024312220711465</v>
      </c>
      <c r="AI254" s="150">
        <f t="shared" si="756"/>
        <v>7.6024312220711465</v>
      </c>
      <c r="AJ254" s="150">
        <f t="shared" si="757"/>
        <v>2.3420927121963597</v>
      </c>
      <c r="AL254" s="314">
        <f t="shared" si="758"/>
        <v>1520</v>
      </c>
      <c r="AM254" s="144">
        <f t="shared" si="759"/>
        <v>350</v>
      </c>
      <c r="AO254">
        <f t="shared" si="642"/>
        <v>1520</v>
      </c>
      <c r="AP254">
        <f t="shared" si="643"/>
        <v>350</v>
      </c>
      <c r="AR254" s="5">
        <f t="shared" si="614"/>
        <v>2.8571428571428572</v>
      </c>
      <c r="AS254" s="5">
        <f t="shared" si="737"/>
        <v>0.74621976530459</v>
      </c>
      <c r="AT254" s="5">
        <f t="shared" si="738"/>
        <v>2.1109230918382673</v>
      </c>
      <c r="AU254" s="150">
        <f t="shared" si="739"/>
        <v>0.26117691785660652</v>
      </c>
      <c r="BA254" s="150">
        <f t="shared" si="689"/>
        <v>2.2431549211841273</v>
      </c>
      <c r="BB254" s="150">
        <f t="shared" si="690"/>
        <v>3.6189787781472416</v>
      </c>
      <c r="BC254" s="150">
        <f t="shared" si="691"/>
        <v>0.72644039396732518</v>
      </c>
      <c r="BD254" s="150"/>
      <c r="BE254" s="456">
        <f t="shared" si="692"/>
        <v>6.038092800519082E-2</v>
      </c>
      <c r="BF254" s="456">
        <f t="shared" si="760"/>
        <v>3.8202011928455053</v>
      </c>
      <c r="BG254" s="456">
        <f t="shared" si="693"/>
        <v>4.0250000000000001E-2</v>
      </c>
      <c r="BH254" s="456">
        <f t="shared" si="694"/>
        <v>1.1209443291244872</v>
      </c>
      <c r="BI254">
        <f t="shared" si="695"/>
        <v>2.1547461997495243E-2</v>
      </c>
      <c r="BJ254" s="144">
        <f t="shared" si="696"/>
        <v>61.797461997495247</v>
      </c>
      <c r="BK254">
        <f t="shared" si="761"/>
        <v>5.0908654448835877</v>
      </c>
      <c r="BL254" s="144">
        <f t="shared" si="697"/>
        <v>5063.3239119726786</v>
      </c>
      <c r="BM254" s="150">
        <f t="shared" si="762"/>
        <v>1.0193119999999998</v>
      </c>
      <c r="BN254" s="150">
        <f t="shared" si="763"/>
        <v>0.15471699999999999</v>
      </c>
      <c r="BQ254" s="144">
        <f t="shared" si="698"/>
        <v>1174.0289999999998</v>
      </c>
      <c r="BR254" s="456">
        <f t="shared" si="699"/>
        <v>7.0444416006055957E-2</v>
      </c>
      <c r="BS254" s="456">
        <f t="shared" si="700"/>
        <v>0.18335810355352142</v>
      </c>
      <c r="BT254" s="456">
        <f t="shared" si="701"/>
        <v>2.6385782299370129E-3</v>
      </c>
      <c r="BU254" s="456">
        <f t="shared" si="702"/>
        <v>18.26086579954033</v>
      </c>
      <c r="BV254" s="456"/>
      <c r="BW254" s="538">
        <f t="shared" si="703"/>
        <v>2.0228936170212766</v>
      </c>
      <c r="BX254" s="144">
        <f t="shared" si="704"/>
        <v>20540.20051435112</v>
      </c>
      <c r="BY254" s="150">
        <f t="shared" si="705"/>
        <v>26.777553426323799</v>
      </c>
      <c r="BZ254" s="5">
        <f t="shared" si="706"/>
        <v>47.538000000000004</v>
      </c>
      <c r="CA254" s="150">
        <f t="shared" si="707"/>
        <v>0.63967766918575153</v>
      </c>
      <c r="CB254" s="5">
        <f t="shared" si="708"/>
        <v>63.967766918575151</v>
      </c>
      <c r="CC254">
        <f t="shared" si="709"/>
        <v>38</v>
      </c>
      <c r="CE254" s="59">
        <f t="shared" si="764"/>
        <v>-50</v>
      </c>
      <c r="CG254" s="150">
        <f t="shared" si="765"/>
        <v>0.40828094902081008</v>
      </c>
      <c r="CH254" s="150">
        <f t="shared" si="766"/>
        <v>8.9104280173545825E-2</v>
      </c>
      <c r="CI254" s="147">
        <v>38</v>
      </c>
      <c r="CJ254" s="188">
        <f t="shared" si="710"/>
        <v>1.52</v>
      </c>
      <c r="CK254" s="188">
        <f t="shared" si="651"/>
        <v>0.32300000000000001</v>
      </c>
      <c r="CL254" s="188">
        <f t="shared" si="652"/>
        <v>45.6</v>
      </c>
      <c r="CM254" s="188">
        <f t="shared" si="653"/>
        <v>1.9380000000000002</v>
      </c>
      <c r="CN254" s="465">
        <f t="shared" si="654"/>
        <v>48</v>
      </c>
      <c r="CO254" s="379">
        <f t="shared" si="767"/>
        <v>30.7</v>
      </c>
      <c r="CP254" s="379">
        <f t="shared" si="768"/>
        <v>78.7</v>
      </c>
      <c r="CQ254" s="379"/>
      <c r="CR254" s="188">
        <f t="shared" si="657"/>
        <v>0.38775510204081626</v>
      </c>
      <c r="CS254" s="149">
        <f t="shared" si="658"/>
        <v>270.50715642699197</v>
      </c>
      <c r="CT254" s="149">
        <f t="shared" si="659"/>
        <v>11.496554148147156</v>
      </c>
      <c r="CU254" s="188">
        <f t="shared" si="660"/>
        <v>9.0169052142330663</v>
      </c>
      <c r="CV254" s="188">
        <f t="shared" si="661"/>
        <v>45.084526071165328</v>
      </c>
      <c r="CW254" s="188">
        <f t="shared" si="662"/>
        <v>30</v>
      </c>
      <c r="CX254" s="188">
        <f t="shared" si="663"/>
        <v>5.1082500000000017</v>
      </c>
      <c r="CY254" s="188">
        <f t="shared" si="664"/>
        <v>0.50018281250000018</v>
      </c>
      <c r="CZ254" s="188">
        <f t="shared" si="665"/>
        <v>0.7820447882736159</v>
      </c>
      <c r="DA254" s="172">
        <f t="shared" si="666"/>
        <v>350</v>
      </c>
      <c r="DB254" s="379">
        <f t="shared" si="667"/>
        <v>350</v>
      </c>
      <c r="DD254" s="188">
        <f t="shared" si="668"/>
        <v>11.382534575916392</v>
      </c>
      <c r="DE254" s="150">
        <f t="shared" si="669"/>
        <v>1.7426030132510437</v>
      </c>
      <c r="DF254" s="150">
        <f t="shared" si="670"/>
        <v>3.3296564353233258</v>
      </c>
      <c r="DG254" s="150"/>
      <c r="DH254" s="150">
        <f t="shared" si="671"/>
        <v>0.92784522751949461</v>
      </c>
      <c r="DI254" s="314">
        <f t="shared" si="672"/>
        <v>563.58321893617017</v>
      </c>
      <c r="DJ254" s="456">
        <f t="shared" si="673"/>
        <v>0.94395997276890675</v>
      </c>
      <c r="DL254" s="150">
        <f t="shared" si="674"/>
        <v>7.6024312220711465</v>
      </c>
      <c r="DM254" s="150">
        <f t="shared" si="675"/>
        <v>7.6024312220711465</v>
      </c>
      <c r="DN254" s="150">
        <f t="shared" si="676"/>
        <v>2.3420927121963597</v>
      </c>
      <c r="DP254" s="314">
        <f t="shared" si="677"/>
        <v>1520</v>
      </c>
      <c r="DQ254" s="144">
        <f t="shared" si="678"/>
        <v>350</v>
      </c>
      <c r="DS254">
        <f t="shared" si="679"/>
        <v>1520</v>
      </c>
      <c r="DT254">
        <f t="shared" si="680"/>
        <v>350</v>
      </c>
      <c r="DV254" s="5">
        <f t="shared" si="681"/>
        <v>2.8571428571428572</v>
      </c>
      <c r="DW254" s="5">
        <f t="shared" si="682"/>
        <v>0.74440472382779965</v>
      </c>
      <c r="DX254" s="5">
        <f t="shared" si="683"/>
        <v>2.1127381333150574</v>
      </c>
      <c r="DY254" s="150">
        <f t="shared" si="684"/>
        <v>0.2605416533397299</v>
      </c>
      <c r="EA254" s="5">
        <f t="shared" si="711"/>
        <v>3.7716506007275186</v>
      </c>
      <c r="EB254" s="5">
        <f t="shared" si="712"/>
        <v>4.007378763272988</v>
      </c>
      <c r="EC254" s="5">
        <f t="shared" si="713"/>
        <v>1.1806477803819437</v>
      </c>
      <c r="ED254" s="5"/>
      <c r="EE254" s="150">
        <f t="shared" si="714"/>
        <v>2.2404252307034205</v>
      </c>
      <c r="EF254" s="150">
        <f t="shared" si="715"/>
        <v>3.620534302657803</v>
      </c>
      <c r="EG254" s="150">
        <f t="shared" si="716"/>
        <v>0.72675263559888736</v>
      </c>
      <c r="EH254" s="150"/>
      <c r="EI254" s="456">
        <f t="shared" si="717"/>
        <v>6.0234062572469702E-2</v>
      </c>
      <c r="EJ254" s="456">
        <f t="shared" si="718"/>
        <v>3.9787703922270454</v>
      </c>
      <c r="EK254" s="456">
        <f t="shared" si="719"/>
        <v>4.0250000000000001E-2</v>
      </c>
      <c r="EL254" s="456">
        <f t="shared" si="720"/>
        <v>1.1218321012500001</v>
      </c>
      <c r="EM254">
        <f t="shared" si="721"/>
        <v>2.1600000000000001E-2</v>
      </c>
      <c r="EN254" s="144">
        <f t="shared" si="722"/>
        <v>61.85</v>
      </c>
      <c r="EP254" s="144">
        <f t="shared" si="723"/>
        <v>5222.6865560495153</v>
      </c>
      <c r="EQ254" s="150">
        <f t="shared" si="724"/>
        <v>1.0639999999999998</v>
      </c>
      <c r="ER254" s="150">
        <f t="shared" si="769"/>
        <v>0.15471699999999999</v>
      </c>
      <c r="ES254" s="456"/>
      <c r="EU254" s="144">
        <f t="shared" si="725"/>
        <v>1218.7169999999999</v>
      </c>
      <c r="EV254" s="456">
        <f t="shared" si="726"/>
        <v>7.0273073001214645E-2</v>
      </c>
      <c r="EW254" s="456">
        <f t="shared" si="727"/>
        <v>0.18351576091410554</v>
      </c>
      <c r="EX254" s="456">
        <f t="shared" si="728"/>
        <v>2.6408469667496461E-3</v>
      </c>
      <c r="EY254" s="456">
        <f t="shared" si="729"/>
        <v>18.26086579954033</v>
      </c>
      <c r="EZ254" s="456"/>
      <c r="FA254" s="538">
        <f t="shared" si="730"/>
        <v>2.0228936170212766</v>
      </c>
      <c r="FB254" s="144">
        <f t="shared" si="731"/>
        <v>20540.189097443679</v>
      </c>
      <c r="FC254" s="150">
        <f t="shared" si="732"/>
        <v>26.981592653493188</v>
      </c>
      <c r="FD254" s="5">
        <f t="shared" si="733"/>
        <v>47.538000000000004</v>
      </c>
      <c r="FE254" s="150">
        <f t="shared" si="734"/>
        <v>0.63792619239138593</v>
      </c>
      <c r="FF254" s="5">
        <f t="shared" si="735"/>
        <v>63.792619239138595</v>
      </c>
      <c r="FG254">
        <f t="shared" si="736"/>
        <v>38</v>
      </c>
      <c r="FI254" s="59">
        <f t="shared" si="686"/>
        <v>-50</v>
      </c>
    </row>
    <row r="255" spans="5:165">
      <c r="E255" s="147">
        <v>39</v>
      </c>
      <c r="F255" s="188">
        <f t="shared" si="770"/>
        <v>1.56</v>
      </c>
      <c r="G255" s="188">
        <f t="shared" si="740"/>
        <v>0.33150000000000002</v>
      </c>
      <c r="H255" s="188">
        <f t="shared" si="741"/>
        <v>46.800000000000004</v>
      </c>
      <c r="I255" s="188">
        <f t="shared" si="742"/>
        <v>1.9890000000000001</v>
      </c>
      <c r="J255" s="465">
        <f t="shared" si="743"/>
        <v>47.881722660157322</v>
      </c>
      <c r="K255" s="379">
        <f t="shared" si="744"/>
        <v>30.786724036708161</v>
      </c>
      <c r="L255" s="149">
        <f t="shared" si="745"/>
        <v>78.668446696865487</v>
      </c>
      <c r="M255" s="379"/>
      <c r="N255" s="188">
        <f t="shared" si="746"/>
        <v>0.39134780626010307</v>
      </c>
      <c r="O255" s="149">
        <f t="shared" si="747"/>
        <v>272.34077644077081</v>
      </c>
      <c r="P255" s="149">
        <f t="shared" si="748"/>
        <v>11.574482998732758</v>
      </c>
      <c r="Q255" s="188">
        <f t="shared" si="624"/>
        <v>9.0780258813590269</v>
      </c>
      <c r="R255" s="188">
        <f t="shared" si="749"/>
        <v>45.390129406795133</v>
      </c>
      <c r="S255" s="188">
        <f t="shared" si="750"/>
        <v>30</v>
      </c>
      <c r="T255" s="188">
        <f t="shared" si="751"/>
        <v>5.2073796539617607</v>
      </c>
      <c r="U255" s="188">
        <f t="shared" si="628"/>
        <v>0.51114878525424923</v>
      </c>
      <c r="V255" s="188">
        <f t="shared" si="629"/>
        <v>0.79497527390176992</v>
      </c>
      <c r="W255" s="172">
        <f t="shared" si="630"/>
        <v>350</v>
      </c>
      <c r="X255" s="379">
        <f t="shared" si="688"/>
        <v>350</v>
      </c>
      <c r="Z255" s="188">
        <f t="shared" si="631"/>
        <v>11.391128950156373</v>
      </c>
      <c r="AA255" s="150">
        <f t="shared" si="632"/>
        <v>1.7390062678282767</v>
      </c>
      <c r="AB255" s="150">
        <f t="shared" si="752"/>
        <v>3.3252928655571821</v>
      </c>
      <c r="AC255" s="150"/>
      <c r="AD255" s="150">
        <f t="shared" si="634"/>
        <v>0.92523155275907021</v>
      </c>
      <c r="AE255" s="314">
        <f t="shared" si="753"/>
        <v>580.04831158168565</v>
      </c>
      <c r="AF255" s="456">
        <f t="shared" si="754"/>
        <v>0.94130090390429366</v>
      </c>
      <c r="AH255" s="150">
        <f t="shared" si="755"/>
        <v>7.7018136260688035</v>
      </c>
      <c r="AI255" s="150">
        <f t="shared" si="756"/>
        <v>7.7018136260688035</v>
      </c>
      <c r="AJ255" s="150">
        <f t="shared" si="757"/>
        <v>2.4157093077501797</v>
      </c>
      <c r="AL255" s="314">
        <f t="shared" si="758"/>
        <v>1560</v>
      </c>
      <c r="AM255" s="144">
        <f t="shared" si="759"/>
        <v>350</v>
      </c>
      <c r="AO255">
        <f t="shared" si="642"/>
        <v>1560</v>
      </c>
      <c r="AP255">
        <f t="shared" si="643"/>
        <v>350</v>
      </c>
      <c r="AR255" s="5">
        <f t="shared" si="614"/>
        <v>2.8571428571428572</v>
      </c>
      <c r="AS255" s="5">
        <f t="shared" si="737"/>
        <v>0.75599878265541998</v>
      </c>
      <c r="AT255" s="5">
        <f t="shared" si="738"/>
        <v>2.1011440744874372</v>
      </c>
      <c r="AU255" s="150">
        <f t="shared" si="739"/>
        <v>0.26459957392939698</v>
      </c>
      <c r="BA255" s="150">
        <f t="shared" si="689"/>
        <v>2.2873201082457055</v>
      </c>
      <c r="BB255" s="150">
        <f t="shared" si="690"/>
        <v>3.6577856570409288</v>
      </c>
      <c r="BC255" s="150">
        <f t="shared" si="691"/>
        <v>0.7342301286191002</v>
      </c>
      <c r="BD255" s="150"/>
      <c r="BE255" s="456">
        <f t="shared" si="692"/>
        <v>6.2781999331021757E-2</v>
      </c>
      <c r="BF255" s="456">
        <f t="shared" si="760"/>
        <v>3.8701205527202558</v>
      </c>
      <c r="BG255" s="456">
        <f t="shared" si="693"/>
        <v>4.0250000000000001E-2</v>
      </c>
      <c r="BH255" s="456">
        <f t="shared" si="694"/>
        <v>1.1209327260944717</v>
      </c>
      <c r="BI255">
        <f t="shared" si="695"/>
        <v>2.1546775197070794E-2</v>
      </c>
      <c r="BJ255" s="144">
        <f t="shared" si="696"/>
        <v>61.796775197070794</v>
      </c>
      <c r="BK255">
        <f t="shared" si="761"/>
        <v>5.147572776729632</v>
      </c>
      <c r="BL255" s="144">
        <f t="shared" si="697"/>
        <v>5115.6320533428197</v>
      </c>
      <c r="BM255" s="150">
        <f t="shared" si="762"/>
        <v>1.0461359999999997</v>
      </c>
      <c r="BN255" s="150">
        <f t="shared" si="763"/>
        <v>0.1587885</v>
      </c>
      <c r="BQ255" s="144">
        <f t="shared" si="698"/>
        <v>1204.9244999999996</v>
      </c>
      <c r="BR255" s="456">
        <f t="shared" si="699"/>
        <v>7.3245665886192038E-2</v>
      </c>
      <c r="BS255" s="456">
        <f t="shared" si="700"/>
        <v>0.18731154277996076</v>
      </c>
      <c r="BT255" s="456">
        <f t="shared" si="701"/>
        <v>2.6954694088601023E-3</v>
      </c>
      <c r="BU255" s="456">
        <f t="shared" si="702"/>
        <v>18.863515264465054</v>
      </c>
      <c r="BV255" s="456"/>
      <c r="BW255" s="538">
        <f t="shared" si="703"/>
        <v>2.076127659574468</v>
      </c>
      <c r="BX255" s="144">
        <f t="shared" si="704"/>
        <v>21202.895602114535</v>
      </c>
      <c r="BY255" s="150">
        <f t="shared" si="705"/>
        <v>27.523452155457356</v>
      </c>
      <c r="BZ255" s="5">
        <f t="shared" si="706"/>
        <v>48.789000000000001</v>
      </c>
      <c r="CA255" s="150">
        <f t="shared" si="707"/>
        <v>0.63933209616447817</v>
      </c>
      <c r="CB255" s="5">
        <f t="shared" si="708"/>
        <v>63.933209616447819</v>
      </c>
      <c r="CC255">
        <f t="shared" si="709"/>
        <v>39</v>
      </c>
      <c r="CE255" s="59">
        <f t="shared" si="764"/>
        <v>-50</v>
      </c>
      <c r="CG255" s="150">
        <f t="shared" si="765"/>
        <v>0.41361818141856388</v>
      </c>
      <c r="CH255" s="150">
        <f t="shared" si="766"/>
        <v>9.0269091443974547E-2</v>
      </c>
      <c r="CI255" s="147">
        <v>39</v>
      </c>
      <c r="CJ255" s="188">
        <f t="shared" si="710"/>
        <v>1.56</v>
      </c>
      <c r="CK255" s="188">
        <f t="shared" si="651"/>
        <v>0.33150000000000002</v>
      </c>
      <c r="CL255" s="188">
        <f t="shared" si="652"/>
        <v>46.800000000000004</v>
      </c>
      <c r="CM255" s="188">
        <f t="shared" si="653"/>
        <v>1.9890000000000001</v>
      </c>
      <c r="CN255" s="465">
        <f t="shared" si="654"/>
        <v>48</v>
      </c>
      <c r="CO255" s="379">
        <f t="shared" si="767"/>
        <v>30.7</v>
      </c>
      <c r="CP255" s="379">
        <f t="shared" si="768"/>
        <v>78.7</v>
      </c>
      <c r="CQ255" s="379"/>
      <c r="CR255" s="188">
        <f t="shared" si="657"/>
        <v>0.38775510204081626</v>
      </c>
      <c r="CS255" s="149">
        <f t="shared" si="658"/>
        <v>270.50715642699197</v>
      </c>
      <c r="CT255" s="149">
        <f t="shared" si="659"/>
        <v>11.496554148147156</v>
      </c>
      <c r="CU255" s="188">
        <f t="shared" si="660"/>
        <v>9.0169052142330663</v>
      </c>
      <c r="CV255" s="188">
        <f t="shared" si="661"/>
        <v>45.084526071165328</v>
      </c>
      <c r="CW255" s="188">
        <f t="shared" si="662"/>
        <v>30</v>
      </c>
      <c r="CX255" s="188">
        <f t="shared" si="663"/>
        <v>5.2426776315789487</v>
      </c>
      <c r="CY255" s="188">
        <f t="shared" si="664"/>
        <v>0.51334551809210538</v>
      </c>
      <c r="CZ255" s="188">
        <f t="shared" si="665"/>
        <v>0.80262491428081628</v>
      </c>
      <c r="DA255" s="172">
        <f t="shared" si="666"/>
        <v>350</v>
      </c>
      <c r="DB255" s="379">
        <f t="shared" si="667"/>
        <v>350</v>
      </c>
      <c r="DD255" s="188">
        <f t="shared" si="668"/>
        <v>11.382534575916392</v>
      </c>
      <c r="DE255" s="150">
        <f t="shared" si="669"/>
        <v>1.7426030132510437</v>
      </c>
      <c r="DF255" s="150">
        <f t="shared" si="670"/>
        <v>3.3296564353233258</v>
      </c>
      <c r="DG255" s="150"/>
      <c r="DH255" s="150">
        <f t="shared" si="671"/>
        <v>0.92784522751949461</v>
      </c>
      <c r="DI255" s="314">
        <f t="shared" si="672"/>
        <v>578.41435627659564</v>
      </c>
      <c r="DJ255" s="456">
        <f t="shared" si="673"/>
        <v>0.94395997276890675</v>
      </c>
      <c r="DL255" s="150">
        <f t="shared" si="674"/>
        <v>7.7018136260688035</v>
      </c>
      <c r="DM255" s="150">
        <f t="shared" si="675"/>
        <v>7.7018136260688035</v>
      </c>
      <c r="DN255" s="150">
        <f t="shared" si="676"/>
        <v>2.4157093077501797</v>
      </c>
      <c r="DP255" s="314">
        <f t="shared" si="677"/>
        <v>1560</v>
      </c>
      <c r="DQ255" s="144">
        <f t="shared" si="678"/>
        <v>350</v>
      </c>
      <c r="DS255">
        <f t="shared" si="679"/>
        <v>1560</v>
      </c>
      <c r="DT255">
        <f t="shared" si="680"/>
        <v>350</v>
      </c>
      <c r="DV255" s="5">
        <f t="shared" si="681"/>
        <v>2.8571428571428572</v>
      </c>
      <c r="DW255" s="5">
        <f t="shared" si="682"/>
        <v>0.75413591755257026</v>
      </c>
      <c r="DX255" s="5">
        <f t="shared" si="683"/>
        <v>2.1030069395902871</v>
      </c>
      <c r="DY255" s="150">
        <f t="shared" si="684"/>
        <v>0.26394757114339956</v>
      </c>
      <c r="EA255" s="5">
        <f t="shared" si="711"/>
        <v>3.9215067712733656</v>
      </c>
      <c r="EB255" s="5">
        <f t="shared" si="712"/>
        <v>4.1666009444779508</v>
      </c>
      <c r="EC255" s="5">
        <f t="shared" si="713"/>
        <v>1.2061363330003119</v>
      </c>
      <c r="ED255" s="5"/>
      <c r="EE255" s="150">
        <f t="shared" si="714"/>
        <v>2.2845002644703003</v>
      </c>
      <c r="EF255" s="150">
        <f t="shared" si="715"/>
        <v>3.6594067861436499</v>
      </c>
      <c r="EG255" s="150">
        <f t="shared" si="716"/>
        <v>0.73455553911091187</v>
      </c>
      <c r="EH255" s="150"/>
      <c r="EI255" s="456">
        <f t="shared" si="717"/>
        <v>6.2627297500378473E-2</v>
      </c>
      <c r="EJ255" s="456">
        <f t="shared" si="718"/>
        <v>4.0307826702712397</v>
      </c>
      <c r="EK255" s="456">
        <f t="shared" si="719"/>
        <v>4.0250000000000001E-2</v>
      </c>
      <c r="EL255" s="456">
        <f t="shared" si="720"/>
        <v>1.1218321012500001</v>
      </c>
      <c r="EM255">
        <f t="shared" si="721"/>
        <v>2.1600000000000001E-2</v>
      </c>
      <c r="EN255" s="144">
        <f t="shared" si="722"/>
        <v>61.85</v>
      </c>
      <c r="EP255" s="144">
        <f t="shared" si="723"/>
        <v>5277.092069021618</v>
      </c>
      <c r="EQ255" s="150">
        <f t="shared" si="724"/>
        <v>1.0919999999999999</v>
      </c>
      <c r="ER255" s="150">
        <f t="shared" si="769"/>
        <v>0.1587885</v>
      </c>
      <c r="ES255" s="456"/>
      <c r="EU255" s="144">
        <f t="shared" si="725"/>
        <v>1250.7884999999999</v>
      </c>
      <c r="EV255" s="456">
        <f t="shared" si="726"/>
        <v>7.3065180417108216E-2</v>
      </c>
      <c r="EW255" s="456">
        <f t="shared" si="727"/>
        <v>0.18747761237063876</v>
      </c>
      <c r="EX255" s="456">
        <f t="shared" si="728"/>
        <v>2.6978592001926124E-3</v>
      </c>
      <c r="EY255" s="456">
        <f t="shared" si="729"/>
        <v>18.863515264465054</v>
      </c>
      <c r="EZ255" s="456"/>
      <c r="FA255" s="538">
        <f t="shared" si="730"/>
        <v>2.076127659574468</v>
      </c>
      <c r="FB255" s="144">
        <f t="shared" si="731"/>
        <v>21202.88357602746</v>
      </c>
      <c r="FC255" s="150">
        <f t="shared" si="732"/>
        <v>27.730764145049079</v>
      </c>
      <c r="FD255" s="5">
        <f t="shared" si="733"/>
        <v>48.789000000000001</v>
      </c>
      <c r="FE255" s="150">
        <f t="shared" si="734"/>
        <v>0.63759997884359276</v>
      </c>
      <c r="FF255" s="5">
        <f t="shared" si="735"/>
        <v>63.759997884359279</v>
      </c>
      <c r="FG255">
        <f t="shared" si="736"/>
        <v>39</v>
      </c>
      <c r="FI255" s="59">
        <f t="shared" si="686"/>
        <v>-50</v>
      </c>
    </row>
    <row r="256" spans="5:165">
      <c r="E256" s="147">
        <v>40</v>
      </c>
      <c r="F256" s="188">
        <f t="shared" si="770"/>
        <v>1.6</v>
      </c>
      <c r="G256" s="188">
        <f t="shared" si="740"/>
        <v>0.34</v>
      </c>
      <c r="H256" s="188">
        <f t="shared" si="741"/>
        <v>48</v>
      </c>
      <c r="I256" s="188">
        <f t="shared" si="742"/>
        <v>2.04</v>
      </c>
      <c r="J256" s="465">
        <f t="shared" si="743"/>
        <v>47.880215881707393</v>
      </c>
      <c r="K256" s="379">
        <f t="shared" si="744"/>
        <v>30.787828846046764</v>
      </c>
      <c r="L256" s="149">
        <f t="shared" si="745"/>
        <v>78.668044727754165</v>
      </c>
      <c r="M256" s="379"/>
      <c r="N256" s="188">
        <f t="shared" si="746"/>
        <v>0.39136384986551964</v>
      </c>
      <c r="O256" s="149">
        <f t="shared" si="747"/>
        <v>272.34337068319456</v>
      </c>
      <c r="P256" s="149">
        <f t="shared" si="748"/>
        <v>11.574593254035769</v>
      </c>
      <c r="Q256" s="188">
        <f t="shared" si="624"/>
        <v>9.0781123561064856</v>
      </c>
      <c r="R256" s="188">
        <f t="shared" si="749"/>
        <v>45.39056178053243</v>
      </c>
      <c r="S256" s="188">
        <f t="shared" si="750"/>
        <v>30</v>
      </c>
      <c r="T256" s="188">
        <f t="shared" si="751"/>
        <v>5.3408513337284989</v>
      </c>
      <c r="U256" s="188">
        <f t="shared" si="628"/>
        <v>0.52426666852423587</v>
      </c>
      <c r="V256" s="188">
        <f t="shared" si="629"/>
        <v>0.81532222989953074</v>
      </c>
      <c r="W256" s="172">
        <f t="shared" si="630"/>
        <v>350</v>
      </c>
      <c r="X256" s="379">
        <f t="shared" si="688"/>
        <v>350</v>
      </c>
      <c r="Z256" s="188">
        <f t="shared" si="631"/>
        <v>11.391237458879759</v>
      </c>
      <c r="AA256" s="150">
        <f t="shared" si="632"/>
        <v>1.7389604289556582</v>
      </c>
      <c r="AB256" s="150">
        <f t="shared" si="752"/>
        <v>3.3252368883646328</v>
      </c>
      <c r="AC256" s="150"/>
      <c r="AD256" s="150">
        <f t="shared" si="634"/>
        <v>0.92519835118240268</v>
      </c>
      <c r="AE256" s="314">
        <f t="shared" si="753"/>
        <v>594.94269450063132</v>
      </c>
      <c r="AF256" s="456">
        <f t="shared" si="754"/>
        <v>0.9412671256851709</v>
      </c>
      <c r="AH256" s="150">
        <f t="shared" si="755"/>
        <v>7.7999298570612794</v>
      </c>
      <c r="AI256" s="150">
        <f t="shared" si="756"/>
        <v>7.7999298570612794</v>
      </c>
      <c r="AJ256" s="150">
        <f t="shared" si="757"/>
        <v>2.488387997374236</v>
      </c>
      <c r="AL256" s="314">
        <f t="shared" si="758"/>
        <v>1600</v>
      </c>
      <c r="AM256" s="144">
        <f t="shared" si="759"/>
        <v>350</v>
      </c>
      <c r="AO256">
        <f t="shared" si="642"/>
        <v>1600</v>
      </c>
      <c r="AP256">
        <f t="shared" si="643"/>
        <v>350</v>
      </c>
      <c r="AR256" s="5">
        <f t="shared" si="614"/>
        <v>2.8571428571428572</v>
      </c>
      <c r="AS256" s="5">
        <f t="shared" si="737"/>
        <v>0.76565382283904482</v>
      </c>
      <c r="AT256" s="5">
        <f t="shared" si="738"/>
        <v>2.0914890343038124</v>
      </c>
      <c r="AU256" s="150">
        <f t="shared" si="739"/>
        <v>0.26797883799366568</v>
      </c>
      <c r="BA256" s="150">
        <f t="shared" si="689"/>
        <v>2.3312042148791527</v>
      </c>
      <c r="BB256" s="150">
        <f t="shared" si="690"/>
        <v>3.6958626605568905</v>
      </c>
      <c r="BC256" s="150">
        <f t="shared" si="691"/>
        <v>0.74187335482486205</v>
      </c>
      <c r="BD256" s="150"/>
      <c r="BE256" s="456">
        <f t="shared" si="692"/>
        <v>6.5214157097643929E-2</v>
      </c>
      <c r="BF256" s="456">
        <f t="shared" si="760"/>
        <v>3.9194034121734505</v>
      </c>
      <c r="BG256" s="456">
        <f t="shared" si="693"/>
        <v>4.0250000000000001E-2</v>
      </c>
      <c r="BH256" s="456">
        <f t="shared" si="694"/>
        <v>1.1209212709507763</v>
      </c>
      <c r="BI256">
        <f t="shared" si="695"/>
        <v>2.1546097146768327E-2</v>
      </c>
      <c r="BJ256" s="144">
        <f t="shared" si="696"/>
        <v>61.796097146768325</v>
      </c>
      <c r="BK256">
        <f t="shared" si="761"/>
        <v>5.2037786070930698</v>
      </c>
      <c r="BL256" s="144">
        <f t="shared" si="697"/>
        <v>5167.3349373686397</v>
      </c>
      <c r="BM256" s="150">
        <f t="shared" si="762"/>
        <v>1.0729599999999999</v>
      </c>
      <c r="BN256" s="150">
        <f t="shared" si="763"/>
        <v>0.16286</v>
      </c>
      <c r="BQ256" s="144">
        <f t="shared" si="698"/>
        <v>1235.82</v>
      </c>
      <c r="BR256" s="456">
        <f t="shared" si="699"/>
        <v>7.6083183280584582E-2</v>
      </c>
      <c r="BS256" s="456">
        <f t="shared" si="700"/>
        <v>0.19123161127978122</v>
      </c>
      <c r="BT256" s="456">
        <f t="shared" si="701"/>
        <v>2.7518803729954782E-3</v>
      </c>
      <c r="BU256" s="456">
        <f t="shared" si="702"/>
        <v>19.470040648202467</v>
      </c>
      <c r="BV256" s="456"/>
      <c r="BW256" s="538">
        <f t="shared" si="703"/>
        <v>2.1293617021276598</v>
      </c>
      <c r="BX256" s="144">
        <f t="shared" si="704"/>
        <v>21869.469025263486</v>
      </c>
      <c r="BY256" s="150">
        <f t="shared" si="705"/>
        <v>28.272623962632128</v>
      </c>
      <c r="BZ256" s="5">
        <f t="shared" si="706"/>
        <v>50.04</v>
      </c>
      <c r="CA256" s="150">
        <f t="shared" si="707"/>
        <v>0.63897744026400172</v>
      </c>
      <c r="CB256" s="5">
        <f t="shared" si="708"/>
        <v>63.897744026400169</v>
      </c>
      <c r="CC256">
        <f t="shared" si="709"/>
        <v>40</v>
      </c>
      <c r="CE256" s="59">
        <f t="shared" si="764"/>
        <v>-50</v>
      </c>
      <c r="CG256" s="150">
        <f t="shared" si="765"/>
        <v>0.41888741526413359</v>
      </c>
      <c r="CH256" s="150">
        <f t="shared" si="766"/>
        <v>9.1419062536188408E-2</v>
      </c>
      <c r="CI256" s="147">
        <v>40</v>
      </c>
      <c r="CJ256" s="188">
        <f t="shared" si="710"/>
        <v>1.6</v>
      </c>
      <c r="CK256" s="188">
        <f t="shared" si="651"/>
        <v>0.34</v>
      </c>
      <c r="CL256" s="188">
        <f t="shared" si="652"/>
        <v>48</v>
      </c>
      <c r="CM256" s="188">
        <f t="shared" si="653"/>
        <v>2.04</v>
      </c>
      <c r="CN256" s="465">
        <f t="shared" si="654"/>
        <v>48</v>
      </c>
      <c r="CO256" s="379">
        <f t="shared" si="767"/>
        <v>30.7</v>
      </c>
      <c r="CP256" s="379">
        <f t="shared" si="768"/>
        <v>78.7</v>
      </c>
      <c r="CQ256" s="379"/>
      <c r="CR256" s="188">
        <f t="shared" si="657"/>
        <v>0.38775510204081626</v>
      </c>
      <c r="CS256" s="149">
        <f t="shared" si="658"/>
        <v>270.50715642699197</v>
      </c>
      <c r="CT256" s="149">
        <f t="shared" si="659"/>
        <v>11.496554148147156</v>
      </c>
      <c r="CU256" s="188">
        <f t="shared" si="660"/>
        <v>9.0169052142330663</v>
      </c>
      <c r="CV256" s="188">
        <f t="shared" si="661"/>
        <v>45.084526071165328</v>
      </c>
      <c r="CW256" s="188">
        <f t="shared" si="662"/>
        <v>30</v>
      </c>
      <c r="CX256" s="188">
        <f t="shared" si="663"/>
        <v>5.3771052631578957</v>
      </c>
      <c r="CY256" s="188">
        <f t="shared" si="664"/>
        <v>0.52650822368421057</v>
      </c>
      <c r="CZ256" s="188">
        <f t="shared" si="665"/>
        <v>0.82320504028801655</v>
      </c>
      <c r="DA256" s="172">
        <f t="shared" si="666"/>
        <v>350</v>
      </c>
      <c r="DB256" s="379">
        <f t="shared" si="667"/>
        <v>350</v>
      </c>
      <c r="DD256" s="188">
        <f t="shared" si="668"/>
        <v>11.382534575916392</v>
      </c>
      <c r="DE256" s="150">
        <f t="shared" si="669"/>
        <v>1.7426030132510437</v>
      </c>
      <c r="DF256" s="150">
        <f t="shared" si="670"/>
        <v>3.3296564353233258</v>
      </c>
      <c r="DG256" s="150"/>
      <c r="DH256" s="150">
        <f t="shared" si="671"/>
        <v>0.92784522751949461</v>
      </c>
      <c r="DI256" s="314">
        <f t="shared" si="672"/>
        <v>593.24549361702134</v>
      </c>
      <c r="DJ256" s="456">
        <f t="shared" si="673"/>
        <v>0.94395997276890675</v>
      </c>
      <c r="DL256" s="150">
        <f t="shared" si="674"/>
        <v>7.7999298570612794</v>
      </c>
      <c r="DM256" s="150">
        <f t="shared" si="675"/>
        <v>7.7999298570612794</v>
      </c>
      <c r="DN256" s="150">
        <f t="shared" si="676"/>
        <v>2.488387997374236</v>
      </c>
      <c r="DP256" s="314">
        <f t="shared" si="677"/>
        <v>1600</v>
      </c>
      <c r="DQ256" s="144">
        <f t="shared" si="678"/>
        <v>350</v>
      </c>
      <c r="DS256">
        <f t="shared" si="679"/>
        <v>1600</v>
      </c>
      <c r="DT256">
        <f t="shared" si="680"/>
        <v>350</v>
      </c>
      <c r="DV256" s="5">
        <f t="shared" si="681"/>
        <v>2.8571428571428572</v>
      </c>
      <c r="DW256" s="5">
        <f t="shared" si="682"/>
        <v>0.76374313183725029</v>
      </c>
      <c r="DX256" s="5">
        <f t="shared" si="683"/>
        <v>2.0933997253056069</v>
      </c>
      <c r="DY256" s="150">
        <f t="shared" si="684"/>
        <v>0.26731009614303758</v>
      </c>
      <c r="EA256" s="5">
        <f t="shared" si="711"/>
        <v>4.0732967031320015</v>
      </c>
      <c r="EB256" s="5">
        <f t="shared" si="712"/>
        <v>4.3278777470777516</v>
      </c>
      <c r="EC256" s="5">
        <f t="shared" si="713"/>
        <v>1.2314116031209452</v>
      </c>
      <c r="ED256" s="5"/>
      <c r="EE256" s="150">
        <f t="shared" si="714"/>
        <v>2.3282936349733871</v>
      </c>
      <c r="EF256" s="150">
        <f t="shared" si="715"/>
        <v>3.6975504627273734</v>
      </c>
      <c r="EG256" s="150">
        <f t="shared" si="716"/>
        <v>0.74221214865285234</v>
      </c>
      <c r="EH256" s="150"/>
      <c r="EI256" s="456">
        <f t="shared" si="717"/>
        <v>6.5051415007891064E-2</v>
      </c>
      <c r="EJ256" s="456">
        <f t="shared" si="718"/>
        <v>4.0821322903423063</v>
      </c>
      <c r="EK256" s="456">
        <f t="shared" si="719"/>
        <v>4.0250000000000001E-2</v>
      </c>
      <c r="EL256" s="456">
        <f t="shared" si="720"/>
        <v>1.1218321012500001</v>
      </c>
      <c r="EM256">
        <f t="shared" si="721"/>
        <v>2.1600000000000001E-2</v>
      </c>
      <c r="EN256" s="144">
        <f t="shared" si="722"/>
        <v>61.85</v>
      </c>
      <c r="EP256" s="144">
        <f t="shared" si="723"/>
        <v>5330.8658066001972</v>
      </c>
      <c r="EQ256" s="150">
        <f t="shared" si="724"/>
        <v>1.1199999999999999</v>
      </c>
      <c r="ER256" s="150">
        <f t="shared" si="769"/>
        <v>0.16286</v>
      </c>
      <c r="ES256" s="456"/>
      <c r="EU256" s="144">
        <f t="shared" si="725"/>
        <v>1282.8599999999999</v>
      </c>
      <c r="EV256" s="456">
        <f t="shared" si="726"/>
        <v>7.5893317509206235E-2</v>
      </c>
      <c r="EW256" s="456">
        <f t="shared" si="727"/>
        <v>0.19140631194181579</v>
      </c>
      <c r="EX256" s="456">
        <f t="shared" si="728"/>
        <v>2.7543943680394191E-3</v>
      </c>
      <c r="EY256" s="456">
        <f t="shared" si="729"/>
        <v>19.470040648202467</v>
      </c>
      <c r="EZ256" s="456"/>
      <c r="FA256" s="538">
        <f t="shared" si="730"/>
        <v>2.1293617021276598</v>
      </c>
      <c r="FB256" s="144">
        <f t="shared" si="731"/>
        <v>21869.456374149187</v>
      </c>
      <c r="FC256" s="150">
        <f t="shared" si="732"/>
        <v>28.483182180749388</v>
      </c>
      <c r="FD256" s="5">
        <f t="shared" si="733"/>
        <v>50.04</v>
      </c>
      <c r="FE256" s="150">
        <f t="shared" si="734"/>
        <v>0.63726403605007897</v>
      </c>
      <c r="FF256" s="5">
        <f t="shared" si="735"/>
        <v>63.726403605007896</v>
      </c>
      <c r="FG256">
        <f t="shared" si="736"/>
        <v>40</v>
      </c>
      <c r="FI256" s="59">
        <f t="shared" si="686"/>
        <v>-50</v>
      </c>
    </row>
    <row r="257" spans="5:165">
      <c r="E257" s="147">
        <v>41</v>
      </c>
      <c r="F257" s="188">
        <f t="shared" si="770"/>
        <v>1.64</v>
      </c>
      <c r="G257" s="188">
        <f t="shared" si="740"/>
        <v>0.34849999999999998</v>
      </c>
      <c r="H257" s="188">
        <f t="shared" si="741"/>
        <v>49.199999999999996</v>
      </c>
      <c r="I257" s="188">
        <f t="shared" si="742"/>
        <v>2.0909999999999997</v>
      </c>
      <c r="J257" s="465">
        <f t="shared" si="743"/>
        <v>47.878727823182658</v>
      </c>
      <c r="K257" s="379">
        <f t="shared" si="744"/>
        <v>30.788919929446973</v>
      </c>
      <c r="L257" s="149">
        <f t="shared" si="745"/>
        <v>78.667647752629634</v>
      </c>
      <c r="M257" s="379"/>
      <c r="N257" s="188">
        <f t="shared" si="746"/>
        <v>0.39137969430918679</v>
      </c>
      <c r="O257" s="149">
        <f t="shared" si="747"/>
        <v>272.34593211757851</v>
      </c>
      <c r="P257" s="149">
        <f t="shared" si="748"/>
        <v>11.574702114997082</v>
      </c>
      <c r="Q257" s="188">
        <f t="shared" si="624"/>
        <v>9.0781977372526175</v>
      </c>
      <c r="R257" s="188">
        <f t="shared" si="749"/>
        <v>45.390988686263086</v>
      </c>
      <c r="S257" s="188">
        <f t="shared" si="750"/>
        <v>30</v>
      </c>
      <c r="T257" s="188">
        <f t="shared" si="751"/>
        <v>5.4743211301772945</v>
      </c>
      <c r="U257" s="188">
        <f t="shared" si="628"/>
        <v>0.53738498246762678</v>
      </c>
      <c r="V257" s="188">
        <f t="shared" si="629"/>
        <v>0.83566781071866691</v>
      </c>
      <c r="W257" s="172">
        <f t="shared" si="630"/>
        <v>350</v>
      </c>
      <c r="X257" s="379">
        <f t="shared" si="688"/>
        <v>350</v>
      </c>
      <c r="Z257" s="188">
        <f t="shared" si="631"/>
        <v>11.391344595349537</v>
      </c>
      <c r="AA257" s="150">
        <f t="shared" si="632"/>
        <v>1.7389151591166092</v>
      </c>
      <c r="AB257" s="150">
        <f t="shared" si="752"/>
        <v>3.3251815970508529</v>
      </c>
      <c r="AC257" s="150"/>
      <c r="AD257" s="150">
        <f t="shared" si="634"/>
        <v>0.92516556443427422</v>
      </c>
      <c r="AE257" s="314">
        <f t="shared" si="753"/>
        <v>609.83787301357359</v>
      </c>
      <c r="AF257" s="456">
        <f t="shared" si="754"/>
        <v>0.94123376949929771</v>
      </c>
      <c r="AH257" s="150">
        <f t="shared" si="755"/>
        <v>7.8968271109004835</v>
      </c>
      <c r="AI257" s="150">
        <f t="shared" si="756"/>
        <v>7.8968271109004835</v>
      </c>
      <c r="AJ257" s="150">
        <f t="shared" si="757"/>
        <v>2.5601637409588318</v>
      </c>
      <c r="AL257" s="314">
        <f t="shared" si="758"/>
        <v>1640</v>
      </c>
      <c r="AM257" s="144">
        <f t="shared" si="759"/>
        <v>350</v>
      </c>
      <c r="AO257">
        <f t="shared" si="642"/>
        <v>1640</v>
      </c>
      <c r="AP257">
        <f t="shared" si="643"/>
        <v>350</v>
      </c>
      <c r="AR257" s="5">
        <f t="shared" si="614"/>
        <v>2.8571428571428572</v>
      </c>
      <c r="AS257" s="5">
        <f t="shared" si="737"/>
        <v>0.77518950708755718</v>
      </c>
      <c r="AT257" s="5">
        <f t="shared" si="738"/>
        <v>2.0819533500552998</v>
      </c>
      <c r="AU257" s="150">
        <f t="shared" si="739"/>
        <v>0.27131632748064499</v>
      </c>
      <c r="BA257" s="150">
        <f t="shared" si="689"/>
        <v>2.374816006550506</v>
      </c>
      <c r="BB257" s="150">
        <f t="shared" si="690"/>
        <v>3.733236111777785</v>
      </c>
      <c r="BC257" s="150">
        <f t="shared" si="691"/>
        <v>0.74937535643724085</v>
      </c>
      <c r="BD257" s="150"/>
      <c r="BE257" s="456">
        <f t="shared" si="692"/>
        <v>6.7677012779621903E-2</v>
      </c>
      <c r="BF257" s="456">
        <f t="shared" si="760"/>
        <v>3.9680734963828583</v>
      </c>
      <c r="BG257" s="456">
        <f t="shared" si="693"/>
        <v>4.0250000000000001E-2</v>
      </c>
      <c r="BH257" s="456">
        <f t="shared" si="694"/>
        <v>1.1209099581810249</v>
      </c>
      <c r="BI257">
        <f t="shared" si="695"/>
        <v>2.1545427520432196E-2</v>
      </c>
      <c r="BJ257" s="144">
        <f t="shared" si="696"/>
        <v>61.795427520432199</v>
      </c>
      <c r="BK257">
        <f t="shared" si="761"/>
        <v>5.2595064304912231</v>
      </c>
      <c r="BL257" s="144">
        <f t="shared" si="697"/>
        <v>5218.4558948639369</v>
      </c>
      <c r="BM257" s="150">
        <f t="shared" si="762"/>
        <v>1.0997839999999999</v>
      </c>
      <c r="BN257" s="150">
        <f t="shared" si="763"/>
        <v>0.16693149999999998</v>
      </c>
      <c r="BQ257" s="144">
        <f t="shared" si="698"/>
        <v>1266.7154999999998</v>
      </c>
      <c r="BR257" s="456">
        <f t="shared" si="699"/>
        <v>7.8956514909558892E-2</v>
      </c>
      <c r="BS257" s="456">
        <f t="shared" si="700"/>
        <v>0.19511872612794401</v>
      </c>
      <c r="BT257" s="456">
        <f t="shared" si="701"/>
        <v>2.8078171241772087E-3</v>
      </c>
      <c r="BU257" s="456">
        <f t="shared" si="702"/>
        <v>20.08036903426293</v>
      </c>
      <c r="BV257" s="456"/>
      <c r="BW257" s="538">
        <f t="shared" si="703"/>
        <v>2.1825957446808508</v>
      </c>
      <c r="BX257" s="144">
        <f t="shared" si="704"/>
        <v>22539.847837105459</v>
      </c>
      <c r="BY257" s="150">
        <f t="shared" si="705"/>
        <v>29.025019231969395</v>
      </c>
      <c r="BZ257" s="5">
        <f t="shared" si="706"/>
        <v>51.290999999999997</v>
      </c>
      <c r="CA257" s="150">
        <f t="shared" si="707"/>
        <v>0.638614817946354</v>
      </c>
      <c r="CB257" s="5">
        <f t="shared" si="708"/>
        <v>63.861481794635402</v>
      </c>
      <c r="CC257">
        <f t="shared" si="709"/>
        <v>41</v>
      </c>
      <c r="CE257" s="59">
        <f t="shared" si="764"/>
        <v>-50</v>
      </c>
      <c r="CG257" s="150">
        <f t="shared" si="765"/>
        <v>0.42409118516344257</v>
      </c>
      <c r="CH257" s="150">
        <f t="shared" si="766"/>
        <v>9.255474660907681E-2</v>
      </c>
      <c r="CI257" s="147">
        <v>41</v>
      </c>
      <c r="CJ257" s="188">
        <f t="shared" si="710"/>
        <v>1.64</v>
      </c>
      <c r="CK257" s="188">
        <f t="shared" si="651"/>
        <v>0.34849999999999998</v>
      </c>
      <c r="CL257" s="188">
        <f t="shared" si="652"/>
        <v>49.199999999999996</v>
      </c>
      <c r="CM257" s="188">
        <f t="shared" si="653"/>
        <v>2.0909999999999997</v>
      </c>
      <c r="CN257" s="465">
        <f t="shared" si="654"/>
        <v>48</v>
      </c>
      <c r="CO257" s="379">
        <f t="shared" si="767"/>
        <v>30.7</v>
      </c>
      <c r="CP257" s="379">
        <f t="shared" si="768"/>
        <v>78.7</v>
      </c>
      <c r="CQ257" s="379"/>
      <c r="CR257" s="188">
        <f t="shared" si="657"/>
        <v>0.38775510204081626</v>
      </c>
      <c r="CS257" s="149">
        <f t="shared" si="658"/>
        <v>270.50715642699197</v>
      </c>
      <c r="CT257" s="149">
        <f t="shared" si="659"/>
        <v>11.496554148147156</v>
      </c>
      <c r="CU257" s="188">
        <f t="shared" si="660"/>
        <v>9.0169052142330663</v>
      </c>
      <c r="CV257" s="188">
        <f t="shared" si="661"/>
        <v>45.084526071165328</v>
      </c>
      <c r="CW257" s="188">
        <f t="shared" si="662"/>
        <v>30</v>
      </c>
      <c r="CX257" s="188">
        <f t="shared" si="663"/>
        <v>5.5115328947368427</v>
      </c>
      <c r="CY257" s="188">
        <f t="shared" si="664"/>
        <v>0.53967092927631577</v>
      </c>
      <c r="CZ257" s="188">
        <f t="shared" si="665"/>
        <v>0.84378516629521694</v>
      </c>
      <c r="DA257" s="172">
        <f t="shared" si="666"/>
        <v>350</v>
      </c>
      <c r="DB257" s="379">
        <f t="shared" si="667"/>
        <v>350</v>
      </c>
      <c r="DD257" s="188">
        <f t="shared" si="668"/>
        <v>11.382534575916392</v>
      </c>
      <c r="DE257" s="150">
        <f t="shared" si="669"/>
        <v>1.7426030132510437</v>
      </c>
      <c r="DF257" s="150">
        <f t="shared" si="670"/>
        <v>3.3296564353233258</v>
      </c>
      <c r="DG257" s="150"/>
      <c r="DH257" s="150">
        <f t="shared" si="671"/>
        <v>0.92784522751949461</v>
      </c>
      <c r="DI257" s="314">
        <f t="shared" si="672"/>
        <v>608.0766309574467</v>
      </c>
      <c r="DJ257" s="456">
        <f t="shared" si="673"/>
        <v>0.94395997276890675</v>
      </c>
      <c r="DL257" s="150">
        <f t="shared" si="674"/>
        <v>7.8968271109004835</v>
      </c>
      <c r="DM257" s="150">
        <f t="shared" si="675"/>
        <v>7.8968271109004835</v>
      </c>
      <c r="DN257" s="150">
        <f t="shared" si="676"/>
        <v>2.5601637409588318</v>
      </c>
      <c r="DP257" s="314">
        <f t="shared" si="677"/>
        <v>1640</v>
      </c>
      <c r="DQ257" s="144">
        <f t="shared" si="678"/>
        <v>350</v>
      </c>
      <c r="DS257">
        <f t="shared" si="679"/>
        <v>1640</v>
      </c>
      <c r="DT257">
        <f t="shared" si="680"/>
        <v>350</v>
      </c>
      <c r="DV257" s="5">
        <f t="shared" si="681"/>
        <v>2.8571428571428572</v>
      </c>
      <c r="DW257" s="5">
        <f t="shared" si="682"/>
        <v>0.77323098794233902</v>
      </c>
      <c r="DX257" s="5">
        <f t="shared" si="683"/>
        <v>2.0839118692005183</v>
      </c>
      <c r="DY257" s="150">
        <f t="shared" si="684"/>
        <v>0.27063084577981866</v>
      </c>
      <c r="EA257" s="5">
        <f t="shared" si="711"/>
        <v>4.2269960674181197</v>
      </c>
      <c r="EB257" s="5">
        <f t="shared" si="712"/>
        <v>4.4911833216317527</v>
      </c>
      <c r="EC257" s="5">
        <f t="shared" si="713"/>
        <v>1.256476274076783</v>
      </c>
      <c r="ED257" s="5"/>
      <c r="EE257" s="150">
        <f t="shared" si="714"/>
        <v>2.3718141185868111</v>
      </c>
      <c r="EF257" s="150">
        <f t="shared" si="715"/>
        <v>3.7349916495940483</v>
      </c>
      <c r="EG257" s="150">
        <f t="shared" si="716"/>
        <v>0.74972774689351296</v>
      </c>
      <c r="EH257" s="150"/>
      <c r="EI257" s="456">
        <f t="shared" si="717"/>
        <v>6.7506026557532781E-2</v>
      </c>
      <c r="EJ257" s="456">
        <f t="shared" si="718"/>
        <v>4.1328439526253229</v>
      </c>
      <c r="EK257" s="456">
        <f t="shared" si="719"/>
        <v>4.0250000000000001E-2</v>
      </c>
      <c r="EL257" s="456">
        <f t="shared" si="720"/>
        <v>1.1218321012500001</v>
      </c>
      <c r="EM257">
        <f t="shared" si="721"/>
        <v>2.1600000000000001E-2</v>
      </c>
      <c r="EN257" s="144">
        <f t="shared" si="722"/>
        <v>61.85</v>
      </c>
      <c r="EP257" s="144">
        <f t="shared" si="723"/>
        <v>5384.0320804328567</v>
      </c>
      <c r="EQ257" s="150">
        <f t="shared" si="724"/>
        <v>1.1479999999999999</v>
      </c>
      <c r="ER257" s="150">
        <f t="shared" si="769"/>
        <v>0.16693149999999998</v>
      </c>
      <c r="ES257" s="456"/>
      <c r="EU257" s="144">
        <f t="shared" si="725"/>
        <v>1314.9314999999999</v>
      </c>
      <c r="EV257" s="456">
        <f t="shared" si="726"/>
        <v>7.8757030983788237E-2</v>
      </c>
      <c r="EW257" s="456">
        <f t="shared" si="727"/>
        <v>0.19530227671552178</v>
      </c>
      <c r="EX257" s="456">
        <f t="shared" si="728"/>
        <v>2.8104584723101173E-3</v>
      </c>
      <c r="EY257" s="456">
        <f t="shared" si="729"/>
        <v>20.08036903426293</v>
      </c>
      <c r="EZ257" s="456"/>
      <c r="FA257" s="538">
        <f t="shared" si="730"/>
        <v>2.1825957446808508</v>
      </c>
      <c r="FB257" s="144">
        <f t="shared" si="731"/>
        <v>22539.834545115402</v>
      </c>
      <c r="FC257" s="150">
        <f t="shared" si="732"/>
        <v>29.238798125548254</v>
      </c>
      <c r="FD257" s="5">
        <f t="shared" si="733"/>
        <v>51.290999999999997</v>
      </c>
      <c r="FE257" s="150">
        <f t="shared" si="734"/>
        <v>0.6369195154324846</v>
      </c>
      <c r="FF257" s="5">
        <f t="shared" si="735"/>
        <v>63.691951543248457</v>
      </c>
      <c r="FG257">
        <f t="shared" si="736"/>
        <v>41</v>
      </c>
      <c r="FI257" s="59">
        <f t="shared" si="686"/>
        <v>-50</v>
      </c>
    </row>
    <row r="258" spans="5:165">
      <c r="E258" s="147">
        <v>42</v>
      </c>
      <c r="F258" s="188">
        <f t="shared" si="770"/>
        <v>1.68</v>
      </c>
      <c r="G258" s="188">
        <f t="shared" si="740"/>
        <v>0.35699999999999998</v>
      </c>
      <c r="H258" s="188">
        <f t="shared" si="741"/>
        <v>50.4</v>
      </c>
      <c r="I258" s="188">
        <f t="shared" si="742"/>
        <v>2.1419999999999999</v>
      </c>
      <c r="J258" s="465">
        <f t="shared" si="743"/>
        <v>47.877257803731176</v>
      </c>
      <c r="K258" s="379">
        <f t="shared" si="744"/>
        <v>30.789997786127227</v>
      </c>
      <c r="L258" s="149">
        <f t="shared" si="745"/>
        <v>78.667255589858399</v>
      </c>
      <c r="M258" s="379"/>
      <c r="N258" s="188">
        <f t="shared" si="746"/>
        <v>0.39139534683470772</v>
      </c>
      <c r="O258" s="149">
        <f t="shared" si="747"/>
        <v>272.34846193715691</v>
      </c>
      <c r="P258" s="149">
        <f t="shared" si="748"/>
        <v>11.574809632329167</v>
      </c>
      <c r="Q258" s="188">
        <f t="shared" si="624"/>
        <v>9.0782820645718978</v>
      </c>
      <c r="R258" s="188">
        <f t="shared" si="749"/>
        <v>45.391410322859485</v>
      </c>
      <c r="S258" s="188">
        <f t="shared" si="750"/>
        <v>30</v>
      </c>
      <c r="T258" s="188">
        <f t="shared" si="751"/>
        <v>5.6077890670267054</v>
      </c>
      <c r="U258" s="188">
        <f t="shared" si="628"/>
        <v>0.55050372189385255</v>
      </c>
      <c r="V258" s="188">
        <f t="shared" si="629"/>
        <v>0.85601203345655241</v>
      </c>
      <c r="W258" s="172">
        <f t="shared" si="630"/>
        <v>350</v>
      </c>
      <c r="X258" s="379">
        <f t="shared" si="688"/>
        <v>350</v>
      </c>
      <c r="Z258" s="188">
        <f t="shared" si="631"/>
        <v>11.391450409474821</v>
      </c>
      <c r="AA258" s="150">
        <f t="shared" si="632"/>
        <v>1.7388704376151209</v>
      </c>
      <c r="AB258" s="150">
        <f t="shared" si="752"/>
        <v>3.3251269666705281</v>
      </c>
      <c r="AC258" s="150"/>
      <c r="AD258" s="150">
        <f t="shared" si="634"/>
        <v>0.92513317742694501</v>
      </c>
      <c r="AE258" s="314">
        <f t="shared" si="753"/>
        <v>624.73383735677328</v>
      </c>
      <c r="AF258" s="456">
        <f t="shared" si="754"/>
        <v>0.94120081999689187</v>
      </c>
      <c r="AH258" s="150">
        <f t="shared" si="755"/>
        <v>7.9925497223245214</v>
      </c>
      <c r="AI258" s="150">
        <f t="shared" si="756"/>
        <v>7.9925497223245214</v>
      </c>
      <c r="AJ258" s="150">
        <f t="shared" si="757"/>
        <v>2.6310693790507118</v>
      </c>
      <c r="AL258" s="314">
        <f t="shared" si="758"/>
        <v>1680</v>
      </c>
      <c r="AM258" s="144">
        <f t="shared" si="759"/>
        <v>350</v>
      </c>
      <c r="AO258">
        <f t="shared" si="642"/>
        <v>1680</v>
      </c>
      <c r="AP258">
        <f t="shared" si="643"/>
        <v>350</v>
      </c>
      <c r="AR258" s="5">
        <f t="shared" si="614"/>
        <v>2.8571428571428572</v>
      </c>
      <c r="AS258" s="5">
        <f t="shared" si="737"/>
        <v>0.7846101764833685</v>
      </c>
      <c r="AT258" s="5">
        <f t="shared" si="738"/>
        <v>2.0725326806594886</v>
      </c>
      <c r="AU258" s="150">
        <f t="shared" si="739"/>
        <v>0.27461356176917895</v>
      </c>
      <c r="BA258" s="150">
        <f t="shared" si="689"/>
        <v>2.4181637688877857</v>
      </c>
      <c r="BB258" s="150">
        <f t="shared" si="690"/>
        <v>3.7699307405700573</v>
      </c>
      <c r="BC258" s="150">
        <f t="shared" si="691"/>
        <v>0.75674109750135099</v>
      </c>
      <c r="BD258" s="150"/>
      <c r="BE258" s="456">
        <f t="shared" si="692"/>
        <v>7.017019215793896E-2</v>
      </c>
      <c r="BF258" s="456">
        <f t="shared" si="760"/>
        <v>4.0161530922550721</v>
      </c>
      <c r="BG258" s="456">
        <f t="shared" si="693"/>
        <v>4.0250000000000001E-2</v>
      </c>
      <c r="BH258" s="456">
        <f t="shared" si="694"/>
        <v>1.1208987826070147</v>
      </c>
      <c r="BI258">
        <f t="shared" si="695"/>
        <v>2.1544766011679029E-2</v>
      </c>
      <c r="BJ258" s="144">
        <f t="shared" si="696"/>
        <v>61.79476601167903</v>
      </c>
      <c r="BK258">
        <f t="shared" si="761"/>
        <v>5.3147783292565185</v>
      </c>
      <c r="BL258" s="144">
        <f t="shared" si="697"/>
        <v>5269.0168330317047</v>
      </c>
      <c r="BM258" s="150">
        <f t="shared" si="762"/>
        <v>1.1266079999999998</v>
      </c>
      <c r="BN258" s="150">
        <f t="shared" si="763"/>
        <v>0.17100299999999999</v>
      </c>
      <c r="BQ258" s="144">
        <f t="shared" si="698"/>
        <v>1297.6109999999999</v>
      </c>
      <c r="BR258" s="456">
        <f t="shared" si="699"/>
        <v>8.186522418426212E-2</v>
      </c>
      <c r="BS258" s="456">
        <f t="shared" si="700"/>
        <v>0.19897328904173142</v>
      </c>
      <c r="BT258" s="456">
        <f t="shared" si="701"/>
        <v>2.8632854432377457E-3</v>
      </c>
      <c r="BU258" s="456">
        <f t="shared" si="702"/>
        <v>20.694430628949142</v>
      </c>
      <c r="BV258" s="456"/>
      <c r="BW258" s="538">
        <f t="shared" si="703"/>
        <v>2.2358297872340427</v>
      </c>
      <c r="BX258" s="144">
        <f t="shared" si="704"/>
        <v>23213.962214852414</v>
      </c>
      <c r="BY258" s="150">
        <f t="shared" si="705"/>
        <v>29.780590047884122</v>
      </c>
      <c r="BZ258" s="5">
        <f t="shared" si="706"/>
        <v>52.542000000000002</v>
      </c>
      <c r="CA258" s="150">
        <f t="shared" si="707"/>
        <v>0.63824522490653157</v>
      </c>
      <c r="CB258" s="5">
        <f t="shared" si="708"/>
        <v>63.824522490653159</v>
      </c>
      <c r="CC258">
        <f t="shared" si="709"/>
        <v>42</v>
      </c>
      <c r="CE258" s="59">
        <f t="shared" si="764"/>
        <v>-50</v>
      </c>
      <c r="CG258" s="150">
        <f t="shared" si="765"/>
        <v>0.42923187206916497</v>
      </c>
      <c r="CH258" s="150">
        <f t="shared" si="766"/>
        <v>9.3676663287850417E-2</v>
      </c>
      <c r="CI258" s="147">
        <v>42</v>
      </c>
      <c r="CJ258" s="188">
        <f t="shared" si="710"/>
        <v>1.68</v>
      </c>
      <c r="CK258" s="188">
        <f t="shared" si="651"/>
        <v>0.35699999999999998</v>
      </c>
      <c r="CL258" s="188">
        <f t="shared" si="652"/>
        <v>50.4</v>
      </c>
      <c r="CM258" s="188">
        <f t="shared" si="653"/>
        <v>2.1419999999999999</v>
      </c>
      <c r="CN258" s="465">
        <f t="shared" si="654"/>
        <v>48</v>
      </c>
      <c r="CO258" s="379">
        <f t="shared" si="767"/>
        <v>30.7</v>
      </c>
      <c r="CP258" s="379">
        <f t="shared" si="768"/>
        <v>78.7</v>
      </c>
      <c r="CQ258" s="379"/>
      <c r="CR258" s="188">
        <f t="shared" si="657"/>
        <v>0.38775510204081626</v>
      </c>
      <c r="CS258" s="149">
        <f t="shared" si="658"/>
        <v>270.50715642699197</v>
      </c>
      <c r="CT258" s="149">
        <f t="shared" si="659"/>
        <v>11.496554148147156</v>
      </c>
      <c r="CU258" s="188">
        <f t="shared" si="660"/>
        <v>9.0169052142330663</v>
      </c>
      <c r="CV258" s="188">
        <f t="shared" si="661"/>
        <v>45.084526071165328</v>
      </c>
      <c r="CW258" s="188">
        <f t="shared" si="662"/>
        <v>30</v>
      </c>
      <c r="CX258" s="188">
        <f t="shared" si="663"/>
        <v>5.6459605263157906</v>
      </c>
      <c r="CY258" s="188">
        <f t="shared" si="664"/>
        <v>0.55283363486842108</v>
      </c>
      <c r="CZ258" s="188">
        <f t="shared" si="665"/>
        <v>0.86436529230241743</v>
      </c>
      <c r="DA258" s="172">
        <f t="shared" si="666"/>
        <v>350</v>
      </c>
      <c r="DB258" s="379">
        <f t="shared" si="667"/>
        <v>350</v>
      </c>
      <c r="DD258" s="188">
        <f t="shared" si="668"/>
        <v>11.382534575916392</v>
      </c>
      <c r="DE258" s="150">
        <f t="shared" si="669"/>
        <v>1.7426030132510437</v>
      </c>
      <c r="DF258" s="150">
        <f t="shared" si="670"/>
        <v>3.3296564353233258</v>
      </c>
      <c r="DG258" s="150"/>
      <c r="DH258" s="150">
        <f t="shared" si="671"/>
        <v>0.92784522751949461</v>
      </c>
      <c r="DI258" s="314">
        <f t="shared" si="672"/>
        <v>622.90776829787239</v>
      </c>
      <c r="DJ258" s="456">
        <f t="shared" si="673"/>
        <v>0.94395997276890675</v>
      </c>
      <c r="DL258" s="150">
        <f t="shared" si="674"/>
        <v>7.9925497223245214</v>
      </c>
      <c r="DM258" s="150">
        <f t="shared" si="675"/>
        <v>7.9925497223245214</v>
      </c>
      <c r="DN258" s="150">
        <f t="shared" si="676"/>
        <v>2.6310693790507118</v>
      </c>
      <c r="DP258" s="314">
        <f t="shared" si="677"/>
        <v>1680</v>
      </c>
      <c r="DQ258" s="144">
        <f t="shared" si="678"/>
        <v>350</v>
      </c>
      <c r="DS258">
        <f t="shared" si="679"/>
        <v>1680</v>
      </c>
      <c r="DT258">
        <f t="shared" si="680"/>
        <v>350</v>
      </c>
      <c r="DV258" s="5">
        <f t="shared" si="681"/>
        <v>2.8571428571428572</v>
      </c>
      <c r="DW258" s="5">
        <f t="shared" si="682"/>
        <v>0.78260382697760933</v>
      </c>
      <c r="DX258" s="5">
        <f t="shared" si="683"/>
        <v>2.0745390301652478</v>
      </c>
      <c r="DY258" s="150">
        <f t="shared" si="684"/>
        <v>0.27391133944216328</v>
      </c>
      <c r="EA258" s="5">
        <f t="shared" si="711"/>
        <v>4.3825814310746116</v>
      </c>
      <c r="EB258" s="5">
        <f t="shared" si="712"/>
        <v>4.6564927705167749</v>
      </c>
      <c r="EC258" s="5">
        <f t="shared" si="713"/>
        <v>1.2813329303961822</v>
      </c>
      <c r="ED258" s="5"/>
      <c r="EE258" s="150">
        <f t="shared" si="714"/>
        <v>2.4150700113798602</v>
      </c>
      <c r="EF258" s="150">
        <f t="shared" si="715"/>
        <v>3.7717550710303445</v>
      </c>
      <c r="EG258" s="150">
        <f t="shared" si="716"/>
        <v>0.7571072967579755</v>
      </c>
      <c r="EH258" s="150"/>
      <c r="EI258" s="456">
        <f t="shared" si="717"/>
        <v>6.9990757918395818E-2</v>
      </c>
      <c r="EJ258" s="456">
        <f t="shared" si="718"/>
        <v>4.1829408599271503</v>
      </c>
      <c r="EK258" s="456">
        <f t="shared" si="719"/>
        <v>4.0250000000000001E-2</v>
      </c>
      <c r="EL258" s="456">
        <f t="shared" si="720"/>
        <v>1.1218321012500001</v>
      </c>
      <c r="EM258">
        <f t="shared" si="721"/>
        <v>2.1600000000000001E-2</v>
      </c>
      <c r="EN258" s="144">
        <f t="shared" si="722"/>
        <v>61.85</v>
      </c>
      <c r="EP258" s="144">
        <f t="shared" si="723"/>
        <v>5436.613719095546</v>
      </c>
      <c r="EQ258" s="150">
        <f t="shared" si="724"/>
        <v>1.1759999999999999</v>
      </c>
      <c r="ER258" s="150">
        <f t="shared" si="769"/>
        <v>0.17100299999999999</v>
      </c>
      <c r="ES258" s="456"/>
      <c r="EU258" s="144">
        <f t="shared" si="725"/>
        <v>1347.0029999999999</v>
      </c>
      <c r="EV258" s="456">
        <f t="shared" si="726"/>
        <v>8.1655884238128446E-2</v>
      </c>
      <c r="EW258" s="456">
        <f t="shared" si="727"/>
        <v>0.19916590842180368</v>
      </c>
      <c r="EX258" s="456">
        <f t="shared" si="728"/>
        <v>2.8660572940208458E-3</v>
      </c>
      <c r="EY258" s="456">
        <f t="shared" si="729"/>
        <v>20.694430628949142</v>
      </c>
      <c r="EZ258" s="456"/>
      <c r="FA258" s="538">
        <f t="shared" si="730"/>
        <v>2.2358297872340427</v>
      </c>
      <c r="FB258" s="144">
        <f t="shared" si="731"/>
        <v>23213.948266137137</v>
      </c>
      <c r="FC258" s="150">
        <f t="shared" si="732"/>
        <v>29.997564985232682</v>
      </c>
      <c r="FD258" s="5">
        <f t="shared" si="733"/>
        <v>52.542000000000002</v>
      </c>
      <c r="FE258" s="150">
        <f t="shared" si="734"/>
        <v>0.63656744507195295</v>
      </c>
      <c r="FF258" s="5">
        <f t="shared" si="735"/>
        <v>63.656744507195299</v>
      </c>
      <c r="FG258">
        <f t="shared" si="736"/>
        <v>42</v>
      </c>
      <c r="FI258" s="59">
        <f t="shared" si="686"/>
        <v>-50</v>
      </c>
    </row>
    <row r="259" spans="5:165">
      <c r="E259" s="147">
        <v>43</v>
      </c>
      <c r="F259" s="188">
        <f t="shared" si="770"/>
        <v>1.72</v>
      </c>
      <c r="G259" s="188">
        <f t="shared" si="740"/>
        <v>0.36549999999999999</v>
      </c>
      <c r="H259" s="188">
        <f t="shared" si="741"/>
        <v>51.6</v>
      </c>
      <c r="I259" s="188">
        <f t="shared" si="742"/>
        <v>2.1930000000000001</v>
      </c>
      <c r="J259" s="465">
        <f t="shared" si="743"/>
        <v>47.87580518279826</v>
      </c>
      <c r="K259" s="379">
        <f t="shared" si="744"/>
        <v>30.791062885758961</v>
      </c>
      <c r="L259" s="149">
        <f t="shared" si="745"/>
        <v>78.666868068557221</v>
      </c>
      <c r="M259" s="379"/>
      <c r="N259" s="188">
        <f t="shared" si="746"/>
        <v>0.39141081425696167</v>
      </c>
      <c r="O259" s="149">
        <f t="shared" si="747"/>
        <v>272.35096126454084</v>
      </c>
      <c r="P259" s="149">
        <f t="shared" si="748"/>
        <v>11.574915853742985</v>
      </c>
      <c r="Q259" s="188">
        <f t="shared" si="624"/>
        <v>9.0783653754846956</v>
      </c>
      <c r="R259" s="188">
        <f t="shared" si="749"/>
        <v>45.391826877423476</v>
      </c>
      <c r="S259" s="188">
        <f t="shared" si="750"/>
        <v>30</v>
      </c>
      <c r="T259" s="188">
        <f t="shared" si="751"/>
        <v>5.7412551671428362</v>
      </c>
      <c r="U259" s="188">
        <f t="shared" si="628"/>
        <v>0.56362288179889708</v>
      </c>
      <c r="V259" s="188">
        <f t="shared" si="629"/>
        <v>0.87635491459606396</v>
      </c>
      <c r="W259" s="172">
        <f t="shared" si="630"/>
        <v>350</v>
      </c>
      <c r="X259" s="379">
        <f t="shared" si="688"/>
        <v>350</v>
      </c>
      <c r="Z259" s="188">
        <f t="shared" si="631"/>
        <v>11.391554948210782</v>
      </c>
      <c r="AA259" s="150">
        <f t="shared" si="632"/>
        <v>1.7388262449801097</v>
      </c>
      <c r="AB259" s="150">
        <f t="shared" si="752"/>
        <v>3.3250729737547626</v>
      </c>
      <c r="AC259" s="150"/>
      <c r="AD259" s="150">
        <f t="shared" si="634"/>
        <v>0.9251011759656691</v>
      </c>
      <c r="AE259" s="314">
        <f t="shared" si="753"/>
        <v>639.63057811739191</v>
      </c>
      <c r="AF259" s="456">
        <f t="shared" si="754"/>
        <v>0.94116826273667376</v>
      </c>
      <c r="AH259" s="150">
        <f t="shared" si="755"/>
        <v>8.0871394020510543</v>
      </c>
      <c r="AI259" s="150">
        <f t="shared" si="756"/>
        <v>8.0871394020510543</v>
      </c>
      <c r="AJ259" s="150">
        <f t="shared" si="757"/>
        <v>2.7011358084777735</v>
      </c>
      <c r="AL259" s="314">
        <f t="shared" si="758"/>
        <v>1720</v>
      </c>
      <c r="AM259" s="144">
        <f t="shared" si="759"/>
        <v>350</v>
      </c>
      <c r="AO259">
        <f t="shared" si="642"/>
        <v>1720</v>
      </c>
      <c r="AP259">
        <f t="shared" si="643"/>
        <v>350</v>
      </c>
      <c r="AR259" s="5">
        <f t="shared" si="614"/>
        <v>2.8571428571428572</v>
      </c>
      <c r="AS259" s="5">
        <f t="shared" si="737"/>
        <v>0.79391991517453919</v>
      </c>
      <c r="AT259" s="5">
        <f t="shared" si="738"/>
        <v>2.0632229419683181</v>
      </c>
      <c r="AU259" s="150">
        <f t="shared" si="739"/>
        <v>0.27787197031108873</v>
      </c>
      <c r="BA259" s="150">
        <f t="shared" si="689"/>
        <v>2.4612553447199712</v>
      </c>
      <c r="BB259" s="150">
        <f t="shared" si="690"/>
        <v>3.8059698154043731</v>
      </c>
      <c r="BC259" s="150">
        <f t="shared" si="691"/>
        <v>0.76397524871520861</v>
      </c>
      <c r="BD259" s="150"/>
      <c r="BE259" s="456">
        <f t="shared" si="692"/>
        <v>7.2693334462951495E-2</v>
      </c>
      <c r="BF259" s="456">
        <f t="shared" si="760"/>
        <v>4.0636631676114439</v>
      </c>
      <c r="BG259" s="456">
        <f t="shared" si="693"/>
        <v>4.0250000000000001E-2</v>
      </c>
      <c r="BH259" s="456">
        <f t="shared" si="694"/>
        <v>1.120887739357022</v>
      </c>
      <c r="BI259">
        <f t="shared" si="695"/>
        <v>2.1544112332259217E-2</v>
      </c>
      <c r="BJ259" s="144">
        <f t="shared" si="696"/>
        <v>61.794112332259218</v>
      </c>
      <c r="BK259">
        <f t="shared" si="761"/>
        <v>5.369615091380564</v>
      </c>
      <c r="BL259" s="144">
        <f t="shared" si="697"/>
        <v>5319.0383537636772</v>
      </c>
      <c r="BM259" s="150">
        <f t="shared" si="762"/>
        <v>1.153432</v>
      </c>
      <c r="BN259" s="150">
        <f t="shared" si="763"/>
        <v>0.17507449999999999</v>
      </c>
      <c r="BQ259" s="144">
        <f t="shared" si="698"/>
        <v>1328.5065</v>
      </c>
      <c r="BR259" s="456">
        <f t="shared" si="699"/>
        <v>8.4808890206776746E-2</v>
      </c>
      <c r="BS259" s="456">
        <f t="shared" si="700"/>
        <v>0.20279568730076877</v>
      </c>
      <c r="BT259" s="456">
        <f t="shared" si="701"/>
        <v>2.9182909032473242E-3</v>
      </c>
      <c r="BU259" s="456">
        <f t="shared" si="702"/>
        <v>21.312158556191996</v>
      </c>
      <c r="BV259" s="456"/>
      <c r="BW259" s="538">
        <f t="shared" si="703"/>
        <v>2.2890638297872337</v>
      </c>
      <c r="BX259" s="144">
        <f t="shared" si="704"/>
        <v>23891.745254390025</v>
      </c>
      <c r="BY259" s="150">
        <f t="shared" si="705"/>
        <v>30.5392901081537</v>
      </c>
      <c r="BZ259" s="5">
        <f t="shared" si="706"/>
        <v>53.792999999999999</v>
      </c>
      <c r="CA259" s="150">
        <f t="shared" si="707"/>
        <v>0.63786955069063167</v>
      </c>
      <c r="CB259" s="5">
        <f t="shared" si="708"/>
        <v>63.786955069063168</v>
      </c>
      <c r="CC259">
        <f t="shared" si="709"/>
        <v>43</v>
      </c>
      <c r="CE259" s="59">
        <f t="shared" si="764"/>
        <v>-50</v>
      </c>
      <c r="CG259" s="150">
        <f t="shared" si="765"/>
        <v>0.43431171601358703</v>
      </c>
      <c r="CH259" s="150">
        <f t="shared" si="766"/>
        <v>9.4785301442893502E-2</v>
      </c>
      <c r="CI259" s="147">
        <v>43</v>
      </c>
      <c r="CJ259" s="188">
        <f t="shared" si="710"/>
        <v>1.72</v>
      </c>
      <c r="CK259" s="188">
        <f t="shared" si="651"/>
        <v>0.36549999999999999</v>
      </c>
      <c r="CL259" s="188">
        <f t="shared" si="652"/>
        <v>51.6</v>
      </c>
      <c r="CM259" s="188">
        <f t="shared" si="653"/>
        <v>2.1930000000000001</v>
      </c>
      <c r="CN259" s="465">
        <f t="shared" si="654"/>
        <v>48</v>
      </c>
      <c r="CO259" s="379">
        <f t="shared" si="767"/>
        <v>30.7</v>
      </c>
      <c r="CP259" s="379">
        <f t="shared" si="768"/>
        <v>78.7</v>
      </c>
      <c r="CQ259" s="379"/>
      <c r="CR259" s="188">
        <f t="shared" si="657"/>
        <v>0.38775510204081626</v>
      </c>
      <c r="CS259" s="149">
        <f t="shared" si="658"/>
        <v>270.50715642699197</v>
      </c>
      <c r="CT259" s="149">
        <f t="shared" si="659"/>
        <v>11.496554148147156</v>
      </c>
      <c r="CU259" s="188">
        <f t="shared" si="660"/>
        <v>9.0169052142330663</v>
      </c>
      <c r="CV259" s="188">
        <f t="shared" si="661"/>
        <v>45.084526071165328</v>
      </c>
      <c r="CW259" s="188">
        <f t="shared" si="662"/>
        <v>30</v>
      </c>
      <c r="CX259" s="188">
        <f t="shared" si="663"/>
        <v>5.7803881578947385</v>
      </c>
      <c r="CY259" s="188">
        <f t="shared" si="664"/>
        <v>0.56599634046052649</v>
      </c>
      <c r="CZ259" s="188">
        <f t="shared" si="665"/>
        <v>0.88494541830961793</v>
      </c>
      <c r="DA259" s="172">
        <f t="shared" si="666"/>
        <v>350</v>
      </c>
      <c r="DB259" s="379">
        <f t="shared" si="667"/>
        <v>350</v>
      </c>
      <c r="DD259" s="188">
        <f t="shared" si="668"/>
        <v>11.382534575916392</v>
      </c>
      <c r="DE259" s="150">
        <f t="shared" si="669"/>
        <v>1.7426030132510437</v>
      </c>
      <c r="DF259" s="150">
        <f t="shared" si="670"/>
        <v>3.3296564353233258</v>
      </c>
      <c r="DG259" s="150"/>
      <c r="DH259" s="150">
        <f t="shared" si="671"/>
        <v>0.92784522751949461</v>
      </c>
      <c r="DI259" s="314">
        <f t="shared" si="672"/>
        <v>637.73890563829798</v>
      </c>
      <c r="DJ259" s="456">
        <f t="shared" si="673"/>
        <v>0.94395997276890675</v>
      </c>
      <c r="DL259" s="150">
        <f t="shared" si="674"/>
        <v>8.0871394020510543</v>
      </c>
      <c r="DM259" s="150">
        <f t="shared" si="675"/>
        <v>8.0871394020510543</v>
      </c>
      <c r="DN259" s="150">
        <f t="shared" si="676"/>
        <v>2.7011358084777735</v>
      </c>
      <c r="DP259" s="314">
        <f t="shared" si="677"/>
        <v>1720</v>
      </c>
      <c r="DQ259" s="144">
        <f t="shared" si="678"/>
        <v>350</v>
      </c>
      <c r="DS259">
        <f t="shared" si="679"/>
        <v>1720</v>
      </c>
      <c r="DT259">
        <f t="shared" si="680"/>
        <v>350</v>
      </c>
      <c r="DV259" s="5">
        <f t="shared" si="681"/>
        <v>2.8571428571428572</v>
      </c>
      <c r="DW259" s="5">
        <f t="shared" si="682"/>
        <v>0.79186573311749908</v>
      </c>
      <c r="DX259" s="5">
        <f t="shared" si="683"/>
        <v>2.065277124025358</v>
      </c>
      <c r="DY259" s="150">
        <f t="shared" si="684"/>
        <v>0.27715300659112468</v>
      </c>
      <c r="EA259" s="5">
        <f t="shared" si="711"/>
        <v>4.540030203206995</v>
      </c>
      <c r="EB259" s="5">
        <f t="shared" si="712"/>
        <v>4.8237820909074323</v>
      </c>
      <c r="EC259" s="5">
        <f t="shared" si="713"/>
        <v>1.3059840637219176</v>
      </c>
      <c r="ED259" s="5"/>
      <c r="EE259" s="150">
        <f t="shared" si="714"/>
        <v>2.4580691661866219</v>
      </c>
      <c r="EF259" s="150">
        <f t="shared" si="715"/>
        <v>3.8078639902265614</v>
      </c>
      <c r="EG259" s="150">
        <f t="shared" si="716"/>
        <v>0.76435546788432396</v>
      </c>
      <c r="EH259" s="150"/>
      <c r="EI259" s="456">
        <f t="shared" si="717"/>
        <v>7.2505248309088735E-2</v>
      </c>
      <c r="EJ259" s="456">
        <f t="shared" si="718"/>
        <v>4.2324448417604303</v>
      </c>
      <c r="EK259" s="456">
        <f t="shared" si="719"/>
        <v>4.0250000000000001E-2</v>
      </c>
      <c r="EL259" s="456">
        <f t="shared" si="720"/>
        <v>1.1218321012500001</v>
      </c>
      <c r="EM259">
        <f t="shared" si="721"/>
        <v>2.1600000000000001E-2</v>
      </c>
      <c r="EN259" s="144">
        <f t="shared" si="722"/>
        <v>61.85</v>
      </c>
      <c r="EP259" s="144">
        <f t="shared" si="723"/>
        <v>5488.6321913195197</v>
      </c>
      <c r="EQ259" s="150">
        <f t="shared" si="724"/>
        <v>1.204</v>
      </c>
      <c r="ER259" s="150">
        <f t="shared" si="769"/>
        <v>0.17507449999999999</v>
      </c>
      <c r="ES259" s="456"/>
      <c r="EU259" s="144">
        <f t="shared" si="725"/>
        <v>1379.0744999999999</v>
      </c>
      <c r="EV259" s="456">
        <f t="shared" si="726"/>
        <v>8.4589456360603527E-2</v>
      </c>
      <c r="EW259" s="456">
        <f t="shared" si="727"/>
        <v>0.2029975943528981</v>
      </c>
      <c r="EX259" s="456">
        <f t="shared" si="728"/>
        <v>2.9211964064233195E-3</v>
      </c>
      <c r="EY259" s="456">
        <f t="shared" si="729"/>
        <v>21.312158556191996</v>
      </c>
      <c r="EZ259" s="456"/>
      <c r="FA259" s="538">
        <f t="shared" si="730"/>
        <v>2.2890638297872337</v>
      </c>
      <c r="FB259" s="144">
        <f t="shared" si="731"/>
        <v>23891.730633099156</v>
      </c>
      <c r="FC259" s="150">
        <f t="shared" si="732"/>
        <v>30.759437324418673</v>
      </c>
      <c r="FD259" s="5">
        <f t="shared" si="733"/>
        <v>53.792999999999999</v>
      </c>
      <c r="FE259" s="150">
        <f t="shared" si="734"/>
        <v>0.63620874456406262</v>
      </c>
      <c r="FF259" s="5">
        <f t="shared" si="735"/>
        <v>63.620874456406263</v>
      </c>
      <c r="FG259">
        <f t="shared" si="736"/>
        <v>43</v>
      </c>
      <c r="FI259" s="59">
        <f t="shared" si="686"/>
        <v>-50</v>
      </c>
    </row>
    <row r="260" spans="5:165">
      <c r="E260" s="147">
        <v>44</v>
      </c>
      <c r="F260" s="188">
        <f t="shared" si="770"/>
        <v>1.76</v>
      </c>
      <c r="G260" s="188">
        <f t="shared" si="740"/>
        <v>0.374</v>
      </c>
      <c r="H260" s="188">
        <f t="shared" si="741"/>
        <v>52.8</v>
      </c>
      <c r="I260" s="188">
        <f t="shared" si="742"/>
        <v>2.2439999999999998</v>
      </c>
      <c r="J260" s="465">
        <f t="shared" si="743"/>
        <v>47.874369356864449</v>
      </c>
      <c r="K260" s="379">
        <f t="shared" si="744"/>
        <v>30.792115670858422</v>
      </c>
      <c r="L260" s="149">
        <f t="shared" si="745"/>
        <v>78.666485027722871</v>
      </c>
      <c r="M260" s="379"/>
      <c r="N260" s="188">
        <f t="shared" si="746"/>
        <v>0.39142610299680947</v>
      </c>
      <c r="O260" s="149">
        <f t="shared" si="747"/>
        <v>272.35343115743507</v>
      </c>
      <c r="P260" s="149">
        <f t="shared" si="748"/>
        <v>11.575020824190991</v>
      </c>
      <c r="Q260" s="188">
        <f t="shared" si="624"/>
        <v>9.0784477052478358</v>
      </c>
      <c r="R260" s="188">
        <f t="shared" si="749"/>
        <v>45.392238526239176</v>
      </c>
      <c r="S260" s="188">
        <f t="shared" si="750"/>
        <v>30</v>
      </c>
      <c r="T260" s="188">
        <f t="shared" si="751"/>
        <v>5.8747194525892086</v>
      </c>
      <c r="U260" s="188">
        <f t="shared" si="628"/>
        <v>0.57674245735438101</v>
      </c>
      <c r="V260" s="188">
        <f t="shared" si="629"/>
        <v>0.89669647004153175</v>
      </c>
      <c r="W260" s="172">
        <f t="shared" si="630"/>
        <v>350</v>
      </c>
      <c r="X260" s="379">
        <f t="shared" si="688"/>
        <v>350</v>
      </c>
      <c r="Z260" s="188">
        <f t="shared" si="631"/>
        <v>11.391658255797765</v>
      </c>
      <c r="AA260" s="150">
        <f t="shared" si="632"/>
        <v>1.7387825628662585</v>
      </c>
      <c r="AB260" s="150">
        <f t="shared" si="752"/>
        <v>3.3250195961915656</v>
      </c>
      <c r="AC260" s="150"/>
      <c r="AD260" s="150">
        <f t="shared" si="634"/>
        <v>0.92506954667640684</v>
      </c>
      <c r="AE260" s="314">
        <f t="shared" si="753"/>
        <v>654.52808621296106</v>
      </c>
      <c r="AF260" s="456">
        <f t="shared" si="754"/>
        <v>0.9411360841123243</v>
      </c>
      <c r="AH260" s="150">
        <f t="shared" si="755"/>
        <v>8.1806354491924154</v>
      </c>
      <c r="AI260" s="150">
        <f t="shared" si="756"/>
        <v>8.1806354491924154</v>
      </c>
      <c r="AJ260" s="150">
        <f t="shared" si="757"/>
        <v>2.7703921396935964</v>
      </c>
      <c r="AL260" s="314">
        <f t="shared" si="758"/>
        <v>1760</v>
      </c>
      <c r="AM260" s="144">
        <f t="shared" si="759"/>
        <v>350</v>
      </c>
      <c r="AO260">
        <f t="shared" si="642"/>
        <v>1760</v>
      </c>
      <c r="AP260">
        <f t="shared" si="643"/>
        <v>350</v>
      </c>
      <c r="AR260" s="5">
        <f t="shared" si="614"/>
        <v>2.8571428571428572</v>
      </c>
      <c r="AS260" s="5">
        <f t="shared" si="737"/>
        <v>0.80312257117369956</v>
      </c>
      <c r="AT260" s="5">
        <f t="shared" si="738"/>
        <v>2.0540202859691576</v>
      </c>
      <c r="AU260" s="150">
        <f t="shared" si="739"/>
        <v>0.28109289991079484</v>
      </c>
      <c r="BA260" s="150">
        <f t="shared" si="689"/>
        <v>2.5040981674638401</v>
      </c>
      <c r="BB260" s="150">
        <f t="shared" si="690"/>
        <v>3.8413752614663874</v>
      </c>
      <c r="BC260" s="150">
        <f t="shared" si="691"/>
        <v>0.77108221113819531</v>
      </c>
      <c r="BD260" s="150"/>
      <c r="BE260" s="456">
        <f t="shared" si="692"/>
        <v>7.5246091587549149E-2</v>
      </c>
      <c r="BF260" s="456">
        <f t="shared" si="760"/>
        <v>4.1106234779683719</v>
      </c>
      <c r="BG260" s="456">
        <f t="shared" si="693"/>
        <v>4.0250000000000001E-2</v>
      </c>
      <c r="BH260" s="456">
        <f t="shared" si="694"/>
        <v>1.1208768238409945</v>
      </c>
      <c r="BI260">
        <f t="shared" si="695"/>
        <v>2.1543466210589002E-2</v>
      </c>
      <c r="BJ260" s="144">
        <f t="shared" si="696"/>
        <v>61.793466210589003</v>
      </c>
      <c r="BK260">
        <f t="shared" si="761"/>
        <v>5.4240363160644298</v>
      </c>
      <c r="BL260" s="144">
        <f t="shared" si="697"/>
        <v>5368.5398596075047</v>
      </c>
      <c r="BM260" s="150">
        <f t="shared" si="762"/>
        <v>1.180256</v>
      </c>
      <c r="BN260" s="150">
        <f t="shared" si="763"/>
        <v>0.179146</v>
      </c>
      <c r="BQ260" s="144">
        <f t="shared" si="698"/>
        <v>1359.402</v>
      </c>
      <c r="BR260" s="456">
        <f t="shared" si="699"/>
        <v>8.7787106852140667E-2</v>
      </c>
      <c r="BS260" s="456">
        <f t="shared" si="700"/>
        <v>0.2065862945916834</v>
      </c>
      <c r="BT260" s="456">
        <f t="shared" si="701"/>
        <v>2.9728388816688423E-3</v>
      </c>
      <c r="BU260" s="456">
        <f t="shared" si="702"/>
        <v>21.933488670340186</v>
      </c>
      <c r="BV260" s="456"/>
      <c r="BW260" s="538">
        <f t="shared" si="703"/>
        <v>2.3422978723404255</v>
      </c>
      <c r="BX260" s="144">
        <f t="shared" si="704"/>
        <v>24573.132783006102</v>
      </c>
      <c r="BY260" s="150">
        <f t="shared" si="705"/>
        <v>31.301074642613607</v>
      </c>
      <c r="BZ260" s="5">
        <f t="shared" si="706"/>
        <v>55.043999999999997</v>
      </c>
      <c r="CA260" s="150">
        <f t="shared" si="707"/>
        <v>0.63748859130448077</v>
      </c>
      <c r="CB260" s="5">
        <f t="shared" si="708"/>
        <v>63.748859130448075</v>
      </c>
      <c r="CC260">
        <f t="shared" si="709"/>
        <v>44</v>
      </c>
      <c r="CE260" s="59">
        <f t="shared" si="764"/>
        <v>-50</v>
      </c>
      <c r="CG260" s="150">
        <f t="shared" si="765"/>
        <v>0.43933282751614783</v>
      </c>
      <c r="CH260" s="150">
        <f t="shared" si="766"/>
        <v>9.5881121679374806E-2</v>
      </c>
      <c r="CI260" s="147">
        <v>44</v>
      </c>
      <c r="CJ260" s="188">
        <f t="shared" si="710"/>
        <v>1.76</v>
      </c>
      <c r="CK260" s="188">
        <f t="shared" si="651"/>
        <v>0.374</v>
      </c>
      <c r="CL260" s="188">
        <f t="shared" si="652"/>
        <v>52.8</v>
      </c>
      <c r="CM260" s="188">
        <f t="shared" si="653"/>
        <v>2.2439999999999998</v>
      </c>
      <c r="CN260" s="465">
        <f t="shared" si="654"/>
        <v>48</v>
      </c>
      <c r="CO260" s="379">
        <f t="shared" si="767"/>
        <v>30.7</v>
      </c>
      <c r="CP260" s="379">
        <f t="shared" si="768"/>
        <v>78.7</v>
      </c>
      <c r="CQ260" s="379"/>
      <c r="CR260" s="188">
        <f t="shared" si="657"/>
        <v>0.38775510204081626</v>
      </c>
      <c r="CS260" s="149">
        <f t="shared" si="658"/>
        <v>270.50715642699197</v>
      </c>
      <c r="CT260" s="149">
        <f t="shared" si="659"/>
        <v>11.496554148147156</v>
      </c>
      <c r="CU260" s="188">
        <f t="shared" si="660"/>
        <v>9.0169052142330663</v>
      </c>
      <c r="CV260" s="188">
        <f t="shared" si="661"/>
        <v>45.084526071165328</v>
      </c>
      <c r="CW260" s="188">
        <f t="shared" si="662"/>
        <v>30</v>
      </c>
      <c r="CX260" s="188">
        <f t="shared" si="663"/>
        <v>5.9148157894736855</v>
      </c>
      <c r="CY260" s="188">
        <f t="shared" si="664"/>
        <v>0.5791590460526318</v>
      </c>
      <c r="CZ260" s="188">
        <f t="shared" si="665"/>
        <v>0.90552554431681831</v>
      </c>
      <c r="DA260" s="172">
        <f t="shared" si="666"/>
        <v>350</v>
      </c>
      <c r="DB260" s="379">
        <f t="shared" si="667"/>
        <v>350</v>
      </c>
      <c r="DD260" s="188">
        <f t="shared" si="668"/>
        <v>11.382534575916392</v>
      </c>
      <c r="DE260" s="150">
        <f t="shared" si="669"/>
        <v>1.7426030132510437</v>
      </c>
      <c r="DF260" s="150">
        <f t="shared" si="670"/>
        <v>3.3296564353233258</v>
      </c>
      <c r="DG260" s="150"/>
      <c r="DH260" s="150">
        <f t="shared" si="671"/>
        <v>0.92784522751949461</v>
      </c>
      <c r="DI260" s="314">
        <f t="shared" si="672"/>
        <v>652.57004297872345</v>
      </c>
      <c r="DJ260" s="456">
        <f t="shared" si="673"/>
        <v>0.94395997276890675</v>
      </c>
      <c r="DL260" s="150">
        <f t="shared" si="674"/>
        <v>8.1806354491924154</v>
      </c>
      <c r="DM260" s="150">
        <f t="shared" si="675"/>
        <v>8.1806354491924154</v>
      </c>
      <c r="DN260" s="150">
        <f t="shared" si="676"/>
        <v>2.7703921396935964</v>
      </c>
      <c r="DP260" s="314">
        <f t="shared" si="677"/>
        <v>1760</v>
      </c>
      <c r="DQ260" s="144">
        <f t="shared" si="678"/>
        <v>350</v>
      </c>
      <c r="DS260">
        <f t="shared" si="679"/>
        <v>1760</v>
      </c>
      <c r="DT260">
        <f t="shared" si="680"/>
        <v>350</v>
      </c>
      <c r="DV260" s="5">
        <f t="shared" si="681"/>
        <v>2.8571428571428572</v>
      </c>
      <c r="DW260" s="5">
        <f t="shared" si="682"/>
        <v>0.80102055440009068</v>
      </c>
      <c r="DX260" s="5">
        <f t="shared" si="683"/>
        <v>2.0561223027427666</v>
      </c>
      <c r="DY260" s="150">
        <f t="shared" si="684"/>
        <v>0.28035719404003173</v>
      </c>
      <c r="EA260" s="5">
        <f t="shared" si="711"/>
        <v>4.6993205858138651</v>
      </c>
      <c r="EB260" s="5">
        <f t="shared" si="712"/>
        <v>4.9930281224272317</v>
      </c>
      <c r="EC260" s="5">
        <f t="shared" si="713"/>
        <v>1.3304320782453194</v>
      </c>
      <c r="ED260" s="5"/>
      <c r="EE260" s="150">
        <f t="shared" si="714"/>
        <v>2.5008190260207961</v>
      </c>
      <c r="EF260" s="150">
        <f t="shared" si="715"/>
        <v>3.8433403273705187</v>
      </c>
      <c r="EG260" s="150">
        <f t="shared" si="716"/>
        <v>0.77147666032872064</v>
      </c>
      <c r="EH260" s="150"/>
      <c r="EI260" s="456">
        <f t="shared" si="717"/>
        <v>7.5049149610891236E-2</v>
      </c>
      <c r="EJ260" s="456">
        <f t="shared" si="718"/>
        <v>4.2813764655120972</v>
      </c>
      <c r="EK260" s="456">
        <f t="shared" si="719"/>
        <v>4.0250000000000001E-2</v>
      </c>
      <c r="EL260" s="456">
        <f t="shared" si="720"/>
        <v>1.1218321012500001</v>
      </c>
      <c r="EM260">
        <f t="shared" si="721"/>
        <v>2.1600000000000001E-2</v>
      </c>
      <c r="EN260" s="144">
        <f t="shared" si="722"/>
        <v>61.85</v>
      </c>
      <c r="EP260" s="144">
        <f t="shared" si="723"/>
        <v>5540.1077163729897</v>
      </c>
      <c r="EQ260" s="150">
        <f t="shared" si="724"/>
        <v>1.232</v>
      </c>
      <c r="ER260" s="150">
        <f t="shared" si="769"/>
        <v>0.179146</v>
      </c>
      <c r="ES260" s="456"/>
      <c r="EU260" s="144">
        <f t="shared" si="725"/>
        <v>1411.146</v>
      </c>
      <c r="EV260" s="456">
        <f t="shared" si="726"/>
        <v>8.7557341212706447E-2</v>
      </c>
      <c r="EW260" s="456">
        <f t="shared" si="727"/>
        <v>0.20679770820789536</v>
      </c>
      <c r="EX260" s="456">
        <f t="shared" si="728"/>
        <v>2.9758811871597813E-3</v>
      </c>
      <c r="EY260" s="456">
        <f t="shared" si="729"/>
        <v>21.933488670340186</v>
      </c>
      <c r="EZ260" s="456"/>
      <c r="FA260" s="538">
        <f t="shared" si="730"/>
        <v>2.3422978723404255</v>
      </c>
      <c r="FB260" s="144">
        <f t="shared" si="731"/>
        <v>24573.11747328837</v>
      </c>
      <c r="FC260" s="150">
        <f t="shared" si="732"/>
        <v>31.524371189661363</v>
      </c>
      <c r="FD260" s="5">
        <f t="shared" si="733"/>
        <v>55.043999999999997</v>
      </c>
      <c r="FE260" s="150">
        <f t="shared" si="734"/>
        <v>0.63584423783837762</v>
      </c>
      <c r="FF260" s="5">
        <f t="shared" si="735"/>
        <v>63.584423783837764</v>
      </c>
      <c r="FG260">
        <f t="shared" si="736"/>
        <v>44</v>
      </c>
      <c r="FI260" s="59">
        <f t="shared" si="686"/>
        <v>-50</v>
      </c>
    </row>
    <row r="261" spans="5:165">
      <c r="E261" s="147">
        <v>45</v>
      </c>
      <c r="F261" s="188">
        <f t="shared" si="770"/>
        <v>1.8</v>
      </c>
      <c r="G261" s="188">
        <f t="shared" si="740"/>
        <v>0.38250000000000001</v>
      </c>
      <c r="H261" s="188">
        <f t="shared" si="741"/>
        <v>54</v>
      </c>
      <c r="I261" s="188">
        <f t="shared" si="742"/>
        <v>2.2949999999999999</v>
      </c>
      <c r="J261" s="465">
        <f t="shared" si="743"/>
        <v>47.872949756515268</v>
      </c>
      <c r="K261" s="379">
        <f t="shared" si="744"/>
        <v>30.793156558935184</v>
      </c>
      <c r="L261" s="149">
        <f t="shared" si="745"/>
        <v>78.666106315450449</v>
      </c>
      <c r="M261" s="379"/>
      <c r="N261" s="188">
        <f t="shared" si="746"/>
        <v>0.3914412191122677</v>
      </c>
      <c r="O261" s="149">
        <f t="shared" si="747"/>
        <v>272.35587261377339</v>
      </c>
      <c r="P261" s="149">
        <f t="shared" si="748"/>
        <v>11.575124586085369</v>
      </c>
      <c r="Q261" s="188">
        <f t="shared" si="624"/>
        <v>9.07852908712578</v>
      </c>
      <c r="R261" s="188">
        <f t="shared" si="749"/>
        <v>45.3926454356289</v>
      </c>
      <c r="S261" s="188">
        <f t="shared" si="750"/>
        <v>30</v>
      </c>
      <c r="T261" s="188">
        <f t="shared" si="751"/>
        <v>6.0081819446726463</v>
      </c>
      <c r="U261" s="188">
        <f t="shared" si="628"/>
        <v>0.58986244389752329</v>
      </c>
      <c r="V261" s="188">
        <f t="shared" si="629"/>
        <v>0.9170367151518134</v>
      </c>
      <c r="W261" s="172">
        <f t="shared" si="630"/>
        <v>350</v>
      </c>
      <c r="X261" s="379">
        <f t="shared" si="688"/>
        <v>350</v>
      </c>
      <c r="Z261" s="188">
        <f t="shared" si="631"/>
        <v>11.391760373976094</v>
      </c>
      <c r="AA261" s="150">
        <f t="shared" si="632"/>
        <v>1.7387393739649497</v>
      </c>
      <c r="AB261" s="150">
        <f t="shared" si="752"/>
        <v>3.3249668131184991</v>
      </c>
      <c r="AC261" s="150"/>
      <c r="AD261" s="150">
        <f t="shared" si="634"/>
        <v>0.92503827694089047</v>
      </c>
      <c r="AE261" s="314">
        <f t="shared" si="753"/>
        <v>669.42635287249789</v>
      </c>
      <c r="AF261" s="456">
        <f t="shared" si="754"/>
        <v>0.94110427128642304</v>
      </c>
      <c r="AH261" s="150">
        <f t="shared" si="755"/>
        <v>8.2730749420611733</v>
      </c>
      <c r="AI261" s="150">
        <f t="shared" si="756"/>
        <v>8.2730749420611733</v>
      </c>
      <c r="AJ261" s="150">
        <f t="shared" si="757"/>
        <v>2.8388658381148986</v>
      </c>
      <c r="AL261" s="314">
        <f t="shared" si="758"/>
        <v>1800</v>
      </c>
      <c r="AM261" s="144">
        <f t="shared" si="759"/>
        <v>350</v>
      </c>
      <c r="AO261">
        <f t="shared" si="642"/>
        <v>1800</v>
      </c>
      <c r="AP261">
        <f t="shared" si="643"/>
        <v>350</v>
      </c>
      <c r="AR261" s="5">
        <f t="shared" si="614"/>
        <v>2.8571428571428572</v>
      </c>
      <c r="AS261" s="5">
        <f t="shared" si="737"/>
        <v>0.81222177504104331</v>
      </c>
      <c r="AT261" s="5">
        <f t="shared" si="738"/>
        <v>2.0449210821018138</v>
      </c>
      <c r="AU261" s="150">
        <f t="shared" si="739"/>
        <v>0.28427762126436518</v>
      </c>
      <c r="BA261" s="150">
        <f t="shared" si="689"/>
        <v>2.5466992912934465</v>
      </c>
      <c r="BB261" s="150">
        <f t="shared" si="690"/>
        <v>3.8761677667617165</v>
      </c>
      <c r="BC261" s="150">
        <f t="shared" si="691"/>
        <v>0.77806613748959219</v>
      </c>
      <c r="BD261" s="150"/>
      <c r="BE261" s="456">
        <f t="shared" si="692"/>
        <v>7.7828127363294516E-2</v>
      </c>
      <c r="BF261" s="456">
        <f t="shared" si="760"/>
        <v>4.1570526624545412</v>
      </c>
      <c r="BG261" s="456">
        <f t="shared" si="693"/>
        <v>4.0250000000000001E-2</v>
      </c>
      <c r="BH261" s="456">
        <f t="shared" si="694"/>
        <v>1.1208660317282635</v>
      </c>
      <c r="BI261">
        <f t="shared" si="695"/>
        <v>2.1542827390431871E-2</v>
      </c>
      <c r="BJ261" s="144">
        <f t="shared" si="696"/>
        <v>61.792827390431874</v>
      </c>
      <c r="BK261">
        <f t="shared" si="761"/>
        <v>5.4780605085062515</v>
      </c>
      <c r="BL261" s="144">
        <f t="shared" si="697"/>
        <v>5417.5396489365312</v>
      </c>
      <c r="BM261" s="150">
        <f t="shared" si="762"/>
        <v>1.2070799999999999</v>
      </c>
      <c r="BN261" s="150">
        <f t="shared" si="763"/>
        <v>0.18321750000000001</v>
      </c>
      <c r="BQ261" s="144">
        <f t="shared" si="698"/>
        <v>1390.2974999999999</v>
      </c>
      <c r="BR261" s="456">
        <f t="shared" si="699"/>
        <v>9.07994819238436E-2</v>
      </c>
      <c r="BS261" s="456">
        <f t="shared" si="700"/>
        <v>0.2103454717851552</v>
      </c>
      <c r="BT261" s="456">
        <f t="shared" si="701"/>
        <v>3.0269345715398651E-3</v>
      </c>
      <c r="BU261" s="456">
        <f t="shared" si="702"/>
        <v>22.558359384958198</v>
      </c>
      <c r="BV261" s="456"/>
      <c r="BW261" s="538">
        <f t="shared" si="703"/>
        <v>2.3955319148936174</v>
      </c>
      <c r="BX261" s="144">
        <f t="shared" si="704"/>
        <v>25258.063188132353</v>
      </c>
      <c r="BY261" s="150">
        <f t="shared" si="705"/>
        <v>32.065900337068882</v>
      </c>
      <c r="BZ261" s="5">
        <f t="shared" si="706"/>
        <v>56.295000000000002</v>
      </c>
      <c r="CA261" s="150">
        <f t="shared" si="707"/>
        <v>0.63710306012333939</v>
      </c>
      <c r="CB261" s="5">
        <f t="shared" si="708"/>
        <v>63.710306012333938</v>
      </c>
      <c r="CC261">
        <f t="shared" si="709"/>
        <v>45</v>
      </c>
      <c r="CE261" s="59">
        <f t="shared" si="764"/>
        <v>-50</v>
      </c>
      <c r="CG261" s="150">
        <f t="shared" si="765"/>
        <v>0.44429719783046123</v>
      </c>
      <c r="CH261" s="150">
        <f t="shared" si="766"/>
        <v>9.6964558573583812E-2</v>
      </c>
      <c r="CI261" s="147">
        <v>45</v>
      </c>
      <c r="CJ261" s="188">
        <f t="shared" si="710"/>
        <v>1.8</v>
      </c>
      <c r="CK261" s="188">
        <f t="shared" si="651"/>
        <v>0.38250000000000001</v>
      </c>
      <c r="CL261" s="188">
        <f t="shared" si="652"/>
        <v>54</v>
      </c>
      <c r="CM261" s="188">
        <f t="shared" si="653"/>
        <v>2.2949999999999999</v>
      </c>
      <c r="CN261" s="465">
        <f t="shared" si="654"/>
        <v>48</v>
      </c>
      <c r="CO261" s="379">
        <f t="shared" si="767"/>
        <v>30.7</v>
      </c>
      <c r="CP261" s="379">
        <f t="shared" si="768"/>
        <v>78.7</v>
      </c>
      <c r="CQ261" s="379"/>
      <c r="CR261" s="188">
        <f t="shared" si="657"/>
        <v>0.38775510204081626</v>
      </c>
      <c r="CS261" s="149">
        <f t="shared" si="658"/>
        <v>270.50715642699197</v>
      </c>
      <c r="CT261" s="149">
        <f t="shared" si="659"/>
        <v>11.496554148147156</v>
      </c>
      <c r="CU261" s="188">
        <f t="shared" si="660"/>
        <v>9.0169052142330663</v>
      </c>
      <c r="CV261" s="188">
        <f t="shared" si="661"/>
        <v>45.084526071165328</v>
      </c>
      <c r="CW261" s="188">
        <f t="shared" si="662"/>
        <v>30</v>
      </c>
      <c r="CX261" s="188">
        <f t="shared" si="663"/>
        <v>6.0492434210526334</v>
      </c>
      <c r="CY261" s="188">
        <f t="shared" si="664"/>
        <v>0.5923217516447371</v>
      </c>
      <c r="CZ261" s="188">
        <f t="shared" si="665"/>
        <v>0.9261056703240188</v>
      </c>
      <c r="DA261" s="172">
        <f t="shared" si="666"/>
        <v>350</v>
      </c>
      <c r="DB261" s="379">
        <f t="shared" si="667"/>
        <v>350</v>
      </c>
      <c r="DD261" s="188">
        <f t="shared" si="668"/>
        <v>11.382534575916392</v>
      </c>
      <c r="DE261" s="150">
        <f t="shared" si="669"/>
        <v>1.7426030132510437</v>
      </c>
      <c r="DF261" s="150">
        <f t="shared" si="670"/>
        <v>3.3296564353233258</v>
      </c>
      <c r="DG261" s="150"/>
      <c r="DH261" s="150">
        <f t="shared" si="671"/>
        <v>0.92784522751949461</v>
      </c>
      <c r="DI261" s="314">
        <f t="shared" si="672"/>
        <v>667.40118031914915</v>
      </c>
      <c r="DJ261" s="456">
        <f t="shared" si="673"/>
        <v>0.94395997276890675</v>
      </c>
      <c r="DL261" s="150">
        <f t="shared" si="674"/>
        <v>8.2730749420611733</v>
      </c>
      <c r="DM261" s="150">
        <f t="shared" si="675"/>
        <v>8.2730749420611733</v>
      </c>
      <c r="DN261" s="150">
        <f t="shared" si="676"/>
        <v>2.8388658381148986</v>
      </c>
      <c r="DP261" s="314">
        <f t="shared" si="677"/>
        <v>1800</v>
      </c>
      <c r="DQ261" s="144">
        <f t="shared" si="678"/>
        <v>350</v>
      </c>
      <c r="DS261">
        <f t="shared" si="679"/>
        <v>1800</v>
      </c>
      <c r="DT261">
        <f t="shared" si="680"/>
        <v>350</v>
      </c>
      <c r="DV261" s="5">
        <f t="shared" si="681"/>
        <v>2.8571428571428572</v>
      </c>
      <c r="DW261" s="5">
        <f t="shared" si="682"/>
        <v>0.81007192141015649</v>
      </c>
      <c r="DX261" s="5">
        <f t="shared" si="683"/>
        <v>2.0470709357327008</v>
      </c>
      <c r="DY261" s="150">
        <f t="shared" si="684"/>
        <v>0.28352517249355474</v>
      </c>
      <c r="EA261" s="5">
        <f t="shared" si="711"/>
        <v>4.8604315284609392</v>
      </c>
      <c r="EB261" s="5">
        <f t="shared" si="712"/>
        <v>5.1642084989897468</v>
      </c>
      <c r="EC261" s="5">
        <f t="shared" si="713"/>
        <v>1.3546792957054636</v>
      </c>
      <c r="ED261" s="5"/>
      <c r="EE261" s="150">
        <f t="shared" si="714"/>
        <v>2.5433266542707562</v>
      </c>
      <c r="EF261" s="150">
        <f t="shared" si="715"/>
        <v>3.8782047657370291</v>
      </c>
      <c r="EG261" s="150">
        <f t="shared" si="716"/>
        <v>0.77847502586082884</v>
      </c>
      <c r="EH261" s="150"/>
      <c r="EI261" s="456">
        <f t="shared" si="717"/>
        <v>7.7622125643888942E-2</v>
      </c>
      <c r="EJ261" s="456">
        <f t="shared" si="718"/>
        <v>4.3297551363024267</v>
      </c>
      <c r="EK261" s="456">
        <f t="shared" si="719"/>
        <v>4.0250000000000001E-2</v>
      </c>
      <c r="EL261" s="456">
        <f t="shared" si="720"/>
        <v>1.1218321012500001</v>
      </c>
      <c r="EM261">
        <f t="shared" si="721"/>
        <v>2.1600000000000001E-2</v>
      </c>
      <c r="EN261" s="144">
        <f t="shared" si="722"/>
        <v>61.85</v>
      </c>
      <c r="EP261" s="144">
        <f t="shared" si="723"/>
        <v>5591.0593631963166</v>
      </c>
      <c r="EQ261" s="150">
        <f t="shared" si="724"/>
        <v>1.26</v>
      </c>
      <c r="ER261" s="150">
        <f t="shared" si="769"/>
        <v>0.18321750000000001</v>
      </c>
      <c r="ES261" s="456"/>
      <c r="EU261" s="144">
        <f t="shared" si="725"/>
        <v>1443.2175</v>
      </c>
      <c r="EV261" s="456">
        <f t="shared" si="726"/>
        <v>9.0559146584537106E-2</v>
      </c>
      <c r="EW261" s="456">
        <f t="shared" si="727"/>
        <v>0.21056661086979567</v>
      </c>
      <c r="EX261" s="456">
        <f t="shared" si="728"/>
        <v>3.030116829445091E-3</v>
      </c>
      <c r="EY261" s="456">
        <f t="shared" si="729"/>
        <v>22.558359384958198</v>
      </c>
      <c r="EZ261" s="456"/>
      <c r="FA261" s="538">
        <f t="shared" si="730"/>
        <v>2.3955319148936174</v>
      </c>
      <c r="FB261" s="144">
        <f t="shared" si="731"/>
        <v>25258.047174135594</v>
      </c>
      <c r="FC261" s="150">
        <f t="shared" si="732"/>
        <v>32.292324037331909</v>
      </c>
      <c r="FD261" s="5">
        <f t="shared" si="733"/>
        <v>56.295000000000002</v>
      </c>
      <c r="FE261" s="150">
        <f t="shared" si="734"/>
        <v>0.6354746642564405</v>
      </c>
      <c r="FF261" s="5">
        <f t="shared" si="735"/>
        <v>63.547466425644053</v>
      </c>
      <c r="FG261">
        <f t="shared" si="736"/>
        <v>45</v>
      </c>
      <c r="FI261" s="59">
        <f t="shared" si="686"/>
        <v>-50</v>
      </c>
    </row>
    <row r="262" spans="5:165">
      <c r="E262" s="147">
        <v>46</v>
      </c>
      <c r="F262" s="188">
        <f t="shared" si="770"/>
        <v>1.84</v>
      </c>
      <c r="G262" s="188">
        <f t="shared" si="740"/>
        <v>0.39100000000000001</v>
      </c>
      <c r="H262" s="188">
        <f t="shared" si="741"/>
        <v>55.2</v>
      </c>
      <c r="I262" s="188">
        <f t="shared" si="742"/>
        <v>2.3460000000000001</v>
      </c>
      <c r="J262" s="465">
        <f t="shared" si="743"/>
        <v>47.871545843802508</v>
      </c>
      <c r="K262" s="379">
        <f t="shared" si="744"/>
        <v>30.794185944426928</v>
      </c>
      <c r="L262" s="149">
        <f t="shared" si="745"/>
        <v>78.665731788229436</v>
      </c>
      <c r="M262" s="379"/>
      <c r="N262" s="188">
        <f t="shared" si="746"/>
        <v>0.39145616832658242</v>
      </c>
      <c r="O262" s="149">
        <f t="shared" si="747"/>
        <v>272.35828657634278</v>
      </c>
      <c r="P262" s="149">
        <f t="shared" si="748"/>
        <v>11.575227179494567</v>
      </c>
      <c r="Q262" s="188">
        <f t="shared" si="624"/>
        <v>9.0786095525447585</v>
      </c>
      <c r="R262" s="188">
        <f t="shared" si="749"/>
        <v>45.393047762723796</v>
      </c>
      <c r="S262" s="188">
        <f t="shared" si="750"/>
        <v>30</v>
      </c>
      <c r="T262" s="188">
        <f t="shared" si="751"/>
        <v>6.1416426639855626</v>
      </c>
      <c r="U262" s="188">
        <f t="shared" si="628"/>
        <v>0.60298283692188581</v>
      </c>
      <c r="V262" s="188">
        <f t="shared" si="629"/>
        <v>0.93737566477077816</v>
      </c>
      <c r="W262" s="172">
        <f t="shared" si="630"/>
        <v>350</v>
      </c>
      <c r="X262" s="379">
        <f t="shared" si="688"/>
        <v>350</v>
      </c>
      <c r="Z262" s="188">
        <f t="shared" si="631"/>
        <v>11.391861342179491</v>
      </c>
      <c r="AA262" s="150">
        <f t="shared" si="632"/>
        <v>1.73869666192405</v>
      </c>
      <c r="AB262" s="150">
        <f t="shared" si="752"/>
        <v>3.3249146048259899</v>
      </c>
      <c r="AC262" s="150"/>
      <c r="AD262" s="150">
        <f t="shared" si="634"/>
        <v>0.92500735483814978</v>
      </c>
      <c r="AE262" s="314">
        <f t="shared" si="753"/>
        <v>684.32536961909693</v>
      </c>
      <c r="AF262" s="456">
        <f t="shared" si="754"/>
        <v>0.94107281213095684</v>
      </c>
      <c r="AH262" s="150">
        <f t="shared" si="755"/>
        <v>8.3644929099938512</v>
      </c>
      <c r="AI262" s="150">
        <f t="shared" si="756"/>
        <v>8.3644929099938512</v>
      </c>
      <c r="AJ262" s="150">
        <f t="shared" si="757"/>
        <v>2.9065828513983636</v>
      </c>
      <c r="AL262" s="314">
        <f t="shared" si="758"/>
        <v>1840</v>
      </c>
      <c r="AM262" s="144">
        <f t="shared" si="759"/>
        <v>350</v>
      </c>
      <c r="AO262">
        <f t="shared" si="642"/>
        <v>1840</v>
      </c>
      <c r="AP262">
        <f t="shared" si="643"/>
        <v>350</v>
      </c>
      <c r="AR262" s="5">
        <f t="shared" si="614"/>
        <v>2.8571428571428572</v>
      </c>
      <c r="AS262" s="5">
        <f t="shared" si="737"/>
        <v>0.82122095670868356</v>
      </c>
      <c r="AT262" s="5">
        <f t="shared" si="738"/>
        <v>2.0359219004341735</v>
      </c>
      <c r="AU262" s="150">
        <f t="shared" si="739"/>
        <v>0.28742733484803923</v>
      </c>
      <c r="BA262" s="150">
        <f t="shared" si="689"/>
        <v>2.5890654184667512</v>
      </c>
      <c r="BB262" s="150">
        <f t="shared" si="690"/>
        <v>3.9103668776742238</v>
      </c>
      <c r="BC262" s="150">
        <f t="shared" si="691"/>
        <v>0.78493095133006807</v>
      </c>
      <c r="BD262" s="150"/>
      <c r="BE262" s="456">
        <f t="shared" si="692"/>
        <v>8.0439116893204959E-2</v>
      </c>
      <c r="BF262" s="456">
        <f t="shared" si="760"/>
        <v>4.2029683301860619</v>
      </c>
      <c r="BG262" s="456">
        <f t="shared" si="693"/>
        <v>4.0250000000000001E-2</v>
      </c>
      <c r="BH262" s="456">
        <f t="shared" si="694"/>
        <v>1.1208553589274772</v>
      </c>
      <c r="BI262">
        <f t="shared" si="695"/>
        <v>2.1542195629711127E-2</v>
      </c>
      <c r="BJ262" s="144">
        <f t="shared" si="696"/>
        <v>61.792195629711124</v>
      </c>
      <c r="BK262">
        <f t="shared" si="761"/>
        <v>5.5317051652369953</v>
      </c>
      <c r="BL262" s="144">
        <f t="shared" si="697"/>
        <v>5466.0550016364541</v>
      </c>
      <c r="BM262" s="150">
        <f t="shared" si="762"/>
        <v>1.2339039999999999</v>
      </c>
      <c r="BN262" s="150">
        <f t="shared" si="763"/>
        <v>0.18728900000000001</v>
      </c>
      <c r="BQ262" s="144">
        <f t="shared" si="698"/>
        <v>1421.193</v>
      </c>
      <c r="BR262" s="456">
        <f t="shared" si="699"/>
        <v>9.3845636375405786E-2</v>
      </c>
      <c r="BS262" s="456">
        <f t="shared" si="700"/>
        <v>0.2140735676521632</v>
      </c>
      <c r="BT262" s="456">
        <f t="shared" si="701"/>
        <v>3.0805829917796286E-3</v>
      </c>
      <c r="BU262" s="456">
        <f t="shared" si="702"/>
        <v>23.186711515937613</v>
      </c>
      <c r="BV262" s="456"/>
      <c r="BW262" s="538">
        <f t="shared" si="703"/>
        <v>2.4487659574468097</v>
      </c>
      <c r="BX262" s="144">
        <f t="shared" si="704"/>
        <v>25946.477260403772</v>
      </c>
      <c r="BY262" s="150">
        <f t="shared" si="705"/>
        <v>32.833725262040225</v>
      </c>
      <c r="BZ262" s="5">
        <f t="shared" si="706"/>
        <v>57.546000000000006</v>
      </c>
      <c r="CA262" s="150">
        <f t="shared" si="707"/>
        <v>0.63671359735997668</v>
      </c>
      <c r="CB262" s="5">
        <f t="shared" si="708"/>
        <v>63.671359735997669</v>
      </c>
      <c r="CC262">
        <f t="shared" si="709"/>
        <v>46</v>
      </c>
      <c r="CE262" s="59">
        <f t="shared" si="764"/>
        <v>-50</v>
      </c>
      <c r="CG262" s="150">
        <f t="shared" si="765"/>
        <v>0.44920670817193575</v>
      </c>
      <c r="CH262" s="150">
        <f t="shared" si="766"/>
        <v>9.803602268679025E-2</v>
      </c>
      <c r="CI262" s="147">
        <v>46</v>
      </c>
      <c r="CJ262" s="188">
        <f t="shared" si="710"/>
        <v>1.84</v>
      </c>
      <c r="CK262" s="188">
        <f t="shared" si="651"/>
        <v>0.39100000000000001</v>
      </c>
      <c r="CL262" s="188">
        <f t="shared" si="652"/>
        <v>55.2</v>
      </c>
      <c r="CM262" s="188">
        <f t="shared" si="653"/>
        <v>2.3460000000000001</v>
      </c>
      <c r="CN262" s="465">
        <f t="shared" si="654"/>
        <v>48</v>
      </c>
      <c r="CO262" s="379">
        <f t="shared" si="767"/>
        <v>30.7</v>
      </c>
      <c r="CP262" s="379">
        <f t="shared" si="768"/>
        <v>78.7</v>
      </c>
      <c r="CQ262" s="379"/>
      <c r="CR262" s="188">
        <f t="shared" si="657"/>
        <v>0.38775510204081626</v>
      </c>
      <c r="CS262" s="149">
        <f t="shared" si="658"/>
        <v>270.50715642699197</v>
      </c>
      <c r="CT262" s="149">
        <f t="shared" si="659"/>
        <v>11.496554148147156</v>
      </c>
      <c r="CU262" s="188">
        <f t="shared" si="660"/>
        <v>9.0169052142330663</v>
      </c>
      <c r="CV262" s="188">
        <f t="shared" si="661"/>
        <v>45.084526071165328</v>
      </c>
      <c r="CW262" s="188">
        <f t="shared" si="662"/>
        <v>30</v>
      </c>
      <c r="CX262" s="188">
        <f t="shared" si="663"/>
        <v>6.1836710526315812</v>
      </c>
      <c r="CY262" s="188">
        <f t="shared" si="664"/>
        <v>0.6054844572368423</v>
      </c>
      <c r="CZ262" s="188">
        <f t="shared" si="665"/>
        <v>0.94668579633121919</v>
      </c>
      <c r="DA262" s="172">
        <f t="shared" si="666"/>
        <v>350</v>
      </c>
      <c r="DB262" s="379">
        <f t="shared" si="667"/>
        <v>350</v>
      </c>
      <c r="DD262" s="188">
        <f t="shared" si="668"/>
        <v>11.382534575916392</v>
      </c>
      <c r="DE262" s="150">
        <f t="shared" si="669"/>
        <v>1.7426030132510437</v>
      </c>
      <c r="DF262" s="150">
        <f t="shared" si="670"/>
        <v>3.3296564353233258</v>
      </c>
      <c r="DG262" s="150"/>
      <c r="DH262" s="150">
        <f t="shared" si="671"/>
        <v>0.92784522751949461</v>
      </c>
      <c r="DI262" s="314">
        <f t="shared" si="672"/>
        <v>682.23231765957451</v>
      </c>
      <c r="DJ262" s="456">
        <f t="shared" si="673"/>
        <v>0.94395997276890675</v>
      </c>
      <c r="DL262" s="150">
        <f t="shared" si="674"/>
        <v>8.3644929099938512</v>
      </c>
      <c r="DM262" s="150">
        <f t="shared" si="675"/>
        <v>8.3644929099938512</v>
      </c>
      <c r="DN262" s="150">
        <f t="shared" si="676"/>
        <v>2.9065828513983636</v>
      </c>
      <c r="DP262" s="314">
        <f t="shared" si="677"/>
        <v>1840</v>
      </c>
      <c r="DQ262" s="144">
        <f t="shared" si="678"/>
        <v>350</v>
      </c>
      <c r="DS262">
        <f t="shared" si="679"/>
        <v>1840</v>
      </c>
      <c r="DT262">
        <f t="shared" si="680"/>
        <v>350</v>
      </c>
      <c r="DV262" s="5">
        <f t="shared" si="681"/>
        <v>2.8571428571428572</v>
      </c>
      <c r="DW262" s="5">
        <f t="shared" si="682"/>
        <v>0.81902326410356452</v>
      </c>
      <c r="DX262" s="5">
        <f t="shared" si="683"/>
        <v>2.0381195930392928</v>
      </c>
      <c r="DY262" s="150">
        <f t="shared" si="684"/>
        <v>0.2866581424362476</v>
      </c>
      <c r="EA262" s="5">
        <f t="shared" si="711"/>
        <v>5.023342686501862</v>
      </c>
      <c r="EB262" s="5">
        <f t="shared" si="712"/>
        <v>5.3373016044082293</v>
      </c>
      <c r="EC262" s="5">
        <f t="shared" si="713"/>
        <v>1.3787279599971687</v>
      </c>
      <c r="ED262" s="5"/>
      <c r="EE262" s="150">
        <f t="shared" si="714"/>
        <v>2.5855987620496315</v>
      </c>
      <c r="EF262" s="150">
        <f t="shared" si="715"/>
        <v>3.9124768472319067</v>
      </c>
      <c r="EG262" s="150">
        <f t="shared" si="716"/>
        <v>0.78535448714243539</v>
      </c>
      <c r="EH262" s="150"/>
      <c r="EI262" s="456">
        <f t="shared" si="717"/>
        <v>8.0223851499751045E-2</v>
      </c>
      <c r="EJ262" s="456">
        <f t="shared" si="718"/>
        <v>4.3775991869098325</v>
      </c>
      <c r="EK262" s="456">
        <f t="shared" si="719"/>
        <v>4.0250000000000001E-2</v>
      </c>
      <c r="EL262" s="456">
        <f t="shared" si="720"/>
        <v>1.1218321012500001</v>
      </c>
      <c r="EM262">
        <f t="shared" si="721"/>
        <v>2.1600000000000001E-2</v>
      </c>
      <c r="EN262" s="144">
        <f t="shared" si="722"/>
        <v>61.85</v>
      </c>
      <c r="EP262" s="144">
        <f t="shared" si="723"/>
        <v>5641.5051396595836</v>
      </c>
      <c r="EQ262" s="150">
        <f t="shared" si="724"/>
        <v>1.288</v>
      </c>
      <c r="ER262" s="150">
        <f t="shared" si="769"/>
        <v>0.18728900000000001</v>
      </c>
      <c r="ES262" s="456"/>
      <c r="EU262" s="144">
        <f t="shared" si="725"/>
        <v>1475.289</v>
      </c>
      <c r="EV262" s="456">
        <f t="shared" si="726"/>
        <v>9.3594493416376212E-2</v>
      </c>
      <c r="EW262" s="456">
        <f t="shared" si="727"/>
        <v>0.21430465112176011</v>
      </c>
      <c r="EX262" s="456">
        <f t="shared" si="728"/>
        <v>3.0839083523737888E-3</v>
      </c>
      <c r="EY262" s="456">
        <f t="shared" si="729"/>
        <v>23.186711515937613</v>
      </c>
      <c r="EZ262" s="456"/>
      <c r="FA262" s="538">
        <f t="shared" si="730"/>
        <v>2.4487659574468097</v>
      </c>
      <c r="FB262" s="144">
        <f t="shared" si="731"/>
        <v>25946.460526274932</v>
      </c>
      <c r="FC262" s="150">
        <f t="shared" si="732"/>
        <v>33.063254665934522</v>
      </c>
      <c r="FD262" s="5">
        <f t="shared" si="733"/>
        <v>57.546000000000006</v>
      </c>
      <c r="FE262" s="150">
        <f t="shared" si="734"/>
        <v>0.63510068824829446</v>
      </c>
      <c r="FF262" s="5">
        <f t="shared" si="735"/>
        <v>63.510068824829446</v>
      </c>
      <c r="FG262">
        <f t="shared" si="736"/>
        <v>46</v>
      </c>
      <c r="FI262" s="59">
        <f t="shared" si="686"/>
        <v>-50</v>
      </c>
    </row>
    <row r="263" spans="5:165">
      <c r="E263" s="147">
        <v>47</v>
      </c>
      <c r="F263" s="188">
        <f t="shared" si="770"/>
        <v>1.88</v>
      </c>
      <c r="G263" s="188">
        <f t="shared" si="740"/>
        <v>0.39949999999999997</v>
      </c>
      <c r="H263" s="188">
        <f t="shared" si="741"/>
        <v>56.4</v>
      </c>
      <c r="I263" s="188">
        <f t="shared" si="742"/>
        <v>2.3969999999999998</v>
      </c>
      <c r="J263" s="465">
        <f t="shared" si="743"/>
        <v>47.87015710986239</v>
      </c>
      <c r="K263" s="379">
        <f t="shared" si="744"/>
        <v>30.795204200445887</v>
      </c>
      <c r="L263" s="149">
        <f t="shared" si="745"/>
        <v>78.665361310308271</v>
      </c>
      <c r="M263" s="379"/>
      <c r="N263" s="188">
        <f t="shared" si="746"/>
        <v>0.39147095605356991</v>
      </c>
      <c r="O263" s="149">
        <f t="shared" si="747"/>
        <v>272.36067393695845</v>
      </c>
      <c r="P263" s="149">
        <f t="shared" si="748"/>
        <v>11.575328642320734</v>
      </c>
      <c r="Q263" s="188">
        <f t="shared" si="624"/>
        <v>9.0786891312319487</v>
      </c>
      <c r="R263" s="188">
        <f t="shared" si="749"/>
        <v>45.393445656159741</v>
      </c>
      <c r="S263" s="188">
        <f t="shared" si="750"/>
        <v>30</v>
      </c>
      <c r="T263" s="188">
        <f t="shared" si="751"/>
        <v>6.2751016304450067</v>
      </c>
      <c r="U263" s="188">
        <f t="shared" si="628"/>
        <v>0.61610363206882557</v>
      </c>
      <c r="V263" s="188">
        <f t="shared" si="629"/>
        <v>0.95771333325545849</v>
      </c>
      <c r="W263" s="172">
        <f t="shared" si="630"/>
        <v>350</v>
      </c>
      <c r="X263" s="379">
        <f t="shared" si="688"/>
        <v>350</v>
      </c>
      <c r="Z263" s="188">
        <f t="shared" si="631"/>
        <v>11.391961197709682</v>
      </c>
      <c r="AA263" s="150">
        <f t="shared" si="632"/>
        <v>1.7386544112755147</v>
      </c>
      <c r="AB263" s="150">
        <f t="shared" si="752"/>
        <v>3.3248629526700726</v>
      </c>
      <c r="AC263" s="150"/>
      <c r="AD263" s="150">
        <f t="shared" si="634"/>
        <v>0.92497676909172921</v>
      </c>
      <c r="AE263" s="314">
        <f t="shared" si="753"/>
        <v>699.22512825385411</v>
      </c>
      <c r="AF263" s="456">
        <f t="shared" si="754"/>
        <v>0.94104169517362179</v>
      </c>
      <c r="AH263" s="150">
        <f t="shared" si="755"/>
        <v>8.4549224884509897</v>
      </c>
      <c r="AI263" s="150">
        <f t="shared" si="756"/>
        <v>8.4549224884509897</v>
      </c>
      <c r="AJ263" s="150">
        <f t="shared" si="757"/>
        <v>2.9735677243295773</v>
      </c>
      <c r="AL263" s="314">
        <f t="shared" si="758"/>
        <v>1880</v>
      </c>
      <c r="AM263" s="144">
        <f t="shared" si="759"/>
        <v>350</v>
      </c>
      <c r="AO263">
        <f t="shared" si="642"/>
        <v>1880</v>
      </c>
      <c r="AP263">
        <f t="shared" si="643"/>
        <v>350</v>
      </c>
      <c r="AR263" s="5">
        <f t="shared" ref="AR263:AR316" si="771">1/AM263*1000</f>
        <v>2.8571428571428572</v>
      </c>
      <c r="AS263" s="5">
        <f t="shared" si="737"/>
        <v>0.83012336066748893</v>
      </c>
      <c r="AT263" s="5">
        <f t="shared" si="738"/>
        <v>2.0270194964753685</v>
      </c>
      <c r="AU263" s="150">
        <f t="shared" si="739"/>
        <v>0.29054317623362114</v>
      </c>
      <c r="BA263" s="150">
        <f t="shared" si="689"/>
        <v>2.6312029241331536</v>
      </c>
      <c r="BB263" s="150">
        <f t="shared" si="690"/>
        <v>3.9439910852316231</v>
      </c>
      <c r="BC263" s="150">
        <f t="shared" si="691"/>
        <v>0.79168036437783995</v>
      </c>
      <c r="BD263" s="150"/>
      <c r="BE263" s="456">
        <f t="shared" si="692"/>
        <v>8.3078745935602299E-2</v>
      </c>
      <c r="BF263" s="456">
        <f t="shared" si="760"/>
        <v>4.2483871382346878</v>
      </c>
      <c r="BG263" s="456">
        <f t="shared" si="693"/>
        <v>4.0250000000000001E-2</v>
      </c>
      <c r="BH263" s="456">
        <f t="shared" si="694"/>
        <v>1.1208448015684835</v>
      </c>
      <c r="BI263">
        <f t="shared" si="695"/>
        <v>2.1541570699438076E-2</v>
      </c>
      <c r="BJ263" s="144">
        <f t="shared" si="696"/>
        <v>61.791570699438083</v>
      </c>
      <c r="BK263">
        <f t="shared" si="761"/>
        <v>5.5849868511307097</v>
      </c>
      <c r="BL263" s="144">
        <f t="shared" si="697"/>
        <v>5514.102256438212</v>
      </c>
      <c r="BM263" s="150">
        <f t="shared" si="762"/>
        <v>1.2607279999999998</v>
      </c>
      <c r="BN263" s="150">
        <f t="shared" si="763"/>
        <v>0.19136049999999999</v>
      </c>
      <c r="BQ263" s="144">
        <f t="shared" si="698"/>
        <v>1452.0884999999998</v>
      </c>
      <c r="BR263" s="456">
        <f t="shared" si="699"/>
        <v>9.6925203591536016E-2</v>
      </c>
      <c r="BS263" s="456">
        <f t="shared" si="700"/>
        <v>0.21777091952541122</v>
      </c>
      <c r="BT263" s="456">
        <f t="shared" si="701"/>
        <v>3.1337889967071471E-3</v>
      </c>
      <c r="BU263" s="456">
        <f t="shared" si="702"/>
        <v>23.818488137438667</v>
      </c>
      <c r="BV263" s="456"/>
      <c r="BW263" s="538">
        <f t="shared" si="703"/>
        <v>2.5019999999999998</v>
      </c>
      <c r="BX263" s="144">
        <f t="shared" si="704"/>
        <v>26638.318049552323</v>
      </c>
      <c r="BY263" s="150">
        <f t="shared" si="705"/>
        <v>33.604508805990534</v>
      </c>
      <c r="BZ263" s="5">
        <f t="shared" si="706"/>
        <v>58.796999999999997</v>
      </c>
      <c r="CA263" s="150">
        <f t="shared" si="707"/>
        <v>0.63632077830517086</v>
      </c>
      <c r="CB263" s="5">
        <f t="shared" si="708"/>
        <v>63.632077830517083</v>
      </c>
      <c r="CC263">
        <f t="shared" si="709"/>
        <v>47</v>
      </c>
      <c r="CE263" s="59">
        <f t="shared" si="764"/>
        <v>-50</v>
      </c>
      <c r="CG263" s="150">
        <f t="shared" si="765"/>
        <v>0.45406313804726905</v>
      </c>
      <c r="CH263" s="150">
        <f t="shared" si="766"/>
        <v>9.9095902383094236E-2</v>
      </c>
      <c r="CI263" s="147">
        <v>47</v>
      </c>
      <c r="CJ263" s="188">
        <f t="shared" si="710"/>
        <v>1.88</v>
      </c>
      <c r="CK263" s="188">
        <f t="shared" si="651"/>
        <v>0.39949999999999997</v>
      </c>
      <c r="CL263" s="188">
        <f t="shared" si="652"/>
        <v>56.4</v>
      </c>
      <c r="CM263" s="188">
        <f t="shared" si="653"/>
        <v>2.3969999999999998</v>
      </c>
      <c r="CN263" s="465">
        <f t="shared" si="654"/>
        <v>48</v>
      </c>
      <c r="CO263" s="379">
        <f t="shared" si="767"/>
        <v>30.7</v>
      </c>
      <c r="CP263" s="379">
        <f t="shared" si="768"/>
        <v>78.7</v>
      </c>
      <c r="CQ263" s="379"/>
      <c r="CR263" s="188">
        <f t="shared" si="657"/>
        <v>0.38775510204081626</v>
      </c>
      <c r="CS263" s="149">
        <f t="shared" si="658"/>
        <v>270.50715642699197</v>
      </c>
      <c r="CT263" s="149">
        <f t="shared" si="659"/>
        <v>11.496554148147156</v>
      </c>
      <c r="CU263" s="188">
        <f t="shared" si="660"/>
        <v>9.0169052142330663</v>
      </c>
      <c r="CV263" s="188">
        <f t="shared" si="661"/>
        <v>45.084526071165328</v>
      </c>
      <c r="CW263" s="188">
        <f t="shared" si="662"/>
        <v>30</v>
      </c>
      <c r="CX263" s="188">
        <f t="shared" si="663"/>
        <v>6.3180986842105273</v>
      </c>
      <c r="CY263" s="188">
        <f t="shared" si="664"/>
        <v>0.61864716282894749</v>
      </c>
      <c r="CZ263" s="188">
        <f t="shared" si="665"/>
        <v>0.96726592233841957</v>
      </c>
      <c r="DA263" s="172">
        <f t="shared" si="666"/>
        <v>350</v>
      </c>
      <c r="DB263" s="379">
        <f t="shared" si="667"/>
        <v>350</v>
      </c>
      <c r="DD263" s="188">
        <f t="shared" si="668"/>
        <v>11.382534575916392</v>
      </c>
      <c r="DE263" s="150">
        <f t="shared" si="669"/>
        <v>1.7426030132510437</v>
      </c>
      <c r="DF263" s="150">
        <f t="shared" si="670"/>
        <v>3.3296564353233258</v>
      </c>
      <c r="DG263" s="150"/>
      <c r="DH263" s="150">
        <f t="shared" si="671"/>
        <v>0.92784522751949461</v>
      </c>
      <c r="DI263" s="314">
        <f t="shared" si="672"/>
        <v>697.06345499999986</v>
      </c>
      <c r="DJ263" s="456">
        <f t="shared" si="673"/>
        <v>0.94395997276890675</v>
      </c>
      <c r="DL263" s="150">
        <f t="shared" si="674"/>
        <v>8.4549224884509897</v>
      </c>
      <c r="DM263" s="150">
        <f t="shared" si="675"/>
        <v>8.4549224884509897</v>
      </c>
      <c r="DN263" s="150">
        <f t="shared" si="676"/>
        <v>2.9735677243295773</v>
      </c>
      <c r="DP263" s="314">
        <f t="shared" si="677"/>
        <v>1880</v>
      </c>
      <c r="DQ263" s="144">
        <f t="shared" si="678"/>
        <v>350</v>
      </c>
      <c r="DS263">
        <f t="shared" si="679"/>
        <v>1880</v>
      </c>
      <c r="DT263">
        <f t="shared" si="680"/>
        <v>350</v>
      </c>
      <c r="DV263" s="5">
        <f t="shared" si="681"/>
        <v>2.8571428571428572</v>
      </c>
      <c r="DW263" s="5">
        <f t="shared" si="682"/>
        <v>0.82787782699415946</v>
      </c>
      <c r="DX263" s="5">
        <f t="shared" si="683"/>
        <v>2.0292650301486979</v>
      </c>
      <c r="DY263" s="150">
        <f t="shared" si="684"/>
        <v>0.28975723944795578</v>
      </c>
      <c r="EA263" s="5">
        <f t="shared" si="711"/>
        <v>5.1880343824967321</v>
      </c>
      <c r="EB263" s="5">
        <f t="shared" si="712"/>
        <v>5.5122865314027774</v>
      </c>
      <c r="EC263" s="5">
        <f t="shared" si="713"/>
        <v>1.4025802414263058</v>
      </c>
      <c r="ED263" s="5"/>
      <c r="EE263" s="150">
        <f t="shared" si="714"/>
        <v>2.6276417330243649</v>
      </c>
      <c r="EF263" s="150">
        <f t="shared" si="715"/>
        <v>3.9461750586444113</v>
      </c>
      <c r="EG263" s="150">
        <f t="shared" si="716"/>
        <v>0.79211875504096863</v>
      </c>
      <c r="EH263" s="150"/>
      <c r="EI263" s="456">
        <f t="shared" si="717"/>
        <v>8.2854012925575454E-2</v>
      </c>
      <c r="EJ263" s="456">
        <f t="shared" si="718"/>
        <v>4.4249259589432679</v>
      </c>
      <c r="EK263" s="456">
        <f t="shared" si="719"/>
        <v>4.0250000000000001E-2</v>
      </c>
      <c r="EL263" s="456">
        <f t="shared" si="720"/>
        <v>1.1218321012500001</v>
      </c>
      <c r="EM263">
        <f t="shared" si="721"/>
        <v>2.1600000000000001E-2</v>
      </c>
      <c r="EN263" s="144">
        <f t="shared" si="722"/>
        <v>61.85</v>
      </c>
      <c r="EP263" s="144">
        <f t="shared" si="723"/>
        <v>5691.4620731188443</v>
      </c>
      <c r="EQ263" s="150">
        <f t="shared" si="724"/>
        <v>1.3159999999999998</v>
      </c>
      <c r="ER263" s="150">
        <f t="shared" si="769"/>
        <v>0.19136049999999999</v>
      </c>
      <c r="ES263" s="456"/>
      <c r="EU263" s="144">
        <f t="shared" si="725"/>
        <v>1507.3604999999998</v>
      </c>
      <c r="EV263" s="456">
        <f t="shared" si="726"/>
        <v>9.666301507983803E-2</v>
      </c>
      <c r="EW263" s="456">
        <f t="shared" si="727"/>
        <v>0.21801216630854112</v>
      </c>
      <c r="EX263" s="456">
        <f t="shared" si="728"/>
        <v>3.1372606104382705E-3</v>
      </c>
      <c r="EY263" s="456">
        <f t="shared" si="729"/>
        <v>23.818488137438667</v>
      </c>
      <c r="EZ263" s="456"/>
      <c r="FA263" s="538">
        <f t="shared" si="730"/>
        <v>2.5019999999999998</v>
      </c>
      <c r="FB263" s="144">
        <f t="shared" si="731"/>
        <v>26638.300579437484</v>
      </c>
      <c r="FC263" s="150">
        <f t="shared" si="732"/>
        <v>33.83712315255633</v>
      </c>
      <c r="FD263" s="5">
        <f t="shared" si="733"/>
        <v>58.796999999999997</v>
      </c>
      <c r="FE263" s="150">
        <f t="shared" si="734"/>
        <v>0.63472290770398943</v>
      </c>
      <c r="FF263" s="5">
        <f t="shared" si="735"/>
        <v>63.472290770398942</v>
      </c>
      <c r="FG263">
        <f t="shared" si="736"/>
        <v>47</v>
      </c>
      <c r="FI263" s="59">
        <f t="shared" si="686"/>
        <v>-50</v>
      </c>
    </row>
    <row r="264" spans="5:165">
      <c r="E264" s="147">
        <v>48</v>
      </c>
      <c r="F264" s="188">
        <f t="shared" si="770"/>
        <v>1.92</v>
      </c>
      <c r="G264" s="188">
        <f t="shared" si="740"/>
        <v>0.40799999999999997</v>
      </c>
      <c r="H264" s="188">
        <f t="shared" si="741"/>
        <v>57.599999999999994</v>
      </c>
      <c r="I264" s="188">
        <f t="shared" si="742"/>
        <v>2.448</v>
      </c>
      <c r="J264" s="465">
        <f t="shared" si="743"/>
        <v>47.868783072760543</v>
      </c>
      <c r="K264" s="379">
        <f t="shared" si="744"/>
        <v>30.796211680358926</v>
      </c>
      <c r="L264" s="149">
        <f t="shared" si="745"/>
        <v>78.664994753119473</v>
      </c>
      <c r="M264" s="379"/>
      <c r="N264" s="188">
        <f t="shared" si="746"/>
        <v>0.39148558742054324</v>
      </c>
      <c r="O264" s="149">
        <f t="shared" si="747"/>
        <v>272.36303554024011</v>
      </c>
      <c r="P264" s="149">
        <f t="shared" si="748"/>
        <v>11.575429010460203</v>
      </c>
      <c r="Q264" s="188">
        <f t="shared" si="624"/>
        <v>9.0787678513413361</v>
      </c>
      <c r="R264" s="188">
        <f t="shared" si="749"/>
        <v>45.393839256706684</v>
      </c>
      <c r="S264" s="188">
        <f t="shared" si="750"/>
        <v>30</v>
      </c>
      <c r="T264" s="188">
        <f t="shared" si="751"/>
        <v>6.4085588633288104</v>
      </c>
      <c r="U264" s="188">
        <f t="shared" si="628"/>
        <v>0.62922482511959132</v>
      </c>
      <c r="V264" s="188">
        <f t="shared" si="629"/>
        <v>0.97804973450209631</v>
      </c>
      <c r="W264" s="172">
        <f t="shared" si="630"/>
        <v>350</v>
      </c>
      <c r="X264" s="379">
        <f t="shared" si="688"/>
        <v>350</v>
      </c>
      <c r="Z264" s="188">
        <f t="shared" si="631"/>
        <v>11.392059975894357</v>
      </c>
      <c r="AA264" s="150">
        <f t="shared" si="632"/>
        <v>1.7386126073698764</v>
      </c>
      <c r="AB264" s="150">
        <f t="shared" si="752"/>
        <v>3.3248118389934267</v>
      </c>
      <c r="AC264" s="150"/>
      <c r="AD264" s="150">
        <f t="shared" si="634"/>
        <v>0.92494650902193354</v>
      </c>
      <c r="AE264" s="314">
        <f t="shared" si="753"/>
        <v>714.12562084099579</v>
      </c>
      <c r="AF264" s="456">
        <f t="shared" si="754"/>
        <v>0.94101090954923861</v>
      </c>
      <c r="AH264" s="150">
        <f t="shared" si="755"/>
        <v>8.5443950593410172</v>
      </c>
      <c r="AI264" s="150">
        <f t="shared" si="756"/>
        <v>8.5443950593410172</v>
      </c>
      <c r="AJ264" s="150">
        <f t="shared" si="757"/>
        <v>3.0398437027666345</v>
      </c>
      <c r="AL264" s="314">
        <f t="shared" si="758"/>
        <v>1920</v>
      </c>
      <c r="AM264" s="144">
        <f t="shared" si="759"/>
        <v>350</v>
      </c>
      <c r="AO264">
        <f t="shared" si="642"/>
        <v>1920</v>
      </c>
      <c r="AP264">
        <f t="shared" si="643"/>
        <v>350</v>
      </c>
      <c r="AR264" s="5">
        <f t="shared" si="771"/>
        <v>2.8571428571428572</v>
      </c>
      <c r="AS264" s="5">
        <f t="shared" si="737"/>
        <v>0.83893205970708773</v>
      </c>
      <c r="AT264" s="5">
        <f t="shared" si="738"/>
        <v>2.0182107974357697</v>
      </c>
      <c r="AU264" s="150">
        <f t="shared" si="739"/>
        <v>0.29362622089748069</v>
      </c>
      <c r="BA264" s="150">
        <f t="shared" si="689"/>
        <v>2.6731178789027226</v>
      </c>
      <c r="BB264" s="150">
        <f t="shared" si="690"/>
        <v>3.9770579031599098</v>
      </c>
      <c r="BC264" s="150">
        <f t="shared" si="691"/>
        <v>0.79831789217659876</v>
      </c>
      <c r="BD264" s="150"/>
      <c r="BE264" s="456">
        <f t="shared" si="692"/>
        <v>8.5746710334112686E-2</v>
      </c>
      <c r="BF264" s="456">
        <f t="shared" si="760"/>
        <v>4.2933248621681077</v>
      </c>
      <c r="BG264" s="456">
        <f t="shared" si="693"/>
        <v>4.0250000000000001E-2</v>
      </c>
      <c r="BH264" s="456">
        <f t="shared" si="694"/>
        <v>1.1208343559859435</v>
      </c>
      <c r="BI264">
        <f t="shared" si="695"/>
        <v>2.1540952382742243E-2</v>
      </c>
      <c r="BJ264" s="144">
        <f t="shared" si="696"/>
        <v>61.79095238274224</v>
      </c>
      <c r="BK264">
        <f t="shared" si="761"/>
        <v>5.6379212690604241</v>
      </c>
      <c r="BL264" s="144">
        <f t="shared" si="697"/>
        <v>5561.6968808709062</v>
      </c>
      <c r="BM264" s="150">
        <f t="shared" si="762"/>
        <v>1.2875519999999998</v>
      </c>
      <c r="BN264" s="150">
        <f t="shared" si="763"/>
        <v>0.19543199999999997</v>
      </c>
      <c r="BQ264" s="144">
        <f t="shared" si="698"/>
        <v>1482.9839999999999</v>
      </c>
      <c r="BR264" s="456">
        <f t="shared" si="699"/>
        <v>0.10003782872313147</v>
      </c>
      <c r="BS264" s="456">
        <f t="shared" si="700"/>
        <v>0.22143785391121379</v>
      </c>
      <c r="BT264" s="456">
        <f t="shared" si="701"/>
        <v>3.1865572848464381E-3</v>
      </c>
      <c r="BU264" s="456">
        <f t="shared" si="702"/>
        <v>24.453634449361605</v>
      </c>
      <c r="BV264" s="456"/>
      <c r="BW264" s="538">
        <f t="shared" si="703"/>
        <v>2.5552340425531912</v>
      </c>
      <c r="BX264" s="144">
        <f t="shared" si="704"/>
        <v>27333.530731833987</v>
      </c>
      <c r="BY264" s="150">
        <f t="shared" si="705"/>
        <v>34.378211612704895</v>
      </c>
      <c r="BZ264" s="5">
        <f t="shared" si="706"/>
        <v>60.047999999999995</v>
      </c>
      <c r="CA264" s="150">
        <f t="shared" si="707"/>
        <v>0.63592512051940286</v>
      </c>
      <c r="CB264" s="5">
        <f t="shared" si="708"/>
        <v>63.59251205194029</v>
      </c>
      <c r="CC264">
        <f t="shared" si="709"/>
        <v>48</v>
      </c>
      <c r="CE264" s="59">
        <f t="shared" si="764"/>
        <v>-50</v>
      </c>
      <c r="CG264" s="150">
        <f t="shared" si="765"/>
        <v>0.45886817279039954</v>
      </c>
      <c r="CH264" s="150">
        <f t="shared" si="766"/>
        <v>0.10014456547409166</v>
      </c>
      <c r="CI264" s="147">
        <v>48</v>
      </c>
      <c r="CJ264" s="188">
        <f t="shared" si="710"/>
        <v>1.92</v>
      </c>
      <c r="CK264" s="188">
        <f t="shared" si="651"/>
        <v>0.40799999999999997</v>
      </c>
      <c r="CL264" s="188">
        <f t="shared" si="652"/>
        <v>57.599999999999994</v>
      </c>
      <c r="CM264" s="188">
        <f t="shared" si="653"/>
        <v>2.448</v>
      </c>
      <c r="CN264" s="465">
        <f t="shared" si="654"/>
        <v>48</v>
      </c>
      <c r="CO264" s="379">
        <f t="shared" si="767"/>
        <v>30.7</v>
      </c>
      <c r="CP264" s="379">
        <f t="shared" si="768"/>
        <v>78.7</v>
      </c>
      <c r="CQ264" s="379"/>
      <c r="CR264" s="188">
        <f t="shared" si="657"/>
        <v>0.38775510204081626</v>
      </c>
      <c r="CS264" s="149">
        <f t="shared" si="658"/>
        <v>270.50715642699197</v>
      </c>
      <c r="CT264" s="149">
        <f t="shared" si="659"/>
        <v>11.496554148147156</v>
      </c>
      <c r="CU264" s="188">
        <f t="shared" si="660"/>
        <v>9.0169052142330663</v>
      </c>
      <c r="CV264" s="188">
        <f t="shared" si="661"/>
        <v>45.084526071165328</v>
      </c>
      <c r="CW264" s="188">
        <f t="shared" si="662"/>
        <v>30</v>
      </c>
      <c r="CX264" s="188">
        <f t="shared" si="663"/>
        <v>6.4525263157894743</v>
      </c>
      <c r="CY264" s="188">
        <f t="shared" si="664"/>
        <v>0.63180986842105269</v>
      </c>
      <c r="CZ264" s="188">
        <f t="shared" si="665"/>
        <v>0.98784604834561995</v>
      </c>
      <c r="DA264" s="172">
        <f t="shared" si="666"/>
        <v>350</v>
      </c>
      <c r="DB264" s="379">
        <f t="shared" si="667"/>
        <v>350</v>
      </c>
      <c r="DD264" s="188">
        <f t="shared" si="668"/>
        <v>11.382534575916392</v>
      </c>
      <c r="DE264" s="150">
        <f t="shared" si="669"/>
        <v>1.7426030132510437</v>
      </c>
      <c r="DF264" s="150">
        <f t="shared" si="670"/>
        <v>3.3296564353233258</v>
      </c>
      <c r="DG264" s="150"/>
      <c r="DH264" s="150">
        <f t="shared" si="671"/>
        <v>0.92784522751949461</v>
      </c>
      <c r="DI264" s="314">
        <f t="shared" si="672"/>
        <v>711.89459234042556</v>
      </c>
      <c r="DJ264" s="456">
        <f t="shared" si="673"/>
        <v>0.94395997276890675</v>
      </c>
      <c r="DL264" s="150">
        <f t="shared" si="674"/>
        <v>8.5443950593410172</v>
      </c>
      <c r="DM264" s="150">
        <f t="shared" si="675"/>
        <v>8.5443950593410172</v>
      </c>
      <c r="DN264" s="150">
        <f t="shared" si="676"/>
        <v>3.0398437027666345</v>
      </c>
      <c r="DP264" s="314">
        <f t="shared" si="677"/>
        <v>1920</v>
      </c>
      <c r="DQ264" s="144">
        <f t="shared" si="678"/>
        <v>350</v>
      </c>
      <c r="DS264">
        <f t="shared" si="679"/>
        <v>1920</v>
      </c>
      <c r="DT264">
        <f t="shared" si="680"/>
        <v>350</v>
      </c>
      <c r="DV264" s="5">
        <f t="shared" si="681"/>
        <v>2.8571428571428572</v>
      </c>
      <c r="DW264" s="5">
        <f t="shared" si="682"/>
        <v>0.83663868289380794</v>
      </c>
      <c r="DX264" s="5">
        <f t="shared" si="683"/>
        <v>2.0205041742490493</v>
      </c>
      <c r="DY264" s="150">
        <f t="shared" si="684"/>
        <v>0.29282353901283276</v>
      </c>
      <c r="EA264" s="5">
        <f t="shared" si="711"/>
        <v>5.3544875705203703</v>
      </c>
      <c r="EB264" s="5">
        <f t="shared" si="712"/>
        <v>5.6891430436778938</v>
      </c>
      <c r="EC264" s="5">
        <f t="shared" si="713"/>
        <v>1.4262382406463876</v>
      </c>
      <c r="ED264" s="5"/>
      <c r="EE264" s="150">
        <f t="shared" si="714"/>
        <v>2.6694616460047538</v>
      </c>
      <c r="EF264" s="150">
        <f t="shared" si="715"/>
        <v>3.9793169096895142</v>
      </c>
      <c r="EG264" s="150">
        <f t="shared" si="716"/>
        <v>0.79877134429498364</v>
      </c>
      <c r="EH264" s="150"/>
      <c r="EI264" s="456">
        <f t="shared" si="717"/>
        <v>8.551230575388491E-2</v>
      </c>
      <c r="EJ264" s="456">
        <f t="shared" si="718"/>
        <v>4.4717518762814183</v>
      </c>
      <c r="EK264" s="456">
        <f t="shared" si="719"/>
        <v>4.0250000000000001E-2</v>
      </c>
      <c r="EL264" s="456">
        <f t="shared" si="720"/>
        <v>1.1218321012500001</v>
      </c>
      <c r="EM264">
        <f t="shared" si="721"/>
        <v>2.1600000000000001E-2</v>
      </c>
      <c r="EN264" s="144">
        <f t="shared" si="722"/>
        <v>61.85</v>
      </c>
      <c r="EP264" s="144">
        <f t="shared" si="723"/>
        <v>5740.9462832853042</v>
      </c>
      <c r="EQ264" s="150">
        <f t="shared" si="724"/>
        <v>1.3439999999999999</v>
      </c>
      <c r="ER264" s="150">
        <f t="shared" si="769"/>
        <v>0.19543199999999997</v>
      </c>
      <c r="ES264" s="456"/>
      <c r="EU264" s="144">
        <f t="shared" si="725"/>
        <v>1539.432</v>
      </c>
      <c r="EV264" s="456">
        <f t="shared" si="726"/>
        <v>9.9764356712865737E-2</v>
      </c>
      <c r="EW264" s="456">
        <f t="shared" si="727"/>
        <v>0.22168948294837271</v>
      </c>
      <c r="EX264" s="456">
        <f t="shared" si="728"/>
        <v>3.1901783023340763E-3</v>
      </c>
      <c r="EY264" s="456">
        <f t="shared" si="729"/>
        <v>24.453634449361605</v>
      </c>
      <c r="EZ264" s="456"/>
      <c r="FA264" s="538">
        <f t="shared" si="730"/>
        <v>2.5552340425531912</v>
      </c>
      <c r="FB264" s="144">
        <f t="shared" si="731"/>
        <v>27333.512509878368</v>
      </c>
      <c r="FC264" s="150">
        <f t="shared" si="732"/>
        <v>34.613890793163669</v>
      </c>
      <c r="FD264" s="5">
        <f t="shared" si="733"/>
        <v>60.047999999999995</v>
      </c>
      <c r="FE264" s="150">
        <f t="shared" si="734"/>
        <v>0.63434186130092141</v>
      </c>
      <c r="FF264" s="5">
        <f t="shared" si="735"/>
        <v>63.434186130092144</v>
      </c>
      <c r="FG264">
        <f t="shared" si="736"/>
        <v>48</v>
      </c>
      <c r="FI264" s="59">
        <f t="shared" si="686"/>
        <v>-50</v>
      </c>
    </row>
    <row r="265" spans="5:165">
      <c r="E265" s="147">
        <v>49</v>
      </c>
      <c r="F265" s="188">
        <f t="shared" si="770"/>
        <v>1.96</v>
      </c>
      <c r="G265" s="188">
        <f t="shared" si="740"/>
        <v>0.41649999999999998</v>
      </c>
      <c r="H265" s="188">
        <f t="shared" si="741"/>
        <v>58.8</v>
      </c>
      <c r="I265" s="188">
        <f t="shared" si="742"/>
        <v>2.4989999999999997</v>
      </c>
      <c r="J265" s="465">
        <f t="shared" si="743"/>
        <v>47.867423275538108</v>
      </c>
      <c r="K265" s="379">
        <f t="shared" si="744"/>
        <v>30.797208719220222</v>
      </c>
      <c r="L265" s="149">
        <f t="shared" si="745"/>
        <v>78.664631994758338</v>
      </c>
      <c r="M265" s="379"/>
      <c r="N265" s="188">
        <f t="shared" si="746"/>
        <v>0.39150006728910058</v>
      </c>
      <c r="O265" s="149">
        <f t="shared" si="747"/>
        <v>272.36537218703626</v>
      </c>
      <c r="P265" s="149">
        <f t="shared" si="748"/>
        <v>11.57552831794904</v>
      </c>
      <c r="Q265" s="188">
        <f t="shared" si="624"/>
        <v>9.0788457395678748</v>
      </c>
      <c r="R265" s="188">
        <f t="shared" si="749"/>
        <v>45.394228697839374</v>
      </c>
      <c r="S265" s="188">
        <f t="shared" si="750"/>
        <v>30</v>
      </c>
      <c r="T265" s="188">
        <f t="shared" si="751"/>
        <v>6.5420143813090457</v>
      </c>
      <c r="U265" s="188">
        <f t="shared" si="628"/>
        <v>0.64234641198799436</v>
      </c>
      <c r="V265" s="188">
        <f t="shared" si="629"/>
        <v>0.99838488197027198</v>
      </c>
      <c r="W265" s="172">
        <f t="shared" si="630"/>
        <v>350</v>
      </c>
      <c r="X265" s="379">
        <f t="shared" si="688"/>
        <v>350</v>
      </c>
      <c r="Z265" s="188">
        <f t="shared" si="631"/>
        <v>11.392157710230412</v>
      </c>
      <c r="AA265" s="150">
        <f t="shared" si="632"/>
        <v>1.7385712363168551</v>
      </c>
      <c r="AB265" s="150">
        <f t="shared" si="752"/>
        <v>3.3247612470537931</v>
      </c>
      <c r="AC265" s="150"/>
      <c r="AD265" s="150">
        <f t="shared" si="634"/>
        <v>0.92491656450252846</v>
      </c>
      <c r="AE265" s="314">
        <f t="shared" si="753"/>
        <v>729.02683969409725</v>
      </c>
      <c r="AF265" s="456">
        <f t="shared" si="754"/>
        <v>0.94098044495570077</v>
      </c>
      <c r="AH265" s="150">
        <f t="shared" si="755"/>
        <v>8.6329403782528278</v>
      </c>
      <c r="AI265" s="150">
        <f t="shared" si="756"/>
        <v>8.6329403782528278</v>
      </c>
      <c r="AJ265" s="150">
        <f t="shared" si="757"/>
        <v>3.105432827886494</v>
      </c>
      <c r="AL265" s="314">
        <f t="shared" si="758"/>
        <v>1960</v>
      </c>
      <c r="AM265" s="144">
        <f t="shared" si="759"/>
        <v>350</v>
      </c>
      <c r="AO265">
        <f t="shared" si="642"/>
        <v>1960</v>
      </c>
      <c r="AP265">
        <f t="shared" si="643"/>
        <v>350</v>
      </c>
      <c r="AR265" s="5">
        <f t="shared" si="771"/>
        <v>2.8571428571428572</v>
      </c>
      <c r="AS265" s="5">
        <f t="shared" si="737"/>
        <v>0.8476499673740201</v>
      </c>
      <c r="AT265" s="5">
        <f t="shared" si="738"/>
        <v>2.0094928897688371</v>
      </c>
      <c r="AU265" s="150">
        <f t="shared" si="739"/>
        <v>0.29667748858090703</v>
      </c>
      <c r="BA265" s="150">
        <f t="shared" si="689"/>
        <v>2.7148160694213996</v>
      </c>
      <c r="BB265" s="150">
        <f t="shared" si="690"/>
        <v>4.0095839386623808</v>
      </c>
      <c r="BC265" s="150">
        <f t="shared" si="691"/>
        <v>0.80484686830303698</v>
      </c>
      <c r="BD265" s="150"/>
      <c r="BE265" s="456">
        <f t="shared" si="692"/>
        <v>8.8442715489463891E-2</v>
      </c>
      <c r="BF265" s="456">
        <f t="shared" si="760"/>
        <v>4.3377964600092715</v>
      </c>
      <c r="BG265" s="456">
        <f t="shared" si="693"/>
        <v>4.0250000000000001E-2</v>
      </c>
      <c r="BH265" s="456">
        <f t="shared" si="694"/>
        <v>1.120824018704466</v>
      </c>
      <c r="BI265">
        <f t="shared" si="695"/>
        <v>2.1540340473992149E-2</v>
      </c>
      <c r="BJ265" s="144">
        <f t="shared" si="696"/>
        <v>61.790340473992153</v>
      </c>
      <c r="BK265">
        <f t="shared" si="761"/>
        <v>5.6905233230397503</v>
      </c>
      <c r="BL265" s="144">
        <f t="shared" si="697"/>
        <v>5608.8535346771941</v>
      </c>
      <c r="BM265" s="150">
        <f t="shared" si="762"/>
        <v>1.3143759999999998</v>
      </c>
      <c r="BN265" s="150">
        <f t="shared" si="763"/>
        <v>0.19950349999999997</v>
      </c>
      <c r="BQ265" s="144">
        <f t="shared" si="698"/>
        <v>1513.8794999999998</v>
      </c>
      <c r="BR265" s="456">
        <f t="shared" si="699"/>
        <v>0.10318316807104121</v>
      </c>
      <c r="BS265" s="456">
        <f t="shared" si="700"/>
        <v>0.22507468705651065</v>
      </c>
      <c r="BT265" s="456">
        <f t="shared" si="701"/>
        <v>3.2388924070860308E-3</v>
      </c>
      <c r="BU265" s="456">
        <f t="shared" si="702"/>
        <v>25.092097655202803</v>
      </c>
      <c r="BV265" s="456"/>
      <c r="BW265" s="538">
        <f t="shared" si="703"/>
        <v>2.6084680851063831</v>
      </c>
      <c r="BX265" s="144">
        <f t="shared" si="704"/>
        <v>28032.062487843825</v>
      </c>
      <c r="BY265" s="150">
        <f t="shared" si="705"/>
        <v>35.154795522521013</v>
      </c>
      <c r="BZ265" s="5">
        <f t="shared" si="706"/>
        <v>61.298999999999999</v>
      </c>
      <c r="CA265" s="150">
        <f t="shared" si="707"/>
        <v>0.63552709012562691</v>
      </c>
      <c r="CB265" s="5">
        <f t="shared" si="708"/>
        <v>63.552709012562694</v>
      </c>
      <c r="CC265">
        <f t="shared" si="709"/>
        <v>49</v>
      </c>
      <c r="CE265" s="59">
        <f t="shared" si="764"/>
        <v>-50</v>
      </c>
      <c r="CG265" s="150">
        <f t="shared" si="765"/>
        <v>0.46362341039540561</v>
      </c>
      <c r="CH265" s="150">
        <f t="shared" si="766"/>
        <v>0.10118236071010361</v>
      </c>
      <c r="CI265" s="147">
        <v>49</v>
      </c>
      <c r="CJ265" s="188">
        <f t="shared" si="710"/>
        <v>1.96</v>
      </c>
      <c r="CK265" s="188">
        <f t="shared" si="651"/>
        <v>0.41649999999999998</v>
      </c>
      <c r="CL265" s="188">
        <f t="shared" si="652"/>
        <v>58.8</v>
      </c>
      <c r="CM265" s="188">
        <f t="shared" si="653"/>
        <v>2.4989999999999997</v>
      </c>
      <c r="CN265" s="465">
        <f t="shared" si="654"/>
        <v>48</v>
      </c>
      <c r="CO265" s="379">
        <f t="shared" si="767"/>
        <v>30.7</v>
      </c>
      <c r="CP265" s="379">
        <f t="shared" si="768"/>
        <v>78.7</v>
      </c>
      <c r="CQ265" s="379"/>
      <c r="CR265" s="188">
        <f t="shared" si="657"/>
        <v>0.38775510204081626</v>
      </c>
      <c r="CS265" s="149">
        <f t="shared" si="658"/>
        <v>270.50715642699197</v>
      </c>
      <c r="CT265" s="149">
        <f t="shared" si="659"/>
        <v>11.496554148147156</v>
      </c>
      <c r="CU265" s="188">
        <f t="shared" si="660"/>
        <v>9.0169052142330663</v>
      </c>
      <c r="CV265" s="188">
        <f t="shared" si="661"/>
        <v>45.084526071165328</v>
      </c>
      <c r="CW265" s="188">
        <f t="shared" si="662"/>
        <v>30</v>
      </c>
      <c r="CX265" s="188">
        <f t="shared" si="663"/>
        <v>6.5869539473684222</v>
      </c>
      <c r="CY265" s="188">
        <f t="shared" si="664"/>
        <v>0.64497257401315788</v>
      </c>
      <c r="CZ265" s="188">
        <f t="shared" si="665"/>
        <v>1.0084261743528204</v>
      </c>
      <c r="DA265" s="172">
        <f t="shared" si="666"/>
        <v>350</v>
      </c>
      <c r="DB265" s="379">
        <f t="shared" si="667"/>
        <v>350</v>
      </c>
      <c r="DD265" s="188">
        <f t="shared" si="668"/>
        <v>11.382534575916392</v>
      </c>
      <c r="DE265" s="150">
        <f t="shared" si="669"/>
        <v>1.7426030132510437</v>
      </c>
      <c r="DF265" s="150">
        <f t="shared" si="670"/>
        <v>3.3296564353233258</v>
      </c>
      <c r="DG265" s="150"/>
      <c r="DH265" s="150">
        <f t="shared" si="671"/>
        <v>0.92784522751949461</v>
      </c>
      <c r="DI265" s="314">
        <f t="shared" si="672"/>
        <v>726.72572968085103</v>
      </c>
      <c r="DJ265" s="456">
        <f t="shared" si="673"/>
        <v>0.94395997276890675</v>
      </c>
      <c r="DL265" s="150">
        <f t="shared" si="674"/>
        <v>8.6329403782528278</v>
      </c>
      <c r="DM265" s="150">
        <f t="shared" si="675"/>
        <v>8.6329403782528278</v>
      </c>
      <c r="DN265" s="150">
        <f t="shared" si="676"/>
        <v>3.105432827886494</v>
      </c>
      <c r="DP265" s="314">
        <f t="shared" si="677"/>
        <v>1960</v>
      </c>
      <c r="DQ265" s="144">
        <f t="shared" si="678"/>
        <v>350</v>
      </c>
      <c r="DS265">
        <f t="shared" si="679"/>
        <v>1960</v>
      </c>
      <c r="DT265">
        <f t="shared" si="680"/>
        <v>350</v>
      </c>
      <c r="DV265" s="5">
        <f t="shared" si="681"/>
        <v>2.8571428571428572</v>
      </c>
      <c r="DW265" s="5">
        <f t="shared" si="682"/>
        <v>0.84530874537058931</v>
      </c>
      <c r="DX265" s="5">
        <f t="shared" si="683"/>
        <v>2.0118341117722678</v>
      </c>
      <c r="DY265" s="150">
        <f t="shared" si="684"/>
        <v>0.29585806087970623</v>
      </c>
      <c r="EA265" s="5">
        <f t="shared" si="711"/>
        <v>5.5226838030878502</v>
      </c>
      <c r="EB265" s="5">
        <f t="shared" si="712"/>
        <v>5.8678515407808405</v>
      </c>
      <c r="EC265" s="5">
        <f t="shared" si="713"/>
        <v>1.4497039923064869</v>
      </c>
      <c r="ED265" s="5"/>
      <c r="EE265" s="150">
        <f t="shared" si="714"/>
        <v>2.7110642955369024</v>
      </c>
      <c r="EF265" s="150">
        <f t="shared" si="715"/>
        <v>4.0119190037756676</v>
      </c>
      <c r="EG265" s="150">
        <f t="shared" si="716"/>
        <v>0.80531558771943124</v>
      </c>
      <c r="EH265" s="150"/>
      <c r="EI265" s="456">
        <f t="shared" si="717"/>
        <v>8.8198435374420014E-2</v>
      </c>
      <c r="EJ265" s="456">
        <f t="shared" si="718"/>
        <v>4.5180925116605097</v>
      </c>
      <c r="EK265" s="456">
        <f t="shared" si="719"/>
        <v>4.0250000000000001E-2</v>
      </c>
      <c r="EL265" s="456">
        <f t="shared" si="720"/>
        <v>1.1218321012500001</v>
      </c>
      <c r="EM265">
        <f t="shared" si="721"/>
        <v>2.1600000000000001E-2</v>
      </c>
      <c r="EN265" s="144">
        <f t="shared" si="722"/>
        <v>61.85</v>
      </c>
      <c r="EP265" s="144">
        <f t="shared" si="723"/>
        <v>5789.9730482849309</v>
      </c>
      <c r="EQ265" s="150">
        <f t="shared" si="724"/>
        <v>1.3719999999999999</v>
      </c>
      <c r="ER265" s="150">
        <f t="shared" si="769"/>
        <v>0.19950349999999997</v>
      </c>
      <c r="ES265" s="456"/>
      <c r="EU265" s="144">
        <f t="shared" si="725"/>
        <v>1571.5035</v>
      </c>
      <c r="EV265" s="456">
        <f t="shared" si="726"/>
        <v>0.10289817460349002</v>
      </c>
      <c r="EW265" s="456">
        <f t="shared" si="727"/>
        <v>0.22533691729998884</v>
      </c>
      <c r="EX265" s="456">
        <f t="shared" si="728"/>
        <v>3.2426659791194648E-3</v>
      </c>
      <c r="EY265" s="456">
        <f t="shared" si="729"/>
        <v>25.092097655202803</v>
      </c>
      <c r="EZ265" s="456"/>
      <c r="FA265" s="538">
        <f t="shared" si="730"/>
        <v>2.6084680851063831</v>
      </c>
      <c r="FB265" s="144">
        <f t="shared" si="731"/>
        <v>28032.043498191786</v>
      </c>
      <c r="FC265" s="150">
        <f t="shared" si="732"/>
        <v>35.393520046476709</v>
      </c>
      <c r="FD265" s="5">
        <f t="shared" si="733"/>
        <v>61.298999999999999</v>
      </c>
      <c r="FE265" s="150">
        <f t="shared" si="734"/>
        <v>0.63395803491868563</v>
      </c>
      <c r="FF265" s="5">
        <f t="shared" si="735"/>
        <v>63.395803491868563</v>
      </c>
      <c r="FG265">
        <f t="shared" si="736"/>
        <v>49</v>
      </c>
      <c r="FI265" s="59">
        <f t="shared" si="686"/>
        <v>-50</v>
      </c>
    </row>
    <row r="266" spans="5:165">
      <c r="E266" s="147">
        <v>50</v>
      </c>
      <c r="F266" s="188">
        <f t="shared" si="770"/>
        <v>2</v>
      </c>
      <c r="G266" s="188">
        <f t="shared" si="740"/>
        <v>0.42499999999999999</v>
      </c>
      <c r="H266" s="188">
        <f t="shared" si="741"/>
        <v>60</v>
      </c>
      <c r="I266" s="188">
        <f t="shared" si="742"/>
        <v>2.5499999999999998</v>
      </c>
      <c r="J266" s="465">
        <f t="shared" si="743"/>
        <v>47.866077284436422</v>
      </c>
      <c r="K266" s="379">
        <f t="shared" si="744"/>
        <v>30.798195635072968</v>
      </c>
      <c r="L266" s="149">
        <f t="shared" si="745"/>
        <v>78.664272919509386</v>
      </c>
      <c r="M266" s="379"/>
      <c r="N266" s="188">
        <f t="shared" si="746"/>
        <v>0.39151440027401263</v>
      </c>
      <c r="O266" s="149">
        <f t="shared" si="747"/>
        <v>272.36768463753606</v>
      </c>
      <c r="P266" s="149">
        <f t="shared" si="748"/>
        <v>11.575626597095281</v>
      </c>
      <c r="Q266" s="188">
        <f t="shared" si="624"/>
        <v>9.0789228212512025</v>
      </c>
      <c r="R266" s="188">
        <f t="shared" si="749"/>
        <v>45.394614106256007</v>
      </c>
      <c r="S266" s="188">
        <f t="shared" si="750"/>
        <v>30</v>
      </c>
      <c r="T266" s="188">
        <f t="shared" si="751"/>
        <v>6.6754682024831062</v>
      </c>
      <c r="U266" s="188">
        <f t="shared" si="628"/>
        <v>0.65546838871360846</v>
      </c>
      <c r="V266" s="188">
        <f t="shared" si="629"/>
        <v>1.0187187887053066</v>
      </c>
      <c r="W266" s="172">
        <f t="shared" si="630"/>
        <v>350</v>
      </c>
      <c r="X266" s="379">
        <f t="shared" si="688"/>
        <v>350</v>
      </c>
      <c r="Z266" s="188">
        <f t="shared" si="631"/>
        <v>11.392254432514081</v>
      </c>
      <c r="AA266" s="150">
        <f t="shared" si="632"/>
        <v>1.7385302849313924</v>
      </c>
      <c r="AB266" s="150">
        <f t="shared" si="752"/>
        <v>3.3247111609589295</v>
      </c>
      <c r="AC266" s="150"/>
      <c r="AD266" s="150">
        <f t="shared" si="634"/>
        <v>0.92488692592139887</v>
      </c>
      <c r="AE266" s="314">
        <f t="shared" si="753"/>
        <v>743.92877736329206</v>
      </c>
      <c r="AF266" s="456">
        <f t="shared" si="754"/>
        <v>0.94095029161395127</v>
      </c>
      <c r="AH266" s="150">
        <f t="shared" si="755"/>
        <v>8.7205866900596192</v>
      </c>
      <c r="AI266" s="150">
        <f t="shared" si="756"/>
        <v>8.7205866900596192</v>
      </c>
      <c r="AJ266" s="150">
        <f t="shared" si="757"/>
        <v>3.1703560218174509</v>
      </c>
      <c r="AL266" s="314">
        <f t="shared" si="758"/>
        <v>2000</v>
      </c>
      <c r="AM266" s="144">
        <f t="shared" si="759"/>
        <v>350</v>
      </c>
      <c r="AO266">
        <f t="shared" si="642"/>
        <v>2000</v>
      </c>
      <c r="AP266">
        <f t="shared" si="643"/>
        <v>350</v>
      </c>
      <c r="AR266" s="5">
        <f t="shared" si="771"/>
        <v>2.8571428571428572</v>
      </c>
      <c r="AS266" s="5">
        <f t="shared" si="737"/>
        <v>0.85627984929124301</v>
      </c>
      <c r="AT266" s="5">
        <f t="shared" si="738"/>
        <v>2.0008630078516143</v>
      </c>
      <c r="AU266" s="150">
        <f t="shared" si="739"/>
        <v>0.29969794725193505</v>
      </c>
      <c r="BA266" s="150">
        <f t="shared" si="689"/>
        <v>2.7563030171653971</v>
      </c>
      <c r="BB266" s="150">
        <f t="shared" si="690"/>
        <v>4.0415849567355711</v>
      </c>
      <c r="BC266" s="150">
        <f t="shared" si="691"/>
        <v>0.81127045727703617</v>
      </c>
      <c r="BD266" s="150"/>
      <c r="BE266" s="456">
        <f t="shared" si="692"/>
        <v>9.1166475869220859E-2</v>
      </c>
      <c r="BF266" s="456">
        <f t="shared" si="760"/>
        <v>4.3818161303500185</v>
      </c>
      <c r="BG266" s="456">
        <f t="shared" si="693"/>
        <v>4.0250000000000001E-2</v>
      </c>
      <c r="BH266" s="456">
        <f t="shared" si="694"/>
        <v>1.12081378642511</v>
      </c>
      <c r="BI266">
        <f t="shared" si="695"/>
        <v>2.1539734777996391E-2</v>
      </c>
      <c r="BJ266" s="144">
        <f t="shared" si="696"/>
        <v>61.789734777996387</v>
      </c>
      <c r="BK266">
        <f t="shared" si="761"/>
        <v>5.7428071755793022</v>
      </c>
      <c r="BL266" s="144">
        <f t="shared" si="697"/>
        <v>5655.5861274223462</v>
      </c>
      <c r="BM266" s="150">
        <f t="shared" si="762"/>
        <v>1.3411999999999999</v>
      </c>
      <c r="BN266" s="150">
        <f t="shared" si="763"/>
        <v>0.20357499999999998</v>
      </c>
      <c r="BQ266" s="144">
        <f t="shared" si="698"/>
        <v>1544.7750000000001</v>
      </c>
      <c r="BR266" s="456">
        <f t="shared" si="699"/>
        <v>0.10636088851409101</v>
      </c>
      <c r="BS266" s="456">
        <f t="shared" si="700"/>
        <v>0.22868172547515778</v>
      </c>
      <c r="BT266" s="456">
        <f t="shared" si="701"/>
        <v>3.290798774252457E-3</v>
      </c>
      <c r="BU266" s="456">
        <f t="shared" si="702"/>
        <v>25.733826849286221</v>
      </c>
      <c r="BV266" s="456"/>
      <c r="BW266" s="538">
        <f t="shared" si="703"/>
        <v>2.6617021276595745</v>
      </c>
      <c r="BX266" s="144">
        <f t="shared" si="704"/>
        <v>28733.862389709295</v>
      </c>
      <c r="BY266" s="150">
        <f t="shared" si="705"/>
        <v>35.934223517131642</v>
      </c>
      <c r="BZ266" s="5">
        <f t="shared" si="706"/>
        <v>62.55</v>
      </c>
      <c r="CA266" s="150">
        <f t="shared" si="707"/>
        <v>0.6351271073292184</v>
      </c>
      <c r="CB266" s="5">
        <f t="shared" si="708"/>
        <v>63.512710732921839</v>
      </c>
      <c r="CC266">
        <f t="shared" si="709"/>
        <v>50</v>
      </c>
      <c r="CE266" s="59">
        <f t="shared" si="764"/>
        <v>-50</v>
      </c>
      <c r="CG266" s="150">
        <f t="shared" si="765"/>
        <v>0.46833036772489284</v>
      </c>
      <c r="CH266" s="150">
        <f t="shared" si="766"/>
        <v>0.1022096191351108</v>
      </c>
      <c r="CI266" s="147">
        <v>50</v>
      </c>
      <c r="CJ266" s="188">
        <f t="shared" si="710"/>
        <v>2</v>
      </c>
      <c r="CK266" s="188">
        <f t="shared" si="651"/>
        <v>0.42499999999999999</v>
      </c>
      <c r="CL266" s="188">
        <f t="shared" si="652"/>
        <v>60</v>
      </c>
      <c r="CM266" s="188">
        <f t="shared" si="653"/>
        <v>2.5499999999999998</v>
      </c>
      <c r="CN266" s="465">
        <f t="shared" si="654"/>
        <v>48</v>
      </c>
      <c r="CO266" s="379">
        <f t="shared" si="767"/>
        <v>30.7</v>
      </c>
      <c r="CP266" s="379">
        <f t="shared" si="768"/>
        <v>78.7</v>
      </c>
      <c r="CQ266" s="379"/>
      <c r="CR266" s="188">
        <f t="shared" si="657"/>
        <v>0.38775510204081626</v>
      </c>
      <c r="CS266" s="149">
        <f t="shared" si="658"/>
        <v>270.50715642699197</v>
      </c>
      <c r="CT266" s="149">
        <f t="shared" si="659"/>
        <v>11.496554148147156</v>
      </c>
      <c r="CU266" s="188">
        <f t="shared" si="660"/>
        <v>9.0169052142330663</v>
      </c>
      <c r="CV266" s="188">
        <f t="shared" si="661"/>
        <v>45.084526071165328</v>
      </c>
      <c r="CW266" s="188">
        <f t="shared" si="662"/>
        <v>30</v>
      </c>
      <c r="CX266" s="188">
        <f t="shared" si="663"/>
        <v>6.7213815789473692</v>
      </c>
      <c r="CY266" s="188">
        <f t="shared" si="664"/>
        <v>0.65813527960526319</v>
      </c>
      <c r="CZ266" s="188">
        <f t="shared" si="665"/>
        <v>1.0290063003600207</v>
      </c>
      <c r="DA266" s="172">
        <f t="shared" si="666"/>
        <v>350</v>
      </c>
      <c r="DB266" s="379">
        <f t="shared" si="667"/>
        <v>350</v>
      </c>
      <c r="DD266" s="188">
        <f t="shared" si="668"/>
        <v>11.382534575916392</v>
      </c>
      <c r="DE266" s="150">
        <f t="shared" si="669"/>
        <v>1.7426030132510437</v>
      </c>
      <c r="DF266" s="150">
        <f t="shared" si="670"/>
        <v>3.3296564353233258</v>
      </c>
      <c r="DG266" s="150"/>
      <c r="DH266" s="150">
        <f t="shared" si="671"/>
        <v>0.92784522751949461</v>
      </c>
      <c r="DI266" s="314">
        <f t="shared" si="672"/>
        <v>741.5568670212765</v>
      </c>
      <c r="DJ266" s="456">
        <f t="shared" si="673"/>
        <v>0.94395997276890675</v>
      </c>
      <c r="DL266" s="150">
        <f t="shared" si="674"/>
        <v>8.7205866900596192</v>
      </c>
      <c r="DM266" s="150">
        <f t="shared" si="675"/>
        <v>8.7205866900596192</v>
      </c>
      <c r="DN266" s="150">
        <f t="shared" si="676"/>
        <v>3.1703560218174509</v>
      </c>
      <c r="DP266" s="314">
        <f t="shared" si="677"/>
        <v>2000</v>
      </c>
      <c r="DQ266" s="144">
        <f t="shared" si="678"/>
        <v>350</v>
      </c>
      <c r="DS266">
        <f t="shared" si="679"/>
        <v>2000</v>
      </c>
      <c r="DT266">
        <f t="shared" si="680"/>
        <v>350</v>
      </c>
      <c r="DV266" s="5">
        <f t="shared" si="681"/>
        <v>2.8571428571428572</v>
      </c>
      <c r="DW266" s="5">
        <f t="shared" si="682"/>
        <v>0.85389078006833763</v>
      </c>
      <c r="DX266" s="5">
        <f t="shared" si="683"/>
        <v>2.0032520770745195</v>
      </c>
      <c r="DY266" s="150">
        <f t="shared" si="684"/>
        <v>0.29886177302391814</v>
      </c>
      <c r="EA266" s="5">
        <f t="shared" si="711"/>
        <v>5.692605200455584</v>
      </c>
      <c r="EB266" s="5">
        <f t="shared" si="712"/>
        <v>6.0483930254840583</v>
      </c>
      <c r="EC266" s="5">
        <f t="shared" si="713"/>
        <v>1.4729794684371464</v>
      </c>
      <c r="ED266" s="5"/>
      <c r="EE266" s="150">
        <f t="shared" si="714"/>
        <v>2.75245521071448</v>
      </c>
      <c r="EF266" s="150">
        <f t="shared" si="715"/>
        <v>4.0439971023103141</v>
      </c>
      <c r="EG266" s="150">
        <f t="shared" si="716"/>
        <v>0.81175464911375106</v>
      </c>
      <c r="EH266" s="150"/>
      <c r="EI266" s="456">
        <f t="shared" si="717"/>
        <v>9.0912116243871507E-2</v>
      </c>
      <c r="EJ266" s="456">
        <f t="shared" si="718"/>
        <v>4.5639626471761527</v>
      </c>
      <c r="EK266" s="456">
        <f t="shared" si="719"/>
        <v>4.0250000000000001E-2</v>
      </c>
      <c r="EL266" s="456">
        <f t="shared" si="720"/>
        <v>1.1218321012500001</v>
      </c>
      <c r="EM266">
        <f t="shared" si="721"/>
        <v>2.1600000000000001E-2</v>
      </c>
      <c r="EN266" s="144">
        <f t="shared" si="722"/>
        <v>61.85</v>
      </c>
      <c r="EP266" s="144">
        <f t="shared" si="723"/>
        <v>5838.5568646700249</v>
      </c>
      <c r="EQ266" s="150">
        <f t="shared" si="724"/>
        <v>1.4</v>
      </c>
      <c r="ER266" s="150">
        <f t="shared" si="769"/>
        <v>0.20357499999999998</v>
      </c>
      <c r="ES266" s="456"/>
      <c r="EU266" s="144">
        <f t="shared" si="725"/>
        <v>1603.575</v>
      </c>
      <c r="EV266" s="456">
        <f t="shared" si="726"/>
        <v>0.10606413561785009</v>
      </c>
      <c r="EW266" s="456">
        <f t="shared" si="727"/>
        <v>0.22895477588891902</v>
      </c>
      <c r="EX266" s="456">
        <f t="shared" si="728"/>
        <v>3.2947280517889453E-3</v>
      </c>
      <c r="EY266" s="456">
        <f t="shared" si="729"/>
        <v>25.733826849286221</v>
      </c>
      <c r="EZ266" s="456"/>
      <c r="FA266" s="538">
        <f t="shared" si="730"/>
        <v>2.6617021276595745</v>
      </c>
      <c r="FB266" s="144">
        <f t="shared" si="731"/>
        <v>28733.842616504349</v>
      </c>
      <c r="FC266" s="150">
        <f t="shared" si="732"/>
        <v>36.175974481174379</v>
      </c>
      <c r="FD266" s="5">
        <f t="shared" si="733"/>
        <v>62.55</v>
      </c>
      <c r="FE266" s="150">
        <f t="shared" si="734"/>
        <v>0.63357186726910841</v>
      </c>
      <c r="FF266" s="5">
        <f t="shared" si="735"/>
        <v>63.35718672691084</v>
      </c>
      <c r="FG266">
        <f t="shared" si="736"/>
        <v>50</v>
      </c>
      <c r="FI266" s="59">
        <f t="shared" si="686"/>
        <v>-50</v>
      </c>
    </row>
    <row r="267" spans="5:165">
      <c r="E267" s="147">
        <v>51</v>
      </c>
      <c r="F267" s="188">
        <f t="shared" si="770"/>
        <v>2.04</v>
      </c>
      <c r="G267" s="188">
        <f t="shared" si="740"/>
        <v>0.4335</v>
      </c>
      <c r="H267" s="188">
        <f t="shared" si="741"/>
        <v>61.2</v>
      </c>
      <c r="I267" s="188">
        <f t="shared" si="742"/>
        <v>2.601</v>
      </c>
      <c r="J267" s="465">
        <f t="shared" si="743"/>
        <v>47.864744687280677</v>
      </c>
      <c r="K267" s="379">
        <f t="shared" si="744"/>
        <v>30.799172730134501</v>
      </c>
      <c r="L267" s="149">
        <f t="shared" si="745"/>
        <v>78.663917417415178</v>
      </c>
      <c r="M267" s="379"/>
      <c r="N267" s="188">
        <f t="shared" si="746"/>
        <v>0.39152859076041846</v>
      </c>
      <c r="O267" s="149">
        <f t="shared" si="747"/>
        <v>272.36997361410113</v>
      </c>
      <c r="P267" s="149">
        <f t="shared" si="748"/>
        <v>11.575723878599298</v>
      </c>
      <c r="Q267" s="188">
        <f t="shared" si="624"/>
        <v>9.0789991204700371</v>
      </c>
      <c r="R267" s="188">
        <f t="shared" si="749"/>
        <v>45.394995602350185</v>
      </c>
      <c r="S267" s="188">
        <f t="shared" si="750"/>
        <v>30</v>
      </c>
      <c r="T267" s="188">
        <f t="shared" si="751"/>
        <v>6.8089203444026074</v>
      </c>
      <c r="U267" s="188">
        <f t="shared" si="628"/>
        <v>0.66859075145545022</v>
      </c>
      <c r="V267" s="188">
        <f t="shared" si="629"/>
        <v>1.0390514673590878</v>
      </c>
      <c r="W267" s="172">
        <f t="shared" si="630"/>
        <v>350</v>
      </c>
      <c r="X267" s="379">
        <f t="shared" si="688"/>
        <v>350</v>
      </c>
      <c r="Z267" s="188">
        <f t="shared" si="631"/>
        <v>11.392350172959411</v>
      </c>
      <c r="AA267" s="150">
        <f t="shared" si="632"/>
        <v>1.7384897406845188</v>
      </c>
      <c r="AB267" s="150">
        <f t="shared" si="752"/>
        <v>3.3246615656073875</v>
      </c>
      <c r="AC267" s="150"/>
      <c r="AD267" s="150">
        <f t="shared" si="634"/>
        <v>0.92485758414473129</v>
      </c>
      <c r="AE267" s="314">
        <f t="shared" si="753"/>
        <v>758.83142662338093</v>
      </c>
      <c r="AF267" s="456">
        <f t="shared" si="754"/>
        <v>0.94092044023154109</v>
      </c>
      <c r="AH267" s="150">
        <f t="shared" si="755"/>
        <v>8.8073608341671736</v>
      </c>
      <c r="AI267" s="150">
        <f t="shared" si="756"/>
        <v>8.8073608341671736</v>
      </c>
      <c r="AJ267" s="150">
        <f t="shared" si="757"/>
        <v>3.2346331656008243</v>
      </c>
      <c r="AL267" s="314">
        <f t="shared" si="758"/>
        <v>2040</v>
      </c>
      <c r="AM267" s="144">
        <f t="shared" si="759"/>
        <v>350</v>
      </c>
      <c r="AO267">
        <f t="shared" si="642"/>
        <v>2040</v>
      </c>
      <c r="AP267">
        <f t="shared" si="643"/>
        <v>350</v>
      </c>
      <c r="AR267" s="5">
        <f t="shared" si="771"/>
        <v>2.8571428571428572</v>
      </c>
      <c r="AS267" s="5">
        <f t="shared" si="737"/>
        <v>0.86482433346365872</v>
      </c>
      <c r="AT267" s="5">
        <f t="shared" si="738"/>
        <v>1.9923185236791985</v>
      </c>
      <c r="AU267" s="150">
        <f t="shared" si="739"/>
        <v>0.30268851671228053</v>
      </c>
      <c r="BA267" s="150">
        <f t="shared" si="689"/>
        <v>2.7975839956413786</v>
      </c>
      <c r="BB267" s="150">
        <f t="shared" si="690"/>
        <v>4.0730759387292919</v>
      </c>
      <c r="BC267" s="150">
        <f t="shared" si="691"/>
        <v>0.81759166631646818</v>
      </c>
      <c r="BD267" s="150"/>
      <c r="BE267" s="456">
        <f t="shared" si="692"/>
        <v>9.3917714552025369E-2</v>
      </c>
      <c r="BF267" s="456">
        <f t="shared" si="760"/>
        <v>4.4253973652589886</v>
      </c>
      <c r="BG267" s="456">
        <f t="shared" si="693"/>
        <v>4.0250000000000001E-2</v>
      </c>
      <c r="BH267" s="456">
        <f t="shared" si="694"/>
        <v>1.1208036560130903</v>
      </c>
      <c r="BI267">
        <f t="shared" si="695"/>
        <v>2.1539135109276304E-2</v>
      </c>
      <c r="BJ267" s="144">
        <f t="shared" si="696"/>
        <v>61.789135109276302</v>
      </c>
      <c r="BK267">
        <f t="shared" si="761"/>
        <v>5.7947862998924933</v>
      </c>
      <c r="BL267" s="144">
        <f t="shared" si="697"/>
        <v>5701.9078709333817</v>
      </c>
      <c r="BM267" s="150">
        <f t="shared" si="762"/>
        <v>1.3680239999999999</v>
      </c>
      <c r="BN267" s="150">
        <f t="shared" si="763"/>
        <v>0.20764649999999998</v>
      </c>
      <c r="BQ267" s="144">
        <f t="shared" si="698"/>
        <v>1575.6704999999999</v>
      </c>
      <c r="BR267" s="456">
        <f t="shared" si="699"/>
        <v>0.10957066697736294</v>
      </c>
      <c r="BS267" s="456">
        <f t="shared" si="700"/>
        <v>0.23225926643717704</v>
      </c>
      <c r="BT267" s="456">
        <f t="shared" si="701"/>
        <v>3.3422806641506954E-3</v>
      </c>
      <c r="BU267" s="456">
        <f t="shared" si="702"/>
        <v>26.378772912477022</v>
      </c>
      <c r="BV267" s="456"/>
      <c r="BW267" s="538">
        <f t="shared" si="703"/>
        <v>2.7149361702127668</v>
      </c>
      <c r="BX267" s="144">
        <f t="shared" si="704"/>
        <v>29438.881296768479</v>
      </c>
      <c r="BY267" s="150">
        <f t="shared" si="705"/>
        <v>36.716459667701862</v>
      </c>
      <c r="BZ267" s="5">
        <f t="shared" si="706"/>
        <v>63.801000000000002</v>
      </c>
      <c r="CA267" s="150">
        <f t="shared" si="707"/>
        <v>0.63472555127157126</v>
      </c>
      <c r="CB267" s="5">
        <f t="shared" si="708"/>
        <v>63.472555127157129</v>
      </c>
      <c r="CC267">
        <f t="shared" si="709"/>
        <v>51</v>
      </c>
      <c r="CE267" s="59">
        <f t="shared" si="764"/>
        <v>-50</v>
      </c>
      <c r="CG267" s="150">
        <f t="shared" si="765"/>
        <v>0.47299048616224831</v>
      </c>
      <c r="CH267" s="150">
        <f t="shared" si="766"/>
        <v>0.10322665532031587</v>
      </c>
      <c r="CI267" s="147">
        <v>51</v>
      </c>
      <c r="CJ267" s="188">
        <f t="shared" si="710"/>
        <v>2.04</v>
      </c>
      <c r="CK267" s="188">
        <f t="shared" si="651"/>
        <v>0.4335</v>
      </c>
      <c r="CL267" s="188">
        <f t="shared" si="652"/>
        <v>61.2</v>
      </c>
      <c r="CM267" s="188">
        <f t="shared" si="653"/>
        <v>2.601</v>
      </c>
      <c r="CN267" s="465">
        <f t="shared" si="654"/>
        <v>48</v>
      </c>
      <c r="CO267" s="379">
        <f t="shared" si="767"/>
        <v>30.7</v>
      </c>
      <c r="CP267" s="379">
        <f t="shared" si="768"/>
        <v>78.7</v>
      </c>
      <c r="CQ267" s="379"/>
      <c r="CR267" s="188">
        <f t="shared" si="657"/>
        <v>0.38775510204081626</v>
      </c>
      <c r="CS267" s="149">
        <f t="shared" si="658"/>
        <v>270.50715642699197</v>
      </c>
      <c r="CT267" s="149">
        <f t="shared" si="659"/>
        <v>11.496554148147156</v>
      </c>
      <c r="CU267" s="188">
        <f t="shared" si="660"/>
        <v>9.0169052142330663</v>
      </c>
      <c r="CV267" s="188">
        <f t="shared" si="661"/>
        <v>45.084526071165328</v>
      </c>
      <c r="CW267" s="188">
        <f t="shared" si="662"/>
        <v>30</v>
      </c>
      <c r="CX267" s="188">
        <f t="shared" si="663"/>
        <v>6.855809210526318</v>
      </c>
      <c r="CY267" s="188">
        <f t="shared" si="664"/>
        <v>0.67129798519736861</v>
      </c>
      <c r="CZ267" s="188">
        <f t="shared" si="665"/>
        <v>1.0495864263672214</v>
      </c>
      <c r="DA267" s="172">
        <f t="shared" si="666"/>
        <v>350</v>
      </c>
      <c r="DB267" s="379">
        <f t="shared" si="667"/>
        <v>350</v>
      </c>
      <c r="DD267" s="188">
        <f t="shared" si="668"/>
        <v>11.382534575916392</v>
      </c>
      <c r="DE267" s="150">
        <f t="shared" si="669"/>
        <v>1.7426030132510437</v>
      </c>
      <c r="DF267" s="150">
        <f t="shared" si="670"/>
        <v>3.3296564353233258</v>
      </c>
      <c r="DG267" s="150"/>
      <c r="DH267" s="150">
        <f t="shared" si="671"/>
        <v>0.92784522751949461</v>
      </c>
      <c r="DI267" s="314">
        <f t="shared" si="672"/>
        <v>756.3880043617022</v>
      </c>
      <c r="DJ267" s="456">
        <f t="shared" si="673"/>
        <v>0.94395997276890675</v>
      </c>
      <c r="DL267" s="150">
        <f t="shared" si="674"/>
        <v>8.8073608341671736</v>
      </c>
      <c r="DM267" s="150">
        <f t="shared" si="675"/>
        <v>8.8073608341671736</v>
      </c>
      <c r="DN267" s="150">
        <f t="shared" si="676"/>
        <v>3.2346331656008243</v>
      </c>
      <c r="DP267" s="314">
        <f t="shared" si="677"/>
        <v>2040</v>
      </c>
      <c r="DQ267" s="144">
        <f t="shared" si="678"/>
        <v>350</v>
      </c>
      <c r="DS267">
        <f t="shared" si="679"/>
        <v>2040</v>
      </c>
      <c r="DT267">
        <f t="shared" si="680"/>
        <v>350</v>
      </c>
      <c r="DV267" s="5">
        <f t="shared" si="681"/>
        <v>2.8571428571428572</v>
      </c>
      <c r="DW267" s="5">
        <f t="shared" si="682"/>
        <v>0.8623874150122024</v>
      </c>
      <c r="DX267" s="5">
        <f t="shared" si="683"/>
        <v>1.9947554421306548</v>
      </c>
      <c r="DY267" s="150">
        <f t="shared" si="684"/>
        <v>0.30183559525427084</v>
      </c>
      <c r="EA267" s="5">
        <f t="shared" si="711"/>
        <v>5.8642344220829763</v>
      </c>
      <c r="EB267" s="5">
        <f t="shared" si="712"/>
        <v>6.2307490734631621</v>
      </c>
      <c r="EC267" s="5">
        <f t="shared" si="713"/>
        <v>1.496066581597991</v>
      </c>
      <c r="ED267" s="5"/>
      <c r="EE267" s="150">
        <f t="shared" si="714"/>
        <v>2.7936396723944892</v>
      </c>
      <c r="EF267" s="150">
        <f t="shared" si="715"/>
        <v>4.0755661832502375</v>
      </c>
      <c r="EG267" s="150">
        <f t="shared" si="716"/>
        <v>0.81809153501473031</v>
      </c>
      <c r="EH267" s="150"/>
      <c r="EI267" s="456">
        <f t="shared" si="717"/>
        <v>9.3653071430116669E-2</v>
      </c>
      <c r="EJ267" s="456">
        <f t="shared" si="718"/>
        <v>4.6093763293655616</v>
      </c>
      <c r="EK267" s="456">
        <f t="shared" si="719"/>
        <v>4.0250000000000001E-2</v>
      </c>
      <c r="EL267" s="456">
        <f t="shared" si="720"/>
        <v>1.1218321012500001</v>
      </c>
      <c r="EM267">
        <f t="shared" si="721"/>
        <v>2.1600000000000001E-2</v>
      </c>
      <c r="EN267" s="144">
        <f t="shared" si="722"/>
        <v>61.85</v>
      </c>
      <c r="EP267" s="144">
        <f t="shared" si="723"/>
        <v>5886.7115020456786</v>
      </c>
      <c r="EQ267" s="150">
        <f t="shared" si="724"/>
        <v>1.4279999999999999</v>
      </c>
      <c r="ER267" s="150">
        <f t="shared" si="769"/>
        <v>0.20764649999999998</v>
      </c>
      <c r="ES267" s="456"/>
      <c r="EU267" s="144">
        <f t="shared" si="725"/>
        <v>1635.6465000000001</v>
      </c>
      <c r="EV267" s="456">
        <f t="shared" si="726"/>
        <v>0.10926191666846945</v>
      </c>
      <c r="EW267" s="456">
        <f t="shared" si="727"/>
        <v>0.23254335599674072</v>
      </c>
      <c r="EX267" s="456">
        <f t="shared" si="728"/>
        <v>3.3463687983137885E-3</v>
      </c>
      <c r="EY267" s="456">
        <f t="shared" si="729"/>
        <v>26.378772912477022</v>
      </c>
      <c r="EZ267" s="456"/>
      <c r="FA267" s="538">
        <f t="shared" si="730"/>
        <v>2.7149361702127668</v>
      </c>
      <c r="FB267" s="144">
        <f t="shared" si="731"/>
        <v>29438.86072415331</v>
      </c>
      <c r="FC267" s="150">
        <f t="shared" si="732"/>
        <v>36.961218726198993</v>
      </c>
      <c r="FD267" s="5">
        <f t="shared" si="733"/>
        <v>63.801000000000002</v>
      </c>
      <c r="FE267" s="150">
        <f t="shared" si="734"/>
        <v>0.63318375484928879</v>
      </c>
      <c r="FF267" s="5">
        <f t="shared" si="735"/>
        <v>63.318375484928879</v>
      </c>
      <c r="FG267">
        <f t="shared" si="736"/>
        <v>51</v>
      </c>
      <c r="FI267" s="59">
        <f t="shared" si="686"/>
        <v>-50</v>
      </c>
    </row>
    <row r="268" spans="5:165">
      <c r="E268" s="147">
        <v>52</v>
      </c>
      <c r="F268" s="188">
        <f t="shared" si="770"/>
        <v>2.08</v>
      </c>
      <c r="G268" s="188">
        <f t="shared" si="740"/>
        <v>0.442</v>
      </c>
      <c r="H268" s="188">
        <f t="shared" si="741"/>
        <v>62.400000000000006</v>
      </c>
      <c r="I268" s="188">
        <f t="shared" si="742"/>
        <v>2.6520000000000001</v>
      </c>
      <c r="J268" s="465">
        <f t="shared" si="743"/>
        <v>47.863425092005599</v>
      </c>
      <c r="K268" s="379">
        <f t="shared" si="744"/>
        <v>30.800140291877341</v>
      </c>
      <c r="L268" s="149">
        <f t="shared" si="745"/>
        <v>78.66356538388294</v>
      </c>
      <c r="M268" s="379"/>
      <c r="N268" s="188">
        <f t="shared" si="746"/>
        <v>0.39154264291951174</v>
      </c>
      <c r="O268" s="149">
        <f t="shared" si="747"/>
        <v>272.37223980385073</v>
      </c>
      <c r="P268" s="149">
        <f t="shared" si="748"/>
        <v>11.575820191663654</v>
      </c>
      <c r="Q268" s="188">
        <f t="shared" si="624"/>
        <v>9.0790746601283576</v>
      </c>
      <c r="R268" s="188">
        <f t="shared" si="749"/>
        <v>45.395373300641786</v>
      </c>
      <c r="S268" s="188">
        <f t="shared" si="750"/>
        <v>30</v>
      </c>
      <c r="T268" s="188">
        <f t="shared" si="751"/>
        <v>6.9423708241002551</v>
      </c>
      <c r="U268" s="188">
        <f t="shared" si="628"/>
        <v>0.68171349648609014</v>
      </c>
      <c r="V268" s="188">
        <f t="shared" si="629"/>
        <v>1.0593829302094513</v>
      </c>
      <c r="W268" s="172">
        <f t="shared" si="630"/>
        <v>350</v>
      </c>
      <c r="X268" s="379">
        <f t="shared" si="688"/>
        <v>350</v>
      </c>
      <c r="Z268" s="188">
        <f t="shared" si="631"/>
        <v>11.392444960306351</v>
      </c>
      <c r="AA268" s="150">
        <f t="shared" si="632"/>
        <v>1.7384495916585383</v>
      </c>
      <c r="AB268" s="150">
        <f t="shared" si="752"/>
        <v>3.3246124466344993</v>
      </c>
      <c r="AC268" s="150"/>
      <c r="AD268" s="150">
        <f t="shared" si="634"/>
        <v>0.92482853048434166</v>
      </c>
      <c r="AE268" s="314">
        <f t="shared" si="753"/>
        <v>773.73478046276102</v>
      </c>
      <c r="AF268" s="456">
        <f t="shared" si="754"/>
        <v>0.94089088196939052</v>
      </c>
      <c r="AH268" s="150">
        <f t="shared" si="755"/>
        <v>8.8932883405183034</v>
      </c>
      <c r="AI268" s="150">
        <f t="shared" si="756"/>
        <v>8.8932883405183034</v>
      </c>
      <c r="AJ268" s="150">
        <f t="shared" si="757"/>
        <v>3.298283170305365</v>
      </c>
      <c r="AL268" s="314">
        <f t="shared" si="758"/>
        <v>2080</v>
      </c>
      <c r="AM268" s="144">
        <f t="shared" si="759"/>
        <v>350</v>
      </c>
      <c r="AO268">
        <f t="shared" si="642"/>
        <v>2080</v>
      </c>
      <c r="AP268">
        <f t="shared" si="643"/>
        <v>350</v>
      </c>
      <c r="AR268" s="5">
        <f t="shared" si="771"/>
        <v>2.8571428571428572</v>
      </c>
      <c r="AS268" s="5">
        <f t="shared" si="737"/>
        <v>0.87328591967851921</v>
      </c>
      <c r="AT268" s="5">
        <f t="shared" si="738"/>
        <v>1.983856937464338</v>
      </c>
      <c r="AU268" s="150">
        <f t="shared" si="739"/>
        <v>0.30565007188748172</v>
      </c>
      <c r="BA268" s="150">
        <f t="shared" si="689"/>
        <v>2.8386640461562211</v>
      </c>
      <c r="BB268" s="150">
        <f t="shared" si="690"/>
        <v>4.1040711357683115</v>
      </c>
      <c r="BC268" s="150">
        <f t="shared" si="691"/>
        <v>0.82381335606056982</v>
      </c>
      <c r="BD268" s="150"/>
      <c r="BE268" s="456">
        <f t="shared" si="692"/>
        <v>9.6696162803280111E-2</v>
      </c>
      <c r="BF268" s="456">
        <f t="shared" si="760"/>
        <v>4.4685529985426955</v>
      </c>
      <c r="BG268" s="456">
        <f t="shared" si="693"/>
        <v>4.0250000000000001E-2</v>
      </c>
      <c r="BH268" s="456">
        <f t="shared" si="694"/>
        <v>1.1207936244865642</v>
      </c>
      <c r="BI268">
        <f t="shared" si="695"/>
        <v>2.1538541291402518E-2</v>
      </c>
      <c r="BJ268" s="144">
        <f t="shared" si="696"/>
        <v>61.788541291402517</v>
      </c>
      <c r="BK268">
        <f t="shared" si="761"/>
        <v>5.8464735275046857</v>
      </c>
      <c r="BL268" s="144">
        <f t="shared" si="697"/>
        <v>5747.8313271239422</v>
      </c>
      <c r="BM268" s="150">
        <f t="shared" si="762"/>
        <v>1.3948479999999999</v>
      </c>
      <c r="BN268" s="150">
        <f t="shared" si="763"/>
        <v>0.21171799999999999</v>
      </c>
      <c r="BQ268" s="144">
        <f t="shared" si="698"/>
        <v>1606.566</v>
      </c>
      <c r="BR268" s="456">
        <f t="shared" si="699"/>
        <v>0.11281218993716012</v>
      </c>
      <c r="BS268" s="456">
        <f t="shared" si="700"/>
        <v>0.23580759842425236</v>
      </c>
      <c r="BT268" s="456">
        <f t="shared" si="701"/>
        <v>3.3933422281188959E-3</v>
      </c>
      <c r="BU268" s="456">
        <f t="shared" si="702"/>
        <v>27.026888415584729</v>
      </c>
      <c r="BV268" s="456"/>
      <c r="BW268" s="538">
        <f t="shared" si="703"/>
        <v>2.7681702127659582</v>
      </c>
      <c r="BX268" s="144">
        <f t="shared" si="704"/>
        <v>30147.071758940219</v>
      </c>
      <c r="BY268" s="150">
        <f t="shared" si="705"/>
        <v>37.501469086064162</v>
      </c>
      <c r="BZ268" s="5">
        <f t="shared" si="706"/>
        <v>65.052000000000007</v>
      </c>
      <c r="CA268" s="150">
        <f t="shared" si="707"/>
        <v>0.63432276430753942</v>
      </c>
      <c r="CB268" s="5">
        <f t="shared" si="708"/>
        <v>63.432276430753944</v>
      </c>
      <c r="CC268">
        <f t="shared" si="709"/>
        <v>52</v>
      </c>
      <c r="CE268" s="59">
        <f t="shared" si="764"/>
        <v>-50</v>
      </c>
      <c r="CG268" s="150">
        <f t="shared" si="765"/>
        <v>0.47760513676746263</v>
      </c>
      <c r="CH268" s="150">
        <f t="shared" si="766"/>
        <v>0.10423376848936329</v>
      </c>
      <c r="CI268" s="147">
        <v>52</v>
      </c>
      <c r="CJ268" s="188">
        <f t="shared" si="710"/>
        <v>2.08</v>
      </c>
      <c r="CK268" s="188">
        <f t="shared" si="651"/>
        <v>0.442</v>
      </c>
      <c r="CL268" s="188">
        <f t="shared" si="652"/>
        <v>62.400000000000006</v>
      </c>
      <c r="CM268" s="188">
        <f t="shared" si="653"/>
        <v>2.6520000000000001</v>
      </c>
      <c r="CN268" s="465">
        <f t="shared" si="654"/>
        <v>48</v>
      </c>
      <c r="CO268" s="379">
        <f t="shared" si="767"/>
        <v>30.7</v>
      </c>
      <c r="CP268" s="379">
        <f t="shared" si="768"/>
        <v>78.7</v>
      </c>
      <c r="CQ268" s="379"/>
      <c r="CR268" s="188">
        <f t="shared" si="657"/>
        <v>0.38775510204081626</v>
      </c>
      <c r="CS268" s="149">
        <f t="shared" si="658"/>
        <v>270.50715642699197</v>
      </c>
      <c r="CT268" s="149">
        <f t="shared" si="659"/>
        <v>11.496554148147156</v>
      </c>
      <c r="CU268" s="188">
        <f t="shared" si="660"/>
        <v>9.0169052142330663</v>
      </c>
      <c r="CV268" s="188">
        <f t="shared" si="661"/>
        <v>45.084526071165328</v>
      </c>
      <c r="CW268" s="188">
        <f t="shared" si="662"/>
        <v>30</v>
      </c>
      <c r="CX268" s="188">
        <f t="shared" si="663"/>
        <v>6.9902368421052659</v>
      </c>
      <c r="CY268" s="188">
        <f t="shared" si="664"/>
        <v>0.68446069078947402</v>
      </c>
      <c r="CZ268" s="188">
        <f t="shared" si="665"/>
        <v>1.0701665523744219</v>
      </c>
      <c r="DA268" s="172">
        <f t="shared" si="666"/>
        <v>350</v>
      </c>
      <c r="DB268" s="379">
        <f t="shared" si="667"/>
        <v>350</v>
      </c>
      <c r="DD268" s="188">
        <f t="shared" si="668"/>
        <v>11.382534575916392</v>
      </c>
      <c r="DE268" s="150">
        <f t="shared" si="669"/>
        <v>1.7426030132510437</v>
      </c>
      <c r="DF268" s="150">
        <f t="shared" si="670"/>
        <v>3.3296564353233258</v>
      </c>
      <c r="DG268" s="150"/>
      <c r="DH268" s="150">
        <f t="shared" si="671"/>
        <v>0.92784522751949461</v>
      </c>
      <c r="DI268" s="314">
        <f t="shared" si="672"/>
        <v>771.21914170212767</v>
      </c>
      <c r="DJ268" s="456">
        <f t="shared" si="673"/>
        <v>0.94395997276890675</v>
      </c>
      <c r="DL268" s="150">
        <f t="shared" si="674"/>
        <v>8.8932883405183034</v>
      </c>
      <c r="DM268" s="150">
        <f t="shared" si="675"/>
        <v>8.8932883405183034</v>
      </c>
      <c r="DN268" s="150">
        <f t="shared" si="676"/>
        <v>3.298283170305365</v>
      </c>
      <c r="DP268" s="314">
        <f t="shared" si="677"/>
        <v>2080</v>
      </c>
      <c r="DQ268" s="144">
        <f t="shared" si="678"/>
        <v>350</v>
      </c>
      <c r="DS268">
        <f t="shared" si="679"/>
        <v>2080</v>
      </c>
      <c r="DT268">
        <f t="shared" si="680"/>
        <v>350</v>
      </c>
      <c r="DV268" s="5">
        <f t="shared" si="681"/>
        <v>2.8571428571428572</v>
      </c>
      <c r="DW268" s="5">
        <f t="shared" si="682"/>
        <v>0.87080115000908387</v>
      </c>
      <c r="DX268" s="5">
        <f t="shared" si="683"/>
        <v>1.9863417071337732</v>
      </c>
      <c r="DY268" s="150">
        <f t="shared" si="684"/>
        <v>0.30478040250317934</v>
      </c>
      <c r="EA268" s="5">
        <f t="shared" si="711"/>
        <v>6.0375546400629814</v>
      </c>
      <c r="EB268" s="5">
        <f t="shared" si="712"/>
        <v>6.4149018050669175</v>
      </c>
      <c r="EC268" s="5">
        <f t="shared" si="713"/>
        <v>1.5189671878081796</v>
      </c>
      <c r="ED268" s="5"/>
      <c r="EE268" s="150">
        <f t="shared" si="714"/>
        <v>2.8346227289814583</v>
      </c>
      <c r="EF268" s="150">
        <f t="shared" si="715"/>
        <v>4.1066404945142496</v>
      </c>
      <c r="EG268" s="150">
        <f t="shared" si="716"/>
        <v>0.82432910541807181</v>
      </c>
      <c r="EH268" s="150"/>
      <c r="EI268" s="456">
        <f t="shared" si="717"/>
        <v>9.6421032187899491E-2</v>
      </c>
      <c r="EJ268" s="456">
        <f t="shared" si="718"/>
        <v>4.6543469194519567</v>
      </c>
      <c r="EK268" s="456">
        <f t="shared" si="719"/>
        <v>4.0250000000000001E-2</v>
      </c>
      <c r="EL268" s="456">
        <f t="shared" si="720"/>
        <v>1.1218321012500001</v>
      </c>
      <c r="EM268">
        <f t="shared" si="721"/>
        <v>2.1600000000000001E-2</v>
      </c>
      <c r="EN268" s="144">
        <f t="shared" si="722"/>
        <v>61.85</v>
      </c>
      <c r="EP268" s="144">
        <f t="shared" si="723"/>
        <v>5934.450052889857</v>
      </c>
      <c r="EQ268" s="150">
        <f t="shared" si="724"/>
        <v>1.456</v>
      </c>
      <c r="ER268" s="150">
        <f t="shared" si="769"/>
        <v>0.21171799999999999</v>
      </c>
      <c r="ES268" s="456"/>
      <c r="EU268" s="144">
        <f t="shared" si="725"/>
        <v>1667.7180000000001</v>
      </c>
      <c r="EV268" s="456">
        <f t="shared" si="726"/>
        <v>0.11249120421921607</v>
      </c>
      <c r="EW268" s="456">
        <f t="shared" si="727"/>
        <v>0.23610294611657939</v>
      </c>
      <c r="EX268" s="456">
        <f t="shared" si="728"/>
        <v>3.3975923701967926E-3</v>
      </c>
      <c r="EY268" s="456">
        <f t="shared" si="729"/>
        <v>27.026888415584729</v>
      </c>
      <c r="EZ268" s="456"/>
      <c r="FA268" s="538">
        <f t="shared" si="730"/>
        <v>2.7681702127659582</v>
      </c>
      <c r="FB268" s="144">
        <f t="shared" si="731"/>
        <v>30147.050371056677</v>
      </c>
      <c r="FC268" s="150">
        <f t="shared" si="732"/>
        <v>37.749218423946537</v>
      </c>
      <c r="FD268" s="5">
        <f t="shared" si="733"/>
        <v>65.052000000000007</v>
      </c>
      <c r="FE268" s="150">
        <f t="shared" si="734"/>
        <v>0.63279405630903274</v>
      </c>
      <c r="FF268" s="5">
        <f t="shared" si="735"/>
        <v>63.279405630903277</v>
      </c>
      <c r="FG268">
        <f t="shared" si="736"/>
        <v>52</v>
      </c>
      <c r="FI268" s="59">
        <f t="shared" si="686"/>
        <v>-50</v>
      </c>
    </row>
    <row r="269" spans="5:165">
      <c r="E269" s="147">
        <v>53</v>
      </c>
      <c r="F269" s="188">
        <f t="shared" si="770"/>
        <v>2.12</v>
      </c>
      <c r="G269" s="188">
        <f t="shared" si="740"/>
        <v>0.45050000000000001</v>
      </c>
      <c r="H269" s="188">
        <f t="shared" si="741"/>
        <v>63.6</v>
      </c>
      <c r="I269" s="188">
        <f t="shared" si="742"/>
        <v>2.7030000000000003</v>
      </c>
      <c r="J269" s="465">
        <f t="shared" si="743"/>
        <v>47.862118125308079</v>
      </c>
      <c r="K269" s="379">
        <f t="shared" si="744"/>
        <v>30.801098594017059</v>
      </c>
      <c r="L269" s="149">
        <f t="shared" si="745"/>
        <v>78.663216719325135</v>
      </c>
      <c r="M269" s="379"/>
      <c r="N269" s="188">
        <f t="shared" si="746"/>
        <v>0.39155656072287437</v>
      </c>
      <c r="O269" s="149">
        <f t="shared" si="747"/>
        <v>272.37448386102147</v>
      </c>
      <c r="P269" s="149">
        <f t="shared" si="748"/>
        <v>11.575915564093409</v>
      </c>
      <c r="Q269" s="188">
        <f t="shared" si="624"/>
        <v>9.0791494620340494</v>
      </c>
      <c r="R269" s="188">
        <f t="shared" si="749"/>
        <v>45.395747310170243</v>
      </c>
      <c r="S269" s="188">
        <f t="shared" si="750"/>
        <v>30</v>
      </c>
      <c r="T269" s="188">
        <f t="shared" si="751"/>
        <v>7.0758196581149448</v>
      </c>
      <c r="U269" s="188">
        <f t="shared" si="628"/>
        <v>0.69483662018616876</v>
      </c>
      <c r="V269" s="188">
        <f t="shared" si="629"/>
        <v>1.0797131891782619</v>
      </c>
      <c r="W269" s="172">
        <f t="shared" si="630"/>
        <v>350</v>
      </c>
      <c r="X269" s="379">
        <f t="shared" si="688"/>
        <v>350</v>
      </c>
      <c r="Z269" s="188">
        <f t="shared" si="631"/>
        <v>11.3925388219195</v>
      </c>
      <c r="AA269" s="150">
        <f t="shared" si="632"/>
        <v>1.738409826506073</v>
      </c>
      <c r="AB269" s="150">
        <f t="shared" si="752"/>
        <v>3.3245637903630083</v>
      </c>
      <c r="AC269" s="150"/>
      <c r="AD269" s="150">
        <f t="shared" si="634"/>
        <v>0.92479975666781922</v>
      </c>
      <c r="AE269" s="314">
        <f t="shared" si="753"/>
        <v>788.63883207310425</v>
      </c>
      <c r="AF269" s="456">
        <f t="shared" si="754"/>
        <v>0.94086160841141409</v>
      </c>
      <c r="AH269" s="150">
        <f t="shared" si="755"/>
        <v>8.9783935173267864</v>
      </c>
      <c r="AI269" s="150">
        <f t="shared" si="756"/>
        <v>8.9783935173267864</v>
      </c>
      <c r="AJ269" s="150">
        <f t="shared" si="757"/>
        <v>3.3613240420153527</v>
      </c>
      <c r="AL269" s="314">
        <f t="shared" si="758"/>
        <v>2120</v>
      </c>
      <c r="AM269" s="144">
        <f t="shared" si="759"/>
        <v>350</v>
      </c>
      <c r="AO269">
        <f t="shared" si="642"/>
        <v>2120</v>
      </c>
      <c r="AP269">
        <f t="shared" si="643"/>
        <v>350</v>
      </c>
      <c r="AR269" s="5">
        <f t="shared" si="771"/>
        <v>2.8571428571428572</v>
      </c>
      <c r="AS269" s="5">
        <f t="shared" si="737"/>
        <v>0.88166698809601152</v>
      </c>
      <c r="AT269" s="5">
        <f t="shared" si="738"/>
        <v>1.9754758690468457</v>
      </c>
      <c r="AU269" s="150">
        <f t="shared" si="739"/>
        <v>0.30858344583360403</v>
      </c>
      <c r="BA269" s="150">
        <f t="shared" si="689"/>
        <v>2.8795479923004716</v>
      </c>
      <c r="BB269" s="150">
        <f t="shared" si="690"/>
        <v>4.1345841175763747</v>
      </c>
      <c r="BC269" s="150">
        <f t="shared" si="691"/>
        <v>0.8299382503704269</v>
      </c>
      <c r="BD269" s="150"/>
      <c r="BE269" s="456">
        <f t="shared" si="692"/>
        <v>9.9501559679540122E-2</v>
      </c>
      <c r="BF269" s="456">
        <f t="shared" si="760"/>
        <v>4.5112952498490486</v>
      </c>
      <c r="BG269" s="456">
        <f t="shared" si="693"/>
        <v>4.0250000000000001E-2</v>
      </c>
      <c r="BH269" s="456">
        <f t="shared" si="694"/>
        <v>1.1207836890063829</v>
      </c>
      <c r="BI269">
        <f t="shared" si="695"/>
        <v>2.1537953156388637E-2</v>
      </c>
      <c r="BJ269" s="144">
        <f t="shared" si="696"/>
        <v>61.787953156388639</v>
      </c>
      <c r="BK269">
        <f t="shared" si="761"/>
        <v>5.8978810917506852</v>
      </c>
      <c r="BL269" s="144">
        <f t="shared" si="697"/>
        <v>5793.3684516913609</v>
      </c>
      <c r="BM269" s="150">
        <f t="shared" si="762"/>
        <v>1.4216719999999998</v>
      </c>
      <c r="BN269" s="150">
        <f t="shared" si="763"/>
        <v>0.2157895</v>
      </c>
      <c r="BQ269" s="144">
        <f t="shared" si="698"/>
        <v>1637.4614999999999</v>
      </c>
      <c r="BR269" s="456">
        <f t="shared" si="699"/>
        <v>0.11608515295946346</v>
      </c>
      <c r="BS269" s="456">
        <f t="shared" si="700"/>
        <v>0.23932700155440731</v>
      </c>
      <c r="BT269" s="456">
        <f t="shared" si="701"/>
        <v>3.4439874971396271E-3</v>
      </c>
      <c r="BU269" s="456">
        <f t="shared" si="702"/>
        <v>27.678127529751769</v>
      </c>
      <c r="BV269" s="456"/>
      <c r="BW269" s="538">
        <f t="shared" si="703"/>
        <v>2.8214042553191487</v>
      </c>
      <c r="BX269" s="144">
        <f t="shared" si="704"/>
        <v>30858.387927081927</v>
      </c>
      <c r="BY269" s="150">
        <f t="shared" si="705"/>
        <v>38.289217878773293</v>
      </c>
      <c r="BZ269" s="5">
        <f t="shared" si="706"/>
        <v>66.302999999999997</v>
      </c>
      <c r="CA269" s="150">
        <f t="shared" si="707"/>
        <v>0.63391905578336549</v>
      </c>
      <c r="CB269" s="5">
        <f t="shared" si="708"/>
        <v>63.391905578336548</v>
      </c>
      <c r="CC269">
        <f t="shared" si="709"/>
        <v>53</v>
      </c>
      <c r="CE269" s="59">
        <f t="shared" si="764"/>
        <v>-50</v>
      </c>
      <c r="CG269" s="150">
        <f t="shared" si="765"/>
        <v>0.48217562498879318</v>
      </c>
      <c r="CH269" s="150">
        <f t="shared" si="766"/>
        <v>0.10523124354662484</v>
      </c>
      <c r="CI269" s="147">
        <v>53</v>
      </c>
      <c r="CJ269" s="188">
        <f t="shared" si="710"/>
        <v>2.12</v>
      </c>
      <c r="CK269" s="188">
        <f t="shared" si="651"/>
        <v>0.45050000000000001</v>
      </c>
      <c r="CL269" s="188">
        <f t="shared" si="652"/>
        <v>63.6</v>
      </c>
      <c r="CM269" s="188">
        <f t="shared" si="653"/>
        <v>2.7030000000000003</v>
      </c>
      <c r="CN269" s="465">
        <f t="shared" si="654"/>
        <v>48</v>
      </c>
      <c r="CO269" s="379">
        <f t="shared" si="767"/>
        <v>30.7</v>
      </c>
      <c r="CP269" s="379">
        <f t="shared" si="768"/>
        <v>78.7</v>
      </c>
      <c r="CQ269" s="379"/>
      <c r="CR269" s="188">
        <f t="shared" si="657"/>
        <v>0.38775510204081626</v>
      </c>
      <c r="CS269" s="149">
        <f t="shared" si="658"/>
        <v>270.50715642699197</v>
      </c>
      <c r="CT269" s="149">
        <f t="shared" si="659"/>
        <v>11.496554148147156</v>
      </c>
      <c r="CU269" s="188">
        <f t="shared" si="660"/>
        <v>9.0169052142330663</v>
      </c>
      <c r="CV269" s="188">
        <f t="shared" si="661"/>
        <v>45.084526071165328</v>
      </c>
      <c r="CW269" s="188">
        <f t="shared" si="662"/>
        <v>30</v>
      </c>
      <c r="CX269" s="188">
        <f t="shared" si="663"/>
        <v>7.124664473684212</v>
      </c>
      <c r="CY269" s="188">
        <f t="shared" si="664"/>
        <v>0.69762339638157911</v>
      </c>
      <c r="CZ269" s="188">
        <f t="shared" si="665"/>
        <v>1.0907466783816222</v>
      </c>
      <c r="DA269" s="172">
        <f t="shared" si="666"/>
        <v>350</v>
      </c>
      <c r="DB269" s="379">
        <f t="shared" si="667"/>
        <v>350</v>
      </c>
      <c r="DD269" s="188">
        <f t="shared" si="668"/>
        <v>11.382534575916392</v>
      </c>
      <c r="DE269" s="150">
        <f t="shared" si="669"/>
        <v>1.7426030132510437</v>
      </c>
      <c r="DF269" s="150">
        <f t="shared" si="670"/>
        <v>3.3296564353233258</v>
      </c>
      <c r="DG269" s="150"/>
      <c r="DH269" s="150">
        <f t="shared" si="671"/>
        <v>0.92784522751949461</v>
      </c>
      <c r="DI269" s="314">
        <f t="shared" si="672"/>
        <v>786.05027904255326</v>
      </c>
      <c r="DJ269" s="456">
        <f t="shared" si="673"/>
        <v>0.94395997276890675</v>
      </c>
      <c r="DL269" s="150">
        <f t="shared" si="674"/>
        <v>8.9783935173267864</v>
      </c>
      <c r="DM269" s="150">
        <f t="shared" si="675"/>
        <v>8.9783935173267864</v>
      </c>
      <c r="DN269" s="150">
        <f t="shared" si="676"/>
        <v>3.3613240420153527</v>
      </c>
      <c r="DP269" s="314">
        <f t="shared" si="677"/>
        <v>2120</v>
      </c>
      <c r="DQ269" s="144">
        <f t="shared" si="678"/>
        <v>350</v>
      </c>
      <c r="DS269">
        <f t="shared" si="679"/>
        <v>2120</v>
      </c>
      <c r="DT269">
        <f t="shared" si="680"/>
        <v>350</v>
      </c>
      <c r="DV269" s="5">
        <f t="shared" si="681"/>
        <v>2.8571428571428572</v>
      </c>
      <c r="DW269" s="5">
        <f t="shared" si="682"/>
        <v>0.87913436523824784</v>
      </c>
      <c r="DX269" s="5">
        <f t="shared" si="683"/>
        <v>1.9780084919046095</v>
      </c>
      <c r="DY269" s="150">
        <f t="shared" si="684"/>
        <v>0.30769702783338676</v>
      </c>
      <c r="EA269" s="5">
        <f t="shared" si="711"/>
        <v>6.2125495143502851</v>
      </c>
      <c r="EB269" s="5">
        <f t="shared" si="712"/>
        <v>6.600833858997178</v>
      </c>
      <c r="EC269" s="5">
        <f t="shared" si="713"/>
        <v>1.5416830892785924</v>
      </c>
      <c r="ED269" s="5"/>
      <c r="EE269" s="150">
        <f t="shared" si="714"/>
        <v>2.8754092109242997</v>
      </c>
      <c r="EF269" s="150">
        <f t="shared" si="715"/>
        <v>4.1372336027988368</v>
      </c>
      <c r="EG269" s="150">
        <f t="shared" si="716"/>
        <v>0.83047008357719732</v>
      </c>
      <c r="EH269" s="150"/>
      <c r="EI269" s="456">
        <f t="shared" si="717"/>
        <v>9.921573756321965E-2</v>
      </c>
      <c r="EJ269" s="456">
        <f t="shared" si="718"/>
        <v>4.6988871392605605</v>
      </c>
      <c r="EK269" s="456">
        <f t="shared" si="719"/>
        <v>4.0250000000000001E-2</v>
      </c>
      <c r="EL269" s="456">
        <f t="shared" si="720"/>
        <v>1.1218321012500001</v>
      </c>
      <c r="EM269">
        <f t="shared" si="721"/>
        <v>2.1600000000000001E-2</v>
      </c>
      <c r="EN269" s="144">
        <f t="shared" si="722"/>
        <v>61.85</v>
      </c>
      <c r="EP269" s="144">
        <f t="shared" si="723"/>
        <v>5981.7849780737806</v>
      </c>
      <c r="EQ269" s="150">
        <f t="shared" si="724"/>
        <v>1.484</v>
      </c>
      <c r="ER269" s="150">
        <f t="shared" si="769"/>
        <v>0.2157895</v>
      </c>
      <c r="ES269" s="456"/>
      <c r="EU269" s="144">
        <f t="shared" si="725"/>
        <v>1699.7895000000001</v>
      </c>
      <c r="EV269" s="456">
        <f t="shared" si="726"/>
        <v>0.11575169382375626</v>
      </c>
      <c r="EW269" s="456">
        <f t="shared" si="727"/>
        <v>0.23963382637778979</v>
      </c>
      <c r="EX269" s="456">
        <f t="shared" si="728"/>
        <v>3.4484027985835853E-3</v>
      </c>
      <c r="EY269" s="456">
        <f t="shared" si="729"/>
        <v>27.678127529751769</v>
      </c>
      <c r="EZ269" s="456"/>
      <c r="FA269" s="538">
        <f t="shared" si="730"/>
        <v>2.8214042553191487</v>
      </c>
      <c r="FB269" s="144">
        <f t="shared" si="731"/>
        <v>30858.365708071047</v>
      </c>
      <c r="FC269" s="150">
        <f t="shared" si="732"/>
        <v>38.539940186144833</v>
      </c>
      <c r="FD269" s="5">
        <f t="shared" si="733"/>
        <v>66.302999999999997</v>
      </c>
      <c r="FE269" s="150">
        <f t="shared" si="734"/>
        <v>0.63240309631036129</v>
      </c>
      <c r="FF269" s="5">
        <f t="shared" si="735"/>
        <v>63.240309631036126</v>
      </c>
      <c r="FG269">
        <f t="shared" si="736"/>
        <v>53</v>
      </c>
      <c r="FI269" s="59">
        <f t="shared" si="686"/>
        <v>-50</v>
      </c>
    </row>
    <row r="270" spans="5:165">
      <c r="E270" s="147">
        <v>54</v>
      </c>
      <c r="F270" s="188">
        <f t="shared" si="770"/>
        <v>2.16</v>
      </c>
      <c r="G270" s="188">
        <f t="shared" si="740"/>
        <v>0.45900000000000002</v>
      </c>
      <c r="H270" s="188">
        <f t="shared" si="741"/>
        <v>64.800000000000011</v>
      </c>
      <c r="I270" s="188">
        <f t="shared" si="742"/>
        <v>2.754</v>
      </c>
      <c r="J270" s="465">
        <f t="shared" si="743"/>
        <v>47.860823431413777</v>
      </c>
      <c r="K270" s="379">
        <f t="shared" si="744"/>
        <v>30.802047897416724</v>
      </c>
      <c r="L270" s="149">
        <f t="shared" si="745"/>
        <v>78.662871328830505</v>
      </c>
      <c r="M270" s="379"/>
      <c r="N270" s="188">
        <f t="shared" si="746"/>
        <v>0.39157034795559964</v>
      </c>
      <c r="O270" s="149">
        <f t="shared" si="747"/>
        <v>272.37670640913024</v>
      </c>
      <c r="P270" s="149">
        <f t="shared" si="748"/>
        <v>11.576010022388035</v>
      </c>
      <c r="Q270" s="188">
        <f t="shared" si="624"/>
        <v>9.0792235469710079</v>
      </c>
      <c r="R270" s="188">
        <f t="shared" si="749"/>
        <v>45.396117734855039</v>
      </c>
      <c r="S270" s="188">
        <f t="shared" si="750"/>
        <v>30</v>
      </c>
      <c r="T270" s="188">
        <f t="shared" si="751"/>
        <v>7.2092668625151628</v>
      </c>
      <c r="U270" s="188">
        <f t="shared" si="628"/>
        <v>0.7079601190392717</v>
      </c>
      <c r="V270" s="188">
        <f t="shared" si="629"/>
        <v>1.1000422558482867</v>
      </c>
      <c r="W270" s="172">
        <f t="shared" si="630"/>
        <v>350</v>
      </c>
      <c r="X270" s="379">
        <f t="shared" si="688"/>
        <v>350</v>
      </c>
      <c r="Z270" s="188">
        <f t="shared" si="631"/>
        <v>11.392631783878546</v>
      </c>
      <c r="AA270" s="150">
        <f t="shared" si="632"/>
        <v>1.7383704344125723</v>
      </c>
      <c r="AB270" s="150">
        <f t="shared" si="752"/>
        <v>3.324515583757889</v>
      </c>
      <c r="AC270" s="150"/>
      <c r="AD270" s="150">
        <f t="shared" si="634"/>
        <v>0.92477125481119138</v>
      </c>
      <c r="AE270" s="314">
        <f t="shared" si="753"/>
        <v>803.54357483972171</v>
      </c>
      <c r="AF270" s="456">
        <f t="shared" si="754"/>
        <v>0.94083261153671105</v>
      </c>
      <c r="AH270" s="150">
        <f t="shared" si="755"/>
        <v>9.0626995313953014</v>
      </c>
      <c r="AI270" s="150">
        <f t="shared" si="756"/>
        <v>9.0626995313953014</v>
      </c>
      <c r="AJ270" s="150">
        <f t="shared" si="757"/>
        <v>3.4237729413253639</v>
      </c>
      <c r="AL270" s="314">
        <f t="shared" si="758"/>
        <v>2160</v>
      </c>
      <c r="AM270" s="144">
        <f t="shared" si="759"/>
        <v>350</v>
      </c>
      <c r="AO270">
        <f t="shared" si="642"/>
        <v>2160</v>
      </c>
      <c r="AP270">
        <f t="shared" si="643"/>
        <v>350</v>
      </c>
      <c r="AR270" s="5">
        <f t="shared" si="771"/>
        <v>2.8571428571428572</v>
      </c>
      <c r="AS270" s="5">
        <f t="shared" si="737"/>
        <v>0.88996980711369456</v>
      </c>
      <c r="AT270" s="5">
        <f t="shared" si="738"/>
        <v>1.9671730500291627</v>
      </c>
      <c r="AU270" s="150">
        <f t="shared" si="739"/>
        <v>0.31148943248979311</v>
      </c>
      <c r="BA270" s="150">
        <f t="shared" si="689"/>
        <v>2.9202404532726911</v>
      </c>
      <c r="BB270" s="150">
        <f t="shared" si="690"/>
        <v>4.1646278171772915</v>
      </c>
      <c r="BC270" s="150">
        <f t="shared" si="691"/>
        <v>0.83596894530185695</v>
      </c>
      <c r="BD270" s="150"/>
      <c r="BE270" s="456">
        <f t="shared" si="692"/>
        <v>0.10233365165916351</v>
      </c>
      <c r="BF270" s="456">
        <f t="shared" si="760"/>
        <v>4.5536357650428823</v>
      </c>
      <c r="BG270" s="456">
        <f t="shared" si="693"/>
        <v>4.0250000000000001E-2</v>
      </c>
      <c r="BH270" s="456">
        <f t="shared" si="694"/>
        <v>1.1207738468667141</v>
      </c>
      <c r="BI270">
        <f t="shared" si="695"/>
        <v>2.1537370544136198E-2</v>
      </c>
      <c r="BJ270" s="144">
        <f t="shared" si="696"/>
        <v>61.787370544136202</v>
      </c>
      <c r="BK270">
        <f t="shared" si="761"/>
        <v>5.9490206675862147</v>
      </c>
      <c r="BL270" s="144">
        <f t="shared" si="697"/>
        <v>5838.5306341128971</v>
      </c>
      <c r="BM270" s="150">
        <f t="shared" si="762"/>
        <v>1.448496</v>
      </c>
      <c r="BN270" s="150">
        <f t="shared" si="763"/>
        <v>0.219861</v>
      </c>
      <c r="BQ270" s="144">
        <f t="shared" si="698"/>
        <v>1668.3570000000002</v>
      </c>
      <c r="BR270" s="456">
        <f t="shared" si="699"/>
        <v>0.11938926026902409</v>
      </c>
      <c r="BS270" s="456">
        <f t="shared" si="700"/>
        <v>0.24281774797849651</v>
      </c>
      <c r="BT270" s="456">
        <f t="shared" si="701"/>
        <v>3.4942203875454954E-3</v>
      </c>
      <c r="BU270" s="456">
        <f t="shared" si="702"/>
        <v>28.332445943199563</v>
      </c>
      <c r="BV270" s="456"/>
      <c r="BW270" s="538">
        <f t="shared" si="703"/>
        <v>2.8746382978723419</v>
      </c>
      <c r="BX270" s="144">
        <f t="shared" si="704"/>
        <v>31572.785469706971</v>
      </c>
      <c r="BY270" s="150">
        <f t="shared" si="705"/>
        <v>39.079673103819871</v>
      </c>
      <c r="BZ270" s="5">
        <f t="shared" si="706"/>
        <v>67.554000000000016</v>
      </c>
      <c r="CA270" s="150">
        <f t="shared" si="707"/>
        <v>0.63351470538043453</v>
      </c>
      <c r="CB270" s="5">
        <f t="shared" si="708"/>
        <v>63.351470538043451</v>
      </c>
      <c r="CC270">
        <f t="shared" si="709"/>
        <v>54</v>
      </c>
      <c r="CE270" s="59">
        <f t="shared" si="764"/>
        <v>-50</v>
      </c>
      <c r="CG270" s="150">
        <f t="shared" si="765"/>
        <v>0.48670319497615799</v>
      </c>
      <c r="CH270" s="150">
        <f t="shared" si="766"/>
        <v>0.10621935201856562</v>
      </c>
      <c r="CI270" s="147">
        <v>54</v>
      </c>
      <c r="CJ270" s="188">
        <f t="shared" si="710"/>
        <v>2.16</v>
      </c>
      <c r="CK270" s="188">
        <f t="shared" si="651"/>
        <v>0.45900000000000002</v>
      </c>
      <c r="CL270" s="188">
        <f t="shared" si="652"/>
        <v>64.800000000000011</v>
      </c>
      <c r="CM270" s="188">
        <f t="shared" si="653"/>
        <v>2.754</v>
      </c>
      <c r="CN270" s="465">
        <f t="shared" si="654"/>
        <v>48</v>
      </c>
      <c r="CO270" s="379">
        <f t="shared" si="767"/>
        <v>30.7</v>
      </c>
      <c r="CP270" s="379">
        <f t="shared" si="768"/>
        <v>78.7</v>
      </c>
      <c r="CQ270" s="379"/>
      <c r="CR270" s="188">
        <f t="shared" si="657"/>
        <v>0.38775510204081626</v>
      </c>
      <c r="CS270" s="149">
        <f t="shared" si="658"/>
        <v>270.50715642699197</v>
      </c>
      <c r="CT270" s="149">
        <f t="shared" si="659"/>
        <v>11.496554148147156</v>
      </c>
      <c r="CU270" s="188">
        <f t="shared" si="660"/>
        <v>9.0169052142330663</v>
      </c>
      <c r="CV270" s="188">
        <f t="shared" si="661"/>
        <v>45.084526071165328</v>
      </c>
      <c r="CW270" s="188">
        <f t="shared" si="662"/>
        <v>30</v>
      </c>
      <c r="CX270" s="188">
        <f t="shared" si="663"/>
        <v>7.2590921052631616</v>
      </c>
      <c r="CY270" s="188">
        <f t="shared" si="664"/>
        <v>0.71078610197368464</v>
      </c>
      <c r="CZ270" s="188">
        <f t="shared" si="665"/>
        <v>1.1113268043888229</v>
      </c>
      <c r="DA270" s="172">
        <f t="shared" si="666"/>
        <v>350</v>
      </c>
      <c r="DB270" s="379">
        <f t="shared" si="667"/>
        <v>350</v>
      </c>
      <c r="DD270" s="188">
        <f t="shared" si="668"/>
        <v>11.382534575916392</v>
      </c>
      <c r="DE270" s="150">
        <f t="shared" si="669"/>
        <v>1.7426030132510437</v>
      </c>
      <c r="DF270" s="150">
        <f t="shared" si="670"/>
        <v>3.3296564353233258</v>
      </c>
      <c r="DG270" s="150"/>
      <c r="DH270" s="150">
        <f t="shared" si="671"/>
        <v>0.92784522751949461</v>
      </c>
      <c r="DI270" s="314">
        <f t="shared" si="672"/>
        <v>800.88141638297884</v>
      </c>
      <c r="DJ270" s="456">
        <f t="shared" si="673"/>
        <v>0.94395997276890675</v>
      </c>
      <c r="DL270" s="150">
        <f t="shared" si="674"/>
        <v>9.0626995313953014</v>
      </c>
      <c r="DM270" s="150">
        <f t="shared" si="675"/>
        <v>9.0626995313953014</v>
      </c>
      <c r="DN270" s="150">
        <f t="shared" si="676"/>
        <v>3.4237729413253639</v>
      </c>
      <c r="DP270" s="314">
        <f t="shared" si="677"/>
        <v>2160</v>
      </c>
      <c r="DQ270" s="144">
        <f t="shared" si="678"/>
        <v>350</v>
      </c>
      <c r="DS270">
        <f t="shared" si="679"/>
        <v>2160</v>
      </c>
      <c r="DT270">
        <f t="shared" si="680"/>
        <v>350</v>
      </c>
      <c r="DV270" s="5">
        <f t="shared" si="681"/>
        <v>2.8571428571428572</v>
      </c>
      <c r="DW270" s="5">
        <f t="shared" si="682"/>
        <v>0.88738932911578983</v>
      </c>
      <c r="DX270" s="5">
        <f t="shared" si="683"/>
        <v>1.9697535280270673</v>
      </c>
      <c r="DY270" s="150">
        <f t="shared" si="684"/>
        <v>0.31058626519052646</v>
      </c>
      <c r="EA270" s="5">
        <f t="shared" si="711"/>
        <v>6.3892031696336877</v>
      </c>
      <c r="EB270" s="5">
        <f t="shared" si="712"/>
        <v>6.7885283677357924</v>
      </c>
      <c r="EC270" s="5">
        <f t="shared" si="713"/>
        <v>1.5642160369626712</v>
      </c>
      <c r="ED270" s="5"/>
      <c r="EE270" s="150">
        <f t="shared" si="714"/>
        <v>2.916003744053091</v>
      </c>
      <c r="EF270" s="150">
        <f t="shared" si="715"/>
        <v>4.1673584382714388</v>
      </c>
      <c r="EG270" s="150">
        <f t="shared" si="716"/>
        <v>0.83651706497456291</v>
      </c>
      <c r="EH270" s="150"/>
      <c r="EI270" s="456">
        <f t="shared" si="717"/>
        <v>0.10203693402397974</v>
      </c>
      <c r="EJ270" s="456">
        <f t="shared" si="718"/>
        <v>4.7430091132533887</v>
      </c>
      <c r="EK270" s="456">
        <f t="shared" si="719"/>
        <v>4.0250000000000001E-2</v>
      </c>
      <c r="EL270" s="456">
        <f t="shared" si="720"/>
        <v>1.1218321012500001</v>
      </c>
      <c r="EM270">
        <f t="shared" si="721"/>
        <v>2.1600000000000001E-2</v>
      </c>
      <c r="EN270" s="144">
        <f t="shared" si="722"/>
        <v>61.85</v>
      </c>
      <c r="EP270" s="144">
        <f t="shared" si="723"/>
        <v>6028.7281485273688</v>
      </c>
      <c r="EQ270" s="150">
        <f t="shared" si="724"/>
        <v>1.512</v>
      </c>
      <c r="ER270" s="150">
        <f t="shared" si="769"/>
        <v>0.219861</v>
      </c>
      <c r="ES270" s="456"/>
      <c r="EU270" s="144">
        <f t="shared" si="725"/>
        <v>1731.8610000000001</v>
      </c>
      <c r="EV270" s="456">
        <f t="shared" si="726"/>
        <v>0.11904308969464303</v>
      </c>
      <c r="EW270" s="456">
        <f t="shared" si="727"/>
        <v>0.2431362689424503</v>
      </c>
      <c r="EX270" s="456">
        <f t="shared" si="728"/>
        <v>3.4988039999682857E-3</v>
      </c>
      <c r="EY270" s="456">
        <f t="shared" si="729"/>
        <v>28.332445943199563</v>
      </c>
      <c r="EZ270" s="456"/>
      <c r="FA270" s="538">
        <f t="shared" si="730"/>
        <v>2.8746382978723419</v>
      </c>
      <c r="FB270" s="144">
        <f t="shared" si="731"/>
        <v>31572.762403708963</v>
      </c>
      <c r="FC270" s="150">
        <f t="shared" si="732"/>
        <v>39.333351552236337</v>
      </c>
      <c r="FD270" s="5">
        <f t="shared" si="733"/>
        <v>67.554000000000016</v>
      </c>
      <c r="FE270" s="150">
        <f t="shared" si="734"/>
        <v>0.63201116894533638</v>
      </c>
      <c r="FF270" s="5">
        <f t="shared" si="735"/>
        <v>63.201116894533641</v>
      </c>
      <c r="FG270">
        <f t="shared" si="736"/>
        <v>54</v>
      </c>
      <c r="FI270" s="59">
        <f t="shared" si="686"/>
        <v>-50</v>
      </c>
    </row>
    <row r="271" spans="5:165">
      <c r="E271" s="147">
        <v>55</v>
      </c>
      <c r="F271" s="188">
        <f t="shared" si="770"/>
        <v>2.2000000000000002</v>
      </c>
      <c r="G271" s="188">
        <f t="shared" si="740"/>
        <v>0.46750000000000003</v>
      </c>
      <c r="H271" s="188">
        <f t="shared" si="741"/>
        <v>66</v>
      </c>
      <c r="I271" s="188">
        <f t="shared" si="742"/>
        <v>2.8050000000000002</v>
      </c>
      <c r="J271" s="465">
        <f t="shared" si="743"/>
        <v>47.859540670945947</v>
      </c>
      <c r="K271" s="379">
        <f t="shared" si="744"/>
        <v>30.802988450916217</v>
      </c>
      <c r="L271" s="149">
        <f t="shared" si="745"/>
        <v>78.662529121862164</v>
      </c>
      <c r="M271" s="379"/>
      <c r="N271" s="188">
        <f t="shared" si="746"/>
        <v>0.39158400822832612</v>
      </c>
      <c r="O271" s="149">
        <f t="shared" si="747"/>
        <v>272.37890804295625</v>
      </c>
      <c r="P271" s="149">
        <f t="shared" si="748"/>
        <v>11.576103591825639</v>
      </c>
      <c r="Q271" s="188">
        <f t="shared" si="624"/>
        <v>9.0792969347652086</v>
      </c>
      <c r="R271" s="188">
        <f t="shared" si="749"/>
        <v>45.396484673826045</v>
      </c>
      <c r="S271" s="188">
        <f t="shared" si="750"/>
        <v>30</v>
      </c>
      <c r="T271" s="188">
        <f t="shared" si="751"/>
        <v>7.3427124529208578</v>
      </c>
      <c r="U271" s="188">
        <f t="shared" si="628"/>
        <v>0.72108398962713904</v>
      </c>
      <c r="V271" s="188">
        <f t="shared" si="629"/>
        <v>1.1203701414789682</v>
      </c>
      <c r="W271" s="172">
        <f t="shared" si="630"/>
        <v>350</v>
      </c>
      <c r="X271" s="379">
        <f t="shared" si="688"/>
        <v>350</v>
      </c>
      <c r="Z271" s="188">
        <f t="shared" si="631"/>
        <v>11.392723871061159</v>
      </c>
      <c r="AA271" s="150">
        <f t="shared" si="632"/>
        <v>1.7383314050619254</v>
      </c>
      <c r="AB271" s="150">
        <f t="shared" si="752"/>
        <v>3.3244678143848918</v>
      </c>
      <c r="AC271" s="150"/>
      <c r="AD271" s="150">
        <f t="shared" si="634"/>
        <v>0.92474301739385989</v>
      </c>
      <c r="AE271" s="314">
        <f t="shared" si="753"/>
        <v>818.44900233255385</v>
      </c>
      <c r="AF271" s="456">
        <f t="shared" si="754"/>
        <v>0.94080388369406576</v>
      </c>
      <c r="AH271" s="150">
        <f t="shared" si="755"/>
        <v>9.1462284817693842</v>
      </c>
      <c r="AI271" s="150">
        <f t="shared" si="756"/>
        <v>9.1462284817693842</v>
      </c>
      <c r="AJ271" s="150">
        <f t="shared" si="757"/>
        <v>3.4856462378987576</v>
      </c>
      <c r="AL271" s="314">
        <f t="shared" si="758"/>
        <v>2200</v>
      </c>
      <c r="AM271" s="144">
        <f t="shared" si="759"/>
        <v>350</v>
      </c>
      <c r="AO271">
        <f t="shared" si="642"/>
        <v>2200</v>
      </c>
      <c r="AP271">
        <f t="shared" si="643"/>
        <v>350</v>
      </c>
      <c r="AR271" s="5">
        <f t="shared" si="771"/>
        <v>2.8571428571428572</v>
      </c>
      <c r="AS271" s="5">
        <f t="shared" si="737"/>
        <v>0.89819654057842546</v>
      </c>
      <c r="AT271" s="5">
        <f t="shared" si="738"/>
        <v>1.9589463165644316</v>
      </c>
      <c r="AU271" s="150">
        <f t="shared" si="739"/>
        <v>0.31436878920244893</v>
      </c>
      <c r="BA271" s="150">
        <f t="shared" si="689"/>
        <v>2.9607458561571223</v>
      </c>
      <c r="BB271" s="150">
        <f t="shared" si="690"/>
        <v>4.1942145718909041</v>
      </c>
      <c r="BC271" s="150">
        <f t="shared" si="691"/>
        <v>0.84190791733456249</v>
      </c>
      <c r="BD271" s="150"/>
      <c r="BE271" s="456">
        <f t="shared" si="692"/>
        <v>0.10519219229701884</v>
      </c>
      <c r="BF271" s="456">
        <f t="shared" si="760"/>
        <v>4.5955856532315122</v>
      </c>
      <c r="BG271" s="456">
        <f t="shared" si="693"/>
        <v>4.0250000000000001E-2</v>
      </c>
      <c r="BH271" s="456">
        <f t="shared" si="694"/>
        <v>1.1207640954864351</v>
      </c>
      <c r="BI271">
        <f t="shared" si="695"/>
        <v>2.1536793301925674E-2</v>
      </c>
      <c r="BJ271" s="144">
        <f t="shared" si="696"/>
        <v>61.78679330192567</v>
      </c>
      <c r="BK271">
        <f t="shared" si="761"/>
        <v>5.9999034080879099</v>
      </c>
      <c r="BL271" s="144">
        <f t="shared" si="697"/>
        <v>5883.3287343168922</v>
      </c>
      <c r="BM271" s="150">
        <f t="shared" si="762"/>
        <v>1.47532</v>
      </c>
      <c r="BN271" s="150">
        <f t="shared" si="763"/>
        <v>0.22393250000000001</v>
      </c>
      <c r="BQ271" s="144">
        <f t="shared" si="698"/>
        <v>1699.2525000000001</v>
      </c>
      <c r="BR271" s="456">
        <f t="shared" si="699"/>
        <v>0.12272422434652198</v>
      </c>
      <c r="BS271" s="456">
        <f t="shared" si="700"/>
        <v>0.24628010225086802</v>
      </c>
      <c r="BT271" s="456">
        <f t="shared" si="701"/>
        <v>3.5440447063531028E-3</v>
      </c>
      <c r="BU271" s="456">
        <f t="shared" si="702"/>
        <v>28.98980078377112</v>
      </c>
      <c r="BV271" s="456"/>
      <c r="BW271" s="538">
        <f t="shared" si="703"/>
        <v>2.9278723404255325</v>
      </c>
      <c r="BX271" s="144">
        <f t="shared" si="704"/>
        <v>32290.221495500398</v>
      </c>
      <c r="BY271" s="150">
        <f t="shared" si="705"/>
        <v>39.872802729817288</v>
      </c>
      <c r="BZ271" s="5">
        <f t="shared" si="706"/>
        <v>68.805000000000007</v>
      </c>
      <c r="CA271" s="150">
        <f t="shared" si="707"/>
        <v>0.63310996608070336</v>
      </c>
      <c r="CB271" s="5">
        <f t="shared" si="708"/>
        <v>63.310996608070333</v>
      </c>
      <c r="CC271">
        <f t="shared" si="709"/>
        <v>55.000000000000007</v>
      </c>
      <c r="CE271" s="59">
        <f t="shared" si="764"/>
        <v>-50</v>
      </c>
      <c r="CG271" s="150">
        <f t="shared" si="765"/>
        <v>0.49118903353664839</v>
      </c>
      <c r="CH271" s="150">
        <f t="shared" si="766"/>
        <v>0.10719835291700545</v>
      </c>
      <c r="CI271" s="147">
        <v>55</v>
      </c>
      <c r="CJ271" s="188">
        <f t="shared" si="710"/>
        <v>2.2000000000000002</v>
      </c>
      <c r="CK271" s="188">
        <f t="shared" si="651"/>
        <v>0.46750000000000003</v>
      </c>
      <c r="CL271" s="188">
        <f t="shared" si="652"/>
        <v>66</v>
      </c>
      <c r="CM271" s="188">
        <f t="shared" si="653"/>
        <v>2.8050000000000002</v>
      </c>
      <c r="CN271" s="465">
        <f t="shared" si="654"/>
        <v>48</v>
      </c>
      <c r="CO271" s="379">
        <f t="shared" si="767"/>
        <v>30.7</v>
      </c>
      <c r="CP271" s="379">
        <f t="shared" si="768"/>
        <v>78.7</v>
      </c>
      <c r="CQ271" s="379"/>
      <c r="CR271" s="188">
        <f t="shared" si="657"/>
        <v>0.38775510204081626</v>
      </c>
      <c r="CS271" s="149">
        <f t="shared" si="658"/>
        <v>270.50715642699197</v>
      </c>
      <c r="CT271" s="149">
        <f t="shared" si="659"/>
        <v>11.496554148147156</v>
      </c>
      <c r="CU271" s="188">
        <f t="shared" si="660"/>
        <v>9.0169052142330663</v>
      </c>
      <c r="CV271" s="188">
        <f t="shared" si="661"/>
        <v>45.084526071165328</v>
      </c>
      <c r="CW271" s="188">
        <f t="shared" si="662"/>
        <v>30</v>
      </c>
      <c r="CX271" s="188">
        <f t="shared" si="663"/>
        <v>7.3935197368421077</v>
      </c>
      <c r="CY271" s="188">
        <f t="shared" si="664"/>
        <v>0.72394880756578972</v>
      </c>
      <c r="CZ271" s="188">
        <f t="shared" si="665"/>
        <v>1.1319069303960232</v>
      </c>
      <c r="DA271" s="172">
        <f t="shared" si="666"/>
        <v>350</v>
      </c>
      <c r="DB271" s="379">
        <f t="shared" si="667"/>
        <v>350</v>
      </c>
      <c r="DD271" s="188">
        <f t="shared" si="668"/>
        <v>11.382534575916392</v>
      </c>
      <c r="DE271" s="150">
        <f t="shared" si="669"/>
        <v>1.7426030132510437</v>
      </c>
      <c r="DF271" s="150">
        <f t="shared" si="670"/>
        <v>3.3296564353233258</v>
      </c>
      <c r="DG271" s="150"/>
      <c r="DH271" s="150">
        <f t="shared" si="671"/>
        <v>0.92784522751949461</v>
      </c>
      <c r="DI271" s="314">
        <f t="shared" si="672"/>
        <v>815.71255372340431</v>
      </c>
      <c r="DJ271" s="456">
        <f t="shared" si="673"/>
        <v>0.94395997276890675</v>
      </c>
      <c r="DL271" s="150">
        <f t="shared" si="674"/>
        <v>9.1462284817693842</v>
      </c>
      <c r="DM271" s="150">
        <f t="shared" si="675"/>
        <v>9.1462284817693842</v>
      </c>
      <c r="DN271" s="150">
        <f t="shared" si="676"/>
        <v>3.4856462378987576</v>
      </c>
      <c r="DP271" s="314">
        <f t="shared" si="677"/>
        <v>2200</v>
      </c>
      <c r="DQ271" s="144">
        <f t="shared" si="678"/>
        <v>350</v>
      </c>
      <c r="DS271">
        <f t="shared" si="679"/>
        <v>2200</v>
      </c>
      <c r="DT271">
        <f t="shared" si="680"/>
        <v>350</v>
      </c>
      <c r="DV271" s="5">
        <f t="shared" si="681"/>
        <v>2.8571428571428572</v>
      </c>
      <c r="DW271" s="5">
        <f t="shared" si="682"/>
        <v>0.89556820550658556</v>
      </c>
      <c r="DX271" s="5">
        <f t="shared" si="683"/>
        <v>1.9615746516362718</v>
      </c>
      <c r="DY271" s="150">
        <f t="shared" si="684"/>
        <v>0.31344887192730492</v>
      </c>
      <c r="EA271" s="5">
        <f t="shared" si="711"/>
        <v>6.5675001737149614</v>
      </c>
      <c r="EB271" s="5">
        <f t="shared" si="712"/>
        <v>6.9779689345721465</v>
      </c>
      <c r="EC271" s="5">
        <f t="shared" si="713"/>
        <v>1.5865677329411019</v>
      </c>
      <c r="ED271" s="5"/>
      <c r="EE271" s="150">
        <f t="shared" si="714"/>
        <v>2.956410761868328</v>
      </c>
      <c r="EF271" s="150">
        <f t="shared" si="715"/>
        <v>4.1970273355591301</v>
      </c>
      <c r="EG271" s="150">
        <f t="shared" si="716"/>
        <v>0.84247252554935004</v>
      </c>
      <c r="EH271" s="150"/>
      <c r="EI271" s="456">
        <f t="shared" si="717"/>
        <v>0.1048843751146904</v>
      </c>
      <c r="EJ271" s="456">
        <f t="shared" si="718"/>
        <v>4.7867244070764166</v>
      </c>
      <c r="EK271" s="456">
        <f t="shared" si="719"/>
        <v>4.0250000000000001E-2</v>
      </c>
      <c r="EL271" s="456">
        <f t="shared" si="720"/>
        <v>1.1218321012500001</v>
      </c>
      <c r="EM271">
        <f t="shared" si="721"/>
        <v>2.1600000000000001E-2</v>
      </c>
      <c r="EN271" s="144">
        <f t="shared" si="722"/>
        <v>61.85</v>
      </c>
      <c r="EP271" s="144">
        <f t="shared" si="723"/>
        <v>6075.2908834411073</v>
      </c>
      <c r="EQ271" s="150">
        <f t="shared" si="724"/>
        <v>1.54</v>
      </c>
      <c r="ER271" s="150">
        <f t="shared" si="769"/>
        <v>0.22393250000000001</v>
      </c>
      <c r="ES271" s="456"/>
      <c r="EU271" s="144">
        <f t="shared" si="725"/>
        <v>1763.9325000000001</v>
      </c>
      <c r="EV271" s="456">
        <f t="shared" si="726"/>
        <v>0.12236510430047214</v>
      </c>
      <c r="EW271" s="456">
        <f t="shared" si="727"/>
        <v>0.246610538376028</v>
      </c>
      <c r="EX271" s="456">
        <f t="shared" si="728"/>
        <v>3.5487997815275012E-3</v>
      </c>
      <c r="EY271" s="456">
        <f t="shared" si="729"/>
        <v>28.98980078377112</v>
      </c>
      <c r="EZ271" s="456"/>
      <c r="FA271" s="538">
        <f t="shared" si="730"/>
        <v>2.9278723404255325</v>
      </c>
      <c r="FB271" s="144">
        <f t="shared" si="731"/>
        <v>32290.197566654675</v>
      </c>
      <c r="FC271" s="150">
        <f t="shared" si="732"/>
        <v>40.129420950095785</v>
      </c>
      <c r="FD271" s="5">
        <f t="shared" si="733"/>
        <v>68.805000000000007</v>
      </c>
      <c r="FE271" s="150">
        <f t="shared" si="734"/>
        <v>0.63161854076885793</v>
      </c>
      <c r="FF271" s="5">
        <f t="shared" si="735"/>
        <v>63.161854076885795</v>
      </c>
      <c r="FG271">
        <f t="shared" si="736"/>
        <v>55.000000000000007</v>
      </c>
      <c r="FI271" s="59">
        <f t="shared" si="686"/>
        <v>-50</v>
      </c>
    </row>
    <row r="272" spans="5:165">
      <c r="E272" s="147">
        <v>56</v>
      </c>
      <c r="F272" s="188">
        <f t="shared" si="770"/>
        <v>2.2400000000000002</v>
      </c>
      <c r="G272" s="188">
        <f t="shared" si="740"/>
        <v>0.47600000000000003</v>
      </c>
      <c r="H272" s="188">
        <f t="shared" si="741"/>
        <v>67.2</v>
      </c>
      <c r="I272" s="188">
        <f t="shared" si="742"/>
        <v>2.8560000000000003</v>
      </c>
      <c r="J272" s="465">
        <f t="shared" si="743"/>
        <v>47.858269519886534</v>
      </c>
      <c r="K272" s="379">
        <f t="shared" si="744"/>
        <v>30.803920492094051</v>
      </c>
      <c r="L272" s="149">
        <f t="shared" si="745"/>
        <v>78.662190011980584</v>
      </c>
      <c r="M272" s="379"/>
      <c r="N272" s="188">
        <f t="shared" si="746"/>
        <v>0.39159754498829086</v>
      </c>
      <c r="O272" s="149">
        <f t="shared" si="747"/>
        <v>272.38108933036148</v>
      </c>
      <c r="P272" s="149">
        <f t="shared" si="748"/>
        <v>11.57619629654036</v>
      </c>
      <c r="Q272" s="188">
        <f t="shared" si="624"/>
        <v>9.0793696443453822</v>
      </c>
      <c r="R272" s="188">
        <f t="shared" si="749"/>
        <v>45.396848221726913</v>
      </c>
      <c r="S272" s="188">
        <f t="shared" si="750"/>
        <v>30</v>
      </c>
      <c r="T272" s="188">
        <f t="shared" si="751"/>
        <v>7.4761564445239541</v>
      </c>
      <c r="U272" s="188">
        <f t="shared" si="628"/>
        <v>0.7342082286251852</v>
      </c>
      <c r="V272" s="188">
        <f t="shared" si="629"/>
        <v>1.1406968570211988</v>
      </c>
      <c r="W272" s="172">
        <f t="shared" si="630"/>
        <v>350</v>
      </c>
      <c r="X272" s="379">
        <f t="shared" si="688"/>
        <v>350</v>
      </c>
      <c r="Z272" s="188">
        <f t="shared" si="631"/>
        <v>11.392815107219159</v>
      </c>
      <c r="AA272" s="150">
        <f t="shared" si="632"/>
        <v>1.7382927286048835</v>
      </c>
      <c r="AB272" s="150">
        <f t="shared" si="752"/>
        <v>3.3244204703724827</v>
      </c>
      <c r="AC272" s="150"/>
      <c r="AD272" s="150">
        <f t="shared" si="634"/>
        <v>0.92471503723557635</v>
      </c>
      <c r="AE272" s="314">
        <f t="shared" si="753"/>
        <v>833.35510829773739</v>
      </c>
      <c r="AF272" s="456">
        <f t="shared" si="754"/>
        <v>0.94077541757852401</v>
      </c>
      <c r="AH272" s="150">
        <f t="shared" si="755"/>
        <v>9.229001467391063</v>
      </c>
      <c r="AI272" s="150">
        <f t="shared" si="756"/>
        <v>9.229001467391063</v>
      </c>
      <c r="AJ272" s="150">
        <f t="shared" si="757"/>
        <v>3.5469595605814828</v>
      </c>
      <c r="AL272" s="314">
        <f t="shared" si="758"/>
        <v>2240</v>
      </c>
      <c r="AM272" s="144">
        <f t="shared" si="759"/>
        <v>350</v>
      </c>
      <c r="AO272">
        <f t="shared" si="642"/>
        <v>2240</v>
      </c>
      <c r="AP272">
        <f t="shared" si="643"/>
        <v>350</v>
      </c>
      <c r="AR272" s="5">
        <f t="shared" si="771"/>
        <v>2.8571428571428572</v>
      </c>
      <c r="AS272" s="5">
        <f t="shared" si="737"/>
        <v>0.90634925441075243</v>
      </c>
      <c r="AT272" s="5">
        <f t="shared" si="738"/>
        <v>1.9507936027321047</v>
      </c>
      <c r="AU272" s="150">
        <f t="shared" si="739"/>
        <v>0.31722223904376334</v>
      </c>
      <c r="BA272" s="150">
        <f t="shared" si="689"/>
        <v>3.0010684472544669</v>
      </c>
      <c r="BB272" s="150">
        <f t="shared" si="690"/>
        <v>4.2233561609926635</v>
      </c>
      <c r="BC272" s="150">
        <f t="shared" si="691"/>
        <v>0.84775753093156558</v>
      </c>
      <c r="BD272" s="150"/>
      <c r="BE272" s="456">
        <f t="shared" si="692"/>
        <v>0.10807694190127605</v>
      </c>
      <c r="BF272" s="456">
        <f t="shared" si="760"/>
        <v>4.6371555207739767</v>
      </c>
      <c r="BG272" s="456">
        <f t="shared" si="693"/>
        <v>4.0250000000000001E-2</v>
      </c>
      <c r="BH272" s="456">
        <f t="shared" si="694"/>
        <v>1.1207544324012348</v>
      </c>
      <c r="BI272">
        <f t="shared" si="695"/>
        <v>2.1536221283948939E-2</v>
      </c>
      <c r="BJ272" s="144">
        <f t="shared" si="696"/>
        <v>61.786221283948933</v>
      </c>
      <c r="BK272">
        <f t="shared" si="761"/>
        <v>6.0505399779723827</v>
      </c>
      <c r="BL272" s="144">
        <f t="shared" si="697"/>
        <v>5927.7731163604358</v>
      </c>
      <c r="BM272" s="150">
        <f t="shared" si="762"/>
        <v>1.5021439999999999</v>
      </c>
      <c r="BN272" s="150">
        <f t="shared" si="763"/>
        <v>0.22800400000000001</v>
      </c>
      <c r="BQ272" s="144">
        <f t="shared" si="698"/>
        <v>1730.1479999999999</v>
      </c>
      <c r="BR272" s="456">
        <f t="shared" si="699"/>
        <v>0.12608976555148871</v>
      </c>
      <c r="BS272" s="456">
        <f t="shared" si="700"/>
        <v>0.24971432167632565</v>
      </c>
      <c r="BT272" s="456">
        <f t="shared" si="701"/>
        <v>3.5934641562559216E-3</v>
      </c>
      <c r="BU272" s="456">
        <f t="shared" si="702"/>
        <v>29.65015054676919</v>
      </c>
      <c r="BV272" s="456"/>
      <c r="BW272" s="538">
        <f t="shared" si="703"/>
        <v>2.9811063829787243</v>
      </c>
      <c r="BX272" s="144">
        <f t="shared" si="704"/>
        <v>33010.654481131984</v>
      </c>
      <c r="BY272" s="150">
        <f t="shared" si="705"/>
        <v>40.668575597492421</v>
      </c>
      <c r="BZ272" s="5">
        <f t="shared" si="706"/>
        <v>70.055999999999997</v>
      </c>
      <c r="CA272" s="150">
        <f t="shared" si="707"/>
        <v>0.63270506680168803</v>
      </c>
      <c r="CB272" s="5">
        <f t="shared" si="708"/>
        <v>63.270506680168801</v>
      </c>
      <c r="CC272">
        <f t="shared" si="709"/>
        <v>56.000000000000007</v>
      </c>
      <c r="CE272" s="59">
        <f t="shared" si="764"/>
        <v>-50</v>
      </c>
      <c r="CG272" s="150">
        <f t="shared" si="765"/>
        <v>0.49563427376779884</v>
      </c>
      <c r="CH272" s="150">
        <f t="shared" si="766"/>
        <v>0.10816849353205275</v>
      </c>
      <c r="CI272" s="147">
        <v>56</v>
      </c>
      <c r="CJ272" s="188">
        <f t="shared" si="710"/>
        <v>2.2400000000000002</v>
      </c>
      <c r="CK272" s="188">
        <f t="shared" si="651"/>
        <v>0.47600000000000003</v>
      </c>
      <c r="CL272" s="188">
        <f t="shared" si="652"/>
        <v>67.2</v>
      </c>
      <c r="CM272" s="188">
        <f t="shared" si="653"/>
        <v>2.8560000000000003</v>
      </c>
      <c r="CN272" s="465">
        <f t="shared" si="654"/>
        <v>48</v>
      </c>
      <c r="CO272" s="379">
        <f t="shared" si="767"/>
        <v>30.7</v>
      </c>
      <c r="CP272" s="379">
        <f t="shared" si="768"/>
        <v>78.7</v>
      </c>
      <c r="CQ272" s="379"/>
      <c r="CR272" s="188">
        <f t="shared" si="657"/>
        <v>0.38775510204081626</v>
      </c>
      <c r="CS272" s="149">
        <f t="shared" si="658"/>
        <v>270.50715642699197</v>
      </c>
      <c r="CT272" s="149">
        <f t="shared" si="659"/>
        <v>11.496554148147156</v>
      </c>
      <c r="CU272" s="188">
        <f t="shared" si="660"/>
        <v>9.0169052142330663</v>
      </c>
      <c r="CV272" s="188">
        <f t="shared" si="661"/>
        <v>45.084526071165328</v>
      </c>
      <c r="CW272" s="188">
        <f t="shared" si="662"/>
        <v>30</v>
      </c>
      <c r="CX272" s="188">
        <f t="shared" si="663"/>
        <v>7.5279473684210538</v>
      </c>
      <c r="CY272" s="188">
        <f t="shared" si="664"/>
        <v>0.7371115131578948</v>
      </c>
      <c r="CZ272" s="188">
        <f t="shared" si="665"/>
        <v>1.1524870564032232</v>
      </c>
      <c r="DA272" s="172">
        <f t="shared" si="666"/>
        <v>350</v>
      </c>
      <c r="DB272" s="379">
        <f t="shared" si="667"/>
        <v>350</v>
      </c>
      <c r="DD272" s="188">
        <f t="shared" si="668"/>
        <v>11.382534575916392</v>
      </c>
      <c r="DE272" s="150">
        <f t="shared" si="669"/>
        <v>1.7426030132510437</v>
      </c>
      <c r="DF272" s="150">
        <f t="shared" si="670"/>
        <v>3.3296564353233258</v>
      </c>
      <c r="DG272" s="150"/>
      <c r="DH272" s="150">
        <f t="shared" si="671"/>
        <v>0.92784522751949461</v>
      </c>
      <c r="DI272" s="314">
        <f t="shared" si="672"/>
        <v>830.5436910638299</v>
      </c>
      <c r="DJ272" s="456">
        <f t="shared" si="673"/>
        <v>0.94395997276890675</v>
      </c>
      <c r="DL272" s="150">
        <f t="shared" si="674"/>
        <v>9.229001467391063</v>
      </c>
      <c r="DM272" s="150">
        <f t="shared" si="675"/>
        <v>9.229001467391063</v>
      </c>
      <c r="DN272" s="150">
        <f t="shared" si="676"/>
        <v>3.5469595605814828</v>
      </c>
      <c r="DP272" s="314">
        <f t="shared" si="677"/>
        <v>2240</v>
      </c>
      <c r="DQ272" s="144">
        <f t="shared" si="678"/>
        <v>350</v>
      </c>
      <c r="DS272">
        <f t="shared" si="679"/>
        <v>2240</v>
      </c>
      <c r="DT272">
        <f t="shared" si="680"/>
        <v>350</v>
      </c>
      <c r="DV272" s="5">
        <f t="shared" si="681"/>
        <v>2.8571428571428572</v>
      </c>
      <c r="DW272" s="5">
        <f t="shared" si="682"/>
        <v>0.9036730603487082</v>
      </c>
      <c r="DX272" s="5">
        <f t="shared" si="683"/>
        <v>1.953469796794149</v>
      </c>
      <c r="DY272" s="150">
        <f t="shared" si="684"/>
        <v>0.31628557112204786</v>
      </c>
      <c r="EA272" s="5">
        <f t="shared" si="711"/>
        <v>6.7474255172703543</v>
      </c>
      <c r="EB272" s="5">
        <f t="shared" si="712"/>
        <v>7.1691396120997526</v>
      </c>
      <c r="EC272" s="5">
        <f t="shared" si="713"/>
        <v>1.608739832654005</v>
      </c>
      <c r="ED272" s="5"/>
      <c r="EE272" s="150">
        <f t="shared" si="714"/>
        <v>2.9966345168824815</v>
      </c>
      <c r="EF272" s="150">
        <f t="shared" si="715"/>
        <v>4.2262520714013991</v>
      </c>
      <c r="EG272" s="150">
        <f t="shared" si="716"/>
        <v>0.84833882925553472</v>
      </c>
      <c r="EH272" s="150"/>
      <c r="EI272" s="456">
        <f t="shared" si="717"/>
        <v>0.10775782113325805</v>
      </c>
      <c r="EJ272" s="456">
        <f t="shared" si="718"/>
        <v>4.8300440629664507</v>
      </c>
      <c r="EK272" s="456">
        <f t="shared" si="719"/>
        <v>4.0250000000000001E-2</v>
      </c>
      <c r="EL272" s="456">
        <f t="shared" si="720"/>
        <v>1.1218321012500001</v>
      </c>
      <c r="EM272">
        <f t="shared" si="721"/>
        <v>2.1600000000000001E-2</v>
      </c>
      <c r="EN272" s="144">
        <f t="shared" si="722"/>
        <v>61.85</v>
      </c>
      <c r="EP272" s="144">
        <f t="shared" si="723"/>
        <v>6121.4839853497087</v>
      </c>
      <c r="EQ272" s="150">
        <f t="shared" si="724"/>
        <v>1.5680000000000001</v>
      </c>
      <c r="ER272" s="150">
        <f t="shared" si="769"/>
        <v>0.22800400000000001</v>
      </c>
      <c r="ES272" s="456"/>
      <c r="EU272" s="144">
        <f t="shared" si="725"/>
        <v>1796.0040000000001</v>
      </c>
      <c r="EV272" s="456">
        <f t="shared" si="726"/>
        <v>0.12571745798880105</v>
      </c>
      <c r="EW272" s="456">
        <f t="shared" si="727"/>
        <v>0.25005689199434467</v>
      </c>
      <c r="EX272" s="456">
        <f t="shared" si="728"/>
        <v>3.5983938461132564E-3</v>
      </c>
      <c r="EY272" s="456">
        <f t="shared" si="729"/>
        <v>29.65015054676919</v>
      </c>
      <c r="EZ272" s="456"/>
      <c r="FA272" s="538">
        <f t="shared" si="730"/>
        <v>2.9811063829787243</v>
      </c>
      <c r="FB272" s="144">
        <f t="shared" si="731"/>
        <v>33010.629673577168</v>
      </c>
      <c r="FC272" s="150">
        <f t="shared" si="732"/>
        <v>40.92811765892688</v>
      </c>
      <c r="FD272" s="5">
        <f t="shared" si="733"/>
        <v>70.055999999999997</v>
      </c>
      <c r="FE272" s="150">
        <f t="shared" si="734"/>
        <v>0.63122545349501302</v>
      </c>
      <c r="FF272" s="5">
        <f t="shared" si="735"/>
        <v>63.122545349501301</v>
      </c>
      <c r="FG272">
        <f t="shared" si="736"/>
        <v>56.000000000000007</v>
      </c>
      <c r="FI272" s="59">
        <f t="shared" si="686"/>
        <v>-50</v>
      </c>
    </row>
    <row r="273" spans="5:165">
      <c r="E273" s="147">
        <v>57</v>
      </c>
      <c r="F273" s="188">
        <f t="shared" si="770"/>
        <v>2.2799999999999998</v>
      </c>
      <c r="G273" s="188">
        <f t="shared" si="740"/>
        <v>0.48449999999999993</v>
      </c>
      <c r="H273" s="188">
        <f t="shared" si="741"/>
        <v>68.399999999999991</v>
      </c>
      <c r="I273" s="188">
        <f t="shared" si="742"/>
        <v>2.9069999999999996</v>
      </c>
      <c r="J273" s="465">
        <f t="shared" si="743"/>
        <v>47.857009668620314</v>
      </c>
      <c r="K273" s="379">
        <f t="shared" si="744"/>
        <v>30.804844247968198</v>
      </c>
      <c r="L273" s="149">
        <f t="shared" si="745"/>
        <v>78.661853916588512</v>
      </c>
      <c r="M273" s="379"/>
      <c r="N273" s="188">
        <f t="shared" si="746"/>
        <v>0.39161096152949881</v>
      </c>
      <c r="O273" s="149">
        <f t="shared" si="747"/>
        <v>272.3832508139659</v>
      </c>
      <c r="P273" s="149">
        <f t="shared" si="748"/>
        <v>11.576288159593551</v>
      </c>
      <c r="Q273" s="188">
        <f t="shared" si="624"/>
        <v>9.0794416937988629</v>
      </c>
      <c r="R273" s="188">
        <f t="shared" si="749"/>
        <v>45.397208468994315</v>
      </c>
      <c r="S273" s="188">
        <f t="shared" si="750"/>
        <v>30</v>
      </c>
      <c r="T273" s="188">
        <f t="shared" si="751"/>
        <v>7.6095988521075304</v>
      </c>
      <c r="U273" s="188">
        <f t="shared" si="628"/>
        <v>0.74733283279829454</v>
      </c>
      <c r="V273" s="188">
        <f t="shared" si="629"/>
        <v>1.1610224131311542</v>
      </c>
      <c r="W273" s="172">
        <f t="shared" si="630"/>
        <v>350</v>
      </c>
      <c r="X273" s="379">
        <f t="shared" si="688"/>
        <v>350</v>
      </c>
      <c r="Z273" s="188">
        <f t="shared" si="631"/>
        <v>11.392905515048584</v>
      </c>
      <c r="AA273" s="150">
        <f t="shared" si="632"/>
        <v>1.7382543956300032</v>
      </c>
      <c r="AB273" s="150">
        <f t="shared" si="752"/>
        <v>3.3243735403768238</v>
      </c>
      <c r="AC273" s="150"/>
      <c r="AD273" s="150">
        <f t="shared" si="634"/>
        <v>0.92468730747526062</v>
      </c>
      <c r="AE273" s="314">
        <f t="shared" si="753"/>
        <v>848.26188664970437</v>
      </c>
      <c r="AF273" s="456">
        <f t="shared" si="754"/>
        <v>0.94074720620984287</v>
      </c>
      <c r="AH273" s="150">
        <f t="shared" si="755"/>
        <v>9.3110386493389274</v>
      </c>
      <c r="AI273" s="150">
        <f t="shared" si="756"/>
        <v>9.3110386493389274</v>
      </c>
      <c r="AJ273" s="150">
        <f t="shared" si="757"/>
        <v>3.6077278435058275</v>
      </c>
      <c r="AL273" s="314">
        <f t="shared" si="758"/>
        <v>2280</v>
      </c>
      <c r="AM273" s="144">
        <f t="shared" si="759"/>
        <v>350</v>
      </c>
      <c r="AO273">
        <f t="shared" si="642"/>
        <v>2280</v>
      </c>
      <c r="AP273">
        <f t="shared" si="643"/>
        <v>350</v>
      </c>
      <c r="AR273" s="5">
        <f t="shared" si="771"/>
        <v>2.8571428571428572</v>
      </c>
      <c r="AS273" s="5">
        <f t="shared" si="737"/>
        <v>0.91442992269923373</v>
      </c>
      <c r="AT273" s="5">
        <f t="shared" si="738"/>
        <v>1.9427129344436236</v>
      </c>
      <c r="AU273" s="150">
        <f t="shared" si="739"/>
        <v>0.32005047294473182</v>
      </c>
      <c r="BA273" s="150">
        <f t="shared" si="689"/>
        <v>3.0412123025543116</v>
      </c>
      <c r="BB273" s="150">
        <f t="shared" si="690"/>
        <v>4.2520638403628661</v>
      </c>
      <c r="BC273" s="150">
        <f t="shared" si="691"/>
        <v>0.85352004549437677</v>
      </c>
      <c r="BD273" s="150"/>
      <c r="BE273" s="456">
        <f t="shared" si="692"/>
        <v>0.11098766723049237</v>
      </c>
      <c r="BF273" s="456">
        <f t="shared" si="760"/>
        <v>4.6783555025688779</v>
      </c>
      <c r="BG273" s="456">
        <f t="shared" si="693"/>
        <v>4.0250000000000001E-2</v>
      </c>
      <c r="BH273" s="456">
        <f t="shared" si="694"/>
        <v>1.1207448552563419</v>
      </c>
      <c r="BI273">
        <f t="shared" si="695"/>
        <v>2.153565435087914E-2</v>
      </c>
      <c r="BJ273" s="144">
        <f t="shared" si="696"/>
        <v>61.785654350879142</v>
      </c>
      <c r="BK273">
        <f t="shared" si="761"/>
        <v>6.1009405844263958</v>
      </c>
      <c r="BL273" s="144">
        <f t="shared" si="697"/>
        <v>5971.8736794065917</v>
      </c>
      <c r="BM273" s="150">
        <f t="shared" si="762"/>
        <v>1.5289679999999999</v>
      </c>
      <c r="BN273" s="150">
        <f t="shared" si="763"/>
        <v>0.23207549999999996</v>
      </c>
      <c r="BQ273" s="144">
        <f t="shared" si="698"/>
        <v>1761.0434999999998</v>
      </c>
      <c r="BR273" s="456">
        <f t="shared" si="699"/>
        <v>0.12948561176890777</v>
      </c>
      <c r="BS273" s="456">
        <f t="shared" si="700"/>
        <v>0.2531206566352997</v>
      </c>
      <c r="BT273" s="456">
        <f t="shared" si="701"/>
        <v>3.642482340303615E-3</v>
      </c>
      <c r="BU273" s="456">
        <f t="shared" si="702"/>
        <v>30.313455027637836</v>
      </c>
      <c r="BV273" s="456"/>
      <c r="BW273" s="538">
        <f t="shared" si="703"/>
        <v>3.0343404255319149</v>
      </c>
      <c r="BX273" s="144">
        <f t="shared" si="704"/>
        <v>33734.044203914258</v>
      </c>
      <c r="BY273" s="150">
        <f t="shared" si="705"/>
        <v>41.466961383320857</v>
      </c>
      <c r="BZ273" s="5">
        <f t="shared" si="706"/>
        <v>71.306999999999988</v>
      </c>
      <c r="CA273" s="150">
        <f t="shared" si="707"/>
        <v>0.63230021474217912</v>
      </c>
      <c r="CB273" s="5">
        <f t="shared" si="708"/>
        <v>63.230021474217914</v>
      </c>
      <c r="CC273">
        <f t="shared" si="709"/>
        <v>56.999999999999993</v>
      </c>
      <c r="CE273" s="59">
        <f t="shared" si="764"/>
        <v>-50</v>
      </c>
      <c r="CG273" s="150">
        <f t="shared" si="765"/>
        <v>0.50003999840012792</v>
      </c>
      <c r="CH273" s="150">
        <f t="shared" si="766"/>
        <v>0.10913001016158948</v>
      </c>
      <c r="CI273" s="147">
        <v>57</v>
      </c>
      <c r="CJ273" s="188">
        <f t="shared" si="710"/>
        <v>2.2799999999999998</v>
      </c>
      <c r="CK273" s="188">
        <f t="shared" si="651"/>
        <v>0.48449999999999993</v>
      </c>
      <c r="CL273" s="188">
        <f t="shared" si="652"/>
        <v>68.399999999999991</v>
      </c>
      <c r="CM273" s="188">
        <f t="shared" si="653"/>
        <v>2.9069999999999996</v>
      </c>
      <c r="CN273" s="465">
        <f t="shared" si="654"/>
        <v>48</v>
      </c>
      <c r="CO273" s="379">
        <f t="shared" si="767"/>
        <v>30.7</v>
      </c>
      <c r="CP273" s="379">
        <f t="shared" si="768"/>
        <v>78.7</v>
      </c>
      <c r="CQ273" s="379"/>
      <c r="CR273" s="188">
        <f t="shared" si="657"/>
        <v>0.38775510204081626</v>
      </c>
      <c r="CS273" s="149">
        <f t="shared" si="658"/>
        <v>270.50715642699197</v>
      </c>
      <c r="CT273" s="149">
        <f t="shared" si="659"/>
        <v>11.496554148147156</v>
      </c>
      <c r="CU273" s="188">
        <f t="shared" si="660"/>
        <v>9.0169052142330663</v>
      </c>
      <c r="CV273" s="188">
        <f t="shared" si="661"/>
        <v>45.084526071165328</v>
      </c>
      <c r="CW273" s="188">
        <f t="shared" si="662"/>
        <v>30</v>
      </c>
      <c r="CX273" s="188">
        <f t="shared" si="663"/>
        <v>7.6623750000000008</v>
      </c>
      <c r="CY273" s="188">
        <f t="shared" si="664"/>
        <v>0.75027421875</v>
      </c>
      <c r="CZ273" s="188">
        <f t="shared" si="665"/>
        <v>1.1730671824104237</v>
      </c>
      <c r="DA273" s="172">
        <f t="shared" si="666"/>
        <v>350</v>
      </c>
      <c r="DB273" s="379">
        <f t="shared" si="667"/>
        <v>350</v>
      </c>
      <c r="DD273" s="188">
        <f t="shared" si="668"/>
        <v>11.382534575916392</v>
      </c>
      <c r="DE273" s="150">
        <f t="shared" si="669"/>
        <v>1.7426030132510437</v>
      </c>
      <c r="DF273" s="150">
        <f t="shared" si="670"/>
        <v>3.3296564353233258</v>
      </c>
      <c r="DG273" s="150"/>
      <c r="DH273" s="150">
        <f t="shared" si="671"/>
        <v>0.92784522751949461</v>
      </c>
      <c r="DI273" s="314">
        <f t="shared" si="672"/>
        <v>845.37482840425525</v>
      </c>
      <c r="DJ273" s="456">
        <f t="shared" si="673"/>
        <v>0.94395997276890675</v>
      </c>
      <c r="DL273" s="150">
        <f t="shared" si="674"/>
        <v>9.3110386493389274</v>
      </c>
      <c r="DM273" s="150">
        <f t="shared" si="675"/>
        <v>9.3110386493389274</v>
      </c>
      <c r="DN273" s="150">
        <f t="shared" si="676"/>
        <v>3.6077278435058275</v>
      </c>
      <c r="DP273" s="314">
        <f t="shared" si="677"/>
        <v>2280</v>
      </c>
      <c r="DQ273" s="144">
        <f t="shared" si="678"/>
        <v>350</v>
      </c>
      <c r="DS273">
        <f t="shared" si="679"/>
        <v>2280</v>
      </c>
      <c r="DT273">
        <f t="shared" si="680"/>
        <v>350</v>
      </c>
      <c r="DV273" s="5">
        <f t="shared" si="681"/>
        <v>2.8571428571428572</v>
      </c>
      <c r="DW273" s="5">
        <f t="shared" si="682"/>
        <v>0.91170586774776985</v>
      </c>
      <c r="DX273" s="5">
        <f t="shared" si="683"/>
        <v>1.9454369893950874</v>
      </c>
      <c r="DY273" s="150">
        <f t="shared" si="684"/>
        <v>0.31909705371171943</v>
      </c>
      <c r="EA273" s="5">
        <f t="shared" si="711"/>
        <v>6.9289645948830509</v>
      </c>
      <c r="EB273" s="5">
        <f t="shared" si="712"/>
        <v>7.3620248820632401</v>
      </c>
      <c r="EC273" s="5">
        <f t="shared" si="713"/>
        <v>1.6307339469929405</v>
      </c>
      <c r="ED273" s="5"/>
      <c r="EE273" s="150">
        <f t="shared" si="714"/>
        <v>3.036679091102489</v>
      </c>
      <c r="EF273" s="150">
        <f t="shared" si="715"/>
        <v>4.2550438992930086</v>
      </c>
      <c r="EG273" s="150">
        <f t="shared" si="716"/>
        <v>0.85411823501577744</v>
      </c>
      <c r="EH273" s="150"/>
      <c r="EI273" s="456">
        <f t="shared" si="717"/>
        <v>0.11065703882806846</v>
      </c>
      <c r="EJ273" s="456">
        <f t="shared" si="718"/>
        <v>4.8729786323247755</v>
      </c>
      <c r="EK273" s="456">
        <f t="shared" si="719"/>
        <v>4.0250000000000001E-2</v>
      </c>
      <c r="EL273" s="456">
        <f t="shared" si="720"/>
        <v>1.1218321012500001</v>
      </c>
      <c r="EM273">
        <f t="shared" si="721"/>
        <v>2.1600000000000001E-2</v>
      </c>
      <c r="EN273" s="144">
        <f t="shared" si="722"/>
        <v>61.85</v>
      </c>
      <c r="EP273" s="144">
        <f t="shared" si="723"/>
        <v>6167.3177724028446</v>
      </c>
      <c r="EQ273" s="150">
        <f t="shared" si="724"/>
        <v>1.5959999999999999</v>
      </c>
      <c r="ER273" s="150">
        <f t="shared" si="769"/>
        <v>0.23207549999999996</v>
      </c>
      <c r="ES273" s="456"/>
      <c r="EU273" s="144">
        <f t="shared" si="725"/>
        <v>1828.0754999999997</v>
      </c>
      <c r="EV273" s="456">
        <f t="shared" si="726"/>
        <v>0.12909987863274655</v>
      </c>
      <c r="EW273" s="456">
        <f t="shared" si="727"/>
        <v>0.25347558018874916</v>
      </c>
      <c r="EX273" s="456">
        <f t="shared" si="728"/>
        <v>3.6475897969323341E-3</v>
      </c>
      <c r="EY273" s="456">
        <f t="shared" si="729"/>
        <v>30.313455027637836</v>
      </c>
      <c r="EZ273" s="456"/>
      <c r="FA273" s="538">
        <f t="shared" si="730"/>
        <v>3.0343404255319149</v>
      </c>
      <c r="FB273" s="144">
        <f t="shared" si="731"/>
        <v>33734.018501788181</v>
      </c>
      <c r="FC273" s="150">
        <f t="shared" si="732"/>
        <v>41.729411774191021</v>
      </c>
      <c r="FD273" s="5">
        <f t="shared" si="733"/>
        <v>71.306999999999988</v>
      </c>
      <c r="FE273" s="150">
        <f t="shared" si="734"/>
        <v>0.63083212639877095</v>
      </c>
      <c r="FF273" s="5">
        <f t="shared" si="735"/>
        <v>63.083212639877097</v>
      </c>
      <c r="FG273">
        <f t="shared" si="736"/>
        <v>56.999999999999993</v>
      </c>
      <c r="FI273" s="59">
        <f t="shared" si="686"/>
        <v>-50</v>
      </c>
    </row>
    <row r="274" spans="5:165">
      <c r="E274" s="147">
        <v>58</v>
      </c>
      <c r="F274" s="188">
        <f t="shared" si="770"/>
        <v>2.3199999999999998</v>
      </c>
      <c r="G274" s="188">
        <f t="shared" si="740"/>
        <v>0.49299999999999994</v>
      </c>
      <c r="H274" s="188">
        <f t="shared" si="741"/>
        <v>69.599999999999994</v>
      </c>
      <c r="I274" s="188">
        <f t="shared" si="742"/>
        <v>2.9579999999999997</v>
      </c>
      <c r="J274" s="465">
        <f t="shared" si="743"/>
        <v>47.855760821054226</v>
      </c>
      <c r="K274" s="379">
        <f t="shared" si="744"/>
        <v>30.805759935641834</v>
      </c>
      <c r="L274" s="149">
        <f t="shared" si="745"/>
        <v>78.661520756696063</v>
      </c>
      <c r="M274" s="379"/>
      <c r="N274" s="188">
        <f t="shared" si="746"/>
        <v>0.39162426100209224</v>
      </c>
      <c r="O274" s="149">
        <f t="shared" si="747"/>
        <v>272.38539301269157</v>
      </c>
      <c r="P274" s="149">
        <f t="shared" si="748"/>
        <v>11.576379203039391</v>
      </c>
      <c r="Q274" s="188">
        <f t="shared" si="624"/>
        <v>9.0795131004230516</v>
      </c>
      <c r="R274" s="188">
        <f t="shared" si="749"/>
        <v>45.397565502115263</v>
      </c>
      <c r="S274" s="188">
        <f t="shared" si="750"/>
        <v>30</v>
      </c>
      <c r="T274" s="188">
        <f t="shared" si="751"/>
        <v>7.7430396900638421</v>
      </c>
      <c r="U274" s="188">
        <f t="shared" si="628"/>
        <v>0.76045779899688093</v>
      </c>
      <c r="V274" s="188">
        <f t="shared" si="629"/>
        <v>1.1813468201832831</v>
      </c>
      <c r="W274" s="172">
        <f t="shared" si="630"/>
        <v>350</v>
      </c>
      <c r="X274" s="379">
        <f t="shared" si="688"/>
        <v>350</v>
      </c>
      <c r="Z274" s="188">
        <f t="shared" si="631"/>
        <v>11.39299511625425</v>
      </c>
      <c r="AA274" s="150">
        <f t="shared" si="632"/>
        <v>1.7382163971368794</v>
      </c>
      <c r="AB274" s="150">
        <f t="shared" si="752"/>
        <v>3.3243270135495124</v>
      </c>
      <c r="AC274" s="150"/>
      <c r="AD274" s="150">
        <f t="shared" si="634"/>
        <v>0.92465982155148563</v>
      </c>
      <c r="AE274" s="314">
        <f t="shared" si="753"/>
        <v>863.16933146376482</v>
      </c>
      <c r="AF274" s="456">
        <f t="shared" si="754"/>
        <v>0.9407192429126372</v>
      </c>
      <c r="AH274" s="150">
        <f t="shared" si="755"/>
        <v>9.3923593081749264</v>
      </c>
      <c r="AI274" s="150">
        <f t="shared" si="756"/>
        <v>9.3923593081749264</v>
      </c>
      <c r="AJ274" s="150">
        <f t="shared" si="757"/>
        <v>3.6679653685695301</v>
      </c>
      <c r="AL274" s="314">
        <f t="shared" si="758"/>
        <v>2320</v>
      </c>
      <c r="AM274" s="144">
        <f t="shared" si="759"/>
        <v>350</v>
      </c>
      <c r="AO274">
        <f t="shared" si="642"/>
        <v>2320</v>
      </c>
      <c r="AP274">
        <f t="shared" si="643"/>
        <v>350</v>
      </c>
      <c r="AR274" s="5">
        <f t="shared" si="771"/>
        <v>2.8571428571428572</v>
      </c>
      <c r="AS274" s="5">
        <f t="shared" si="737"/>
        <v>0.92244043331562464</v>
      </c>
      <c r="AT274" s="5">
        <f t="shared" si="738"/>
        <v>1.9347024238272326</v>
      </c>
      <c r="AU274" s="150">
        <f t="shared" si="739"/>
        <v>0.3228541516604686</v>
      </c>
      <c r="BA274" s="150">
        <f t="shared" si="689"/>
        <v>3.0811813374281649</v>
      </c>
      <c r="BB274" s="150">
        <f t="shared" si="690"/>
        <v>4.2803483744146478</v>
      </c>
      <c r="BC274" s="150">
        <f t="shared" si="691"/>
        <v>0.85919762177192471</v>
      </c>
      <c r="BD274" s="150"/>
      <c r="BE274" s="456">
        <f t="shared" si="692"/>
        <v>0.11392414120938739</v>
      </c>
      <c r="BF274" s="456">
        <f t="shared" si="760"/>
        <v>4.7191952908824071</v>
      </c>
      <c r="BG274" s="456">
        <f t="shared" si="693"/>
        <v>4.0250000000000001E-2</v>
      </c>
      <c r="BH274" s="456">
        <f t="shared" si="694"/>
        <v>1.1207353617998284</v>
      </c>
      <c r="BI274">
        <f t="shared" si="695"/>
        <v>2.1535092369474401E-2</v>
      </c>
      <c r="BJ274" s="144">
        <f t="shared" si="696"/>
        <v>61.785092369474405</v>
      </c>
      <c r="BK274">
        <f t="shared" si="761"/>
        <v>6.1511150055072203</v>
      </c>
      <c r="BL274" s="144">
        <f t="shared" si="697"/>
        <v>6015.6398862610977</v>
      </c>
      <c r="BM274" s="150">
        <f t="shared" si="762"/>
        <v>1.5557919999999998</v>
      </c>
      <c r="BN274" s="150">
        <f t="shared" si="763"/>
        <v>0.23614699999999997</v>
      </c>
      <c r="BQ274" s="144">
        <f t="shared" si="698"/>
        <v>1791.9389999999996</v>
      </c>
      <c r="BR274" s="456">
        <f t="shared" si="699"/>
        <v>0.13291149807761862</v>
      </c>
      <c r="BS274" s="456">
        <f t="shared" si="700"/>
        <v>0.2564993508889577</v>
      </c>
      <c r="BT274" s="456">
        <f t="shared" si="701"/>
        <v>3.6911027662926573E-3</v>
      </c>
      <c r="BU274" s="456">
        <f t="shared" si="702"/>
        <v>30.979675259084964</v>
      </c>
      <c r="BV274" s="456"/>
      <c r="BW274" s="538">
        <f t="shared" si="703"/>
        <v>3.0875744680851067</v>
      </c>
      <c r="BX274" s="144">
        <f t="shared" si="704"/>
        <v>34460.351678902938</v>
      </c>
      <c r="BY274" s="150">
        <f t="shared" si="705"/>
        <v>42.267930565164036</v>
      </c>
      <c r="BZ274" s="5">
        <f t="shared" si="706"/>
        <v>72.557999999999993</v>
      </c>
      <c r="CA274" s="150">
        <f t="shared" si="707"/>
        <v>0.63189559747415358</v>
      </c>
      <c r="CB274" s="5">
        <f t="shared" si="708"/>
        <v>63.189559747415359</v>
      </c>
      <c r="CC274">
        <f t="shared" si="709"/>
        <v>57.999999999999993</v>
      </c>
      <c r="CE274" s="59">
        <f t="shared" si="764"/>
        <v>-50</v>
      </c>
      <c r="CG274" s="150">
        <f t="shared" si="765"/>
        <v>0.50440724287689076</v>
      </c>
      <c r="CH274" s="150">
        <f t="shared" si="766"/>
        <v>0.110083128783404</v>
      </c>
      <c r="CI274" s="147">
        <v>58</v>
      </c>
      <c r="CJ274" s="188">
        <f t="shared" si="710"/>
        <v>2.3199999999999998</v>
      </c>
      <c r="CK274" s="188">
        <f t="shared" si="651"/>
        <v>0.49299999999999994</v>
      </c>
      <c r="CL274" s="188">
        <f t="shared" si="652"/>
        <v>69.599999999999994</v>
      </c>
      <c r="CM274" s="188">
        <f t="shared" si="653"/>
        <v>2.9579999999999997</v>
      </c>
      <c r="CN274" s="465">
        <f t="shared" si="654"/>
        <v>48</v>
      </c>
      <c r="CO274" s="379">
        <f t="shared" si="767"/>
        <v>30.7</v>
      </c>
      <c r="CP274" s="379">
        <f t="shared" si="768"/>
        <v>78.7</v>
      </c>
      <c r="CQ274" s="379"/>
      <c r="CR274" s="188">
        <f t="shared" si="657"/>
        <v>0.38775510204081626</v>
      </c>
      <c r="CS274" s="149">
        <f t="shared" si="658"/>
        <v>270.50715642699197</v>
      </c>
      <c r="CT274" s="149">
        <f t="shared" si="659"/>
        <v>11.496554148147156</v>
      </c>
      <c r="CU274" s="188">
        <f t="shared" si="660"/>
        <v>9.0169052142330663</v>
      </c>
      <c r="CV274" s="188">
        <f t="shared" si="661"/>
        <v>45.084526071165328</v>
      </c>
      <c r="CW274" s="188">
        <f t="shared" si="662"/>
        <v>30</v>
      </c>
      <c r="CX274" s="188">
        <f t="shared" si="663"/>
        <v>7.7968026315789487</v>
      </c>
      <c r="CY274" s="188">
        <f t="shared" si="664"/>
        <v>0.76343692434210531</v>
      </c>
      <c r="CZ274" s="188">
        <f t="shared" si="665"/>
        <v>1.193647308417624</v>
      </c>
      <c r="DA274" s="172">
        <f t="shared" si="666"/>
        <v>350</v>
      </c>
      <c r="DB274" s="379">
        <f t="shared" si="667"/>
        <v>350</v>
      </c>
      <c r="DD274" s="188">
        <f t="shared" si="668"/>
        <v>11.382534575916392</v>
      </c>
      <c r="DE274" s="150">
        <f t="shared" si="669"/>
        <v>1.7426030132510437</v>
      </c>
      <c r="DF274" s="150">
        <f t="shared" si="670"/>
        <v>3.3296564353233258</v>
      </c>
      <c r="DG274" s="150"/>
      <c r="DH274" s="150">
        <f t="shared" si="671"/>
        <v>0.92784522751949461</v>
      </c>
      <c r="DI274" s="314">
        <f t="shared" si="672"/>
        <v>860.20596574468084</v>
      </c>
      <c r="DJ274" s="456">
        <f t="shared" si="673"/>
        <v>0.94395997276890675</v>
      </c>
      <c r="DL274" s="150">
        <f t="shared" si="674"/>
        <v>9.3923593081749264</v>
      </c>
      <c r="DM274" s="150">
        <f t="shared" si="675"/>
        <v>9.3923593081749264</v>
      </c>
      <c r="DN274" s="150">
        <f t="shared" si="676"/>
        <v>3.6679653685695301</v>
      </c>
      <c r="DP274" s="314">
        <f t="shared" si="677"/>
        <v>2320</v>
      </c>
      <c r="DQ274" s="144">
        <f t="shared" si="678"/>
        <v>350</v>
      </c>
      <c r="DS274">
        <f t="shared" si="679"/>
        <v>2320</v>
      </c>
      <c r="DT274">
        <f t="shared" si="680"/>
        <v>350</v>
      </c>
      <c r="DV274" s="5">
        <f t="shared" si="681"/>
        <v>2.8571428571428572</v>
      </c>
      <c r="DW274" s="5">
        <f t="shared" si="682"/>
        <v>0.91966851559212826</v>
      </c>
      <c r="DX274" s="5">
        <f t="shared" si="683"/>
        <v>1.937474341550729</v>
      </c>
      <c r="DY274" s="150">
        <f t="shared" si="684"/>
        <v>0.32188398045724487</v>
      </c>
      <c r="EA274" s="5">
        <f t="shared" si="711"/>
        <v>7.1121031872457907</v>
      </c>
      <c r="EB274" s="5">
        <f t="shared" si="712"/>
        <v>7.5566096364486528</v>
      </c>
      <c r="EC274" s="5">
        <f t="shared" si="713"/>
        <v>1.6525516442638568</v>
      </c>
      <c r="ED274" s="5"/>
      <c r="EE274" s="150">
        <f t="shared" si="714"/>
        <v>3.0765484057321903</v>
      </c>
      <c r="EF274" s="150">
        <f t="shared" si="715"/>
        <v>4.2834135814060392</v>
      </c>
      <c r="EG274" s="150">
        <f t="shared" si="716"/>
        <v>0.85981290312915826</v>
      </c>
      <c r="EH274" s="150"/>
      <c r="EI274" s="456">
        <f t="shared" si="717"/>
        <v>0.11358180111375939</v>
      </c>
      <c r="EJ274" s="456">
        <f t="shared" si="718"/>
        <v>4.9155382057298889</v>
      </c>
      <c r="EK274" s="456">
        <f t="shared" si="719"/>
        <v>4.0250000000000001E-2</v>
      </c>
      <c r="EL274" s="456">
        <f t="shared" si="720"/>
        <v>1.1218321012500001</v>
      </c>
      <c r="EM274">
        <f t="shared" si="721"/>
        <v>2.1600000000000001E-2</v>
      </c>
      <c r="EN274" s="144">
        <f t="shared" si="722"/>
        <v>61.85</v>
      </c>
      <c r="EP274" s="144">
        <f t="shared" si="723"/>
        <v>6212.8021080936487</v>
      </c>
      <c r="EQ274" s="150">
        <f t="shared" si="724"/>
        <v>1.6239999999999999</v>
      </c>
      <c r="ER274" s="150">
        <f t="shared" si="769"/>
        <v>0.23614699999999997</v>
      </c>
      <c r="ES274" s="456"/>
      <c r="EU274" s="144">
        <f t="shared" si="725"/>
        <v>1860.1469999999997</v>
      </c>
      <c r="EV274" s="456">
        <f t="shared" si="726"/>
        <v>0.13251210129938595</v>
      </c>
      <c r="EW274" s="456">
        <f t="shared" si="727"/>
        <v>0.25686684673123195</v>
      </c>
      <c r="EX274" s="456">
        <f t="shared" si="728"/>
        <v>3.6963911419369568E-3</v>
      </c>
      <c r="EY274" s="456">
        <f t="shared" si="729"/>
        <v>30.979675259084964</v>
      </c>
      <c r="EZ274" s="456"/>
      <c r="FA274" s="538">
        <f t="shared" si="730"/>
        <v>3.0875744680851067</v>
      </c>
      <c r="FB274" s="144">
        <f t="shared" si="731"/>
        <v>34460.32506634263</v>
      </c>
      <c r="FC274" s="150">
        <f t="shared" si="732"/>
        <v>42.533274174436272</v>
      </c>
      <c r="FD274" s="5">
        <f t="shared" si="733"/>
        <v>72.557999999999993</v>
      </c>
      <c r="FE274" s="150">
        <f t="shared" si="734"/>
        <v>0.63043875845903496</v>
      </c>
      <c r="FF274" s="5">
        <f t="shared" si="735"/>
        <v>63.0438758459035</v>
      </c>
      <c r="FG274">
        <f t="shared" si="736"/>
        <v>57.999999999999993</v>
      </c>
      <c r="FI274" s="59">
        <f t="shared" si="686"/>
        <v>-50</v>
      </c>
    </row>
    <row r="275" spans="5:165">
      <c r="E275" s="147">
        <v>59</v>
      </c>
      <c r="F275" s="188">
        <f t="shared" si="770"/>
        <v>2.36</v>
      </c>
      <c r="G275" s="188">
        <f t="shared" si="740"/>
        <v>0.50149999999999995</v>
      </c>
      <c r="H275" s="188">
        <f t="shared" si="741"/>
        <v>70.8</v>
      </c>
      <c r="I275" s="188">
        <f t="shared" si="742"/>
        <v>3.0089999999999995</v>
      </c>
      <c r="J275" s="465">
        <f t="shared" si="743"/>
        <v>47.854522693804739</v>
      </c>
      <c r="K275" s="379">
        <f t="shared" si="744"/>
        <v>30.806667762899167</v>
      </c>
      <c r="L275" s="149">
        <f t="shared" si="745"/>
        <v>78.661190456703906</v>
      </c>
      <c r="M275" s="379"/>
      <c r="N275" s="188">
        <f t="shared" si="746"/>
        <v>0.39163744642099635</v>
      </c>
      <c r="O275" s="149">
        <f t="shared" si="747"/>
        <v>272.38751642318596</v>
      </c>
      <c r="P275" s="149">
        <f t="shared" si="748"/>
        <v>11.576469447985403</v>
      </c>
      <c r="Q275" s="188">
        <f t="shared" si="624"/>
        <v>9.0795838807728657</v>
      </c>
      <c r="R275" s="188">
        <f t="shared" si="749"/>
        <v>45.397919403864329</v>
      </c>
      <c r="S275" s="188">
        <f t="shared" si="750"/>
        <v>30</v>
      </c>
      <c r="T275" s="188">
        <f t="shared" si="751"/>
        <v>7.8764789724112401</v>
      </c>
      <c r="U275" s="188">
        <f t="shared" si="628"/>
        <v>0.77358312415318231</v>
      </c>
      <c r="V275" s="188">
        <f t="shared" si="629"/>
        <v>1.2016700882825044</v>
      </c>
      <c r="W275" s="172">
        <f t="shared" si="630"/>
        <v>350</v>
      </c>
      <c r="X275" s="379">
        <f t="shared" si="688"/>
        <v>350</v>
      </c>
      <c r="Z275" s="188">
        <f t="shared" si="631"/>
        <v>11.393083931609306</v>
      </c>
      <c r="AA275" s="150">
        <f t="shared" si="632"/>
        <v>1.7381787245114388</v>
      </c>
      <c r="AB275" s="150">
        <f t="shared" si="752"/>
        <v>3.3242808795077945</v>
      </c>
      <c r="AC275" s="150"/>
      <c r="AD275" s="150">
        <f t="shared" si="634"/>
        <v>0.9246325731844689</v>
      </c>
      <c r="AE275" s="314">
        <f t="shared" si="753"/>
        <v>878.07743696914088</v>
      </c>
      <c r="AF275" s="456">
        <f t="shared" si="754"/>
        <v>0.94069152129805722</v>
      </c>
      <c r="AH275" s="150">
        <f t="shared" si="755"/>
        <v>9.4729818968599897</v>
      </c>
      <c r="AI275" s="150">
        <f t="shared" si="756"/>
        <v>9.4729818968599897</v>
      </c>
      <c r="AJ275" s="150">
        <f t="shared" si="757"/>
        <v>3.7276858046325403</v>
      </c>
      <c r="AL275" s="314">
        <f t="shared" si="758"/>
        <v>2360</v>
      </c>
      <c r="AM275" s="144">
        <f t="shared" si="759"/>
        <v>350</v>
      </c>
      <c r="AO275">
        <f t="shared" si="642"/>
        <v>2360</v>
      </c>
      <c r="AP275">
        <f t="shared" si="643"/>
        <v>350</v>
      </c>
      <c r="AR275" s="5">
        <f t="shared" si="771"/>
        <v>2.8571428571428572</v>
      </c>
      <c r="AS275" s="5">
        <f t="shared" si="737"/>
        <v>0.93038259309617788</v>
      </c>
      <c r="AT275" s="5">
        <f t="shared" si="738"/>
        <v>1.9267602640466794</v>
      </c>
      <c r="AU275" s="150">
        <f t="shared" si="739"/>
        <v>0.32563390758366223</v>
      </c>
      <c r="BA275" s="150">
        <f t="shared" si="689"/>
        <v>3.1209793156135057</v>
      </c>
      <c r="BB275" s="150">
        <f t="shared" si="690"/>
        <v>4.3082200655575589</v>
      </c>
      <c r="BC275" s="150">
        <f t="shared" si="691"/>
        <v>0.86479232777480364</v>
      </c>
      <c r="BD275" s="150"/>
      <c r="BE275" s="456">
        <f t="shared" si="692"/>
        <v>0.11688614266184817</v>
      </c>
      <c r="BF275" s="456">
        <f t="shared" si="760"/>
        <v>4.7596841619488233</v>
      </c>
      <c r="BG275" s="456">
        <f t="shared" si="693"/>
        <v>4.0250000000000001E-2</v>
      </c>
      <c r="BH275" s="456">
        <f t="shared" si="694"/>
        <v>1.1207259498764264</v>
      </c>
      <c r="BI275">
        <f t="shared" si="695"/>
        <v>2.1534535212212134E-2</v>
      </c>
      <c r="BJ275" s="144">
        <f t="shared" si="696"/>
        <v>61.784535212212141</v>
      </c>
      <c r="BK275">
        <f t="shared" si="761"/>
        <v>6.2010726163431071</v>
      </c>
      <c r="BL275" s="144">
        <f t="shared" si="697"/>
        <v>6059.080789699311</v>
      </c>
      <c r="BM275" s="150">
        <f t="shared" si="762"/>
        <v>1.5826159999999998</v>
      </c>
      <c r="BN275" s="150">
        <f t="shared" si="763"/>
        <v>0.24021849999999997</v>
      </c>
      <c r="BQ275" s="144">
        <f t="shared" si="698"/>
        <v>1822.8344999999997</v>
      </c>
      <c r="BR275" s="456">
        <f t="shared" si="699"/>
        <v>0.13636716643882288</v>
      </c>
      <c r="BS275" s="456">
        <f t="shared" si="700"/>
        <v>0.25985064186581885</v>
      </c>
      <c r="BT275" s="456">
        <f t="shared" si="701"/>
        <v>3.7393288508908167E-3</v>
      </c>
      <c r="BU275" s="456">
        <f t="shared" si="702"/>
        <v>31.648773452279233</v>
      </c>
      <c r="BV275" s="456"/>
      <c r="BW275" s="538">
        <f t="shared" si="703"/>
        <v>3.1408085106382981</v>
      </c>
      <c r="BX275" s="144">
        <f t="shared" si="704"/>
        <v>35189.539100073067</v>
      </c>
      <c r="BY275" s="150">
        <f t="shared" si="705"/>
        <v>43.071454389772377</v>
      </c>
      <c r="BZ275" s="5">
        <f t="shared" si="706"/>
        <v>73.808999999999997</v>
      </c>
      <c r="CA275" s="150">
        <f t="shared" si="707"/>
        <v>0.6314913848115451</v>
      </c>
      <c r="CB275" s="5">
        <f t="shared" si="708"/>
        <v>63.149138481154509</v>
      </c>
      <c r="CC275">
        <f t="shared" si="709"/>
        <v>59</v>
      </c>
      <c r="CE275" s="59">
        <f t="shared" si="764"/>
        <v>-50</v>
      </c>
      <c r="CG275" s="150">
        <f t="shared" si="765"/>
        <v>0.50873699819585882</v>
      </c>
      <c r="CH275" s="150">
        <f t="shared" si="766"/>
        <v>0.11102806567538857</v>
      </c>
      <c r="CI275" s="147">
        <v>59</v>
      </c>
      <c r="CJ275" s="188">
        <f t="shared" si="710"/>
        <v>2.36</v>
      </c>
      <c r="CK275" s="188">
        <f t="shared" si="651"/>
        <v>0.50149999999999995</v>
      </c>
      <c r="CL275" s="188">
        <f t="shared" si="652"/>
        <v>70.8</v>
      </c>
      <c r="CM275" s="188">
        <f t="shared" si="653"/>
        <v>3.0089999999999995</v>
      </c>
      <c r="CN275" s="465">
        <f t="shared" si="654"/>
        <v>48</v>
      </c>
      <c r="CO275" s="379">
        <f t="shared" si="767"/>
        <v>30.7</v>
      </c>
      <c r="CP275" s="379">
        <f t="shared" si="768"/>
        <v>78.7</v>
      </c>
      <c r="CQ275" s="379"/>
      <c r="CR275" s="188">
        <f t="shared" si="657"/>
        <v>0.38775510204081626</v>
      </c>
      <c r="CS275" s="149">
        <f t="shared" si="658"/>
        <v>270.50715642699197</v>
      </c>
      <c r="CT275" s="149">
        <f t="shared" si="659"/>
        <v>11.496554148147156</v>
      </c>
      <c r="CU275" s="188">
        <f t="shared" si="660"/>
        <v>9.0169052142330663</v>
      </c>
      <c r="CV275" s="188">
        <f t="shared" si="661"/>
        <v>45.084526071165328</v>
      </c>
      <c r="CW275" s="188">
        <f t="shared" si="662"/>
        <v>30</v>
      </c>
      <c r="CX275" s="188">
        <f t="shared" si="663"/>
        <v>7.9312302631578966</v>
      </c>
      <c r="CY275" s="188">
        <f t="shared" si="664"/>
        <v>0.77659962993421072</v>
      </c>
      <c r="CZ275" s="188">
        <f t="shared" si="665"/>
        <v>1.2142274344248247</v>
      </c>
      <c r="DA275" s="172">
        <f t="shared" si="666"/>
        <v>350</v>
      </c>
      <c r="DB275" s="379">
        <f t="shared" si="667"/>
        <v>350</v>
      </c>
      <c r="DD275" s="188">
        <f t="shared" si="668"/>
        <v>11.382534575916392</v>
      </c>
      <c r="DE275" s="150">
        <f t="shared" si="669"/>
        <v>1.7426030132510437</v>
      </c>
      <c r="DF275" s="150">
        <f t="shared" si="670"/>
        <v>3.3296564353233258</v>
      </c>
      <c r="DG275" s="150"/>
      <c r="DH275" s="150">
        <f t="shared" si="671"/>
        <v>0.92784522751949461</v>
      </c>
      <c r="DI275" s="314">
        <f t="shared" si="672"/>
        <v>875.03710308510631</v>
      </c>
      <c r="DJ275" s="456">
        <f t="shared" si="673"/>
        <v>0.94395997276890675</v>
      </c>
      <c r="DL275" s="150">
        <f t="shared" si="674"/>
        <v>9.4729818968599897</v>
      </c>
      <c r="DM275" s="150">
        <f t="shared" si="675"/>
        <v>9.4729818968599897</v>
      </c>
      <c r="DN275" s="150">
        <f t="shared" si="676"/>
        <v>3.7276858046325403</v>
      </c>
      <c r="DP275" s="314">
        <f t="shared" si="677"/>
        <v>2360</v>
      </c>
      <c r="DQ275" s="144">
        <f t="shared" si="678"/>
        <v>350</v>
      </c>
      <c r="DS275">
        <f t="shared" si="679"/>
        <v>2360</v>
      </c>
      <c r="DT275">
        <f t="shared" si="680"/>
        <v>350</v>
      </c>
      <c r="DV275" s="5">
        <f t="shared" si="681"/>
        <v>2.8571428571428572</v>
      </c>
      <c r="DW275" s="5">
        <f t="shared" si="682"/>
        <v>0.92756281073420721</v>
      </c>
      <c r="DX275" s="5">
        <f t="shared" si="683"/>
        <v>1.9295800464086499</v>
      </c>
      <c r="DY275" s="150">
        <f t="shared" si="684"/>
        <v>0.32464698375697254</v>
      </c>
      <c r="EA275" s="5">
        <f t="shared" si="711"/>
        <v>7.2968274444424299</v>
      </c>
      <c r="EB275" s="5">
        <f t="shared" si="712"/>
        <v>7.7528791597200808</v>
      </c>
      <c r="EC275" s="5">
        <f t="shared" si="713"/>
        <v>1.6741944520310341</v>
      </c>
      <c r="ED275" s="5"/>
      <c r="EE275" s="150">
        <f t="shared" si="714"/>
        <v>3.1162462301651641</v>
      </c>
      <c r="EF275" s="150">
        <f t="shared" si="715"/>
        <v>4.3113714180478668</v>
      </c>
      <c r="EG275" s="150">
        <f t="shared" si="716"/>
        <v>0.86542490118430071</v>
      </c>
      <c r="EH275" s="150"/>
      <c r="EI275" s="456">
        <f t="shared" si="717"/>
        <v>0.11653188680422316</v>
      </c>
      <c r="EJ275" s="456">
        <f t="shared" si="718"/>
        <v>4.95773244063116</v>
      </c>
      <c r="EK275" s="456">
        <f t="shared" si="719"/>
        <v>4.0250000000000001E-2</v>
      </c>
      <c r="EL275" s="456">
        <f t="shared" si="720"/>
        <v>1.1218321012500001</v>
      </c>
      <c r="EM275">
        <f t="shared" si="721"/>
        <v>2.1600000000000001E-2</v>
      </c>
      <c r="EN275" s="144">
        <f t="shared" si="722"/>
        <v>61.85</v>
      </c>
      <c r="EP275" s="144">
        <f t="shared" si="723"/>
        <v>6257.9464286853836</v>
      </c>
      <c r="EQ275" s="150">
        <f t="shared" si="724"/>
        <v>1.6519999999999999</v>
      </c>
      <c r="ER275" s="150">
        <f t="shared" si="769"/>
        <v>0.24021849999999997</v>
      </c>
      <c r="ES275" s="456"/>
      <c r="EU275" s="144">
        <f t="shared" si="725"/>
        <v>1892.2184999999997</v>
      </c>
      <c r="EV275" s="456">
        <f t="shared" si="726"/>
        <v>0.13595386793826036</v>
      </c>
      <c r="EW275" s="456">
        <f t="shared" si="727"/>
        <v>0.26023092906104106</v>
      </c>
      <c r="EX275" s="456">
        <f t="shared" si="728"/>
        <v>3.7448012979492836E-3</v>
      </c>
      <c r="EY275" s="456">
        <f t="shared" si="729"/>
        <v>31.648773452279233</v>
      </c>
      <c r="EZ275" s="456"/>
      <c r="FA275" s="538">
        <f t="shared" si="730"/>
        <v>3.1408085106382981</v>
      </c>
      <c r="FB275" s="144">
        <f t="shared" si="731"/>
        <v>35189.511561214786</v>
      </c>
      <c r="FC275" s="150">
        <f t="shared" si="732"/>
        <v>43.339676489900171</v>
      </c>
      <c r="FD275" s="5">
        <f t="shared" si="733"/>
        <v>73.808999999999997</v>
      </c>
      <c r="FE275" s="150">
        <f t="shared" si="734"/>
        <v>0.63004553027420118</v>
      </c>
      <c r="FF275" s="5">
        <f t="shared" si="735"/>
        <v>63.004553027420116</v>
      </c>
      <c r="FG275">
        <f t="shared" si="736"/>
        <v>59</v>
      </c>
      <c r="FI275" s="59">
        <f t="shared" si="686"/>
        <v>-50</v>
      </c>
    </row>
    <row r="276" spans="5:165">
      <c r="E276" s="147">
        <v>60</v>
      </c>
      <c r="F276" s="188">
        <f t="shared" si="770"/>
        <v>2.4</v>
      </c>
      <c r="G276" s="188">
        <f t="shared" si="740"/>
        <v>0.51</v>
      </c>
      <c r="H276" s="188">
        <f t="shared" si="741"/>
        <v>72</v>
      </c>
      <c r="I276" s="188">
        <f t="shared" si="742"/>
        <v>3.06</v>
      </c>
      <c r="J276" s="465">
        <f t="shared" si="743"/>
        <v>47.85329501544696</v>
      </c>
      <c r="K276" s="379">
        <f t="shared" si="744"/>
        <v>30.807567928756018</v>
      </c>
      <c r="L276" s="149">
        <f t="shared" si="745"/>
        <v>78.660862944202975</v>
      </c>
      <c r="M276" s="379"/>
      <c r="N276" s="188">
        <f t="shared" si="746"/>
        <v>0.3916505206739081</v>
      </c>
      <c r="O276" s="149">
        <f t="shared" si="747"/>
        <v>272.38962152113857</v>
      </c>
      <c r="P276" s="149">
        <f t="shared" si="748"/>
        <v>11.576558914648386</v>
      </c>
      <c r="Q276" s="188">
        <f t="shared" si="624"/>
        <v>9.0796540507046188</v>
      </c>
      <c r="R276" s="188">
        <f t="shared" si="749"/>
        <v>45.398270253523094</v>
      </c>
      <c r="S276" s="188">
        <f t="shared" si="750"/>
        <v>30</v>
      </c>
      <c r="T276" s="188">
        <f t="shared" si="751"/>
        <v>8.0099167128100888</v>
      </c>
      <c r="U276" s="188">
        <f t="shared" si="628"/>
        <v>0.78670880527777987</v>
      </c>
      <c r="V276" s="188">
        <f t="shared" si="629"/>
        <v>1.2219922272756814</v>
      </c>
      <c r="W276" s="172">
        <f t="shared" si="630"/>
        <v>350</v>
      </c>
      <c r="X276" s="379">
        <f t="shared" si="688"/>
        <v>350</v>
      </c>
      <c r="Z276" s="188">
        <f t="shared" si="631"/>
        <v>11.393171981010292</v>
      </c>
      <c r="AA276" s="150">
        <f t="shared" si="632"/>
        <v>1.7381413695031198</v>
      </c>
      <c r="AB276" s="150">
        <f t="shared" si="752"/>
        <v>3.3242351283070652</v>
      </c>
      <c r="AC276" s="150"/>
      <c r="AD276" s="150">
        <f t="shared" si="634"/>
        <v>0.92460555635943298</v>
      </c>
      <c r="AE276" s="314">
        <f t="shared" si="753"/>
        <v>892.98619754241577</v>
      </c>
      <c r="AF276" s="456">
        <f t="shared" si="754"/>
        <v>0.9406640352468616</v>
      </c>
      <c r="AH276" s="150">
        <f t="shared" si="755"/>
        <v>9.5529240896499328</v>
      </c>
      <c r="AI276" s="150">
        <f t="shared" si="756"/>
        <v>9.5529240896499328</v>
      </c>
      <c r="AJ276" s="150">
        <f t="shared" si="757"/>
        <v>3.7869022437362014</v>
      </c>
      <c r="AL276" s="314">
        <f t="shared" si="758"/>
        <v>2400</v>
      </c>
      <c r="AM276" s="144">
        <f t="shared" si="759"/>
        <v>350</v>
      </c>
      <c r="AO276">
        <f t="shared" si="642"/>
        <v>2400</v>
      </c>
      <c r="AP276">
        <f t="shared" si="643"/>
        <v>350</v>
      </c>
      <c r="AR276" s="5">
        <f t="shared" si="771"/>
        <v>2.8571428571428572</v>
      </c>
      <c r="AS276" s="5">
        <f t="shared" si="737"/>
        <v>0.93825813262935076</v>
      </c>
      <c r="AT276" s="5">
        <f t="shared" si="738"/>
        <v>1.9188847245135063</v>
      </c>
      <c r="AU276" s="150">
        <f t="shared" si="739"/>
        <v>0.32839034642027276</v>
      </c>
      <c r="BA276" s="150">
        <f t="shared" si="689"/>
        <v>3.1606098575518256</v>
      </c>
      <c r="BB276" s="150">
        <f t="shared" si="690"/>
        <v>4.3356887814253557</v>
      </c>
      <c r="BC276" s="150">
        <f t="shared" si="691"/>
        <v>0.87030614424072794</v>
      </c>
      <c r="BD276" s="150"/>
      <c r="BE276" s="456">
        <f t="shared" si="692"/>
        <v>0.11987345605984526</v>
      </c>
      <c r="BF276" s="456">
        <f t="shared" si="760"/>
        <v>4.7998310005502471</v>
      </c>
      <c r="BG276" s="456">
        <f t="shared" si="693"/>
        <v>4.0250000000000001E-2</v>
      </c>
      <c r="BH276" s="456">
        <f t="shared" si="694"/>
        <v>1.1207166174218208</v>
      </c>
      <c r="BI276">
        <f t="shared" si="695"/>
        <v>2.153398275695113E-2</v>
      </c>
      <c r="BJ276" s="144">
        <f t="shared" si="696"/>
        <v>61.783982756951126</v>
      </c>
      <c r="BK276">
        <f t="shared" si="761"/>
        <v>6.2508224133386836</v>
      </c>
      <c r="BL276" s="144">
        <f t="shared" si="697"/>
        <v>6102.2050567888646</v>
      </c>
      <c r="BM276" s="150">
        <f t="shared" si="762"/>
        <v>1.60944</v>
      </c>
      <c r="BN276" s="150">
        <f t="shared" si="763"/>
        <v>0.24429000000000001</v>
      </c>
      <c r="BQ276" s="144">
        <f t="shared" si="698"/>
        <v>1853.73</v>
      </c>
      <c r="BR276" s="456">
        <f t="shared" si="699"/>
        <v>0.1398523654031528</v>
      </c>
      <c r="BS276" s="456">
        <f t="shared" si="700"/>
        <v>0.26317476093128761</v>
      </c>
      <c r="BT276" s="456">
        <f t="shared" si="701"/>
        <v>3.7871639235158138E-3</v>
      </c>
      <c r="BU276" s="456">
        <f t="shared" si="702"/>
        <v>32.320712941794</v>
      </c>
      <c r="BV276" s="456"/>
      <c r="BW276" s="538">
        <f t="shared" si="703"/>
        <v>3.1940425531914904</v>
      </c>
      <c r="BX276" s="144">
        <f t="shared" si="704"/>
        <v>35921.569785243446</v>
      </c>
      <c r="BY276" s="150">
        <f t="shared" si="705"/>
        <v>43.877504842032309</v>
      </c>
      <c r="BZ276" s="5">
        <f t="shared" si="706"/>
        <v>75.06</v>
      </c>
      <c r="CA276" s="150">
        <f t="shared" si="707"/>
        <v>0.63108773048241995</v>
      </c>
      <c r="CB276" s="5">
        <f t="shared" si="708"/>
        <v>63.108773048241993</v>
      </c>
      <c r="CC276">
        <f t="shared" si="709"/>
        <v>60</v>
      </c>
      <c r="CE276" s="59">
        <f t="shared" si="764"/>
        <v>-50</v>
      </c>
      <c r="CG276" s="150">
        <f t="shared" si="765"/>
        <v>0.51303021353522638</v>
      </c>
      <c r="CH276" s="150">
        <f t="shared" si="766"/>
        <v>0.11196502798862369</v>
      </c>
      <c r="CI276" s="147">
        <v>60</v>
      </c>
      <c r="CJ276" s="188">
        <f t="shared" si="710"/>
        <v>2.4</v>
      </c>
      <c r="CK276" s="188">
        <f t="shared" si="651"/>
        <v>0.51</v>
      </c>
      <c r="CL276" s="188">
        <f t="shared" si="652"/>
        <v>72</v>
      </c>
      <c r="CM276" s="188">
        <f t="shared" si="653"/>
        <v>3.06</v>
      </c>
      <c r="CN276" s="465">
        <f t="shared" si="654"/>
        <v>48</v>
      </c>
      <c r="CO276" s="379">
        <f t="shared" si="767"/>
        <v>30.7</v>
      </c>
      <c r="CP276" s="379">
        <f t="shared" si="768"/>
        <v>78.7</v>
      </c>
      <c r="CQ276" s="379"/>
      <c r="CR276" s="188">
        <f t="shared" si="657"/>
        <v>0.38775510204081626</v>
      </c>
      <c r="CS276" s="149">
        <f t="shared" si="658"/>
        <v>270.50715642699197</v>
      </c>
      <c r="CT276" s="149">
        <f t="shared" si="659"/>
        <v>11.496554148147156</v>
      </c>
      <c r="CU276" s="188">
        <f t="shared" si="660"/>
        <v>9.0169052142330663</v>
      </c>
      <c r="CV276" s="188">
        <f t="shared" si="661"/>
        <v>45.084526071165328</v>
      </c>
      <c r="CW276" s="188">
        <f t="shared" si="662"/>
        <v>30</v>
      </c>
      <c r="CX276" s="188">
        <f t="shared" si="663"/>
        <v>8.0656578947368445</v>
      </c>
      <c r="CY276" s="188">
        <f t="shared" si="664"/>
        <v>0.78976233552631603</v>
      </c>
      <c r="CZ276" s="188">
        <f t="shared" si="665"/>
        <v>1.234807560432025</v>
      </c>
      <c r="DA276" s="172">
        <f t="shared" si="666"/>
        <v>350</v>
      </c>
      <c r="DB276" s="379">
        <f t="shared" si="667"/>
        <v>350</v>
      </c>
      <c r="DD276" s="188">
        <f t="shared" si="668"/>
        <v>11.382534575916392</v>
      </c>
      <c r="DE276" s="150">
        <f t="shared" si="669"/>
        <v>1.7426030132510437</v>
      </c>
      <c r="DF276" s="150">
        <f t="shared" si="670"/>
        <v>3.3296564353233258</v>
      </c>
      <c r="DG276" s="150"/>
      <c r="DH276" s="150">
        <f t="shared" si="671"/>
        <v>0.92784522751949461</v>
      </c>
      <c r="DI276" s="314">
        <f t="shared" si="672"/>
        <v>889.86824042553189</v>
      </c>
      <c r="DJ276" s="456">
        <f t="shared" si="673"/>
        <v>0.94395997276890675</v>
      </c>
      <c r="DL276" s="150">
        <f t="shared" si="674"/>
        <v>9.5529240896499328</v>
      </c>
      <c r="DM276" s="150">
        <f t="shared" si="675"/>
        <v>9.5529240896499328</v>
      </c>
      <c r="DN276" s="150">
        <f t="shared" si="676"/>
        <v>3.7869022437362014</v>
      </c>
      <c r="DP276" s="314">
        <f t="shared" si="677"/>
        <v>2400</v>
      </c>
      <c r="DQ276" s="144">
        <f t="shared" si="678"/>
        <v>350</v>
      </c>
      <c r="DS276">
        <f t="shared" si="679"/>
        <v>2400</v>
      </c>
      <c r="DT276">
        <f t="shared" si="680"/>
        <v>350</v>
      </c>
      <c r="DV276" s="5">
        <f t="shared" si="681"/>
        <v>2.8571428571428572</v>
      </c>
      <c r="DW276" s="5">
        <f t="shared" si="682"/>
        <v>0.93539048377822254</v>
      </c>
      <c r="DX276" s="5">
        <f t="shared" si="683"/>
        <v>1.9217523733646347</v>
      </c>
      <c r="DY276" s="150">
        <f t="shared" si="684"/>
        <v>0.32738666932237787</v>
      </c>
      <c r="EA276" s="5">
        <f t="shared" si="711"/>
        <v>7.4831238702257794</v>
      </c>
      <c r="EB276" s="5">
        <f t="shared" si="712"/>
        <v>7.9508191121148917</v>
      </c>
      <c r="EC276" s="5">
        <f t="shared" si="713"/>
        <v>1.6956638588511479</v>
      </c>
      <c r="ED276" s="5"/>
      <c r="EE276" s="150">
        <f t="shared" si="714"/>
        <v>3.1557761903310024</v>
      </c>
      <c r="EF276" s="150">
        <f t="shared" si="715"/>
        <v>4.3389272748837282</v>
      </c>
      <c r="EG276" s="150">
        <f t="shared" si="716"/>
        <v>0.87095620952377584</v>
      </c>
      <c r="EH276" s="150"/>
      <c r="EI276" s="456">
        <f t="shared" si="717"/>
        <v>0.11950708036152066</v>
      </c>
      <c r="EJ276" s="456">
        <f t="shared" si="718"/>
        <v>4.9995705869387415</v>
      </c>
      <c r="EK276" s="456">
        <f t="shared" si="719"/>
        <v>4.0250000000000001E-2</v>
      </c>
      <c r="EL276" s="456">
        <f t="shared" si="720"/>
        <v>1.1218321012500001</v>
      </c>
      <c r="EM276">
        <f t="shared" si="721"/>
        <v>2.1600000000000001E-2</v>
      </c>
      <c r="EN276" s="144">
        <f t="shared" si="722"/>
        <v>61.85</v>
      </c>
      <c r="EP276" s="144">
        <f t="shared" si="723"/>
        <v>6302.7597685502624</v>
      </c>
      <c r="EQ276" s="150">
        <f t="shared" si="724"/>
        <v>1.68</v>
      </c>
      <c r="ER276" s="150">
        <f t="shared" si="769"/>
        <v>0.24429000000000001</v>
      </c>
      <c r="ES276" s="456"/>
      <c r="EU276" s="144">
        <f t="shared" si="725"/>
        <v>1924.29</v>
      </c>
      <c r="EV276" s="456">
        <f t="shared" si="726"/>
        <v>0.13942492708844079</v>
      </c>
      <c r="EW276" s="456">
        <f t="shared" si="727"/>
        <v>0.26356805855421911</v>
      </c>
      <c r="EX276" s="456">
        <f t="shared" si="728"/>
        <v>3.7928235945401166E-3</v>
      </c>
      <c r="EY276" s="456">
        <f t="shared" si="729"/>
        <v>32.320712941794</v>
      </c>
      <c r="EZ276" s="456"/>
      <c r="FA276" s="538">
        <f t="shared" si="730"/>
        <v>3.1940425531914904</v>
      </c>
      <c r="FB276" s="144">
        <f t="shared" si="731"/>
        <v>35921.541304222686</v>
      </c>
      <c r="FC276" s="150">
        <f t="shared" si="732"/>
        <v>44.148591072772959</v>
      </c>
      <c r="FD276" s="5">
        <f t="shared" si="733"/>
        <v>75.06</v>
      </c>
      <c r="FE276" s="150">
        <f t="shared" si="734"/>
        <v>0.62965260577719873</v>
      </c>
      <c r="FF276" s="5">
        <f t="shared" si="735"/>
        <v>62.965260577719874</v>
      </c>
      <c r="FG276">
        <f t="shared" si="736"/>
        <v>60</v>
      </c>
      <c r="FI276" s="59">
        <f t="shared" si="686"/>
        <v>-50</v>
      </c>
    </row>
    <row r="277" spans="5:165">
      <c r="E277" s="147">
        <v>61</v>
      </c>
      <c r="F277" s="188">
        <f t="shared" si="770"/>
        <v>2.44</v>
      </c>
      <c r="G277" s="188">
        <f t="shared" si="740"/>
        <v>0.51849999999999996</v>
      </c>
      <c r="H277" s="188">
        <f t="shared" si="741"/>
        <v>73.2</v>
      </c>
      <c r="I277" s="188">
        <f t="shared" si="742"/>
        <v>3.1109999999999998</v>
      </c>
      <c r="J277" s="465">
        <f t="shared" si="743"/>
        <v>47.852077525819823</v>
      </c>
      <c r="K277" s="379">
        <f t="shared" si="744"/>
        <v>30.808460623969289</v>
      </c>
      <c r="L277" s="149">
        <f t="shared" si="745"/>
        <v>78.660538149789119</v>
      </c>
      <c r="M277" s="379"/>
      <c r="N277" s="188">
        <f t="shared" si="746"/>
        <v>0.3916634865286881</v>
      </c>
      <c r="O277" s="149">
        <f t="shared" si="747"/>
        <v>272.39170876249801</v>
      </c>
      <c r="P277" s="149">
        <f t="shared" si="748"/>
        <v>11.576647622406163</v>
      </c>
      <c r="Q277" s="188">
        <f t="shared" si="624"/>
        <v>9.0797236254165998</v>
      </c>
      <c r="R277" s="188">
        <f t="shared" si="749"/>
        <v>45.398618127083004</v>
      </c>
      <c r="S277" s="188">
        <f t="shared" si="750"/>
        <v>30</v>
      </c>
      <c r="T277" s="188">
        <f t="shared" si="751"/>
        <v>8.1433529245777496</v>
      </c>
      <c r="U277" s="188">
        <f t="shared" si="628"/>
        <v>0.79983483945631895</v>
      </c>
      <c r="V277" s="188">
        <f t="shared" si="629"/>
        <v>1.2423132467624187</v>
      </c>
      <c r="W277" s="172">
        <f t="shared" si="630"/>
        <v>350</v>
      </c>
      <c r="X277" s="379">
        <f t="shared" si="688"/>
        <v>350</v>
      </c>
      <c r="Z277" s="188">
        <f t="shared" si="631"/>
        <v>11.393259283528071</v>
      </c>
      <c r="AA277" s="150">
        <f t="shared" si="632"/>
        <v>1.7381043242037484</v>
      </c>
      <c r="AB277" s="150">
        <f t="shared" si="752"/>
        <v>3.3241897504154072</v>
      </c>
      <c r="AC277" s="150"/>
      <c r="AD277" s="150">
        <f t="shared" si="634"/>
        <v>0.92457876531120764</v>
      </c>
      <c r="AE277" s="314">
        <f t="shared" si="753"/>
        <v>907.89560770136848</v>
      </c>
      <c r="AF277" s="456">
        <f t="shared" si="754"/>
        <v>0.94063677889375086</v>
      </c>
      <c r="AH277" s="150">
        <f t="shared" si="755"/>
        <v>9.6322028273386611</v>
      </c>
      <c r="AI277" s="150">
        <f t="shared" si="756"/>
        <v>9.6322028273386611</v>
      </c>
      <c r="AJ277" s="150">
        <f t="shared" si="757"/>
        <v>3.8456272346167415</v>
      </c>
      <c r="AL277" s="314">
        <f t="shared" si="758"/>
        <v>2440</v>
      </c>
      <c r="AM277" s="144">
        <f t="shared" si="759"/>
        <v>350</v>
      </c>
      <c r="AO277">
        <f t="shared" si="642"/>
        <v>2440</v>
      </c>
      <c r="AP277">
        <f t="shared" si="643"/>
        <v>350</v>
      </c>
      <c r="AR277" s="5">
        <f t="shared" si="771"/>
        <v>2.8571428571428572</v>
      </c>
      <c r="AS277" s="5">
        <f t="shared" si="737"/>
        <v>0.94606871068585008</v>
      </c>
      <c r="AT277" s="5">
        <f t="shared" si="738"/>
        <v>1.9110741464570071</v>
      </c>
      <c r="AU277" s="150">
        <f t="shared" si="739"/>
        <v>0.33112404874004753</v>
      </c>
      <c r="BA277" s="150">
        <f t="shared" si="689"/>
        <v>3.2000764481370894</v>
      </c>
      <c r="BB277" s="150">
        <f t="shared" si="690"/>
        <v>4.3627639800720326</v>
      </c>
      <c r="BC277" s="150">
        <f t="shared" si="691"/>
        <v>0.87574096969215143</v>
      </c>
      <c r="BD277" s="150"/>
      <c r="BE277" s="456">
        <f t="shared" si="692"/>
        <v>0.12288587128706027</v>
      </c>
      <c r="BF277" s="456">
        <f t="shared" si="760"/>
        <v>4.8396443227602486</v>
      </c>
      <c r="BG277" s="456">
        <f t="shared" si="693"/>
        <v>4.0250000000000001E-2</v>
      </c>
      <c r="BH277" s="456">
        <f t="shared" si="694"/>
        <v>1.1207073624573636</v>
      </c>
      <c r="BI277">
        <f t="shared" si="695"/>
        <v>2.1533434886618921E-2</v>
      </c>
      <c r="BJ277" s="144">
        <f t="shared" si="696"/>
        <v>61.78343488661892</v>
      </c>
      <c r="BK277">
        <f t="shared" si="761"/>
        <v>6.3003730365678141</v>
      </c>
      <c r="BL277" s="144">
        <f t="shared" si="697"/>
        <v>6145.0209913912913</v>
      </c>
      <c r="BM277" s="150">
        <f t="shared" si="762"/>
        <v>1.6362639999999999</v>
      </c>
      <c r="BN277" s="150">
        <f t="shared" si="763"/>
        <v>0.24836149999999999</v>
      </c>
      <c r="BQ277" s="144">
        <f t="shared" si="698"/>
        <v>1884.6254999999999</v>
      </c>
      <c r="BR277" s="456">
        <f t="shared" si="699"/>
        <v>0.14336684983490364</v>
      </c>
      <c r="BS277" s="456">
        <f t="shared" si="700"/>
        <v>0.26647193364139549</v>
      </c>
      <c r="BT277" s="456">
        <f t="shared" si="701"/>
        <v>3.8346112299867488E-3</v>
      </c>
      <c r="BU277" s="456">
        <f t="shared" si="702"/>
        <v>32.995458133999868</v>
      </c>
      <c r="BV277" s="456"/>
      <c r="BW277" s="538">
        <f t="shared" si="703"/>
        <v>3.2472765957446819</v>
      </c>
      <c r="BX277" s="144">
        <f t="shared" si="704"/>
        <v>36656.408124450834</v>
      </c>
      <c r="BY277" s="150">
        <f t="shared" si="705"/>
        <v>44.686054615842124</v>
      </c>
      <c r="BZ277" s="5">
        <f t="shared" si="706"/>
        <v>76.311000000000007</v>
      </c>
      <c r="CA277" s="150">
        <f t="shared" si="707"/>
        <v>0.63068477362761044</v>
      </c>
      <c r="CB277" s="5">
        <f t="shared" si="708"/>
        <v>63.068477362761044</v>
      </c>
      <c r="CC277">
        <f t="shared" si="709"/>
        <v>61</v>
      </c>
      <c r="CE277" s="59">
        <f t="shared" si="764"/>
        <v>-50</v>
      </c>
      <c r="CG277" s="150">
        <f t="shared" si="765"/>
        <v>0.51728779868335062</v>
      </c>
      <c r="CH277" s="150">
        <f t="shared" si="766"/>
        <v>0.11289421427765099</v>
      </c>
      <c r="CI277" s="147">
        <v>61</v>
      </c>
      <c r="CJ277" s="188">
        <f t="shared" si="710"/>
        <v>2.44</v>
      </c>
      <c r="CK277" s="188">
        <f t="shared" si="651"/>
        <v>0.51849999999999996</v>
      </c>
      <c r="CL277" s="188">
        <f t="shared" si="652"/>
        <v>73.2</v>
      </c>
      <c r="CM277" s="188">
        <f t="shared" si="653"/>
        <v>3.1109999999999998</v>
      </c>
      <c r="CN277" s="465">
        <f t="shared" si="654"/>
        <v>48</v>
      </c>
      <c r="CO277" s="379">
        <f t="shared" si="767"/>
        <v>30.7</v>
      </c>
      <c r="CP277" s="379">
        <f t="shared" si="768"/>
        <v>78.7</v>
      </c>
      <c r="CQ277" s="379"/>
      <c r="CR277" s="188">
        <f t="shared" si="657"/>
        <v>0.38775510204081626</v>
      </c>
      <c r="CS277" s="149">
        <f t="shared" si="658"/>
        <v>270.50715642699197</v>
      </c>
      <c r="CT277" s="149">
        <f t="shared" si="659"/>
        <v>11.496554148147156</v>
      </c>
      <c r="CU277" s="188">
        <f t="shared" si="660"/>
        <v>9.0169052142330663</v>
      </c>
      <c r="CV277" s="188">
        <f t="shared" si="661"/>
        <v>45.084526071165328</v>
      </c>
      <c r="CW277" s="188">
        <f t="shared" si="662"/>
        <v>30</v>
      </c>
      <c r="CX277" s="188">
        <f t="shared" si="663"/>
        <v>8.2000855263157924</v>
      </c>
      <c r="CY277" s="188">
        <f t="shared" si="664"/>
        <v>0.80292504111842133</v>
      </c>
      <c r="CZ277" s="188">
        <f t="shared" si="665"/>
        <v>1.2553876864392257</v>
      </c>
      <c r="DA277" s="172">
        <f t="shared" si="666"/>
        <v>350</v>
      </c>
      <c r="DB277" s="379">
        <f t="shared" si="667"/>
        <v>350</v>
      </c>
      <c r="DD277" s="188">
        <f t="shared" si="668"/>
        <v>11.382534575916392</v>
      </c>
      <c r="DE277" s="150">
        <f t="shared" si="669"/>
        <v>1.7426030132510437</v>
      </c>
      <c r="DF277" s="150">
        <f t="shared" si="670"/>
        <v>3.3296564353233258</v>
      </c>
      <c r="DG277" s="150"/>
      <c r="DH277" s="150">
        <f t="shared" si="671"/>
        <v>0.92784522751949461</v>
      </c>
      <c r="DI277" s="314">
        <f t="shared" si="672"/>
        <v>904.69937776595748</v>
      </c>
      <c r="DJ277" s="456">
        <f t="shared" si="673"/>
        <v>0.94395997276890675</v>
      </c>
      <c r="DL277" s="150">
        <f t="shared" si="674"/>
        <v>9.6322028273386611</v>
      </c>
      <c r="DM277" s="150">
        <f t="shared" si="675"/>
        <v>9.6322028273386611</v>
      </c>
      <c r="DN277" s="150">
        <f t="shared" si="676"/>
        <v>3.8456272346167415</v>
      </c>
      <c r="DP277" s="314">
        <f t="shared" si="677"/>
        <v>2440</v>
      </c>
      <c r="DQ277" s="144">
        <f t="shared" si="678"/>
        <v>350</v>
      </c>
      <c r="DS277">
        <f t="shared" si="679"/>
        <v>2440</v>
      </c>
      <c r="DT277">
        <f t="shared" si="680"/>
        <v>350</v>
      </c>
      <c r="DV277" s="5">
        <f t="shared" si="681"/>
        <v>2.8571428571428572</v>
      </c>
      <c r="DW277" s="5">
        <f t="shared" si="682"/>
        <v>0.94315319351024385</v>
      </c>
      <c r="DX277" s="5">
        <f t="shared" si="683"/>
        <v>1.9139896636326132</v>
      </c>
      <c r="DY277" s="150">
        <f t="shared" si="684"/>
        <v>0.33010361772858532</v>
      </c>
      <c r="EA277" s="5">
        <f t="shared" si="711"/>
        <v>7.6709793072166494</v>
      </c>
      <c r="EB277" s="5">
        <f t="shared" si="712"/>
        <v>8.1504155139176895</v>
      </c>
      <c r="EC277" s="5">
        <f t="shared" si="713"/>
        <v>1.7169613159057264</v>
      </c>
      <c r="ED277" s="5"/>
      <c r="EE277" s="150">
        <f t="shared" si="714"/>
        <v>3.1951417764514871</v>
      </c>
      <c r="EF277" s="150">
        <f t="shared" si="715"/>
        <v>4.3660906081278101</v>
      </c>
      <c r="EG277" s="150">
        <f t="shared" si="716"/>
        <v>0.87640872630073208</v>
      </c>
      <c r="EH277" s="150"/>
      <c r="EI277" s="456">
        <f t="shared" si="717"/>
        <v>0.12250717165950678</v>
      </c>
      <c r="EJ277" s="456">
        <f t="shared" si="718"/>
        <v>5.0410615107018257</v>
      </c>
      <c r="EK277" s="456">
        <f t="shared" si="719"/>
        <v>4.0250000000000001E-2</v>
      </c>
      <c r="EL277" s="456">
        <f t="shared" si="720"/>
        <v>1.1218321012500001</v>
      </c>
      <c r="EM277">
        <f t="shared" si="721"/>
        <v>2.1600000000000001E-2</v>
      </c>
      <c r="EN277" s="144">
        <f t="shared" si="722"/>
        <v>61.85</v>
      </c>
      <c r="EP277" s="144">
        <f t="shared" si="723"/>
        <v>6347.2507836113327</v>
      </c>
      <c r="EQ277" s="150">
        <f t="shared" si="724"/>
        <v>1.708</v>
      </c>
      <c r="ER277" s="150">
        <f t="shared" si="769"/>
        <v>0.24836149999999999</v>
      </c>
      <c r="ES277" s="456"/>
      <c r="EU277" s="144">
        <f t="shared" si="725"/>
        <v>1956.3615</v>
      </c>
      <c r="EV277" s="456">
        <f t="shared" si="726"/>
        <v>0.14292503360275791</v>
      </c>
      <c r="EW277" s="456">
        <f t="shared" si="727"/>
        <v>0.26687846077734617</v>
      </c>
      <c r="EX277" s="456">
        <f t="shared" si="728"/>
        <v>3.8404612776803577E-3</v>
      </c>
      <c r="EY277" s="456">
        <f t="shared" si="729"/>
        <v>32.995458133999868</v>
      </c>
      <c r="EZ277" s="456"/>
      <c r="FA277" s="538">
        <f t="shared" si="730"/>
        <v>3.2472765957446819</v>
      </c>
      <c r="FB277" s="144">
        <f t="shared" si="731"/>
        <v>36656.378685402327</v>
      </c>
      <c r="FC277" s="150">
        <f t="shared" si="732"/>
        <v>44.959990969013667</v>
      </c>
      <c r="FD277" s="5">
        <f t="shared" si="733"/>
        <v>76.311000000000007</v>
      </c>
      <c r="FE277" s="150">
        <f t="shared" si="734"/>
        <v>0.62926013377344692</v>
      </c>
      <c r="FF277" s="5">
        <f t="shared" si="735"/>
        <v>62.926013377344688</v>
      </c>
      <c r="FG277">
        <f t="shared" si="736"/>
        <v>61</v>
      </c>
      <c r="FI277" s="59">
        <f t="shared" si="686"/>
        <v>-50</v>
      </c>
    </row>
    <row r="278" spans="5:165">
      <c r="E278" s="147">
        <v>62</v>
      </c>
      <c r="F278" s="188">
        <f t="shared" si="770"/>
        <v>2.48</v>
      </c>
      <c r="G278" s="188">
        <f t="shared" si="740"/>
        <v>0.52700000000000002</v>
      </c>
      <c r="H278" s="188">
        <f t="shared" si="741"/>
        <v>74.400000000000006</v>
      </c>
      <c r="I278" s="188">
        <f t="shared" si="742"/>
        <v>3.1619999999999999</v>
      </c>
      <c r="J278" s="465">
        <f t="shared" si="743"/>
        <v>47.850869975382338</v>
      </c>
      <c r="K278" s="379">
        <f t="shared" si="744"/>
        <v>30.809346031508944</v>
      </c>
      <c r="L278" s="149">
        <f t="shared" si="745"/>
        <v>78.660216006891289</v>
      </c>
      <c r="M278" s="379"/>
      <c r="N278" s="188">
        <f t="shared" si="746"/>
        <v>0.39167634664020995</v>
      </c>
      <c r="O278" s="149">
        <f t="shared" si="747"/>
        <v>272.39377858460102</v>
      </c>
      <c r="P278" s="149">
        <f t="shared" si="748"/>
        <v>11.576735589845541</v>
      </c>
      <c r="Q278" s="188">
        <f t="shared" si="624"/>
        <v>9.0797926194867014</v>
      </c>
      <c r="R278" s="188">
        <f t="shared" si="749"/>
        <v>45.398963097433501</v>
      </c>
      <c r="S278" s="188">
        <f t="shared" si="750"/>
        <v>30</v>
      </c>
      <c r="T278" s="188">
        <f t="shared" si="751"/>
        <v>8.2767876207026916</v>
      </c>
      <c r="U278" s="188">
        <f t="shared" si="628"/>
        <v>0.81296122384641811</v>
      </c>
      <c r="V278" s="188">
        <f t="shared" si="629"/>
        <v>1.262633156105242</v>
      </c>
      <c r="W278" s="172">
        <f t="shared" si="630"/>
        <v>350</v>
      </c>
      <c r="X278" s="379">
        <f t="shared" si="688"/>
        <v>350</v>
      </c>
      <c r="Z278" s="188">
        <f t="shared" si="631"/>
        <v>11.393345857454998</v>
      </c>
      <c r="AA278" s="150">
        <f t="shared" si="632"/>
        <v>1.7380675810279718</v>
      </c>
      <c r="AB278" s="150">
        <f t="shared" si="752"/>
        <v>3.3241447366900023</v>
      </c>
      <c r="AC278" s="150"/>
      <c r="AD278" s="150">
        <f t="shared" si="634"/>
        <v>0.92455219450996518</v>
      </c>
      <c r="AE278" s="314">
        <f t="shared" si="753"/>
        <v>922.80566209916026</v>
      </c>
      <c r="AF278" s="456">
        <f t="shared" si="754"/>
        <v>0.94060974661285601</v>
      </c>
      <c r="AH278" s="150">
        <f t="shared" si="755"/>
        <v>9.7108343591767543</v>
      </c>
      <c r="AI278" s="150">
        <f t="shared" si="756"/>
        <v>9.7108343591767543</v>
      </c>
      <c r="AJ278" s="150">
        <f t="shared" si="757"/>
        <v>3.9038728137560694</v>
      </c>
      <c r="AL278" s="314">
        <f t="shared" si="758"/>
        <v>2480</v>
      </c>
      <c r="AM278" s="144">
        <f t="shared" si="759"/>
        <v>350</v>
      </c>
      <c r="AO278">
        <f t="shared" si="642"/>
        <v>2480</v>
      </c>
      <c r="AP278">
        <f t="shared" si="643"/>
        <v>350</v>
      </c>
      <c r="AR278" s="5">
        <f t="shared" si="771"/>
        <v>2.8571428571428572</v>
      </c>
      <c r="AS278" s="5">
        <f t="shared" si="737"/>
        <v>0.95381591832314561</v>
      </c>
      <c r="AT278" s="5">
        <f t="shared" si="738"/>
        <v>1.9033269388197116</v>
      </c>
      <c r="AU278" s="150">
        <f t="shared" si="739"/>
        <v>0.33383557141310094</v>
      </c>
      <c r="BA278" s="150">
        <f t="shared" si="689"/>
        <v>3.2393824439252805</v>
      </c>
      <c r="BB278" s="150">
        <f t="shared" si="690"/>
        <v>4.3894547333184066</v>
      </c>
      <c r="BC278" s="150">
        <f t="shared" si="691"/>
        <v>0.88109862512264459</v>
      </c>
      <c r="BD278" s="150"/>
      <c r="BE278" s="456">
        <f t="shared" si="692"/>
        <v>0.12592318341613587</v>
      </c>
      <c r="BF278" s="456">
        <f t="shared" si="760"/>
        <v>4.8791322970161559</v>
      </c>
      <c r="BG278" s="456">
        <f t="shared" si="693"/>
        <v>4.0250000000000001E-2</v>
      </c>
      <c r="BH278" s="456">
        <f t="shared" si="694"/>
        <v>1.1206981830851754</v>
      </c>
      <c r="BI278">
        <f t="shared" si="695"/>
        <v>2.1532891488922051E-2</v>
      </c>
      <c r="BJ278" s="144">
        <f t="shared" si="696"/>
        <v>61.782891488922047</v>
      </c>
      <c r="BK278">
        <f t="shared" si="761"/>
        <v>6.3497327905171455</v>
      </c>
      <c r="BL278" s="144">
        <f t="shared" si="697"/>
        <v>6187.5365550063898</v>
      </c>
      <c r="BM278" s="150">
        <f t="shared" si="762"/>
        <v>1.6630879999999999</v>
      </c>
      <c r="BN278" s="150">
        <f t="shared" si="763"/>
        <v>0.25243300000000002</v>
      </c>
      <c r="BQ278" s="144">
        <f t="shared" si="698"/>
        <v>1915.521</v>
      </c>
      <c r="BR278" s="456">
        <f t="shared" si="699"/>
        <v>0.14691038065215853</v>
      </c>
      <c r="BS278" s="456">
        <f t="shared" si="700"/>
        <v>0.26974237998191913</v>
      </c>
      <c r="BT278" s="456">
        <f t="shared" si="701"/>
        <v>3.8816739359650732E-3</v>
      </c>
      <c r="BU278" s="456">
        <f t="shared" si="702"/>
        <v>33.672974458637505</v>
      </c>
      <c r="BV278" s="456"/>
      <c r="BW278" s="538">
        <f t="shared" si="703"/>
        <v>3.3005106382978737</v>
      </c>
      <c r="BX278" s="144">
        <f t="shared" si="704"/>
        <v>37394.019531505422</v>
      </c>
      <c r="BY278" s="150">
        <f t="shared" si="705"/>
        <v>45.497077086511808</v>
      </c>
      <c r="BZ278" s="5">
        <f t="shared" si="706"/>
        <v>77.562000000000012</v>
      </c>
      <c r="CA278" s="150">
        <f t="shared" si="707"/>
        <v>0.63028264014586355</v>
      </c>
      <c r="CB278" s="5">
        <f t="shared" si="708"/>
        <v>63.028264014586355</v>
      </c>
      <c r="CC278">
        <f t="shared" si="709"/>
        <v>62</v>
      </c>
      <c r="CE278" s="59">
        <f t="shared" si="764"/>
        <v>-50</v>
      </c>
      <c r="CG278" s="150">
        <f t="shared" si="765"/>
        <v>0.5215106262899476</v>
      </c>
      <c r="CH278" s="150">
        <f t="shared" si="766"/>
        <v>0.11381581499177988</v>
      </c>
      <c r="CI278" s="147">
        <v>62</v>
      </c>
      <c r="CJ278" s="188">
        <f t="shared" si="710"/>
        <v>2.48</v>
      </c>
      <c r="CK278" s="188">
        <f t="shared" si="651"/>
        <v>0.52700000000000002</v>
      </c>
      <c r="CL278" s="188">
        <f t="shared" si="652"/>
        <v>74.400000000000006</v>
      </c>
      <c r="CM278" s="188">
        <f t="shared" si="653"/>
        <v>3.1619999999999999</v>
      </c>
      <c r="CN278" s="465">
        <f t="shared" si="654"/>
        <v>48</v>
      </c>
      <c r="CO278" s="379">
        <f t="shared" si="767"/>
        <v>30.7</v>
      </c>
      <c r="CP278" s="379">
        <f t="shared" si="768"/>
        <v>78.7</v>
      </c>
      <c r="CQ278" s="379"/>
      <c r="CR278" s="188">
        <f t="shared" si="657"/>
        <v>0.38775510204081626</v>
      </c>
      <c r="CS278" s="149">
        <f t="shared" si="658"/>
        <v>270.50715642699197</v>
      </c>
      <c r="CT278" s="149">
        <f t="shared" si="659"/>
        <v>11.496554148147156</v>
      </c>
      <c r="CU278" s="188">
        <f t="shared" si="660"/>
        <v>9.0169052142330663</v>
      </c>
      <c r="CV278" s="188">
        <f t="shared" si="661"/>
        <v>45.084526071165328</v>
      </c>
      <c r="CW278" s="188">
        <f t="shared" si="662"/>
        <v>30</v>
      </c>
      <c r="CX278" s="188">
        <f t="shared" si="663"/>
        <v>8.3345131578947402</v>
      </c>
      <c r="CY278" s="188">
        <f t="shared" si="664"/>
        <v>0.81608774671052664</v>
      </c>
      <c r="CZ278" s="188">
        <f t="shared" si="665"/>
        <v>1.275967812446426</v>
      </c>
      <c r="DA278" s="172">
        <f t="shared" si="666"/>
        <v>350</v>
      </c>
      <c r="DB278" s="379">
        <f t="shared" si="667"/>
        <v>350</v>
      </c>
      <c r="DD278" s="188">
        <f t="shared" si="668"/>
        <v>11.382534575916392</v>
      </c>
      <c r="DE278" s="150">
        <f t="shared" si="669"/>
        <v>1.7426030132510437</v>
      </c>
      <c r="DF278" s="150">
        <f t="shared" si="670"/>
        <v>3.3296564353233258</v>
      </c>
      <c r="DG278" s="150"/>
      <c r="DH278" s="150">
        <f t="shared" si="671"/>
        <v>0.92784522751949461</v>
      </c>
      <c r="DI278" s="314">
        <f t="shared" si="672"/>
        <v>919.53051510638295</v>
      </c>
      <c r="DJ278" s="456">
        <f t="shared" si="673"/>
        <v>0.94395997276890675</v>
      </c>
      <c r="DL278" s="150">
        <f t="shared" si="674"/>
        <v>9.7108343591767543</v>
      </c>
      <c r="DM278" s="150">
        <f t="shared" si="675"/>
        <v>9.7108343591767543</v>
      </c>
      <c r="DN278" s="150">
        <f t="shared" si="676"/>
        <v>3.9038728137560694</v>
      </c>
      <c r="DP278" s="314">
        <f t="shared" si="677"/>
        <v>2480</v>
      </c>
      <c r="DQ278" s="144">
        <f t="shared" si="678"/>
        <v>350</v>
      </c>
      <c r="DS278">
        <f t="shared" si="679"/>
        <v>2480</v>
      </c>
      <c r="DT278">
        <f t="shared" si="680"/>
        <v>350</v>
      </c>
      <c r="DV278" s="5">
        <f t="shared" si="681"/>
        <v>2.8571428571428572</v>
      </c>
      <c r="DW278" s="5">
        <f t="shared" si="682"/>
        <v>0.95085253100272393</v>
      </c>
      <c r="DX278" s="5">
        <f t="shared" si="683"/>
        <v>1.9062903261401334</v>
      </c>
      <c r="DY278" s="150">
        <f t="shared" si="684"/>
        <v>0.33279838585095339</v>
      </c>
      <c r="EA278" s="5">
        <f t="shared" si="711"/>
        <v>7.8603809229558506</v>
      </c>
      <c r="EB278" s="5">
        <f t="shared" si="712"/>
        <v>8.3516547306405915</v>
      </c>
      <c r="EC278" s="5">
        <f t="shared" si="713"/>
        <v>1.7380882385395333</v>
      </c>
      <c r="ED278" s="5"/>
      <c r="EE278" s="150">
        <f t="shared" si="714"/>
        <v>3.2343463502573688</v>
      </c>
      <c r="EF278" s="150">
        <f t="shared" si="715"/>
        <v>4.3928704878852232</v>
      </c>
      <c r="EG278" s="150">
        <f t="shared" si="716"/>
        <v>0.88178427216434507</v>
      </c>
      <c r="EH278" s="150"/>
      <c r="EI278" s="456">
        <f t="shared" si="717"/>
        <v>0.12553195576107795</v>
      </c>
      <c r="EJ278" s="456">
        <f t="shared" si="718"/>
        <v>5.0822137160469518</v>
      </c>
      <c r="EK278" s="456">
        <f t="shared" si="719"/>
        <v>4.0250000000000001E-2</v>
      </c>
      <c r="EL278" s="456">
        <f t="shared" si="720"/>
        <v>1.1218321012500001</v>
      </c>
      <c r="EM278">
        <f t="shared" si="721"/>
        <v>2.1600000000000001E-2</v>
      </c>
      <c r="EN278" s="144">
        <f t="shared" si="722"/>
        <v>61.85</v>
      </c>
      <c r="EP278" s="144">
        <f t="shared" si="723"/>
        <v>6391.4277730580307</v>
      </c>
      <c r="EQ278" s="150">
        <f t="shared" si="724"/>
        <v>1.736</v>
      </c>
      <c r="ER278" s="150">
        <f t="shared" si="769"/>
        <v>0.25243300000000002</v>
      </c>
      <c r="ES278" s="456"/>
      <c r="EU278" s="144">
        <f t="shared" si="725"/>
        <v>1988.4330000000002</v>
      </c>
      <c r="EV278" s="456">
        <f t="shared" si="726"/>
        <v>0.14645394838792428</v>
      </c>
      <c r="EW278" s="456">
        <f t="shared" si="727"/>
        <v>0.27016235572666142</v>
      </c>
      <c r="EX278" s="456">
        <f t="shared" si="728"/>
        <v>3.8877175131820192E-3</v>
      </c>
      <c r="EY278" s="456">
        <f t="shared" si="729"/>
        <v>33.672974458637505</v>
      </c>
      <c r="EZ278" s="456"/>
      <c r="FA278" s="538">
        <f t="shared" si="730"/>
        <v>3.3005106382978737</v>
      </c>
      <c r="FB278" s="144">
        <f t="shared" si="731"/>
        <v>37393.98911856315</v>
      </c>
      <c r="FC278" s="150">
        <f t="shared" si="732"/>
        <v>45.773849891621175</v>
      </c>
      <c r="FD278" s="5">
        <f t="shared" si="733"/>
        <v>77.562000000000012</v>
      </c>
      <c r="FE278" s="150">
        <f t="shared" si="734"/>
        <v>0.62886824932212326</v>
      </c>
      <c r="FF278" s="5">
        <f t="shared" si="735"/>
        <v>62.886824932212328</v>
      </c>
      <c r="FG278">
        <f t="shared" si="736"/>
        <v>62</v>
      </c>
      <c r="FI278" s="59">
        <f t="shared" si="686"/>
        <v>-50</v>
      </c>
    </row>
    <row r="279" spans="5:165">
      <c r="E279" s="147">
        <v>63</v>
      </c>
      <c r="F279" s="188">
        <f t="shared" si="770"/>
        <v>2.52</v>
      </c>
      <c r="G279" s="188">
        <f t="shared" si="740"/>
        <v>0.53549999999999998</v>
      </c>
      <c r="H279" s="188">
        <f t="shared" si="741"/>
        <v>75.599999999999994</v>
      </c>
      <c r="I279" s="188">
        <f t="shared" si="742"/>
        <v>3.2130000000000001</v>
      </c>
      <c r="J279" s="465">
        <f t="shared" si="743"/>
        <v>47.849672124616419</v>
      </c>
      <c r="K279" s="379">
        <f t="shared" si="744"/>
        <v>30.810224326995918</v>
      </c>
      <c r="L279" s="149">
        <f t="shared" si="745"/>
        <v>78.65989645161234</v>
      </c>
      <c r="M279" s="379"/>
      <c r="N279" s="188">
        <f t="shared" si="746"/>
        <v>0.39168910355671316</v>
      </c>
      <c r="O279" s="149">
        <f t="shared" si="747"/>
        <v>272.39583140721828</v>
      </c>
      <c r="P279" s="149">
        <f t="shared" si="748"/>
        <v>11.576822834806775</v>
      </c>
      <c r="Q279" s="188">
        <f t="shared" si="624"/>
        <v>9.0798610469072756</v>
      </c>
      <c r="R279" s="188">
        <f t="shared" si="749"/>
        <v>45.399305234536378</v>
      </c>
      <c r="S279" s="188">
        <f t="shared" si="750"/>
        <v>30</v>
      </c>
      <c r="T279" s="188">
        <f t="shared" si="751"/>
        <v>8.4102208138578121</v>
      </c>
      <c r="U279" s="188">
        <f t="shared" si="628"/>
        <v>0.82608795567475557</v>
      </c>
      <c r="V279" s="188">
        <f t="shared" si="629"/>
        <v>1.282951964439196</v>
      </c>
      <c r="W279" s="172">
        <f t="shared" si="630"/>
        <v>350</v>
      </c>
      <c r="X279" s="379">
        <f t="shared" si="688"/>
        <v>350</v>
      </c>
      <c r="Z279" s="188">
        <f t="shared" si="631"/>
        <v>11.393431720348723</v>
      </c>
      <c r="AA279" s="150">
        <f t="shared" si="632"/>
        <v>1.7380311326951048</v>
      </c>
      <c r="AB279" s="150">
        <f t="shared" si="752"/>
        <v>3.3241000783552561</v>
      </c>
      <c r="AC279" s="150"/>
      <c r="AD279" s="150">
        <f t="shared" si="634"/>
        <v>0.9245258386479861</v>
      </c>
      <c r="AE279" s="314">
        <f t="shared" si="753"/>
        <v>937.71635551885231</v>
      </c>
      <c r="AF279" s="456">
        <f t="shared" si="754"/>
        <v>0.94058293300427331</v>
      </c>
      <c r="AH279" s="150">
        <f t="shared" si="755"/>
        <v>9.7888342817592253</v>
      </c>
      <c r="AI279" s="150">
        <f t="shared" si="756"/>
        <v>9.7888342817592253</v>
      </c>
      <c r="AJ279" s="150">
        <f t="shared" si="757"/>
        <v>3.9616505341875294</v>
      </c>
      <c r="AL279" s="314">
        <f t="shared" si="758"/>
        <v>2520</v>
      </c>
      <c r="AM279" s="144">
        <f t="shared" si="759"/>
        <v>350</v>
      </c>
      <c r="AO279">
        <f t="shared" si="642"/>
        <v>2520</v>
      </c>
      <c r="AP279">
        <f t="shared" si="643"/>
        <v>350</v>
      </c>
      <c r="AR279" s="5">
        <f t="shared" si="771"/>
        <v>2.8571428571428572</v>
      </c>
      <c r="AS279" s="5">
        <f t="shared" si="737"/>
        <v>0.96150128269321289</v>
      </c>
      <c r="AT279" s="5">
        <f t="shared" si="738"/>
        <v>1.8956415744496442</v>
      </c>
      <c r="AU279" s="150">
        <f t="shared" si="739"/>
        <v>0.33652544894262448</v>
      </c>
      <c r="BA279" s="150">
        <f t="shared" si="689"/>
        <v>3.2785310798505662</v>
      </c>
      <c r="BB279" s="150">
        <f t="shared" si="690"/>
        <v>4.4157697484126004</v>
      </c>
      <c r="BC279" s="150">
        <f t="shared" si="691"/>
        <v>0.88638085834482139</v>
      </c>
      <c r="BD279" s="150"/>
      <c r="BE279" s="456">
        <f t="shared" si="692"/>
        <v>0.12898519249855345</v>
      </c>
      <c r="BF279" s="456">
        <f t="shared" si="760"/>
        <v>4.9183027636677981</v>
      </c>
      <c r="BG279" s="456">
        <f t="shared" si="693"/>
        <v>4.0250000000000001E-2</v>
      </c>
      <c r="BH279" s="456">
        <f t="shared" si="694"/>
        <v>1.1206890774836082</v>
      </c>
      <c r="BI279">
        <f t="shared" si="695"/>
        <v>2.1532352456077389E-2</v>
      </c>
      <c r="BJ279" s="144">
        <f t="shared" si="696"/>
        <v>61.78235245607739</v>
      </c>
      <c r="BK279">
        <f t="shared" si="761"/>
        <v>6.3989096633264824</v>
      </c>
      <c r="BL279" s="144">
        <f t="shared" si="697"/>
        <v>6229.7593861060377</v>
      </c>
      <c r="BM279" s="150">
        <f t="shared" si="762"/>
        <v>1.6899119999999996</v>
      </c>
      <c r="BN279" s="150">
        <f t="shared" si="763"/>
        <v>0.25650449999999997</v>
      </c>
      <c r="BQ279" s="144">
        <f t="shared" si="698"/>
        <v>1946.4164999999996</v>
      </c>
      <c r="BR279" s="456">
        <f t="shared" si="699"/>
        <v>0.15048272458164566</v>
      </c>
      <c r="BS279" s="456">
        <f t="shared" si="700"/>
        <v>0.27298631459394229</v>
      </c>
      <c r="BT279" s="456">
        <f t="shared" si="701"/>
        <v>3.9283551302005115E-3</v>
      </c>
      <c r="BU279" s="456">
        <f t="shared" si="702"/>
        <v>34.353228323325794</v>
      </c>
      <c r="BV279" s="456"/>
      <c r="BW279" s="538">
        <f t="shared" si="703"/>
        <v>3.3537446808510629</v>
      </c>
      <c r="BX279" s="144">
        <f t="shared" si="704"/>
        <v>38134.370398482642</v>
      </c>
      <c r="BY279" s="150">
        <f t="shared" si="705"/>
        <v>46.310546284588682</v>
      </c>
      <c r="BZ279" s="5">
        <f t="shared" si="706"/>
        <v>78.812999999999988</v>
      </c>
      <c r="CA279" s="150">
        <f t="shared" si="707"/>
        <v>0.62988144390299539</v>
      </c>
      <c r="CB279" s="5">
        <f t="shared" si="708"/>
        <v>62.988144390299539</v>
      </c>
      <c r="CC279">
        <f t="shared" si="709"/>
        <v>63</v>
      </c>
      <c r="CE279" s="59">
        <f t="shared" si="764"/>
        <v>-50</v>
      </c>
      <c r="CG279" s="150">
        <f t="shared" si="765"/>
        <v>0.5256995339545204</v>
      </c>
      <c r="CH279" s="150">
        <f t="shared" si="766"/>
        <v>0.11473001293087155</v>
      </c>
      <c r="CI279" s="147">
        <v>63</v>
      </c>
      <c r="CJ279" s="188">
        <f t="shared" si="710"/>
        <v>2.52</v>
      </c>
      <c r="CK279" s="188">
        <f t="shared" si="651"/>
        <v>0.53549999999999998</v>
      </c>
      <c r="CL279" s="188">
        <f t="shared" si="652"/>
        <v>75.599999999999994</v>
      </c>
      <c r="CM279" s="188">
        <f t="shared" si="653"/>
        <v>3.2130000000000001</v>
      </c>
      <c r="CN279" s="465">
        <f t="shared" si="654"/>
        <v>48</v>
      </c>
      <c r="CO279" s="379">
        <f t="shared" si="767"/>
        <v>30.7</v>
      </c>
      <c r="CP279" s="379">
        <f t="shared" si="768"/>
        <v>78.7</v>
      </c>
      <c r="CQ279" s="379"/>
      <c r="CR279" s="188">
        <f t="shared" si="657"/>
        <v>0.38775510204081626</v>
      </c>
      <c r="CS279" s="149">
        <f t="shared" si="658"/>
        <v>270.50715642699197</v>
      </c>
      <c r="CT279" s="149">
        <f t="shared" si="659"/>
        <v>11.496554148147156</v>
      </c>
      <c r="CU279" s="188">
        <f t="shared" si="660"/>
        <v>9.0169052142330663</v>
      </c>
      <c r="CV279" s="188">
        <f t="shared" si="661"/>
        <v>45.084526071165328</v>
      </c>
      <c r="CW279" s="188">
        <f t="shared" si="662"/>
        <v>30</v>
      </c>
      <c r="CX279" s="188">
        <f t="shared" si="663"/>
        <v>8.4689407894736846</v>
      </c>
      <c r="CY279" s="188">
        <f t="shared" si="664"/>
        <v>0.8292504523026315</v>
      </c>
      <c r="CZ279" s="188">
        <f t="shared" si="665"/>
        <v>1.296547938453626</v>
      </c>
      <c r="DA279" s="172">
        <f t="shared" si="666"/>
        <v>350</v>
      </c>
      <c r="DB279" s="379">
        <f t="shared" si="667"/>
        <v>350</v>
      </c>
      <c r="DD279" s="188">
        <f t="shared" si="668"/>
        <v>11.382534575916392</v>
      </c>
      <c r="DE279" s="150">
        <f t="shared" si="669"/>
        <v>1.7426030132510437</v>
      </c>
      <c r="DF279" s="150">
        <f t="shared" si="670"/>
        <v>3.3296564353233258</v>
      </c>
      <c r="DG279" s="150"/>
      <c r="DH279" s="150">
        <f t="shared" si="671"/>
        <v>0.92784522751949461</v>
      </c>
      <c r="DI279" s="314">
        <f t="shared" si="672"/>
        <v>934.36165244680865</v>
      </c>
      <c r="DJ279" s="456">
        <f t="shared" si="673"/>
        <v>0.94395997276890675</v>
      </c>
      <c r="DL279" s="150">
        <f t="shared" si="674"/>
        <v>9.7888342817592253</v>
      </c>
      <c r="DM279" s="150">
        <f t="shared" si="675"/>
        <v>9.7888342817592253</v>
      </c>
      <c r="DN279" s="150">
        <f t="shared" si="676"/>
        <v>3.9616505341875294</v>
      </c>
      <c r="DP279" s="314">
        <f t="shared" si="677"/>
        <v>2520</v>
      </c>
      <c r="DQ279" s="144">
        <f t="shared" si="678"/>
        <v>350</v>
      </c>
      <c r="DS279">
        <f t="shared" si="679"/>
        <v>2520</v>
      </c>
      <c r="DT279">
        <f t="shared" si="680"/>
        <v>350</v>
      </c>
      <c r="DV279" s="5">
        <f t="shared" si="681"/>
        <v>2.8571428571428572</v>
      </c>
      <c r="DW279" s="5">
        <f t="shared" si="682"/>
        <v>0.95849002342225753</v>
      </c>
      <c r="DX279" s="5">
        <f t="shared" si="683"/>
        <v>1.8986528337205997</v>
      </c>
      <c r="DY279" s="150">
        <f t="shared" si="684"/>
        <v>0.33547150819779015</v>
      </c>
      <c r="EA279" s="5">
        <f t="shared" si="711"/>
        <v>8.0513161967469618</v>
      </c>
      <c r="EB279" s="5">
        <f t="shared" si="712"/>
        <v>8.554523459043649</v>
      </c>
      <c r="EC279" s="5">
        <f t="shared" si="713"/>
        <v>1.7590460077117318</v>
      </c>
      <c r="ED279" s="5"/>
      <c r="EE279" s="150">
        <f t="shared" si="714"/>
        <v>3.2733931517113386</v>
      </c>
      <c r="EF279" s="150">
        <f t="shared" si="715"/>
        <v>4.4192756198081202</v>
      </c>
      <c r="EG279" s="150">
        <f t="shared" si="716"/>
        <v>0.88708459460686828</v>
      </c>
      <c r="EH279" s="150"/>
      <c r="EI279" s="456">
        <f t="shared" si="717"/>
        <v>0.1285812327080483</v>
      </c>
      <c r="EJ279" s="456">
        <f t="shared" si="718"/>
        <v>5.1230353655301002</v>
      </c>
      <c r="EK279" s="456">
        <f t="shared" si="719"/>
        <v>4.0250000000000001E-2</v>
      </c>
      <c r="EL279" s="456">
        <f t="shared" si="720"/>
        <v>1.1218321012500001</v>
      </c>
      <c r="EM279">
        <f t="shared" si="721"/>
        <v>2.1600000000000001E-2</v>
      </c>
      <c r="EN279" s="144">
        <f t="shared" si="722"/>
        <v>61.85</v>
      </c>
      <c r="EP279" s="144">
        <f t="shared" si="723"/>
        <v>6435.2986994881485</v>
      </c>
      <c r="EQ279" s="150">
        <f t="shared" si="724"/>
        <v>1.7639999999999998</v>
      </c>
      <c r="ER279" s="150">
        <f t="shared" si="769"/>
        <v>0.25650449999999997</v>
      </c>
      <c r="ES279" s="456"/>
      <c r="EU279" s="144">
        <f t="shared" si="725"/>
        <v>2020.5045</v>
      </c>
      <c r="EV279" s="456">
        <f t="shared" si="726"/>
        <v>0.15001143815938969</v>
      </c>
      <c r="EW279" s="456">
        <f t="shared" si="727"/>
        <v>0.27341995805362623</v>
      </c>
      <c r="EX279" s="456">
        <f t="shared" si="728"/>
        <v>3.9345953899441594E-3</v>
      </c>
      <c r="EY279" s="456">
        <f t="shared" si="729"/>
        <v>34.353228323325794</v>
      </c>
      <c r="EZ279" s="456"/>
      <c r="FA279" s="538">
        <f t="shared" si="730"/>
        <v>3.3537446808510629</v>
      </c>
      <c r="FB279" s="144">
        <f t="shared" si="731"/>
        <v>38134.338995779821</v>
      </c>
      <c r="FC279" s="150">
        <f t="shared" si="732"/>
        <v>46.590142195267966</v>
      </c>
      <c r="FD279" s="5">
        <f t="shared" si="733"/>
        <v>78.812999999999988</v>
      </c>
      <c r="FE279" s="150">
        <f t="shared" si="734"/>
        <v>0.62847707497854044</v>
      </c>
      <c r="FF279" s="5">
        <f t="shared" si="735"/>
        <v>62.847707497854046</v>
      </c>
      <c r="FG279">
        <f t="shared" si="736"/>
        <v>63</v>
      </c>
      <c r="FI279" s="59">
        <f t="shared" si="686"/>
        <v>-50</v>
      </c>
    </row>
    <row r="280" spans="5:165">
      <c r="E280" s="147">
        <v>64</v>
      </c>
      <c r="F280" s="188">
        <f t="shared" si="770"/>
        <v>2.56</v>
      </c>
      <c r="G280" s="188">
        <f t="shared" ref="G280:G316" si="772">IF(PLOT_TYPE=1, E280/100*Iout2, min_I*EXP(Q280*rr/100))</f>
        <v>0.54400000000000004</v>
      </c>
      <c r="H280" s="188">
        <f t="shared" ref="H280:H316" si="773">F280*Vout</f>
        <v>76.8</v>
      </c>
      <c r="I280" s="188">
        <f t="shared" ref="I280:I316" si="774">Vout2*G280</f>
        <v>3.2640000000000002</v>
      </c>
      <c r="J280" s="465">
        <f t="shared" ref="J280:J316" si="775">VIN_max-(F280/CG280/Nps+G280/CH280/(Nps/Nsec1sec2))*(Rdcr_pri+RON/1000)</f>
        <v>47.848483743472123</v>
      </c>
      <c r="K280" s="379">
        <f t="shared" ref="K280:K316" si="776">MAX((S280+Vfwd2+Rdcr_sec*F280/CG280)*Nps,(Vout2+Vfwd22+Rdcr_sec2*G280/CH280)*Nps/Nsec1sec2)</f>
        <v>30.811095679108824</v>
      </c>
      <c r="L280" s="149">
        <f t="shared" ref="L280:L316" si="777">MAX((Vout+Vfwd2+F280/CG280*Rdcr_sec)*Nps+J280, (Vout2+Vfwd22+G280/CH280*Rdcr_sec2)*Nps/Nsec1sec2+J280)</f>
        <v>78.659579422580947</v>
      </c>
      <c r="M280" s="379"/>
      <c r="N280" s="188">
        <f t="shared" ref="N280:N316" si="778">MAX((Vout+Vfwd2+F280/CG280*Rdcr_sec)*Nps/((Vout+Vfwd2+F280/CG280*Rdcr_sec)*Nps+J280), (Vout2+Vfwd22+G280/CH280*Rdcr_sec2)*Nps/Nsec1sec2/((Vout2+Vfwd22+G280/CH280*Rdcr_sec2)*Nps/Nsec1sec2+J280))</f>
        <v>0.39170175972570515</v>
      </c>
      <c r="O280" s="149">
        <f t="shared" ref="O280:O311" si="779">N280*J280*Isw_max*0.5*Efficiency*Pout/(Pout+Pout2)</f>
        <v>272.39786763352708</v>
      </c>
      <c r="P280" s="149">
        <f t="shared" ref="P280:P316" si="780">N280*J280*Isw_max*0.5*Efficiency*(Pout2/Pout_total)</f>
        <v>11.576909374424899</v>
      </c>
      <c r="Q280" s="188">
        <f t="shared" ref="Q280:Q316" si="781">O280/Vout</f>
        <v>9.0799289211175687</v>
      </c>
      <c r="R280" s="188">
        <f t="shared" ref="R280:R316" si="782">O280/Vout2</f>
        <v>45.399644605587845</v>
      </c>
      <c r="S280" s="188">
        <f t="shared" ref="S280:S316" si="783">MIN(Vout,O280/F280)</f>
        <v>30</v>
      </c>
      <c r="T280" s="188">
        <f t="shared" ref="T280:T316" si="784">MIN(2*(Vout*F280+Vout2*G280)/(Efficiency*J280*N280), Isw_max)</f>
        <v>8.5436525164130313</v>
      </c>
      <c r="U280" s="188">
        <f t="shared" ref="U280:U316" si="785">L*T280/J280*1000000</f>
        <v>0.83921503223431893</v>
      </c>
      <c r="V280" s="188">
        <f t="shared" ref="V280:V316" si="786">L*T280/K280*1000000</f>
        <v>1.3032696806809139</v>
      </c>
      <c r="W280" s="172">
        <f t="shared" ref="W280:W316" si="787">IF(1/((350000*L)*(1/J280+1/K280))&gt;Isw_min, 350, 0.001/((Isw_min*L)*(1/J280+1/K280)))</f>
        <v>350</v>
      </c>
      <c r="X280" s="379">
        <f t="shared" si="688"/>
        <v>350</v>
      </c>
      <c r="Z280" s="188">
        <f t="shared" ref="Z280:Z316" si="788">1/((W280*1000*L)*(1/J280+1/K280))</f>
        <v>11.393516889072846</v>
      </c>
      <c r="AA280" s="150">
        <f t="shared" ref="AA280:AA316" si="789">L*Z280/K280*1000000</f>
        <v>1.7379949722122714</v>
      </c>
      <c r="AB280" s="150">
        <f t="shared" ref="AB280:AB311" si="790">0.5*AA280*Z280*Nps*W280/1000*(Pout/(Pout+Pout2))</f>
        <v>3.3240557669824806</v>
      </c>
      <c r="AC280" s="150"/>
      <c r="AD280" s="150">
        <f t="shared" ref="AD280:AD316" si="791">L*Isw_min/K280*1000000</f>
        <v>0.92449969262736631</v>
      </c>
      <c r="AE280" s="314">
        <f t="shared" ref="AE280:AE311" si="792">MAX(10, F280/(0.5*AD280/1000000*Isw_min*Nps)/1000*Pout_total/Pout)</f>
        <v>952.62768286823109</v>
      </c>
      <c r="AF280" s="456">
        <f t="shared" ref="AF280:AF316" si="793">0.5*AD280/1000000*Isw_min*Nps*W280*1000*(Pout/Pout_total)</f>
        <v>0.94055633288155871</v>
      </c>
      <c r="AH280" s="150">
        <f t="shared" ref="AH280:AH315" si="794">SQRT((H280+I280)/(0.5*L*Fsw_DCM))</f>
        <v>9.8662175751460897</v>
      </c>
      <c r="AI280" s="150">
        <f t="shared" ref="AI280:AI311" si="795">MAX(IF(F280&gt;AB280,T280,AH280),Isw_min)</f>
        <v>9.8662175751460897</v>
      </c>
      <c r="AJ280" s="150">
        <f t="shared" ref="AJ280:AJ311" si="796">IF(F280&gt;AF280, (AI280-Isw_min)/1.08*0.8+1.2, AE280*0.2/350+1)</f>
        <v>4.0189714922518736</v>
      </c>
      <c r="AL280" s="314">
        <f t="shared" ref="AL280:AL316" si="797">F280*1000</f>
        <v>2560</v>
      </c>
      <c r="AM280" s="144">
        <f t="shared" ref="AM280:AM316" si="798">IF(F280&gt;AF280, X280, AE280)</f>
        <v>350</v>
      </c>
      <c r="AO280">
        <f t="shared" ref="AO280:AO316" si="799">IF(H280&gt;O280, "",AL280)</f>
        <v>2560</v>
      </c>
      <c r="AP280">
        <f t="shared" ref="AP280:AP316" si="800">IF(H280&gt;O280, "",AM280)</f>
        <v>350</v>
      </c>
      <c r="AR280" s="5">
        <f t="shared" si="771"/>
        <v>2.8571428571428572</v>
      </c>
      <c r="AS280" s="5">
        <f t="shared" si="737"/>
        <v>0.96912627057932565</v>
      </c>
      <c r="AT280" s="5">
        <f t="shared" si="738"/>
        <v>1.8880165865635314</v>
      </c>
      <c r="AU280" s="150">
        <f t="shared" si="739"/>
        <v>0.33919419470276396</v>
      </c>
      <c r="BA280" s="150">
        <f t="shared" si="689"/>
        <v>3.3175254754891625</v>
      </c>
      <c r="BB280" s="150">
        <f t="shared" si="690"/>
        <v>4.4417173881509422</v>
      </c>
      <c r="BC280" s="150">
        <f t="shared" si="691"/>
        <v>0.89158934802922185</v>
      </c>
      <c r="BD280" s="150"/>
      <c r="BE280" s="456">
        <f t="shared" si="692"/>
        <v>0.13207170336623514</v>
      </c>
      <c r="BF280" s="456">
        <f t="shared" ref="BF280:BF316" si="801">0.5*L280*AI280*AM280*1000*Tfall</f>
        <v>4.9571632531351666</v>
      </c>
      <c r="BG280" s="456">
        <f t="shared" si="693"/>
        <v>4.0250000000000001E-2</v>
      </c>
      <c r="BH280" s="456">
        <f t="shared" si="694"/>
        <v>1.120680043903022</v>
      </c>
      <c r="BI280">
        <f t="shared" si="695"/>
        <v>2.1531817684562454E-2</v>
      </c>
      <c r="BJ280" s="144">
        <f t="shared" si="696"/>
        <v>61.781817684562448</v>
      </c>
      <c r="BK280">
        <f t="shared" ref="BK280:BK316" si="802">(BF280+BG280*0+BH280+BI280*0+BE280*(1+RdsonTC*(Ta-25)))/(1-BE280*RdsonTC*ThetaJA)</f>
        <v>6.4479113446570411</v>
      </c>
      <c r="BL280" s="144">
        <f t="shared" si="697"/>
        <v>6271.6968180889862</v>
      </c>
      <c r="BM280" s="150">
        <f t="shared" ref="BM280:BM316" si="803">Vfwd2*F280*(1+Diode_TC/1000*(Ta-25))</f>
        <v>1.7167359999999998</v>
      </c>
      <c r="BN280" s="150">
        <f t="shared" ref="BN280:BN316" si="804">Vfwd22*G280*(1+Diode_TC/1000*(Ta-25))</f>
        <v>0.26057600000000003</v>
      </c>
      <c r="BQ280" s="144">
        <f t="shared" si="698"/>
        <v>1977.3119999999999</v>
      </c>
      <c r="BR280" s="456">
        <f t="shared" si="699"/>
        <v>0.15408365392727433</v>
      </c>
      <c r="BS280" s="456">
        <f t="shared" si="700"/>
        <v>0.27620394698683398</v>
      </c>
      <c r="BT280" s="456">
        <f t="shared" si="701"/>
        <v>3.9746578275958646E-3</v>
      </c>
      <c r="BU280" s="456">
        <f t="shared" si="702"/>
        <v>35.036187070784436</v>
      </c>
      <c r="BV280" s="456"/>
      <c r="BW280" s="538">
        <f t="shared" si="703"/>
        <v>3.4069787234042561</v>
      </c>
      <c r="BX280" s="144">
        <f t="shared" si="704"/>
        <v>38877.428052930401</v>
      </c>
      <c r="BY280" s="150">
        <f t="shared" si="705"/>
        <v>47.126436871019386</v>
      </c>
      <c r="BZ280" s="5">
        <f t="shared" si="706"/>
        <v>80.063999999999993</v>
      </c>
      <c r="CA280" s="150">
        <f t="shared" si="707"/>
        <v>0.62948128782033252</v>
      </c>
      <c r="CB280" s="5">
        <f t="shared" si="708"/>
        <v>62.948128782033251</v>
      </c>
      <c r="CC280">
        <f t="shared" si="709"/>
        <v>64</v>
      </c>
      <c r="CE280" s="59">
        <f t="shared" ref="CE280:CE316" si="805">IF(ABS(F280-Ioutmax_Vinmax)&lt;Iout/200, AM280, -50)</f>
        <v>-50</v>
      </c>
      <c r="CG280" s="150">
        <f t="shared" ref="CG280:CG316" si="806">MIN(SQRT(2*DT280*1000*Ls1_*CL280)/CW280, 1-DY280)</f>
        <v>0.52985532616617781</v>
      </c>
      <c r="CH280" s="150">
        <f t="shared" ref="CH280:CH316" si="807">MIN(SQRT(2*DT280*1000*Ls2_*CM280)/Vout2, 1-DY280)</f>
        <v>0.11563698366868985</v>
      </c>
      <c r="CI280" s="147">
        <v>64</v>
      </c>
      <c r="CJ280" s="188">
        <f t="shared" si="710"/>
        <v>2.56</v>
      </c>
      <c r="CK280" s="188">
        <f t="shared" ref="CK280:CK316" si="808">IF(PLOT_TYPE=1, CI280/100*Iout2, min_I*EXP(CU280*rr/100))</f>
        <v>0.54400000000000004</v>
      </c>
      <c r="CL280" s="188">
        <f t="shared" ref="CL280:CL316" si="809">CJ280*Vout</f>
        <v>76.8</v>
      </c>
      <c r="CM280" s="188">
        <f t="shared" ref="CM280:CM316" si="810">Vout2*CK280</f>
        <v>3.2640000000000002</v>
      </c>
      <c r="CN280" s="465">
        <f t="shared" ref="CN280:CN316" si="811">VIN_max</f>
        <v>48</v>
      </c>
      <c r="CO280" s="379">
        <f t="shared" ref="CO280:CO316" si="812">(CW280+Vfwd2)*Nps</f>
        <v>30.7</v>
      </c>
      <c r="CP280" s="379">
        <f t="shared" ref="CP280:CP316" si="813">(Vout+Vfwd2)*Nps+CN280</f>
        <v>78.7</v>
      </c>
      <c r="CQ280" s="379"/>
      <c r="CR280" s="188">
        <f t="shared" ref="CR280:CR316" si="814">(Vout+Vfwd1)*Nps/((Vout+Vfwd1)*Nps+CN280)</f>
        <v>0.38775510204081626</v>
      </c>
      <c r="CS280" s="149">
        <f t="shared" ref="CS280:CS316" si="815">CR280*CN280*Isw_max*0.5*Efficiency*Pout/(Pout+Pout2)</f>
        <v>270.50715642699197</v>
      </c>
      <c r="CT280" s="149">
        <f t="shared" ref="CT280:CT316" si="816">CR280*CN280*Isw_max*0.5*Efficiency*(Pout2/Pout_total)</f>
        <v>11.496554148147156</v>
      </c>
      <c r="CU280" s="188">
        <f t="shared" ref="CU280:CU316" si="817">CS280/Vout</f>
        <v>9.0169052142330663</v>
      </c>
      <c r="CV280" s="188">
        <f t="shared" ref="CV280:CV316" si="818">CS280/Vout2</f>
        <v>45.084526071165328</v>
      </c>
      <c r="CW280" s="188">
        <f t="shared" ref="CW280:CW316" si="819">MIN(Vout,CS280/CJ280)</f>
        <v>30</v>
      </c>
      <c r="CX280" s="188">
        <f t="shared" ref="CX280:CX316" si="820">MIN(2*(Vout*CJ280+Vout2*CK280)/(Efficiency*CN280*CR280), Isw_max)</f>
        <v>8.6033684210526324</v>
      </c>
      <c r="CY280" s="188">
        <f t="shared" ref="CY280:CY316" si="821">L*CX280/CN280*1000000</f>
        <v>0.84241315789473692</v>
      </c>
      <c r="CZ280" s="188">
        <f t="shared" ref="CZ280:CZ316" si="822">L*CX280/CO280*1000000</f>
        <v>1.3171280644608265</v>
      </c>
      <c r="DA280" s="172">
        <f t="shared" ref="DA280:DA316" si="823">IF(1/((350000*L)*(1/CN280+1/CO280))&gt;Isw_min, 350, 0.001/((Isw_min*L)*(1/CN280+1/CO280)))</f>
        <v>350</v>
      </c>
      <c r="DB280" s="379">
        <f t="shared" ref="DB280:DB316" si="824">MIN(1/(CY280+CZ280)*1000, 350)</f>
        <v>350</v>
      </c>
      <c r="DD280" s="188">
        <f t="shared" ref="DD280:DD316" si="825">1/((DA280*1000*L)*(1/CN280+1/CO280))</f>
        <v>11.382534575916392</v>
      </c>
      <c r="DE280" s="150">
        <f t="shared" ref="DE280:DE316" si="826">L*DD280/CO280*1000000</f>
        <v>1.7426030132510437</v>
      </c>
      <c r="DF280" s="150">
        <f t="shared" ref="DF280:DF316" si="827">0.5*DE280*DD280*Nps*DA280/1000*(Pout/(Pout+Pout2))</f>
        <v>3.3296564353233258</v>
      </c>
      <c r="DG280" s="150"/>
      <c r="DH280" s="150">
        <f t="shared" ref="DH280:DH316" si="828">L*Isw_min/CO280*1000000</f>
        <v>0.92784522751949461</v>
      </c>
      <c r="DI280" s="314">
        <f t="shared" ref="DI280:DI316" si="829">MAX(10, CJ280/(0.5*DH280/1000000*Isw_min*Nps)/1000*Pout_total/Pout)</f>
        <v>949.19278978723412</v>
      </c>
      <c r="DJ280" s="456">
        <f t="shared" ref="DJ280:DJ316" si="830">0.5*DH280/1000000*Isw_min*Nps*DA280*1000*(Pout/Pout_total)</f>
        <v>0.94395997276890675</v>
      </c>
      <c r="DL280" s="150">
        <f t="shared" ref="DL280:DL316" si="831">SQRT((CL280+CM280)/(0.5*L*Fsw_DCM))</f>
        <v>9.8662175751460897</v>
      </c>
      <c r="DM280" s="150">
        <f t="shared" ref="DM280:DM316" si="832">MAX(IF(CJ280&gt;DF280,CX280,DL280),Isw_min)</f>
        <v>9.8662175751460897</v>
      </c>
      <c r="DN280" s="150">
        <f t="shared" ref="DN280:DN316" si="833">IF(CJ280&gt;DJ280, (DM280-Isw_min)/1.08*0.8+1.2, DI280*0.2/350+1)</f>
        <v>4.0189714922518736</v>
      </c>
      <c r="DP280" s="314">
        <f t="shared" ref="DP280:DP316" si="834">CJ280*1000</f>
        <v>2560</v>
      </c>
      <c r="DQ280" s="144">
        <f t="shared" ref="DQ280:DQ316" si="835">IF(CJ280&gt;DJ280, DB280, DI280)</f>
        <v>350</v>
      </c>
      <c r="DS280">
        <f t="shared" ref="DS280:DS316" si="836">IF(CL280&gt;CS280, "",DP280)</f>
        <v>2560</v>
      </c>
      <c r="DT280">
        <f t="shared" ref="DT280:DT316" si="837">IF(CL280&gt;CS280, "",DQ280)</f>
        <v>350</v>
      </c>
      <c r="DV280" s="5">
        <f t="shared" si="681"/>
        <v>2.8571428571428572</v>
      </c>
      <c r="DW280" s="5">
        <f t="shared" ref="DW280:DW316" si="838">L*DM280/CN280*1000000</f>
        <v>0.96606713756638796</v>
      </c>
      <c r="DX280" s="5">
        <f t="shared" ref="DX280:DX316" si="839">DV280-DW280</f>
        <v>1.8910757195764694</v>
      </c>
      <c r="DY280" s="150">
        <f t="shared" ref="DY280:DY316" si="840">DW280/DV280</f>
        <v>0.33812349814823578</v>
      </c>
      <c r="EA280" s="5">
        <f t="shared" si="711"/>
        <v>8.2437729072331773</v>
      </c>
      <c r="EB280" s="5">
        <f t="shared" si="712"/>
        <v>8.7590087139352519</v>
      </c>
      <c r="EC280" s="5">
        <f t="shared" si="713"/>
        <v>1.7798359713660883</v>
      </c>
      <c r="ED280" s="5"/>
      <c r="EE280" s="150">
        <f t="shared" si="714"/>
        <v>3.3122853052782832</v>
      </c>
      <c r="EF280" s="150">
        <f t="shared" si="715"/>
        <v>4.4453143652125009</v>
      </c>
      <c r="EG280" s="150">
        <f t="shared" si="716"/>
        <v>0.89231137200169386</v>
      </c>
      <c r="EH280" s="150"/>
      <c r="EI280" s="456">
        <f t="shared" si="717"/>
        <v>0.1316548073227494</v>
      </c>
      <c r="EJ280" s="456">
        <f t="shared" si="718"/>
        <v>5.1635342990405819</v>
      </c>
      <c r="EK280" s="456">
        <f t="shared" si="719"/>
        <v>4.0250000000000001E-2</v>
      </c>
      <c r="EL280" s="456">
        <f t="shared" si="720"/>
        <v>1.1218321012500001</v>
      </c>
      <c r="EM280">
        <f t="shared" si="721"/>
        <v>2.1600000000000001E-2</v>
      </c>
      <c r="EN280" s="144">
        <f t="shared" si="722"/>
        <v>61.85</v>
      </c>
      <c r="EP280" s="144">
        <f t="shared" si="723"/>
        <v>6478.8712076133315</v>
      </c>
      <c r="EQ280" s="150">
        <f t="shared" si="724"/>
        <v>1.7919999999999998</v>
      </c>
      <c r="ER280" s="150">
        <f t="shared" ref="ER280:ER316" si="841">Vfwd22*CK280*(1+Diode_TC/1000*(Ta-25))</f>
        <v>0.26057600000000003</v>
      </c>
      <c r="ES280" s="456"/>
      <c r="EU280" s="144">
        <f t="shared" si="725"/>
        <v>2052.5759999999996</v>
      </c>
      <c r="EV280" s="456">
        <f t="shared" si="726"/>
        <v>0.15359727520987429</v>
      </c>
      <c r="EW280" s="456">
        <f t="shared" si="727"/>
        <v>0.27665147727790468</v>
      </c>
      <c r="EX280" s="456">
        <f t="shared" si="728"/>
        <v>3.9810979230177259E-3</v>
      </c>
      <c r="EY280" s="456">
        <f t="shared" si="729"/>
        <v>35.036187070784436</v>
      </c>
      <c r="EZ280" s="456"/>
      <c r="FA280" s="538">
        <f t="shared" si="730"/>
        <v>3.4069787234042561</v>
      </c>
      <c r="FB280" s="144">
        <f t="shared" si="731"/>
        <v>38877.395644599492</v>
      </c>
      <c r="FC280" s="150">
        <f t="shared" si="732"/>
        <v>47.408842852212821</v>
      </c>
      <c r="FD280" s="5">
        <f t="shared" si="733"/>
        <v>80.063999999999993</v>
      </c>
      <c r="FE280" s="150">
        <f t="shared" si="734"/>
        <v>0.62808672191317771</v>
      </c>
      <c r="FF280" s="5">
        <f t="shared" si="735"/>
        <v>62.808672191317768</v>
      </c>
      <c r="FG280">
        <f t="shared" si="736"/>
        <v>64</v>
      </c>
      <c r="FI280" s="59">
        <f t="shared" ref="FI280:FI316" si="842">IF(ABS(CJ280-Ioutmax_Vinmax)&lt;Iout/200, DQ280, -50)</f>
        <v>-50</v>
      </c>
    </row>
    <row r="281" spans="5:165">
      <c r="E281" s="147">
        <v>65</v>
      </c>
      <c r="F281" s="188">
        <f t="shared" ref="F281:F312" si="843">IF(PLOT_TYPE=1, E281/100*Iout_max, min_I*EXP(O281*rr/100))</f>
        <v>2.6</v>
      </c>
      <c r="G281" s="188">
        <f t="shared" si="772"/>
        <v>0.55249999999999999</v>
      </c>
      <c r="H281" s="188">
        <f t="shared" si="773"/>
        <v>78</v>
      </c>
      <c r="I281" s="188">
        <f t="shared" si="774"/>
        <v>3.3149999999999999</v>
      </c>
      <c r="J281" s="465">
        <f t="shared" si="775"/>
        <v>47.847304610851872</v>
      </c>
      <c r="K281" s="379">
        <f t="shared" si="776"/>
        <v>30.811960249962201</v>
      </c>
      <c r="L281" s="149">
        <f t="shared" si="777"/>
        <v>78.659264860814076</v>
      </c>
      <c r="M281" s="379"/>
      <c r="N281" s="188">
        <f t="shared" si="778"/>
        <v>0.39171431749944929</v>
      </c>
      <c r="O281" s="149">
        <f t="shared" si="779"/>
        <v>272.39988765101509</v>
      </c>
      <c r="P281" s="149">
        <f t="shared" si="780"/>
        <v>11.576995225168142</v>
      </c>
      <c r="Q281" s="188">
        <f t="shared" si="781"/>
        <v>9.0799962550338371</v>
      </c>
      <c r="R281" s="188">
        <f t="shared" si="782"/>
        <v>45.399981275169182</v>
      </c>
      <c r="S281" s="188">
        <f t="shared" si="783"/>
        <v>30</v>
      </c>
      <c r="T281" s="188">
        <f t="shared" si="784"/>
        <v>8.6770827404471422</v>
      </c>
      <c r="U281" s="188">
        <f t="shared" si="785"/>
        <v>0.85234245088180072</v>
      </c>
      <c r="V281" s="188">
        <f t="shared" si="786"/>
        <v>1.3235863135371788</v>
      </c>
      <c r="W281" s="172">
        <f t="shared" si="787"/>
        <v>350</v>
      </c>
      <c r="X281" s="379">
        <f t="shared" ref="X281:X316" si="844">MIN(1/(U281+V281+0.2)*1000, 350)</f>
        <v>350</v>
      </c>
      <c r="Z281" s="188">
        <f t="shared" si="788"/>
        <v>11.393601379834708</v>
      </c>
      <c r="AA281" s="150">
        <f t="shared" si="789"/>
        <v>1.7379590928587161</v>
      </c>
      <c r="AB281" s="150">
        <f t="shared" si="790"/>
        <v>3.3240117944709691</v>
      </c>
      <c r="AC281" s="150"/>
      <c r="AD281" s="150">
        <f t="shared" si="791"/>
        <v>0.92447375154858658</v>
      </c>
      <c r="AE281" s="314">
        <f t="shared" si="792"/>
        <v>967.53963917491569</v>
      </c>
      <c r="AF281" s="456">
        <f t="shared" si="793"/>
        <v>0.94052994126009826</v>
      </c>
      <c r="AH281" s="150">
        <f t="shared" si="794"/>
        <v>9.9429986364526108</v>
      </c>
      <c r="AI281" s="150">
        <f t="shared" si="795"/>
        <v>9.9429986364526108</v>
      </c>
      <c r="AJ281" s="150">
        <f t="shared" si="796"/>
        <v>4.0758463524789263</v>
      </c>
      <c r="AL281" s="314">
        <f t="shared" si="797"/>
        <v>2600</v>
      </c>
      <c r="AM281" s="144">
        <f t="shared" si="798"/>
        <v>350</v>
      </c>
      <c r="AO281">
        <f t="shared" si="799"/>
        <v>2600</v>
      </c>
      <c r="AP281">
        <f t="shared" si="800"/>
        <v>350</v>
      </c>
      <c r="AR281" s="5">
        <f t="shared" si="771"/>
        <v>2.8571428571428572</v>
      </c>
      <c r="AS281" s="5">
        <f t="shared" si="737"/>
        <v>0.97669229168508531</v>
      </c>
      <c r="AT281" s="5">
        <f t="shared" si="738"/>
        <v>1.8804505654577719</v>
      </c>
      <c r="AU281" s="150">
        <f t="shared" si="739"/>
        <v>0.34184230208977984</v>
      </c>
      <c r="BA281" s="150">
        <f t="shared" ref="BA281:BA316" si="845">AI281*SQRT(AU281/3)</f>
        <v>3.3563686409078919</v>
      </c>
      <c r="BB281" s="150">
        <f t="shared" ref="BB281:BB316" si="846">AI281*Npri_sec1*SQRT((1-AU281)/3)*(Pout/Pout_total)</f>
        <v>4.4673056895909955</v>
      </c>
      <c r="BC281" s="150">
        <f t="shared" ref="BC281:BC316" si="847">AI281*Npri_sec2*SQRT((1-AU281)/3)*(Pout2/Pout_total)</f>
        <v>0.89672570746059233</v>
      </c>
      <c r="BD281" s="150"/>
      <c r="BE281" s="456">
        <f t="shared" ref="BE281:BE315" si="848">Rdson*BA281^2</f>
        <v>0.13518252544403866</v>
      </c>
      <c r="BF281" s="456">
        <f t="shared" si="801"/>
        <v>4.9957210027941166</v>
      </c>
      <c r="BG281" s="456">
        <f t="shared" ref="BG281:BG316" si="849">Qg*Vdd*AM281*1000</f>
        <v>4.0250000000000001E-2</v>
      </c>
      <c r="BH281" s="456">
        <f t="shared" ref="BH281:BH316" si="850">0.5*(Coss+Csw)*L281^2*AM281*1000</f>
        <v>1.1206710806618652</v>
      </c>
      <c r="BI281">
        <f t="shared" ref="BI281:BI316" si="851">J281*IQ</f>
        <v>2.1531287074883342E-2</v>
      </c>
      <c r="BJ281" s="144">
        <f t="shared" ref="BJ281:BJ316" si="852">(BG281+BI281)*1000</f>
        <v>61.781287074883338</v>
      </c>
      <c r="BK281">
        <f t="shared" si="802"/>
        <v>6.4967452423053924</v>
      </c>
      <c r="BL281" s="144">
        <f t="shared" ref="BL281:BL316" si="853">SUM(BE281:BI281)*1000</f>
        <v>6313.3558959749043</v>
      </c>
      <c r="BM281" s="150">
        <f t="shared" si="803"/>
        <v>1.7435599999999998</v>
      </c>
      <c r="BN281" s="150">
        <f t="shared" si="804"/>
        <v>0.26464749999999998</v>
      </c>
      <c r="BQ281" s="144">
        <f t="shared" ref="BQ281:BQ316" si="854">SUM(BM281:BP281)*1000</f>
        <v>2008.2074999999998</v>
      </c>
      <c r="BR281" s="456">
        <f t="shared" ref="BR281:BR316" si="855">Rdcr_pri*BA281^2</f>
        <v>0.15771294635137845</v>
      </c>
      <c r="BS281" s="456">
        <f t="shared" ref="BS281:BS316" si="856">Rdcr_sec*BB281^2</f>
        <v>0.27939548173952911</v>
      </c>
      <c r="BT281" s="456">
        <f t="shared" ref="BT281:BT316" si="857">Rdcr_sec2*BC281^2</f>
        <v>4.020584972103499E-3</v>
      </c>
      <c r="BU281" s="456">
        <f t="shared" ref="BU281:BU316" si="858">AI281^2.5*AM281^2.5*k_core</f>
        <v>35.721818938567459</v>
      </c>
      <c r="BV281" s="456"/>
      <c r="BW281" s="538">
        <f t="shared" ref="BW281:BW316" si="859">0.5*Lleak*0.000000001*AI281^2*AM281*1000</f>
        <v>3.4602127659574466</v>
      </c>
      <c r="BX281" s="144">
        <f t="shared" ref="BX281:BX316" si="860">SUM(BR281:BW281)*1000</f>
        <v>39623.160717587918</v>
      </c>
      <c r="BY281" s="150">
        <f t="shared" ref="BY281:BY315" si="861">SUM(BE281:BI281,BM281:BP281,BR281:BW281)</f>
        <v>47.94472411356282</v>
      </c>
      <c r="BZ281" s="5">
        <f t="shared" ref="BZ281:BZ316" si="862">MIN(H281+I281,O281+P281)</f>
        <v>81.314999999999998</v>
      </c>
      <c r="CA281" s="150">
        <f t="shared" ref="CA281:CA316" si="863">BZ281/(BZ281+BY281)</f>
        <v>0.6290822648558313</v>
      </c>
      <c r="CB281" s="5">
        <f t="shared" ref="CB281:CB316" si="864">CA281*100</f>
        <v>62.908226485583128</v>
      </c>
      <c r="CC281">
        <f t="shared" ref="CC281:CC316" si="865">F281/Iout*100</f>
        <v>65</v>
      </c>
      <c r="CE281" s="59">
        <f t="shared" si="805"/>
        <v>-50</v>
      </c>
      <c r="CG281" s="150">
        <f t="shared" si="806"/>
        <v>0.53397877610756528</v>
      </c>
      <c r="CH281" s="150">
        <f t="shared" si="807"/>
        <v>0.11653689594659594</v>
      </c>
      <c r="CI281" s="147">
        <v>65</v>
      </c>
      <c r="CJ281" s="188">
        <f t="shared" ref="CJ281:CJ316" si="866">IF(PLOT_TYPE=1, CI281/100*Iout_max, min_I*EXP(CS281*rr/100))</f>
        <v>2.6</v>
      </c>
      <c r="CK281" s="188">
        <f t="shared" si="808"/>
        <v>0.55249999999999999</v>
      </c>
      <c r="CL281" s="188">
        <f t="shared" si="809"/>
        <v>78</v>
      </c>
      <c r="CM281" s="188">
        <f t="shared" si="810"/>
        <v>3.3149999999999999</v>
      </c>
      <c r="CN281" s="465">
        <f t="shared" si="811"/>
        <v>48</v>
      </c>
      <c r="CO281" s="379">
        <f t="shared" si="812"/>
        <v>30.7</v>
      </c>
      <c r="CP281" s="379">
        <f t="shared" si="813"/>
        <v>78.7</v>
      </c>
      <c r="CQ281" s="379"/>
      <c r="CR281" s="188">
        <f t="shared" si="814"/>
        <v>0.38775510204081626</v>
      </c>
      <c r="CS281" s="149">
        <f t="shared" si="815"/>
        <v>270.50715642699197</v>
      </c>
      <c r="CT281" s="149">
        <f t="shared" si="816"/>
        <v>11.496554148147156</v>
      </c>
      <c r="CU281" s="188">
        <f t="shared" si="817"/>
        <v>9.0169052142330663</v>
      </c>
      <c r="CV281" s="188">
        <f t="shared" si="818"/>
        <v>45.084526071165328</v>
      </c>
      <c r="CW281" s="188">
        <f t="shared" si="819"/>
        <v>30</v>
      </c>
      <c r="CX281" s="188">
        <f t="shared" si="820"/>
        <v>8.7377960526315803</v>
      </c>
      <c r="CY281" s="188">
        <f t="shared" si="821"/>
        <v>0.85557586348684211</v>
      </c>
      <c r="CZ281" s="188">
        <f t="shared" si="822"/>
        <v>1.337708190468027</v>
      </c>
      <c r="DA281" s="172">
        <f t="shared" si="823"/>
        <v>350</v>
      </c>
      <c r="DB281" s="379">
        <f t="shared" si="824"/>
        <v>350</v>
      </c>
      <c r="DD281" s="188">
        <f t="shared" si="825"/>
        <v>11.382534575916392</v>
      </c>
      <c r="DE281" s="150">
        <f t="shared" si="826"/>
        <v>1.7426030132510437</v>
      </c>
      <c r="DF281" s="150">
        <f t="shared" si="827"/>
        <v>3.3296564353233258</v>
      </c>
      <c r="DG281" s="150"/>
      <c r="DH281" s="150">
        <f t="shared" si="828"/>
        <v>0.92784522751949461</v>
      </c>
      <c r="DI281" s="314">
        <f t="shared" si="829"/>
        <v>964.0239271276597</v>
      </c>
      <c r="DJ281" s="456">
        <f t="shared" si="830"/>
        <v>0.94395997276890675</v>
      </c>
      <c r="DL281" s="150">
        <f t="shared" si="831"/>
        <v>9.9429986364526108</v>
      </c>
      <c r="DM281" s="150">
        <f t="shared" si="832"/>
        <v>9.9429986364526108</v>
      </c>
      <c r="DN281" s="150">
        <f t="shared" si="833"/>
        <v>4.0758463524789263</v>
      </c>
      <c r="DP281" s="314">
        <f t="shared" si="834"/>
        <v>2600</v>
      </c>
      <c r="DQ281" s="144">
        <f t="shared" si="835"/>
        <v>350</v>
      </c>
      <c r="DS281">
        <f t="shared" si="836"/>
        <v>2600</v>
      </c>
      <c r="DT281">
        <f t="shared" si="837"/>
        <v>350</v>
      </c>
      <c r="DV281" s="5">
        <f t="shared" ref="DV281:DV316" si="867">1/DQ281*1000</f>
        <v>2.8571428571428572</v>
      </c>
      <c r="DW281" s="5">
        <f t="shared" si="838"/>
        <v>0.97358528315265136</v>
      </c>
      <c r="DX281" s="5">
        <f t="shared" si="839"/>
        <v>1.8835575739902057</v>
      </c>
      <c r="DY281" s="150">
        <f t="shared" si="840"/>
        <v>0.34075484910342796</v>
      </c>
      <c r="EA281" s="5">
        <f t="shared" ref="EA281:EA316" si="868">CJ281*DW281/Vout_ripple*1000</f>
        <v>8.4377391206563122</v>
      </c>
      <c r="EB281" s="5">
        <f t="shared" ref="EB281:EB316" si="869">CK281*DW281/Vout_ripple2*1000</f>
        <v>8.9650978156973302</v>
      </c>
      <c r="EC281" s="5">
        <f t="shared" ref="EC281:EC316" si="870">CL281/Efficiency/CN281*DX281/Vinripple1</f>
        <v>1.8004594457259318</v>
      </c>
      <c r="ED281" s="5"/>
      <c r="EE281" s="150">
        <f t="shared" ref="EE281:EE316" si="871">DM281*SQRT(DY281/3)</f>
        <v>3.3510258257798711</v>
      </c>
      <c r="EF281" s="150">
        <f t="shared" ref="EF281:EF316" si="872">DM281*Npri_sec1*SQRT((1-DY281)/3)*(Pout/Pout_total)</f>
        <v>4.4709947597873745</v>
      </c>
      <c r="EG281" s="150">
        <f t="shared" ref="EG281:EG316" si="873">DM281*Npri_sec2*SQRT((1-DY281)/3)*(Pout2/Pout_total)</f>
        <v>0.8974662173588579</v>
      </c>
      <c r="EH281" s="150"/>
      <c r="EI281" s="456">
        <f t="shared" ref="EI281:EI316" si="874">Rdson*EE281^2</f>
        <v>0.134752489020524</v>
      </c>
      <c r="EJ281" s="456">
        <f t="shared" ref="EJ281:EJ316" si="875">0.5*CP281*DM281*DQ281*1000*Trise</f>
        <v>5.2037180513806574</v>
      </c>
      <c r="EK281" s="456">
        <f t="shared" ref="EK281:EK316" si="876">Qg*Vdd*DQ281*1000</f>
        <v>4.0250000000000001E-2</v>
      </c>
      <c r="EL281" s="456">
        <f t="shared" ref="EL281:EL316" si="877">0.5*(Coss+Csw)*CP281^2*DQ281*1000</f>
        <v>1.1218321012500001</v>
      </c>
      <c r="EM281">
        <f t="shared" ref="EM281:EM316" si="878">CN281*IQ</f>
        <v>2.1600000000000001E-2</v>
      </c>
      <c r="EN281" s="144">
        <f t="shared" ref="EN281:EN316" si="879">(EK281+EM281)*1000</f>
        <v>61.85</v>
      </c>
      <c r="EP281" s="144">
        <f t="shared" ref="EP281:EP316" si="880">SUM(EI281:EM281)*1000</f>
        <v>6522.1526416511824</v>
      </c>
      <c r="EQ281" s="150">
        <f t="shared" ref="EQ281:EQ316" si="881">Vfwd2*CJ281</f>
        <v>1.8199999999999998</v>
      </c>
      <c r="ER281" s="150">
        <f t="shared" si="841"/>
        <v>0.26464749999999998</v>
      </c>
      <c r="ES281" s="456"/>
      <c r="EU281" s="144">
        <f t="shared" ref="EU281:EU316" si="882">SUM(EQ281:ET281)*1000</f>
        <v>2084.6475</v>
      </c>
      <c r="EV281" s="456">
        <f t="shared" ref="EV281:EV316" si="883">Rdcr_pri*EE281^2</f>
        <v>0.15721123719061134</v>
      </c>
      <c r="EW281" s="456">
        <f t="shared" ref="EW281:EW316" si="884">Rdcr_sec*EF281^2</f>
        <v>0.27985711798864626</v>
      </c>
      <c r="EX281" s="456">
        <f t="shared" ref="EX281:EX316" si="885">Rdcr_sec2*EG281^2</f>
        <v>4.0272280565020841E-3</v>
      </c>
      <c r="EY281" s="456">
        <f t="shared" ref="EY281:EY316" si="886">DM281^2.5*DQ281^2.5*k_core</f>
        <v>35.721818938567459</v>
      </c>
      <c r="EZ281" s="456"/>
      <c r="FA281" s="538">
        <f t="shared" ref="FA281:FA316" si="887">0.5*Lleak*0.000000001*DM281^2*DQ281*1000</f>
        <v>3.4602127659574466</v>
      </c>
      <c r="FB281" s="144">
        <f t="shared" ref="FB281:FB316" si="888">SUM(EV281:FA281)*1000</f>
        <v>39623.127287760661</v>
      </c>
      <c r="FC281" s="150">
        <f t="shared" ref="FC281:FC316" si="889">SUM(EI281:EM281,EQ281:ET281,EV281:FA281)</f>
        <v>48.229927429411845</v>
      </c>
      <c r="FD281" s="5">
        <f t="shared" ref="FD281:FD316" si="890">MIN(CL281+CM281,CS281+CT281)</f>
        <v>81.314999999999998</v>
      </c>
      <c r="FE281" s="150">
        <f t="shared" ref="FE281:FE316" si="891">FD281/(FD281+FC281)</f>
        <v>0.6276972909210049</v>
      </c>
      <c r="FF281" s="5">
        <f t="shared" ref="FF281:FF316" si="892">FE281*100</f>
        <v>62.769729092100491</v>
      </c>
      <c r="FG281">
        <f t="shared" ref="FG281:FG316" si="893">CJ281/Iout*100</f>
        <v>65</v>
      </c>
      <c r="FI281" s="59">
        <f t="shared" si="842"/>
        <v>-50</v>
      </c>
    </row>
    <row r="282" spans="5:165">
      <c r="E282" s="147">
        <v>66</v>
      </c>
      <c r="F282" s="188">
        <f t="shared" si="843"/>
        <v>2.64</v>
      </c>
      <c r="G282" s="188">
        <f t="shared" si="772"/>
        <v>0.56100000000000005</v>
      </c>
      <c r="H282" s="188">
        <f t="shared" si="773"/>
        <v>79.2</v>
      </c>
      <c r="I282" s="188">
        <f t="shared" si="774"/>
        <v>3.3660000000000005</v>
      </c>
      <c r="J282" s="465">
        <f t="shared" si="775"/>
        <v>47.846134514130107</v>
      </c>
      <c r="K282" s="379">
        <f t="shared" si="776"/>
        <v>30.812818195458647</v>
      </c>
      <c r="L282" s="149">
        <f t="shared" si="777"/>
        <v>78.65895270958876</v>
      </c>
      <c r="M282" s="379"/>
      <c r="N282" s="188">
        <f t="shared" si="778"/>
        <v>0.39172677914007459</v>
      </c>
      <c r="O282" s="149">
        <f t="shared" si="779"/>
        <v>272.40189183232252</v>
      </c>
      <c r="P282" s="149">
        <f t="shared" si="780"/>
        <v>11.577080402873705</v>
      </c>
      <c r="Q282" s="188">
        <f t="shared" si="781"/>
        <v>9.0800630610774178</v>
      </c>
      <c r="R282" s="188">
        <f t="shared" si="782"/>
        <v>45.400315305387089</v>
      </c>
      <c r="S282" s="188">
        <f t="shared" si="783"/>
        <v>30</v>
      </c>
      <c r="T282" s="188">
        <f t="shared" si="784"/>
        <v>8.8105114977590731</v>
      </c>
      <c r="U282" s="188">
        <f t="shared" si="785"/>
        <v>0.86547020903514071</v>
      </c>
      <c r="V282" s="188">
        <f t="shared" si="786"/>
        <v>1.3439018715130309</v>
      </c>
      <c r="W282" s="172">
        <f t="shared" si="787"/>
        <v>350</v>
      </c>
      <c r="X282" s="379">
        <f t="shared" si="844"/>
        <v>350</v>
      </c>
      <c r="Z282" s="188">
        <f t="shared" si="788"/>
        <v>11.393685208220637</v>
      </c>
      <c r="AA282" s="150">
        <f t="shared" si="789"/>
        <v>1.7379234881712153</v>
      </c>
      <c r="AB282" s="150">
        <f t="shared" si="790"/>
        <v>3.3239681530304344</v>
      </c>
      <c r="AC282" s="150"/>
      <c r="AD282" s="150">
        <f t="shared" si="791"/>
        <v>0.92444801069986926</v>
      </c>
      <c r="AE282" s="314">
        <f t="shared" si="792"/>
        <v>982.45221958172851</v>
      </c>
      <c r="AF282" s="456">
        <f t="shared" si="793"/>
        <v>0.94050375334628067</v>
      </c>
      <c r="AH282" s="150">
        <f t="shared" si="794"/>
        <v>10.019191311122638</v>
      </c>
      <c r="AI282" s="150">
        <f t="shared" si="795"/>
        <v>10.019191311122638</v>
      </c>
      <c r="AJ282" s="150">
        <f t="shared" si="796"/>
        <v>4.1322853707530198</v>
      </c>
      <c r="AL282" s="314">
        <f t="shared" si="797"/>
        <v>2640</v>
      </c>
      <c r="AM282" s="144">
        <f t="shared" si="798"/>
        <v>350</v>
      </c>
      <c r="AO282">
        <f t="shared" si="799"/>
        <v>2640</v>
      </c>
      <c r="AP282">
        <f t="shared" si="800"/>
        <v>350</v>
      </c>
      <c r="AR282" s="5">
        <f t="shared" si="771"/>
        <v>2.8571428571428572</v>
      </c>
      <c r="AS282" s="5">
        <f t="shared" si="737"/>
        <v>0.98420070169659246</v>
      </c>
      <c r="AT282" s="5">
        <f t="shared" si="738"/>
        <v>1.8729421554462649</v>
      </c>
      <c r="AU282" s="150">
        <f t="shared" si="739"/>
        <v>0.34447024559380734</v>
      </c>
      <c r="BA282" s="150">
        <f t="shared" si="845"/>
        <v>3.3950634821309906</v>
      </c>
      <c r="BB282" s="150">
        <f t="shared" si="846"/>
        <v>4.4925423814753334</v>
      </c>
      <c r="BC282" s="150">
        <f t="shared" si="847"/>
        <v>0.90179148803537568</v>
      </c>
      <c r="BD282" s="150"/>
      <c r="BE282" s="456">
        <f t="shared" si="848"/>
        <v>0.13831747257239288</v>
      </c>
      <c r="BF282" s="456">
        <f t="shared" si="801"/>
        <v>5.0339829726973528</v>
      </c>
      <c r="BG282" s="456">
        <f t="shared" si="849"/>
        <v>4.0250000000000001E-2</v>
      </c>
      <c r="BH282" s="456">
        <f t="shared" si="850"/>
        <v>1.1206621861430182</v>
      </c>
      <c r="BI282">
        <f t="shared" si="851"/>
        <v>2.1530760531358547E-2</v>
      </c>
      <c r="BJ282" s="144">
        <f t="shared" si="852"/>
        <v>61.780760531358546</v>
      </c>
      <c r="BK282">
        <f t="shared" si="802"/>
        <v>6.5454184976691305</v>
      </c>
      <c r="BL282" s="144">
        <f t="shared" si="853"/>
        <v>6354.7433919441219</v>
      </c>
      <c r="BM282" s="150">
        <f t="shared" si="803"/>
        <v>1.7703839999999997</v>
      </c>
      <c r="BN282" s="150">
        <f t="shared" si="804"/>
        <v>0.26871900000000004</v>
      </c>
      <c r="BQ282" s="144">
        <f t="shared" si="854"/>
        <v>2039.1029999999998</v>
      </c>
      <c r="BR282" s="456">
        <f t="shared" si="855"/>
        <v>0.16137038466779169</v>
      </c>
      <c r="BS282" s="456">
        <f t="shared" si="856"/>
        <v>0.28256111869092881</v>
      </c>
      <c r="BT282" s="456">
        <f t="shared" si="857"/>
        <v>4.0661394394652852E-3</v>
      </c>
      <c r="BU282" s="456">
        <f t="shared" si="858"/>
        <v>36.410093021126031</v>
      </c>
      <c r="BV282" s="456"/>
      <c r="BW282" s="538">
        <f t="shared" si="859"/>
        <v>3.5134468085106385</v>
      </c>
      <c r="BX282" s="144">
        <f t="shared" si="860"/>
        <v>40371.537472434851</v>
      </c>
      <c r="BY282" s="150">
        <f t="shared" si="861"/>
        <v>48.765383864378975</v>
      </c>
      <c r="BZ282" s="5">
        <f t="shared" si="862"/>
        <v>82.566000000000003</v>
      </c>
      <c r="CA282" s="150">
        <f t="shared" si="863"/>
        <v>0.62868445888960423</v>
      </c>
      <c r="CB282" s="5">
        <f t="shared" si="864"/>
        <v>62.868445888960423</v>
      </c>
      <c r="CC282">
        <f t="shared" si="865"/>
        <v>66</v>
      </c>
      <c r="CE282" s="59">
        <f t="shared" si="805"/>
        <v>-50</v>
      </c>
      <c r="CG282" s="150">
        <f t="shared" si="806"/>
        <v>0.53807062733436772</v>
      </c>
      <c r="CH282" s="150">
        <f t="shared" si="807"/>
        <v>0.11742991204008722</v>
      </c>
      <c r="CI282" s="147">
        <v>66</v>
      </c>
      <c r="CJ282" s="188">
        <f t="shared" si="866"/>
        <v>2.64</v>
      </c>
      <c r="CK282" s="188">
        <f t="shared" si="808"/>
        <v>0.56100000000000005</v>
      </c>
      <c r="CL282" s="188">
        <f t="shared" si="809"/>
        <v>79.2</v>
      </c>
      <c r="CM282" s="188">
        <f t="shared" si="810"/>
        <v>3.3660000000000005</v>
      </c>
      <c r="CN282" s="465">
        <f t="shared" si="811"/>
        <v>48</v>
      </c>
      <c r="CO282" s="379">
        <f t="shared" si="812"/>
        <v>30.7</v>
      </c>
      <c r="CP282" s="379">
        <f t="shared" si="813"/>
        <v>78.7</v>
      </c>
      <c r="CQ282" s="379"/>
      <c r="CR282" s="188">
        <f t="shared" si="814"/>
        <v>0.38775510204081626</v>
      </c>
      <c r="CS282" s="149">
        <f t="shared" si="815"/>
        <v>270.50715642699197</v>
      </c>
      <c r="CT282" s="149">
        <f t="shared" si="816"/>
        <v>11.496554148147156</v>
      </c>
      <c r="CU282" s="188">
        <f t="shared" si="817"/>
        <v>9.0169052142330663</v>
      </c>
      <c r="CV282" s="188">
        <f t="shared" si="818"/>
        <v>45.084526071165328</v>
      </c>
      <c r="CW282" s="188">
        <f t="shared" si="819"/>
        <v>30</v>
      </c>
      <c r="CX282" s="188">
        <f t="shared" si="820"/>
        <v>8.8722236842105282</v>
      </c>
      <c r="CY282" s="188">
        <f t="shared" si="821"/>
        <v>0.86873856907894753</v>
      </c>
      <c r="CZ282" s="188">
        <f t="shared" si="822"/>
        <v>1.3582883164752275</v>
      </c>
      <c r="DA282" s="172">
        <f t="shared" si="823"/>
        <v>350</v>
      </c>
      <c r="DB282" s="379">
        <f t="shared" si="824"/>
        <v>350</v>
      </c>
      <c r="DD282" s="188">
        <f t="shared" si="825"/>
        <v>11.382534575916392</v>
      </c>
      <c r="DE282" s="150">
        <f t="shared" si="826"/>
        <v>1.7426030132510437</v>
      </c>
      <c r="DF282" s="150">
        <f t="shared" si="827"/>
        <v>3.3296564353233258</v>
      </c>
      <c r="DG282" s="150"/>
      <c r="DH282" s="150">
        <f t="shared" si="828"/>
        <v>0.92784522751949461</v>
      </c>
      <c r="DI282" s="314">
        <f t="shared" si="829"/>
        <v>978.85506446808529</v>
      </c>
      <c r="DJ282" s="456">
        <f t="shared" si="830"/>
        <v>0.94395997276890675</v>
      </c>
      <c r="DL282" s="150">
        <f t="shared" si="831"/>
        <v>10.019191311122638</v>
      </c>
      <c r="DM282" s="150">
        <f t="shared" si="832"/>
        <v>10.019191311122638</v>
      </c>
      <c r="DN282" s="150">
        <f t="shared" si="833"/>
        <v>4.1322853707530198</v>
      </c>
      <c r="DP282" s="314">
        <f t="shared" si="834"/>
        <v>2640</v>
      </c>
      <c r="DQ282" s="144">
        <f t="shared" si="835"/>
        <v>350</v>
      </c>
      <c r="DS282">
        <f t="shared" si="836"/>
        <v>2640</v>
      </c>
      <c r="DT282">
        <f t="shared" si="837"/>
        <v>350</v>
      </c>
      <c r="DV282" s="5">
        <f t="shared" si="867"/>
        <v>2.8571428571428572</v>
      </c>
      <c r="DW282" s="5">
        <f t="shared" si="838"/>
        <v>0.98104581588075823</v>
      </c>
      <c r="DX282" s="5">
        <f t="shared" si="839"/>
        <v>1.876097041262099</v>
      </c>
      <c r="DY282" s="150">
        <f t="shared" si="840"/>
        <v>0.34336603555826539</v>
      </c>
      <c r="EA282" s="5">
        <f t="shared" si="868"/>
        <v>8.633203179750673</v>
      </c>
      <c r="EB282" s="5">
        <f t="shared" si="869"/>
        <v>9.1727783784850896</v>
      </c>
      <c r="EC282" s="5">
        <f t="shared" si="870"/>
        <v>1.8209177165190962</v>
      </c>
      <c r="ED282" s="5"/>
      <c r="EE282" s="150">
        <f t="shared" si="871"/>
        <v>3.3896176238670175</v>
      </c>
      <c r="EF282" s="150">
        <f t="shared" si="872"/>
        <v>4.4963245310148938</v>
      </c>
      <c r="EG282" s="150">
        <f t="shared" si="873"/>
        <v>0.90255068182179721</v>
      </c>
      <c r="EH282" s="150"/>
      <c r="EI282" s="456">
        <f t="shared" si="874"/>
        <v>0.13787409163235864</v>
      </c>
      <c r="EJ282" s="456">
        <f t="shared" si="875"/>
        <v>5.2435938686325887</v>
      </c>
      <c r="EK282" s="456">
        <f t="shared" si="876"/>
        <v>4.0250000000000001E-2</v>
      </c>
      <c r="EL282" s="456">
        <f t="shared" si="877"/>
        <v>1.1218321012500001</v>
      </c>
      <c r="EM282">
        <f t="shared" si="878"/>
        <v>2.1600000000000001E-2</v>
      </c>
      <c r="EN282" s="144">
        <f t="shared" si="879"/>
        <v>61.85</v>
      </c>
      <c r="EP282" s="144">
        <f t="shared" si="880"/>
        <v>6565.150061514948</v>
      </c>
      <c r="EQ282" s="150">
        <f t="shared" si="881"/>
        <v>1.8479999999999999</v>
      </c>
      <c r="ER282" s="150">
        <f t="shared" si="841"/>
        <v>0.26871900000000004</v>
      </c>
      <c r="ES282" s="456"/>
      <c r="EU282" s="144">
        <f t="shared" si="882"/>
        <v>2116.7189999999996</v>
      </c>
      <c r="EV282" s="456">
        <f t="shared" si="883"/>
        <v>0.1608531069044184</v>
      </c>
      <c r="EW282" s="456">
        <f t="shared" si="884"/>
        <v>0.28303708003488826</v>
      </c>
      <c r="EX282" s="456">
        <f t="shared" si="885"/>
        <v>4.0729886662849556E-3</v>
      </c>
      <c r="EY282" s="456">
        <f t="shared" si="886"/>
        <v>36.410093021126031</v>
      </c>
      <c r="EZ282" s="456"/>
      <c r="FA282" s="538">
        <f t="shared" si="887"/>
        <v>3.5134468085106385</v>
      </c>
      <c r="FB282" s="144">
        <f t="shared" si="888"/>
        <v>40371.503005242259</v>
      </c>
      <c r="FC282" s="150">
        <f t="shared" si="889"/>
        <v>49.053372066757206</v>
      </c>
      <c r="FD282" s="5">
        <f t="shared" si="890"/>
        <v>82.566000000000003</v>
      </c>
      <c r="FE282" s="150">
        <f t="shared" si="891"/>
        <v>0.62730887333304264</v>
      </c>
      <c r="FF282" s="5">
        <f t="shared" si="892"/>
        <v>62.730887333304267</v>
      </c>
      <c r="FG282">
        <f t="shared" si="893"/>
        <v>66</v>
      </c>
      <c r="FI282" s="59">
        <f t="shared" si="842"/>
        <v>-50</v>
      </c>
    </row>
    <row r="283" spans="5:165">
      <c r="E283" s="147">
        <v>67</v>
      </c>
      <c r="F283" s="188">
        <f t="shared" si="843"/>
        <v>2.68</v>
      </c>
      <c r="G283" s="188">
        <f t="shared" si="772"/>
        <v>0.56950000000000001</v>
      </c>
      <c r="H283" s="188">
        <f t="shared" si="773"/>
        <v>80.400000000000006</v>
      </c>
      <c r="I283" s="188">
        <f t="shared" si="774"/>
        <v>3.4169999999999998</v>
      </c>
      <c r="J283" s="465">
        <f t="shared" si="775"/>
        <v>47.844973248705728</v>
      </c>
      <c r="K283" s="379">
        <f t="shared" si="776"/>
        <v>30.813669665617059</v>
      </c>
      <c r="L283" s="149">
        <f t="shared" si="777"/>
        <v>78.658642914322783</v>
      </c>
      <c r="M283" s="379"/>
      <c r="N283" s="188">
        <f t="shared" si="778"/>
        <v>0.39173914682433791</v>
      </c>
      <c r="O283" s="149">
        <f t="shared" si="779"/>
        <v>272.40388053602578</v>
      </c>
      <c r="P283" s="149">
        <f t="shared" si="780"/>
        <v>11.577164922781094</v>
      </c>
      <c r="Q283" s="188">
        <f t="shared" si="781"/>
        <v>9.0801293512008598</v>
      </c>
      <c r="R283" s="188">
        <f t="shared" si="782"/>
        <v>45.400646756004299</v>
      </c>
      <c r="S283" s="188">
        <f t="shared" si="783"/>
        <v>30</v>
      </c>
      <c r="T283" s="188">
        <f t="shared" si="784"/>
        <v>8.9439387998785289</v>
      </c>
      <c r="U283" s="188">
        <f t="shared" si="785"/>
        <v>0.87859830417119589</v>
      </c>
      <c r="V283" s="188">
        <f t="shared" si="786"/>
        <v>1.3642163629194368</v>
      </c>
      <c r="W283" s="172">
        <f t="shared" si="787"/>
        <v>350</v>
      </c>
      <c r="X283" s="379">
        <f t="shared" si="844"/>
        <v>350</v>
      </c>
      <c r="Z283" s="188">
        <f t="shared" si="788"/>
        <v>11.393768389228724</v>
      </c>
      <c r="AA283" s="150">
        <f t="shared" si="789"/>
        <v>1.737888151930463</v>
      </c>
      <c r="AB283" s="150">
        <f t="shared" si="790"/>
        <v>3.3239248351645814</v>
      </c>
      <c r="AC283" s="150"/>
      <c r="AD283" s="150">
        <f t="shared" si="791"/>
        <v>0.92442246554725815</v>
      </c>
      <c r="AE283" s="314">
        <f t="shared" si="792"/>
        <v>997.3654193423173</v>
      </c>
      <c r="AF283" s="456">
        <f t="shared" si="793"/>
        <v>0.94047776452740461</v>
      </c>
      <c r="AH283" s="150">
        <f t="shared" si="794"/>
        <v>10.094808922077341</v>
      </c>
      <c r="AI283" s="150">
        <f t="shared" si="795"/>
        <v>10.094808922077341</v>
      </c>
      <c r="AJ283" s="150">
        <f t="shared" si="796"/>
        <v>4.1882984159046526</v>
      </c>
      <c r="AL283" s="314">
        <f t="shared" si="797"/>
        <v>2680</v>
      </c>
      <c r="AM283" s="144">
        <f t="shared" si="798"/>
        <v>350</v>
      </c>
      <c r="AO283">
        <f t="shared" si="799"/>
        <v>2680</v>
      </c>
      <c r="AP283">
        <f t="shared" si="800"/>
        <v>350</v>
      </c>
      <c r="AR283" s="5">
        <f t="shared" si="771"/>
        <v>2.8571428571428572</v>
      </c>
      <c r="AS283" s="5">
        <f t="shared" si="737"/>
        <v>0.99165280513657661</v>
      </c>
      <c r="AT283" s="5">
        <f t="shared" si="738"/>
        <v>1.8654900520062805</v>
      </c>
      <c r="AU283" s="150">
        <f t="shared" si="739"/>
        <v>0.34707848179780182</v>
      </c>
      <c r="BA283" s="150">
        <f t="shared" si="845"/>
        <v>3.4336128062554172</v>
      </c>
      <c r="BB283" s="150">
        <f t="shared" si="846"/>
        <v>4.517434900473007</v>
      </c>
      <c r="BC283" s="150">
        <f t="shared" si="847"/>
        <v>0.90678818252186999</v>
      </c>
      <c r="BD283" s="150"/>
      <c r="BE283" s="456">
        <f t="shared" si="848"/>
        <v>0.14147636283937443</v>
      </c>
      <c r="BF283" s="456">
        <f t="shared" si="801"/>
        <v>5.0719558602273835</v>
      </c>
      <c r="BG283" s="456">
        <f t="shared" si="849"/>
        <v>4.0250000000000001E-2</v>
      </c>
      <c r="BH283" s="456">
        <f t="shared" si="850"/>
        <v>1.1206533587903929</v>
      </c>
      <c r="BI283">
        <f t="shared" si="851"/>
        <v>2.1530237961917578E-2</v>
      </c>
      <c r="BJ283" s="144">
        <f t="shared" si="852"/>
        <v>61.780237961917578</v>
      </c>
      <c r="BK283">
        <f t="shared" si="802"/>
        <v>6.5939380001598895</v>
      </c>
      <c r="BL283" s="144">
        <f t="shared" si="853"/>
        <v>6395.8658198190697</v>
      </c>
      <c r="BM283" s="150">
        <f t="shared" si="803"/>
        <v>1.7972079999999999</v>
      </c>
      <c r="BN283" s="150">
        <f t="shared" si="804"/>
        <v>0.27279049999999999</v>
      </c>
      <c r="BQ283" s="144">
        <f t="shared" si="854"/>
        <v>2069.9985000000001</v>
      </c>
      <c r="BR283" s="456">
        <f t="shared" si="855"/>
        <v>0.16505575664593683</v>
      </c>
      <c r="BS283" s="456">
        <f t="shared" si="856"/>
        <v>0.28570105312016197</v>
      </c>
      <c r="BT283" s="456">
        <f t="shared" si="857"/>
        <v>4.1113240398065812E-3</v>
      </c>
      <c r="BU283" s="456">
        <f t="shared" si="858"/>
        <v>37.100979234030348</v>
      </c>
      <c r="BV283" s="456"/>
      <c r="BW283" s="538">
        <f t="shared" si="859"/>
        <v>3.5666808510638304</v>
      </c>
      <c r="BX283" s="144">
        <f t="shared" si="860"/>
        <v>41122.528218900079</v>
      </c>
      <c r="BY283" s="150">
        <f t="shared" si="861"/>
        <v>49.588392538719155</v>
      </c>
      <c r="BZ283" s="5">
        <f t="shared" si="862"/>
        <v>83.817000000000007</v>
      </c>
      <c r="CA283" s="150">
        <f t="shared" si="863"/>
        <v>0.62828794552419032</v>
      </c>
      <c r="CB283" s="5">
        <f t="shared" si="864"/>
        <v>62.828794552419033</v>
      </c>
      <c r="CC283">
        <f t="shared" si="865"/>
        <v>67</v>
      </c>
      <c r="CE283" s="59">
        <f t="shared" si="805"/>
        <v>-50</v>
      </c>
      <c r="CG283" s="150">
        <f t="shared" si="806"/>
        <v>0.54213159534071309</v>
      </c>
      <c r="CH283" s="150">
        <f t="shared" si="807"/>
        <v>0.11831618810043497</v>
      </c>
      <c r="CI283" s="147">
        <v>67</v>
      </c>
      <c r="CJ283" s="188">
        <f t="shared" si="866"/>
        <v>2.68</v>
      </c>
      <c r="CK283" s="188">
        <f t="shared" si="808"/>
        <v>0.56950000000000001</v>
      </c>
      <c r="CL283" s="188">
        <f t="shared" si="809"/>
        <v>80.400000000000006</v>
      </c>
      <c r="CM283" s="188">
        <f t="shared" si="810"/>
        <v>3.4169999999999998</v>
      </c>
      <c r="CN283" s="465">
        <f t="shared" si="811"/>
        <v>48</v>
      </c>
      <c r="CO283" s="379">
        <f t="shared" si="812"/>
        <v>30.7</v>
      </c>
      <c r="CP283" s="379">
        <f t="shared" si="813"/>
        <v>78.7</v>
      </c>
      <c r="CQ283" s="379"/>
      <c r="CR283" s="188">
        <f t="shared" si="814"/>
        <v>0.38775510204081626</v>
      </c>
      <c r="CS283" s="149">
        <f t="shared" si="815"/>
        <v>270.50715642699197</v>
      </c>
      <c r="CT283" s="149">
        <f t="shared" si="816"/>
        <v>11.496554148147156</v>
      </c>
      <c r="CU283" s="188">
        <f t="shared" si="817"/>
        <v>9.0169052142330663</v>
      </c>
      <c r="CV283" s="188">
        <f t="shared" si="818"/>
        <v>45.084526071165328</v>
      </c>
      <c r="CW283" s="188">
        <f t="shared" si="819"/>
        <v>30</v>
      </c>
      <c r="CX283" s="188">
        <f t="shared" si="820"/>
        <v>9.0066513157894761</v>
      </c>
      <c r="CY283" s="188">
        <f t="shared" si="821"/>
        <v>0.88190127467105284</v>
      </c>
      <c r="CZ283" s="188">
        <f t="shared" si="822"/>
        <v>1.378868442482428</v>
      </c>
      <c r="DA283" s="172">
        <f t="shared" si="823"/>
        <v>350</v>
      </c>
      <c r="DB283" s="379">
        <f t="shared" si="824"/>
        <v>350</v>
      </c>
      <c r="DD283" s="188">
        <f t="shared" si="825"/>
        <v>11.382534575916392</v>
      </c>
      <c r="DE283" s="150">
        <f t="shared" si="826"/>
        <v>1.7426030132510437</v>
      </c>
      <c r="DF283" s="150">
        <f t="shared" si="827"/>
        <v>3.3296564353233258</v>
      </c>
      <c r="DG283" s="150"/>
      <c r="DH283" s="150">
        <f t="shared" si="828"/>
        <v>0.92784522751949461</v>
      </c>
      <c r="DI283" s="314">
        <f t="shared" si="829"/>
        <v>993.68620180851065</v>
      </c>
      <c r="DJ283" s="456">
        <f t="shared" si="830"/>
        <v>0.94395997276890675</v>
      </c>
      <c r="DL283" s="150">
        <f t="shared" si="831"/>
        <v>10.094808922077341</v>
      </c>
      <c r="DM283" s="150">
        <f t="shared" si="832"/>
        <v>10.094808922077341</v>
      </c>
      <c r="DN283" s="150">
        <f t="shared" si="833"/>
        <v>4.1882984159046526</v>
      </c>
      <c r="DP283" s="314">
        <f t="shared" si="834"/>
        <v>2680</v>
      </c>
      <c r="DQ283" s="144">
        <f t="shared" si="835"/>
        <v>350</v>
      </c>
      <c r="DS283">
        <f t="shared" si="836"/>
        <v>2680</v>
      </c>
      <c r="DT283">
        <f t="shared" si="837"/>
        <v>350</v>
      </c>
      <c r="DV283" s="5">
        <f t="shared" si="867"/>
        <v>2.8571428571428572</v>
      </c>
      <c r="DW283" s="5">
        <f t="shared" si="838"/>
        <v>0.98845004028673966</v>
      </c>
      <c r="DX283" s="5">
        <f t="shared" si="839"/>
        <v>1.8686928168561177</v>
      </c>
      <c r="DY283" s="150">
        <f t="shared" si="840"/>
        <v>0.34595751410035885</v>
      </c>
      <c r="EA283" s="5">
        <f t="shared" si="868"/>
        <v>8.8301536932282083</v>
      </c>
      <c r="EB283" s="5">
        <f t="shared" si="869"/>
        <v>9.3820382990549724</v>
      </c>
      <c r="EC283" s="5">
        <f t="shared" si="870"/>
        <v>1.8412120401376453</v>
      </c>
      <c r="ED283" s="5"/>
      <c r="EE283" s="150">
        <f t="shared" si="871"/>
        <v>3.4280635111405515</v>
      </c>
      <c r="EF283" s="150">
        <f t="shared" si="872"/>
        <v>4.5213111144083751</v>
      </c>
      <c r="EG283" s="150">
        <f t="shared" si="873"/>
        <v>0.90756625792681955</v>
      </c>
      <c r="EH283" s="150"/>
      <c r="EI283" s="456">
        <f t="shared" si="874"/>
        <v>0.14101943323695942</v>
      </c>
      <c r="EJ283" s="456">
        <f t="shared" si="875"/>
        <v>5.2831687234137865</v>
      </c>
      <c r="EK283" s="456">
        <f t="shared" si="876"/>
        <v>4.0250000000000001E-2</v>
      </c>
      <c r="EL283" s="456">
        <f t="shared" si="877"/>
        <v>1.1218321012500001</v>
      </c>
      <c r="EM283">
        <f t="shared" si="878"/>
        <v>2.1600000000000001E-2</v>
      </c>
      <c r="EN283" s="144">
        <f t="shared" si="879"/>
        <v>61.85</v>
      </c>
      <c r="EP283" s="144">
        <f t="shared" si="880"/>
        <v>6607.8702579007459</v>
      </c>
      <c r="EQ283" s="150">
        <f t="shared" si="881"/>
        <v>1.8759999999999999</v>
      </c>
      <c r="ER283" s="150">
        <f t="shared" si="841"/>
        <v>0.27279049999999999</v>
      </c>
      <c r="ES283" s="456"/>
      <c r="EU283" s="144">
        <f t="shared" si="882"/>
        <v>2148.7905000000001</v>
      </c>
      <c r="EV283" s="456">
        <f t="shared" si="883"/>
        <v>0.16452267210978599</v>
      </c>
      <c r="EW283" s="456">
        <f t="shared" si="884"/>
        <v>0.28619155870581786</v>
      </c>
      <c r="EX283" s="456">
        <f t="shared" si="885"/>
        <v>4.1183825626364516E-3</v>
      </c>
      <c r="EY283" s="456">
        <f t="shared" si="886"/>
        <v>37.100979234030348</v>
      </c>
      <c r="EZ283" s="456"/>
      <c r="FA283" s="538">
        <f t="shared" si="887"/>
        <v>3.5666808510638304</v>
      </c>
      <c r="FB283" s="144">
        <f t="shared" si="888"/>
        <v>41122.492698472422</v>
      </c>
      <c r="FC283" s="150">
        <f t="shared" si="889"/>
        <v>49.87915345637316</v>
      </c>
      <c r="FD283" s="5">
        <f t="shared" si="890"/>
        <v>83.817000000000007</v>
      </c>
      <c r="FE283" s="150">
        <f t="shared" si="891"/>
        <v>0.62692155184068632</v>
      </c>
      <c r="FF283" s="5">
        <f t="shared" si="892"/>
        <v>62.692155184068632</v>
      </c>
      <c r="FG283">
        <f t="shared" si="893"/>
        <v>67</v>
      </c>
      <c r="FI283" s="59">
        <f t="shared" si="842"/>
        <v>-50</v>
      </c>
    </row>
    <row r="284" spans="5:165">
      <c r="E284" s="147">
        <v>68</v>
      </c>
      <c r="F284" s="188">
        <f t="shared" si="843"/>
        <v>2.72</v>
      </c>
      <c r="G284" s="188">
        <f t="shared" si="772"/>
        <v>0.57800000000000007</v>
      </c>
      <c r="H284" s="188">
        <f t="shared" si="773"/>
        <v>81.600000000000009</v>
      </c>
      <c r="I284" s="188">
        <f t="shared" si="774"/>
        <v>3.4680000000000004</v>
      </c>
      <c r="J284" s="465">
        <f t="shared" si="775"/>
        <v>47.843820617584349</v>
      </c>
      <c r="K284" s="379">
        <f t="shared" si="776"/>
        <v>30.814514804878851</v>
      </c>
      <c r="L284" s="149">
        <f t="shared" si="777"/>
        <v>78.658335422463196</v>
      </c>
      <c r="M284" s="379"/>
      <c r="N284" s="188">
        <f t="shared" si="778"/>
        <v>0.39175142264806767</v>
      </c>
      <c r="O284" s="149">
        <f t="shared" si="779"/>
        <v>272.40585410737043</v>
      </c>
      <c r="P284" s="149">
        <f t="shared" si="780"/>
        <v>11.577248799563241</v>
      </c>
      <c r="Q284" s="188">
        <f t="shared" si="781"/>
        <v>9.0801951369123479</v>
      </c>
      <c r="R284" s="188">
        <f t="shared" si="782"/>
        <v>45.400975684561736</v>
      </c>
      <c r="S284" s="188">
        <f t="shared" si="783"/>
        <v>30</v>
      </c>
      <c r="T284" s="188">
        <f t="shared" si="784"/>
        <v>9.0773646580760818</v>
      </c>
      <c r="U284" s="188">
        <f t="shared" si="785"/>
        <v>0.89172673382353473</v>
      </c>
      <c r="V284" s="188">
        <f t="shared" si="786"/>
        <v>1.3845297958805656</v>
      </c>
      <c r="W284" s="172">
        <f t="shared" si="787"/>
        <v>350</v>
      </c>
      <c r="X284" s="379">
        <f t="shared" si="844"/>
        <v>350</v>
      </c>
      <c r="Z284" s="188">
        <f t="shared" si="788"/>
        <v>11.393850937299465</v>
      </c>
      <c r="AA284" s="150">
        <f t="shared" si="789"/>
        <v>1.7378530781483783</v>
      </c>
      <c r="AB284" s="150">
        <f t="shared" si="790"/>
        <v>3.3238818336558187</v>
      </c>
      <c r="AC284" s="150"/>
      <c r="AD284" s="150">
        <f t="shared" si="791"/>
        <v>0.92439711172536421</v>
      </c>
      <c r="AE284" s="314">
        <f t="shared" si="792"/>
        <v>1012.2792338170005</v>
      </c>
      <c r="AF284" s="456">
        <f t="shared" si="793"/>
        <v>0.94045197036226302</v>
      </c>
      <c r="AH284" s="150">
        <f t="shared" si="794"/>
        <v>10.16986429691317</v>
      </c>
      <c r="AI284" s="150">
        <f t="shared" si="795"/>
        <v>10.16986429691317</v>
      </c>
      <c r="AJ284" s="150">
        <f t="shared" si="796"/>
        <v>4.2438949898571181</v>
      </c>
      <c r="AL284" s="314">
        <f t="shared" si="797"/>
        <v>2720</v>
      </c>
      <c r="AM284" s="144">
        <f t="shared" si="798"/>
        <v>350</v>
      </c>
      <c r="AO284">
        <f t="shared" si="799"/>
        <v>2720</v>
      </c>
      <c r="AP284">
        <f t="shared" si="800"/>
        <v>350</v>
      </c>
      <c r="AR284" s="5">
        <f t="shared" si="771"/>
        <v>2.8571428571428572</v>
      </c>
      <c r="AS284" s="5">
        <f t="shared" si="737"/>
        <v>0.99904985802752255</v>
      </c>
      <c r="AT284" s="5">
        <f t="shared" si="738"/>
        <v>1.8580929991153345</v>
      </c>
      <c r="AU284" s="150">
        <f t="shared" si="739"/>
        <v>0.34966745030963287</v>
      </c>
      <c r="BA284" s="150">
        <f t="shared" si="845"/>
        <v>3.4720193262421994</v>
      </c>
      <c r="BB284" s="150">
        <f t="shared" si="846"/>
        <v>4.5419904063353389</v>
      </c>
      <c r="BC284" s="150">
        <f t="shared" si="847"/>
        <v>0.91171722810246636</v>
      </c>
      <c r="BD284" s="150"/>
      <c r="BE284" s="456">
        <f t="shared" si="848"/>
        <v>0.14465901842159204</v>
      </c>
      <c r="BF284" s="456">
        <f t="shared" si="801"/>
        <v>5.109646113768842</v>
      </c>
      <c r="BG284" s="456">
        <f t="shared" si="849"/>
        <v>4.0250000000000001E-2</v>
      </c>
      <c r="BH284" s="456">
        <f t="shared" si="850"/>
        <v>1.120644597105753</v>
      </c>
      <c r="BI284">
        <f t="shared" si="851"/>
        <v>2.1529719277912956E-2</v>
      </c>
      <c r="BJ284" s="144">
        <f t="shared" si="852"/>
        <v>61.779719277912953</v>
      </c>
      <c r="BK284">
        <f t="shared" si="802"/>
        <v>6.6423104006500502</v>
      </c>
      <c r="BL284" s="144">
        <f t="shared" si="853"/>
        <v>6436.7294485741004</v>
      </c>
      <c r="BM284" s="150">
        <f t="shared" si="803"/>
        <v>1.8240319999999999</v>
      </c>
      <c r="BN284" s="150">
        <f t="shared" si="804"/>
        <v>0.276862</v>
      </c>
      <c r="BQ284" s="144">
        <f t="shared" si="854"/>
        <v>2100.8939999999998</v>
      </c>
      <c r="BR284" s="456">
        <f t="shared" si="855"/>
        <v>0.16876885482519072</v>
      </c>
      <c r="BS284" s="456">
        <f t="shared" si="856"/>
        <v>0.2888154759173916</v>
      </c>
      <c r="BT284" s="456">
        <f t="shared" si="857"/>
        <v>4.1561415200942232E-3</v>
      </c>
      <c r="BU284" s="456">
        <f t="shared" si="858"/>
        <v>37.79444828019885</v>
      </c>
      <c r="BV284" s="456"/>
      <c r="BW284" s="538">
        <f t="shared" si="859"/>
        <v>3.6199148936170227</v>
      </c>
      <c r="BX284" s="144">
        <f t="shared" si="860"/>
        <v>41876.103646078547</v>
      </c>
      <c r="BY284" s="150">
        <f t="shared" si="861"/>
        <v>50.41372709465265</v>
      </c>
      <c r="BZ284" s="5">
        <f t="shared" si="862"/>
        <v>85.068000000000012</v>
      </c>
      <c r="CA284" s="150">
        <f t="shared" si="863"/>
        <v>0.62789279280864418</v>
      </c>
      <c r="CB284" s="5">
        <f t="shared" si="864"/>
        <v>62.78927928086442</v>
      </c>
      <c r="CC284">
        <f t="shared" si="865"/>
        <v>68</v>
      </c>
      <c r="CE284" s="59">
        <f t="shared" si="805"/>
        <v>-50</v>
      </c>
      <c r="CG284" s="150">
        <f t="shared" si="806"/>
        <v>0.54616236901981208</v>
      </c>
      <c r="CH284" s="150">
        <f t="shared" si="807"/>
        <v>0.11919587447345818</v>
      </c>
      <c r="CI284" s="147">
        <v>68</v>
      </c>
      <c r="CJ284" s="188">
        <f t="shared" si="866"/>
        <v>2.72</v>
      </c>
      <c r="CK284" s="188">
        <f t="shared" si="808"/>
        <v>0.57800000000000007</v>
      </c>
      <c r="CL284" s="188">
        <f t="shared" si="809"/>
        <v>81.600000000000009</v>
      </c>
      <c r="CM284" s="188">
        <f t="shared" si="810"/>
        <v>3.4680000000000004</v>
      </c>
      <c r="CN284" s="465">
        <f t="shared" si="811"/>
        <v>48</v>
      </c>
      <c r="CO284" s="379">
        <f t="shared" si="812"/>
        <v>30.7</v>
      </c>
      <c r="CP284" s="379">
        <f t="shared" si="813"/>
        <v>78.7</v>
      </c>
      <c r="CQ284" s="379"/>
      <c r="CR284" s="188">
        <f t="shared" si="814"/>
        <v>0.38775510204081626</v>
      </c>
      <c r="CS284" s="149">
        <f t="shared" si="815"/>
        <v>270.50715642699197</v>
      </c>
      <c r="CT284" s="149">
        <f t="shared" si="816"/>
        <v>11.496554148147156</v>
      </c>
      <c r="CU284" s="188">
        <f t="shared" si="817"/>
        <v>9.0169052142330663</v>
      </c>
      <c r="CV284" s="188">
        <f t="shared" si="818"/>
        <v>45.084526071165328</v>
      </c>
      <c r="CW284" s="188">
        <f t="shared" si="819"/>
        <v>30</v>
      </c>
      <c r="CX284" s="188">
        <f t="shared" si="820"/>
        <v>9.141078947368424</v>
      </c>
      <c r="CY284" s="188">
        <f t="shared" si="821"/>
        <v>0.89506398026315825</v>
      </c>
      <c r="CZ284" s="188">
        <f t="shared" si="822"/>
        <v>1.3994485684896285</v>
      </c>
      <c r="DA284" s="172">
        <f t="shared" si="823"/>
        <v>350</v>
      </c>
      <c r="DB284" s="379">
        <f t="shared" si="824"/>
        <v>350</v>
      </c>
      <c r="DD284" s="188">
        <f t="shared" si="825"/>
        <v>11.382534575916392</v>
      </c>
      <c r="DE284" s="150">
        <f t="shared" si="826"/>
        <v>1.7426030132510437</v>
      </c>
      <c r="DF284" s="150">
        <f t="shared" si="827"/>
        <v>3.3296564353233258</v>
      </c>
      <c r="DG284" s="150"/>
      <c r="DH284" s="150">
        <f t="shared" si="828"/>
        <v>0.92784522751949461</v>
      </c>
      <c r="DI284" s="314">
        <f t="shared" si="829"/>
        <v>1008.5173391489362</v>
      </c>
      <c r="DJ284" s="456">
        <f t="shared" si="830"/>
        <v>0.94395997276890675</v>
      </c>
      <c r="DL284" s="150">
        <f t="shared" si="831"/>
        <v>10.16986429691317</v>
      </c>
      <c r="DM284" s="150">
        <f t="shared" si="832"/>
        <v>10.16986429691317</v>
      </c>
      <c r="DN284" s="150">
        <f t="shared" si="833"/>
        <v>4.2438949898571181</v>
      </c>
      <c r="DP284" s="314">
        <f t="shared" si="834"/>
        <v>2720</v>
      </c>
      <c r="DQ284" s="144">
        <f t="shared" si="835"/>
        <v>350</v>
      </c>
      <c r="DS284">
        <f t="shared" si="836"/>
        <v>2720</v>
      </c>
      <c r="DT284">
        <f t="shared" si="837"/>
        <v>350</v>
      </c>
      <c r="DV284" s="5">
        <f t="shared" si="867"/>
        <v>2.8571428571428572</v>
      </c>
      <c r="DW284" s="5">
        <f t="shared" si="838"/>
        <v>0.99579921240608127</v>
      </c>
      <c r="DX284" s="5">
        <f t="shared" si="839"/>
        <v>1.8613436447367759</v>
      </c>
      <c r="DY284" s="150">
        <f t="shared" si="840"/>
        <v>0.34852972434212842</v>
      </c>
      <c r="EA284" s="5">
        <f t="shared" si="868"/>
        <v>9.028579525815136</v>
      </c>
      <c r="EB284" s="5">
        <f t="shared" si="869"/>
        <v>9.5928657461785853</v>
      </c>
      <c r="EC284" s="5">
        <f t="shared" si="870"/>
        <v>1.8613436447367759</v>
      </c>
      <c r="ED284" s="5"/>
      <c r="EE284" s="150">
        <f t="shared" si="871"/>
        <v>3.4663662049476121</v>
      </c>
      <c r="EF284" s="150">
        <f t="shared" si="872"/>
        <v>4.5459616686648578</v>
      </c>
      <c r="EG284" s="150">
        <f t="shared" si="873"/>
        <v>0.9125143826446882</v>
      </c>
      <c r="EH284" s="150"/>
      <c r="EI284" s="456">
        <f t="shared" si="874"/>
        <v>0.14418833600163491</v>
      </c>
      <c r="EJ284" s="456">
        <f t="shared" si="875"/>
        <v>5.3224493291109924</v>
      </c>
      <c r="EK284" s="456">
        <f t="shared" si="876"/>
        <v>4.0250000000000001E-2</v>
      </c>
      <c r="EL284" s="456">
        <f t="shared" si="877"/>
        <v>1.1218321012500001</v>
      </c>
      <c r="EM284">
        <f t="shared" si="878"/>
        <v>2.1600000000000001E-2</v>
      </c>
      <c r="EN284" s="144">
        <f t="shared" si="879"/>
        <v>61.85</v>
      </c>
      <c r="EP284" s="144">
        <f t="shared" si="880"/>
        <v>6650.3197663626279</v>
      </c>
      <c r="EQ284" s="150">
        <f t="shared" si="881"/>
        <v>1.9039999999999999</v>
      </c>
      <c r="ER284" s="150">
        <f t="shared" si="841"/>
        <v>0.276862</v>
      </c>
      <c r="ES284" s="456"/>
      <c r="EU284" s="144">
        <f t="shared" si="882"/>
        <v>2180.8620000000001</v>
      </c>
      <c r="EV284" s="456">
        <f t="shared" si="883"/>
        <v>0.16821972533524074</v>
      </c>
      <c r="EW284" s="456">
        <f t="shared" si="884"/>
        <v>0.28932074490158249</v>
      </c>
      <c r="EX284" s="456">
        <f t="shared" si="885"/>
        <v>4.1634124926670825E-3</v>
      </c>
      <c r="EY284" s="456">
        <f t="shared" si="886"/>
        <v>37.79444828019885</v>
      </c>
      <c r="EZ284" s="456"/>
      <c r="FA284" s="538">
        <f t="shared" si="887"/>
        <v>3.6199148936170227</v>
      </c>
      <c r="FB284" s="144">
        <f t="shared" si="888"/>
        <v>41876.067056545362</v>
      </c>
      <c r="FC284" s="150">
        <f t="shared" si="889"/>
        <v>50.707248822907992</v>
      </c>
      <c r="FD284" s="5">
        <f t="shared" si="890"/>
        <v>85.068000000000012</v>
      </c>
      <c r="FE284" s="150">
        <f t="shared" si="891"/>
        <v>0.62653540124205132</v>
      </c>
      <c r="FF284" s="5">
        <f t="shared" si="892"/>
        <v>62.653540124205129</v>
      </c>
      <c r="FG284">
        <f t="shared" si="893"/>
        <v>68</v>
      </c>
      <c r="FI284" s="59">
        <f t="shared" si="842"/>
        <v>-50</v>
      </c>
    </row>
    <row r="285" spans="5:165">
      <c r="E285" s="147">
        <v>69</v>
      </c>
      <c r="F285" s="188">
        <f t="shared" si="843"/>
        <v>2.76</v>
      </c>
      <c r="G285" s="188">
        <f t="shared" si="772"/>
        <v>0.58649999999999991</v>
      </c>
      <c r="H285" s="188">
        <f t="shared" si="773"/>
        <v>82.8</v>
      </c>
      <c r="I285" s="188">
        <f t="shared" si="774"/>
        <v>3.5189999999999992</v>
      </c>
      <c r="J285" s="465">
        <f t="shared" si="775"/>
        <v>47.842676430988192</v>
      </c>
      <c r="K285" s="379">
        <f t="shared" si="776"/>
        <v>30.815353752394056</v>
      </c>
      <c r="L285" s="149">
        <f t="shared" si="777"/>
        <v>78.658030183382252</v>
      </c>
      <c r="M285" s="379"/>
      <c r="N285" s="188">
        <f t="shared" si="778"/>
        <v>0.39176360863031484</v>
      </c>
      <c r="O285" s="149">
        <f t="shared" si="779"/>
        <v>272.4078128789543</v>
      </c>
      <c r="P285" s="149">
        <f t="shared" si="780"/>
        <v>11.577332047355556</v>
      </c>
      <c r="Q285" s="188">
        <f t="shared" si="781"/>
        <v>9.0802604292984768</v>
      </c>
      <c r="R285" s="188">
        <f t="shared" si="782"/>
        <v>45.401302146492384</v>
      </c>
      <c r="S285" s="188">
        <f t="shared" si="783"/>
        <v>30</v>
      </c>
      <c r="T285" s="188">
        <f t="shared" si="784"/>
        <v>9.2107890833727151</v>
      </c>
      <c r="U285" s="188">
        <f t="shared" si="785"/>
        <v>0.90485549558034184</v>
      </c>
      <c r="V285" s="188">
        <f t="shared" si="786"/>
        <v>1.404842178340675</v>
      </c>
      <c r="W285" s="172">
        <f t="shared" si="787"/>
        <v>350</v>
      </c>
      <c r="X285" s="379">
        <f t="shared" si="844"/>
        <v>350</v>
      </c>
      <c r="Z285" s="188">
        <f t="shared" si="788"/>
        <v>11.393932866344343</v>
      </c>
      <c r="AA285" s="150">
        <f t="shared" si="789"/>
        <v>1.7378182610562429</v>
      </c>
      <c r="AB285" s="150">
        <f t="shared" si="790"/>
        <v>3.3238391415509523</v>
      </c>
      <c r="AC285" s="150"/>
      <c r="AD285" s="150">
        <f t="shared" si="791"/>
        <v>0.92437194502871756</v>
      </c>
      <c r="AE285" s="314">
        <f t="shared" si="792"/>
        <v>1027.1936584688335</v>
      </c>
      <c r="AF285" s="456">
        <f t="shared" si="793"/>
        <v>0.94042636657234557</v>
      </c>
      <c r="AH285" s="150">
        <f t="shared" si="794"/>
        <v>10.244369793306277</v>
      </c>
      <c r="AI285" s="150">
        <f t="shared" si="795"/>
        <v>10.244369793306277</v>
      </c>
      <c r="AJ285" s="150">
        <f t="shared" si="796"/>
        <v>4.2990842464446049</v>
      </c>
      <c r="AL285" s="314">
        <f t="shared" si="797"/>
        <v>2760</v>
      </c>
      <c r="AM285" s="144">
        <f t="shared" si="798"/>
        <v>350</v>
      </c>
      <c r="AO285">
        <f t="shared" si="799"/>
        <v>2760</v>
      </c>
      <c r="AP285">
        <f t="shared" si="800"/>
        <v>350</v>
      </c>
      <c r="AR285" s="5">
        <f t="shared" si="771"/>
        <v>2.8571428571428572</v>
      </c>
      <c r="AS285" s="5">
        <f t="shared" si="737"/>
        <v>1.0063930703791728</v>
      </c>
      <c r="AT285" s="5">
        <f t="shared" si="738"/>
        <v>1.8507497867636844</v>
      </c>
      <c r="AU285" s="150">
        <f t="shared" si="739"/>
        <v>0.35223757463271049</v>
      </c>
      <c r="BA285" s="150">
        <f t="shared" si="845"/>
        <v>3.5102856654087913</v>
      </c>
      <c r="BB285" s="150">
        <f t="shared" si="846"/>
        <v>4.5662157960534948</v>
      </c>
      <c r="BC285" s="150">
        <f t="shared" si="847"/>
        <v>0.91658000921550742</v>
      </c>
      <c r="BD285" s="150"/>
      <c r="BE285" s="456">
        <f t="shared" si="848"/>
        <v>0.14786526543329329</v>
      </c>
      <c r="BF285" s="456">
        <f t="shared" si="801"/>
        <v>5.1470599454791888</v>
      </c>
      <c r="BG285" s="456">
        <f t="shared" si="849"/>
        <v>4.0250000000000001E-2</v>
      </c>
      <c r="BH285" s="456">
        <f t="shared" si="850"/>
        <v>1.1206358996457484</v>
      </c>
      <c r="BI285">
        <f t="shared" si="851"/>
        <v>2.1529204393944686E-2</v>
      </c>
      <c r="BJ285" s="144">
        <f t="shared" si="852"/>
        <v>61.779204393944688</v>
      </c>
      <c r="BK285">
        <f t="shared" si="802"/>
        <v>6.6905421240312721</v>
      </c>
      <c r="BL285" s="144">
        <f t="shared" si="853"/>
        <v>6477.3403149521755</v>
      </c>
      <c r="BM285" s="150">
        <f t="shared" si="803"/>
        <v>1.8508559999999996</v>
      </c>
      <c r="BN285" s="150">
        <f t="shared" si="804"/>
        <v>0.28093349999999995</v>
      </c>
      <c r="BQ285" s="144">
        <f t="shared" si="854"/>
        <v>2131.7894999999994</v>
      </c>
      <c r="BR285" s="456">
        <f t="shared" si="855"/>
        <v>0.17250947633884217</v>
      </c>
      <c r="BS285" s="456">
        <f t="shared" si="856"/>
        <v>0.29190457374579831</v>
      </c>
      <c r="BT285" s="456">
        <f t="shared" si="857"/>
        <v>4.2005945664674981E-3</v>
      </c>
      <c r="BU285" s="456">
        <f t="shared" si="858"/>
        <v>38.490471617993016</v>
      </c>
      <c r="BV285" s="456"/>
      <c r="BW285" s="538">
        <f t="shared" si="859"/>
        <v>3.6731489361702137</v>
      </c>
      <c r="BX285" s="144">
        <f t="shared" si="860"/>
        <v>42632.235198814335</v>
      </c>
      <c r="BY285" s="150">
        <f t="shared" si="861"/>
        <v>51.241365013766512</v>
      </c>
      <c r="BZ285" s="5">
        <f t="shared" si="862"/>
        <v>86.319000000000003</v>
      </c>
      <c r="CA285" s="150">
        <f t="shared" si="863"/>
        <v>0.62749906189447469</v>
      </c>
      <c r="CB285" s="5">
        <f t="shared" si="864"/>
        <v>62.749906189447472</v>
      </c>
      <c r="CC285">
        <f t="shared" si="865"/>
        <v>69</v>
      </c>
      <c r="CE285" s="59">
        <f t="shared" si="805"/>
        <v>-50</v>
      </c>
      <c r="CG285" s="150">
        <f t="shared" si="806"/>
        <v>0.55016361202827657</v>
      </c>
      <c r="CH285" s="150">
        <f t="shared" si="807"/>
        <v>0.12006911599727584</v>
      </c>
      <c r="CI285" s="147">
        <v>69</v>
      </c>
      <c r="CJ285" s="188">
        <f t="shared" si="866"/>
        <v>2.76</v>
      </c>
      <c r="CK285" s="188">
        <f t="shared" si="808"/>
        <v>0.58649999999999991</v>
      </c>
      <c r="CL285" s="188">
        <f t="shared" si="809"/>
        <v>82.8</v>
      </c>
      <c r="CM285" s="188">
        <f t="shared" si="810"/>
        <v>3.5189999999999992</v>
      </c>
      <c r="CN285" s="465">
        <f t="shared" si="811"/>
        <v>48</v>
      </c>
      <c r="CO285" s="379">
        <f t="shared" si="812"/>
        <v>30.7</v>
      </c>
      <c r="CP285" s="379">
        <f t="shared" si="813"/>
        <v>78.7</v>
      </c>
      <c r="CQ285" s="379"/>
      <c r="CR285" s="188">
        <f t="shared" si="814"/>
        <v>0.38775510204081626</v>
      </c>
      <c r="CS285" s="149">
        <f t="shared" si="815"/>
        <v>270.50715642699197</v>
      </c>
      <c r="CT285" s="149">
        <f t="shared" si="816"/>
        <v>11.496554148147156</v>
      </c>
      <c r="CU285" s="188">
        <f t="shared" si="817"/>
        <v>9.0169052142330663</v>
      </c>
      <c r="CV285" s="188">
        <f t="shared" si="818"/>
        <v>45.084526071165328</v>
      </c>
      <c r="CW285" s="188">
        <f t="shared" si="819"/>
        <v>30</v>
      </c>
      <c r="CX285" s="188">
        <f t="shared" si="820"/>
        <v>9.2755065789473701</v>
      </c>
      <c r="CY285" s="188">
        <f t="shared" si="821"/>
        <v>0.90822668585526334</v>
      </c>
      <c r="CZ285" s="188">
        <f t="shared" si="822"/>
        <v>1.4200286944968288</v>
      </c>
      <c r="DA285" s="172">
        <f t="shared" si="823"/>
        <v>350</v>
      </c>
      <c r="DB285" s="379">
        <f t="shared" si="824"/>
        <v>350</v>
      </c>
      <c r="DD285" s="188">
        <f t="shared" si="825"/>
        <v>11.382534575916392</v>
      </c>
      <c r="DE285" s="150">
        <f t="shared" si="826"/>
        <v>1.7426030132510437</v>
      </c>
      <c r="DF285" s="150">
        <f t="shared" si="827"/>
        <v>3.3296564353233258</v>
      </c>
      <c r="DG285" s="150"/>
      <c r="DH285" s="150">
        <f t="shared" si="828"/>
        <v>0.92784522751949461</v>
      </c>
      <c r="DI285" s="314">
        <f t="shared" si="829"/>
        <v>1023.3484764893616</v>
      </c>
      <c r="DJ285" s="456">
        <f t="shared" si="830"/>
        <v>0.94395997276890675</v>
      </c>
      <c r="DL285" s="150">
        <f t="shared" si="831"/>
        <v>10.244369793306277</v>
      </c>
      <c r="DM285" s="150">
        <f t="shared" si="832"/>
        <v>10.244369793306277</v>
      </c>
      <c r="DN285" s="150">
        <f t="shared" si="833"/>
        <v>4.2990842464446049</v>
      </c>
      <c r="DP285" s="314">
        <f t="shared" si="834"/>
        <v>2760</v>
      </c>
      <c r="DQ285" s="144">
        <f t="shared" si="835"/>
        <v>350</v>
      </c>
      <c r="DS285">
        <f t="shared" si="836"/>
        <v>2760</v>
      </c>
      <c r="DT285">
        <f t="shared" si="837"/>
        <v>350</v>
      </c>
      <c r="DV285" s="5">
        <f t="shared" si="867"/>
        <v>2.8571428571428572</v>
      </c>
      <c r="DW285" s="5">
        <f t="shared" si="838"/>
        <v>1.0030945422612396</v>
      </c>
      <c r="DX285" s="5">
        <f t="shared" si="839"/>
        <v>1.8540483148816176</v>
      </c>
      <c r="DY285" s="150">
        <f t="shared" si="840"/>
        <v>0.35108308979143388</v>
      </c>
      <c r="EA285" s="5">
        <f t="shared" si="868"/>
        <v>9.2284697888034017</v>
      </c>
      <c r="EB285" s="5">
        <f t="shared" si="869"/>
        <v>9.8052491506036166</v>
      </c>
      <c r="EC285" s="5">
        <f t="shared" si="870"/>
        <v>1.8813137312769352</v>
      </c>
      <c r="ED285" s="5"/>
      <c r="EE285" s="150">
        <f t="shared" si="871"/>
        <v>3.5045283328787717</v>
      </c>
      <c r="EF285" s="150">
        <f t="shared" si="872"/>
        <v>4.5702830898195934</v>
      </c>
      <c r="EG285" s="150">
        <f t="shared" si="873"/>
        <v>0.91739644022186373</v>
      </c>
      <c r="EH285" s="150"/>
      <c r="EI285" s="456">
        <f t="shared" si="874"/>
        <v>0.14738062603140076</v>
      </c>
      <c r="EJ285" s="456">
        <f t="shared" si="875"/>
        <v>5.3614421531758074</v>
      </c>
      <c r="EK285" s="456">
        <f t="shared" si="876"/>
        <v>4.0250000000000001E-2</v>
      </c>
      <c r="EL285" s="456">
        <f t="shared" si="877"/>
        <v>1.1218321012500001</v>
      </c>
      <c r="EM285">
        <f t="shared" si="878"/>
        <v>2.1600000000000001E-2</v>
      </c>
      <c r="EN285" s="144">
        <f t="shared" si="879"/>
        <v>61.85</v>
      </c>
      <c r="EP285" s="144">
        <f t="shared" si="880"/>
        <v>6692.5048804572089</v>
      </c>
      <c r="EQ285" s="150">
        <f t="shared" si="881"/>
        <v>1.9319999999999997</v>
      </c>
      <c r="ER285" s="150">
        <f t="shared" si="841"/>
        <v>0.28093349999999995</v>
      </c>
      <c r="ES285" s="456"/>
      <c r="EU285" s="144">
        <f t="shared" si="882"/>
        <v>2212.9334999999996</v>
      </c>
      <c r="EV285" s="456">
        <f t="shared" si="883"/>
        <v>0.17194406370330087</v>
      </c>
      <c r="EW285" s="456">
        <f t="shared" si="884"/>
        <v>0.29242482529527303</v>
      </c>
      <c r="EX285" s="456">
        <f t="shared" si="885"/>
        <v>4.2080811426587379E-3</v>
      </c>
      <c r="EY285" s="456">
        <f t="shared" si="886"/>
        <v>38.490471617993016</v>
      </c>
      <c r="EZ285" s="456"/>
      <c r="FA285" s="538">
        <f t="shared" si="887"/>
        <v>3.6731489361702137</v>
      </c>
      <c r="FB285" s="144">
        <f t="shared" si="888"/>
        <v>42632.197524304465</v>
      </c>
      <c r="FC285" s="150">
        <f t="shared" si="889"/>
        <v>51.537635904761672</v>
      </c>
      <c r="FD285" s="5">
        <f t="shared" si="890"/>
        <v>86.319000000000003</v>
      </c>
      <c r="FE285" s="150">
        <f t="shared" si="891"/>
        <v>0.62615048911851823</v>
      </c>
      <c r="FF285" s="5">
        <f t="shared" si="892"/>
        <v>62.615048911851822</v>
      </c>
      <c r="FG285">
        <f t="shared" si="893"/>
        <v>69</v>
      </c>
      <c r="FI285" s="59">
        <f t="shared" si="842"/>
        <v>-50</v>
      </c>
    </row>
    <row r="286" spans="5:165">
      <c r="E286" s="147">
        <v>70</v>
      </c>
      <c r="F286" s="188">
        <f t="shared" si="843"/>
        <v>2.8</v>
      </c>
      <c r="G286" s="188">
        <f t="shared" si="772"/>
        <v>0.59499999999999997</v>
      </c>
      <c r="H286" s="188">
        <f t="shared" si="773"/>
        <v>84</v>
      </c>
      <c r="I286" s="188">
        <f t="shared" si="774"/>
        <v>3.57</v>
      </c>
      <c r="J286" s="465">
        <f t="shared" si="775"/>
        <v>47.841540505991304</v>
      </c>
      <c r="K286" s="379">
        <f t="shared" si="776"/>
        <v>30.816186642288763</v>
      </c>
      <c r="L286" s="149">
        <f t="shared" si="777"/>
        <v>78.65772714828006</v>
      </c>
      <c r="M286" s="379"/>
      <c r="N286" s="188">
        <f t="shared" si="778"/>
        <v>0.39177570671723372</v>
      </c>
      <c r="O286" s="149">
        <f t="shared" si="779"/>
        <v>272.409757171367</v>
      </c>
      <c r="P286" s="149">
        <f t="shared" si="780"/>
        <v>11.577414679783097</v>
      </c>
      <c r="Q286" s="188">
        <f t="shared" si="781"/>
        <v>9.0803252390455675</v>
      </c>
      <c r="R286" s="188">
        <f t="shared" si="782"/>
        <v>45.401626195227834</v>
      </c>
      <c r="S286" s="188">
        <f t="shared" si="783"/>
        <v>30</v>
      </c>
      <c r="T286" s="188">
        <f t="shared" si="784"/>
        <v>9.3442120865489251</v>
      </c>
      <c r="U286" s="188">
        <f t="shared" si="785"/>
        <v>0.91798458708243358</v>
      </c>
      <c r="V286" s="188">
        <f t="shared" si="786"/>
        <v>1.4251535180706614</v>
      </c>
      <c r="W286" s="172">
        <f t="shared" si="787"/>
        <v>350</v>
      </c>
      <c r="X286" s="379">
        <f t="shared" si="844"/>
        <v>350</v>
      </c>
      <c r="Z286" s="188">
        <f t="shared" si="788"/>
        <v>11.394014189772586</v>
      </c>
      <c r="AA286" s="150">
        <f t="shared" si="789"/>
        <v>1.7377836950936176</v>
      </c>
      <c r="AB286" s="150">
        <f t="shared" si="790"/>
        <v>3.3237967521478375</v>
      </c>
      <c r="AC286" s="150"/>
      <c r="AD286" s="150">
        <f t="shared" si="791"/>
        <v>0.92434696140368622</v>
      </c>
      <c r="AE286" s="314">
        <f t="shared" si="792"/>
        <v>1042.1086888598695</v>
      </c>
      <c r="AF286" s="456">
        <f t="shared" si="793"/>
        <v>0.94040094903361726</v>
      </c>
      <c r="AH286" s="150">
        <f t="shared" si="794"/>
        <v>10.318337322765862</v>
      </c>
      <c r="AI286" s="150">
        <f t="shared" si="795"/>
        <v>10.318337322765862</v>
      </c>
      <c r="AJ286" s="150">
        <f t="shared" si="796"/>
        <v>4.3538750090072602</v>
      </c>
      <c r="AL286" s="314">
        <f t="shared" si="797"/>
        <v>2800</v>
      </c>
      <c r="AM286" s="144">
        <f t="shared" si="798"/>
        <v>350</v>
      </c>
      <c r="AO286">
        <f t="shared" si="799"/>
        <v>2800</v>
      </c>
      <c r="AP286">
        <f t="shared" si="800"/>
        <v>350</v>
      </c>
      <c r="AR286" s="5">
        <f t="shared" si="771"/>
        <v>2.8571428571428572</v>
      </c>
      <c r="AS286" s="5">
        <f t="shared" si="737"/>
        <v>1.0136836085143675</v>
      </c>
      <c r="AT286" s="5">
        <f t="shared" si="738"/>
        <v>1.8434592486284898</v>
      </c>
      <c r="AU286" s="150">
        <f t="shared" si="739"/>
        <v>0.35478926298002861</v>
      </c>
      <c r="BA286" s="150">
        <f t="shared" si="845"/>
        <v>3.5484143616451456</v>
      </c>
      <c r="BB286" s="150">
        <f t="shared" si="846"/>
        <v>4.5901177170970335</v>
      </c>
      <c r="BC286" s="150">
        <f t="shared" si="847"/>
        <v>0.92137786021266987</v>
      </c>
      <c r="BD286" s="150"/>
      <c r="BE286" s="456">
        <f t="shared" si="848"/>
        <v>0.15109493378315431</v>
      </c>
      <c r="BF286" s="456">
        <f t="shared" si="801"/>
        <v>5.1842033432294281</v>
      </c>
      <c r="BG286" s="456">
        <f t="shared" si="849"/>
        <v>4.0250000000000001E-2</v>
      </c>
      <c r="BH286" s="456">
        <f t="shared" si="850"/>
        <v>1.1206272650191393</v>
      </c>
      <c r="BI286">
        <f t="shared" si="851"/>
        <v>2.1528693227696086E-2</v>
      </c>
      <c r="BJ286" s="144">
        <f t="shared" si="852"/>
        <v>61.778693227696088</v>
      </c>
      <c r="BK286">
        <f t="shared" si="802"/>
        <v>6.7386393809556138</v>
      </c>
      <c r="BL286" s="144">
        <f t="shared" si="853"/>
        <v>6517.7042352594171</v>
      </c>
      <c r="BM286" s="150">
        <f t="shared" si="803"/>
        <v>1.8776799999999996</v>
      </c>
      <c r="BN286" s="150">
        <f t="shared" si="804"/>
        <v>0.28500499999999995</v>
      </c>
      <c r="BQ286" s="144">
        <f t="shared" si="854"/>
        <v>2162.6849999999999</v>
      </c>
      <c r="BR286" s="456">
        <f t="shared" si="855"/>
        <v>0.17627742274701336</v>
      </c>
      <c r="BS286" s="456">
        <f t="shared" si="856"/>
        <v>0.29496852919531319</v>
      </c>
      <c r="BT286" s="456">
        <f t="shared" si="857"/>
        <v>4.2446858064503915E-3</v>
      </c>
      <c r="BU286" s="456">
        <f t="shared" si="858"/>
        <v>39.189021431050321</v>
      </c>
      <c r="BV286" s="456"/>
      <c r="BW286" s="538">
        <f t="shared" si="859"/>
        <v>3.7263829787234042</v>
      </c>
      <c r="BX286" s="144">
        <f t="shared" si="860"/>
        <v>43390.895047522507</v>
      </c>
      <c r="BY286" s="150">
        <f t="shared" si="861"/>
        <v>52.071284282781917</v>
      </c>
      <c r="BZ286" s="5">
        <f t="shared" si="862"/>
        <v>87.57</v>
      </c>
      <c r="CA286" s="150">
        <f t="shared" si="863"/>
        <v>0.62710680763051085</v>
      </c>
      <c r="CB286" s="5">
        <f t="shared" si="864"/>
        <v>62.710680763051087</v>
      </c>
      <c r="CC286">
        <f t="shared" si="865"/>
        <v>70</v>
      </c>
      <c r="CE286" s="59">
        <f t="shared" si="805"/>
        <v>-50</v>
      </c>
      <c r="CG286" s="150">
        <f t="shared" si="806"/>
        <v>0.55413596406176946</v>
      </c>
      <c r="CH286" s="150">
        <f t="shared" si="807"/>
        <v>0.12093605228070814</v>
      </c>
      <c r="CI286" s="147">
        <v>70</v>
      </c>
      <c r="CJ286" s="188">
        <f t="shared" si="866"/>
        <v>2.8</v>
      </c>
      <c r="CK286" s="188">
        <f t="shared" si="808"/>
        <v>0.59499999999999997</v>
      </c>
      <c r="CL286" s="188">
        <f t="shared" si="809"/>
        <v>84</v>
      </c>
      <c r="CM286" s="188">
        <f t="shared" si="810"/>
        <v>3.57</v>
      </c>
      <c r="CN286" s="465">
        <f t="shared" si="811"/>
        <v>48</v>
      </c>
      <c r="CO286" s="379">
        <f t="shared" si="812"/>
        <v>30.7</v>
      </c>
      <c r="CP286" s="379">
        <f t="shared" si="813"/>
        <v>78.7</v>
      </c>
      <c r="CQ286" s="379"/>
      <c r="CR286" s="188">
        <f t="shared" si="814"/>
        <v>0.38775510204081626</v>
      </c>
      <c r="CS286" s="149">
        <f t="shared" si="815"/>
        <v>270.50715642699197</v>
      </c>
      <c r="CT286" s="149">
        <f t="shared" si="816"/>
        <v>11.496554148147156</v>
      </c>
      <c r="CU286" s="188">
        <f t="shared" si="817"/>
        <v>9.0169052142330663</v>
      </c>
      <c r="CV286" s="188">
        <f t="shared" si="818"/>
        <v>45.084526071165328</v>
      </c>
      <c r="CW286" s="188">
        <f t="shared" si="819"/>
        <v>30</v>
      </c>
      <c r="CX286" s="188">
        <f t="shared" si="820"/>
        <v>9.409934210526318</v>
      </c>
      <c r="CY286" s="188">
        <f t="shared" si="821"/>
        <v>0.92138939144736853</v>
      </c>
      <c r="CZ286" s="188">
        <f t="shared" si="822"/>
        <v>1.4406088205040291</v>
      </c>
      <c r="DA286" s="172">
        <f t="shared" si="823"/>
        <v>350</v>
      </c>
      <c r="DB286" s="379">
        <f t="shared" si="824"/>
        <v>350</v>
      </c>
      <c r="DD286" s="188">
        <f t="shared" si="825"/>
        <v>11.382534575916392</v>
      </c>
      <c r="DE286" s="150">
        <f t="shared" si="826"/>
        <v>1.7426030132510437</v>
      </c>
      <c r="DF286" s="150">
        <f t="shared" si="827"/>
        <v>3.3296564353233258</v>
      </c>
      <c r="DG286" s="150"/>
      <c r="DH286" s="150">
        <f t="shared" si="828"/>
        <v>0.92784522751949461</v>
      </c>
      <c r="DI286" s="314">
        <f t="shared" si="829"/>
        <v>1038.1796138297871</v>
      </c>
      <c r="DJ286" s="456">
        <f t="shared" si="830"/>
        <v>0.94395997276890675</v>
      </c>
      <c r="DL286" s="150">
        <f t="shared" si="831"/>
        <v>10.318337322765862</v>
      </c>
      <c r="DM286" s="150">
        <f t="shared" si="832"/>
        <v>10.318337322765862</v>
      </c>
      <c r="DN286" s="150">
        <f t="shared" si="833"/>
        <v>4.3538750090072602</v>
      </c>
      <c r="DP286" s="314">
        <f t="shared" si="834"/>
        <v>2800</v>
      </c>
      <c r="DQ286" s="144">
        <f t="shared" si="835"/>
        <v>350</v>
      </c>
      <c r="DS286">
        <f t="shared" si="836"/>
        <v>2800</v>
      </c>
      <c r="DT286">
        <f t="shared" si="837"/>
        <v>350</v>
      </c>
      <c r="DV286" s="5">
        <f t="shared" si="867"/>
        <v>2.8571428571428572</v>
      </c>
      <c r="DW286" s="5">
        <f t="shared" si="838"/>
        <v>1.0103371961874907</v>
      </c>
      <c r="DX286" s="5">
        <f t="shared" si="839"/>
        <v>1.8468056609553665</v>
      </c>
      <c r="DY286" s="150">
        <f t="shared" si="840"/>
        <v>0.35361801866562176</v>
      </c>
      <c r="EA286" s="5">
        <f t="shared" si="868"/>
        <v>9.429813831083246</v>
      </c>
      <c r="EB286" s="5">
        <f t="shared" si="869"/>
        <v>10.019177195525948</v>
      </c>
      <c r="EC286" s="5">
        <f t="shared" si="870"/>
        <v>1.9011234745128771</v>
      </c>
      <c r="ED286" s="5"/>
      <c r="EE286" s="150">
        <f t="shared" si="871"/>
        <v>3.5425524369886152</v>
      </c>
      <c r="EF286" s="150">
        <f t="shared" si="872"/>
        <v>4.5942820244816973</v>
      </c>
      <c r="EG286" s="150">
        <f t="shared" si="873"/>
        <v>0.92221376483730677</v>
      </c>
      <c r="EH286" s="150"/>
      <c r="EI286" s="456">
        <f t="shared" si="874"/>
        <v>0.15059613322576773</v>
      </c>
      <c r="EJ286" s="456">
        <f t="shared" si="875"/>
        <v>5.400153429556128</v>
      </c>
      <c r="EK286" s="456">
        <f t="shared" si="876"/>
        <v>4.0250000000000001E-2</v>
      </c>
      <c r="EL286" s="456">
        <f t="shared" si="877"/>
        <v>1.1218321012500001</v>
      </c>
      <c r="EM286">
        <f t="shared" si="878"/>
        <v>2.1600000000000001E-2</v>
      </c>
      <c r="EN286" s="144">
        <f t="shared" si="879"/>
        <v>61.85</v>
      </c>
      <c r="EP286" s="144">
        <f t="shared" si="880"/>
        <v>6734.4316640318957</v>
      </c>
      <c r="EQ286" s="150">
        <f t="shared" si="881"/>
        <v>1.9599999999999997</v>
      </c>
      <c r="ER286" s="150">
        <f t="shared" si="841"/>
        <v>0.28500499999999995</v>
      </c>
      <c r="ES286" s="456"/>
      <c r="EU286" s="144">
        <f t="shared" si="882"/>
        <v>2245.0050000000001</v>
      </c>
      <c r="EV286" s="456">
        <f t="shared" si="883"/>
        <v>0.17569548876339569</v>
      </c>
      <c r="EW286" s="456">
        <f t="shared" si="884"/>
        <v>0.29550398248665904</v>
      </c>
      <c r="EX286" s="456">
        <f t="shared" si="885"/>
        <v>4.2523911402769969E-3</v>
      </c>
      <c r="EY286" s="456">
        <f t="shared" si="886"/>
        <v>39.189021431050321</v>
      </c>
      <c r="EZ286" s="456"/>
      <c r="FA286" s="538">
        <f t="shared" si="887"/>
        <v>3.7263829787234042</v>
      </c>
      <c r="FB286" s="144">
        <f t="shared" si="888"/>
        <v>43390.856272164056</v>
      </c>
      <c r="FC286" s="150">
        <f t="shared" si="889"/>
        <v>52.370292936195952</v>
      </c>
      <c r="FD286" s="5">
        <f t="shared" si="890"/>
        <v>87.57</v>
      </c>
      <c r="FE286" s="150">
        <f t="shared" si="891"/>
        <v>0.62576687644870421</v>
      </c>
      <c r="FF286" s="5">
        <f t="shared" si="892"/>
        <v>62.576687644870418</v>
      </c>
      <c r="FG286">
        <f t="shared" si="893"/>
        <v>70</v>
      </c>
      <c r="FI286" s="59">
        <f t="shared" si="842"/>
        <v>-50</v>
      </c>
    </row>
    <row r="287" spans="5:165">
      <c r="E287" s="147">
        <v>71</v>
      </c>
      <c r="F287" s="188">
        <f t="shared" si="843"/>
        <v>2.84</v>
      </c>
      <c r="G287" s="188">
        <f t="shared" si="772"/>
        <v>0.60349999999999993</v>
      </c>
      <c r="H287" s="188">
        <f t="shared" si="773"/>
        <v>85.199999999999989</v>
      </c>
      <c r="I287" s="188">
        <f t="shared" si="774"/>
        <v>3.6209999999999996</v>
      </c>
      <c r="J287" s="465">
        <f t="shared" si="775"/>
        <v>47.840412666178139</v>
      </c>
      <c r="K287" s="379">
        <f t="shared" si="776"/>
        <v>30.817013603915463</v>
      </c>
      <c r="L287" s="149">
        <f t="shared" si="777"/>
        <v>78.657426270093595</v>
      </c>
      <c r="M287" s="379"/>
      <c r="N287" s="188">
        <f t="shared" si="778"/>
        <v>0.391787718785714</v>
      </c>
      <c r="O287" s="149">
        <f t="shared" si="779"/>
        <v>272.41168729378842</v>
      </c>
      <c r="P287" s="149">
        <f t="shared" si="780"/>
        <v>11.577496709986006</v>
      </c>
      <c r="Q287" s="188">
        <f t="shared" si="781"/>
        <v>9.0803895764596145</v>
      </c>
      <c r="R287" s="188">
        <f t="shared" si="782"/>
        <v>45.401947882298067</v>
      </c>
      <c r="S287" s="188">
        <f t="shared" si="783"/>
        <v>30</v>
      </c>
      <c r="T287" s="188">
        <f t="shared" si="784"/>
        <v>9.4776336781533246</v>
      </c>
      <c r="U287" s="188">
        <f t="shared" si="785"/>
        <v>0.93111400602137018</v>
      </c>
      <c r="V287" s="188">
        <f t="shared" si="786"/>
        <v>1.44546382267427</v>
      </c>
      <c r="W287" s="172">
        <f t="shared" si="787"/>
        <v>350</v>
      </c>
      <c r="X287" s="379">
        <f t="shared" si="844"/>
        <v>350</v>
      </c>
      <c r="Z287" s="188">
        <f t="shared" si="788"/>
        <v>11.394094920516174</v>
      </c>
      <c r="AA287" s="150">
        <f t="shared" si="789"/>
        <v>1.7377493748979598</v>
      </c>
      <c r="AB287" s="150">
        <f t="shared" si="790"/>
        <v>3.3237546589828537</v>
      </c>
      <c r="AC287" s="150"/>
      <c r="AD287" s="150">
        <f t="shared" si="791"/>
        <v>0.92432215694090913</v>
      </c>
      <c r="AE287" s="314">
        <f t="shared" si="792"/>
        <v>1057.0243206476121</v>
      </c>
      <c r="AF287" s="456">
        <f t="shared" si="793"/>
        <v>0.94037571376881979</v>
      </c>
      <c r="AH287" s="150">
        <f t="shared" si="794"/>
        <v>10.391778372865726</v>
      </c>
      <c r="AI287" s="150">
        <f t="shared" si="795"/>
        <v>10.391778372865726</v>
      </c>
      <c r="AJ287" s="150">
        <f t="shared" si="796"/>
        <v>4.4082757868590114</v>
      </c>
      <c r="AL287" s="314">
        <f t="shared" si="797"/>
        <v>2840</v>
      </c>
      <c r="AM287" s="144">
        <f t="shared" si="798"/>
        <v>350</v>
      </c>
      <c r="AO287">
        <f t="shared" si="799"/>
        <v>2840</v>
      </c>
      <c r="AP287">
        <f t="shared" si="800"/>
        <v>350</v>
      </c>
      <c r="AR287" s="5">
        <f t="shared" si="771"/>
        <v>2.8571428571428572</v>
      </c>
      <c r="AS287" s="5">
        <f t="shared" si="737"/>
        <v>1.0209225972458722</v>
      </c>
      <c r="AT287" s="5">
        <f t="shared" si="738"/>
        <v>1.836220259896985</v>
      </c>
      <c r="AU287" s="150">
        <f t="shared" si="739"/>
        <v>0.35732290903605524</v>
      </c>
      <c r="BA287" s="150">
        <f t="shared" si="845"/>
        <v>3.5864078713741825</v>
      </c>
      <c r="BB287" s="150">
        <f t="shared" si="846"/>
        <v>4.6137025798053495</v>
      </c>
      <c r="BC287" s="150">
        <f t="shared" si="847"/>
        <v>0.92611206784631217</v>
      </c>
      <c r="BD287" s="150"/>
      <c r="BE287" s="456">
        <f t="shared" si="848"/>
        <v>0.15434785703825635</v>
      </c>
      <c r="BF287" s="456">
        <f t="shared" si="801"/>
        <v>5.2210820817798345</v>
      </c>
      <c r="BG287" s="456">
        <f t="shared" si="849"/>
        <v>4.0250000000000001E-2</v>
      </c>
      <c r="BH287" s="456">
        <f t="shared" si="850"/>
        <v>1.1206186918842023</v>
      </c>
      <c r="BI287">
        <f t="shared" si="851"/>
        <v>2.1528185699780163E-2</v>
      </c>
      <c r="BJ287" s="144">
        <f t="shared" si="852"/>
        <v>61.778185699780167</v>
      </c>
      <c r="BK287">
        <f t="shared" si="802"/>
        <v>6.7866081788234478</v>
      </c>
      <c r="BL287" s="144">
        <f t="shared" si="853"/>
        <v>6557.8268164020728</v>
      </c>
      <c r="BM287" s="150">
        <f t="shared" si="803"/>
        <v>1.9045039999999998</v>
      </c>
      <c r="BN287" s="150">
        <f t="shared" si="804"/>
        <v>0.28907649999999996</v>
      </c>
      <c r="BQ287" s="144">
        <f t="shared" si="854"/>
        <v>2193.5804999999996</v>
      </c>
      <c r="BR287" s="456">
        <f t="shared" si="855"/>
        <v>0.18007249987796572</v>
      </c>
      <c r="BS287" s="456">
        <f t="shared" si="856"/>
        <v>0.29800752092863553</v>
      </c>
      <c r="BT287" s="456">
        <f t="shared" si="857"/>
        <v>4.2884178110528613E-3</v>
      </c>
      <c r="BU287" s="456">
        <f t="shared" si="858"/>
        <v>39.890070599735601</v>
      </c>
      <c r="BV287" s="456"/>
      <c r="BW287" s="538">
        <f t="shared" si="859"/>
        <v>3.7796170212765952</v>
      </c>
      <c r="BX287" s="144">
        <f t="shared" si="860"/>
        <v>44152.056059629853</v>
      </c>
      <c r="BY287" s="150">
        <f t="shared" si="861"/>
        <v>52.903463376031922</v>
      </c>
      <c r="BZ287" s="5">
        <f t="shared" si="862"/>
        <v>88.820999999999984</v>
      </c>
      <c r="CA287" s="150">
        <f t="shared" si="863"/>
        <v>0.62671607910297567</v>
      </c>
      <c r="CB287" s="5">
        <f t="shared" si="864"/>
        <v>62.671607910297567</v>
      </c>
      <c r="CC287">
        <f t="shared" si="865"/>
        <v>71</v>
      </c>
      <c r="CE287" s="59">
        <f t="shared" si="805"/>
        <v>-50</v>
      </c>
      <c r="CG287" s="150">
        <f t="shared" si="806"/>
        <v>0.55808004204892814</v>
      </c>
      <c r="CH287" s="150">
        <f t="shared" si="807"/>
        <v>0.12179681796384113</v>
      </c>
      <c r="CI287" s="147">
        <v>71</v>
      </c>
      <c r="CJ287" s="188">
        <f t="shared" si="866"/>
        <v>2.84</v>
      </c>
      <c r="CK287" s="188">
        <f t="shared" si="808"/>
        <v>0.60349999999999993</v>
      </c>
      <c r="CL287" s="188">
        <f t="shared" si="809"/>
        <v>85.199999999999989</v>
      </c>
      <c r="CM287" s="188">
        <f t="shared" si="810"/>
        <v>3.6209999999999996</v>
      </c>
      <c r="CN287" s="465">
        <f t="shared" si="811"/>
        <v>48</v>
      </c>
      <c r="CO287" s="379">
        <f t="shared" si="812"/>
        <v>30.7</v>
      </c>
      <c r="CP287" s="379">
        <f t="shared" si="813"/>
        <v>78.7</v>
      </c>
      <c r="CQ287" s="379"/>
      <c r="CR287" s="188">
        <f t="shared" si="814"/>
        <v>0.38775510204081626</v>
      </c>
      <c r="CS287" s="149">
        <f t="shared" si="815"/>
        <v>270.50715642699197</v>
      </c>
      <c r="CT287" s="149">
        <f t="shared" si="816"/>
        <v>11.496554148147156</v>
      </c>
      <c r="CU287" s="188">
        <f t="shared" si="817"/>
        <v>9.0169052142330663</v>
      </c>
      <c r="CV287" s="188">
        <f t="shared" si="818"/>
        <v>45.084526071165328</v>
      </c>
      <c r="CW287" s="188">
        <f t="shared" si="819"/>
        <v>30</v>
      </c>
      <c r="CX287" s="188">
        <f t="shared" si="820"/>
        <v>9.5443618421052641</v>
      </c>
      <c r="CY287" s="188">
        <f t="shared" si="821"/>
        <v>0.93455209703947384</v>
      </c>
      <c r="CZ287" s="188">
        <f t="shared" si="822"/>
        <v>1.4611889465112295</v>
      </c>
      <c r="DA287" s="172">
        <f t="shared" si="823"/>
        <v>350</v>
      </c>
      <c r="DB287" s="379">
        <f t="shared" si="824"/>
        <v>350</v>
      </c>
      <c r="DD287" s="188">
        <f t="shared" si="825"/>
        <v>11.382534575916392</v>
      </c>
      <c r="DE287" s="150">
        <f t="shared" si="826"/>
        <v>1.7426030132510437</v>
      </c>
      <c r="DF287" s="150">
        <f t="shared" si="827"/>
        <v>3.3296564353233258</v>
      </c>
      <c r="DG287" s="150"/>
      <c r="DH287" s="150">
        <f t="shared" si="828"/>
        <v>0.92784522751949461</v>
      </c>
      <c r="DI287" s="314">
        <f t="shared" si="829"/>
        <v>1053.0107511702126</v>
      </c>
      <c r="DJ287" s="456">
        <f t="shared" si="830"/>
        <v>0.94395997276890675</v>
      </c>
      <c r="DL287" s="150">
        <f t="shared" si="831"/>
        <v>10.391778372865726</v>
      </c>
      <c r="DM287" s="150">
        <f t="shared" si="832"/>
        <v>10.391778372865726</v>
      </c>
      <c r="DN287" s="150">
        <f t="shared" si="833"/>
        <v>4.4082757868590114</v>
      </c>
      <c r="DP287" s="314">
        <f t="shared" si="834"/>
        <v>2840</v>
      </c>
      <c r="DQ287" s="144">
        <f t="shared" si="835"/>
        <v>350</v>
      </c>
      <c r="DS287">
        <f t="shared" si="836"/>
        <v>2840</v>
      </c>
      <c r="DT287">
        <f t="shared" si="837"/>
        <v>350</v>
      </c>
      <c r="DV287" s="5">
        <f t="shared" si="867"/>
        <v>2.8571428571428572</v>
      </c>
      <c r="DW287" s="5">
        <f t="shared" si="838"/>
        <v>1.0175282990097689</v>
      </c>
      <c r="DX287" s="5">
        <f t="shared" si="839"/>
        <v>1.8396145581330883</v>
      </c>
      <c r="DY287" s="150">
        <f t="shared" si="840"/>
        <v>0.35613490465341913</v>
      </c>
      <c r="EA287" s="5">
        <f t="shared" si="868"/>
        <v>9.6326012306258111</v>
      </c>
      <c r="EB287" s="5">
        <f t="shared" si="869"/>
        <v>10.234638807539925</v>
      </c>
      <c r="EC287" s="5">
        <f t="shared" si="870"/>
        <v>1.9207740239330768</v>
      </c>
      <c r="ED287" s="5"/>
      <c r="EE287" s="150">
        <f t="shared" si="871"/>
        <v>3.580440977760488</v>
      </c>
      <c r="EF287" s="150">
        <f t="shared" si="872"/>
        <v>4.6179648822228412</v>
      </c>
      <c r="EG287" s="150">
        <f t="shared" si="873"/>
        <v>0.92696764308926938</v>
      </c>
      <c r="EH287" s="150"/>
      <c r="EI287" s="456">
        <f t="shared" si="874"/>
        <v>0.15383469114271775</v>
      </c>
      <c r="EJ287" s="456">
        <f t="shared" si="875"/>
        <v>5.4385891703311433</v>
      </c>
      <c r="EK287" s="456">
        <f t="shared" si="876"/>
        <v>4.0250000000000001E-2</v>
      </c>
      <c r="EL287" s="456">
        <f t="shared" si="877"/>
        <v>1.1218321012500001</v>
      </c>
      <c r="EM287">
        <f t="shared" si="878"/>
        <v>2.1600000000000001E-2</v>
      </c>
      <c r="EN287" s="144">
        <f t="shared" si="879"/>
        <v>61.85</v>
      </c>
      <c r="EP287" s="144">
        <f t="shared" si="880"/>
        <v>6776.1059627238619</v>
      </c>
      <c r="EQ287" s="150">
        <f t="shared" si="881"/>
        <v>1.9879999999999998</v>
      </c>
      <c r="ER287" s="150">
        <f t="shared" si="841"/>
        <v>0.28907649999999996</v>
      </c>
      <c r="ES287" s="456"/>
      <c r="EU287" s="144">
        <f t="shared" si="882"/>
        <v>2277.0764999999997</v>
      </c>
      <c r="EV287" s="456">
        <f t="shared" si="883"/>
        <v>0.17947380633317073</v>
      </c>
      <c r="EW287" s="456">
        <f t="shared" si="884"/>
        <v>0.29855839514820787</v>
      </c>
      <c r="EX287" s="456">
        <f t="shared" si="885"/>
        <v>4.2963450566723752E-3</v>
      </c>
      <c r="EY287" s="456">
        <f t="shared" si="886"/>
        <v>39.890070599735601</v>
      </c>
      <c r="EZ287" s="456"/>
      <c r="FA287" s="538">
        <f t="shared" si="887"/>
        <v>3.7796170212765952</v>
      </c>
      <c r="FB287" s="144">
        <f t="shared" si="888"/>
        <v>44152.016167550246</v>
      </c>
      <c r="FC287" s="150">
        <f t="shared" si="889"/>
        <v>53.205198630274111</v>
      </c>
      <c r="FD287" s="5">
        <f t="shared" si="890"/>
        <v>88.820999999999984</v>
      </c>
      <c r="FE287" s="150">
        <f t="shared" si="891"/>
        <v>0.62538461816626434</v>
      </c>
      <c r="FF287" s="5">
        <f t="shared" si="892"/>
        <v>62.538461816626437</v>
      </c>
      <c r="FG287">
        <f t="shared" si="893"/>
        <v>71</v>
      </c>
      <c r="FI287" s="59">
        <f t="shared" si="842"/>
        <v>-50</v>
      </c>
    </row>
    <row r="288" spans="5:165">
      <c r="E288" s="147">
        <v>72</v>
      </c>
      <c r="F288" s="188">
        <f t="shared" si="843"/>
        <v>2.88</v>
      </c>
      <c r="G288" s="188">
        <f t="shared" si="772"/>
        <v>0.61199999999999999</v>
      </c>
      <c r="H288" s="188">
        <f t="shared" si="773"/>
        <v>86.399999999999991</v>
      </c>
      <c r="I288" s="188">
        <f t="shared" si="774"/>
        <v>3.6719999999999997</v>
      </c>
      <c r="J288" s="465">
        <f t="shared" si="775"/>
        <v>47.83929274132371</v>
      </c>
      <c r="K288" s="379">
        <f t="shared" si="776"/>
        <v>30.817834762087561</v>
      </c>
      <c r="L288" s="149">
        <f t="shared" si="777"/>
        <v>78.657127503411274</v>
      </c>
      <c r="M288" s="379"/>
      <c r="N288" s="188">
        <f t="shared" si="778"/>
        <v>0.39179964664678385</v>
      </c>
      <c r="O288" s="149">
        <f t="shared" si="779"/>
        <v>272.41360354454889</v>
      </c>
      <c r="P288" s="149">
        <f t="shared" si="780"/>
        <v>11.577578150643324</v>
      </c>
      <c r="Q288" s="188">
        <f t="shared" si="781"/>
        <v>9.0804534514849635</v>
      </c>
      <c r="R288" s="188">
        <f t="shared" si="782"/>
        <v>45.402267257424818</v>
      </c>
      <c r="S288" s="188">
        <f t="shared" si="783"/>
        <v>30</v>
      </c>
      <c r="T288" s="188">
        <f t="shared" si="784"/>
        <v>9.6110538685108544</v>
      </c>
      <c r="U288" s="188">
        <f t="shared" si="785"/>
        <v>0.94424375013766371</v>
      </c>
      <c r="V288" s="188">
        <f t="shared" si="786"/>
        <v>1.4657730995940068</v>
      </c>
      <c r="W288" s="172">
        <f t="shared" si="787"/>
        <v>350</v>
      </c>
      <c r="X288" s="379">
        <f t="shared" si="844"/>
        <v>350</v>
      </c>
      <c r="Z288" s="188">
        <f t="shared" si="788"/>
        <v>11.394175071053301</v>
      </c>
      <c r="AA288" s="150">
        <f t="shared" si="789"/>
        <v>1.7377152952949031</v>
      </c>
      <c r="AB288" s="150">
        <f t="shared" si="790"/>
        <v>3.3237128558191964</v>
      </c>
      <c r="AC288" s="150"/>
      <c r="AD288" s="150">
        <f t="shared" si="791"/>
        <v>0.92429752786820885</v>
      </c>
      <c r="AE288" s="314">
        <f t="shared" si="792"/>
        <v>1071.9405495816411</v>
      </c>
      <c r="AF288" s="456">
        <f t="shared" si="793"/>
        <v>0.94035065694026054</v>
      </c>
      <c r="AH288" s="150">
        <f t="shared" si="794"/>
        <v>10.464704028071543</v>
      </c>
      <c r="AI288" s="150">
        <f t="shared" si="795"/>
        <v>10.464704028071543</v>
      </c>
      <c r="AJ288" s="150">
        <f t="shared" si="796"/>
        <v>4.4622947907151724</v>
      </c>
      <c r="AL288" s="314">
        <f t="shared" si="797"/>
        <v>2880</v>
      </c>
      <c r="AM288" s="144">
        <f t="shared" si="798"/>
        <v>350</v>
      </c>
      <c r="AO288">
        <f t="shared" si="799"/>
        <v>2880</v>
      </c>
      <c r="AP288">
        <f t="shared" si="800"/>
        <v>350</v>
      </c>
      <c r="AR288" s="5">
        <f t="shared" si="771"/>
        <v>2.8571428571428572</v>
      </c>
      <c r="AS288" s="5">
        <f t="shared" si="737"/>
        <v>1.0281111219157066</v>
      </c>
      <c r="AT288" s="5">
        <f t="shared" si="738"/>
        <v>1.8290317352271506</v>
      </c>
      <c r="AU288" s="150">
        <f t="shared" si="739"/>
        <v>0.35983889267049729</v>
      </c>
      <c r="BA288" s="150">
        <f t="shared" si="845"/>
        <v>3.6242685732755571</v>
      </c>
      <c r="BB288" s="150">
        <f t="shared" si="846"/>
        <v>4.6369765689973512</v>
      </c>
      <c r="BC288" s="150">
        <f t="shared" si="847"/>
        <v>0.93078387359989134</v>
      </c>
      <c r="BD288" s="150"/>
      <c r="BE288" s="456">
        <f t="shared" si="848"/>
        <v>0.1576238722947941</v>
      </c>
      <c r="BF288" s="456">
        <f t="shared" si="801"/>
        <v>5.2577017332497356</v>
      </c>
      <c r="BG288" s="456">
        <f t="shared" si="849"/>
        <v>4.0250000000000001E-2</v>
      </c>
      <c r="BH288" s="456">
        <f t="shared" si="850"/>
        <v>1.1206101789462957</v>
      </c>
      <c r="BI288">
        <f t="shared" si="851"/>
        <v>2.152768173359567E-2</v>
      </c>
      <c r="BJ288" s="144">
        <f t="shared" si="852"/>
        <v>61.777681733595671</v>
      </c>
      <c r="BK288">
        <f t="shared" si="802"/>
        <v>6.8344543320765139</v>
      </c>
      <c r="BL288" s="144">
        <f t="shared" si="853"/>
        <v>6597.7134662244207</v>
      </c>
      <c r="BM288" s="150">
        <f t="shared" si="803"/>
        <v>1.9313279999999999</v>
      </c>
      <c r="BN288" s="150">
        <f t="shared" si="804"/>
        <v>0.29314799999999996</v>
      </c>
      <c r="BQ288" s="144">
        <f t="shared" si="854"/>
        <v>2224.4760000000001</v>
      </c>
      <c r="BR288" s="456">
        <f t="shared" si="855"/>
        <v>0.18389451767725978</v>
      </c>
      <c r="BS288" s="456">
        <f t="shared" si="856"/>
        <v>0.30102172382002629</v>
      </c>
      <c r="BT288" s="456">
        <f t="shared" si="857"/>
        <v>4.3317930967680923E-3</v>
      </c>
      <c r="BU288" s="456">
        <f t="shared" si="858"/>
        <v>40.593592674104165</v>
      </c>
      <c r="BV288" s="456"/>
      <c r="BW288" s="538">
        <f t="shared" si="859"/>
        <v>3.8328510638297875</v>
      </c>
      <c r="BX288" s="144">
        <f t="shared" si="860"/>
        <v>44915.691772528007</v>
      </c>
      <c r="BY288" s="150">
        <f t="shared" si="861"/>
        <v>53.737881238752429</v>
      </c>
      <c r="BZ288" s="5">
        <f t="shared" si="862"/>
        <v>90.071999999999989</v>
      </c>
      <c r="CA288" s="150">
        <f t="shared" si="863"/>
        <v>0.62632692012632241</v>
      </c>
      <c r="CB288" s="5">
        <f t="shared" si="864"/>
        <v>62.632692012632241</v>
      </c>
      <c r="CC288">
        <f t="shared" si="865"/>
        <v>72</v>
      </c>
      <c r="CE288" s="59">
        <f t="shared" si="805"/>
        <v>-50</v>
      </c>
      <c r="CG288" s="150">
        <f t="shared" si="806"/>
        <v>0.56199644126987136</v>
      </c>
      <c r="CH288" s="150">
        <f t="shared" si="807"/>
        <v>0.12265154296213295</v>
      </c>
      <c r="CI288" s="147">
        <v>72</v>
      </c>
      <c r="CJ288" s="188">
        <f t="shared" si="866"/>
        <v>2.88</v>
      </c>
      <c r="CK288" s="188">
        <f t="shared" si="808"/>
        <v>0.61199999999999999</v>
      </c>
      <c r="CL288" s="188">
        <f t="shared" si="809"/>
        <v>86.399999999999991</v>
      </c>
      <c r="CM288" s="188">
        <f t="shared" si="810"/>
        <v>3.6719999999999997</v>
      </c>
      <c r="CN288" s="465">
        <f t="shared" si="811"/>
        <v>48</v>
      </c>
      <c r="CO288" s="379">
        <f t="shared" si="812"/>
        <v>30.7</v>
      </c>
      <c r="CP288" s="379">
        <f t="shared" si="813"/>
        <v>78.7</v>
      </c>
      <c r="CQ288" s="379"/>
      <c r="CR288" s="188">
        <f t="shared" si="814"/>
        <v>0.38775510204081626</v>
      </c>
      <c r="CS288" s="149">
        <f t="shared" si="815"/>
        <v>270.50715642699197</v>
      </c>
      <c r="CT288" s="149">
        <f t="shared" si="816"/>
        <v>11.496554148147156</v>
      </c>
      <c r="CU288" s="188">
        <f t="shared" si="817"/>
        <v>9.0169052142330663</v>
      </c>
      <c r="CV288" s="188">
        <f t="shared" si="818"/>
        <v>45.084526071165328</v>
      </c>
      <c r="CW288" s="188">
        <f t="shared" si="819"/>
        <v>30</v>
      </c>
      <c r="CX288" s="188">
        <f t="shared" si="820"/>
        <v>9.6787894736842119</v>
      </c>
      <c r="CY288" s="188">
        <f t="shared" si="821"/>
        <v>0.94771480263157903</v>
      </c>
      <c r="CZ288" s="188">
        <f t="shared" si="822"/>
        <v>1.4817690725184298</v>
      </c>
      <c r="DA288" s="172">
        <f t="shared" si="823"/>
        <v>350</v>
      </c>
      <c r="DB288" s="379">
        <f t="shared" si="824"/>
        <v>350</v>
      </c>
      <c r="DD288" s="188">
        <f t="shared" si="825"/>
        <v>11.382534575916392</v>
      </c>
      <c r="DE288" s="150">
        <f t="shared" si="826"/>
        <v>1.7426030132510437</v>
      </c>
      <c r="DF288" s="150">
        <f t="shared" si="827"/>
        <v>3.3296564353233258</v>
      </c>
      <c r="DG288" s="150"/>
      <c r="DH288" s="150">
        <f t="shared" si="828"/>
        <v>0.92784522751949461</v>
      </c>
      <c r="DI288" s="314">
        <f t="shared" si="829"/>
        <v>1067.841888510638</v>
      </c>
      <c r="DJ288" s="456">
        <f t="shared" si="830"/>
        <v>0.94395997276890675</v>
      </c>
      <c r="DL288" s="150">
        <f t="shared" si="831"/>
        <v>10.464704028071543</v>
      </c>
      <c r="DM288" s="150">
        <f t="shared" si="832"/>
        <v>10.464704028071543</v>
      </c>
      <c r="DN288" s="150">
        <f t="shared" si="833"/>
        <v>4.4622947907151724</v>
      </c>
      <c r="DP288" s="314">
        <f t="shared" si="834"/>
        <v>2880</v>
      </c>
      <c r="DQ288" s="144">
        <f t="shared" si="835"/>
        <v>350</v>
      </c>
      <c r="DS288">
        <f t="shared" si="836"/>
        <v>2880</v>
      </c>
      <c r="DT288">
        <f t="shared" si="837"/>
        <v>350</v>
      </c>
      <c r="DV288" s="5">
        <f t="shared" si="867"/>
        <v>2.8571428571428572</v>
      </c>
      <c r="DW288" s="5">
        <f t="shared" si="838"/>
        <v>1.0246689360820052</v>
      </c>
      <c r="DX288" s="5">
        <f t="shared" si="839"/>
        <v>1.8324739210608521</v>
      </c>
      <c r="DY288" s="150">
        <f t="shared" si="840"/>
        <v>0.35863412762870178</v>
      </c>
      <c r="EA288" s="5">
        <f t="shared" si="868"/>
        <v>9.8368217863872491</v>
      </c>
      <c r="EB288" s="5">
        <f t="shared" si="869"/>
        <v>10.451623148036454</v>
      </c>
      <c r="EC288" s="5">
        <f t="shared" si="870"/>
        <v>1.9402665046526666</v>
      </c>
      <c r="ED288" s="5"/>
      <c r="EE288" s="150">
        <f t="shared" si="871"/>
        <v>3.6181963378342941</v>
      </c>
      <c r="EF288" s="150">
        <f t="shared" si="872"/>
        <v>4.6413378471843352</v>
      </c>
      <c r="EG288" s="150">
        <f t="shared" si="873"/>
        <v>0.93165931632519394</v>
      </c>
      <c r="EH288" s="150"/>
      <c r="EI288" s="456">
        <f t="shared" si="874"/>
        <v>0.15709613686940996</v>
      </c>
      <c r="EJ288" s="456">
        <f t="shared" si="875"/>
        <v>5.4767551766113822</v>
      </c>
      <c r="EK288" s="456">
        <f t="shared" si="876"/>
        <v>4.0250000000000001E-2</v>
      </c>
      <c r="EL288" s="456">
        <f t="shared" si="877"/>
        <v>1.1218321012500001</v>
      </c>
      <c r="EM288">
        <f t="shared" si="878"/>
        <v>2.1600000000000001E-2</v>
      </c>
      <c r="EN288" s="144">
        <f t="shared" si="879"/>
        <v>61.85</v>
      </c>
      <c r="EP288" s="144">
        <f t="shared" si="880"/>
        <v>6817.5334147307931</v>
      </c>
      <c r="EQ288" s="150">
        <f t="shared" si="881"/>
        <v>2.016</v>
      </c>
      <c r="ER288" s="150">
        <f t="shared" si="841"/>
        <v>0.29314799999999996</v>
      </c>
      <c r="ES288" s="456"/>
      <c r="EU288" s="144">
        <f t="shared" si="882"/>
        <v>2309.1480000000001</v>
      </c>
      <c r="EV288" s="456">
        <f t="shared" si="883"/>
        <v>0.18327882634764497</v>
      </c>
      <c r="EW288" s="456">
        <f t="shared" si="884"/>
        <v>0.30158823816388008</v>
      </c>
      <c r="EX288" s="456">
        <f t="shared" si="885"/>
        <v>4.3399454084776393E-3</v>
      </c>
      <c r="EY288" s="456">
        <f t="shared" si="886"/>
        <v>40.593592674104165</v>
      </c>
      <c r="EZ288" s="456"/>
      <c r="FA288" s="538">
        <f t="shared" si="887"/>
        <v>3.8328510638297875</v>
      </c>
      <c r="FB288" s="144">
        <f t="shared" si="888"/>
        <v>44915.65074785395</v>
      </c>
      <c r="FC288" s="150">
        <f t="shared" si="889"/>
        <v>54.042332162584749</v>
      </c>
      <c r="FD288" s="5">
        <f t="shared" si="890"/>
        <v>90.071999999999989</v>
      </c>
      <c r="FE288" s="150">
        <f t="shared" si="891"/>
        <v>0.62500376366719668</v>
      </c>
      <c r="FF288" s="5">
        <f t="shared" si="892"/>
        <v>62.500376366719671</v>
      </c>
      <c r="FG288">
        <f t="shared" si="893"/>
        <v>72</v>
      </c>
      <c r="FI288" s="59">
        <f t="shared" si="842"/>
        <v>-50</v>
      </c>
    </row>
    <row r="289" spans="5:165">
      <c r="E289" s="147">
        <v>73</v>
      </c>
      <c r="F289" s="188">
        <f t="shared" si="843"/>
        <v>2.92</v>
      </c>
      <c r="G289" s="188">
        <f t="shared" si="772"/>
        <v>0.62049999999999994</v>
      </c>
      <c r="H289" s="188">
        <f t="shared" si="773"/>
        <v>87.6</v>
      </c>
      <c r="I289" s="188">
        <f t="shared" si="774"/>
        <v>3.7229999999999999</v>
      </c>
      <c r="J289" s="465">
        <f t="shared" si="775"/>
        <v>47.838180567093666</v>
      </c>
      <c r="K289" s="379">
        <f t="shared" si="776"/>
        <v>30.818650237299298</v>
      </c>
      <c r="L289" s="149">
        <f t="shared" si="777"/>
        <v>78.656830804392968</v>
      </c>
      <c r="M289" s="379"/>
      <c r="N289" s="188">
        <f t="shared" si="778"/>
        <v>0.39181149204880095</v>
      </c>
      <c r="O289" s="149">
        <f t="shared" si="779"/>
        <v>272.41550621165504</v>
      </c>
      <c r="P289" s="149">
        <f t="shared" si="780"/>
        <v>11.577659013995337</v>
      </c>
      <c r="Q289" s="188">
        <f t="shared" si="781"/>
        <v>9.0805168737218356</v>
      </c>
      <c r="R289" s="188">
        <f t="shared" si="782"/>
        <v>45.402584368609176</v>
      </c>
      <c r="S289" s="188">
        <f t="shared" si="783"/>
        <v>30</v>
      </c>
      <c r="T289" s="188">
        <f t="shared" si="784"/>
        <v>9.7444726677305518</v>
      </c>
      <c r="U289" s="188">
        <f t="shared" si="785"/>
        <v>0.95737381721906978</v>
      </c>
      <c r="V289" s="188">
        <f t="shared" si="786"/>
        <v>1.4860813561167516</v>
      </c>
      <c r="W289" s="172">
        <f t="shared" si="787"/>
        <v>350</v>
      </c>
      <c r="X289" s="379">
        <f t="shared" si="844"/>
        <v>350</v>
      </c>
      <c r="Z289" s="188">
        <f t="shared" si="788"/>
        <v>11.394254653430352</v>
      </c>
      <c r="AA289" s="150">
        <f t="shared" si="789"/>
        <v>1.7376814512891405</v>
      </c>
      <c r="AB289" s="150">
        <f t="shared" si="790"/>
        <v>3.3236713366358823</v>
      </c>
      <c r="AC289" s="150"/>
      <c r="AD289" s="150">
        <f t="shared" si="791"/>
        <v>0.92427307054394436</v>
      </c>
      <c r="AE289" s="314">
        <f t="shared" si="792"/>
        <v>1086.8573715004052</v>
      </c>
      <c r="AF289" s="456">
        <f t="shared" si="793"/>
        <v>0.94032577484305091</v>
      </c>
      <c r="AH289" s="150">
        <f t="shared" si="794"/>
        <v>10.53712498927073</v>
      </c>
      <c r="AI289" s="150">
        <f t="shared" si="795"/>
        <v>10.53712498927073</v>
      </c>
      <c r="AJ289" s="150">
        <f t="shared" si="796"/>
        <v>4.5159399471590147</v>
      </c>
      <c r="AL289" s="314">
        <f t="shared" si="797"/>
        <v>2920</v>
      </c>
      <c r="AM289" s="144">
        <f t="shared" si="798"/>
        <v>350</v>
      </c>
      <c r="AO289">
        <f t="shared" si="799"/>
        <v>2920</v>
      </c>
      <c r="AP289">
        <f t="shared" si="800"/>
        <v>350</v>
      </c>
      <c r="AR289" s="5">
        <f t="shared" si="771"/>
        <v>2.8571428571428572</v>
      </c>
      <c r="AS289" s="5">
        <f t="shared" si="737"/>
        <v>1.035250230307436</v>
      </c>
      <c r="AT289" s="5">
        <f t="shared" si="738"/>
        <v>1.8218926268354212</v>
      </c>
      <c r="AU289" s="150">
        <f t="shared" si="739"/>
        <v>0.36233758060760257</v>
      </c>
      <c r="BA289" s="150">
        <f t="shared" si="845"/>
        <v>3.6619987717899245</v>
      </c>
      <c r="BB289" s="150">
        <f t="shared" si="846"/>
        <v>4.6599456548588405</v>
      </c>
      <c r="BC289" s="150">
        <f t="shared" si="847"/>
        <v>0.93539447587339564</v>
      </c>
      <c r="BD289" s="150"/>
      <c r="BE289" s="456">
        <f t="shared" si="848"/>
        <v>0.16092282005509101</v>
      </c>
      <c r="BF289" s="456">
        <f t="shared" si="801"/>
        <v>5.2940676769351045</v>
      </c>
      <c r="BG289" s="456">
        <f t="shared" si="849"/>
        <v>4.0250000000000001E-2</v>
      </c>
      <c r="BH289" s="456">
        <f t="shared" si="850"/>
        <v>1.1206017249555773</v>
      </c>
      <c r="BI289">
        <f t="shared" si="851"/>
        <v>2.1527181255192148E-2</v>
      </c>
      <c r="BJ289" s="144">
        <f t="shared" si="852"/>
        <v>61.777181255192147</v>
      </c>
      <c r="BK289">
        <f t="shared" si="802"/>
        <v>6.8821834718491859</v>
      </c>
      <c r="BL289" s="144">
        <f t="shared" si="853"/>
        <v>6637.3694032009644</v>
      </c>
      <c r="BM289" s="150">
        <f t="shared" si="803"/>
        <v>1.9581519999999999</v>
      </c>
      <c r="BN289" s="150">
        <f t="shared" si="804"/>
        <v>0.29721949999999997</v>
      </c>
      <c r="BQ289" s="144">
        <f t="shared" si="854"/>
        <v>2255.3714999999997</v>
      </c>
      <c r="BR289" s="456">
        <f t="shared" si="855"/>
        <v>0.18774329006427284</v>
      </c>
      <c r="BS289" s="456">
        <f t="shared" si="856"/>
        <v>0.30401130908732904</v>
      </c>
      <c r="BT289" s="456">
        <f t="shared" si="857"/>
        <v>4.3748141274723229E-3</v>
      </c>
      <c r="BU289" s="456">
        <f t="shared" si="858"/>
        <v>41.299561848274813</v>
      </c>
      <c r="BV289" s="456"/>
      <c r="BW289" s="538">
        <f t="shared" si="859"/>
        <v>3.8860851063829789</v>
      </c>
      <c r="BX289" s="144">
        <f t="shared" si="860"/>
        <v>45681.776367936865</v>
      </c>
      <c r="BY289" s="150">
        <f t="shared" si="861"/>
        <v>54.574517271137829</v>
      </c>
      <c r="BZ289" s="5">
        <f t="shared" si="862"/>
        <v>91.322999999999993</v>
      </c>
      <c r="CA289" s="150">
        <f t="shared" si="863"/>
        <v>0.62593936968978137</v>
      </c>
      <c r="CB289" s="5">
        <f t="shared" si="864"/>
        <v>62.593936968978134</v>
      </c>
      <c r="CC289">
        <f t="shared" si="865"/>
        <v>73</v>
      </c>
      <c r="CE289" s="59">
        <f t="shared" si="805"/>
        <v>-50</v>
      </c>
      <c r="CG289" s="150">
        <f t="shared" si="806"/>
        <v>0.56588573640503315</v>
      </c>
      <c r="CH289" s="150">
        <f t="shared" si="807"/>
        <v>0.12350035269531352</v>
      </c>
      <c r="CI289" s="147">
        <v>73</v>
      </c>
      <c r="CJ289" s="188">
        <f t="shared" si="866"/>
        <v>2.92</v>
      </c>
      <c r="CK289" s="188">
        <f t="shared" si="808"/>
        <v>0.62049999999999994</v>
      </c>
      <c r="CL289" s="188">
        <f t="shared" si="809"/>
        <v>87.6</v>
      </c>
      <c r="CM289" s="188">
        <f t="shared" si="810"/>
        <v>3.7229999999999999</v>
      </c>
      <c r="CN289" s="465">
        <f t="shared" si="811"/>
        <v>48</v>
      </c>
      <c r="CO289" s="379">
        <f t="shared" si="812"/>
        <v>30.7</v>
      </c>
      <c r="CP289" s="379">
        <f t="shared" si="813"/>
        <v>78.7</v>
      </c>
      <c r="CQ289" s="379"/>
      <c r="CR289" s="188">
        <f t="shared" si="814"/>
        <v>0.38775510204081626</v>
      </c>
      <c r="CS289" s="149">
        <f t="shared" si="815"/>
        <v>270.50715642699197</v>
      </c>
      <c r="CT289" s="149">
        <f t="shared" si="816"/>
        <v>11.496554148147156</v>
      </c>
      <c r="CU289" s="188">
        <f t="shared" si="817"/>
        <v>9.0169052142330663</v>
      </c>
      <c r="CV289" s="188">
        <f t="shared" si="818"/>
        <v>45.084526071165328</v>
      </c>
      <c r="CW289" s="188">
        <f t="shared" si="819"/>
        <v>30</v>
      </c>
      <c r="CX289" s="188">
        <f t="shared" si="820"/>
        <v>9.8132171052631598</v>
      </c>
      <c r="CY289" s="188">
        <f t="shared" si="821"/>
        <v>0.96087750822368434</v>
      </c>
      <c r="CZ289" s="188">
        <f t="shared" si="822"/>
        <v>1.5023491985256303</v>
      </c>
      <c r="DA289" s="172">
        <f t="shared" si="823"/>
        <v>350</v>
      </c>
      <c r="DB289" s="379">
        <f t="shared" si="824"/>
        <v>350</v>
      </c>
      <c r="DD289" s="188">
        <f t="shared" si="825"/>
        <v>11.382534575916392</v>
      </c>
      <c r="DE289" s="150">
        <f t="shared" si="826"/>
        <v>1.7426030132510437</v>
      </c>
      <c r="DF289" s="150">
        <f t="shared" si="827"/>
        <v>3.3296564353233258</v>
      </c>
      <c r="DG289" s="150"/>
      <c r="DH289" s="150">
        <f t="shared" si="828"/>
        <v>0.92784522751949461</v>
      </c>
      <c r="DI289" s="314">
        <f t="shared" si="829"/>
        <v>1082.6730258510636</v>
      </c>
      <c r="DJ289" s="456">
        <f t="shared" si="830"/>
        <v>0.94395997276890675</v>
      </c>
      <c r="DL289" s="150">
        <f t="shared" si="831"/>
        <v>10.53712498927073</v>
      </c>
      <c r="DM289" s="150">
        <f t="shared" si="832"/>
        <v>10.53712498927073</v>
      </c>
      <c r="DN289" s="150">
        <f t="shared" si="833"/>
        <v>4.5159399471590147</v>
      </c>
      <c r="DP289" s="314">
        <f t="shared" si="834"/>
        <v>2920</v>
      </c>
      <c r="DQ289" s="144">
        <f t="shared" si="835"/>
        <v>350</v>
      </c>
      <c r="DS289">
        <f t="shared" si="836"/>
        <v>2920</v>
      </c>
      <c r="DT289">
        <f t="shared" si="837"/>
        <v>350</v>
      </c>
      <c r="DV289" s="5">
        <f t="shared" si="867"/>
        <v>2.8571428571428572</v>
      </c>
      <c r="DW289" s="5">
        <f t="shared" si="838"/>
        <v>1.0317601551994255</v>
      </c>
      <c r="DX289" s="5">
        <f t="shared" si="839"/>
        <v>1.8253827019434317</v>
      </c>
      <c r="DY289" s="150">
        <f t="shared" si="840"/>
        <v>0.36111605431979893</v>
      </c>
      <c r="EA289" s="5">
        <f t="shared" si="868"/>
        <v>10.042465510607743</v>
      </c>
      <c r="EB289" s="5">
        <f t="shared" si="869"/>
        <v>10.670119605020725</v>
      </c>
      <c r="EC289" s="5">
        <f t="shared" si="870"/>
        <v>1.9596020182628013</v>
      </c>
      <c r="ED289" s="5"/>
      <c r="EE289" s="150">
        <f t="shared" si="871"/>
        <v>3.6558208255146014</v>
      </c>
      <c r="EF289" s="150">
        <f t="shared" si="872"/>
        <v>4.664406888962036</v>
      </c>
      <c r="EG289" s="150">
        <f t="shared" si="873"/>
        <v>0.93628998282664866</v>
      </c>
      <c r="EH289" s="150"/>
      <c r="EI289" s="456">
        <f t="shared" si="874"/>
        <v>0.16038031089919513</v>
      </c>
      <c r="EJ289" s="456">
        <f t="shared" si="875"/>
        <v>5.5146570487597844</v>
      </c>
      <c r="EK289" s="456">
        <f t="shared" si="876"/>
        <v>4.0250000000000001E-2</v>
      </c>
      <c r="EL289" s="456">
        <f t="shared" si="877"/>
        <v>1.1218321012500001</v>
      </c>
      <c r="EM289">
        <f t="shared" si="878"/>
        <v>2.1600000000000001E-2</v>
      </c>
      <c r="EN289" s="144">
        <f t="shared" si="879"/>
        <v>61.85</v>
      </c>
      <c r="EP289" s="144">
        <f t="shared" si="880"/>
        <v>6858.7194609089802</v>
      </c>
      <c r="EQ289" s="150">
        <f t="shared" si="881"/>
        <v>2.044</v>
      </c>
      <c r="ER289" s="150">
        <f t="shared" si="841"/>
        <v>0.29721949999999997</v>
      </c>
      <c r="ES289" s="456"/>
      <c r="EU289" s="144">
        <f t="shared" si="882"/>
        <v>2341.2195000000002</v>
      </c>
      <c r="EV289" s="456">
        <f t="shared" si="883"/>
        <v>0.18711036271572767</v>
      </c>
      <c r="EW289" s="456">
        <f t="shared" si="884"/>
        <v>0.30459368276115101</v>
      </c>
      <c r="EX289" s="456">
        <f t="shared" si="885"/>
        <v>4.3831946597076305E-3</v>
      </c>
      <c r="EY289" s="456">
        <f t="shared" si="886"/>
        <v>41.299561848274813</v>
      </c>
      <c r="EZ289" s="456"/>
      <c r="FA289" s="538">
        <f t="shared" si="887"/>
        <v>3.8860851063829789</v>
      </c>
      <c r="FB289" s="144">
        <f t="shared" si="888"/>
        <v>45681.734194794379</v>
      </c>
      <c r="FC289" s="150">
        <f t="shared" si="889"/>
        <v>54.881673155703361</v>
      </c>
      <c r="FD289" s="5">
        <f t="shared" si="890"/>
        <v>91.322999999999993</v>
      </c>
      <c r="FE289" s="150">
        <f t="shared" si="891"/>
        <v>0.62462435727169874</v>
      </c>
      <c r="FF289" s="5">
        <f t="shared" si="892"/>
        <v>62.462435727169876</v>
      </c>
      <c r="FG289">
        <f t="shared" si="893"/>
        <v>73</v>
      </c>
      <c r="FI289" s="59">
        <f t="shared" si="842"/>
        <v>-50</v>
      </c>
    </row>
    <row r="290" spans="5:165">
      <c r="E290" s="147">
        <v>74</v>
      </c>
      <c r="F290" s="188">
        <f t="shared" si="843"/>
        <v>2.96</v>
      </c>
      <c r="G290" s="188">
        <f t="shared" si="772"/>
        <v>0.629</v>
      </c>
      <c r="H290" s="188">
        <f t="shared" si="773"/>
        <v>88.8</v>
      </c>
      <c r="I290" s="188">
        <f t="shared" si="774"/>
        <v>3.774</v>
      </c>
      <c r="J290" s="465">
        <f t="shared" si="775"/>
        <v>47.837075984762819</v>
      </c>
      <c r="K290" s="379">
        <f t="shared" si="776"/>
        <v>30.819460145932137</v>
      </c>
      <c r="L290" s="149">
        <f t="shared" si="777"/>
        <v>78.65653613069496</v>
      </c>
      <c r="M290" s="379"/>
      <c r="N290" s="188">
        <f t="shared" si="778"/>
        <v>0.39182325668044687</v>
      </c>
      <c r="O290" s="149">
        <f t="shared" si="779"/>
        <v>272.41739557328339</v>
      </c>
      <c r="P290" s="149">
        <f t="shared" si="780"/>
        <v>11.577739311864542</v>
      </c>
      <c r="Q290" s="188">
        <f t="shared" si="781"/>
        <v>9.0805798524427797</v>
      </c>
      <c r="R290" s="188">
        <f t="shared" si="782"/>
        <v>45.4028992622139</v>
      </c>
      <c r="S290" s="188">
        <f t="shared" si="783"/>
        <v>30</v>
      </c>
      <c r="T290" s="188">
        <f t="shared" si="784"/>
        <v>9.8778900857129948</v>
      </c>
      <c r="U290" s="188">
        <f t="shared" si="785"/>
        <v>0.97050420509896584</v>
      </c>
      <c r="V290" s="188">
        <f t="shared" si="786"/>
        <v>1.506388599379112</v>
      </c>
      <c r="W290" s="172">
        <f t="shared" si="787"/>
        <v>350</v>
      </c>
      <c r="X290" s="379">
        <f t="shared" si="844"/>
        <v>350</v>
      </c>
      <c r="Z290" s="188">
        <f t="shared" si="788"/>
        <v>11.394333679282532</v>
      </c>
      <c r="AA290" s="150">
        <f t="shared" si="789"/>
        <v>1.737647838055866</v>
      </c>
      <c r="AB290" s="150">
        <f t="shared" si="790"/>
        <v>3.3236300956174349</v>
      </c>
      <c r="AC290" s="150"/>
      <c r="AD290" s="150">
        <f t="shared" si="791"/>
        <v>0.92424878145077438</v>
      </c>
      <c r="AE290" s="314">
        <f t="shared" si="792"/>
        <v>1101.7747823281663</v>
      </c>
      <c r="AF290" s="456">
        <f t="shared" si="793"/>
        <v>0.94030106389876034</v>
      </c>
      <c r="AH290" s="150">
        <f t="shared" si="794"/>
        <v>10.609051592102405</v>
      </c>
      <c r="AI290" s="150">
        <f t="shared" si="795"/>
        <v>10.609051592102405</v>
      </c>
      <c r="AJ290" s="150">
        <f t="shared" si="796"/>
        <v>4.5692189122195144</v>
      </c>
      <c r="AL290" s="314">
        <f t="shared" si="797"/>
        <v>2960</v>
      </c>
      <c r="AM290" s="144">
        <f t="shared" si="798"/>
        <v>350</v>
      </c>
      <c r="AO290">
        <f t="shared" si="799"/>
        <v>2960</v>
      </c>
      <c r="AP290">
        <f t="shared" si="800"/>
        <v>350</v>
      </c>
      <c r="AR290" s="5">
        <f t="shared" si="771"/>
        <v>2.8571428571428572</v>
      </c>
      <c r="AS290" s="5">
        <f t="shared" si="737"/>
        <v>1.0423409344409686</v>
      </c>
      <c r="AT290" s="5">
        <f t="shared" si="738"/>
        <v>1.8148019227018886</v>
      </c>
      <c r="AU290" s="150">
        <f t="shared" si="739"/>
        <v>0.364819327054339</v>
      </c>
      <c r="BA290" s="150">
        <f t="shared" si="845"/>
        <v>3.6996007004194968</v>
      </c>
      <c r="BB290" s="150">
        <f t="shared" si="846"/>
        <v>4.6826156031617838</v>
      </c>
      <c r="BC290" s="150">
        <f t="shared" si="847"/>
        <v>0.93994503203466728</v>
      </c>
      <c r="BD290" s="150"/>
      <c r="BE290" s="456">
        <f t="shared" si="848"/>
        <v>0.16424454411053319</v>
      </c>
      <c r="BF290" s="456">
        <f t="shared" si="801"/>
        <v>5.3301851085229703</v>
      </c>
      <c r="BG290" s="456">
        <f t="shared" si="849"/>
        <v>4.0250000000000001E-2</v>
      </c>
      <c r="BH290" s="456">
        <f t="shared" si="850"/>
        <v>1.1205933287048673</v>
      </c>
      <c r="BI290">
        <f t="shared" si="851"/>
        <v>2.152668419314327E-2</v>
      </c>
      <c r="BJ290" s="144">
        <f t="shared" si="852"/>
        <v>61.776684193143268</v>
      </c>
      <c r="BK290">
        <f t="shared" si="802"/>
        <v>6.92980105502635</v>
      </c>
      <c r="BL290" s="144">
        <f t="shared" si="853"/>
        <v>6676.7996655315155</v>
      </c>
      <c r="BM290" s="150">
        <f t="shared" si="803"/>
        <v>1.9849760000000001</v>
      </c>
      <c r="BN290" s="150">
        <f t="shared" si="804"/>
        <v>0.30129099999999998</v>
      </c>
      <c r="BQ290" s="144">
        <f t="shared" si="854"/>
        <v>2286.2669999999998</v>
      </c>
      <c r="BR290" s="456">
        <f t="shared" si="855"/>
        <v>0.19161863479562205</v>
      </c>
      <c r="BS290" s="456">
        <f t="shared" si="856"/>
        <v>0.30697644441763877</v>
      </c>
      <c r="BT290" s="456">
        <f t="shared" si="857"/>
        <v>4.4174833162332582E-3</v>
      </c>
      <c r="BU290" s="456">
        <f t="shared" si="858"/>
        <v>42.007952936122685</v>
      </c>
      <c r="BV290" s="456"/>
      <c r="BW290" s="538">
        <f t="shared" si="859"/>
        <v>3.9393191489361707</v>
      </c>
      <c r="BX290" s="144">
        <f t="shared" si="860"/>
        <v>46450.284647588349</v>
      </c>
      <c r="BY290" s="150">
        <f t="shared" si="861"/>
        <v>55.413351313119868</v>
      </c>
      <c r="BZ290" s="5">
        <f t="shared" si="862"/>
        <v>92.573999999999998</v>
      </c>
      <c r="CA290" s="150">
        <f t="shared" si="863"/>
        <v>0.62555346236400156</v>
      </c>
      <c r="CB290" s="5">
        <f t="shared" si="864"/>
        <v>62.555346236400155</v>
      </c>
      <c r="CC290">
        <f t="shared" si="865"/>
        <v>74</v>
      </c>
      <c r="CE290" s="59">
        <f t="shared" si="805"/>
        <v>-50</v>
      </c>
      <c r="CG290" s="150">
        <f t="shared" si="806"/>
        <v>0.56974848251955301</v>
      </c>
      <c r="CH290" s="150">
        <f t="shared" si="807"/>
        <v>0.12434336830222077</v>
      </c>
      <c r="CI290" s="147">
        <v>74</v>
      </c>
      <c r="CJ290" s="188">
        <f t="shared" si="866"/>
        <v>2.96</v>
      </c>
      <c r="CK290" s="188">
        <f t="shared" si="808"/>
        <v>0.629</v>
      </c>
      <c r="CL290" s="188">
        <f t="shared" si="809"/>
        <v>88.8</v>
      </c>
      <c r="CM290" s="188">
        <f t="shared" si="810"/>
        <v>3.774</v>
      </c>
      <c r="CN290" s="465">
        <f t="shared" si="811"/>
        <v>48</v>
      </c>
      <c r="CO290" s="379">
        <f t="shared" si="812"/>
        <v>30.7</v>
      </c>
      <c r="CP290" s="379">
        <f t="shared" si="813"/>
        <v>78.7</v>
      </c>
      <c r="CQ290" s="379"/>
      <c r="CR290" s="188">
        <f t="shared" si="814"/>
        <v>0.38775510204081626</v>
      </c>
      <c r="CS290" s="149">
        <f t="shared" si="815"/>
        <v>270.50715642699197</v>
      </c>
      <c r="CT290" s="149">
        <f t="shared" si="816"/>
        <v>11.496554148147156</v>
      </c>
      <c r="CU290" s="188">
        <f t="shared" si="817"/>
        <v>9.0169052142330663</v>
      </c>
      <c r="CV290" s="188">
        <f t="shared" si="818"/>
        <v>45.084526071165328</v>
      </c>
      <c r="CW290" s="188">
        <f t="shared" si="819"/>
        <v>30</v>
      </c>
      <c r="CX290" s="188">
        <f t="shared" si="820"/>
        <v>9.9476447368421077</v>
      </c>
      <c r="CY290" s="188">
        <f t="shared" si="821"/>
        <v>0.97404021381578965</v>
      </c>
      <c r="CZ290" s="188">
        <f t="shared" si="822"/>
        <v>1.5229293245328308</v>
      </c>
      <c r="DA290" s="172">
        <f t="shared" si="823"/>
        <v>350</v>
      </c>
      <c r="DB290" s="379">
        <f t="shared" si="824"/>
        <v>350</v>
      </c>
      <c r="DD290" s="188">
        <f t="shared" si="825"/>
        <v>11.382534575916392</v>
      </c>
      <c r="DE290" s="150">
        <f t="shared" si="826"/>
        <v>1.7426030132510437</v>
      </c>
      <c r="DF290" s="150">
        <f t="shared" si="827"/>
        <v>3.3296564353233258</v>
      </c>
      <c r="DG290" s="150"/>
      <c r="DH290" s="150">
        <f t="shared" si="828"/>
        <v>0.92784522751949461</v>
      </c>
      <c r="DI290" s="314">
        <f t="shared" si="829"/>
        <v>1097.5041631914892</v>
      </c>
      <c r="DJ290" s="456">
        <f t="shared" si="830"/>
        <v>0.94395997276890675</v>
      </c>
      <c r="DL290" s="150">
        <f t="shared" si="831"/>
        <v>10.609051592102405</v>
      </c>
      <c r="DM290" s="150">
        <f t="shared" si="832"/>
        <v>10.609051592102405</v>
      </c>
      <c r="DN290" s="150">
        <f t="shared" si="833"/>
        <v>4.5692189122195144</v>
      </c>
      <c r="DP290" s="314">
        <f t="shared" si="834"/>
        <v>2960</v>
      </c>
      <c r="DQ290" s="144">
        <f t="shared" si="835"/>
        <v>350</v>
      </c>
      <c r="DS290">
        <f t="shared" si="836"/>
        <v>2960</v>
      </c>
      <c r="DT290">
        <f t="shared" si="837"/>
        <v>350</v>
      </c>
      <c r="DV290" s="5">
        <f t="shared" si="867"/>
        <v>2.8571428571428572</v>
      </c>
      <c r="DW290" s="5">
        <f t="shared" si="838"/>
        <v>1.0388029683933604</v>
      </c>
      <c r="DX290" s="5">
        <f t="shared" si="839"/>
        <v>1.8183398887494968</v>
      </c>
      <c r="DY290" s="150">
        <f t="shared" si="840"/>
        <v>0.36358103893767613</v>
      </c>
      <c r="EA290" s="5">
        <f t="shared" si="868"/>
        <v>10.249522621481155</v>
      </c>
      <c r="EB290" s="5">
        <f t="shared" si="869"/>
        <v>10.890117785323728</v>
      </c>
      <c r="EC290" s="5">
        <f t="shared" si="870"/>
        <v>1.9787816436391581</v>
      </c>
      <c r="ED290" s="5"/>
      <c r="EE290" s="150">
        <f t="shared" si="871"/>
        <v>3.6933166780748259</v>
      </c>
      <c r="EF290" s="150">
        <f t="shared" si="872"/>
        <v>4.6871777728232917</v>
      </c>
      <c r="EG290" s="150">
        <f t="shared" si="873"/>
        <v>0.94086079986018312</v>
      </c>
      <c r="EH290" s="150"/>
      <c r="EI290" s="456">
        <f t="shared" si="874"/>
        <v>0.16368705701454803</v>
      </c>
      <c r="EJ290" s="456">
        <f t="shared" si="875"/>
        <v>5.5523001959847553</v>
      </c>
      <c r="EK290" s="456">
        <f t="shared" si="876"/>
        <v>4.0250000000000001E-2</v>
      </c>
      <c r="EL290" s="456">
        <f t="shared" si="877"/>
        <v>1.1218321012500001</v>
      </c>
      <c r="EM290">
        <f t="shared" si="878"/>
        <v>2.1600000000000001E-2</v>
      </c>
      <c r="EN290" s="144">
        <f t="shared" si="879"/>
        <v>61.85</v>
      </c>
      <c r="EP290" s="144">
        <f t="shared" si="880"/>
        <v>6899.669354249304</v>
      </c>
      <c r="EQ290" s="150">
        <f t="shared" si="881"/>
        <v>2.0720000000000001</v>
      </c>
      <c r="ER290" s="150">
        <f t="shared" si="841"/>
        <v>0.30129099999999998</v>
      </c>
      <c r="ES290" s="456"/>
      <c r="EU290" s="144">
        <f t="shared" si="882"/>
        <v>2373.2910000000002</v>
      </c>
      <c r="EV290" s="456">
        <f t="shared" si="883"/>
        <v>0.19096823318363934</v>
      </c>
      <c r="EW290" s="456">
        <f t="shared" si="884"/>
        <v>0.30757489663668197</v>
      </c>
      <c r="EX290" s="456">
        <f t="shared" si="885"/>
        <v>4.4260952235677178E-3</v>
      </c>
      <c r="EY290" s="456">
        <f t="shared" si="886"/>
        <v>42.007952936122685</v>
      </c>
      <c r="EZ290" s="456"/>
      <c r="FA290" s="538">
        <f t="shared" si="887"/>
        <v>3.9393191489361707</v>
      </c>
      <c r="FB290" s="144">
        <f t="shared" si="888"/>
        <v>46450.241310102749</v>
      </c>
      <c r="FC290" s="150">
        <f t="shared" si="889"/>
        <v>55.723201664352047</v>
      </c>
      <c r="FD290" s="5">
        <f t="shared" si="890"/>
        <v>92.573999999999998</v>
      </c>
      <c r="FE290" s="150">
        <f t="shared" si="891"/>
        <v>0.62424643864505991</v>
      </c>
      <c r="FF290" s="5">
        <f t="shared" si="892"/>
        <v>62.424643864505988</v>
      </c>
      <c r="FG290">
        <f t="shared" si="893"/>
        <v>74</v>
      </c>
      <c r="FI290" s="59">
        <f t="shared" si="842"/>
        <v>-50</v>
      </c>
    </row>
    <row r="291" spans="5:165">
      <c r="E291" s="147">
        <v>75</v>
      </c>
      <c r="F291" s="188">
        <f t="shared" si="843"/>
        <v>3</v>
      </c>
      <c r="G291" s="188">
        <f t="shared" si="772"/>
        <v>0.63749999999999996</v>
      </c>
      <c r="H291" s="188">
        <f t="shared" si="773"/>
        <v>90</v>
      </c>
      <c r="I291" s="188">
        <f t="shared" si="774"/>
        <v>3.8249999999999997</v>
      </c>
      <c r="J291" s="465">
        <f t="shared" si="775"/>
        <v>47.835978840950673</v>
      </c>
      <c r="K291" s="379">
        <f t="shared" si="776"/>
        <v>30.82026460044866</v>
      </c>
      <c r="L291" s="149">
        <f t="shared" si="777"/>
        <v>78.65624344139934</v>
      </c>
      <c r="M291" s="379"/>
      <c r="N291" s="188">
        <f t="shared" si="778"/>
        <v>0.39183494217354081</v>
      </c>
      <c r="O291" s="149">
        <f t="shared" si="779"/>
        <v>272.41927189824332</v>
      </c>
      <c r="P291" s="149">
        <f t="shared" si="780"/>
        <v>11.57781905567534</v>
      </c>
      <c r="Q291" s="188">
        <f t="shared" si="781"/>
        <v>9.0806423966081109</v>
      </c>
      <c r="R291" s="188">
        <f t="shared" si="782"/>
        <v>45.403211983040556</v>
      </c>
      <c r="S291" s="188">
        <f t="shared" si="783"/>
        <v>30</v>
      </c>
      <c r="T291" s="188">
        <f t="shared" si="784"/>
        <v>10.011306132157364</v>
      </c>
      <c r="U291" s="188">
        <f t="shared" si="785"/>
        <v>0.98363491165480443</v>
      </c>
      <c r="V291" s="188">
        <f t="shared" si="786"/>
        <v>1.5266948363725159</v>
      </c>
      <c r="W291" s="172">
        <f t="shared" si="787"/>
        <v>350</v>
      </c>
      <c r="X291" s="379">
        <f t="shared" si="844"/>
        <v>350</v>
      </c>
      <c r="Z291" s="188">
        <f t="shared" si="788"/>
        <v>11.394412159853271</v>
      </c>
      <c r="AA291" s="150">
        <f t="shared" si="789"/>
        <v>1.7376144509327405</v>
      </c>
      <c r="AB291" s="150">
        <f t="shared" si="790"/>
        <v>3.3235891271442082</v>
      </c>
      <c r="AC291" s="150"/>
      <c r="AD291" s="150">
        <f t="shared" si="791"/>
        <v>0.92422465718979652</v>
      </c>
      <c r="AE291" s="314">
        <f t="shared" si="792"/>
        <v>1116.6927780720912</v>
      </c>
      <c r="AF291" s="456">
        <f t="shared" si="793"/>
        <v>0.94027652064945511</v>
      </c>
      <c r="AH291" s="150">
        <f t="shared" si="794"/>
        <v>10.680493824176272</v>
      </c>
      <c r="AI291" s="150">
        <f t="shared" si="795"/>
        <v>10.680493824176272</v>
      </c>
      <c r="AJ291" s="150">
        <f t="shared" si="796"/>
        <v>4.6221390841260828</v>
      </c>
      <c r="AL291" s="314">
        <f t="shared" si="797"/>
        <v>3000</v>
      </c>
      <c r="AM291" s="144">
        <f t="shared" si="798"/>
        <v>350</v>
      </c>
      <c r="AO291">
        <f t="shared" si="799"/>
        <v>3000</v>
      </c>
      <c r="AP291">
        <f t="shared" si="800"/>
        <v>350</v>
      </c>
      <c r="AR291" s="5">
        <f t="shared" si="771"/>
        <v>2.8571428571428572</v>
      </c>
      <c r="AS291" s="5">
        <f t="shared" si="737"/>
        <v>1.0493842122585666</v>
      </c>
      <c r="AT291" s="5">
        <f t="shared" si="738"/>
        <v>1.8077586448842906</v>
      </c>
      <c r="AU291" s="150">
        <f t="shared" si="739"/>
        <v>0.36728447429049832</v>
      </c>
      <c r="BA291" s="150">
        <f t="shared" si="845"/>
        <v>3.7370765248392983</v>
      </c>
      <c r="BB291" s="150">
        <f t="shared" si="846"/>
        <v>4.7049919848649306</v>
      </c>
      <c r="BC291" s="150">
        <f t="shared" si="847"/>
        <v>0.94443666034654106</v>
      </c>
      <c r="BD291" s="150"/>
      <c r="BE291" s="456">
        <f t="shared" si="848"/>
        <v>0.16758889143005959</v>
      </c>
      <c r="BF291" s="456">
        <f t="shared" si="801"/>
        <v>5.3660590487472755</v>
      </c>
      <c r="BG291" s="456">
        <f t="shared" si="849"/>
        <v>4.0250000000000001E-2</v>
      </c>
      <c r="BH291" s="456">
        <f t="shared" si="850"/>
        <v>1.1205849890276334</v>
      </c>
      <c r="BI291">
        <f t="shared" si="851"/>
        <v>2.1526190478427801E-2</v>
      </c>
      <c r="BJ291" s="144">
        <f t="shared" si="852"/>
        <v>61.776190478427807</v>
      </c>
      <c r="BK291">
        <f t="shared" si="802"/>
        <v>6.9773123727519559</v>
      </c>
      <c r="BL291" s="144">
        <f t="shared" si="853"/>
        <v>6716.0091196833964</v>
      </c>
      <c r="BM291" s="150">
        <f t="shared" si="803"/>
        <v>2.0117999999999996</v>
      </c>
      <c r="BN291" s="150">
        <f t="shared" si="804"/>
        <v>0.30536249999999998</v>
      </c>
      <c r="BQ291" s="144">
        <f t="shared" si="854"/>
        <v>2317.1624999999995</v>
      </c>
      <c r="BR291" s="456">
        <f t="shared" si="855"/>
        <v>0.19552037333506952</v>
      </c>
      <c r="BS291" s="456">
        <f t="shared" si="856"/>
        <v>0.30991729408700536</v>
      </c>
      <c r="BT291" s="456">
        <f t="shared" si="857"/>
        <v>4.4598030270326392E-3</v>
      </c>
      <c r="BU291" s="456">
        <f t="shared" si="858"/>
        <v>42.718741348205633</v>
      </c>
      <c r="BV291" s="456"/>
      <c r="BW291" s="538">
        <f t="shared" si="859"/>
        <v>3.9925531914893626</v>
      </c>
      <c r="BX291" s="144">
        <f t="shared" si="860"/>
        <v>47221.192010144099</v>
      </c>
      <c r="BY291" s="150">
        <f t="shared" si="861"/>
        <v>56.254363629827502</v>
      </c>
      <c r="BZ291" s="5">
        <f t="shared" si="862"/>
        <v>93.825000000000003</v>
      </c>
      <c r="CA291" s="150">
        <f t="shared" si="863"/>
        <v>0.62516922867170777</v>
      </c>
      <c r="CB291" s="5">
        <f t="shared" si="864"/>
        <v>62.516922867170777</v>
      </c>
      <c r="CC291">
        <f t="shared" si="865"/>
        <v>75</v>
      </c>
      <c r="CE291" s="59">
        <f t="shared" si="805"/>
        <v>-50</v>
      </c>
      <c r="CG291" s="150">
        <f t="shared" si="806"/>
        <v>0.57358521598799939</v>
      </c>
      <c r="CH291" s="150">
        <f t="shared" si="807"/>
        <v>0.12518070684261456</v>
      </c>
      <c r="CI291" s="147">
        <v>75</v>
      </c>
      <c r="CJ291" s="188">
        <f t="shared" si="866"/>
        <v>3</v>
      </c>
      <c r="CK291" s="188">
        <f t="shared" si="808"/>
        <v>0.63749999999999996</v>
      </c>
      <c r="CL291" s="188">
        <f t="shared" si="809"/>
        <v>90</v>
      </c>
      <c r="CM291" s="188">
        <f t="shared" si="810"/>
        <v>3.8249999999999997</v>
      </c>
      <c r="CN291" s="465">
        <f t="shared" si="811"/>
        <v>48</v>
      </c>
      <c r="CO291" s="379">
        <f t="shared" si="812"/>
        <v>30.7</v>
      </c>
      <c r="CP291" s="379">
        <f t="shared" si="813"/>
        <v>78.7</v>
      </c>
      <c r="CQ291" s="379"/>
      <c r="CR291" s="188">
        <f t="shared" si="814"/>
        <v>0.38775510204081626</v>
      </c>
      <c r="CS291" s="149">
        <f t="shared" si="815"/>
        <v>270.50715642699197</v>
      </c>
      <c r="CT291" s="149">
        <f t="shared" si="816"/>
        <v>11.496554148147156</v>
      </c>
      <c r="CU291" s="188">
        <f t="shared" si="817"/>
        <v>9.0169052142330663</v>
      </c>
      <c r="CV291" s="188">
        <f t="shared" si="818"/>
        <v>45.084526071165328</v>
      </c>
      <c r="CW291" s="188">
        <f t="shared" si="819"/>
        <v>30</v>
      </c>
      <c r="CX291" s="188">
        <f t="shared" si="820"/>
        <v>10.082072368421056</v>
      </c>
      <c r="CY291" s="188">
        <f t="shared" si="821"/>
        <v>0.98720291940789506</v>
      </c>
      <c r="CZ291" s="188">
        <f t="shared" si="822"/>
        <v>1.5435094505400313</v>
      </c>
      <c r="DA291" s="172">
        <f t="shared" si="823"/>
        <v>350</v>
      </c>
      <c r="DB291" s="379">
        <f t="shared" si="824"/>
        <v>350</v>
      </c>
      <c r="DD291" s="188">
        <f t="shared" si="825"/>
        <v>11.382534575916392</v>
      </c>
      <c r="DE291" s="150">
        <f t="shared" si="826"/>
        <v>1.7426030132510437</v>
      </c>
      <c r="DF291" s="150">
        <f t="shared" si="827"/>
        <v>3.3296564353233258</v>
      </c>
      <c r="DG291" s="150"/>
      <c r="DH291" s="150">
        <f t="shared" si="828"/>
        <v>0.92784522751949461</v>
      </c>
      <c r="DI291" s="314">
        <f t="shared" si="829"/>
        <v>1112.335300531915</v>
      </c>
      <c r="DJ291" s="456">
        <f t="shared" si="830"/>
        <v>0.94395997276890675</v>
      </c>
      <c r="DL291" s="150">
        <f t="shared" si="831"/>
        <v>10.680493824176272</v>
      </c>
      <c r="DM291" s="150">
        <f t="shared" si="832"/>
        <v>10.680493824176272</v>
      </c>
      <c r="DN291" s="150">
        <f t="shared" si="833"/>
        <v>4.6221390841260828</v>
      </c>
      <c r="DP291" s="314">
        <f t="shared" si="834"/>
        <v>3000</v>
      </c>
      <c r="DQ291" s="144">
        <f t="shared" si="835"/>
        <v>350</v>
      </c>
      <c r="DS291">
        <f t="shared" si="836"/>
        <v>3000</v>
      </c>
      <c r="DT291">
        <f t="shared" si="837"/>
        <v>350</v>
      </c>
      <c r="DV291" s="5">
        <f t="shared" si="867"/>
        <v>2.8571428571428572</v>
      </c>
      <c r="DW291" s="5">
        <f t="shared" si="838"/>
        <v>1.0457983536172599</v>
      </c>
      <c r="DX291" s="5">
        <f t="shared" si="839"/>
        <v>1.8113445035255973</v>
      </c>
      <c r="DY291" s="150">
        <f t="shared" si="840"/>
        <v>0.36602942376604097</v>
      </c>
      <c r="EA291" s="5">
        <f t="shared" si="868"/>
        <v>10.4579835361726</v>
      </c>
      <c r="EB291" s="5">
        <f t="shared" si="869"/>
        <v>11.111607507183384</v>
      </c>
      <c r="EC291" s="5">
        <f t="shared" si="870"/>
        <v>1.9978064377120557</v>
      </c>
      <c r="ED291" s="5"/>
      <c r="EE291" s="150">
        <f t="shared" si="871"/>
        <v>3.7306860648719433</v>
      </c>
      <c r="EF291" s="150">
        <f t="shared" si="872"/>
        <v>4.70965606930534</v>
      </c>
      <c r="EG291" s="150">
        <f t="shared" si="873"/>
        <v>0.94537288560402177</v>
      </c>
      <c r="EH291" s="150"/>
      <c r="EI291" s="456">
        <f t="shared" si="874"/>
        <v>0.16701622217555648</v>
      </c>
      <c r="EJ291" s="456">
        <f t="shared" si="875"/>
        <v>5.5896898453517734</v>
      </c>
      <c r="EK291" s="456">
        <f t="shared" si="876"/>
        <v>4.0250000000000001E-2</v>
      </c>
      <c r="EL291" s="456">
        <f t="shared" si="877"/>
        <v>1.1218321012500001</v>
      </c>
      <c r="EM291">
        <f t="shared" si="878"/>
        <v>2.1600000000000001E-2</v>
      </c>
      <c r="EN291" s="144">
        <f t="shared" si="879"/>
        <v>61.85</v>
      </c>
      <c r="EP291" s="144">
        <f t="shared" si="880"/>
        <v>6940.3881687773301</v>
      </c>
      <c r="EQ291" s="150">
        <f t="shared" si="881"/>
        <v>2.0999999999999996</v>
      </c>
      <c r="ER291" s="150">
        <f t="shared" si="841"/>
        <v>0.30536249999999998</v>
      </c>
      <c r="ES291" s="456"/>
      <c r="EU291" s="144">
        <f t="shared" si="882"/>
        <v>2405.3624999999997</v>
      </c>
      <c r="EV291" s="456">
        <f t="shared" si="883"/>
        <v>0.19485225920481589</v>
      </c>
      <c r="EW291" s="456">
        <f t="shared" si="884"/>
        <v>0.31053204407602475</v>
      </c>
      <c r="EX291" s="456">
        <f t="shared" si="885"/>
        <v>4.4686494641763743E-3</v>
      </c>
      <c r="EY291" s="456">
        <f t="shared" si="886"/>
        <v>42.718741348205633</v>
      </c>
      <c r="EZ291" s="456"/>
      <c r="FA291" s="538">
        <f t="shared" si="887"/>
        <v>3.9925531914893626</v>
      </c>
      <c r="FB291" s="144">
        <f t="shared" si="888"/>
        <v>47221.14749244001</v>
      </c>
      <c r="FC291" s="150">
        <f t="shared" si="889"/>
        <v>56.566898161217345</v>
      </c>
      <c r="FD291" s="5">
        <f t="shared" si="890"/>
        <v>93.825000000000003</v>
      </c>
      <c r="FE291" s="150">
        <f t="shared" si="891"/>
        <v>0.62387004318159034</v>
      </c>
      <c r="FF291" s="5">
        <f t="shared" si="892"/>
        <v>62.387004318159036</v>
      </c>
      <c r="FG291">
        <f t="shared" si="893"/>
        <v>75</v>
      </c>
      <c r="FI291" s="59">
        <f t="shared" si="842"/>
        <v>-50</v>
      </c>
    </row>
    <row r="292" spans="5:165">
      <c r="E292" s="147">
        <v>76</v>
      </c>
      <c r="F292" s="188">
        <f t="shared" si="843"/>
        <v>3.04</v>
      </c>
      <c r="G292" s="188">
        <f t="shared" si="772"/>
        <v>0.64600000000000002</v>
      </c>
      <c r="H292" s="188">
        <f t="shared" si="773"/>
        <v>91.2</v>
      </c>
      <c r="I292" s="188">
        <f t="shared" si="774"/>
        <v>3.8760000000000003</v>
      </c>
      <c r="J292" s="465">
        <f t="shared" si="775"/>
        <v>47.83488898737285</v>
      </c>
      <c r="K292" s="379">
        <f t="shared" si="776"/>
        <v>30.821063709574847</v>
      </c>
      <c r="L292" s="149">
        <f t="shared" si="777"/>
        <v>78.655952696947693</v>
      </c>
      <c r="M292" s="379"/>
      <c r="N292" s="188">
        <f t="shared" si="778"/>
        <v>0.39184655010568431</v>
      </c>
      <c r="O292" s="149">
        <f t="shared" si="779"/>
        <v>272.4211354464129</v>
      </c>
      <c r="P292" s="149">
        <f t="shared" si="780"/>
        <v>11.577898256472547</v>
      </c>
      <c r="Q292" s="188">
        <f t="shared" si="781"/>
        <v>9.0807045148804306</v>
      </c>
      <c r="R292" s="188">
        <f t="shared" si="782"/>
        <v>45.403522574402153</v>
      </c>
      <c r="S292" s="188">
        <f t="shared" si="783"/>
        <v>30</v>
      </c>
      <c r="T292" s="188">
        <f t="shared" si="784"/>
        <v>10.144720816568176</v>
      </c>
      <c r="U292" s="188">
        <f t="shared" si="785"/>
        <v>0.99676593480663755</v>
      </c>
      <c r="V292" s="188">
        <f t="shared" si="786"/>
        <v>1.5470000739480687</v>
      </c>
      <c r="W292" s="172">
        <f t="shared" si="787"/>
        <v>350</v>
      </c>
      <c r="X292" s="379">
        <f t="shared" si="844"/>
        <v>350</v>
      </c>
      <c r="Z292" s="188">
        <f t="shared" si="788"/>
        <v>11.394490106012427</v>
      </c>
      <c r="AA292" s="150">
        <f t="shared" si="789"/>
        <v>1.7375812854123307</v>
      </c>
      <c r="AB292" s="150">
        <f t="shared" si="790"/>
        <v>3.3235484257832639</v>
      </c>
      <c r="AC292" s="150"/>
      <c r="AD292" s="150">
        <f t="shared" si="791"/>
        <v>0.92420069447503861</v>
      </c>
      <c r="AE292" s="314">
        <f t="shared" si="792"/>
        <v>1131.6113548194769</v>
      </c>
      <c r="AF292" s="456">
        <f t="shared" si="793"/>
        <v>0.94025214175209215</v>
      </c>
      <c r="AH292" s="150">
        <f t="shared" si="794"/>
        <v>10.751461341261679</v>
      </c>
      <c r="AI292" s="150">
        <f t="shared" si="795"/>
        <v>10.751461341261679</v>
      </c>
      <c r="AJ292" s="150">
        <f t="shared" si="796"/>
        <v>4.6747076153004583</v>
      </c>
      <c r="AL292" s="314">
        <f t="shared" si="797"/>
        <v>3040</v>
      </c>
      <c r="AM292" s="144">
        <f t="shared" si="798"/>
        <v>350</v>
      </c>
      <c r="AO292">
        <f t="shared" si="799"/>
        <v>3040</v>
      </c>
      <c r="AP292">
        <f t="shared" si="800"/>
        <v>350</v>
      </c>
      <c r="AR292" s="5">
        <f t="shared" si="771"/>
        <v>2.8571428571428572</v>
      </c>
      <c r="AS292" s="5">
        <f t="shared" si="737"/>
        <v>1.0563810092100137</v>
      </c>
      <c r="AT292" s="5">
        <f t="shared" si="738"/>
        <v>1.8007618479328436</v>
      </c>
      <c r="AU292" s="150">
        <f t="shared" si="739"/>
        <v>0.36973335322350476</v>
      </c>
      <c r="BA292" s="150">
        <f t="shared" si="845"/>
        <v>3.7744283458323689</v>
      </c>
      <c r="BB292" s="150">
        <f t="shared" si="846"/>
        <v>4.7270801851409567</v>
      </c>
      <c r="BC292" s="150">
        <f t="shared" si="847"/>
        <v>0.94887044177887125</v>
      </c>
      <c r="BD292" s="150"/>
      <c r="BE292" s="456">
        <f t="shared" si="848"/>
        <v>0.17095571205387447</v>
      </c>
      <c r="BF292" s="456">
        <f t="shared" si="801"/>
        <v>5.4016943515270626</v>
      </c>
      <c r="BG292" s="456">
        <f t="shared" si="849"/>
        <v>4.0250000000000001E-2</v>
      </c>
      <c r="BH292" s="456">
        <f t="shared" si="850"/>
        <v>1.1205767047961026</v>
      </c>
      <c r="BI292">
        <f t="shared" si="851"/>
        <v>2.152570004431778E-2</v>
      </c>
      <c r="BJ292" s="144">
        <f t="shared" si="852"/>
        <v>61.77570004431778</v>
      </c>
      <c r="BK292">
        <f t="shared" si="802"/>
        <v>7.0247225584285857</v>
      </c>
      <c r="BL292" s="144">
        <f t="shared" si="853"/>
        <v>6755.0024684213577</v>
      </c>
      <c r="BM292" s="150">
        <f t="shared" si="803"/>
        <v>2.0386239999999995</v>
      </c>
      <c r="BN292" s="150">
        <f t="shared" si="804"/>
        <v>0.30943399999999999</v>
      </c>
      <c r="BQ292" s="144">
        <f t="shared" si="854"/>
        <v>2348.0579999999995</v>
      </c>
      <c r="BR292" s="456">
        <f t="shared" si="855"/>
        <v>0.1994483307295202</v>
      </c>
      <c r="BS292" s="456">
        <f t="shared" si="856"/>
        <v>0.31283401907453168</v>
      </c>
      <c r="BT292" s="456">
        <f t="shared" si="857"/>
        <v>4.5017755764081516E-3</v>
      </c>
      <c r="BU292" s="456">
        <f t="shared" si="858"/>
        <v>43.431903069846413</v>
      </c>
      <c r="BV292" s="456"/>
      <c r="BW292" s="538">
        <f t="shared" si="859"/>
        <v>4.045787234042554</v>
      </c>
      <c r="BX292" s="144">
        <f t="shared" si="860"/>
        <v>47994.47442926943</v>
      </c>
      <c r="BY292" s="150">
        <f t="shared" si="861"/>
        <v>57.097534897690785</v>
      </c>
      <c r="BZ292" s="5">
        <f t="shared" si="862"/>
        <v>95.076000000000008</v>
      </c>
      <c r="CA292" s="150">
        <f t="shared" si="863"/>
        <v>0.62478669542585996</v>
      </c>
      <c r="CB292" s="5">
        <f t="shared" si="864"/>
        <v>62.478669542585997</v>
      </c>
      <c r="CC292">
        <f t="shared" si="865"/>
        <v>76</v>
      </c>
      <c r="CE292" s="59">
        <f t="shared" si="805"/>
        <v>-50</v>
      </c>
      <c r="CG292" s="150">
        <f t="shared" si="806"/>
        <v>0.57739645536378781</v>
      </c>
      <c r="CH292" s="150">
        <f t="shared" si="807"/>
        <v>0.12601248148692057</v>
      </c>
      <c r="CI292" s="147">
        <v>76</v>
      </c>
      <c r="CJ292" s="188">
        <f t="shared" si="866"/>
        <v>3.04</v>
      </c>
      <c r="CK292" s="188">
        <f t="shared" si="808"/>
        <v>0.64600000000000002</v>
      </c>
      <c r="CL292" s="188">
        <f t="shared" si="809"/>
        <v>91.2</v>
      </c>
      <c r="CM292" s="188">
        <f t="shared" si="810"/>
        <v>3.8760000000000003</v>
      </c>
      <c r="CN292" s="465">
        <f t="shared" si="811"/>
        <v>48</v>
      </c>
      <c r="CO292" s="379">
        <f t="shared" si="812"/>
        <v>30.7</v>
      </c>
      <c r="CP292" s="379">
        <f t="shared" si="813"/>
        <v>78.7</v>
      </c>
      <c r="CQ292" s="379"/>
      <c r="CR292" s="188">
        <f t="shared" si="814"/>
        <v>0.38775510204081626</v>
      </c>
      <c r="CS292" s="149">
        <f t="shared" si="815"/>
        <v>270.50715642699197</v>
      </c>
      <c r="CT292" s="149">
        <f t="shared" si="816"/>
        <v>11.496554148147156</v>
      </c>
      <c r="CU292" s="188">
        <f t="shared" si="817"/>
        <v>9.0169052142330663</v>
      </c>
      <c r="CV292" s="188">
        <f t="shared" si="818"/>
        <v>45.084526071165328</v>
      </c>
      <c r="CW292" s="188">
        <f t="shared" si="819"/>
        <v>30</v>
      </c>
      <c r="CX292" s="188">
        <f t="shared" si="820"/>
        <v>10.216500000000003</v>
      </c>
      <c r="CY292" s="188">
        <f t="shared" si="821"/>
        <v>1.0003656250000004</v>
      </c>
      <c r="CZ292" s="188">
        <f t="shared" si="822"/>
        <v>1.5640895765472318</v>
      </c>
      <c r="DA292" s="172">
        <f t="shared" si="823"/>
        <v>350</v>
      </c>
      <c r="DB292" s="379">
        <f t="shared" si="824"/>
        <v>350</v>
      </c>
      <c r="DD292" s="188">
        <f t="shared" si="825"/>
        <v>11.382534575916392</v>
      </c>
      <c r="DE292" s="150">
        <f t="shared" si="826"/>
        <v>1.7426030132510437</v>
      </c>
      <c r="DF292" s="150">
        <f t="shared" si="827"/>
        <v>3.3296564353233258</v>
      </c>
      <c r="DG292" s="150"/>
      <c r="DH292" s="150">
        <f t="shared" si="828"/>
        <v>0.92784522751949461</v>
      </c>
      <c r="DI292" s="314">
        <f t="shared" si="829"/>
        <v>1127.1664378723403</v>
      </c>
      <c r="DJ292" s="456">
        <f t="shared" si="830"/>
        <v>0.94395997276890675</v>
      </c>
      <c r="DL292" s="150">
        <f t="shared" si="831"/>
        <v>10.751461341261679</v>
      </c>
      <c r="DM292" s="150">
        <f t="shared" si="832"/>
        <v>10.751461341261679</v>
      </c>
      <c r="DN292" s="150">
        <f t="shared" si="833"/>
        <v>4.6747076153004583</v>
      </c>
      <c r="DP292" s="314">
        <f t="shared" si="834"/>
        <v>3040</v>
      </c>
      <c r="DQ292" s="144">
        <f t="shared" si="835"/>
        <v>350</v>
      </c>
      <c r="DS292">
        <f t="shared" si="836"/>
        <v>3040</v>
      </c>
      <c r="DT292">
        <f t="shared" si="837"/>
        <v>350</v>
      </c>
      <c r="DV292" s="5">
        <f t="shared" si="867"/>
        <v>2.8571428571428572</v>
      </c>
      <c r="DW292" s="5">
        <f t="shared" si="838"/>
        <v>1.0527472563318727</v>
      </c>
      <c r="DX292" s="5">
        <f t="shared" si="839"/>
        <v>1.8043956008109845</v>
      </c>
      <c r="DY292" s="150">
        <f t="shared" si="840"/>
        <v>0.36846153971615542</v>
      </c>
      <c r="EA292" s="5">
        <f t="shared" si="868"/>
        <v>10.667838864162977</v>
      </c>
      <c r="EB292" s="5">
        <f t="shared" si="869"/>
        <v>11.334578793173161</v>
      </c>
      <c r="EC292" s="5">
        <f t="shared" si="870"/>
        <v>2.0166774362005122</v>
      </c>
      <c r="ED292" s="5"/>
      <c r="EE292" s="150">
        <f t="shared" si="871"/>
        <v>3.7679310902849652</v>
      </c>
      <c r="EF292" s="150">
        <f t="shared" si="872"/>
        <v>4.7318471632403449</v>
      </c>
      <c r="EG292" s="150">
        <f t="shared" si="873"/>
        <v>0.9498273209596676</v>
      </c>
      <c r="EH292" s="150"/>
      <c r="EI292" s="456">
        <f t="shared" si="874"/>
        <v>0.17036765641363255</v>
      </c>
      <c r="EJ292" s="456">
        <f t="shared" si="875"/>
        <v>5.6268310502560066</v>
      </c>
      <c r="EK292" s="456">
        <f t="shared" si="876"/>
        <v>4.0250000000000001E-2</v>
      </c>
      <c r="EL292" s="456">
        <f t="shared" si="877"/>
        <v>1.1218321012500001</v>
      </c>
      <c r="EM292">
        <f t="shared" si="878"/>
        <v>2.1600000000000001E-2</v>
      </c>
      <c r="EN292" s="144">
        <f t="shared" si="879"/>
        <v>61.85</v>
      </c>
      <c r="EP292" s="144">
        <f t="shared" si="880"/>
        <v>6980.8808079196397</v>
      </c>
      <c r="EQ292" s="150">
        <f t="shared" si="881"/>
        <v>2.1279999999999997</v>
      </c>
      <c r="ER292" s="150">
        <f t="shared" si="841"/>
        <v>0.30943399999999999</v>
      </c>
      <c r="ES292" s="456"/>
      <c r="EU292" s="144">
        <f t="shared" si="882"/>
        <v>2437.4339999999997</v>
      </c>
      <c r="EV292" s="456">
        <f t="shared" si="883"/>
        <v>0.19876226581590464</v>
      </c>
      <c r="EW292" s="456">
        <f t="shared" si="884"/>
        <v>0.31346528606771978</v>
      </c>
      <c r="EX292" s="456">
        <f t="shared" si="885"/>
        <v>4.510859698207097E-3</v>
      </c>
      <c r="EY292" s="456">
        <f t="shared" si="886"/>
        <v>43.431903069846413</v>
      </c>
      <c r="EZ292" s="456"/>
      <c r="FA292" s="538">
        <f t="shared" si="887"/>
        <v>4.045787234042554</v>
      </c>
      <c r="FB292" s="144">
        <f t="shared" si="888"/>
        <v>47994.4287154708</v>
      </c>
      <c r="FC292" s="150">
        <f t="shared" si="889"/>
        <v>57.412743523390439</v>
      </c>
      <c r="FD292" s="5">
        <f t="shared" si="890"/>
        <v>95.076000000000008</v>
      </c>
      <c r="FE292" s="150">
        <f t="shared" si="891"/>
        <v>0.62349520235515732</v>
      </c>
      <c r="FF292" s="5">
        <f t="shared" si="892"/>
        <v>62.349520235515733</v>
      </c>
      <c r="FG292">
        <f t="shared" si="893"/>
        <v>76</v>
      </c>
      <c r="FI292" s="59">
        <f t="shared" si="842"/>
        <v>-50</v>
      </c>
    </row>
    <row r="293" spans="5:165">
      <c r="E293" s="147">
        <v>77</v>
      </c>
      <c r="F293" s="188">
        <f t="shared" si="843"/>
        <v>3.08</v>
      </c>
      <c r="G293" s="188">
        <f t="shared" si="772"/>
        <v>0.65449999999999997</v>
      </c>
      <c r="H293" s="188">
        <f t="shared" si="773"/>
        <v>92.4</v>
      </c>
      <c r="I293" s="188">
        <f t="shared" si="774"/>
        <v>3.9269999999999996</v>
      </c>
      <c r="J293" s="465">
        <f t="shared" si="775"/>
        <v>47.833806280607114</v>
      </c>
      <c r="K293" s="379">
        <f t="shared" si="776"/>
        <v>30.821857578471633</v>
      </c>
      <c r="L293" s="149">
        <f t="shared" si="777"/>
        <v>78.655663859078743</v>
      </c>
      <c r="M293" s="379"/>
      <c r="N293" s="188">
        <f t="shared" si="778"/>
        <v>0.39185808200275019</v>
      </c>
      <c r="O293" s="149">
        <f t="shared" si="779"/>
        <v>272.42298646914918</v>
      </c>
      <c r="P293" s="149">
        <f t="shared" si="780"/>
        <v>11.577976924938838</v>
      </c>
      <c r="Q293" s="188">
        <f t="shared" si="781"/>
        <v>9.080766215638306</v>
      </c>
      <c r="R293" s="188">
        <f t="shared" si="782"/>
        <v>45.40383107819153</v>
      </c>
      <c r="S293" s="188">
        <f t="shared" si="783"/>
        <v>30</v>
      </c>
      <c r="T293" s="188">
        <f t="shared" si="784"/>
        <v>10.27813414826171</v>
      </c>
      <c r="U293" s="188">
        <f t="shared" si="785"/>
        <v>1.0098972725157114</v>
      </c>
      <c r="V293" s="188">
        <f t="shared" si="786"/>
        <v>1.5673043188211842</v>
      </c>
      <c r="W293" s="172">
        <f t="shared" si="787"/>
        <v>350</v>
      </c>
      <c r="X293" s="379">
        <f t="shared" si="844"/>
        <v>350</v>
      </c>
      <c r="Z293" s="188">
        <f t="shared" si="788"/>
        <v>11.39456752827344</v>
      </c>
      <c r="AA293" s="150">
        <f t="shared" si="789"/>
        <v>1.7375483371349993</v>
      </c>
      <c r="AB293" s="150">
        <f t="shared" si="790"/>
        <v>3.3235079862798038</v>
      </c>
      <c r="AC293" s="150"/>
      <c r="AD293" s="150">
        <f t="shared" si="791"/>
        <v>0.92417689012827386</v>
      </c>
      <c r="AE293" s="314">
        <f t="shared" si="792"/>
        <v>1146.5305087351082</v>
      </c>
      <c r="AF293" s="456">
        <f t="shared" si="793"/>
        <v>0.94022792397324573</v>
      </c>
      <c r="AH293" s="150">
        <f t="shared" si="794"/>
        <v>10.821963482521149</v>
      </c>
      <c r="AI293" s="150">
        <f t="shared" si="795"/>
        <v>10.821963482521149</v>
      </c>
      <c r="AJ293" s="150">
        <f t="shared" si="796"/>
        <v>4.7269314236408055</v>
      </c>
      <c r="AL293" s="314">
        <f t="shared" si="797"/>
        <v>3080</v>
      </c>
      <c r="AM293" s="144">
        <f t="shared" si="798"/>
        <v>350</v>
      </c>
      <c r="AO293">
        <f t="shared" si="799"/>
        <v>3080</v>
      </c>
      <c r="AP293">
        <f t="shared" si="800"/>
        <v>350</v>
      </c>
      <c r="AR293" s="5">
        <f t="shared" si="771"/>
        <v>2.8571428571428572</v>
      </c>
      <c r="AS293" s="5">
        <f t="shared" si="737"/>
        <v>1.0633322397442262</v>
      </c>
      <c r="AT293" s="5">
        <f t="shared" si="738"/>
        <v>1.793810617398631</v>
      </c>
      <c r="AU293" s="150">
        <f t="shared" si="739"/>
        <v>0.37216628391047918</v>
      </c>
      <c r="BA293" s="150">
        <f t="shared" si="845"/>
        <v>3.8116582020610532</v>
      </c>
      <c r="BB293" s="150">
        <f t="shared" si="846"/>
        <v>4.7488854118714636</v>
      </c>
      <c r="BC293" s="150">
        <f t="shared" si="847"/>
        <v>0.95324742171373722</v>
      </c>
      <c r="BD293" s="150"/>
      <c r="BE293" s="456">
        <f t="shared" si="848"/>
        <v>0.17434485899207161</v>
      </c>
      <c r="BF293" s="456">
        <f t="shared" si="801"/>
        <v>5.4370957116243108</v>
      </c>
      <c r="BG293" s="456">
        <f t="shared" si="849"/>
        <v>4.0250000000000001E-2</v>
      </c>
      <c r="BH293" s="456">
        <f t="shared" si="850"/>
        <v>1.1205684749194809</v>
      </c>
      <c r="BI293">
        <f t="shared" si="851"/>
        <v>2.1525212826273201E-2</v>
      </c>
      <c r="BJ293" s="144">
        <f t="shared" si="852"/>
        <v>61.775212826273197</v>
      </c>
      <c r="BK293">
        <f t="shared" si="802"/>
        <v>7.0720365952448967</v>
      </c>
      <c r="BL293" s="144">
        <f t="shared" si="853"/>
        <v>6793.7842583621377</v>
      </c>
      <c r="BM293" s="150">
        <f t="shared" si="803"/>
        <v>2.0654479999999995</v>
      </c>
      <c r="BN293" s="150">
        <f t="shared" si="804"/>
        <v>0.31350549999999999</v>
      </c>
      <c r="BQ293" s="144">
        <f t="shared" si="854"/>
        <v>2378.9534999999996</v>
      </c>
      <c r="BR293" s="456">
        <f t="shared" si="855"/>
        <v>0.20340233549075021</v>
      </c>
      <c r="BS293" s="456">
        <f t="shared" si="856"/>
        <v>0.3157267771711984</v>
      </c>
      <c r="BT293" s="456">
        <f t="shared" si="857"/>
        <v>4.5434032350194385E-3</v>
      </c>
      <c r="BU293" s="456">
        <f t="shared" si="858"/>
        <v>44.147414640298564</v>
      </c>
      <c r="BV293" s="456"/>
      <c r="BW293" s="538">
        <f t="shared" si="859"/>
        <v>4.099021276595745</v>
      </c>
      <c r="BX293" s="144">
        <f t="shared" si="860"/>
        <v>48770.108432791276</v>
      </c>
      <c r="BY293" s="150">
        <f t="shared" si="861"/>
        <v>57.942846191153414</v>
      </c>
      <c r="BZ293" s="5">
        <f t="shared" si="862"/>
        <v>96.326999999999998</v>
      </c>
      <c r="CA293" s="150">
        <f t="shared" si="863"/>
        <v>0.6244058860384335</v>
      </c>
      <c r="CB293" s="5">
        <f t="shared" si="864"/>
        <v>62.440588603843352</v>
      </c>
      <c r="CC293">
        <f t="shared" si="865"/>
        <v>77</v>
      </c>
      <c r="CE293" s="59">
        <f t="shared" si="805"/>
        <v>-50</v>
      </c>
      <c r="CG293" s="150">
        <f t="shared" si="806"/>
        <v>0.58118270219728096</v>
      </c>
      <c r="CH293" s="150">
        <f t="shared" si="807"/>
        <v>0.12683880169477471</v>
      </c>
      <c r="CI293" s="147">
        <v>77</v>
      </c>
      <c r="CJ293" s="188">
        <f t="shared" si="866"/>
        <v>3.08</v>
      </c>
      <c r="CK293" s="188">
        <f t="shared" si="808"/>
        <v>0.65449999999999997</v>
      </c>
      <c r="CL293" s="188">
        <f t="shared" si="809"/>
        <v>92.4</v>
      </c>
      <c r="CM293" s="188">
        <f t="shared" si="810"/>
        <v>3.9269999999999996</v>
      </c>
      <c r="CN293" s="465">
        <f t="shared" si="811"/>
        <v>48</v>
      </c>
      <c r="CO293" s="379">
        <f t="shared" si="812"/>
        <v>30.7</v>
      </c>
      <c r="CP293" s="379">
        <f t="shared" si="813"/>
        <v>78.7</v>
      </c>
      <c r="CQ293" s="379"/>
      <c r="CR293" s="188">
        <f t="shared" si="814"/>
        <v>0.38775510204081626</v>
      </c>
      <c r="CS293" s="149">
        <f t="shared" si="815"/>
        <v>270.50715642699197</v>
      </c>
      <c r="CT293" s="149">
        <f t="shared" si="816"/>
        <v>11.496554148147156</v>
      </c>
      <c r="CU293" s="188">
        <f t="shared" si="817"/>
        <v>9.0169052142330663</v>
      </c>
      <c r="CV293" s="188">
        <f t="shared" si="818"/>
        <v>45.084526071165328</v>
      </c>
      <c r="CW293" s="188">
        <f t="shared" si="819"/>
        <v>30</v>
      </c>
      <c r="CX293" s="188">
        <f t="shared" si="820"/>
        <v>10.35092763157895</v>
      </c>
      <c r="CY293" s="188">
        <f t="shared" si="821"/>
        <v>1.0135283305921055</v>
      </c>
      <c r="CZ293" s="188">
        <f t="shared" si="822"/>
        <v>1.5846697025544321</v>
      </c>
      <c r="DA293" s="172">
        <f t="shared" si="823"/>
        <v>350</v>
      </c>
      <c r="DB293" s="379">
        <f t="shared" si="824"/>
        <v>350</v>
      </c>
      <c r="DD293" s="188">
        <f t="shared" si="825"/>
        <v>11.382534575916392</v>
      </c>
      <c r="DE293" s="150">
        <f t="shared" si="826"/>
        <v>1.7426030132510437</v>
      </c>
      <c r="DF293" s="150">
        <f t="shared" si="827"/>
        <v>3.3296564353233258</v>
      </c>
      <c r="DG293" s="150"/>
      <c r="DH293" s="150">
        <f t="shared" si="828"/>
        <v>0.92784522751949461</v>
      </c>
      <c r="DI293" s="314">
        <f t="shared" si="829"/>
        <v>1141.9975752127659</v>
      </c>
      <c r="DJ293" s="456">
        <f t="shared" si="830"/>
        <v>0.94395997276890675</v>
      </c>
      <c r="DL293" s="150">
        <f t="shared" si="831"/>
        <v>10.821963482521149</v>
      </c>
      <c r="DM293" s="150">
        <f t="shared" si="832"/>
        <v>10.821963482521149</v>
      </c>
      <c r="DN293" s="150">
        <f t="shared" si="833"/>
        <v>4.7269314236408055</v>
      </c>
      <c r="DP293" s="314">
        <f t="shared" si="834"/>
        <v>3080</v>
      </c>
      <c r="DQ293" s="144">
        <f t="shared" si="835"/>
        <v>350</v>
      </c>
      <c r="DS293">
        <f t="shared" si="836"/>
        <v>3080</v>
      </c>
      <c r="DT293">
        <f t="shared" si="837"/>
        <v>350</v>
      </c>
      <c r="DV293" s="5">
        <f t="shared" si="867"/>
        <v>2.8571428571428572</v>
      </c>
      <c r="DW293" s="5">
        <f t="shared" si="838"/>
        <v>1.0596505909968623</v>
      </c>
      <c r="DX293" s="5">
        <f t="shared" si="839"/>
        <v>1.7974922661459949</v>
      </c>
      <c r="DY293" s="150">
        <f t="shared" si="840"/>
        <v>0.37087770684890181</v>
      </c>
      <c r="EA293" s="5">
        <f t="shared" si="868"/>
        <v>10.879079400901119</v>
      </c>
      <c r="EB293" s="5">
        <f t="shared" si="869"/>
        <v>11.55902186345744</v>
      </c>
      <c r="EC293" s="5">
        <f t="shared" si="870"/>
        <v>2.0353956543123761</v>
      </c>
      <c r="ED293" s="5"/>
      <c r="EE293" s="150">
        <f t="shared" si="871"/>
        <v>3.8050537964893452</v>
      </c>
      <c r="EF293" s="150">
        <f t="shared" si="872"/>
        <v>4.7537562622484151</v>
      </c>
      <c r="EG293" s="150">
        <f t="shared" si="873"/>
        <v>0.95422515125671059</v>
      </c>
      <c r="EH293" s="150"/>
      <c r="EI293" s="456">
        <f t="shared" si="874"/>
        <v>0.17374121273013576</v>
      </c>
      <c r="EJ293" s="456">
        <f t="shared" si="875"/>
        <v>5.6637286983948565</v>
      </c>
      <c r="EK293" s="456">
        <f t="shared" si="876"/>
        <v>4.0250000000000001E-2</v>
      </c>
      <c r="EL293" s="456">
        <f t="shared" si="877"/>
        <v>1.1218321012500001</v>
      </c>
      <c r="EM293">
        <f t="shared" si="878"/>
        <v>2.1600000000000001E-2</v>
      </c>
      <c r="EN293" s="144">
        <f t="shared" si="879"/>
        <v>61.85</v>
      </c>
      <c r="EP293" s="144">
        <f t="shared" si="880"/>
        <v>7021.1520123749924</v>
      </c>
      <c r="EQ293" s="150">
        <f t="shared" si="881"/>
        <v>2.1559999999999997</v>
      </c>
      <c r="ER293" s="150">
        <f t="shared" si="841"/>
        <v>0.31350549999999999</v>
      </c>
      <c r="ES293" s="456"/>
      <c r="EU293" s="144">
        <f t="shared" si="882"/>
        <v>2469.5054999999993</v>
      </c>
      <c r="EV293" s="456">
        <f t="shared" si="883"/>
        <v>0.20269808151849172</v>
      </c>
      <c r="EW293" s="456">
        <f t="shared" si="884"/>
        <v>0.31637478041212436</v>
      </c>
      <c r="EX293" s="456">
        <f t="shared" si="885"/>
        <v>4.552728196454461E-3</v>
      </c>
      <c r="EY293" s="456">
        <f t="shared" si="886"/>
        <v>44.147414640298564</v>
      </c>
      <c r="EZ293" s="456"/>
      <c r="FA293" s="538">
        <f t="shared" si="887"/>
        <v>4.099021276595745</v>
      </c>
      <c r="FB293" s="144">
        <f t="shared" si="888"/>
        <v>48770.061507021375</v>
      </c>
      <c r="FC293" s="150">
        <f t="shared" si="889"/>
        <v>58.260719019396369</v>
      </c>
      <c r="FD293" s="5">
        <f t="shared" si="890"/>
        <v>96.326999999999998</v>
      </c>
      <c r="FE293" s="150">
        <f t="shared" si="891"/>
        <v>0.62312194403951127</v>
      </c>
      <c r="FF293" s="5">
        <f t="shared" si="892"/>
        <v>62.312194403951125</v>
      </c>
      <c r="FG293">
        <f t="shared" si="893"/>
        <v>77</v>
      </c>
      <c r="FI293" s="59">
        <f t="shared" si="842"/>
        <v>-50</v>
      </c>
    </row>
    <row r="294" spans="5:165">
      <c r="E294" s="147">
        <v>78</v>
      </c>
      <c r="F294" s="188">
        <f t="shared" si="843"/>
        <v>3.12</v>
      </c>
      <c r="G294" s="188">
        <f t="shared" si="772"/>
        <v>0.66300000000000003</v>
      </c>
      <c r="H294" s="188">
        <f t="shared" si="773"/>
        <v>93.600000000000009</v>
      </c>
      <c r="I294" s="188">
        <f t="shared" si="774"/>
        <v>3.9780000000000002</v>
      </c>
      <c r="J294" s="465">
        <f t="shared" si="775"/>
        <v>47.832730581873079</v>
      </c>
      <c r="K294" s="379">
        <f t="shared" si="776"/>
        <v>30.822646308896431</v>
      </c>
      <c r="L294" s="149">
        <f t="shared" si="777"/>
        <v>78.655376890769503</v>
      </c>
      <c r="M294" s="379"/>
      <c r="N294" s="188">
        <f t="shared" si="778"/>
        <v>0.39186953934122692</v>
      </c>
      <c r="O294" s="149">
        <f t="shared" si="779"/>
        <v>272.42482520967405</v>
      </c>
      <c r="P294" s="149">
        <f t="shared" si="780"/>
        <v>11.578055071411145</v>
      </c>
      <c r="Q294" s="188">
        <f t="shared" si="781"/>
        <v>9.0808275069891344</v>
      </c>
      <c r="R294" s="188">
        <f t="shared" si="782"/>
        <v>45.404137534945676</v>
      </c>
      <c r="S294" s="188">
        <f t="shared" si="783"/>
        <v>30</v>
      </c>
      <c r="T294" s="188">
        <f t="shared" si="784"/>
        <v>10.411546136372138</v>
      </c>
      <c r="U294" s="188">
        <f t="shared" si="785"/>
        <v>1.0230289227831248</v>
      </c>
      <c r="V294" s="188">
        <f t="shared" si="786"/>
        <v>1.5876075775760048</v>
      </c>
      <c r="W294" s="172">
        <f t="shared" si="787"/>
        <v>350</v>
      </c>
      <c r="X294" s="379">
        <f t="shared" si="844"/>
        <v>350</v>
      </c>
      <c r="Z294" s="188">
        <f t="shared" si="788"/>
        <v>11.394644436809495</v>
      </c>
      <c r="AA294" s="150">
        <f t="shared" si="789"/>
        <v>1.7375156018822089</v>
      </c>
      <c r="AB294" s="150">
        <f t="shared" si="790"/>
        <v>3.3234678035491054</v>
      </c>
      <c r="AC294" s="150"/>
      <c r="AD294" s="150">
        <f t="shared" si="791"/>
        <v>0.92415324107413899</v>
      </c>
      <c r="AE294" s="314">
        <f t="shared" si="792"/>
        <v>1161.4502360587312</v>
      </c>
      <c r="AF294" s="456">
        <f t="shared" si="793"/>
        <v>0.9402038641841397</v>
      </c>
      <c r="AH294" s="150">
        <f t="shared" si="794"/>
        <v>10.892009284856407</v>
      </c>
      <c r="AI294" s="150">
        <f t="shared" si="795"/>
        <v>10.892009284856407</v>
      </c>
      <c r="AJ294" s="150">
        <f t="shared" si="796"/>
        <v>4.7788172031484049</v>
      </c>
      <c r="AL294" s="314">
        <f t="shared" si="797"/>
        <v>3120</v>
      </c>
      <c r="AM294" s="144">
        <f t="shared" si="798"/>
        <v>350</v>
      </c>
      <c r="AO294">
        <f t="shared" si="799"/>
        <v>3120</v>
      </c>
      <c r="AP294">
        <f t="shared" si="800"/>
        <v>350</v>
      </c>
      <c r="AR294" s="5">
        <f t="shared" si="771"/>
        <v>2.8571428571428572</v>
      </c>
      <c r="AS294" s="5">
        <f t="shared" si="737"/>
        <v>1.0702387887139615</v>
      </c>
      <c r="AT294" s="5">
        <f t="shared" si="738"/>
        <v>1.7869040684288957</v>
      </c>
      <c r="AU294" s="150">
        <f t="shared" si="739"/>
        <v>0.37458357604988651</v>
      </c>
      <c r="BA294" s="150">
        <f t="shared" si="845"/>
        <v>3.848768072685536</v>
      </c>
      <c r="BB294" s="150">
        <f t="shared" si="846"/>
        <v>4.7704127036476871</v>
      </c>
      <c r="BC294" s="150">
        <f t="shared" si="847"/>
        <v>0.95756861155143369</v>
      </c>
      <c r="BD294" s="150"/>
      <c r="BE294" s="456">
        <f t="shared" si="848"/>
        <v>0.17775618812788244</v>
      </c>
      <c r="BF294" s="456">
        <f t="shared" si="801"/>
        <v>5.4722676718556293</v>
      </c>
      <c r="BG294" s="456">
        <f t="shared" si="849"/>
        <v>4.0250000000000001E-2</v>
      </c>
      <c r="BH294" s="456">
        <f t="shared" si="850"/>
        <v>1.1205602983422771</v>
      </c>
      <c r="BI294">
        <f t="shared" si="851"/>
        <v>2.1524728761842884E-2</v>
      </c>
      <c r="BJ294" s="144">
        <f t="shared" si="852"/>
        <v>61.77472876184288</v>
      </c>
      <c r="BK294">
        <f t="shared" si="802"/>
        <v>7.1192593232646626</v>
      </c>
      <c r="BL294" s="144">
        <f t="shared" si="853"/>
        <v>6832.3588870876329</v>
      </c>
      <c r="BM294" s="150">
        <f t="shared" si="803"/>
        <v>2.0922719999999995</v>
      </c>
      <c r="BN294" s="150">
        <f t="shared" si="804"/>
        <v>0.317577</v>
      </c>
      <c r="BQ294" s="144">
        <f t="shared" si="854"/>
        <v>2409.8489999999993</v>
      </c>
      <c r="BR294" s="456">
        <f t="shared" si="855"/>
        <v>0.2073822194825295</v>
      </c>
      <c r="BS294" s="456">
        <f t="shared" si="856"/>
        <v>0.3185957230837253</v>
      </c>
      <c r="BT294" s="456">
        <f t="shared" si="857"/>
        <v>4.584688229142703E-3</v>
      </c>
      <c r="BU294" s="456">
        <f t="shared" si="858"/>
        <v>44.865253132928544</v>
      </c>
      <c r="BV294" s="456"/>
      <c r="BW294" s="538">
        <f t="shared" si="859"/>
        <v>4.152255319148936</v>
      </c>
      <c r="BX294" s="144">
        <f t="shared" si="860"/>
        <v>49548.07108287287</v>
      </c>
      <c r="BY294" s="150">
        <f t="shared" si="861"/>
        <v>58.790278969960511</v>
      </c>
      <c r="BZ294" s="5">
        <f t="shared" si="862"/>
        <v>97.578000000000003</v>
      </c>
      <c r="CA294" s="150">
        <f t="shared" si="863"/>
        <v>0.62402682080260952</v>
      </c>
      <c r="CB294" s="5">
        <f t="shared" si="864"/>
        <v>62.402682080260952</v>
      </c>
      <c r="CC294">
        <f t="shared" si="865"/>
        <v>78</v>
      </c>
      <c r="CE294" s="59">
        <f t="shared" si="805"/>
        <v>-50</v>
      </c>
      <c r="CG294" s="150">
        <f t="shared" si="806"/>
        <v>0.5849444418062284</v>
      </c>
      <c r="CH294" s="150">
        <f t="shared" si="807"/>
        <v>0.12765977338316592</v>
      </c>
      <c r="CI294" s="147">
        <v>78</v>
      </c>
      <c r="CJ294" s="188">
        <f t="shared" si="866"/>
        <v>3.12</v>
      </c>
      <c r="CK294" s="188">
        <f t="shared" si="808"/>
        <v>0.66300000000000003</v>
      </c>
      <c r="CL294" s="188">
        <f t="shared" si="809"/>
        <v>93.600000000000009</v>
      </c>
      <c r="CM294" s="188">
        <f t="shared" si="810"/>
        <v>3.9780000000000002</v>
      </c>
      <c r="CN294" s="465">
        <f t="shared" si="811"/>
        <v>48</v>
      </c>
      <c r="CO294" s="379">
        <f t="shared" si="812"/>
        <v>30.7</v>
      </c>
      <c r="CP294" s="379">
        <f t="shared" si="813"/>
        <v>78.7</v>
      </c>
      <c r="CQ294" s="379"/>
      <c r="CR294" s="188">
        <f t="shared" si="814"/>
        <v>0.38775510204081626</v>
      </c>
      <c r="CS294" s="149">
        <f t="shared" si="815"/>
        <v>270.50715642699197</v>
      </c>
      <c r="CT294" s="149">
        <f t="shared" si="816"/>
        <v>11.496554148147156</v>
      </c>
      <c r="CU294" s="188">
        <f t="shared" si="817"/>
        <v>9.0169052142330663</v>
      </c>
      <c r="CV294" s="188">
        <f t="shared" si="818"/>
        <v>45.084526071165328</v>
      </c>
      <c r="CW294" s="188">
        <f t="shared" si="819"/>
        <v>30</v>
      </c>
      <c r="CX294" s="188">
        <f t="shared" si="820"/>
        <v>10.485355263157897</v>
      </c>
      <c r="CY294" s="188">
        <f t="shared" si="821"/>
        <v>1.0266910361842108</v>
      </c>
      <c r="CZ294" s="188">
        <f t="shared" si="822"/>
        <v>1.6052498285616326</v>
      </c>
      <c r="DA294" s="172">
        <f t="shared" si="823"/>
        <v>350</v>
      </c>
      <c r="DB294" s="379">
        <f t="shared" si="824"/>
        <v>350</v>
      </c>
      <c r="DD294" s="188">
        <f t="shared" si="825"/>
        <v>11.382534575916392</v>
      </c>
      <c r="DE294" s="150">
        <f t="shared" si="826"/>
        <v>1.7426030132510437</v>
      </c>
      <c r="DF294" s="150">
        <f t="shared" si="827"/>
        <v>3.3296564353233258</v>
      </c>
      <c r="DG294" s="150"/>
      <c r="DH294" s="150">
        <f t="shared" si="828"/>
        <v>0.92784522751949461</v>
      </c>
      <c r="DI294" s="314">
        <f t="shared" si="829"/>
        <v>1156.8287125531913</v>
      </c>
      <c r="DJ294" s="456">
        <f t="shared" si="830"/>
        <v>0.94395997276890675</v>
      </c>
      <c r="DL294" s="150">
        <f t="shared" si="831"/>
        <v>10.892009284856407</v>
      </c>
      <c r="DM294" s="150">
        <f t="shared" si="832"/>
        <v>10.892009284856407</v>
      </c>
      <c r="DN294" s="150">
        <f t="shared" si="833"/>
        <v>4.7788172031484049</v>
      </c>
      <c r="DP294" s="314">
        <f t="shared" si="834"/>
        <v>3120</v>
      </c>
      <c r="DQ294" s="144">
        <f t="shared" si="835"/>
        <v>350</v>
      </c>
      <c r="DS294">
        <f t="shared" si="836"/>
        <v>3120</v>
      </c>
      <c r="DT294">
        <f t="shared" si="837"/>
        <v>350</v>
      </c>
      <c r="DV294" s="5">
        <f t="shared" si="867"/>
        <v>2.8571428571428572</v>
      </c>
      <c r="DW294" s="5">
        <f t="shared" si="838"/>
        <v>1.0665092424755231</v>
      </c>
      <c r="DX294" s="5">
        <f t="shared" si="839"/>
        <v>1.7906336146673341</v>
      </c>
      <c r="DY294" s="150">
        <f t="shared" si="840"/>
        <v>0.37327823486643308</v>
      </c>
      <c r="EA294" s="5">
        <f t="shared" si="868"/>
        <v>11.091696121745441</v>
      </c>
      <c r="EB294" s="5">
        <f t="shared" si="869"/>
        <v>11.78492712935453</v>
      </c>
      <c r="EC294" s="5">
        <f t="shared" si="870"/>
        <v>2.0539620874125299</v>
      </c>
      <c r="ED294" s="5"/>
      <c r="EE294" s="150">
        <f t="shared" si="871"/>
        <v>3.8420561660784767</v>
      </c>
      <c r="EF294" s="150">
        <f t="shared" si="872"/>
        <v>4.7753884047364101</v>
      </c>
      <c r="EG294" s="150">
        <f t="shared" si="873"/>
        <v>0.95856738785843543</v>
      </c>
      <c r="EH294" s="150"/>
      <c r="EI294" s="456">
        <f t="shared" si="874"/>
        <v>0.17713674699961973</v>
      </c>
      <c r="EJ294" s="456">
        <f t="shared" si="875"/>
        <v>5.7003875192760249</v>
      </c>
      <c r="EK294" s="456">
        <f t="shared" si="876"/>
        <v>4.0250000000000001E-2</v>
      </c>
      <c r="EL294" s="456">
        <f t="shared" si="877"/>
        <v>1.1218321012500001</v>
      </c>
      <c r="EM294">
        <f t="shared" si="878"/>
        <v>2.1600000000000001E-2</v>
      </c>
      <c r="EN294" s="144">
        <f t="shared" si="879"/>
        <v>61.85</v>
      </c>
      <c r="EP294" s="144">
        <f t="shared" si="880"/>
        <v>7061.206367525645</v>
      </c>
      <c r="EQ294" s="150">
        <f t="shared" si="881"/>
        <v>2.1839999999999997</v>
      </c>
      <c r="ER294" s="150">
        <f t="shared" si="841"/>
        <v>0.317577</v>
      </c>
      <c r="ES294" s="456"/>
      <c r="EU294" s="144">
        <f t="shared" si="882"/>
        <v>2501.5769999999998</v>
      </c>
      <c r="EV294" s="456">
        <f t="shared" si="883"/>
        <v>0.20665953816622301</v>
      </c>
      <c r="EW294" s="456">
        <f t="shared" si="884"/>
        <v>0.3192606818252734</v>
      </c>
      <c r="EX294" s="456">
        <f t="shared" si="885"/>
        <v>4.5942571853287211E-3</v>
      </c>
      <c r="EY294" s="456">
        <f t="shared" si="886"/>
        <v>44.865253132928544</v>
      </c>
      <c r="EZ294" s="456"/>
      <c r="FA294" s="538">
        <f t="shared" si="887"/>
        <v>4.152255319148936</v>
      </c>
      <c r="FB294" s="144">
        <f t="shared" si="888"/>
        <v>49548.022929254301</v>
      </c>
      <c r="FC294" s="150">
        <f t="shared" si="889"/>
        <v>59.110806296779948</v>
      </c>
      <c r="FD294" s="5">
        <f t="shared" si="890"/>
        <v>97.578000000000003</v>
      </c>
      <c r="FE294" s="150">
        <f t="shared" si="891"/>
        <v>0.62275029280126248</v>
      </c>
      <c r="FF294" s="5">
        <f t="shared" si="892"/>
        <v>62.275029280126247</v>
      </c>
      <c r="FG294">
        <f t="shared" si="893"/>
        <v>78</v>
      </c>
      <c r="FI294" s="59">
        <f t="shared" si="842"/>
        <v>-50</v>
      </c>
    </row>
    <row r="295" spans="5:165">
      <c r="E295" s="147">
        <v>79</v>
      </c>
      <c r="F295" s="188">
        <f t="shared" si="843"/>
        <v>3.16</v>
      </c>
      <c r="G295" s="188">
        <f t="shared" si="772"/>
        <v>0.67149999999999999</v>
      </c>
      <c r="H295" s="188">
        <f t="shared" si="773"/>
        <v>94.800000000000011</v>
      </c>
      <c r="I295" s="188">
        <f t="shared" si="774"/>
        <v>4.0289999999999999</v>
      </c>
      <c r="J295" s="465">
        <f t="shared" si="775"/>
        <v>47.831661756824545</v>
      </c>
      <c r="K295" s="379">
        <f t="shared" si="776"/>
        <v>30.823429999355369</v>
      </c>
      <c r="L295" s="149">
        <f t="shared" si="777"/>
        <v>78.655091756179914</v>
      </c>
      <c r="M295" s="379"/>
      <c r="N295" s="188">
        <f t="shared" si="778"/>
        <v>0.39188092355042708</v>
      </c>
      <c r="O295" s="149">
        <f t="shared" si="779"/>
        <v>272.42665190343791</v>
      </c>
      <c r="P295" s="149">
        <f t="shared" si="780"/>
        <v>11.57813270589611</v>
      </c>
      <c r="Q295" s="188">
        <f t="shared" si="781"/>
        <v>9.0808883967812637</v>
      </c>
      <c r="R295" s="188">
        <f t="shared" si="782"/>
        <v>45.404441983906317</v>
      </c>
      <c r="S295" s="188">
        <f t="shared" si="783"/>
        <v>30</v>
      </c>
      <c r="T295" s="188">
        <f t="shared" si="784"/>
        <v>10.544956789857389</v>
      </c>
      <c r="U295" s="188">
        <f t="shared" si="785"/>
        <v>1.036160883648547</v>
      </c>
      <c r="V295" s="188">
        <f t="shared" si="786"/>
        <v>1.6079098566696255</v>
      </c>
      <c r="W295" s="172">
        <f t="shared" si="787"/>
        <v>350</v>
      </c>
      <c r="X295" s="379">
        <f t="shared" si="844"/>
        <v>350</v>
      </c>
      <c r="Z295" s="188">
        <f t="shared" si="788"/>
        <v>11.394720841468722</v>
      </c>
      <c r="AA295" s="150">
        <f t="shared" si="789"/>
        <v>1.7374830755702082</v>
      </c>
      <c r="AB295" s="150">
        <f t="shared" si="790"/>
        <v>3.3234278726689017</v>
      </c>
      <c r="AC295" s="150"/>
      <c r="AD295" s="150">
        <f t="shared" si="791"/>
        <v>0.92412974433553319</v>
      </c>
      <c r="AE295" s="314">
        <f t="shared" si="792"/>
        <v>1176.3705331026429</v>
      </c>
      <c r="AF295" s="456">
        <f t="shared" si="793"/>
        <v>0.94017995935596732</v>
      </c>
      <c r="AH295" s="150">
        <f t="shared" si="794"/>
        <v>10.961607496429302</v>
      </c>
      <c r="AI295" s="150">
        <f t="shared" si="795"/>
        <v>10.961607496429302</v>
      </c>
      <c r="AJ295" s="150">
        <f t="shared" si="796"/>
        <v>4.8303714339431414</v>
      </c>
      <c r="AL295" s="314">
        <f t="shared" si="797"/>
        <v>3160</v>
      </c>
      <c r="AM295" s="144">
        <f t="shared" si="798"/>
        <v>350</v>
      </c>
      <c r="AO295">
        <f t="shared" si="799"/>
        <v>3160</v>
      </c>
      <c r="AP295">
        <f t="shared" si="800"/>
        <v>350</v>
      </c>
      <c r="AR295" s="5">
        <f t="shared" si="771"/>
        <v>2.8571428571428572</v>
      </c>
      <c r="AS295" s="5">
        <f t="shared" si="737"/>
        <v>1.0771015126997336</v>
      </c>
      <c r="AT295" s="5">
        <f t="shared" si="738"/>
        <v>1.7800413444431236</v>
      </c>
      <c r="AU295" s="150">
        <f t="shared" si="739"/>
        <v>0.37698552944490676</v>
      </c>
      <c r="BA295" s="150">
        <f t="shared" si="845"/>
        <v>3.8857598798398918</v>
      </c>
      <c r="BB295" s="150">
        <f t="shared" si="846"/>
        <v>4.7916669373116392</v>
      </c>
      <c r="BC295" s="150">
        <f t="shared" si="847"/>
        <v>0.96183499022420915</v>
      </c>
      <c r="BD295" s="150"/>
      <c r="BE295" s="456">
        <f t="shared" si="848"/>
        <v>0.18118955812527995</v>
      </c>
      <c r="BF295" s="456">
        <f t="shared" si="801"/>
        <v>5.5072146298891722</v>
      </c>
      <c r="BG295" s="456">
        <f t="shared" si="849"/>
        <v>4.0250000000000001E-2</v>
      </c>
      <c r="BH295" s="456">
        <f t="shared" si="850"/>
        <v>1.1205521740427244</v>
      </c>
      <c r="BI295">
        <f t="shared" si="851"/>
        <v>2.1524247790571046E-2</v>
      </c>
      <c r="BJ295" s="144">
        <f t="shared" si="852"/>
        <v>61.774247790571046</v>
      </c>
      <c r="BK295">
        <f t="shared" si="802"/>
        <v>7.166395446108381</v>
      </c>
      <c r="BL295" s="144">
        <f t="shared" si="853"/>
        <v>6870.7306098477475</v>
      </c>
      <c r="BM295" s="150">
        <f t="shared" si="803"/>
        <v>2.1190959999999999</v>
      </c>
      <c r="BN295" s="150">
        <f t="shared" si="804"/>
        <v>0.3216485</v>
      </c>
      <c r="BQ295" s="144">
        <f t="shared" si="854"/>
        <v>2440.7445000000002</v>
      </c>
      <c r="BR295" s="456">
        <f t="shared" si="855"/>
        <v>0.21138781781282662</v>
      </c>
      <c r="BS295" s="456">
        <f t="shared" si="856"/>
        <v>0.32144100853375707</v>
      </c>
      <c r="BT295" s="456">
        <f t="shared" si="857"/>
        <v>4.625632742098023E-3</v>
      </c>
      <c r="BU295" s="456">
        <f t="shared" si="858"/>
        <v>45.585396136352358</v>
      </c>
      <c r="BV295" s="456"/>
      <c r="BW295" s="538">
        <f t="shared" si="859"/>
        <v>4.2054893617021278</v>
      </c>
      <c r="BX295" s="144">
        <f t="shared" si="860"/>
        <v>50328.339957143166</v>
      </c>
      <c r="BY295" s="150">
        <f t="shared" si="861"/>
        <v>59.639815066990913</v>
      </c>
      <c r="BZ295" s="5">
        <f t="shared" si="862"/>
        <v>98.829000000000008</v>
      </c>
      <c r="CA295" s="150">
        <f t="shared" si="863"/>
        <v>0.62364951715087391</v>
      </c>
      <c r="CB295" s="5">
        <f t="shared" si="864"/>
        <v>62.364951715087393</v>
      </c>
      <c r="CC295">
        <f t="shared" si="865"/>
        <v>79</v>
      </c>
      <c r="CE295" s="59">
        <f t="shared" si="805"/>
        <v>-50</v>
      </c>
      <c r="CG295" s="150">
        <f t="shared" si="806"/>
        <v>0.588682144001894</v>
      </c>
      <c r="CH295" s="150">
        <f t="shared" si="807"/>
        <v>0.12847549908490788</v>
      </c>
      <c r="CI295" s="147">
        <v>79</v>
      </c>
      <c r="CJ295" s="188">
        <f t="shared" si="866"/>
        <v>3.16</v>
      </c>
      <c r="CK295" s="188">
        <f t="shared" si="808"/>
        <v>0.67149999999999999</v>
      </c>
      <c r="CL295" s="188">
        <f t="shared" si="809"/>
        <v>94.800000000000011</v>
      </c>
      <c r="CM295" s="188">
        <f t="shared" si="810"/>
        <v>4.0289999999999999</v>
      </c>
      <c r="CN295" s="465">
        <f t="shared" si="811"/>
        <v>48</v>
      </c>
      <c r="CO295" s="379">
        <f t="shared" si="812"/>
        <v>30.7</v>
      </c>
      <c r="CP295" s="379">
        <f t="shared" si="813"/>
        <v>78.7</v>
      </c>
      <c r="CQ295" s="379"/>
      <c r="CR295" s="188">
        <f t="shared" si="814"/>
        <v>0.38775510204081626</v>
      </c>
      <c r="CS295" s="149">
        <f t="shared" si="815"/>
        <v>270.50715642699197</v>
      </c>
      <c r="CT295" s="149">
        <f t="shared" si="816"/>
        <v>11.496554148147156</v>
      </c>
      <c r="CU295" s="188">
        <f t="shared" si="817"/>
        <v>9.0169052142330663</v>
      </c>
      <c r="CV295" s="188">
        <f t="shared" si="818"/>
        <v>45.084526071165328</v>
      </c>
      <c r="CW295" s="188">
        <f t="shared" si="819"/>
        <v>30</v>
      </c>
      <c r="CX295" s="188">
        <f t="shared" si="820"/>
        <v>10.619782894736845</v>
      </c>
      <c r="CY295" s="188">
        <f t="shared" si="821"/>
        <v>1.0398537417763161</v>
      </c>
      <c r="CZ295" s="188">
        <f t="shared" si="822"/>
        <v>1.6258299545688331</v>
      </c>
      <c r="DA295" s="172">
        <f t="shared" si="823"/>
        <v>350</v>
      </c>
      <c r="DB295" s="379">
        <f t="shared" si="824"/>
        <v>350</v>
      </c>
      <c r="DD295" s="188">
        <f t="shared" si="825"/>
        <v>11.382534575916392</v>
      </c>
      <c r="DE295" s="150">
        <f t="shared" si="826"/>
        <v>1.7426030132510437</v>
      </c>
      <c r="DF295" s="150">
        <f t="shared" si="827"/>
        <v>3.3296564353233258</v>
      </c>
      <c r="DG295" s="150"/>
      <c r="DH295" s="150">
        <f t="shared" si="828"/>
        <v>0.92784522751949461</v>
      </c>
      <c r="DI295" s="314">
        <f t="shared" si="829"/>
        <v>1171.6598498936173</v>
      </c>
      <c r="DJ295" s="456">
        <f t="shared" si="830"/>
        <v>0.94395997276890675</v>
      </c>
      <c r="DL295" s="150">
        <f t="shared" si="831"/>
        <v>10.961607496429302</v>
      </c>
      <c r="DM295" s="150">
        <f t="shared" si="832"/>
        <v>10.961607496429302</v>
      </c>
      <c r="DN295" s="150">
        <f t="shared" si="833"/>
        <v>4.8303714339431414</v>
      </c>
      <c r="DP295" s="314">
        <f t="shared" si="834"/>
        <v>3160</v>
      </c>
      <c r="DQ295" s="144">
        <f t="shared" si="835"/>
        <v>350</v>
      </c>
      <c r="DS295">
        <f t="shared" si="836"/>
        <v>3160</v>
      </c>
      <c r="DT295">
        <f t="shared" si="837"/>
        <v>350</v>
      </c>
      <c r="DV295" s="5">
        <f t="shared" si="867"/>
        <v>2.8571428571428572</v>
      </c>
      <c r="DW295" s="5">
        <f t="shared" si="838"/>
        <v>1.0733240673587026</v>
      </c>
      <c r="DX295" s="5">
        <f t="shared" si="839"/>
        <v>1.7838187897841546</v>
      </c>
      <c r="DY295" s="150">
        <f t="shared" si="840"/>
        <v>0.37566342357554589</v>
      </c>
      <c r="EA295" s="5">
        <f t="shared" si="868"/>
        <v>11.305680176178335</v>
      </c>
      <c r="EB295" s="5">
        <f t="shared" si="869"/>
        <v>12.012285187189478</v>
      </c>
      <c r="EC295" s="5">
        <f t="shared" si="870"/>
        <v>2.0723777116610034</v>
      </c>
      <c r="ED295" s="5"/>
      <c r="EE295" s="150">
        <f t="shared" si="871"/>
        <v>3.8789401245425621</v>
      </c>
      <c r="EF295" s="150">
        <f t="shared" si="872"/>
        <v>4.7967484674372853</v>
      </c>
      <c r="EG295" s="150">
        <f t="shared" si="873"/>
        <v>0.96285500967519966</v>
      </c>
      <c r="EH295" s="150"/>
      <c r="EI295" s="456">
        <f t="shared" si="874"/>
        <v>0.18055411787743522</v>
      </c>
      <c r="EJ295" s="456">
        <f t="shared" si="875"/>
        <v>5.736812091293757</v>
      </c>
      <c r="EK295" s="456">
        <f t="shared" si="876"/>
        <v>4.0250000000000001E-2</v>
      </c>
      <c r="EL295" s="456">
        <f t="shared" si="877"/>
        <v>1.1218321012500001</v>
      </c>
      <c r="EM295">
        <f t="shared" si="878"/>
        <v>2.1600000000000001E-2</v>
      </c>
      <c r="EN295" s="144">
        <f t="shared" si="879"/>
        <v>61.85</v>
      </c>
      <c r="EP295" s="144">
        <f t="shared" si="880"/>
        <v>7101.0483104211926</v>
      </c>
      <c r="EQ295" s="150">
        <f t="shared" si="881"/>
        <v>2.2119999999999997</v>
      </c>
      <c r="ER295" s="150">
        <f t="shared" si="841"/>
        <v>0.3216485</v>
      </c>
      <c r="ES295" s="456"/>
      <c r="EU295" s="144">
        <f t="shared" si="882"/>
        <v>2533.6484999999998</v>
      </c>
      <c r="EV295" s="456">
        <f t="shared" si="883"/>
        <v>0.21064647085700774</v>
      </c>
      <c r="EW295" s="456">
        <f t="shared" si="884"/>
        <v>0.32212314203806724</v>
      </c>
      <c r="EX295" s="456">
        <f t="shared" si="885"/>
        <v>4.6354488482831446E-3</v>
      </c>
      <c r="EY295" s="456">
        <f t="shared" si="886"/>
        <v>45.585396136352358</v>
      </c>
      <c r="EZ295" s="456"/>
      <c r="FA295" s="538">
        <f t="shared" si="887"/>
        <v>4.2054893617021278</v>
      </c>
      <c r="FB295" s="144">
        <f t="shared" si="888"/>
        <v>50328.290559797846</v>
      </c>
      <c r="FC295" s="150">
        <f t="shared" si="889"/>
        <v>59.962987370219032</v>
      </c>
      <c r="FD295" s="5">
        <f t="shared" si="890"/>
        <v>98.829000000000008</v>
      </c>
      <c r="FE295" s="150">
        <f t="shared" si="891"/>
        <v>0.62238027016805941</v>
      </c>
      <c r="FF295" s="5">
        <f t="shared" si="892"/>
        <v>62.238027016805944</v>
      </c>
      <c r="FG295">
        <f t="shared" si="893"/>
        <v>79</v>
      </c>
      <c r="FI295" s="59">
        <f t="shared" si="842"/>
        <v>-50</v>
      </c>
    </row>
    <row r="296" spans="5:165">
      <c r="E296" s="147">
        <v>80</v>
      </c>
      <c r="F296" s="188">
        <f t="shared" si="843"/>
        <v>3.2</v>
      </c>
      <c r="G296" s="188">
        <f t="shared" si="772"/>
        <v>0.68</v>
      </c>
      <c r="H296" s="188">
        <f t="shared" si="773"/>
        <v>96</v>
      </c>
      <c r="I296" s="188">
        <f t="shared" si="774"/>
        <v>4.08</v>
      </c>
      <c r="J296" s="465">
        <f t="shared" si="775"/>
        <v>47.830599675353689</v>
      </c>
      <c r="K296" s="379">
        <f t="shared" si="776"/>
        <v>30.824208745246917</v>
      </c>
      <c r="L296" s="149">
        <f t="shared" si="777"/>
        <v>78.654808420600602</v>
      </c>
      <c r="M296" s="379"/>
      <c r="N296" s="188">
        <f t="shared" si="778"/>
        <v>0.39189223601457152</v>
      </c>
      <c r="O296" s="149">
        <f t="shared" si="779"/>
        <v>272.42846677846376</v>
      </c>
      <c r="P296" s="149">
        <f t="shared" si="780"/>
        <v>11.578209838084707</v>
      </c>
      <c r="Q296" s="188">
        <f t="shared" si="781"/>
        <v>9.0809488926154582</v>
      </c>
      <c r="R296" s="188">
        <f t="shared" si="782"/>
        <v>45.404744463077293</v>
      </c>
      <c r="S296" s="188">
        <f t="shared" si="783"/>
        <v>30</v>
      </c>
      <c r="T296" s="188">
        <f t="shared" si="784"/>
        <v>10.678366117504728</v>
      </c>
      <c r="U296" s="188">
        <f t="shared" si="785"/>
        <v>1.0492931531889913</v>
      </c>
      <c r="V296" s="188">
        <f t="shared" si="786"/>
        <v>1.6282111624361242</v>
      </c>
      <c r="W296" s="172">
        <f t="shared" si="787"/>
        <v>350</v>
      </c>
      <c r="X296" s="379">
        <f t="shared" si="844"/>
        <v>347.52337105800581</v>
      </c>
      <c r="Z296" s="188">
        <f t="shared" si="788"/>
        <v>11.394796751788569</v>
      </c>
      <c r="AA296" s="150">
        <f t="shared" si="789"/>
        <v>1.7374507542440814</v>
      </c>
      <c r="AB296" s="150">
        <f t="shared" si="790"/>
        <v>3.3233881888722157</v>
      </c>
      <c r="AC296" s="150"/>
      <c r="AD296" s="150">
        <f t="shared" si="791"/>
        <v>0.92410639702927777</v>
      </c>
      <c r="AE296" s="314">
        <f t="shared" si="792"/>
        <v>1191.2913962493885</v>
      </c>
      <c r="AF296" s="456">
        <f t="shared" si="793"/>
        <v>0.94015620655547483</v>
      </c>
      <c r="AH296" s="150">
        <f t="shared" si="794"/>
        <v>11.030766589414897</v>
      </c>
      <c r="AI296" s="150">
        <f t="shared" si="795"/>
        <v>11.030766589414897</v>
      </c>
      <c r="AJ296" s="150">
        <f t="shared" si="796"/>
        <v>4.8816003917102497</v>
      </c>
      <c r="AL296" s="314">
        <f t="shared" si="797"/>
        <v>3200</v>
      </c>
      <c r="AM296" s="144">
        <f t="shared" si="798"/>
        <v>347.52337105800581</v>
      </c>
      <c r="AO296">
        <f t="shared" si="799"/>
        <v>3200</v>
      </c>
      <c r="AP296">
        <f t="shared" si="800"/>
        <v>347.52337105800581</v>
      </c>
      <c r="AR296" s="5">
        <f t="shared" si="771"/>
        <v>2.8775043156251154</v>
      </c>
      <c r="AS296" s="5">
        <f t="shared" si="737"/>
        <v>1.0839212412585468</v>
      </c>
      <c r="AT296" s="5">
        <f t="shared" si="738"/>
        <v>1.7935830743665686</v>
      </c>
      <c r="AU296" s="150">
        <f t="shared" si="739"/>
        <v>0.37668796372354818</v>
      </c>
      <c r="BA296" s="150">
        <f t="shared" si="845"/>
        <v>3.9087324059156048</v>
      </c>
      <c r="BB296" s="150">
        <f t="shared" si="846"/>
        <v>4.8230499604886337</v>
      </c>
      <c r="BC296" s="150">
        <f t="shared" si="847"/>
        <v>0.96813452860731453</v>
      </c>
      <c r="BD296" s="150"/>
      <c r="BE296" s="456">
        <f t="shared" si="848"/>
        <v>0.1833382682526575</v>
      </c>
      <c r="BF296" s="456">
        <f t="shared" si="801"/>
        <v>5.502725612967879</v>
      </c>
      <c r="BG296" s="456">
        <f t="shared" si="849"/>
        <v>3.996518767167067E-2</v>
      </c>
      <c r="BH296" s="456">
        <f t="shared" si="850"/>
        <v>1.1126150383130191</v>
      </c>
      <c r="BI296">
        <f t="shared" si="851"/>
        <v>2.152376985390916E-2</v>
      </c>
      <c r="BJ296" s="144">
        <f t="shared" si="852"/>
        <v>61.488957525579828</v>
      </c>
      <c r="BK296">
        <f t="shared" si="802"/>
        <v>7.1600818111135176</v>
      </c>
      <c r="BL296" s="144">
        <f t="shared" si="853"/>
        <v>6860.1678770591352</v>
      </c>
      <c r="BM296" s="150">
        <f t="shared" si="803"/>
        <v>2.1459199999999998</v>
      </c>
      <c r="BN296" s="150">
        <f t="shared" si="804"/>
        <v>0.32572000000000001</v>
      </c>
      <c r="BQ296" s="144">
        <f t="shared" si="854"/>
        <v>2471.64</v>
      </c>
      <c r="BR296" s="456">
        <f t="shared" si="855"/>
        <v>0.21389464629476709</v>
      </c>
      <c r="BS296" s="456">
        <f t="shared" si="856"/>
        <v>0.32566535289917176</v>
      </c>
      <c r="BT296" s="456">
        <f t="shared" si="857"/>
        <v>4.6864223274085352E-3</v>
      </c>
      <c r="BU296" s="456">
        <f t="shared" si="858"/>
        <v>45.492969183375308</v>
      </c>
      <c r="BV296" s="456"/>
      <c r="BW296" s="538">
        <f t="shared" si="859"/>
        <v>4.2285883252869567</v>
      </c>
      <c r="BX296" s="144">
        <f t="shared" si="860"/>
        <v>50265.803930183618</v>
      </c>
      <c r="BY296" s="150">
        <f t="shared" si="861"/>
        <v>59.59761180724275</v>
      </c>
      <c r="BZ296" s="5">
        <f t="shared" si="862"/>
        <v>100.08</v>
      </c>
      <c r="CA296" s="150">
        <f t="shared" si="863"/>
        <v>0.62676288095298593</v>
      </c>
      <c r="CB296" s="5">
        <f t="shared" si="864"/>
        <v>62.676288095298595</v>
      </c>
      <c r="CC296">
        <f t="shared" si="865"/>
        <v>80</v>
      </c>
      <c r="CE296" s="59">
        <f t="shared" si="805"/>
        <v>-50</v>
      </c>
      <c r="CG296" s="150">
        <f t="shared" si="806"/>
        <v>0.59239626377394827</v>
      </c>
      <c r="CH296" s="150">
        <f t="shared" si="807"/>
        <v>0.12928607809811177</v>
      </c>
      <c r="CI296" s="147">
        <v>80</v>
      </c>
      <c r="CJ296" s="188">
        <f t="shared" si="866"/>
        <v>3.2</v>
      </c>
      <c r="CK296" s="188">
        <f t="shared" si="808"/>
        <v>0.68</v>
      </c>
      <c r="CL296" s="188">
        <f t="shared" si="809"/>
        <v>96</v>
      </c>
      <c r="CM296" s="188">
        <f t="shared" si="810"/>
        <v>4.08</v>
      </c>
      <c r="CN296" s="465">
        <f t="shared" si="811"/>
        <v>48</v>
      </c>
      <c r="CO296" s="379">
        <f t="shared" si="812"/>
        <v>30.7</v>
      </c>
      <c r="CP296" s="379">
        <f t="shared" si="813"/>
        <v>78.7</v>
      </c>
      <c r="CQ296" s="379"/>
      <c r="CR296" s="188">
        <f t="shared" si="814"/>
        <v>0.38775510204081626</v>
      </c>
      <c r="CS296" s="149">
        <f t="shared" si="815"/>
        <v>270.50715642699197</v>
      </c>
      <c r="CT296" s="149">
        <f t="shared" si="816"/>
        <v>11.496554148147156</v>
      </c>
      <c r="CU296" s="188">
        <f t="shared" si="817"/>
        <v>9.0169052142330663</v>
      </c>
      <c r="CV296" s="188">
        <f t="shared" si="818"/>
        <v>45.084526071165328</v>
      </c>
      <c r="CW296" s="188">
        <f t="shared" si="819"/>
        <v>30</v>
      </c>
      <c r="CX296" s="188">
        <f t="shared" si="820"/>
        <v>10.754210526315791</v>
      </c>
      <c r="CY296" s="188">
        <f t="shared" si="821"/>
        <v>1.0530164473684211</v>
      </c>
      <c r="CZ296" s="188">
        <f t="shared" si="822"/>
        <v>1.6464100805760331</v>
      </c>
      <c r="DA296" s="172">
        <f t="shared" si="823"/>
        <v>350</v>
      </c>
      <c r="DB296" s="379">
        <f t="shared" si="824"/>
        <v>350</v>
      </c>
      <c r="DD296" s="188">
        <f t="shared" si="825"/>
        <v>11.382534575916392</v>
      </c>
      <c r="DE296" s="150">
        <f t="shared" si="826"/>
        <v>1.7426030132510437</v>
      </c>
      <c r="DF296" s="150">
        <f t="shared" si="827"/>
        <v>3.3296564353233258</v>
      </c>
      <c r="DG296" s="150"/>
      <c r="DH296" s="150">
        <f t="shared" si="828"/>
        <v>0.92784522751949461</v>
      </c>
      <c r="DI296" s="314">
        <f t="shared" si="829"/>
        <v>1186.4909872340427</v>
      </c>
      <c r="DJ296" s="456">
        <f t="shared" si="830"/>
        <v>0.94395997276890675</v>
      </c>
      <c r="DL296" s="150">
        <f t="shared" si="831"/>
        <v>11.030766589414897</v>
      </c>
      <c r="DM296" s="150">
        <f t="shared" si="832"/>
        <v>11.030766589414897</v>
      </c>
      <c r="DN296" s="150">
        <f t="shared" si="833"/>
        <v>4.8816003917102497</v>
      </c>
      <c r="DP296" s="314">
        <f t="shared" si="834"/>
        <v>3200</v>
      </c>
      <c r="DQ296" s="144">
        <f t="shared" si="835"/>
        <v>350</v>
      </c>
      <c r="DS296">
        <f t="shared" si="836"/>
        <v>3200</v>
      </c>
      <c r="DT296">
        <f t="shared" si="837"/>
        <v>350</v>
      </c>
      <c r="DV296" s="5">
        <f t="shared" si="867"/>
        <v>2.8571428571428572</v>
      </c>
      <c r="DW296" s="5">
        <f t="shared" si="838"/>
        <v>1.080095895213542</v>
      </c>
      <c r="DX296" s="5">
        <f t="shared" si="839"/>
        <v>1.7770469619293152</v>
      </c>
      <c r="DY296" s="150">
        <f t="shared" si="840"/>
        <v>0.3780335633247397</v>
      </c>
      <c r="EA296" s="5">
        <f t="shared" si="868"/>
        <v>11.52102288227778</v>
      </c>
      <c r="EB296" s="5">
        <f t="shared" si="869"/>
        <v>12.241086812420143</v>
      </c>
      <c r="EC296" s="5">
        <f t="shared" si="870"/>
        <v>2.0906434846227238</v>
      </c>
      <c r="ED296" s="5"/>
      <c r="EE296" s="150">
        <f t="shared" si="871"/>
        <v>3.9157075426143235</v>
      </c>
      <c r="EF296" s="150">
        <f t="shared" si="872"/>
        <v>4.8178411725218107</v>
      </c>
      <c r="EG296" s="150">
        <f t="shared" si="873"/>
        <v>0.96708896459197424</v>
      </c>
      <c r="EH296" s="150"/>
      <c r="EI296" s="456">
        <f t="shared" si="874"/>
        <v>0.18399318671144047</v>
      </c>
      <c r="EJ296" s="456">
        <f t="shared" si="875"/>
        <v>5.7730068484032335</v>
      </c>
      <c r="EK296" s="456">
        <f t="shared" si="876"/>
        <v>4.0250000000000001E-2</v>
      </c>
      <c r="EL296" s="456">
        <f t="shared" si="877"/>
        <v>1.1218321012500001</v>
      </c>
      <c r="EM296">
        <f t="shared" si="878"/>
        <v>2.1600000000000001E-2</v>
      </c>
      <c r="EN296" s="144">
        <f t="shared" si="879"/>
        <v>61.85</v>
      </c>
      <c r="EP296" s="144">
        <f t="shared" si="880"/>
        <v>7140.6821363646741</v>
      </c>
      <c r="EQ296" s="150">
        <f t="shared" si="881"/>
        <v>2.2399999999999998</v>
      </c>
      <c r="ER296" s="150">
        <f t="shared" si="841"/>
        <v>0.32572000000000001</v>
      </c>
      <c r="ES296" s="456"/>
      <c r="EU296" s="144">
        <f t="shared" si="882"/>
        <v>2565.7199999999998</v>
      </c>
      <c r="EV296" s="456">
        <f t="shared" si="883"/>
        <v>0.21465871783001386</v>
      </c>
      <c r="EW296" s="456">
        <f t="shared" si="884"/>
        <v>0.32496230989104868</v>
      </c>
      <c r="EX296" s="456">
        <f t="shared" si="885"/>
        <v>4.6763053271778841E-3</v>
      </c>
      <c r="EY296" s="456">
        <f t="shared" si="886"/>
        <v>46.307821736469108</v>
      </c>
      <c r="EZ296" s="456"/>
      <c r="FA296" s="538">
        <f t="shared" si="887"/>
        <v>4.2587234042553188</v>
      </c>
      <c r="FB296" s="144">
        <f t="shared" si="888"/>
        <v>51110.842473772667</v>
      </c>
      <c r="FC296" s="150">
        <f t="shared" si="889"/>
        <v>60.817244610137344</v>
      </c>
      <c r="FD296" s="5">
        <f t="shared" si="890"/>
        <v>100.08</v>
      </c>
      <c r="FE296" s="150">
        <f t="shared" si="891"/>
        <v>0.62201189487426722</v>
      </c>
      <c r="FF296" s="5">
        <f t="shared" si="892"/>
        <v>62.201189487426724</v>
      </c>
      <c r="FG296">
        <f t="shared" si="893"/>
        <v>80</v>
      </c>
      <c r="FI296" s="59">
        <f t="shared" si="842"/>
        <v>-50</v>
      </c>
    </row>
    <row r="297" spans="5:165">
      <c r="E297" s="147">
        <v>81</v>
      </c>
      <c r="F297" s="188">
        <f t="shared" si="843"/>
        <v>3.24</v>
      </c>
      <c r="G297" s="188">
        <f t="shared" si="772"/>
        <v>0.6885</v>
      </c>
      <c r="H297" s="188">
        <f t="shared" si="773"/>
        <v>97.2</v>
      </c>
      <c r="I297" s="188">
        <f t="shared" si="774"/>
        <v>4.1310000000000002</v>
      </c>
      <c r="J297" s="465">
        <f t="shared" si="775"/>
        <v>47.829544211406137</v>
      </c>
      <c r="K297" s="379">
        <f t="shared" si="776"/>
        <v>30.82498263899743</v>
      </c>
      <c r="L297" s="149">
        <f t="shared" si="777"/>
        <v>78.65452685040357</v>
      </c>
      <c r="M297" s="379"/>
      <c r="N297" s="188">
        <f t="shared" si="778"/>
        <v>0.39190347807475584</v>
      </c>
      <c r="O297" s="149">
        <f t="shared" si="779"/>
        <v>272.43027005567006</v>
      </c>
      <c r="P297" s="149">
        <f t="shared" si="780"/>
        <v>11.578286477365975</v>
      </c>
      <c r="Q297" s="188">
        <f t="shared" si="781"/>
        <v>9.0810090018556693</v>
      </c>
      <c r="R297" s="188">
        <f t="shared" si="782"/>
        <v>45.405045009278346</v>
      </c>
      <c r="S297" s="188">
        <f t="shared" si="783"/>
        <v>30</v>
      </c>
      <c r="T297" s="188">
        <f t="shared" si="784"/>
        <v>10.811774127936131</v>
      </c>
      <c r="U297" s="188">
        <f t="shared" si="785"/>
        <v>1.0624257295176489</v>
      </c>
      <c r="V297" s="188">
        <f t="shared" si="786"/>
        <v>1.6485115010904208</v>
      </c>
      <c r="W297" s="172">
        <f t="shared" si="787"/>
        <v>350</v>
      </c>
      <c r="X297" s="379">
        <f t="shared" si="844"/>
        <v>343.53196952691025</v>
      </c>
      <c r="Z297" s="188">
        <f t="shared" si="788"/>
        <v>11.394872177009345</v>
      </c>
      <c r="AA297" s="150">
        <f t="shared" si="789"/>
        <v>1.7374186340721265</v>
      </c>
      <c r="AB297" s="150">
        <f t="shared" si="790"/>
        <v>3.3233487475405847</v>
      </c>
      <c r="AC297" s="150"/>
      <c r="AD297" s="150">
        <f t="shared" si="791"/>
        <v>0.92408319636201885</v>
      </c>
      <c r="AE297" s="314">
        <f t="shared" si="792"/>
        <v>1206.2128219495601</v>
      </c>
      <c r="AF297" s="456">
        <f t="shared" si="793"/>
        <v>0.9401326029407937</v>
      </c>
      <c r="AH297" s="150">
        <f t="shared" si="794"/>
        <v>11.099494772039352</v>
      </c>
      <c r="AI297" s="150">
        <f t="shared" si="795"/>
        <v>11.099494772039352</v>
      </c>
      <c r="AJ297" s="150">
        <f t="shared" si="796"/>
        <v>4.9325101566172522</v>
      </c>
      <c r="AL297" s="314">
        <f t="shared" si="797"/>
        <v>3240</v>
      </c>
      <c r="AM297" s="144">
        <f t="shared" si="798"/>
        <v>343.53196952691025</v>
      </c>
      <c r="AO297">
        <f t="shared" si="799"/>
        <v>3240</v>
      </c>
      <c r="AP297">
        <f t="shared" si="800"/>
        <v>343.53196952691025</v>
      </c>
      <c r="AR297" s="5">
        <f t="shared" si="771"/>
        <v>2.9109372306080701</v>
      </c>
      <c r="AS297" s="5">
        <f t="shared" si="737"/>
        <v>1.0906987781025999</v>
      </c>
      <c r="AT297" s="5">
        <f t="shared" si="738"/>
        <v>1.8202384525054702</v>
      </c>
      <c r="AU297" s="150">
        <f t="shared" si="739"/>
        <v>0.37468989940218056</v>
      </c>
      <c r="BA297" s="150">
        <f t="shared" si="845"/>
        <v>3.9226411194635595</v>
      </c>
      <c r="BB297" s="150">
        <f t="shared" si="846"/>
        <v>4.8608726361456318</v>
      </c>
      <c r="BC297" s="150">
        <f t="shared" si="847"/>
        <v>0.97572670338630951</v>
      </c>
      <c r="BD297" s="150"/>
      <c r="BE297" s="456">
        <f t="shared" si="848"/>
        <v>0.18464536022527595</v>
      </c>
      <c r="BF297" s="456">
        <f t="shared" si="801"/>
        <v>5.4733971527047363</v>
      </c>
      <c r="BG297" s="456">
        <f t="shared" si="849"/>
        <v>3.950617649559468E-2</v>
      </c>
      <c r="BH297" s="456">
        <f t="shared" si="850"/>
        <v>1.0998284740608166</v>
      </c>
      <c r="BI297">
        <f t="shared" si="851"/>
        <v>2.1523294895132761E-2</v>
      </c>
      <c r="BJ297" s="144">
        <f t="shared" si="852"/>
        <v>61.029471390727437</v>
      </c>
      <c r="BK297">
        <f t="shared" si="802"/>
        <v>7.1200962275593058</v>
      </c>
      <c r="BL297" s="144">
        <f t="shared" si="853"/>
        <v>6818.9004583815558</v>
      </c>
      <c r="BM297" s="150">
        <f t="shared" si="803"/>
        <v>2.1727439999999998</v>
      </c>
      <c r="BN297" s="150">
        <f t="shared" si="804"/>
        <v>0.32979150000000002</v>
      </c>
      <c r="BQ297" s="144">
        <f t="shared" si="854"/>
        <v>2502.5354999999995</v>
      </c>
      <c r="BR297" s="456">
        <f t="shared" si="855"/>
        <v>0.21541958692948859</v>
      </c>
      <c r="BS297" s="456">
        <f t="shared" si="856"/>
        <v>0.33079315898761141</v>
      </c>
      <c r="BT297" s="456">
        <f t="shared" si="857"/>
        <v>4.7602129985055766E-3</v>
      </c>
      <c r="BU297" s="456">
        <f t="shared" si="858"/>
        <v>44.889620097994353</v>
      </c>
      <c r="BV297" s="456"/>
      <c r="BW297" s="538">
        <f t="shared" si="859"/>
        <v>4.2322720977667299</v>
      </c>
      <c r="BX297" s="144">
        <f t="shared" si="860"/>
        <v>49672.865154676692</v>
      </c>
      <c r="BY297" s="150">
        <f t="shared" si="861"/>
        <v>58.994301113058249</v>
      </c>
      <c r="BZ297" s="5">
        <f t="shared" si="862"/>
        <v>101.331</v>
      </c>
      <c r="CA297" s="150">
        <f t="shared" si="863"/>
        <v>0.63203374200147844</v>
      </c>
      <c r="CB297" s="5">
        <f t="shared" si="864"/>
        <v>63.203374200147842</v>
      </c>
      <c r="CC297">
        <f t="shared" si="865"/>
        <v>81</v>
      </c>
      <c r="CE297" s="59">
        <f t="shared" si="805"/>
        <v>-50</v>
      </c>
      <c r="CG297" s="150">
        <f t="shared" si="806"/>
        <v>0.59608724193694995</v>
      </c>
      <c r="CH297" s="150">
        <f t="shared" si="807"/>
        <v>0.13009160662727606</v>
      </c>
      <c r="CI297" s="147">
        <v>81</v>
      </c>
      <c r="CJ297" s="188">
        <f t="shared" si="866"/>
        <v>3.24</v>
      </c>
      <c r="CK297" s="188">
        <f t="shared" si="808"/>
        <v>0.6885</v>
      </c>
      <c r="CL297" s="188">
        <f t="shared" si="809"/>
        <v>97.2</v>
      </c>
      <c r="CM297" s="188">
        <f t="shared" si="810"/>
        <v>4.1310000000000002</v>
      </c>
      <c r="CN297" s="465">
        <f t="shared" si="811"/>
        <v>48</v>
      </c>
      <c r="CO297" s="379">
        <f t="shared" si="812"/>
        <v>30.7</v>
      </c>
      <c r="CP297" s="379">
        <f t="shared" si="813"/>
        <v>78.7</v>
      </c>
      <c r="CQ297" s="379"/>
      <c r="CR297" s="188">
        <f t="shared" si="814"/>
        <v>0.38775510204081626</v>
      </c>
      <c r="CS297" s="149">
        <f t="shared" si="815"/>
        <v>270.50715642699197</v>
      </c>
      <c r="CT297" s="149">
        <f t="shared" si="816"/>
        <v>11.496554148147156</v>
      </c>
      <c r="CU297" s="188">
        <f t="shared" si="817"/>
        <v>9.0169052142330663</v>
      </c>
      <c r="CV297" s="188">
        <f t="shared" si="818"/>
        <v>45.084526071165328</v>
      </c>
      <c r="CW297" s="188">
        <f t="shared" si="819"/>
        <v>30</v>
      </c>
      <c r="CX297" s="188">
        <f t="shared" si="820"/>
        <v>10.888638157894739</v>
      </c>
      <c r="CY297" s="188">
        <f t="shared" si="821"/>
        <v>1.0661791529605265</v>
      </c>
      <c r="CZ297" s="188">
        <f t="shared" si="822"/>
        <v>1.6669902065832338</v>
      </c>
      <c r="DA297" s="172">
        <f t="shared" si="823"/>
        <v>350</v>
      </c>
      <c r="DB297" s="379">
        <f t="shared" si="824"/>
        <v>350</v>
      </c>
      <c r="DD297" s="188">
        <f t="shared" si="825"/>
        <v>11.382534575916392</v>
      </c>
      <c r="DE297" s="150">
        <f t="shared" si="826"/>
        <v>1.7426030132510437</v>
      </c>
      <c r="DF297" s="150">
        <f t="shared" si="827"/>
        <v>3.3296564353233258</v>
      </c>
      <c r="DG297" s="150"/>
      <c r="DH297" s="150">
        <f t="shared" si="828"/>
        <v>0.92784522751949461</v>
      </c>
      <c r="DI297" s="314">
        <f t="shared" si="829"/>
        <v>1201.3221245744683</v>
      </c>
      <c r="DJ297" s="456">
        <f t="shared" si="830"/>
        <v>0.94395997276890675</v>
      </c>
      <c r="DL297" s="150">
        <f t="shared" si="831"/>
        <v>11.099494772039352</v>
      </c>
      <c r="DM297" s="150">
        <f t="shared" si="832"/>
        <v>11.099494772039352</v>
      </c>
      <c r="DN297" s="150">
        <f t="shared" si="833"/>
        <v>4.9325101566172522</v>
      </c>
      <c r="DP297" s="314">
        <f t="shared" si="834"/>
        <v>3240</v>
      </c>
      <c r="DQ297" s="144">
        <f t="shared" si="835"/>
        <v>350</v>
      </c>
      <c r="DS297">
        <f t="shared" si="836"/>
        <v>3240</v>
      </c>
      <c r="DT297">
        <f t="shared" si="837"/>
        <v>350</v>
      </c>
      <c r="DV297" s="5">
        <f t="shared" si="867"/>
        <v>2.8571428571428572</v>
      </c>
      <c r="DW297" s="5">
        <f t="shared" si="838"/>
        <v>1.0868255297621863</v>
      </c>
      <c r="DX297" s="5">
        <f t="shared" si="839"/>
        <v>1.7703173273806709</v>
      </c>
      <c r="DY297" s="150">
        <f t="shared" si="840"/>
        <v>0.38038893541676516</v>
      </c>
      <c r="EA297" s="5">
        <f t="shared" si="868"/>
        <v>11.737715721431611</v>
      </c>
      <c r="EB297" s="5">
        <f t="shared" si="869"/>
        <v>12.471322954021089</v>
      </c>
      <c r="EC297" s="5">
        <f t="shared" si="870"/>
        <v>2.1087603458505049</v>
      </c>
      <c r="ED297" s="5"/>
      <c r="EE297" s="150">
        <f t="shared" si="871"/>
        <v>3.9523602384902725</v>
      </c>
      <c r="EF297" s="150">
        <f t="shared" si="872"/>
        <v>4.8386710943119544</v>
      </c>
      <c r="EG297" s="150">
        <f t="shared" si="873"/>
        <v>0.97127017081592648</v>
      </c>
      <c r="EH297" s="150"/>
      <c r="EI297" s="456">
        <f t="shared" si="874"/>
        <v>0.1874538174575866</v>
      </c>
      <c r="EJ297" s="456">
        <f t="shared" si="875"/>
        <v>5.8089760864206559</v>
      </c>
      <c r="EK297" s="456">
        <f t="shared" si="876"/>
        <v>4.0250000000000001E-2</v>
      </c>
      <c r="EL297" s="456">
        <f t="shared" si="877"/>
        <v>1.1218321012500001</v>
      </c>
      <c r="EM297">
        <f t="shared" si="878"/>
        <v>2.1600000000000001E-2</v>
      </c>
      <c r="EN297" s="144">
        <f t="shared" si="879"/>
        <v>61.85</v>
      </c>
      <c r="EP297" s="144">
        <f t="shared" si="880"/>
        <v>7180.1120051282433</v>
      </c>
      <c r="EQ297" s="150">
        <f t="shared" si="881"/>
        <v>2.2679999999999998</v>
      </c>
      <c r="ER297" s="150">
        <f t="shared" si="841"/>
        <v>0.32979150000000002</v>
      </c>
      <c r="ES297" s="456"/>
      <c r="EU297" s="144">
        <f t="shared" si="882"/>
        <v>2597.7914999999994</v>
      </c>
      <c r="EV297" s="456">
        <f t="shared" si="883"/>
        <v>0.21869612036718439</v>
      </c>
      <c r="EW297" s="456">
        <f t="shared" si="884"/>
        <v>0.32777833142502066</v>
      </c>
      <c r="EX297" s="456">
        <f t="shared" si="885"/>
        <v>4.716828723583995E-3</v>
      </c>
      <c r="EY297" s="456">
        <f t="shared" si="886"/>
        <v>47.032508499338434</v>
      </c>
      <c r="EZ297" s="456"/>
      <c r="FA297" s="538">
        <f t="shared" si="887"/>
        <v>4.3119574468085116</v>
      </c>
      <c r="FB297" s="144">
        <f t="shared" si="888"/>
        <v>51895.657226662734</v>
      </c>
      <c r="FC297" s="150">
        <f t="shared" si="889"/>
        <v>61.673560731790978</v>
      </c>
      <c r="FD297" s="5">
        <f t="shared" si="890"/>
        <v>101.331</v>
      </c>
      <c r="FE297" s="150">
        <f t="shared" si="891"/>
        <v>0.6216451830862012</v>
      </c>
      <c r="FF297" s="5">
        <f t="shared" si="892"/>
        <v>62.164518308620117</v>
      </c>
      <c r="FG297">
        <f t="shared" si="893"/>
        <v>81</v>
      </c>
      <c r="FI297" s="59">
        <f t="shared" si="842"/>
        <v>-50</v>
      </c>
    </row>
    <row r="298" spans="5:165">
      <c r="E298" s="147">
        <v>82</v>
      </c>
      <c r="F298" s="188">
        <f t="shared" si="843"/>
        <v>3.28</v>
      </c>
      <c r="G298" s="188">
        <f t="shared" si="772"/>
        <v>0.69699999999999995</v>
      </c>
      <c r="H298" s="188">
        <f t="shared" si="773"/>
        <v>98.399999999999991</v>
      </c>
      <c r="I298" s="188">
        <f t="shared" si="774"/>
        <v>4.1819999999999995</v>
      </c>
      <c r="J298" s="465">
        <f t="shared" si="775"/>
        <v>47.828495242806405</v>
      </c>
      <c r="K298" s="379">
        <f t="shared" si="776"/>
        <v>30.825751770189164</v>
      </c>
      <c r="L298" s="149">
        <f t="shared" si="777"/>
        <v>78.654247012995569</v>
      </c>
      <c r="M298" s="379"/>
      <c r="N298" s="188">
        <f t="shared" si="778"/>
        <v>0.39191465103080841</v>
      </c>
      <c r="O298" s="149">
        <f t="shared" si="779"/>
        <v>272.43206194917747</v>
      </c>
      <c r="P298" s="149">
        <f t="shared" si="780"/>
        <v>11.57836263284004</v>
      </c>
      <c r="Q298" s="188">
        <f t="shared" si="781"/>
        <v>9.0810687316392489</v>
      </c>
      <c r="R298" s="188">
        <f t="shared" si="782"/>
        <v>45.405343658196244</v>
      </c>
      <c r="S298" s="188">
        <f t="shared" si="783"/>
        <v>30</v>
      </c>
      <c r="T298" s="188">
        <f t="shared" si="784"/>
        <v>10.945180829613379</v>
      </c>
      <c r="U298" s="188">
        <f t="shared" si="785"/>
        <v>1.0755586107827637</v>
      </c>
      <c r="V298" s="188">
        <f t="shared" si="786"/>
        <v>1.6688108787319675</v>
      </c>
      <c r="W298" s="172">
        <f t="shared" si="787"/>
        <v>350</v>
      </c>
      <c r="X298" s="379">
        <f t="shared" si="844"/>
        <v>339.63128729635508</v>
      </c>
      <c r="Z298" s="188">
        <f t="shared" si="788"/>
        <v>11.394947126087022</v>
      </c>
      <c r="AA298" s="150">
        <f t="shared" si="789"/>
        <v>1.737386711340547</v>
      </c>
      <c r="AB298" s="150">
        <f t="shared" si="790"/>
        <v>3.3233095441976559</v>
      </c>
      <c r="AC298" s="150"/>
      <c r="AD298" s="150">
        <f t="shared" si="791"/>
        <v>0.92406013962635902</v>
      </c>
      <c r="AE298" s="314">
        <f t="shared" si="792"/>
        <v>1221.1348067196859</v>
      </c>
      <c r="AF298" s="456">
        <f t="shared" si="793"/>
        <v>0.94010914575750493</v>
      </c>
      <c r="AH298" s="150">
        <f t="shared" si="794"/>
        <v>11.16779999995101</v>
      </c>
      <c r="AI298" s="150">
        <f t="shared" si="795"/>
        <v>11.16779999995101</v>
      </c>
      <c r="AJ298" s="150">
        <f t="shared" si="796"/>
        <v>4.9831066217369999</v>
      </c>
      <c r="AL298" s="314">
        <f t="shared" si="797"/>
        <v>3280</v>
      </c>
      <c r="AM298" s="144">
        <f t="shared" si="798"/>
        <v>339.63128729635508</v>
      </c>
      <c r="AO298">
        <f t="shared" si="799"/>
        <v>3280</v>
      </c>
      <c r="AP298">
        <f t="shared" si="800"/>
        <v>339.63128729635508</v>
      </c>
      <c r="AR298" s="5">
        <f t="shared" si="771"/>
        <v>2.9443694895147314</v>
      </c>
      <c r="AS298" s="5">
        <f t="shared" si="737"/>
        <v>1.0974349022126981</v>
      </c>
      <c r="AT298" s="5">
        <f t="shared" si="738"/>
        <v>1.8469345873020333</v>
      </c>
      <c r="AU298" s="150">
        <f t="shared" si="739"/>
        <v>0.37272322856244816</v>
      </c>
      <c r="BA298" s="150">
        <f t="shared" si="845"/>
        <v>3.9364091265399241</v>
      </c>
      <c r="BB298" s="150">
        <f t="shared" si="846"/>
        <v>4.8984709800006607</v>
      </c>
      <c r="BC298" s="150">
        <f t="shared" si="847"/>
        <v>0.98327384787013261</v>
      </c>
      <c r="BD298" s="150"/>
      <c r="BE298" s="456">
        <f t="shared" si="848"/>
        <v>0.18594380173808173</v>
      </c>
      <c r="BF298" s="456">
        <f t="shared" si="801"/>
        <v>5.4445296278935578</v>
      </c>
      <c r="BG298" s="456">
        <f t="shared" si="849"/>
        <v>3.9057598039080835E-2</v>
      </c>
      <c r="BH298" s="456">
        <f t="shared" si="850"/>
        <v>1.087332579359455</v>
      </c>
      <c r="BI298">
        <f t="shared" si="851"/>
        <v>2.152282285926288E-2</v>
      </c>
      <c r="BJ298" s="144">
        <f t="shared" si="852"/>
        <v>60.580420898343718</v>
      </c>
      <c r="BK298">
        <f t="shared" si="802"/>
        <v>7.0808442871078006</v>
      </c>
      <c r="BL298" s="144">
        <f t="shared" si="853"/>
        <v>6778.3864298894387</v>
      </c>
      <c r="BM298" s="150">
        <f t="shared" si="803"/>
        <v>2.1995679999999997</v>
      </c>
      <c r="BN298" s="150">
        <f t="shared" si="804"/>
        <v>0.33386299999999997</v>
      </c>
      <c r="BQ298" s="144">
        <f t="shared" si="854"/>
        <v>2533.4309999999996</v>
      </c>
      <c r="BR298" s="456">
        <f t="shared" si="855"/>
        <v>0.21693443536109533</v>
      </c>
      <c r="BS298" s="456">
        <f t="shared" si="856"/>
        <v>0.33593025118672087</v>
      </c>
      <c r="BT298" s="456">
        <f t="shared" si="857"/>
        <v>4.8341372995266835E-3</v>
      </c>
      <c r="BU298" s="456">
        <f t="shared" si="858"/>
        <v>44.300466720623142</v>
      </c>
      <c r="BV298" s="456"/>
      <c r="BW298" s="538">
        <f t="shared" si="859"/>
        <v>4.2358731566485952</v>
      </c>
      <c r="BX298" s="144">
        <f t="shared" si="860"/>
        <v>49094.038701119083</v>
      </c>
      <c r="BY298" s="150">
        <f t="shared" si="861"/>
        <v>58.40585613100852</v>
      </c>
      <c r="BZ298" s="5">
        <f t="shared" si="862"/>
        <v>102.58199999999999</v>
      </c>
      <c r="CA298" s="150">
        <f t="shared" si="863"/>
        <v>0.63720334232242293</v>
      </c>
      <c r="CB298" s="5">
        <f t="shared" si="864"/>
        <v>63.720334232242294</v>
      </c>
      <c r="CC298">
        <f t="shared" si="865"/>
        <v>82</v>
      </c>
      <c r="CE298" s="59">
        <f t="shared" si="805"/>
        <v>-50</v>
      </c>
      <c r="CG298" s="150">
        <f t="shared" si="806"/>
        <v>0.59975550574101999</v>
      </c>
      <c r="CH298" s="150">
        <f t="shared" si="807"/>
        <v>0.13089217791656163</v>
      </c>
      <c r="CI298" s="147">
        <v>82</v>
      </c>
      <c r="CJ298" s="188">
        <f t="shared" si="866"/>
        <v>3.28</v>
      </c>
      <c r="CK298" s="188">
        <f t="shared" si="808"/>
        <v>0.69699999999999995</v>
      </c>
      <c r="CL298" s="188">
        <f t="shared" si="809"/>
        <v>98.399999999999991</v>
      </c>
      <c r="CM298" s="188">
        <f t="shared" si="810"/>
        <v>4.1819999999999995</v>
      </c>
      <c r="CN298" s="465">
        <f t="shared" si="811"/>
        <v>48</v>
      </c>
      <c r="CO298" s="379">
        <f t="shared" si="812"/>
        <v>30.7</v>
      </c>
      <c r="CP298" s="379">
        <f t="shared" si="813"/>
        <v>78.7</v>
      </c>
      <c r="CQ298" s="379"/>
      <c r="CR298" s="188">
        <f t="shared" si="814"/>
        <v>0.38775510204081626</v>
      </c>
      <c r="CS298" s="149">
        <f t="shared" si="815"/>
        <v>270.50715642699197</v>
      </c>
      <c r="CT298" s="149">
        <f t="shared" si="816"/>
        <v>11.496554148147156</v>
      </c>
      <c r="CU298" s="188">
        <f t="shared" si="817"/>
        <v>9.0169052142330663</v>
      </c>
      <c r="CV298" s="188">
        <f t="shared" si="818"/>
        <v>45.084526071165328</v>
      </c>
      <c r="CW298" s="188">
        <f t="shared" si="819"/>
        <v>30</v>
      </c>
      <c r="CX298" s="188">
        <f t="shared" si="820"/>
        <v>11.023065789473685</v>
      </c>
      <c r="CY298" s="188">
        <f t="shared" si="821"/>
        <v>1.0793418585526315</v>
      </c>
      <c r="CZ298" s="188">
        <f t="shared" si="822"/>
        <v>1.6875703325904339</v>
      </c>
      <c r="DA298" s="172">
        <f t="shared" si="823"/>
        <v>350</v>
      </c>
      <c r="DB298" s="379">
        <f t="shared" si="824"/>
        <v>350</v>
      </c>
      <c r="DD298" s="188">
        <f t="shared" si="825"/>
        <v>11.382534575916392</v>
      </c>
      <c r="DE298" s="150">
        <f t="shared" si="826"/>
        <v>1.7426030132510437</v>
      </c>
      <c r="DF298" s="150">
        <f t="shared" si="827"/>
        <v>3.3296564353233258</v>
      </c>
      <c r="DG298" s="150"/>
      <c r="DH298" s="150">
        <f t="shared" si="828"/>
        <v>0.92784522751949461</v>
      </c>
      <c r="DI298" s="314">
        <f t="shared" si="829"/>
        <v>1216.1532619148934</v>
      </c>
      <c r="DJ298" s="456">
        <f t="shared" si="830"/>
        <v>0.94395997276890675</v>
      </c>
      <c r="DL298" s="150">
        <f t="shared" si="831"/>
        <v>11.16779999995101</v>
      </c>
      <c r="DM298" s="150">
        <f t="shared" si="832"/>
        <v>11.16779999995101</v>
      </c>
      <c r="DN298" s="150">
        <f t="shared" si="833"/>
        <v>4.9831066217369999</v>
      </c>
      <c r="DP298" s="314">
        <f t="shared" si="834"/>
        <v>3280</v>
      </c>
      <c r="DQ298" s="144">
        <f t="shared" si="835"/>
        <v>350</v>
      </c>
      <c r="DS298">
        <f t="shared" si="836"/>
        <v>3280</v>
      </c>
      <c r="DT298">
        <f t="shared" si="837"/>
        <v>350</v>
      </c>
      <c r="DV298" s="5">
        <f t="shared" si="867"/>
        <v>2.8571428571428572</v>
      </c>
      <c r="DW298" s="5">
        <f t="shared" si="838"/>
        <v>1.093513749995203</v>
      </c>
      <c r="DX298" s="5">
        <f t="shared" si="839"/>
        <v>1.7636291071476542</v>
      </c>
      <c r="DY298" s="150">
        <f t="shared" si="840"/>
        <v>0.38272981249832105</v>
      </c>
      <c r="EA298" s="5">
        <f t="shared" si="868"/>
        <v>11.955750333280886</v>
      </c>
      <c r="EB298" s="5">
        <f t="shared" si="869"/>
        <v>12.702984729110941</v>
      </c>
      <c r="EC298" s="5">
        <f t="shared" si="870"/>
        <v>2.126729217442759</v>
      </c>
      <c r="ED298" s="5"/>
      <c r="EE298" s="150">
        <f t="shared" si="871"/>
        <v>3.9888999799355966</v>
      </c>
      <c r="EF298" s="150">
        <f t="shared" si="872"/>
        <v>4.8592426656228636</v>
      </c>
      <c r="EG298" s="150">
        <f t="shared" si="873"/>
        <v>0.97539951814945069</v>
      </c>
      <c r="EH298" s="150"/>
      <c r="EI298" s="456">
        <f t="shared" si="874"/>
        <v>0.19093587659916245</v>
      </c>
      <c r="EJ298" s="456">
        <f t="shared" si="875"/>
        <v>5.8447239689743613</v>
      </c>
      <c r="EK298" s="456">
        <f t="shared" si="876"/>
        <v>4.0250000000000001E-2</v>
      </c>
      <c r="EL298" s="456">
        <f t="shared" si="877"/>
        <v>1.1218321012500001</v>
      </c>
      <c r="EM298">
        <f t="shared" si="878"/>
        <v>2.1600000000000001E-2</v>
      </c>
      <c r="EN298" s="144">
        <f t="shared" si="879"/>
        <v>61.85</v>
      </c>
      <c r="EP298" s="144">
        <f t="shared" si="880"/>
        <v>7219.3419468235243</v>
      </c>
      <c r="EQ298" s="150">
        <f t="shared" si="881"/>
        <v>2.2959999999999998</v>
      </c>
      <c r="ER298" s="150">
        <f t="shared" si="841"/>
        <v>0.33386299999999997</v>
      </c>
      <c r="ES298" s="456"/>
      <c r="EU298" s="144">
        <f t="shared" si="882"/>
        <v>2629.8629999999998</v>
      </c>
      <c r="EV298" s="456">
        <f t="shared" si="883"/>
        <v>0.22275852269902285</v>
      </c>
      <c r="EW298" s="456">
        <f t="shared" si="884"/>
        <v>0.3305713499677343</v>
      </c>
      <c r="EX298" s="456">
        <f t="shared" si="885"/>
        <v>4.757021100030903E-3</v>
      </c>
      <c r="EY298" s="456">
        <f t="shared" si="886"/>
        <v>47.759435454851584</v>
      </c>
      <c r="EZ298" s="456"/>
      <c r="FA298" s="538">
        <f t="shared" si="887"/>
        <v>4.3651914893617025</v>
      </c>
      <c r="FB298" s="144">
        <f t="shared" si="888"/>
        <v>52682.713837980074</v>
      </c>
      <c r="FC298" s="150">
        <f t="shared" si="889"/>
        <v>62.531918784803594</v>
      </c>
      <c r="FD298" s="5">
        <f t="shared" si="890"/>
        <v>102.58199999999999</v>
      </c>
      <c r="FE298" s="150">
        <f t="shared" si="891"/>
        <v>0.62128014860877512</v>
      </c>
      <c r="FF298" s="5">
        <f t="shared" si="892"/>
        <v>62.128014860877514</v>
      </c>
      <c r="FG298">
        <f t="shared" si="893"/>
        <v>82</v>
      </c>
      <c r="FI298" s="59">
        <f t="shared" si="842"/>
        <v>-50</v>
      </c>
    </row>
    <row r="299" spans="5:165">
      <c r="E299" s="147">
        <v>83</v>
      </c>
      <c r="F299" s="188">
        <f t="shared" si="843"/>
        <v>3.32</v>
      </c>
      <c r="G299" s="188">
        <f t="shared" si="772"/>
        <v>0.7054999999999999</v>
      </c>
      <c r="H299" s="188">
        <f t="shared" si="773"/>
        <v>99.6</v>
      </c>
      <c r="I299" s="188">
        <f t="shared" si="774"/>
        <v>4.2329999999999997</v>
      </c>
      <c r="J299" s="465">
        <f t="shared" si="775"/>
        <v>47.827452651092777</v>
      </c>
      <c r="K299" s="379">
        <f t="shared" si="776"/>
        <v>30.82651622568136</v>
      </c>
      <c r="L299" s="149">
        <f t="shared" si="777"/>
        <v>78.653968876774144</v>
      </c>
      <c r="M299" s="379"/>
      <c r="N299" s="188">
        <f t="shared" si="778"/>
        <v>0.39192575614304659</v>
      </c>
      <c r="O299" s="149">
        <f t="shared" si="779"/>
        <v>272.43384266659831</v>
      </c>
      <c r="P299" s="149">
        <f t="shared" si="780"/>
        <v>11.578438313330427</v>
      </c>
      <c r="Q299" s="188">
        <f t="shared" si="781"/>
        <v>9.0811280888866097</v>
      </c>
      <c r="R299" s="188">
        <f t="shared" si="782"/>
        <v>45.405640444433054</v>
      </c>
      <c r="S299" s="188">
        <f t="shared" si="783"/>
        <v>30</v>
      </c>
      <c r="T299" s="188">
        <f t="shared" si="784"/>
        <v>11.078586230842978</v>
      </c>
      <c r="U299" s="188">
        <f t="shared" si="785"/>
        <v>1.0886917951665631</v>
      </c>
      <c r="V299" s="188">
        <f t="shared" si="786"/>
        <v>1.6891093013482781</v>
      </c>
      <c r="W299" s="172">
        <f t="shared" si="787"/>
        <v>350</v>
      </c>
      <c r="X299" s="379">
        <f t="shared" si="844"/>
        <v>335.81826575669544</v>
      </c>
      <c r="Z299" s="188">
        <f t="shared" si="788"/>
        <v>11.395021607705349</v>
      </c>
      <c r="AA299" s="150">
        <f t="shared" si="789"/>
        <v>1.7373549824484384</v>
      </c>
      <c r="AB299" s="150">
        <f t="shared" si="790"/>
        <v>3.3232705745031543</v>
      </c>
      <c r="AC299" s="150"/>
      <c r="AD299" s="150">
        <f t="shared" si="791"/>
        <v>0.9240372241971978</v>
      </c>
      <c r="AE299" s="314">
        <f t="shared" si="792"/>
        <v>1236.0573471402188</v>
      </c>
      <c r="AF299" s="456">
        <f t="shared" si="793"/>
        <v>0.94008583233491561</v>
      </c>
      <c r="AH299" s="150">
        <f t="shared" si="794"/>
        <v>11.235689986969321</v>
      </c>
      <c r="AI299" s="150">
        <f t="shared" si="795"/>
        <v>11.235689986969321</v>
      </c>
      <c r="AJ299" s="150">
        <f t="shared" si="796"/>
        <v>5.0333955010098226</v>
      </c>
      <c r="AL299" s="314">
        <f t="shared" si="797"/>
        <v>3320</v>
      </c>
      <c r="AM299" s="144">
        <f t="shared" si="798"/>
        <v>335.81826575669544</v>
      </c>
      <c r="AO299">
        <f t="shared" si="799"/>
        <v>3320</v>
      </c>
      <c r="AP299">
        <f t="shared" si="800"/>
        <v>335.81826575669544</v>
      </c>
      <c r="AR299" s="5">
        <f t="shared" si="771"/>
        <v>2.9778010965148414</v>
      </c>
      <c r="AS299" s="5">
        <f t="shared" si="737"/>
        <v>1.1041303688907471</v>
      </c>
      <c r="AT299" s="5">
        <f t="shared" si="738"/>
        <v>1.8736707276240943</v>
      </c>
      <c r="AU299" s="150">
        <f t="shared" si="739"/>
        <v>0.37078714565019105</v>
      </c>
      <c r="BA299" s="150">
        <f t="shared" si="845"/>
        <v>3.9500396516956764</v>
      </c>
      <c r="BB299" s="150">
        <f t="shared" si="846"/>
        <v>4.935848827526061</v>
      </c>
      <c r="BC299" s="150">
        <f t="shared" si="847"/>
        <v>0.99077673195609661</v>
      </c>
      <c r="BD299" s="150"/>
      <c r="BE299" s="456">
        <f t="shared" si="848"/>
        <v>0.18723375899961722</v>
      </c>
      <c r="BF299" s="456">
        <f t="shared" si="801"/>
        <v>5.4161112074634783</v>
      </c>
      <c r="BG299" s="456">
        <f t="shared" si="849"/>
        <v>3.8619100562019976E-2</v>
      </c>
      <c r="BH299" s="456">
        <f t="shared" si="850"/>
        <v>1.0751175533961732</v>
      </c>
      <c r="BI299">
        <f t="shared" si="851"/>
        <v>2.1522353692991748E-2</v>
      </c>
      <c r="BJ299" s="144">
        <f t="shared" si="852"/>
        <v>60.141454255011723</v>
      </c>
      <c r="BK299">
        <f t="shared" si="802"/>
        <v>7.0423048266284489</v>
      </c>
      <c r="BL299" s="144">
        <f t="shared" si="853"/>
        <v>6738.6039741142795</v>
      </c>
      <c r="BM299" s="150">
        <f t="shared" si="803"/>
        <v>2.2263919999999997</v>
      </c>
      <c r="BN299" s="150">
        <f t="shared" si="804"/>
        <v>0.33793449999999992</v>
      </c>
      <c r="BQ299" s="144">
        <f t="shared" si="854"/>
        <v>2564.3264999999997</v>
      </c>
      <c r="BR299" s="456">
        <f t="shared" si="855"/>
        <v>0.21843938549955341</v>
      </c>
      <c r="BS299" s="456">
        <f t="shared" si="856"/>
        <v>0.34107645107466544</v>
      </c>
      <c r="BT299" s="456">
        <f t="shared" si="857"/>
        <v>4.908192662928015E-3</v>
      </c>
      <c r="BU299" s="456">
        <f t="shared" si="858"/>
        <v>43.725034406763747</v>
      </c>
      <c r="BV299" s="456"/>
      <c r="BW299" s="538">
        <f t="shared" si="859"/>
        <v>4.2393942842936116</v>
      </c>
      <c r="BX299" s="144">
        <f t="shared" si="860"/>
        <v>48528.852720294504</v>
      </c>
      <c r="BY299" s="150">
        <f t="shared" si="861"/>
        <v>57.831783194408786</v>
      </c>
      <c r="BZ299" s="5">
        <f t="shared" si="862"/>
        <v>103.833</v>
      </c>
      <c r="CA299" s="150">
        <f t="shared" si="863"/>
        <v>0.64227346208813085</v>
      </c>
      <c r="CB299" s="5">
        <f t="shared" si="864"/>
        <v>64.227346208813088</v>
      </c>
      <c r="CC299">
        <f t="shared" si="865"/>
        <v>83</v>
      </c>
      <c r="CE299" s="59">
        <f t="shared" si="805"/>
        <v>-50</v>
      </c>
      <c r="CG299" s="150">
        <f t="shared" si="806"/>
        <v>0.60340146944910011</v>
      </c>
      <c r="CH299" s="150">
        <f t="shared" si="807"/>
        <v>0.13168788237577408</v>
      </c>
      <c r="CI299" s="147">
        <v>83</v>
      </c>
      <c r="CJ299" s="188">
        <f t="shared" si="866"/>
        <v>3.32</v>
      </c>
      <c r="CK299" s="188">
        <f t="shared" si="808"/>
        <v>0.7054999999999999</v>
      </c>
      <c r="CL299" s="188">
        <f t="shared" si="809"/>
        <v>99.6</v>
      </c>
      <c r="CM299" s="188">
        <f t="shared" si="810"/>
        <v>4.2329999999999997</v>
      </c>
      <c r="CN299" s="465">
        <f t="shared" si="811"/>
        <v>48</v>
      </c>
      <c r="CO299" s="379">
        <f t="shared" si="812"/>
        <v>30.7</v>
      </c>
      <c r="CP299" s="379">
        <f t="shared" si="813"/>
        <v>78.7</v>
      </c>
      <c r="CQ299" s="379"/>
      <c r="CR299" s="188">
        <f t="shared" si="814"/>
        <v>0.38775510204081626</v>
      </c>
      <c r="CS299" s="149">
        <f t="shared" si="815"/>
        <v>270.50715642699197</v>
      </c>
      <c r="CT299" s="149">
        <f t="shared" si="816"/>
        <v>11.496554148147156</v>
      </c>
      <c r="CU299" s="188">
        <f t="shared" si="817"/>
        <v>9.0169052142330663</v>
      </c>
      <c r="CV299" s="188">
        <f t="shared" si="818"/>
        <v>45.084526071165328</v>
      </c>
      <c r="CW299" s="188">
        <f t="shared" si="819"/>
        <v>30</v>
      </c>
      <c r="CX299" s="188">
        <f t="shared" si="820"/>
        <v>11.157493421052633</v>
      </c>
      <c r="CY299" s="188">
        <f t="shared" si="821"/>
        <v>1.0925045641447368</v>
      </c>
      <c r="CZ299" s="188">
        <f t="shared" si="822"/>
        <v>1.7081504585976344</v>
      </c>
      <c r="DA299" s="172">
        <f t="shared" si="823"/>
        <v>350</v>
      </c>
      <c r="DB299" s="379">
        <f t="shared" si="824"/>
        <v>350</v>
      </c>
      <c r="DD299" s="188">
        <f t="shared" si="825"/>
        <v>11.382534575916392</v>
      </c>
      <c r="DE299" s="150">
        <f t="shared" si="826"/>
        <v>1.7426030132510437</v>
      </c>
      <c r="DF299" s="150">
        <f t="shared" si="827"/>
        <v>3.3296564353233258</v>
      </c>
      <c r="DG299" s="150"/>
      <c r="DH299" s="150">
        <f t="shared" si="828"/>
        <v>0.92784522751949461</v>
      </c>
      <c r="DI299" s="314">
        <f t="shared" si="829"/>
        <v>1230.984399255319</v>
      </c>
      <c r="DJ299" s="456">
        <f t="shared" si="830"/>
        <v>0.94395997276890675</v>
      </c>
      <c r="DL299" s="150">
        <f t="shared" si="831"/>
        <v>11.235689986969321</v>
      </c>
      <c r="DM299" s="150">
        <f t="shared" si="832"/>
        <v>11.235689986969321</v>
      </c>
      <c r="DN299" s="150">
        <f t="shared" si="833"/>
        <v>5.0333955010098226</v>
      </c>
      <c r="DP299" s="314">
        <f t="shared" si="834"/>
        <v>3320</v>
      </c>
      <c r="DQ299" s="144">
        <f t="shared" si="835"/>
        <v>350</v>
      </c>
      <c r="DS299">
        <f t="shared" si="836"/>
        <v>3320</v>
      </c>
      <c r="DT299">
        <f t="shared" si="837"/>
        <v>350</v>
      </c>
      <c r="DV299" s="5">
        <f t="shared" si="867"/>
        <v>2.8571428571428572</v>
      </c>
      <c r="DW299" s="5">
        <f t="shared" si="838"/>
        <v>1.1001613112240793</v>
      </c>
      <c r="DX299" s="5">
        <f t="shared" si="839"/>
        <v>1.7569815459187779</v>
      </c>
      <c r="DY299" s="150">
        <f t="shared" si="840"/>
        <v>0.38505645892842777</v>
      </c>
      <c r="EA299" s="5">
        <f t="shared" si="868"/>
        <v>12.175118510879811</v>
      </c>
      <c r="EB299" s="5">
        <f t="shared" si="869"/>
        <v>12.936063417809796</v>
      </c>
      <c r="EC299" s="5">
        <f t="shared" si="870"/>
        <v>2.1445510045773313</v>
      </c>
      <c r="ED299" s="5"/>
      <c r="EE299" s="150">
        <f t="shared" si="871"/>
        <v>4.0253284862801113</v>
      </c>
      <c r="EF299" s="150">
        <f t="shared" si="872"/>
        <v>4.8795601837582758</v>
      </c>
      <c r="EG299" s="150">
        <f t="shared" si="873"/>
        <v>0.97947786919363222</v>
      </c>
      <c r="EH299" s="150"/>
      <c r="EI299" s="456">
        <f t="shared" si="874"/>
        <v>0.19443923306949759</v>
      </c>
      <c r="EJ299" s="456">
        <f t="shared" si="875"/>
        <v>5.88025453313033</v>
      </c>
      <c r="EK299" s="456">
        <f t="shared" si="876"/>
        <v>4.0250000000000001E-2</v>
      </c>
      <c r="EL299" s="456">
        <f t="shared" si="877"/>
        <v>1.1218321012500001</v>
      </c>
      <c r="EM299">
        <f t="shared" si="878"/>
        <v>2.1600000000000001E-2</v>
      </c>
      <c r="EN299" s="144">
        <f t="shared" si="879"/>
        <v>61.85</v>
      </c>
      <c r="EP299" s="144">
        <f t="shared" si="880"/>
        <v>7258.3758674498285</v>
      </c>
      <c r="EQ299" s="150">
        <f t="shared" si="881"/>
        <v>2.3239999999999998</v>
      </c>
      <c r="ER299" s="150">
        <f t="shared" si="841"/>
        <v>0.33793449999999992</v>
      </c>
      <c r="ES299" s="456"/>
      <c r="EU299" s="144">
        <f t="shared" si="882"/>
        <v>2661.9344999999998</v>
      </c>
      <c r="EV299" s="456">
        <f t="shared" si="883"/>
        <v>0.22684577191441385</v>
      </c>
      <c r="EW299" s="456">
        <f t="shared" si="884"/>
        <v>0.33334150621686737</v>
      </c>
      <c r="EX299" s="456">
        <f t="shared" si="885"/>
        <v>4.7968844812004904E-3</v>
      </c>
      <c r="EY299" s="456">
        <f t="shared" si="886"/>
        <v>48.488582081150646</v>
      </c>
      <c r="EZ299" s="456"/>
      <c r="FA299" s="538">
        <f t="shared" si="887"/>
        <v>4.4184255319148935</v>
      </c>
      <c r="FB299" s="144">
        <f t="shared" si="888"/>
        <v>53471.99177567802</v>
      </c>
      <c r="FC299" s="150">
        <f t="shared" si="889"/>
        <v>63.39230214312785</v>
      </c>
      <c r="FD299" s="5">
        <f t="shared" si="890"/>
        <v>103.833</v>
      </c>
      <c r="FE299" s="150">
        <f t="shared" si="891"/>
        <v>0.62091680307522779</v>
      </c>
      <c r="FF299" s="5">
        <f t="shared" si="892"/>
        <v>62.091680307522779</v>
      </c>
      <c r="FG299">
        <f t="shared" si="893"/>
        <v>83</v>
      </c>
      <c r="FI299" s="59">
        <f t="shared" si="842"/>
        <v>-50</v>
      </c>
    </row>
    <row r="300" spans="5:165">
      <c r="E300" s="147">
        <v>84</v>
      </c>
      <c r="F300" s="188">
        <f t="shared" si="843"/>
        <v>3.36</v>
      </c>
      <c r="G300" s="188">
        <f t="shared" si="772"/>
        <v>0.71399999999999997</v>
      </c>
      <c r="H300" s="188">
        <f t="shared" si="773"/>
        <v>100.8</v>
      </c>
      <c r="I300" s="188">
        <f t="shared" si="774"/>
        <v>4.2839999999999998</v>
      </c>
      <c r="J300" s="465">
        <f t="shared" si="775"/>
        <v>47.826416321361165</v>
      </c>
      <c r="K300" s="379">
        <f t="shared" si="776"/>
        <v>30.827276089724677</v>
      </c>
      <c r="L300" s="149">
        <f t="shared" si="777"/>
        <v>78.653692411085842</v>
      </c>
      <c r="M300" s="379"/>
      <c r="N300" s="188">
        <f t="shared" si="778"/>
        <v>0.39193679463393799</v>
      </c>
      <c r="O300" s="149">
        <f t="shared" si="779"/>
        <v>272.43561240930967</v>
      </c>
      <c r="P300" s="149">
        <f t="shared" si="780"/>
        <v>11.578513527395661</v>
      </c>
      <c r="Q300" s="188">
        <f t="shared" si="781"/>
        <v>9.0811870803103218</v>
      </c>
      <c r="R300" s="188">
        <f t="shared" si="782"/>
        <v>45.405935401551609</v>
      </c>
      <c r="S300" s="188">
        <f t="shared" si="783"/>
        <v>30</v>
      </c>
      <c r="T300" s="188">
        <f t="shared" si="784"/>
        <v>11.211990339780831</v>
      </c>
      <c r="U300" s="188">
        <f t="shared" si="785"/>
        <v>1.1018252808842304</v>
      </c>
      <c r="V300" s="188">
        <f t="shared" si="786"/>
        <v>1.7094067748183113</v>
      </c>
      <c r="W300" s="172">
        <f t="shared" si="787"/>
        <v>350</v>
      </c>
      <c r="X300" s="379">
        <f t="shared" si="844"/>
        <v>332.08998227361553</v>
      </c>
      <c r="Z300" s="188">
        <f t="shared" si="788"/>
        <v>11.395095630287264</v>
      </c>
      <c r="AA300" s="150">
        <f t="shared" si="789"/>
        <v>1.7373234439030343</v>
      </c>
      <c r="AB300" s="150">
        <f t="shared" si="790"/>
        <v>3.323231834247137</v>
      </c>
      <c r="AC300" s="150"/>
      <c r="AD300" s="150">
        <f t="shared" si="791"/>
        <v>0.92401444752827278</v>
      </c>
      <c r="AE300" s="314">
        <f t="shared" si="792"/>
        <v>1250.9804398536</v>
      </c>
      <c r="AF300" s="456">
        <f t="shared" si="793"/>
        <v>0.94006266008253903</v>
      </c>
      <c r="AH300" s="150">
        <f t="shared" si="794"/>
        <v>11.303172215252653</v>
      </c>
      <c r="AI300" s="150">
        <f t="shared" si="795"/>
        <v>11.211990339780831</v>
      </c>
      <c r="AJ300" s="150">
        <f t="shared" si="796"/>
        <v>5.0158402067961267</v>
      </c>
      <c r="AL300" s="314">
        <f t="shared" si="797"/>
        <v>3360</v>
      </c>
      <c r="AM300" s="144">
        <f t="shared" si="798"/>
        <v>332.08998227361553</v>
      </c>
      <c r="AO300">
        <f t="shared" si="799"/>
        <v>3360</v>
      </c>
      <c r="AP300">
        <f t="shared" si="800"/>
        <v>332.08998227361553</v>
      </c>
      <c r="AR300" s="5">
        <f t="shared" si="771"/>
        <v>3.0112320557025418</v>
      </c>
      <c r="AS300" s="5">
        <f t="shared" si="737"/>
        <v>1.1018252808842304</v>
      </c>
      <c r="AT300" s="5">
        <f t="shared" si="738"/>
        <v>1.9094067748183114</v>
      </c>
      <c r="AU300" s="150">
        <f t="shared" si="739"/>
        <v>0.36590513799746555</v>
      </c>
      <c r="BA300" s="150">
        <f t="shared" si="845"/>
        <v>3.9156723236766839</v>
      </c>
      <c r="BB300" s="150">
        <f t="shared" si="846"/>
        <v>4.9445086498615654</v>
      </c>
      <c r="BC300" s="150">
        <f t="shared" si="847"/>
        <v>0.99251502475490394</v>
      </c>
      <c r="BD300" s="150"/>
      <c r="BE300" s="456">
        <f t="shared" si="848"/>
        <v>0.18398987695689076</v>
      </c>
      <c r="BF300" s="456">
        <f t="shared" si="801"/>
        <v>5.344664815990682</v>
      </c>
      <c r="BG300" s="456">
        <f t="shared" si="849"/>
        <v>3.8190347961465788E-2</v>
      </c>
      <c r="BH300" s="456">
        <f t="shared" si="850"/>
        <v>1.0631740310944375</v>
      </c>
      <c r="BI300">
        <f t="shared" si="851"/>
        <v>2.1521887344612523E-2</v>
      </c>
      <c r="BJ300" s="144">
        <f t="shared" si="852"/>
        <v>59.712235306078313</v>
      </c>
      <c r="BK300">
        <f t="shared" si="802"/>
        <v>6.9451187664568019</v>
      </c>
      <c r="BL300" s="144">
        <f t="shared" si="853"/>
        <v>6651.540959348089</v>
      </c>
      <c r="BM300" s="150">
        <f t="shared" si="803"/>
        <v>2.2532159999999997</v>
      </c>
      <c r="BN300" s="150">
        <f t="shared" si="804"/>
        <v>0.34200599999999998</v>
      </c>
      <c r="BQ300" s="144">
        <f t="shared" si="854"/>
        <v>2595.2219999999998</v>
      </c>
      <c r="BR300" s="456">
        <f t="shared" si="855"/>
        <v>0.21465485644970589</v>
      </c>
      <c r="BS300" s="456">
        <f t="shared" si="856"/>
        <v>0.34227432103978178</v>
      </c>
      <c r="BT300" s="456">
        <f t="shared" si="857"/>
        <v>4.9254303718211379E-3</v>
      </c>
      <c r="BU300" s="456">
        <f t="shared" si="858"/>
        <v>42.297649011919908</v>
      </c>
      <c r="BV300" s="456"/>
      <c r="BW300" s="538">
        <f t="shared" si="859"/>
        <v>4.1746609047043348</v>
      </c>
      <c r="BX300" s="144">
        <f t="shared" si="860"/>
        <v>47034.164524485546</v>
      </c>
      <c r="BY300" s="150">
        <f t="shared" si="861"/>
        <v>56.280927483833636</v>
      </c>
      <c r="BZ300" s="5">
        <f t="shared" si="862"/>
        <v>105.084</v>
      </c>
      <c r="CA300" s="150">
        <f t="shared" si="863"/>
        <v>0.65121957812380171</v>
      </c>
      <c r="CB300" s="5">
        <f t="shared" si="864"/>
        <v>65.121957812380174</v>
      </c>
      <c r="CC300">
        <f t="shared" si="865"/>
        <v>84</v>
      </c>
      <c r="CE300" s="59">
        <f t="shared" si="805"/>
        <v>-50</v>
      </c>
      <c r="CG300" s="150">
        <f t="shared" si="806"/>
        <v>0.60702553488300637</v>
      </c>
      <c r="CH300" s="150">
        <f t="shared" si="807"/>
        <v>0.13247880769953588</v>
      </c>
      <c r="CI300" s="147">
        <v>84</v>
      </c>
      <c r="CJ300" s="188">
        <f t="shared" si="866"/>
        <v>3.36</v>
      </c>
      <c r="CK300" s="188">
        <f t="shared" si="808"/>
        <v>0.71399999999999997</v>
      </c>
      <c r="CL300" s="188">
        <f t="shared" si="809"/>
        <v>100.8</v>
      </c>
      <c r="CM300" s="188">
        <f t="shared" si="810"/>
        <v>4.2839999999999998</v>
      </c>
      <c r="CN300" s="465">
        <f t="shared" si="811"/>
        <v>48</v>
      </c>
      <c r="CO300" s="379">
        <f t="shared" si="812"/>
        <v>30.7</v>
      </c>
      <c r="CP300" s="379">
        <f t="shared" si="813"/>
        <v>78.7</v>
      </c>
      <c r="CQ300" s="379"/>
      <c r="CR300" s="188">
        <f t="shared" si="814"/>
        <v>0.38775510204081626</v>
      </c>
      <c r="CS300" s="149">
        <f t="shared" si="815"/>
        <v>270.50715642699197</v>
      </c>
      <c r="CT300" s="149">
        <f t="shared" si="816"/>
        <v>11.496554148147156</v>
      </c>
      <c r="CU300" s="188">
        <f t="shared" si="817"/>
        <v>9.0169052142330663</v>
      </c>
      <c r="CV300" s="188">
        <f t="shared" si="818"/>
        <v>45.084526071165328</v>
      </c>
      <c r="CW300" s="188">
        <f t="shared" si="819"/>
        <v>30</v>
      </c>
      <c r="CX300" s="188">
        <f t="shared" si="820"/>
        <v>11.291921052631581</v>
      </c>
      <c r="CY300" s="188">
        <f t="shared" si="821"/>
        <v>1.1056672697368422</v>
      </c>
      <c r="CZ300" s="188">
        <f t="shared" si="822"/>
        <v>1.7287305846048349</v>
      </c>
      <c r="DA300" s="172">
        <f t="shared" si="823"/>
        <v>350</v>
      </c>
      <c r="DB300" s="379">
        <f t="shared" si="824"/>
        <v>350</v>
      </c>
      <c r="DD300" s="188">
        <f t="shared" si="825"/>
        <v>11.382534575916392</v>
      </c>
      <c r="DE300" s="150">
        <f t="shared" si="826"/>
        <v>1.7426030132510437</v>
      </c>
      <c r="DF300" s="150">
        <f t="shared" si="827"/>
        <v>3.3296564353233258</v>
      </c>
      <c r="DG300" s="150"/>
      <c r="DH300" s="150">
        <f t="shared" si="828"/>
        <v>0.92784522751949461</v>
      </c>
      <c r="DI300" s="314">
        <f t="shared" si="829"/>
        <v>1245.8155365957448</v>
      </c>
      <c r="DJ300" s="456">
        <f t="shared" si="830"/>
        <v>0.94395997276890675</v>
      </c>
      <c r="DL300" s="150">
        <f t="shared" si="831"/>
        <v>11.303172215252653</v>
      </c>
      <c r="DM300" s="150">
        <f t="shared" si="832"/>
        <v>11.291921052631581</v>
      </c>
      <c r="DN300" s="150">
        <f t="shared" si="833"/>
        <v>5.0750481422411262</v>
      </c>
      <c r="DP300" s="314">
        <f t="shared" si="834"/>
        <v>3360</v>
      </c>
      <c r="DQ300" s="144">
        <f t="shared" si="835"/>
        <v>350</v>
      </c>
      <c r="DS300">
        <f t="shared" si="836"/>
        <v>3360</v>
      </c>
      <c r="DT300">
        <f t="shared" si="837"/>
        <v>350</v>
      </c>
      <c r="DV300" s="5">
        <f t="shared" si="867"/>
        <v>2.8571428571428572</v>
      </c>
      <c r="DW300" s="5">
        <f t="shared" si="838"/>
        <v>1.1056672697368422</v>
      </c>
      <c r="DX300" s="5">
        <f t="shared" si="839"/>
        <v>1.7514755874060151</v>
      </c>
      <c r="DY300" s="150">
        <f t="shared" si="840"/>
        <v>0.38698354440789473</v>
      </c>
      <c r="EA300" s="5">
        <f t="shared" si="868"/>
        <v>12.383473421052631</v>
      </c>
      <c r="EB300" s="5">
        <f t="shared" si="869"/>
        <v>13.157440509868421</v>
      </c>
      <c r="EC300" s="5">
        <f t="shared" si="870"/>
        <v>2.1635874903250771</v>
      </c>
      <c r="ED300" s="5"/>
      <c r="EE300" s="150">
        <f t="shared" si="871"/>
        <v>4.0555845020038657</v>
      </c>
      <c r="EF300" s="150">
        <f t="shared" si="872"/>
        <v>4.8962908563310803</v>
      </c>
      <c r="EG300" s="150">
        <f t="shared" si="873"/>
        <v>0.98283622996891951</v>
      </c>
      <c r="EH300" s="150"/>
      <c r="EI300" s="456">
        <f t="shared" si="874"/>
        <v>0.19737318783472732</v>
      </c>
      <c r="EJ300" s="456">
        <f t="shared" si="875"/>
        <v>5.909683342500001</v>
      </c>
      <c r="EK300" s="456">
        <f t="shared" si="876"/>
        <v>4.0250000000000001E-2</v>
      </c>
      <c r="EL300" s="456">
        <f t="shared" si="877"/>
        <v>1.1218321012500001</v>
      </c>
      <c r="EM300">
        <f t="shared" si="878"/>
        <v>2.1600000000000001E-2</v>
      </c>
      <c r="EN300" s="144">
        <f t="shared" si="879"/>
        <v>61.85</v>
      </c>
      <c r="EP300" s="144">
        <f t="shared" si="880"/>
        <v>7290.7386315847289</v>
      </c>
      <c r="EQ300" s="150">
        <f t="shared" si="881"/>
        <v>2.3519999999999999</v>
      </c>
      <c r="ER300" s="150">
        <f t="shared" si="841"/>
        <v>0.34200599999999998</v>
      </c>
      <c r="ES300" s="456"/>
      <c r="EU300" s="144">
        <f t="shared" si="882"/>
        <v>2694.0059999999999</v>
      </c>
      <c r="EV300" s="456">
        <f t="shared" si="883"/>
        <v>0.23026871914051519</v>
      </c>
      <c r="EW300" s="456">
        <f t="shared" si="884"/>
        <v>0.33563129809707881</v>
      </c>
      <c r="EX300" s="456">
        <f t="shared" si="885"/>
        <v>4.8298352746975947E-3</v>
      </c>
      <c r="EY300" s="456">
        <f t="shared" si="886"/>
        <v>49.097536086379286</v>
      </c>
      <c r="EZ300" s="456"/>
      <c r="FA300" s="538">
        <f t="shared" si="887"/>
        <v>4.4627618370602518</v>
      </c>
      <c r="FB300" s="144">
        <f t="shared" si="888"/>
        <v>54131.027775951829</v>
      </c>
      <c r="FC300" s="150">
        <f t="shared" si="889"/>
        <v>64.115772407536554</v>
      </c>
      <c r="FD300" s="5">
        <f t="shared" si="890"/>
        <v>105.084</v>
      </c>
      <c r="FE300" s="150">
        <f t="shared" si="891"/>
        <v>0.62106466518698056</v>
      </c>
      <c r="FF300" s="5">
        <f t="shared" si="892"/>
        <v>62.106466518698056</v>
      </c>
      <c r="FG300">
        <f t="shared" si="893"/>
        <v>84</v>
      </c>
      <c r="FI300" s="59">
        <f t="shared" si="842"/>
        <v>-50</v>
      </c>
    </row>
    <row r="301" spans="5:165">
      <c r="E301" s="147">
        <v>85</v>
      </c>
      <c r="F301" s="188">
        <f t="shared" si="843"/>
        <v>3.4</v>
      </c>
      <c r="G301" s="188">
        <f t="shared" si="772"/>
        <v>0.72249999999999992</v>
      </c>
      <c r="H301" s="188">
        <f t="shared" si="773"/>
        <v>102</v>
      </c>
      <c r="I301" s="188">
        <f t="shared" si="774"/>
        <v>4.3349999999999991</v>
      </c>
      <c r="J301" s="465">
        <f t="shared" si="775"/>
        <v>47.825050399565356</v>
      </c>
      <c r="K301" s="379">
        <f t="shared" si="776"/>
        <v>30.828277619283238</v>
      </c>
      <c r="L301" s="149">
        <f t="shared" si="777"/>
        <v>78.653328018848597</v>
      </c>
      <c r="M301" s="379"/>
      <c r="N301" s="188">
        <f t="shared" si="778"/>
        <v>0.39195134390111891</v>
      </c>
      <c r="O301" s="149">
        <f t="shared" si="779"/>
        <v>272.43794457159197</v>
      </c>
      <c r="P301" s="149">
        <f t="shared" si="780"/>
        <v>11.578612644292658</v>
      </c>
      <c r="Q301" s="188">
        <f t="shared" si="781"/>
        <v>9.0812648190530663</v>
      </c>
      <c r="R301" s="188">
        <f t="shared" si="782"/>
        <v>45.406324095265326</v>
      </c>
      <c r="S301" s="188">
        <f t="shared" si="783"/>
        <v>30</v>
      </c>
      <c r="T301" s="188">
        <f t="shared" si="784"/>
        <v>11.34536929416913</v>
      </c>
      <c r="U301" s="188">
        <f t="shared" si="785"/>
        <v>1.1149645475978323</v>
      </c>
      <c r="V301" s="188">
        <f t="shared" si="786"/>
        <v>1.7296858533945785</v>
      </c>
      <c r="W301" s="172">
        <f t="shared" si="787"/>
        <v>350</v>
      </c>
      <c r="X301" s="379">
        <f t="shared" si="844"/>
        <v>328.44493399769237</v>
      </c>
      <c r="Z301" s="188">
        <f t="shared" si="788"/>
        <v>11.39519317705069</v>
      </c>
      <c r="AA301" s="150">
        <f t="shared" si="789"/>
        <v>1.7372818745682315</v>
      </c>
      <c r="AB301" s="150">
        <f t="shared" si="790"/>
        <v>3.3231807660876789</v>
      </c>
      <c r="AC301" s="150"/>
      <c r="AD301" s="150">
        <f t="shared" si="791"/>
        <v>0.9239844287321155</v>
      </c>
      <c r="AE301" s="314">
        <f t="shared" si="792"/>
        <v>1265.9141903560353</v>
      </c>
      <c r="AF301" s="456">
        <f t="shared" si="793"/>
        <v>0.94003211992221614</v>
      </c>
      <c r="AH301" s="150">
        <f t="shared" si="794"/>
        <v>11.370253944922975</v>
      </c>
      <c r="AI301" s="150">
        <f t="shared" si="795"/>
        <v>11.34536929416913</v>
      </c>
      <c r="AJ301" s="150">
        <f t="shared" si="796"/>
        <v>5.1146394322689401</v>
      </c>
      <c r="AL301" s="314">
        <f t="shared" si="797"/>
        <v>3400</v>
      </c>
      <c r="AM301" s="144">
        <f t="shared" si="798"/>
        <v>328.44493399769237</v>
      </c>
      <c r="AO301">
        <f t="shared" si="799"/>
        <v>3400</v>
      </c>
      <c r="AP301">
        <f t="shared" si="800"/>
        <v>328.44493399769237</v>
      </c>
      <c r="AR301" s="5">
        <f t="shared" si="771"/>
        <v>3.0446504009924111</v>
      </c>
      <c r="AS301" s="5">
        <f t="shared" si="737"/>
        <v>1.1149645475978323</v>
      </c>
      <c r="AT301" s="5">
        <f t="shared" si="738"/>
        <v>1.9296858533945789</v>
      </c>
      <c r="AU301" s="150">
        <f t="shared" si="739"/>
        <v>0.36620445724553691</v>
      </c>
      <c r="BA301" s="150">
        <f t="shared" si="845"/>
        <v>3.9638738301512704</v>
      </c>
      <c r="BB301" s="150">
        <f t="shared" si="846"/>
        <v>5.002147988012589</v>
      </c>
      <c r="BC301" s="150">
        <f t="shared" si="847"/>
        <v>1.0040850134399115</v>
      </c>
      <c r="BD301" s="150"/>
      <c r="BE301" s="456">
        <f t="shared" si="848"/>
        <v>0.18854754889629724</v>
      </c>
      <c r="BF301" s="456">
        <f t="shared" si="801"/>
        <v>5.3488593319107123</v>
      </c>
      <c r="BG301" s="456">
        <f t="shared" si="849"/>
        <v>3.7771167409734629E-2</v>
      </c>
      <c r="BH301" s="456">
        <f t="shared" si="850"/>
        <v>1.0514947983270897</v>
      </c>
      <c r="BI301">
        <f t="shared" si="851"/>
        <v>2.1521272679804408E-2</v>
      </c>
      <c r="BJ301" s="144">
        <f t="shared" si="852"/>
        <v>59.292440089539035</v>
      </c>
      <c r="BK301">
        <f t="shared" si="802"/>
        <v>6.9512163467741352</v>
      </c>
      <c r="BL301" s="144">
        <f t="shared" si="853"/>
        <v>6648.1941192236372</v>
      </c>
      <c r="BM301" s="150">
        <f t="shared" si="803"/>
        <v>2.2800399999999996</v>
      </c>
      <c r="BN301" s="150">
        <f t="shared" si="804"/>
        <v>0.34607749999999993</v>
      </c>
      <c r="BQ301" s="144">
        <f t="shared" si="854"/>
        <v>2626.1174999999994</v>
      </c>
      <c r="BR301" s="456">
        <f t="shared" si="855"/>
        <v>0.21997214037901344</v>
      </c>
      <c r="BS301" s="456">
        <f t="shared" si="856"/>
        <v>0.3503007829156975</v>
      </c>
      <c r="BT301" s="456">
        <f t="shared" si="857"/>
        <v>5.0409335710731367E-3</v>
      </c>
      <c r="BU301" s="456">
        <f t="shared" si="858"/>
        <v>42.381177171821307</v>
      </c>
      <c r="BV301" s="456"/>
      <c r="BW301" s="538">
        <f t="shared" si="859"/>
        <v>4.2276579399434508</v>
      </c>
      <c r="BX301" s="144">
        <f t="shared" si="860"/>
        <v>47184.148968630536</v>
      </c>
      <c r="BY301" s="150">
        <f t="shared" si="861"/>
        <v>56.458460587854177</v>
      </c>
      <c r="BZ301" s="5">
        <f t="shared" si="862"/>
        <v>106.33499999999999</v>
      </c>
      <c r="CA301" s="150">
        <f t="shared" si="863"/>
        <v>0.65318962823211546</v>
      </c>
      <c r="CB301" s="5">
        <f t="shared" si="864"/>
        <v>65.31896282321155</v>
      </c>
      <c r="CC301">
        <f t="shared" si="865"/>
        <v>85</v>
      </c>
      <c r="CE301" s="59">
        <f t="shared" si="805"/>
        <v>-50</v>
      </c>
      <c r="CG301" s="150">
        <f t="shared" si="806"/>
        <v>0.60945624682956023</v>
      </c>
      <c r="CH301" s="150">
        <f t="shared" si="807"/>
        <v>0.13300929250130375</v>
      </c>
      <c r="CI301" s="147">
        <v>85</v>
      </c>
      <c r="CJ301" s="188">
        <f t="shared" si="866"/>
        <v>3.4</v>
      </c>
      <c r="CK301" s="188">
        <f t="shared" si="808"/>
        <v>0.72249999999999992</v>
      </c>
      <c r="CL301" s="188">
        <f t="shared" si="809"/>
        <v>102</v>
      </c>
      <c r="CM301" s="188">
        <f t="shared" si="810"/>
        <v>4.3349999999999991</v>
      </c>
      <c r="CN301" s="465">
        <f t="shared" si="811"/>
        <v>48</v>
      </c>
      <c r="CO301" s="379">
        <f t="shared" si="812"/>
        <v>30.7</v>
      </c>
      <c r="CP301" s="379">
        <f t="shared" si="813"/>
        <v>78.7</v>
      </c>
      <c r="CQ301" s="379"/>
      <c r="CR301" s="188">
        <f t="shared" si="814"/>
        <v>0.38775510204081626</v>
      </c>
      <c r="CS301" s="149">
        <f t="shared" si="815"/>
        <v>270.50715642699197</v>
      </c>
      <c r="CT301" s="149">
        <f t="shared" si="816"/>
        <v>11.496554148147156</v>
      </c>
      <c r="CU301" s="188">
        <f t="shared" si="817"/>
        <v>9.0169052142330663</v>
      </c>
      <c r="CV301" s="188">
        <f t="shared" si="818"/>
        <v>45.084526071165328</v>
      </c>
      <c r="CW301" s="188">
        <f t="shared" si="819"/>
        <v>30</v>
      </c>
      <c r="CX301" s="188">
        <f t="shared" si="820"/>
        <v>11.426348684210529</v>
      </c>
      <c r="CY301" s="188">
        <f t="shared" si="821"/>
        <v>1.1188299753289475</v>
      </c>
      <c r="CZ301" s="188">
        <f t="shared" si="822"/>
        <v>1.7493107106120354</v>
      </c>
      <c r="DA301" s="172">
        <f t="shared" si="823"/>
        <v>350</v>
      </c>
      <c r="DB301" s="379">
        <f t="shared" si="824"/>
        <v>348.65793191449359</v>
      </c>
      <c r="DD301" s="188">
        <f t="shared" si="825"/>
        <v>11.382534575916392</v>
      </c>
      <c r="DE301" s="150">
        <f t="shared" si="826"/>
        <v>1.7426030132510437</v>
      </c>
      <c r="DF301" s="150">
        <f t="shared" si="827"/>
        <v>3.3296564353233258</v>
      </c>
      <c r="DG301" s="150"/>
      <c r="DH301" s="150">
        <f t="shared" si="828"/>
        <v>0.92784522751949461</v>
      </c>
      <c r="DI301" s="314">
        <f t="shared" si="829"/>
        <v>1260.6466739361701</v>
      </c>
      <c r="DJ301" s="456">
        <f t="shared" si="830"/>
        <v>0.94395997276890675</v>
      </c>
      <c r="DL301" s="150">
        <f t="shared" si="831"/>
        <v>11.370253944922975</v>
      </c>
      <c r="DM301" s="150">
        <f t="shared" si="832"/>
        <v>11.426348684210529</v>
      </c>
      <c r="DN301" s="150">
        <f t="shared" si="833"/>
        <v>5.1746241656329399</v>
      </c>
      <c r="DP301" s="314">
        <f t="shared" si="834"/>
        <v>3400</v>
      </c>
      <c r="DQ301" s="144">
        <f t="shared" si="835"/>
        <v>348.65793191449359</v>
      </c>
      <c r="DS301">
        <f t="shared" si="836"/>
        <v>3400</v>
      </c>
      <c r="DT301">
        <f t="shared" si="837"/>
        <v>348.65793191449359</v>
      </c>
      <c r="DV301" s="5">
        <f t="shared" si="867"/>
        <v>2.8681406859409821</v>
      </c>
      <c r="DW301" s="5">
        <f t="shared" si="838"/>
        <v>1.1188299753289475</v>
      </c>
      <c r="DX301" s="5">
        <f t="shared" si="839"/>
        <v>1.7493107106120347</v>
      </c>
      <c r="DY301" s="150">
        <f t="shared" si="840"/>
        <v>0.39008894536213473</v>
      </c>
      <c r="EA301" s="5">
        <f t="shared" si="868"/>
        <v>12.680073053728071</v>
      </c>
      <c r="EB301" s="5">
        <f t="shared" si="869"/>
        <v>13.472577619586072</v>
      </c>
      <c r="EC301" s="5">
        <f t="shared" si="870"/>
        <v>2.1866383882650431</v>
      </c>
      <c r="ED301" s="5"/>
      <c r="EE301" s="150">
        <f t="shared" si="871"/>
        <v>4.1202983748620365</v>
      </c>
      <c r="EF301" s="150">
        <f t="shared" si="872"/>
        <v>4.9420147159255432</v>
      </c>
      <c r="EG301" s="150">
        <f t="shared" si="873"/>
        <v>0.99201441547751568</v>
      </c>
      <c r="EH301" s="150"/>
      <c r="EI301" s="456">
        <f t="shared" si="874"/>
        <v>0.20372230437468888</v>
      </c>
      <c r="EJ301" s="456">
        <f t="shared" si="875"/>
        <v>5.9571063829787256</v>
      </c>
      <c r="EK301" s="456">
        <f t="shared" si="876"/>
        <v>4.009566217016676E-2</v>
      </c>
      <c r="EL301" s="456">
        <f t="shared" si="877"/>
        <v>1.1175304582203309</v>
      </c>
      <c r="EM301">
        <f t="shared" si="878"/>
        <v>2.1600000000000001E-2</v>
      </c>
      <c r="EN301" s="144">
        <f t="shared" si="879"/>
        <v>61.695662170166763</v>
      </c>
      <c r="EP301" s="144">
        <f t="shared" si="880"/>
        <v>7340.0548077439116</v>
      </c>
      <c r="EQ301" s="150">
        <f t="shared" si="881"/>
        <v>2.38</v>
      </c>
      <c r="ER301" s="150">
        <f t="shared" si="841"/>
        <v>0.34607749999999993</v>
      </c>
      <c r="ES301" s="456"/>
      <c r="EU301" s="144">
        <f t="shared" si="882"/>
        <v>2726.0774999999999</v>
      </c>
      <c r="EV301" s="456">
        <f t="shared" si="883"/>
        <v>0.23767602177047037</v>
      </c>
      <c r="EW301" s="456">
        <f t="shared" si="884"/>
        <v>0.34192913233394479</v>
      </c>
      <c r="EX301" s="456">
        <f t="shared" si="885"/>
        <v>4.9204630025759854E-3</v>
      </c>
      <c r="EY301" s="456">
        <f t="shared" si="886"/>
        <v>50.088446331060055</v>
      </c>
      <c r="EZ301" s="456"/>
      <c r="FA301" s="538">
        <f t="shared" si="887"/>
        <v>4.5521283141076108</v>
      </c>
      <c r="FB301" s="144">
        <f t="shared" si="888"/>
        <v>55225.10026227466</v>
      </c>
      <c r="FC301" s="150">
        <f t="shared" si="889"/>
        <v>65.291232570018565</v>
      </c>
      <c r="FD301" s="5">
        <f t="shared" si="890"/>
        <v>106.33499999999999</v>
      </c>
      <c r="FE301" s="150">
        <f t="shared" si="891"/>
        <v>0.61957311774363155</v>
      </c>
      <c r="FF301" s="5">
        <f t="shared" si="892"/>
        <v>61.957311774363156</v>
      </c>
      <c r="FG301">
        <f t="shared" si="893"/>
        <v>85</v>
      </c>
      <c r="FI301" s="59">
        <f t="shared" si="842"/>
        <v>-50</v>
      </c>
    </row>
    <row r="302" spans="5:165">
      <c r="E302" s="147">
        <v>86</v>
      </c>
      <c r="F302" s="188">
        <f t="shared" si="843"/>
        <v>3.44</v>
      </c>
      <c r="G302" s="188">
        <f t="shared" si="772"/>
        <v>0.73099999999999998</v>
      </c>
      <c r="H302" s="188">
        <f t="shared" si="773"/>
        <v>103.2</v>
      </c>
      <c r="I302" s="188">
        <f t="shared" si="774"/>
        <v>4.3860000000000001</v>
      </c>
      <c r="J302" s="465">
        <f t="shared" si="775"/>
        <v>47.822992168972007</v>
      </c>
      <c r="K302" s="379">
        <f t="shared" si="776"/>
        <v>30.829786767745397</v>
      </c>
      <c r="L302" s="149">
        <f t="shared" si="777"/>
        <v>78.652778936717397</v>
      </c>
      <c r="M302" s="379"/>
      <c r="N302" s="188">
        <f t="shared" si="778"/>
        <v>0.39197326762669743</v>
      </c>
      <c r="O302" s="149">
        <f t="shared" si="779"/>
        <v>272.44145786146248</v>
      </c>
      <c r="P302" s="149">
        <f t="shared" si="780"/>
        <v>11.578761959112153</v>
      </c>
      <c r="Q302" s="188">
        <f t="shared" si="781"/>
        <v>9.0813819287154161</v>
      </c>
      <c r="R302" s="188">
        <f t="shared" si="782"/>
        <v>45.40690964357708</v>
      </c>
      <c r="S302" s="188">
        <f t="shared" si="783"/>
        <v>30</v>
      </c>
      <c r="T302" s="188">
        <f t="shared" si="784"/>
        <v>11.478696200719048</v>
      </c>
      <c r="U302" s="188">
        <f t="shared" si="785"/>
        <v>1.1281157806429079</v>
      </c>
      <c r="V302" s="188">
        <f t="shared" si="786"/>
        <v>1.749926866176795</v>
      </c>
      <c r="W302" s="172">
        <f t="shared" si="787"/>
        <v>350</v>
      </c>
      <c r="X302" s="379">
        <f t="shared" si="844"/>
        <v>324.8817884421519</v>
      </c>
      <c r="Z302" s="188">
        <f t="shared" si="788"/>
        <v>11.395340126539768</v>
      </c>
      <c r="AA302" s="150">
        <f t="shared" si="789"/>
        <v>1.7372192353522931</v>
      </c>
      <c r="AB302" s="150">
        <f t="shared" si="790"/>
        <v>3.3231037992433343</v>
      </c>
      <c r="AC302" s="150"/>
      <c r="AD302" s="150">
        <f t="shared" si="791"/>
        <v>0.92393919878322917</v>
      </c>
      <c r="AE302" s="314">
        <f t="shared" si="792"/>
        <v>1280.8699983272979</v>
      </c>
      <c r="AF302" s="456">
        <f t="shared" si="793"/>
        <v>0.93998610442302211</v>
      </c>
      <c r="AH302" s="150">
        <f t="shared" si="794"/>
        <v>11.436942223182443</v>
      </c>
      <c r="AI302" s="150">
        <f t="shared" si="795"/>
        <v>11.478696200719048</v>
      </c>
      <c r="AJ302" s="150">
        <f t="shared" si="796"/>
        <v>5.2134001037873983</v>
      </c>
      <c r="AL302" s="314">
        <f t="shared" si="797"/>
        <v>3440</v>
      </c>
      <c r="AM302" s="144">
        <f t="shared" si="798"/>
        <v>324.8817884421519</v>
      </c>
      <c r="AO302">
        <f t="shared" si="799"/>
        <v>3440</v>
      </c>
      <c r="AP302">
        <f t="shared" si="800"/>
        <v>324.8817884421519</v>
      </c>
      <c r="AR302" s="5">
        <f t="shared" si="771"/>
        <v>3.0780426468197026</v>
      </c>
      <c r="AS302" s="5">
        <f t="shared" si="737"/>
        <v>1.1281157806429079</v>
      </c>
      <c r="AT302" s="5">
        <f t="shared" si="738"/>
        <v>1.9499268661767948</v>
      </c>
      <c r="AU302" s="150">
        <f t="shared" si="739"/>
        <v>0.36650427238508226</v>
      </c>
      <c r="BA302" s="150">
        <f t="shared" si="845"/>
        <v>4.0120972857979016</v>
      </c>
      <c r="BB302" s="150">
        <f t="shared" si="846"/>
        <v>5.0597343523256564</v>
      </c>
      <c r="BC302" s="150">
        <f t="shared" si="847"/>
        <v>1.0156443686456771</v>
      </c>
      <c r="BD302" s="150"/>
      <c r="BE302" s="456">
        <f t="shared" si="848"/>
        <v>0.19316309556848266</v>
      </c>
      <c r="BF302" s="456">
        <f t="shared" si="801"/>
        <v>5.3529707398100346</v>
      </c>
      <c r="BG302" s="456">
        <f t="shared" si="849"/>
        <v>3.7361405670847468E-2</v>
      </c>
      <c r="BH302" s="456">
        <f t="shared" si="850"/>
        <v>1.0400731010484867</v>
      </c>
      <c r="BI302">
        <f t="shared" si="851"/>
        <v>2.1520346476037403E-2</v>
      </c>
      <c r="BJ302" s="144">
        <f t="shared" si="852"/>
        <v>58.881752146884878</v>
      </c>
      <c r="BK302">
        <f t="shared" si="802"/>
        <v>6.9576878954041428</v>
      </c>
      <c r="BL302" s="144">
        <f t="shared" si="853"/>
        <v>6645.0886885738901</v>
      </c>
      <c r="BM302" s="150">
        <f t="shared" si="803"/>
        <v>2.306864</v>
      </c>
      <c r="BN302" s="150">
        <f t="shared" si="804"/>
        <v>0.35014899999999999</v>
      </c>
      <c r="BQ302" s="144">
        <f t="shared" si="854"/>
        <v>2657.0129999999999</v>
      </c>
      <c r="BR302" s="456">
        <f t="shared" si="855"/>
        <v>0.22535694482989643</v>
      </c>
      <c r="BS302" s="456">
        <f t="shared" si="856"/>
        <v>0.35841276402546057</v>
      </c>
      <c r="BT302" s="456">
        <f t="shared" si="857"/>
        <v>5.1576674178083802E-3</v>
      </c>
      <c r="BU302" s="456">
        <f t="shared" si="858"/>
        <v>42.463406092346666</v>
      </c>
      <c r="BV302" s="456"/>
      <c r="BW302" s="538">
        <f t="shared" si="859"/>
        <v>4.2806575992226605</v>
      </c>
      <c r="BX302" s="144">
        <f t="shared" si="860"/>
        <v>47332.9910678425</v>
      </c>
      <c r="BY302" s="150">
        <f t="shared" si="861"/>
        <v>56.635092756416384</v>
      </c>
      <c r="BZ302" s="5">
        <f t="shared" si="862"/>
        <v>107.586</v>
      </c>
      <c r="CA302" s="150">
        <f t="shared" si="863"/>
        <v>0.65512899831679161</v>
      </c>
      <c r="CB302" s="5">
        <f t="shared" si="864"/>
        <v>65.512899831679164</v>
      </c>
      <c r="CC302">
        <f t="shared" si="865"/>
        <v>86</v>
      </c>
      <c r="CE302" s="59">
        <f t="shared" si="805"/>
        <v>-50</v>
      </c>
      <c r="CG302" s="150">
        <f t="shared" si="806"/>
        <v>0.60945624682956023</v>
      </c>
      <c r="CH302" s="150">
        <f t="shared" si="807"/>
        <v>0.13300929250130375</v>
      </c>
      <c r="CI302" s="147">
        <v>86</v>
      </c>
      <c r="CJ302" s="188">
        <f t="shared" si="866"/>
        <v>3.44</v>
      </c>
      <c r="CK302" s="188">
        <f t="shared" si="808"/>
        <v>0.73099999999999998</v>
      </c>
      <c r="CL302" s="188">
        <f t="shared" si="809"/>
        <v>103.2</v>
      </c>
      <c r="CM302" s="188">
        <f t="shared" si="810"/>
        <v>4.3860000000000001</v>
      </c>
      <c r="CN302" s="465">
        <f t="shared" si="811"/>
        <v>48</v>
      </c>
      <c r="CO302" s="379">
        <f t="shared" si="812"/>
        <v>30.7</v>
      </c>
      <c r="CP302" s="379">
        <f t="shared" si="813"/>
        <v>78.7</v>
      </c>
      <c r="CQ302" s="379"/>
      <c r="CR302" s="188">
        <f t="shared" si="814"/>
        <v>0.38775510204081626</v>
      </c>
      <c r="CS302" s="149">
        <f t="shared" si="815"/>
        <v>270.50715642699197</v>
      </c>
      <c r="CT302" s="149">
        <f t="shared" si="816"/>
        <v>11.496554148147156</v>
      </c>
      <c r="CU302" s="188">
        <f t="shared" si="817"/>
        <v>9.0169052142330663</v>
      </c>
      <c r="CV302" s="188">
        <f t="shared" si="818"/>
        <v>45.084526071165328</v>
      </c>
      <c r="CW302" s="188">
        <f t="shared" si="819"/>
        <v>30</v>
      </c>
      <c r="CX302" s="188">
        <f t="shared" si="820"/>
        <v>11.560776315789477</v>
      </c>
      <c r="CY302" s="188">
        <f t="shared" si="821"/>
        <v>1.131992680921053</v>
      </c>
      <c r="CZ302" s="188">
        <f t="shared" si="822"/>
        <v>1.7698908366192359</v>
      </c>
      <c r="DA302" s="172">
        <f t="shared" si="823"/>
        <v>350</v>
      </c>
      <c r="DB302" s="379">
        <f t="shared" si="824"/>
        <v>344.60376991548782</v>
      </c>
      <c r="DD302" s="188">
        <f t="shared" si="825"/>
        <v>11.382534575916392</v>
      </c>
      <c r="DE302" s="150">
        <f t="shared" si="826"/>
        <v>1.7426030132510437</v>
      </c>
      <c r="DF302" s="150">
        <f t="shared" si="827"/>
        <v>3.3296564353233258</v>
      </c>
      <c r="DG302" s="150"/>
      <c r="DH302" s="150">
        <f t="shared" si="828"/>
        <v>0.92784522751949461</v>
      </c>
      <c r="DI302" s="314">
        <f t="shared" si="829"/>
        <v>1275.477811276596</v>
      </c>
      <c r="DJ302" s="456">
        <f t="shared" si="830"/>
        <v>0.94395997276890675</v>
      </c>
      <c r="DL302" s="150">
        <f t="shared" si="831"/>
        <v>11.436942223182443</v>
      </c>
      <c r="DM302" s="150">
        <f t="shared" si="832"/>
        <v>11.560776315789477</v>
      </c>
      <c r="DN302" s="150">
        <f t="shared" si="833"/>
        <v>5.2742001890247536</v>
      </c>
      <c r="DP302" s="314">
        <f t="shared" si="834"/>
        <v>3440</v>
      </c>
      <c r="DQ302" s="144">
        <f t="shared" si="835"/>
        <v>344.60376991548782</v>
      </c>
      <c r="DS302">
        <f t="shared" si="836"/>
        <v>3440</v>
      </c>
      <c r="DT302">
        <f t="shared" si="837"/>
        <v>344.60376991548782</v>
      </c>
      <c r="DV302" s="5">
        <f t="shared" si="867"/>
        <v>2.9018835175402886</v>
      </c>
      <c r="DW302" s="5">
        <f t="shared" si="838"/>
        <v>1.131992680921053</v>
      </c>
      <c r="DX302" s="5">
        <f t="shared" si="839"/>
        <v>1.7698908366192356</v>
      </c>
      <c r="DY302" s="150">
        <f t="shared" si="840"/>
        <v>0.39008894536213473</v>
      </c>
      <c r="EA302" s="5">
        <f t="shared" si="868"/>
        <v>12.980182741228075</v>
      </c>
      <c r="EB302" s="5">
        <f t="shared" si="869"/>
        <v>13.791444162554827</v>
      </c>
      <c r="EC302" s="5">
        <f t="shared" si="870"/>
        <v>2.2383913521949155</v>
      </c>
      <c r="ED302" s="5"/>
      <c r="EE302" s="150">
        <f t="shared" si="871"/>
        <v>4.1687724733898248</v>
      </c>
      <c r="EF302" s="150">
        <f t="shared" si="872"/>
        <v>5.0001560655246671</v>
      </c>
      <c r="EG302" s="150">
        <f t="shared" si="873"/>
        <v>1.003685173306663</v>
      </c>
      <c r="EH302" s="150"/>
      <c r="EI302" s="456">
        <f t="shared" si="874"/>
        <v>0.2085439672187126</v>
      </c>
      <c r="EJ302" s="456">
        <f t="shared" si="875"/>
        <v>5.9571063829787256</v>
      </c>
      <c r="EK302" s="456">
        <f t="shared" si="876"/>
        <v>3.9629433540281103E-2</v>
      </c>
      <c r="EL302" s="456">
        <f t="shared" si="877"/>
        <v>1.1045359180084666</v>
      </c>
      <c r="EM302">
        <f t="shared" si="878"/>
        <v>2.1600000000000001E-2</v>
      </c>
      <c r="EN302" s="144">
        <f t="shared" si="879"/>
        <v>61.229433540281107</v>
      </c>
      <c r="EP302" s="144">
        <f t="shared" si="880"/>
        <v>7331.4157017461866</v>
      </c>
      <c r="EQ302" s="150">
        <f t="shared" si="881"/>
        <v>2.4079999999999999</v>
      </c>
      <c r="ER302" s="150">
        <f t="shared" si="841"/>
        <v>0.35014899999999999</v>
      </c>
      <c r="ES302" s="456"/>
      <c r="EU302" s="144">
        <f t="shared" si="882"/>
        <v>2758.1489999999999</v>
      </c>
      <c r="EV302" s="456">
        <f t="shared" si="883"/>
        <v>0.24330129508849804</v>
      </c>
      <c r="EW302" s="456">
        <f t="shared" si="884"/>
        <v>0.35002184951444371</v>
      </c>
      <c r="EX302" s="456">
        <f t="shared" si="885"/>
        <v>5.03691963557813E-3</v>
      </c>
      <c r="EY302" s="456">
        <f t="shared" si="886"/>
        <v>50.088446331060048</v>
      </c>
      <c r="EZ302" s="456"/>
      <c r="FA302" s="538">
        <f t="shared" si="887"/>
        <v>4.6056827648618173</v>
      </c>
      <c r="FB302" s="144">
        <f t="shared" si="888"/>
        <v>55292.489160160389</v>
      </c>
      <c r="FC302" s="150">
        <f t="shared" si="889"/>
        <v>65.38205386190657</v>
      </c>
      <c r="FD302" s="5">
        <f t="shared" si="890"/>
        <v>107.586</v>
      </c>
      <c r="FE302" s="150">
        <f t="shared" si="891"/>
        <v>0.62199925129465816</v>
      </c>
      <c r="FF302" s="5">
        <f t="shared" si="892"/>
        <v>62.199925129465818</v>
      </c>
      <c r="FG302">
        <f t="shared" si="893"/>
        <v>86</v>
      </c>
      <c r="FI302" s="59">
        <f t="shared" si="842"/>
        <v>-50</v>
      </c>
    </row>
    <row r="303" spans="5:165">
      <c r="E303" s="147">
        <v>87</v>
      </c>
      <c r="F303" s="188">
        <f t="shared" si="843"/>
        <v>3.48</v>
      </c>
      <c r="G303" s="188">
        <f t="shared" si="772"/>
        <v>0.73949999999999994</v>
      </c>
      <c r="H303" s="188">
        <f t="shared" si="773"/>
        <v>104.4</v>
      </c>
      <c r="I303" s="188">
        <f t="shared" si="774"/>
        <v>4.4369999999999994</v>
      </c>
      <c r="J303" s="465">
        <f t="shared" si="775"/>
        <v>47.820933938378658</v>
      </c>
      <c r="K303" s="379">
        <f t="shared" si="776"/>
        <v>30.831295916207548</v>
      </c>
      <c r="L303" s="149">
        <f t="shared" si="777"/>
        <v>78.65222985458621</v>
      </c>
      <c r="M303" s="379"/>
      <c r="N303" s="188">
        <f t="shared" si="778"/>
        <v>0.39199519165838087</v>
      </c>
      <c r="O303" s="149">
        <f t="shared" si="779"/>
        <v>272.44497005243096</v>
      </c>
      <c r="P303" s="149">
        <f t="shared" si="780"/>
        <v>11.578911227228316</v>
      </c>
      <c r="Q303" s="188">
        <f t="shared" si="781"/>
        <v>9.081499001747698</v>
      </c>
      <c r="R303" s="188">
        <f t="shared" si="782"/>
        <v>45.407495008738493</v>
      </c>
      <c r="S303" s="188">
        <f t="shared" si="783"/>
        <v>30</v>
      </c>
      <c r="T303" s="188">
        <f t="shared" si="784"/>
        <v>11.612019715495331</v>
      </c>
      <c r="U303" s="188">
        <f t="shared" si="785"/>
        <v>1.14126781240104</v>
      </c>
      <c r="V303" s="188">
        <f t="shared" si="786"/>
        <v>1.7701653803704702</v>
      </c>
      <c r="W303" s="172">
        <f t="shared" si="787"/>
        <v>350</v>
      </c>
      <c r="X303" s="379">
        <f t="shared" si="844"/>
        <v>321.39529857918933</v>
      </c>
      <c r="Z303" s="188">
        <f t="shared" si="788"/>
        <v>11.395487030065359</v>
      </c>
      <c r="AA303" s="150">
        <f t="shared" si="789"/>
        <v>1.7371565952617689</v>
      </c>
      <c r="AB303" s="150">
        <f t="shared" si="790"/>
        <v>3.3230268142322759</v>
      </c>
      <c r="AC303" s="150"/>
      <c r="AD303" s="150">
        <f t="shared" si="791"/>
        <v>0.92389397326222755</v>
      </c>
      <c r="AE303" s="314">
        <f t="shared" si="792"/>
        <v>1295.8272644345934</v>
      </c>
      <c r="AF303" s="456">
        <f t="shared" si="793"/>
        <v>0.93994009342861606</v>
      </c>
      <c r="AH303" s="150">
        <f t="shared" si="794"/>
        <v>11.503243892954295</v>
      </c>
      <c r="AI303" s="150">
        <f t="shared" si="795"/>
        <v>11.612019715495331</v>
      </c>
      <c r="AJ303" s="150">
        <f t="shared" si="796"/>
        <v>5.3121582628809412</v>
      </c>
      <c r="AL303" s="314">
        <f t="shared" si="797"/>
        <v>3480</v>
      </c>
      <c r="AM303" s="144">
        <f t="shared" si="798"/>
        <v>321.39529857918933</v>
      </c>
      <c r="AO303">
        <f t="shared" si="799"/>
        <v>3480</v>
      </c>
      <c r="AP303">
        <f t="shared" si="800"/>
        <v>321.39529857918933</v>
      </c>
      <c r="AR303" s="5">
        <f t="shared" si="771"/>
        <v>3.1114331927715106</v>
      </c>
      <c r="AS303" s="5">
        <f t="shared" si="737"/>
        <v>1.14126781240104</v>
      </c>
      <c r="AT303" s="5">
        <f t="shared" si="738"/>
        <v>1.9701653803704706</v>
      </c>
      <c r="AU303" s="150">
        <f t="shared" si="739"/>
        <v>0.36679810932545048</v>
      </c>
      <c r="BA303" s="150">
        <f t="shared" si="845"/>
        <v>4.0603239177175032</v>
      </c>
      <c r="BB303" s="150">
        <f t="shared" si="846"/>
        <v>5.1173152815434282</v>
      </c>
      <c r="BC303" s="150">
        <f t="shared" si="847"/>
        <v>1.0272026328605826</v>
      </c>
      <c r="BD303" s="150"/>
      <c r="BE303" s="456">
        <f t="shared" si="848"/>
        <v>0.19783476380146575</v>
      </c>
      <c r="BF303" s="456">
        <f t="shared" si="801"/>
        <v>5.3569944027601233</v>
      </c>
      <c r="BG303" s="456">
        <f t="shared" si="849"/>
        <v>3.6960459336606771E-2</v>
      </c>
      <c r="BH303" s="456">
        <f t="shared" si="850"/>
        <v>1.0288971236971856</v>
      </c>
      <c r="BI303">
        <f t="shared" si="851"/>
        <v>2.1519420272270395E-2</v>
      </c>
      <c r="BJ303" s="144">
        <f t="shared" si="852"/>
        <v>58.47987960887717</v>
      </c>
      <c r="BK303">
        <f t="shared" si="802"/>
        <v>6.9645123389741999</v>
      </c>
      <c r="BL303" s="144">
        <f t="shared" si="853"/>
        <v>6642.2061698676525</v>
      </c>
      <c r="BM303" s="150">
        <f t="shared" si="803"/>
        <v>2.333688</v>
      </c>
      <c r="BN303" s="150">
        <f t="shared" si="804"/>
        <v>0.35422049999999994</v>
      </c>
      <c r="BQ303" s="144">
        <f t="shared" si="854"/>
        <v>2687.9085</v>
      </c>
      <c r="BR303" s="456">
        <f t="shared" si="855"/>
        <v>0.2308072244350434</v>
      </c>
      <c r="BS303" s="456">
        <f t="shared" si="856"/>
        <v>0.36661681967005055</v>
      </c>
      <c r="BT303" s="456">
        <f t="shared" si="857"/>
        <v>5.2757262447785634E-3</v>
      </c>
      <c r="BU303" s="456">
        <f t="shared" si="858"/>
        <v>42.543989668432765</v>
      </c>
      <c r="BV303" s="456"/>
      <c r="BW303" s="538">
        <f t="shared" si="859"/>
        <v>4.3336621267109505</v>
      </c>
      <c r="BX303" s="144">
        <f t="shared" si="860"/>
        <v>47480.351565493584</v>
      </c>
      <c r="BY303" s="150">
        <f t="shared" si="861"/>
        <v>56.81046623536124</v>
      </c>
      <c r="BZ303" s="5">
        <f t="shared" si="862"/>
        <v>108.837</v>
      </c>
      <c r="CA303" s="150">
        <f t="shared" si="863"/>
        <v>0.65703993229427526</v>
      </c>
      <c r="CB303" s="5">
        <f t="shared" si="864"/>
        <v>65.703993229427525</v>
      </c>
      <c r="CC303">
        <f t="shared" si="865"/>
        <v>87</v>
      </c>
      <c r="CE303" s="59">
        <f t="shared" si="805"/>
        <v>-50</v>
      </c>
      <c r="CG303" s="150">
        <f t="shared" si="806"/>
        <v>0.60945624682956023</v>
      </c>
      <c r="CH303" s="150">
        <f t="shared" si="807"/>
        <v>0.13300929250130375</v>
      </c>
      <c r="CI303" s="147">
        <v>87</v>
      </c>
      <c r="CJ303" s="188">
        <f t="shared" si="866"/>
        <v>3.48</v>
      </c>
      <c r="CK303" s="188">
        <f t="shared" si="808"/>
        <v>0.73949999999999994</v>
      </c>
      <c r="CL303" s="188">
        <f t="shared" si="809"/>
        <v>104.4</v>
      </c>
      <c r="CM303" s="188">
        <f t="shared" si="810"/>
        <v>4.4369999999999994</v>
      </c>
      <c r="CN303" s="465">
        <f t="shared" si="811"/>
        <v>48</v>
      </c>
      <c r="CO303" s="379">
        <f t="shared" si="812"/>
        <v>30.7</v>
      </c>
      <c r="CP303" s="379">
        <f t="shared" si="813"/>
        <v>78.7</v>
      </c>
      <c r="CQ303" s="379"/>
      <c r="CR303" s="188">
        <f t="shared" si="814"/>
        <v>0.38775510204081626</v>
      </c>
      <c r="CS303" s="149">
        <f t="shared" si="815"/>
        <v>270.50715642699197</v>
      </c>
      <c r="CT303" s="149">
        <f t="shared" si="816"/>
        <v>11.496554148147156</v>
      </c>
      <c r="CU303" s="188">
        <f t="shared" si="817"/>
        <v>9.0169052142330663</v>
      </c>
      <c r="CV303" s="188">
        <f t="shared" si="818"/>
        <v>45.084526071165328</v>
      </c>
      <c r="CW303" s="188">
        <f t="shared" si="819"/>
        <v>30</v>
      </c>
      <c r="CX303" s="188">
        <f t="shared" si="820"/>
        <v>11.695203947368425</v>
      </c>
      <c r="CY303" s="188">
        <f t="shared" si="821"/>
        <v>1.1451553865131583</v>
      </c>
      <c r="CZ303" s="188">
        <f t="shared" si="822"/>
        <v>1.7904709626264363</v>
      </c>
      <c r="DA303" s="172">
        <f t="shared" si="823"/>
        <v>350</v>
      </c>
      <c r="DB303" s="379">
        <f t="shared" si="824"/>
        <v>340.64280704289598</v>
      </c>
      <c r="DD303" s="188">
        <f t="shared" si="825"/>
        <v>11.382534575916392</v>
      </c>
      <c r="DE303" s="150">
        <f t="shared" si="826"/>
        <v>1.7426030132510437</v>
      </c>
      <c r="DF303" s="150">
        <f t="shared" si="827"/>
        <v>3.3296564353233258</v>
      </c>
      <c r="DG303" s="150"/>
      <c r="DH303" s="150">
        <f t="shared" si="828"/>
        <v>0.92784522751949461</v>
      </c>
      <c r="DI303" s="314">
        <f t="shared" si="829"/>
        <v>1290.3089486170211</v>
      </c>
      <c r="DJ303" s="456">
        <f t="shared" si="830"/>
        <v>0.94395997276890675</v>
      </c>
      <c r="DL303" s="150">
        <f t="shared" si="831"/>
        <v>11.503243892954295</v>
      </c>
      <c r="DM303" s="150">
        <f t="shared" si="832"/>
        <v>11.695203947368425</v>
      </c>
      <c r="DN303" s="150">
        <f t="shared" si="833"/>
        <v>5.3737762124165656</v>
      </c>
      <c r="DP303" s="314">
        <f t="shared" si="834"/>
        <v>3480</v>
      </c>
      <c r="DQ303" s="144">
        <f t="shared" si="835"/>
        <v>340.64280704289598</v>
      </c>
      <c r="DS303">
        <f t="shared" si="836"/>
        <v>3480</v>
      </c>
      <c r="DT303">
        <f t="shared" si="837"/>
        <v>340.64280704289598</v>
      </c>
      <c r="DV303" s="5">
        <f t="shared" si="867"/>
        <v>2.9356263491395942</v>
      </c>
      <c r="DW303" s="5">
        <f t="shared" si="838"/>
        <v>1.1451553865131583</v>
      </c>
      <c r="DX303" s="5">
        <f t="shared" si="839"/>
        <v>1.7904709626264359</v>
      </c>
      <c r="DY303" s="150">
        <f t="shared" si="840"/>
        <v>0.39008894536213473</v>
      </c>
      <c r="EA303" s="5">
        <f t="shared" si="868"/>
        <v>13.283802483552636</v>
      </c>
      <c r="EB303" s="5">
        <f t="shared" si="869"/>
        <v>14.114040138774675</v>
      </c>
      <c r="EC303" s="5">
        <f t="shared" si="870"/>
        <v>2.2907496139485284</v>
      </c>
      <c r="ED303" s="5"/>
      <c r="EE303" s="150">
        <f t="shared" si="871"/>
        <v>4.217246571917614</v>
      </c>
      <c r="EF303" s="150">
        <f t="shared" si="872"/>
        <v>5.0582974151237909</v>
      </c>
      <c r="EG303" s="150">
        <f t="shared" si="873"/>
        <v>1.0153559311358102</v>
      </c>
      <c r="EH303" s="150"/>
      <c r="EI303" s="456">
        <f t="shared" si="874"/>
        <v>0.21342202378021044</v>
      </c>
      <c r="EJ303" s="456">
        <f t="shared" si="875"/>
        <v>5.9571063829787239</v>
      </c>
      <c r="EK303" s="456">
        <f t="shared" si="876"/>
        <v>3.9173922809933044E-2</v>
      </c>
      <c r="EL303" s="456">
        <f t="shared" si="877"/>
        <v>1.0918401028589437</v>
      </c>
      <c r="EM303">
        <f t="shared" si="878"/>
        <v>2.1600000000000001E-2</v>
      </c>
      <c r="EN303" s="144">
        <f t="shared" si="879"/>
        <v>60.773922809933048</v>
      </c>
      <c r="EP303" s="144">
        <f t="shared" si="880"/>
        <v>7323.1424324278114</v>
      </c>
      <c r="EQ303" s="150">
        <f t="shared" si="881"/>
        <v>2.4359999999999999</v>
      </c>
      <c r="ER303" s="150">
        <f t="shared" si="841"/>
        <v>0.35422049999999994</v>
      </c>
      <c r="ES303" s="456"/>
      <c r="EU303" s="144">
        <f t="shared" si="882"/>
        <v>2790.2204999999999</v>
      </c>
      <c r="EV303" s="456">
        <f t="shared" si="883"/>
        <v>0.24899236107691217</v>
      </c>
      <c r="EW303" s="456">
        <f t="shared" si="884"/>
        <v>0.35820921835787234</v>
      </c>
      <c r="EX303" s="456">
        <f t="shared" si="885"/>
        <v>5.1547383344633414E-3</v>
      </c>
      <c r="EY303" s="456">
        <f t="shared" si="886"/>
        <v>50.088446331060148</v>
      </c>
      <c r="EZ303" s="456"/>
      <c r="FA303" s="538">
        <f t="shared" si="887"/>
        <v>4.6592372156160247</v>
      </c>
      <c r="FB303" s="144">
        <f t="shared" si="888"/>
        <v>55360.039864445418</v>
      </c>
      <c r="FC303" s="150">
        <f t="shared" si="889"/>
        <v>65.473402796873231</v>
      </c>
      <c r="FD303" s="5">
        <f t="shared" si="890"/>
        <v>108.837</v>
      </c>
      <c r="FE303" s="150">
        <f t="shared" si="891"/>
        <v>0.62438614250022439</v>
      </c>
      <c r="FF303" s="5">
        <f t="shared" si="892"/>
        <v>62.438614250022439</v>
      </c>
      <c r="FG303">
        <f t="shared" si="893"/>
        <v>87</v>
      </c>
      <c r="FI303" s="59">
        <f t="shared" si="842"/>
        <v>-50</v>
      </c>
    </row>
    <row r="304" spans="5:165">
      <c r="E304" s="147">
        <v>88</v>
      </c>
      <c r="F304" s="188">
        <f t="shared" si="843"/>
        <v>3.52</v>
      </c>
      <c r="G304" s="188">
        <f t="shared" si="772"/>
        <v>0.748</v>
      </c>
      <c r="H304" s="188">
        <f t="shared" si="773"/>
        <v>105.6</v>
      </c>
      <c r="I304" s="188">
        <f t="shared" si="774"/>
        <v>4.4879999999999995</v>
      </c>
      <c r="J304" s="465">
        <f t="shared" si="775"/>
        <v>47.81887570778531</v>
      </c>
      <c r="K304" s="379">
        <f t="shared" si="776"/>
        <v>30.832805064669706</v>
      </c>
      <c r="L304" s="149">
        <f t="shared" si="777"/>
        <v>78.651680772455023</v>
      </c>
      <c r="M304" s="379"/>
      <c r="N304" s="188">
        <f t="shared" si="778"/>
        <v>0.392017115996176</v>
      </c>
      <c r="O304" s="149">
        <f t="shared" si="779"/>
        <v>272.44848114447495</v>
      </c>
      <c r="P304" s="149">
        <f t="shared" si="780"/>
        <v>11.579060448640185</v>
      </c>
      <c r="Q304" s="188">
        <f t="shared" si="781"/>
        <v>9.081616038149166</v>
      </c>
      <c r="R304" s="188">
        <f t="shared" si="782"/>
        <v>45.408080190745828</v>
      </c>
      <c r="S304" s="188">
        <f t="shared" si="783"/>
        <v>30</v>
      </c>
      <c r="T304" s="188">
        <f t="shared" si="784"/>
        <v>11.745339840243384</v>
      </c>
      <c r="U304" s="188">
        <f t="shared" si="785"/>
        <v>1.1544206431469151</v>
      </c>
      <c r="V304" s="188">
        <f t="shared" si="786"/>
        <v>1.790401396608553</v>
      </c>
      <c r="W304" s="172">
        <f t="shared" si="787"/>
        <v>350</v>
      </c>
      <c r="X304" s="379">
        <f t="shared" si="844"/>
        <v>317.98301695880923</v>
      </c>
      <c r="Z304" s="188">
        <f t="shared" si="788"/>
        <v>11.395633887626504</v>
      </c>
      <c r="AA304" s="150">
        <f t="shared" si="789"/>
        <v>1.7370939542966399</v>
      </c>
      <c r="AB304" s="150">
        <f t="shared" si="790"/>
        <v>3.3229498110555737</v>
      </c>
      <c r="AC304" s="150"/>
      <c r="AD304" s="150">
        <f t="shared" si="791"/>
        <v>0.92384875216845996</v>
      </c>
      <c r="AE304" s="314">
        <f t="shared" si="792"/>
        <v>1310.7859886779227</v>
      </c>
      <c r="AF304" s="456">
        <f t="shared" si="793"/>
        <v>0.93989408693833576</v>
      </c>
      <c r="AH304" s="150">
        <f t="shared" si="794"/>
        <v>11.56916560107803</v>
      </c>
      <c r="AI304" s="150">
        <f t="shared" si="795"/>
        <v>11.745339840243384</v>
      </c>
      <c r="AJ304" s="150">
        <f t="shared" si="796"/>
        <v>5.4109139108424618</v>
      </c>
      <c r="AL304" s="314">
        <f t="shared" si="797"/>
        <v>3520</v>
      </c>
      <c r="AM304" s="144">
        <f t="shared" si="798"/>
        <v>317.98301695880923</v>
      </c>
      <c r="AO304">
        <f t="shared" si="799"/>
        <v>3520</v>
      </c>
      <c r="AP304">
        <f t="shared" si="800"/>
        <v>317.98301695880923</v>
      </c>
      <c r="AR304" s="5">
        <f t="shared" si="771"/>
        <v>3.1448220397554678</v>
      </c>
      <c r="AS304" s="5">
        <f t="shared" si="737"/>
        <v>1.1544206431469151</v>
      </c>
      <c r="AT304" s="5">
        <f t="shared" si="738"/>
        <v>1.9904013966085528</v>
      </c>
      <c r="AU304" s="150">
        <f t="shared" si="739"/>
        <v>0.36708615894738494</v>
      </c>
      <c r="BA304" s="150">
        <f t="shared" si="845"/>
        <v>4.1085536712370114</v>
      </c>
      <c r="BB304" s="150">
        <f t="shared" si="846"/>
        <v>5.174890836135674</v>
      </c>
      <c r="BC304" s="150">
        <f t="shared" si="847"/>
        <v>1.0387598182227724</v>
      </c>
      <c r="BD304" s="150"/>
      <c r="BE304" s="456">
        <f t="shared" si="848"/>
        <v>0.2025625592332215</v>
      </c>
      <c r="BF304" s="456">
        <f t="shared" si="801"/>
        <v>5.3609331214968838</v>
      </c>
      <c r="BG304" s="456">
        <f t="shared" si="849"/>
        <v>3.656804695026307E-2</v>
      </c>
      <c r="BH304" s="456">
        <f t="shared" si="850"/>
        <v>1.0179590209692191</v>
      </c>
      <c r="BI304">
        <f t="shared" si="851"/>
        <v>2.151849406850339E-2</v>
      </c>
      <c r="BJ304" s="144">
        <f t="shared" si="852"/>
        <v>58.086541018766461</v>
      </c>
      <c r="BK304">
        <f t="shared" si="802"/>
        <v>6.9716859165345033</v>
      </c>
      <c r="BL304" s="144">
        <f t="shared" si="853"/>
        <v>6639.5412427180918</v>
      </c>
      <c r="BM304" s="150">
        <f t="shared" si="803"/>
        <v>2.3605119999999999</v>
      </c>
      <c r="BN304" s="150">
        <f t="shared" si="804"/>
        <v>0.358292</v>
      </c>
      <c r="BQ304" s="144">
        <f t="shared" si="854"/>
        <v>2718.8040000000001</v>
      </c>
      <c r="BR304" s="456">
        <f t="shared" si="855"/>
        <v>0.23632298577209174</v>
      </c>
      <c r="BS304" s="456">
        <f t="shared" si="856"/>
        <v>0.37491293232289363</v>
      </c>
      <c r="BT304" s="456">
        <f t="shared" si="857"/>
        <v>5.3951097997710362E-3</v>
      </c>
      <c r="BU304" s="456">
        <f t="shared" si="858"/>
        <v>42.622977629645696</v>
      </c>
      <c r="BV304" s="456"/>
      <c r="BW304" s="538">
        <f t="shared" si="859"/>
        <v>4.3866713670556479</v>
      </c>
      <c r="BX304" s="144">
        <f t="shared" si="860"/>
        <v>47626.280024596097</v>
      </c>
      <c r="BY304" s="150">
        <f t="shared" si="861"/>
        <v>56.984625267314193</v>
      </c>
      <c r="BZ304" s="5">
        <f t="shared" si="862"/>
        <v>110.08799999999999</v>
      </c>
      <c r="CA304" s="150">
        <f t="shared" si="863"/>
        <v>0.65892302717971019</v>
      </c>
      <c r="CB304" s="5">
        <f t="shared" si="864"/>
        <v>65.89230271797102</v>
      </c>
      <c r="CC304">
        <f t="shared" si="865"/>
        <v>88</v>
      </c>
      <c r="CE304" s="59">
        <f t="shared" si="805"/>
        <v>-50</v>
      </c>
      <c r="CG304" s="150">
        <f t="shared" si="806"/>
        <v>0.60945624682956023</v>
      </c>
      <c r="CH304" s="150">
        <f t="shared" si="807"/>
        <v>0.13300929250130375</v>
      </c>
      <c r="CI304" s="147">
        <v>88</v>
      </c>
      <c r="CJ304" s="188">
        <f t="shared" si="866"/>
        <v>3.52</v>
      </c>
      <c r="CK304" s="188">
        <f t="shared" si="808"/>
        <v>0.748</v>
      </c>
      <c r="CL304" s="188">
        <f t="shared" si="809"/>
        <v>105.6</v>
      </c>
      <c r="CM304" s="188">
        <f t="shared" si="810"/>
        <v>4.4879999999999995</v>
      </c>
      <c r="CN304" s="465">
        <f t="shared" si="811"/>
        <v>48</v>
      </c>
      <c r="CO304" s="379">
        <f t="shared" si="812"/>
        <v>30.7</v>
      </c>
      <c r="CP304" s="379">
        <f t="shared" si="813"/>
        <v>78.7</v>
      </c>
      <c r="CQ304" s="379"/>
      <c r="CR304" s="188">
        <f t="shared" si="814"/>
        <v>0.38775510204081626</v>
      </c>
      <c r="CS304" s="149">
        <f t="shared" si="815"/>
        <v>270.50715642699197</v>
      </c>
      <c r="CT304" s="149">
        <f t="shared" si="816"/>
        <v>11.496554148147156</v>
      </c>
      <c r="CU304" s="188">
        <f t="shared" si="817"/>
        <v>9.0169052142330663</v>
      </c>
      <c r="CV304" s="188">
        <f t="shared" si="818"/>
        <v>45.084526071165328</v>
      </c>
      <c r="CW304" s="188">
        <f t="shared" si="819"/>
        <v>30</v>
      </c>
      <c r="CX304" s="188">
        <f t="shared" si="820"/>
        <v>11.829631578947371</v>
      </c>
      <c r="CY304" s="188">
        <f t="shared" si="821"/>
        <v>1.1583180921052636</v>
      </c>
      <c r="CZ304" s="188">
        <f t="shared" si="822"/>
        <v>1.8110510886336366</v>
      </c>
      <c r="DA304" s="172">
        <f t="shared" si="823"/>
        <v>350</v>
      </c>
      <c r="DB304" s="379">
        <f t="shared" si="824"/>
        <v>336.7718660537721</v>
      </c>
      <c r="DD304" s="188">
        <f t="shared" si="825"/>
        <v>11.382534575916392</v>
      </c>
      <c r="DE304" s="150">
        <f t="shared" si="826"/>
        <v>1.7426030132510437</v>
      </c>
      <c r="DF304" s="150">
        <f t="shared" si="827"/>
        <v>3.3296564353233258</v>
      </c>
      <c r="DG304" s="150"/>
      <c r="DH304" s="150">
        <f t="shared" si="828"/>
        <v>0.92784522751949461</v>
      </c>
      <c r="DI304" s="314">
        <f t="shared" si="829"/>
        <v>1305.1400859574469</v>
      </c>
      <c r="DJ304" s="456">
        <f t="shared" si="830"/>
        <v>0.94395997276890675</v>
      </c>
      <c r="DL304" s="150">
        <f t="shared" si="831"/>
        <v>11.56916560107803</v>
      </c>
      <c r="DM304" s="150">
        <f t="shared" si="832"/>
        <v>11.829631578947371</v>
      </c>
      <c r="DN304" s="150">
        <f t="shared" si="833"/>
        <v>5.4733522358083775</v>
      </c>
      <c r="DP304" s="314">
        <f t="shared" si="834"/>
        <v>3520</v>
      </c>
      <c r="DQ304" s="144">
        <f t="shared" si="835"/>
        <v>336.7718660537721</v>
      </c>
      <c r="DS304">
        <f t="shared" si="836"/>
        <v>3520</v>
      </c>
      <c r="DT304">
        <f t="shared" si="837"/>
        <v>336.7718660537721</v>
      </c>
      <c r="DV304" s="5">
        <f t="shared" si="867"/>
        <v>2.9693691807389002</v>
      </c>
      <c r="DW304" s="5">
        <f t="shared" si="838"/>
        <v>1.1583180921052636</v>
      </c>
      <c r="DX304" s="5">
        <f t="shared" si="839"/>
        <v>1.8110510886336366</v>
      </c>
      <c r="DY304" s="150">
        <f t="shared" si="840"/>
        <v>0.39008894536213473</v>
      </c>
      <c r="EA304" s="5">
        <f t="shared" si="868"/>
        <v>13.590932280701761</v>
      </c>
      <c r="EB304" s="5">
        <f t="shared" si="869"/>
        <v>14.440365548245619</v>
      </c>
      <c r="EC304" s="5">
        <f t="shared" si="870"/>
        <v>2.3437131735258823</v>
      </c>
      <c r="ED304" s="5"/>
      <c r="EE304" s="150">
        <f t="shared" si="871"/>
        <v>4.2657206704454023</v>
      </c>
      <c r="EF304" s="150">
        <f t="shared" si="872"/>
        <v>5.1164387647229148</v>
      </c>
      <c r="EG304" s="150">
        <f t="shared" si="873"/>
        <v>1.0270266889649573</v>
      </c>
      <c r="EH304" s="150"/>
      <c r="EI304" s="456">
        <f t="shared" si="874"/>
        <v>0.21835647405918207</v>
      </c>
      <c r="EJ304" s="456">
        <f t="shared" si="875"/>
        <v>5.957106382978723</v>
      </c>
      <c r="EK304" s="456">
        <f t="shared" si="876"/>
        <v>3.8728764596183796E-2</v>
      </c>
      <c r="EL304" s="456">
        <f t="shared" si="877"/>
        <v>1.0794328289628194</v>
      </c>
      <c r="EM304">
        <f t="shared" si="878"/>
        <v>2.1600000000000001E-2</v>
      </c>
      <c r="EN304" s="144">
        <f t="shared" si="879"/>
        <v>60.328764596183795</v>
      </c>
      <c r="EP304" s="144">
        <f t="shared" si="880"/>
        <v>7315.2244505969093</v>
      </c>
      <c r="EQ304" s="150">
        <f t="shared" si="881"/>
        <v>2.464</v>
      </c>
      <c r="ER304" s="150">
        <f t="shared" si="841"/>
        <v>0.358292</v>
      </c>
      <c r="ES304" s="456"/>
      <c r="EU304" s="144">
        <f t="shared" si="882"/>
        <v>2822.2919999999999</v>
      </c>
      <c r="EV304" s="456">
        <f t="shared" si="883"/>
        <v>0.25474921973571241</v>
      </c>
      <c r="EW304" s="456">
        <f t="shared" si="884"/>
        <v>0.36649123886423085</v>
      </c>
      <c r="EX304" s="456">
        <f t="shared" si="885"/>
        <v>5.2739190992316153E-3</v>
      </c>
      <c r="EY304" s="456">
        <f t="shared" si="886"/>
        <v>50.08844633105997</v>
      </c>
      <c r="EZ304" s="456"/>
      <c r="FA304" s="538">
        <f t="shared" si="887"/>
        <v>4.7127916663702312</v>
      </c>
      <c r="FB304" s="144">
        <f t="shared" si="888"/>
        <v>55427.75237512937</v>
      </c>
      <c r="FC304" s="150">
        <f t="shared" si="889"/>
        <v>65.565268825726292</v>
      </c>
      <c r="FD304" s="5">
        <f t="shared" si="890"/>
        <v>110.08799999999999</v>
      </c>
      <c r="FE304" s="150">
        <f t="shared" si="891"/>
        <v>0.62673470716462087</v>
      </c>
      <c r="FF304" s="5">
        <f t="shared" si="892"/>
        <v>62.673470716462084</v>
      </c>
      <c r="FG304">
        <f t="shared" si="893"/>
        <v>88</v>
      </c>
      <c r="FI304" s="59">
        <f t="shared" si="842"/>
        <v>-50</v>
      </c>
    </row>
    <row r="305" spans="5:169">
      <c r="E305" s="147">
        <v>89</v>
      </c>
      <c r="F305" s="188">
        <f t="shared" si="843"/>
        <v>3.56</v>
      </c>
      <c r="G305" s="188">
        <f t="shared" si="772"/>
        <v>0.75649999999999995</v>
      </c>
      <c r="H305" s="188">
        <f t="shared" si="773"/>
        <v>106.8</v>
      </c>
      <c r="I305" s="188">
        <f t="shared" si="774"/>
        <v>4.5389999999999997</v>
      </c>
      <c r="J305" s="465">
        <f t="shared" si="775"/>
        <v>47.816817477191961</v>
      </c>
      <c r="K305" s="379">
        <f t="shared" si="776"/>
        <v>30.834314213131861</v>
      </c>
      <c r="L305" s="149">
        <f t="shared" si="777"/>
        <v>78.651131690323822</v>
      </c>
      <c r="M305" s="379"/>
      <c r="N305" s="188">
        <f t="shared" si="778"/>
        <v>0.3920390406400891</v>
      </c>
      <c r="O305" s="149">
        <f t="shared" si="779"/>
        <v>272.45199113757116</v>
      </c>
      <c r="P305" s="149">
        <f t="shared" si="780"/>
        <v>11.579209623346774</v>
      </c>
      <c r="Q305" s="188">
        <f t="shared" si="781"/>
        <v>9.0817330379190384</v>
      </c>
      <c r="R305" s="188">
        <f t="shared" si="782"/>
        <v>45.40866518959519</v>
      </c>
      <c r="S305" s="188">
        <f t="shared" si="783"/>
        <v>30</v>
      </c>
      <c r="T305" s="188">
        <f t="shared" si="784"/>
        <v>11.878656576708503</v>
      </c>
      <c r="U305" s="188">
        <f t="shared" si="785"/>
        <v>1.1675742731552563</v>
      </c>
      <c r="V305" s="188">
        <f t="shared" si="786"/>
        <v>1.8106349155238535</v>
      </c>
      <c r="W305" s="172">
        <f t="shared" si="787"/>
        <v>350</v>
      </c>
      <c r="X305" s="379">
        <f t="shared" si="844"/>
        <v>314.64259922286874</v>
      </c>
      <c r="Z305" s="188">
        <f t="shared" si="788"/>
        <v>11.395780699222239</v>
      </c>
      <c r="AA305" s="150">
        <f t="shared" si="789"/>
        <v>1.7370313124568884</v>
      </c>
      <c r="AB305" s="150">
        <f t="shared" si="790"/>
        <v>3.3228727897142973</v>
      </c>
      <c r="AC305" s="150"/>
      <c r="AD305" s="150">
        <f t="shared" si="791"/>
        <v>0.92380353550127681</v>
      </c>
      <c r="AE305" s="314">
        <f t="shared" si="792"/>
        <v>1325.7461710572848</v>
      </c>
      <c r="AF305" s="456">
        <f t="shared" si="793"/>
        <v>0.9398480849515205</v>
      </c>
      <c r="AH305" s="150">
        <f t="shared" si="794"/>
        <v>11.634713806086683</v>
      </c>
      <c r="AI305" s="150">
        <f t="shared" si="795"/>
        <v>11.878656576708503</v>
      </c>
      <c r="AJ305" s="150">
        <f t="shared" si="796"/>
        <v>5.5096670489647721</v>
      </c>
      <c r="AL305" s="314">
        <f t="shared" si="797"/>
        <v>3560</v>
      </c>
      <c r="AM305" s="144">
        <f t="shared" si="798"/>
        <v>314.64259922286874</v>
      </c>
      <c r="AO305">
        <f t="shared" si="799"/>
        <v>3560</v>
      </c>
      <c r="AP305">
        <f t="shared" si="800"/>
        <v>314.64259922286874</v>
      </c>
      <c r="AR305" s="5">
        <f t="shared" si="771"/>
        <v>3.17820918867911</v>
      </c>
      <c r="AS305" s="5">
        <f t="shared" si="737"/>
        <v>1.1675742731552563</v>
      </c>
      <c r="AT305" s="5">
        <f t="shared" si="738"/>
        <v>2.0106349155238536</v>
      </c>
      <c r="AU305" s="150">
        <f t="shared" si="739"/>
        <v>0.3673686040913216</v>
      </c>
      <c r="BA305" s="150">
        <f t="shared" si="845"/>
        <v>4.1567864940325476</v>
      </c>
      <c r="BB305" s="150">
        <f t="shared" si="846"/>
        <v>5.2324610740828437</v>
      </c>
      <c r="BC305" s="150">
        <f t="shared" si="847"/>
        <v>1.0503159363707064</v>
      </c>
      <c r="BD305" s="150"/>
      <c r="BE305" s="456">
        <f t="shared" si="848"/>
        <v>0.20734648748365681</v>
      </c>
      <c r="BF305" s="456">
        <f t="shared" si="801"/>
        <v>5.364789578783193</v>
      </c>
      <c r="BG305" s="456">
        <f t="shared" si="849"/>
        <v>3.6183898910629911E-2</v>
      </c>
      <c r="BH305" s="456">
        <f t="shared" si="850"/>
        <v>1.0072512780216805</v>
      </c>
      <c r="BI305">
        <f t="shared" si="851"/>
        <v>2.1517567864736381E-2</v>
      </c>
      <c r="BJ305" s="144">
        <f t="shared" si="852"/>
        <v>57.701466775366292</v>
      </c>
      <c r="BK305">
        <f t="shared" si="802"/>
        <v>6.9792051023321466</v>
      </c>
      <c r="BL305" s="144">
        <f t="shared" si="853"/>
        <v>6637.0888110638971</v>
      </c>
      <c r="BM305" s="150">
        <f t="shared" si="803"/>
        <v>2.3873359999999999</v>
      </c>
      <c r="BN305" s="150">
        <f t="shared" si="804"/>
        <v>0.36236349999999995</v>
      </c>
      <c r="BQ305" s="144">
        <f t="shared" si="854"/>
        <v>2749.6994999999997</v>
      </c>
      <c r="BR305" s="456">
        <f t="shared" si="855"/>
        <v>0.24190423539759959</v>
      </c>
      <c r="BS305" s="456">
        <f t="shared" si="856"/>
        <v>0.38330108448509059</v>
      </c>
      <c r="BT305" s="456">
        <f t="shared" si="857"/>
        <v>5.5158178309713691E-3</v>
      </c>
      <c r="BU305" s="456">
        <f t="shared" si="858"/>
        <v>42.70041772568792</v>
      </c>
      <c r="BV305" s="456"/>
      <c r="BW305" s="538">
        <f t="shared" si="859"/>
        <v>4.4396851714478718</v>
      </c>
      <c r="BX305" s="144">
        <f t="shared" si="860"/>
        <v>47770.824034849451</v>
      </c>
      <c r="BY305" s="150">
        <f t="shared" si="861"/>
        <v>57.15761234591335</v>
      </c>
      <c r="BZ305" s="5">
        <f t="shared" si="862"/>
        <v>111.339</v>
      </c>
      <c r="CA305" s="150">
        <f t="shared" si="863"/>
        <v>0.66077886344342507</v>
      </c>
      <c r="CB305" s="5">
        <f t="shared" si="864"/>
        <v>66.077886344342502</v>
      </c>
      <c r="CC305">
        <f t="shared" si="865"/>
        <v>89</v>
      </c>
      <c r="CE305" s="59">
        <f t="shared" si="805"/>
        <v>-50</v>
      </c>
      <c r="CG305" s="150">
        <f t="shared" si="806"/>
        <v>0.60945624682956023</v>
      </c>
      <c r="CH305" s="150">
        <f t="shared" si="807"/>
        <v>0.13300929250130375</v>
      </c>
      <c r="CI305" s="147">
        <v>89</v>
      </c>
      <c r="CJ305" s="188">
        <f t="shared" si="866"/>
        <v>3.56</v>
      </c>
      <c r="CK305" s="188">
        <f t="shared" si="808"/>
        <v>0.75649999999999995</v>
      </c>
      <c r="CL305" s="188">
        <f t="shared" si="809"/>
        <v>106.8</v>
      </c>
      <c r="CM305" s="188">
        <f t="shared" si="810"/>
        <v>4.5389999999999997</v>
      </c>
      <c r="CN305" s="465">
        <f t="shared" si="811"/>
        <v>48</v>
      </c>
      <c r="CO305" s="379">
        <f t="shared" si="812"/>
        <v>30.7</v>
      </c>
      <c r="CP305" s="379">
        <f t="shared" si="813"/>
        <v>78.7</v>
      </c>
      <c r="CQ305" s="379"/>
      <c r="CR305" s="188">
        <f t="shared" si="814"/>
        <v>0.38775510204081626</v>
      </c>
      <c r="CS305" s="149">
        <f t="shared" si="815"/>
        <v>270.50715642699197</v>
      </c>
      <c r="CT305" s="149">
        <f t="shared" si="816"/>
        <v>11.496554148147156</v>
      </c>
      <c r="CU305" s="188">
        <f t="shared" si="817"/>
        <v>9.0169052142330663</v>
      </c>
      <c r="CV305" s="188">
        <f t="shared" si="818"/>
        <v>45.084526071165328</v>
      </c>
      <c r="CW305" s="188">
        <f t="shared" si="819"/>
        <v>30</v>
      </c>
      <c r="CX305" s="188">
        <f t="shared" si="820"/>
        <v>11.964059210526319</v>
      </c>
      <c r="CY305" s="188">
        <f t="shared" si="821"/>
        <v>1.1714807976973687</v>
      </c>
      <c r="CZ305" s="188">
        <f t="shared" si="822"/>
        <v>1.8316312146408371</v>
      </c>
      <c r="DA305" s="172">
        <f t="shared" si="823"/>
        <v>350</v>
      </c>
      <c r="DB305" s="379">
        <f t="shared" si="824"/>
        <v>332.98791250260615</v>
      </c>
      <c r="DD305" s="188">
        <f t="shared" si="825"/>
        <v>11.382534575916392</v>
      </c>
      <c r="DE305" s="150">
        <f t="shared" si="826"/>
        <v>1.7426030132510437</v>
      </c>
      <c r="DF305" s="150">
        <f t="shared" si="827"/>
        <v>3.3296564353233258</v>
      </c>
      <c r="DG305" s="150"/>
      <c r="DH305" s="150">
        <f t="shared" si="828"/>
        <v>0.92784522751949461</v>
      </c>
      <c r="DI305" s="314">
        <f t="shared" si="829"/>
        <v>1319.9712232978723</v>
      </c>
      <c r="DJ305" s="456">
        <f t="shared" si="830"/>
        <v>0.94395997276890675</v>
      </c>
      <c r="DL305" s="150">
        <f t="shared" si="831"/>
        <v>11.634713806086683</v>
      </c>
      <c r="DM305" s="150">
        <f t="shared" si="832"/>
        <v>11.964059210526319</v>
      </c>
      <c r="DN305" s="150">
        <f t="shared" si="833"/>
        <v>5.5729282592001912</v>
      </c>
      <c r="DP305" s="314">
        <f t="shared" si="834"/>
        <v>3560</v>
      </c>
      <c r="DQ305" s="144">
        <f t="shared" si="835"/>
        <v>332.98791250260615</v>
      </c>
      <c r="DS305">
        <f t="shared" si="836"/>
        <v>3560</v>
      </c>
      <c r="DT305">
        <f t="shared" si="837"/>
        <v>332.98791250260615</v>
      </c>
      <c r="DV305" s="5">
        <f t="shared" si="867"/>
        <v>3.0031120123382062</v>
      </c>
      <c r="DW305" s="5">
        <f t="shared" si="838"/>
        <v>1.1714807976973687</v>
      </c>
      <c r="DX305" s="5">
        <f t="shared" si="839"/>
        <v>1.8316312146408376</v>
      </c>
      <c r="DY305" s="150">
        <f t="shared" si="840"/>
        <v>0.39008894536213462</v>
      </c>
      <c r="EA305" s="5">
        <f t="shared" si="868"/>
        <v>13.90157213267544</v>
      </c>
      <c r="EB305" s="5">
        <f t="shared" si="869"/>
        <v>14.770420390967654</v>
      </c>
      <c r="EC305" s="5">
        <f t="shared" si="870"/>
        <v>2.3972820309269784</v>
      </c>
      <c r="ED305" s="5"/>
      <c r="EE305" s="150">
        <f t="shared" si="871"/>
        <v>4.3141947689731905</v>
      </c>
      <c r="EF305" s="150">
        <f t="shared" si="872"/>
        <v>5.1745801143220405</v>
      </c>
      <c r="EG305" s="150">
        <f t="shared" si="873"/>
        <v>1.0386974467941048</v>
      </c>
      <c r="EH305" s="150"/>
      <c r="EI305" s="456">
        <f t="shared" si="874"/>
        <v>0.22334731805562771</v>
      </c>
      <c r="EJ305" s="456">
        <f t="shared" si="875"/>
        <v>5.9571063829787239</v>
      </c>
      <c r="EK305" s="456">
        <f t="shared" si="876"/>
        <v>3.8293609937799712E-2</v>
      </c>
      <c r="EL305" s="456">
        <f t="shared" si="877"/>
        <v>1.0673043702104281</v>
      </c>
      <c r="EM305">
        <f t="shared" si="878"/>
        <v>2.1600000000000001E-2</v>
      </c>
      <c r="EN305" s="144">
        <f t="shared" si="879"/>
        <v>59.893609937799717</v>
      </c>
      <c r="EP305" s="144">
        <f t="shared" si="880"/>
        <v>7307.6516811825795</v>
      </c>
      <c r="EQ305" s="150">
        <f t="shared" si="881"/>
        <v>2.492</v>
      </c>
      <c r="ER305" s="150">
        <f t="shared" si="841"/>
        <v>0.36236349999999995</v>
      </c>
      <c r="ES305" s="456"/>
      <c r="EU305" s="144">
        <f t="shared" si="882"/>
        <v>2854.3634999999999</v>
      </c>
      <c r="EV305" s="456">
        <f t="shared" si="883"/>
        <v>0.26057187106489899</v>
      </c>
      <c r="EW305" s="456">
        <f t="shared" si="884"/>
        <v>0.37486791103351946</v>
      </c>
      <c r="EX305" s="456">
        <f t="shared" si="885"/>
        <v>5.3944619298829611E-3</v>
      </c>
      <c r="EY305" s="456">
        <f t="shared" si="886"/>
        <v>50.088446331060055</v>
      </c>
      <c r="EZ305" s="456"/>
      <c r="FA305" s="538">
        <f t="shared" si="887"/>
        <v>4.7663461171244386</v>
      </c>
      <c r="FB305" s="144">
        <f t="shared" si="888"/>
        <v>55495.626692212798</v>
      </c>
      <c r="FC305" s="150">
        <f t="shared" si="889"/>
        <v>65.657641873395377</v>
      </c>
      <c r="FD305" s="5">
        <f t="shared" si="890"/>
        <v>111.339</v>
      </c>
      <c r="FE305" s="150">
        <f t="shared" si="891"/>
        <v>0.62904583285619675</v>
      </c>
      <c r="FF305" s="5">
        <f t="shared" si="892"/>
        <v>62.904583285619672</v>
      </c>
      <c r="FG305">
        <f t="shared" si="893"/>
        <v>89</v>
      </c>
      <c r="FI305" s="59">
        <f t="shared" si="842"/>
        <v>-50</v>
      </c>
    </row>
    <row r="306" spans="5:169">
      <c r="E306" s="147">
        <v>90</v>
      </c>
      <c r="F306" s="188">
        <f t="shared" si="843"/>
        <v>3.6</v>
      </c>
      <c r="G306" s="188">
        <f t="shared" si="772"/>
        <v>0.76500000000000001</v>
      </c>
      <c r="H306" s="188">
        <f t="shared" si="773"/>
        <v>108</v>
      </c>
      <c r="I306" s="188">
        <f t="shared" si="774"/>
        <v>4.59</v>
      </c>
      <c r="J306" s="465">
        <f t="shared" si="775"/>
        <v>47.814759246598612</v>
      </c>
      <c r="K306" s="379">
        <f t="shared" si="776"/>
        <v>30.835823361594016</v>
      </c>
      <c r="L306" s="149">
        <f t="shared" si="777"/>
        <v>78.650582608192622</v>
      </c>
      <c r="M306" s="379"/>
      <c r="N306" s="188">
        <f t="shared" si="778"/>
        <v>0.3920609655901266</v>
      </c>
      <c r="O306" s="149">
        <f t="shared" si="779"/>
        <v>272.4555000316966</v>
      </c>
      <c r="P306" s="149">
        <f t="shared" si="780"/>
        <v>11.579358751347105</v>
      </c>
      <c r="Q306" s="188">
        <f t="shared" si="781"/>
        <v>9.0818500010565533</v>
      </c>
      <c r="R306" s="188">
        <f t="shared" si="782"/>
        <v>45.409250005282765</v>
      </c>
      <c r="S306" s="188">
        <f t="shared" si="783"/>
        <v>30</v>
      </c>
      <c r="T306" s="188">
        <f t="shared" si="784"/>
        <v>12.011969926635851</v>
      </c>
      <c r="U306" s="188">
        <f t="shared" si="785"/>
        <v>1.1807287027008215</v>
      </c>
      <c r="V306" s="188">
        <f t="shared" si="786"/>
        <v>1.8308659377490373</v>
      </c>
      <c r="W306" s="172">
        <f t="shared" si="787"/>
        <v>350</v>
      </c>
      <c r="X306" s="379">
        <f t="shared" si="844"/>
        <v>311.37179873358065</v>
      </c>
      <c r="Z306" s="188">
        <f t="shared" si="788"/>
        <v>11.395927464851601</v>
      </c>
      <c r="AA306" s="150">
        <f t="shared" si="789"/>
        <v>1.7369686697424955</v>
      </c>
      <c r="AB306" s="150">
        <f t="shared" si="790"/>
        <v>3.3227957502095151</v>
      </c>
      <c r="AC306" s="150"/>
      <c r="AD306" s="150">
        <f t="shared" si="791"/>
        <v>0.92375832326002782</v>
      </c>
      <c r="AE306" s="314">
        <f t="shared" si="792"/>
        <v>1340.7078115726797</v>
      </c>
      <c r="AF306" s="456">
        <f t="shared" si="793"/>
        <v>0.93980208746750893</v>
      </c>
      <c r="AH306" s="150">
        <f t="shared" si="794"/>
        <v>11.699894785591919</v>
      </c>
      <c r="AI306" s="150">
        <f t="shared" si="795"/>
        <v>12.011969926635851</v>
      </c>
      <c r="AJ306" s="150">
        <f t="shared" si="796"/>
        <v>5.6084176785405857</v>
      </c>
      <c r="AL306" s="314">
        <f t="shared" si="797"/>
        <v>3600</v>
      </c>
      <c r="AM306" s="144">
        <f t="shared" si="798"/>
        <v>311.37179873358065</v>
      </c>
      <c r="AO306">
        <f t="shared" si="799"/>
        <v>3600</v>
      </c>
      <c r="AP306">
        <f t="shared" si="800"/>
        <v>311.37179873358065</v>
      </c>
      <c r="AR306" s="5">
        <f t="shared" si="771"/>
        <v>3.2115946404498597</v>
      </c>
      <c r="AS306" s="5">
        <f t="shared" si="737"/>
        <v>1.1807287027008215</v>
      </c>
      <c r="AT306" s="5">
        <f t="shared" si="738"/>
        <v>2.0308659377490379</v>
      </c>
      <c r="AU306" s="150">
        <f t="shared" si="739"/>
        <v>0.367645619976322</v>
      </c>
      <c r="BA306" s="150">
        <f t="shared" si="845"/>
        <v>4.2050223360056238</v>
      </c>
      <c r="BB306" s="150">
        <f t="shared" si="846"/>
        <v>5.2900260510043866</v>
      </c>
      <c r="BC306" s="150">
        <f t="shared" si="847"/>
        <v>1.0618709984689187</v>
      </c>
      <c r="BD306" s="150"/>
      <c r="BE306" s="456">
        <f t="shared" si="848"/>
        <v>0.21218655415567431</v>
      </c>
      <c r="BF306" s="456">
        <f t="shared" si="801"/>
        <v>5.3685663455557933</v>
      </c>
      <c r="BG306" s="456">
        <f t="shared" si="849"/>
        <v>3.5807756854361779E-2</v>
      </c>
      <c r="BH306" s="456">
        <f t="shared" si="850"/>
        <v>0.99676669325438383</v>
      </c>
      <c r="BI306">
        <f t="shared" si="851"/>
        <v>2.1516641660969376E-2</v>
      </c>
      <c r="BJ306" s="144">
        <f t="shared" si="852"/>
        <v>57.324398515331154</v>
      </c>
      <c r="BK306">
        <f t="shared" si="802"/>
        <v>6.9870665950558459</v>
      </c>
      <c r="BL306" s="144">
        <f t="shared" si="853"/>
        <v>6634.8439914811825</v>
      </c>
      <c r="BM306" s="150">
        <f t="shared" si="803"/>
        <v>2.4141599999999999</v>
      </c>
      <c r="BN306" s="150">
        <f t="shared" si="804"/>
        <v>0.36643500000000001</v>
      </c>
      <c r="BQ306" s="144">
        <f t="shared" si="854"/>
        <v>2780.5949999999998</v>
      </c>
      <c r="BR306" s="456">
        <f t="shared" si="855"/>
        <v>0.2475509798482867</v>
      </c>
      <c r="BS306" s="456">
        <f t="shared" si="856"/>
        <v>0.39178125868427094</v>
      </c>
      <c r="BT306" s="456">
        <f t="shared" si="857"/>
        <v>5.6378500869468922E-3</v>
      </c>
      <c r="BU306" s="456">
        <f t="shared" si="858"/>
        <v>42.776355823703618</v>
      </c>
      <c r="BV306" s="456"/>
      <c r="BW306" s="538">
        <f t="shared" si="859"/>
        <v>4.4927033972815842</v>
      </c>
      <c r="BX306" s="144">
        <f t="shared" si="860"/>
        <v>47914.029309604703</v>
      </c>
      <c r="BY306" s="150">
        <f t="shared" si="861"/>
        <v>57.329468301085882</v>
      </c>
      <c r="BZ306" s="5">
        <f t="shared" si="862"/>
        <v>112.59</v>
      </c>
      <c r="CA306" s="150">
        <f t="shared" si="863"/>
        <v>0.66260800557884325</v>
      </c>
      <c r="CB306" s="5">
        <f t="shared" si="864"/>
        <v>66.260800557884323</v>
      </c>
      <c r="CC306">
        <f t="shared" si="865"/>
        <v>90</v>
      </c>
      <c r="CE306" s="59">
        <f t="shared" si="805"/>
        <v>-50</v>
      </c>
      <c r="CG306" s="150">
        <f t="shared" si="806"/>
        <v>0.60945624682956001</v>
      </c>
      <c r="CH306" s="150">
        <f t="shared" si="807"/>
        <v>0.13300929250130375</v>
      </c>
      <c r="CI306" s="147">
        <v>90</v>
      </c>
      <c r="CJ306" s="188">
        <f t="shared" si="866"/>
        <v>3.6</v>
      </c>
      <c r="CK306" s="188">
        <f t="shared" si="808"/>
        <v>0.76500000000000001</v>
      </c>
      <c r="CL306" s="188">
        <f t="shared" si="809"/>
        <v>108</v>
      </c>
      <c r="CM306" s="188">
        <f t="shared" si="810"/>
        <v>4.59</v>
      </c>
      <c r="CN306" s="465">
        <f t="shared" si="811"/>
        <v>48</v>
      </c>
      <c r="CO306" s="379">
        <f t="shared" si="812"/>
        <v>30.7</v>
      </c>
      <c r="CP306" s="379">
        <f t="shared" si="813"/>
        <v>78.7</v>
      </c>
      <c r="CQ306" s="379"/>
      <c r="CR306" s="188">
        <f t="shared" si="814"/>
        <v>0.38775510204081626</v>
      </c>
      <c r="CS306" s="149">
        <f t="shared" si="815"/>
        <v>270.50715642699197</v>
      </c>
      <c r="CT306" s="149">
        <f t="shared" si="816"/>
        <v>11.496554148147156</v>
      </c>
      <c r="CU306" s="188">
        <f t="shared" si="817"/>
        <v>9.0169052142330663</v>
      </c>
      <c r="CV306" s="188">
        <f t="shared" si="818"/>
        <v>45.084526071165328</v>
      </c>
      <c r="CW306" s="188">
        <f t="shared" si="819"/>
        <v>30</v>
      </c>
      <c r="CX306" s="188">
        <f t="shared" si="820"/>
        <v>12.098486842105267</v>
      </c>
      <c r="CY306" s="188">
        <f t="shared" si="821"/>
        <v>1.1846435032894742</v>
      </c>
      <c r="CZ306" s="188">
        <f t="shared" si="822"/>
        <v>1.8522113406480376</v>
      </c>
      <c r="DA306" s="172">
        <f t="shared" si="823"/>
        <v>350</v>
      </c>
      <c r="DB306" s="379">
        <f t="shared" si="824"/>
        <v>329.28804680813272</v>
      </c>
      <c r="DD306" s="188">
        <f t="shared" si="825"/>
        <v>11.382534575916392</v>
      </c>
      <c r="DE306" s="150">
        <f t="shared" si="826"/>
        <v>1.7426030132510437</v>
      </c>
      <c r="DF306" s="150">
        <f t="shared" si="827"/>
        <v>3.3296564353233258</v>
      </c>
      <c r="DG306" s="150"/>
      <c r="DH306" s="150">
        <f t="shared" si="828"/>
        <v>0.92784522751949461</v>
      </c>
      <c r="DI306" s="314">
        <f t="shared" si="829"/>
        <v>1334.8023606382983</v>
      </c>
      <c r="DJ306" s="456">
        <f t="shared" si="830"/>
        <v>0.94395997276890675</v>
      </c>
      <c r="DL306" s="150">
        <f t="shared" si="831"/>
        <v>11.699894785591919</v>
      </c>
      <c r="DM306" s="150">
        <f t="shared" si="832"/>
        <v>12.098486842105267</v>
      </c>
      <c r="DN306" s="150">
        <f t="shared" si="833"/>
        <v>5.6725042825920049</v>
      </c>
      <c r="DP306" s="314">
        <f t="shared" si="834"/>
        <v>3600</v>
      </c>
      <c r="DQ306" s="144">
        <f t="shared" si="835"/>
        <v>329.28804680813272</v>
      </c>
      <c r="DS306">
        <f t="shared" si="836"/>
        <v>3600</v>
      </c>
      <c r="DT306">
        <f t="shared" si="837"/>
        <v>329.28804680813272</v>
      </c>
      <c r="DV306" s="5">
        <f t="shared" si="867"/>
        <v>3.0368548439375118</v>
      </c>
      <c r="DW306" s="5">
        <f t="shared" si="838"/>
        <v>1.1846435032894742</v>
      </c>
      <c r="DX306" s="5">
        <f t="shared" si="839"/>
        <v>1.8522113406480376</v>
      </c>
      <c r="DY306" s="150">
        <f t="shared" si="840"/>
        <v>0.39008894536213473</v>
      </c>
      <c r="EA306" s="5">
        <f t="shared" si="868"/>
        <v>14.215722039473691</v>
      </c>
      <c r="EB306" s="5">
        <f t="shared" si="869"/>
        <v>15.104204666940795</v>
      </c>
      <c r="EC306" s="5">
        <f t="shared" si="870"/>
        <v>2.4514561861518143</v>
      </c>
      <c r="ED306" s="5"/>
      <c r="EE306" s="150">
        <f t="shared" si="871"/>
        <v>4.3626688675009797</v>
      </c>
      <c r="EF306" s="150">
        <f t="shared" si="872"/>
        <v>5.2327214639211634</v>
      </c>
      <c r="EG306" s="150">
        <f t="shared" si="873"/>
        <v>1.0503682046232519</v>
      </c>
      <c r="EH306" s="150"/>
      <c r="EI306" s="456">
        <f t="shared" si="874"/>
        <v>0.22839455576954737</v>
      </c>
      <c r="EJ306" s="456">
        <f t="shared" si="875"/>
        <v>5.9571063829787239</v>
      </c>
      <c r="EK306" s="456">
        <f t="shared" si="876"/>
        <v>3.7868125382935269E-2</v>
      </c>
      <c r="EL306" s="456">
        <f t="shared" si="877"/>
        <v>1.0554454327636456</v>
      </c>
      <c r="EM306">
        <f t="shared" si="878"/>
        <v>2.1600000000000001E-2</v>
      </c>
      <c r="EN306" s="144">
        <f t="shared" si="879"/>
        <v>59.46812538293527</v>
      </c>
      <c r="EP306" s="144">
        <f t="shared" si="880"/>
        <v>7300.4144968948531</v>
      </c>
      <c r="EQ306" s="150">
        <f t="shared" si="881"/>
        <v>2.52</v>
      </c>
      <c r="ER306" s="150">
        <f t="shared" si="841"/>
        <v>0.36643500000000001</v>
      </c>
      <c r="ES306" s="456"/>
      <c r="EU306" s="144">
        <f t="shared" si="882"/>
        <v>2886.4349999999999</v>
      </c>
      <c r="EV306" s="456">
        <f t="shared" si="883"/>
        <v>0.26646031506447193</v>
      </c>
      <c r="EW306" s="456">
        <f t="shared" si="884"/>
        <v>0.3833392348657374</v>
      </c>
      <c r="EX306" s="456">
        <f t="shared" si="885"/>
        <v>5.5163668264173668E-3</v>
      </c>
      <c r="EY306" s="456">
        <f t="shared" si="886"/>
        <v>50.08844633105997</v>
      </c>
      <c r="EZ306" s="456"/>
      <c r="FA306" s="538">
        <f t="shared" si="887"/>
        <v>4.8199005678786451</v>
      </c>
      <c r="FB306" s="144">
        <f t="shared" si="888"/>
        <v>55563.662815695243</v>
      </c>
      <c r="FC306" s="150">
        <f t="shared" si="889"/>
        <v>65.750512312590089</v>
      </c>
      <c r="FD306" s="5">
        <f t="shared" si="890"/>
        <v>112.59</v>
      </c>
      <c r="FE306" s="150">
        <f t="shared" si="891"/>
        <v>0.63132037998553869</v>
      </c>
      <c r="FF306" s="5">
        <f t="shared" si="892"/>
        <v>63.132037998553869</v>
      </c>
      <c r="FG306">
        <f t="shared" si="893"/>
        <v>90</v>
      </c>
      <c r="FI306" s="59">
        <f t="shared" si="842"/>
        <v>-50</v>
      </c>
    </row>
    <row r="307" spans="5:169">
      <c r="E307" s="147">
        <v>91</v>
      </c>
      <c r="F307" s="188">
        <f t="shared" si="843"/>
        <v>3.64</v>
      </c>
      <c r="G307" s="188">
        <f t="shared" si="772"/>
        <v>0.77349999999999997</v>
      </c>
      <c r="H307" s="188">
        <f t="shared" si="773"/>
        <v>109.2</v>
      </c>
      <c r="I307" s="188">
        <f t="shared" si="774"/>
        <v>4.641</v>
      </c>
      <c r="J307" s="465">
        <f t="shared" si="775"/>
        <v>47.812701016005263</v>
      </c>
      <c r="K307" s="379">
        <f t="shared" si="776"/>
        <v>30.837332510056171</v>
      </c>
      <c r="L307" s="149">
        <f t="shared" si="777"/>
        <v>78.650033526061435</v>
      </c>
      <c r="M307" s="379"/>
      <c r="N307" s="188">
        <f t="shared" si="778"/>
        <v>0.39208289084629477</v>
      </c>
      <c r="O307" s="149">
        <f t="shared" si="779"/>
        <v>272.45900782682833</v>
      </c>
      <c r="P307" s="149">
        <f t="shared" si="780"/>
        <v>11.579507832640202</v>
      </c>
      <c r="Q307" s="188">
        <f t="shared" si="781"/>
        <v>9.0819669275609449</v>
      </c>
      <c r="R307" s="188">
        <f t="shared" si="782"/>
        <v>45.409834637804721</v>
      </c>
      <c r="S307" s="188">
        <f t="shared" si="783"/>
        <v>30</v>
      </c>
      <c r="T307" s="188">
        <f t="shared" si="784"/>
        <v>12.145279891770466</v>
      </c>
      <c r="U307" s="188">
        <f t="shared" si="785"/>
        <v>1.1938839320584034</v>
      </c>
      <c r="V307" s="188">
        <f t="shared" si="786"/>
        <v>1.8510944639166265</v>
      </c>
      <c r="W307" s="172">
        <f t="shared" si="787"/>
        <v>350</v>
      </c>
      <c r="X307" s="379">
        <f t="shared" si="844"/>
        <v>308.16846153440304</v>
      </c>
      <c r="Z307" s="188">
        <f t="shared" si="788"/>
        <v>11.396074184513628</v>
      </c>
      <c r="AA307" s="150">
        <f t="shared" si="789"/>
        <v>1.7369060261534432</v>
      </c>
      <c r="AB307" s="150">
        <f t="shared" si="790"/>
        <v>3.3227186925422982</v>
      </c>
      <c r="AC307" s="150"/>
      <c r="AD307" s="150">
        <f t="shared" si="791"/>
        <v>0.92371311544406332</v>
      </c>
      <c r="AE307" s="314">
        <f t="shared" si="792"/>
        <v>1355.670910224108</v>
      </c>
      <c r="AF307" s="456">
        <f t="shared" si="793"/>
        <v>0.93975609448563968</v>
      </c>
      <c r="AH307" s="150">
        <f t="shared" si="794"/>
        <v>11.764714643300868</v>
      </c>
      <c r="AI307" s="150">
        <f t="shared" si="795"/>
        <v>12.145279891770466</v>
      </c>
      <c r="AJ307" s="150">
        <f t="shared" si="796"/>
        <v>5.7071658008625228</v>
      </c>
      <c r="AL307" s="314">
        <f t="shared" si="797"/>
        <v>3640</v>
      </c>
      <c r="AM307" s="144">
        <f t="shared" si="798"/>
        <v>308.16846153440304</v>
      </c>
      <c r="AO307">
        <f t="shared" si="799"/>
        <v>3640</v>
      </c>
      <c r="AP307">
        <f t="shared" si="800"/>
        <v>308.16846153440304</v>
      </c>
      <c r="AR307" s="5">
        <f t="shared" si="771"/>
        <v>3.2449783959750307</v>
      </c>
      <c r="AS307" s="5">
        <f t="shared" ref="AS307:AS316" si="894">L*AI307/J307*1000000</f>
        <v>1.1938839320584034</v>
      </c>
      <c r="AT307" s="5">
        <f t="shared" ref="AT307:AT316" si="895">AR307-AS307</f>
        <v>2.0510944639166273</v>
      </c>
      <c r="AU307" s="150">
        <f t="shared" ref="AU307:AU316" si="896">AS307/AR307</f>
        <v>0.36791737459308188</v>
      </c>
      <c r="BA307" s="150">
        <f t="shared" si="845"/>
        <v>4.2532611491671011</v>
      </c>
      <c r="BB307" s="150">
        <f t="shared" si="846"/>
        <v>5.3475858202792255</v>
      </c>
      <c r="BC307" s="150">
        <f t="shared" si="847"/>
        <v>1.0734250152322029</v>
      </c>
      <c r="BD307" s="150"/>
      <c r="BE307" s="456">
        <f t="shared" si="848"/>
        <v>0.217082764836171</v>
      </c>
      <c r="BF307" s="456">
        <f t="shared" si="801"/>
        <v>5.3722658866917694</v>
      </c>
      <c r="BG307" s="456">
        <f t="shared" si="849"/>
        <v>3.5439373076456351E-2</v>
      </c>
      <c r="BH307" s="456">
        <f t="shared" si="850"/>
        <v>0.98649836215698861</v>
      </c>
      <c r="BI307">
        <f t="shared" si="851"/>
        <v>2.1515715457202367E-2</v>
      </c>
      <c r="BJ307" s="144">
        <f t="shared" si="852"/>
        <v>56.955088533658717</v>
      </c>
      <c r="BK307">
        <f t="shared" si="802"/>
        <v>6.9952673077731129</v>
      </c>
      <c r="BL307" s="144">
        <f t="shared" si="853"/>
        <v>6632.8021022185885</v>
      </c>
      <c r="BM307" s="150">
        <f t="shared" si="803"/>
        <v>2.4409839999999998</v>
      </c>
      <c r="BN307" s="150">
        <f t="shared" si="804"/>
        <v>0.37050649999999996</v>
      </c>
      <c r="BQ307" s="144">
        <f t="shared" si="854"/>
        <v>2811.4904999999999</v>
      </c>
      <c r="BR307" s="456">
        <f t="shared" si="855"/>
        <v>0.2532632256421995</v>
      </c>
      <c r="BS307" s="456">
        <f t="shared" si="856"/>
        <v>0.40035343747352015</v>
      </c>
      <c r="BT307" s="456">
        <f t="shared" si="857"/>
        <v>5.7612063166312755E-3</v>
      </c>
      <c r="BU307" s="456">
        <f t="shared" si="858"/>
        <v>42.850835999916072</v>
      </c>
      <c r="BV307" s="456"/>
      <c r="BW307" s="538">
        <f t="shared" si="859"/>
        <v>4.5457259078337202</v>
      </c>
      <c r="BX307" s="144">
        <f t="shared" si="860"/>
        <v>48055.939777182139</v>
      </c>
      <c r="BY307" s="150">
        <f t="shared" si="861"/>
        <v>57.500232379400728</v>
      </c>
      <c r="BZ307" s="5">
        <f t="shared" si="862"/>
        <v>113.84100000000001</v>
      </c>
      <c r="CA307" s="150">
        <f t="shared" si="863"/>
        <v>0.66441100264717357</v>
      </c>
      <c r="CB307" s="5">
        <f t="shared" si="864"/>
        <v>66.441100264717363</v>
      </c>
      <c r="CC307">
        <f t="shared" si="865"/>
        <v>91</v>
      </c>
      <c r="CE307" s="59">
        <f t="shared" si="805"/>
        <v>-50</v>
      </c>
      <c r="CG307" s="150">
        <f t="shared" si="806"/>
        <v>0.60945624682956023</v>
      </c>
      <c r="CH307" s="150">
        <f t="shared" si="807"/>
        <v>0.13300929250130375</v>
      </c>
      <c r="CI307" s="147">
        <v>91</v>
      </c>
      <c r="CJ307" s="188">
        <f t="shared" si="866"/>
        <v>3.64</v>
      </c>
      <c r="CK307" s="188">
        <f t="shared" si="808"/>
        <v>0.77349999999999997</v>
      </c>
      <c r="CL307" s="188">
        <f t="shared" si="809"/>
        <v>109.2</v>
      </c>
      <c r="CM307" s="188">
        <f t="shared" si="810"/>
        <v>4.641</v>
      </c>
      <c r="CN307" s="465">
        <f t="shared" si="811"/>
        <v>48</v>
      </c>
      <c r="CO307" s="379">
        <f t="shared" si="812"/>
        <v>30.7</v>
      </c>
      <c r="CP307" s="379">
        <f t="shared" si="813"/>
        <v>78.7</v>
      </c>
      <c r="CQ307" s="379"/>
      <c r="CR307" s="188">
        <f t="shared" si="814"/>
        <v>0.38775510204081626</v>
      </c>
      <c r="CS307" s="149">
        <f t="shared" si="815"/>
        <v>270.50715642699197</v>
      </c>
      <c r="CT307" s="149">
        <f t="shared" si="816"/>
        <v>11.496554148147156</v>
      </c>
      <c r="CU307" s="188">
        <f t="shared" si="817"/>
        <v>9.0169052142330663</v>
      </c>
      <c r="CV307" s="188">
        <f t="shared" si="818"/>
        <v>45.084526071165328</v>
      </c>
      <c r="CW307" s="188">
        <f t="shared" si="819"/>
        <v>30</v>
      </c>
      <c r="CX307" s="188">
        <f t="shared" si="820"/>
        <v>12.232914473684215</v>
      </c>
      <c r="CY307" s="188">
        <f t="shared" si="821"/>
        <v>1.1978062088815793</v>
      </c>
      <c r="CZ307" s="188">
        <f t="shared" si="822"/>
        <v>1.8727914666552381</v>
      </c>
      <c r="DA307" s="172">
        <f t="shared" si="823"/>
        <v>350</v>
      </c>
      <c r="DB307" s="379">
        <f t="shared" si="824"/>
        <v>325.66949684320821</v>
      </c>
      <c r="DD307" s="188">
        <f t="shared" si="825"/>
        <v>11.382534575916392</v>
      </c>
      <c r="DE307" s="150">
        <f t="shared" si="826"/>
        <v>1.7426030132510437</v>
      </c>
      <c r="DF307" s="150">
        <f t="shared" si="827"/>
        <v>3.3296564353233258</v>
      </c>
      <c r="DG307" s="150"/>
      <c r="DH307" s="150">
        <f t="shared" si="828"/>
        <v>0.92784522751949461</v>
      </c>
      <c r="DI307" s="314">
        <f t="shared" si="829"/>
        <v>1349.6334979787234</v>
      </c>
      <c r="DJ307" s="456">
        <f t="shared" si="830"/>
        <v>0.94395997276890675</v>
      </c>
      <c r="DL307" s="150">
        <f t="shared" si="831"/>
        <v>11.764714643300868</v>
      </c>
      <c r="DM307" s="150">
        <f t="shared" si="832"/>
        <v>12.232914473684215</v>
      </c>
      <c r="DN307" s="150">
        <f t="shared" si="833"/>
        <v>5.7720803059838177</v>
      </c>
      <c r="DP307" s="314">
        <f t="shared" si="834"/>
        <v>3640</v>
      </c>
      <c r="DQ307" s="144">
        <f t="shared" si="835"/>
        <v>325.66949684320821</v>
      </c>
      <c r="DS307">
        <f t="shared" si="836"/>
        <v>3640</v>
      </c>
      <c r="DT307">
        <f t="shared" si="837"/>
        <v>325.66949684320821</v>
      </c>
      <c r="DV307" s="5">
        <f t="shared" si="867"/>
        <v>3.0705976755368174</v>
      </c>
      <c r="DW307" s="5">
        <f t="shared" si="838"/>
        <v>1.1978062088815793</v>
      </c>
      <c r="DX307" s="5">
        <f t="shared" si="839"/>
        <v>1.8727914666552381</v>
      </c>
      <c r="DY307" s="150">
        <f t="shared" si="840"/>
        <v>0.39008894536213468</v>
      </c>
      <c r="EA307" s="5">
        <f t="shared" si="868"/>
        <v>14.533382001096495</v>
      </c>
      <c r="EB307" s="5">
        <f t="shared" si="869"/>
        <v>15.441718376165026</v>
      </c>
      <c r="EC307" s="5">
        <f t="shared" si="870"/>
        <v>2.5062356392003919</v>
      </c>
      <c r="ED307" s="5"/>
      <c r="EE307" s="150">
        <f t="shared" si="871"/>
        <v>4.411142966028768</v>
      </c>
      <c r="EF307" s="150">
        <f t="shared" si="872"/>
        <v>5.2908628135202882</v>
      </c>
      <c r="EG307" s="150">
        <f t="shared" si="873"/>
        <v>1.0620389624523994</v>
      </c>
      <c r="EH307" s="150"/>
      <c r="EI307" s="456">
        <f t="shared" si="874"/>
        <v>0.23349818720094093</v>
      </c>
      <c r="EJ307" s="456">
        <f t="shared" si="875"/>
        <v>5.9571063829787239</v>
      </c>
      <c r="EK307" s="456">
        <f t="shared" si="876"/>
        <v>3.7451992136968947E-2</v>
      </c>
      <c r="EL307" s="456">
        <f t="shared" si="877"/>
        <v>1.0438471313047044</v>
      </c>
      <c r="EM307">
        <f t="shared" si="878"/>
        <v>2.1600000000000001E-2</v>
      </c>
      <c r="EN307" s="144">
        <f t="shared" si="879"/>
        <v>59.051992136968948</v>
      </c>
      <c r="EP307" s="144">
        <f t="shared" si="880"/>
        <v>7293.5036936213382</v>
      </c>
      <c r="EQ307" s="150">
        <f t="shared" si="881"/>
        <v>2.548</v>
      </c>
      <c r="ER307" s="150">
        <f t="shared" si="841"/>
        <v>0.37050649999999996</v>
      </c>
      <c r="ES307" s="456"/>
      <c r="EU307" s="144">
        <f t="shared" si="882"/>
        <v>2918.5065</v>
      </c>
      <c r="EV307" s="456">
        <f t="shared" si="883"/>
        <v>0.27241455173443108</v>
      </c>
      <c r="EW307" s="456">
        <f t="shared" si="884"/>
        <v>0.39190521036088549</v>
      </c>
      <c r="EX307" s="456">
        <f t="shared" si="885"/>
        <v>5.6396337888348445E-3</v>
      </c>
      <c r="EY307" s="456">
        <f t="shared" si="886"/>
        <v>50.088446331060055</v>
      </c>
      <c r="EZ307" s="456"/>
      <c r="FA307" s="538">
        <f t="shared" si="887"/>
        <v>4.8734550186328534</v>
      </c>
      <c r="FB307" s="144">
        <f t="shared" si="888"/>
        <v>55631.860745577054</v>
      </c>
      <c r="FC307" s="150">
        <f t="shared" si="889"/>
        <v>65.843870939198396</v>
      </c>
      <c r="FD307" s="5">
        <f t="shared" si="890"/>
        <v>113.84100000000001</v>
      </c>
      <c r="FE307" s="150">
        <f t="shared" si="891"/>
        <v>0.63355918283471635</v>
      </c>
      <c r="FF307" s="5">
        <f t="shared" si="892"/>
        <v>63.355918283471638</v>
      </c>
      <c r="FG307">
        <f t="shared" si="893"/>
        <v>91</v>
      </c>
      <c r="FI307" s="59">
        <f t="shared" si="842"/>
        <v>-50</v>
      </c>
    </row>
    <row r="308" spans="5:169">
      <c r="E308" s="147">
        <v>92</v>
      </c>
      <c r="F308" s="188">
        <f t="shared" si="843"/>
        <v>3.68</v>
      </c>
      <c r="G308" s="188">
        <f t="shared" si="772"/>
        <v>0.78200000000000003</v>
      </c>
      <c r="H308" s="188">
        <f t="shared" si="773"/>
        <v>110.4</v>
      </c>
      <c r="I308" s="188">
        <f t="shared" si="774"/>
        <v>4.6920000000000002</v>
      </c>
      <c r="J308" s="465">
        <f t="shared" si="775"/>
        <v>47.810642785411915</v>
      </c>
      <c r="K308" s="379">
        <f t="shared" si="776"/>
        <v>30.83884165851833</v>
      </c>
      <c r="L308" s="149">
        <f t="shared" si="777"/>
        <v>78.649484443930248</v>
      </c>
      <c r="M308" s="379"/>
      <c r="N308" s="188">
        <f t="shared" si="778"/>
        <v>0.39210481640860023</v>
      </c>
      <c r="O308" s="149">
        <f t="shared" si="779"/>
        <v>272.4625145229432</v>
      </c>
      <c r="P308" s="149">
        <f t="shared" si="780"/>
        <v>11.579656867225085</v>
      </c>
      <c r="Q308" s="188">
        <f t="shared" si="781"/>
        <v>9.0820838174314407</v>
      </c>
      <c r="R308" s="188">
        <f t="shared" si="782"/>
        <v>45.410419087157202</v>
      </c>
      <c r="S308" s="188">
        <f t="shared" si="783"/>
        <v>30</v>
      </c>
      <c r="T308" s="188">
        <f t="shared" si="784"/>
        <v>12.278586473857255</v>
      </c>
      <c r="U308" s="188">
        <f t="shared" si="785"/>
        <v>1.2070399615028287</v>
      </c>
      <c r="V308" s="188">
        <f t="shared" si="786"/>
        <v>1.8713204946589999</v>
      </c>
      <c r="W308" s="172">
        <f t="shared" si="787"/>
        <v>350</v>
      </c>
      <c r="X308" s="379">
        <f t="shared" si="844"/>
        <v>305.03052161956572</v>
      </c>
      <c r="Z308" s="188">
        <f t="shared" si="788"/>
        <v>11.396220858207361</v>
      </c>
      <c r="AA308" s="150">
        <f t="shared" si="789"/>
        <v>1.7368433816897138</v>
      </c>
      <c r="AB308" s="150">
        <f t="shared" si="790"/>
        <v>3.3226416167137187</v>
      </c>
      <c r="AC308" s="150"/>
      <c r="AD308" s="150">
        <f t="shared" si="791"/>
        <v>0.92366791205273358</v>
      </c>
      <c r="AE308" s="314">
        <f t="shared" si="792"/>
        <v>1370.63546701157</v>
      </c>
      <c r="AF308" s="456">
        <f t="shared" si="793"/>
        <v>0.93971010600525173</v>
      </c>
      <c r="AH308" s="150">
        <f t="shared" si="794"/>
        <v>11.829179315686901</v>
      </c>
      <c r="AI308" s="150">
        <f t="shared" si="795"/>
        <v>12.278586473857255</v>
      </c>
      <c r="AJ308" s="150">
        <f t="shared" si="796"/>
        <v>5.8059114172231068</v>
      </c>
      <c r="AL308" s="314">
        <f t="shared" si="797"/>
        <v>3680</v>
      </c>
      <c r="AM308" s="144">
        <f t="shared" si="798"/>
        <v>305.03052161956572</v>
      </c>
      <c r="AO308">
        <f t="shared" si="799"/>
        <v>3680</v>
      </c>
      <c r="AP308">
        <f t="shared" si="800"/>
        <v>305.03052161956572</v>
      </c>
      <c r="AR308" s="5">
        <f t="shared" si="771"/>
        <v>3.2783604561618285</v>
      </c>
      <c r="AS308" s="5">
        <f t="shared" si="894"/>
        <v>1.2070399615028287</v>
      </c>
      <c r="AT308" s="5">
        <f t="shared" si="895"/>
        <v>2.071320494659</v>
      </c>
      <c r="AU308" s="150">
        <f t="shared" si="896"/>
        <v>0.36818402907286835</v>
      </c>
      <c r="BA308" s="150">
        <f t="shared" si="845"/>
        <v>4.3015028875283301</v>
      </c>
      <c r="BB308" s="150">
        <f t="shared" si="846"/>
        <v>5.4051404331589294</v>
      </c>
      <c r="BC308" s="150">
        <f t="shared" si="847"/>
        <v>1.0849779969483251</v>
      </c>
      <c r="BD308" s="150"/>
      <c r="BE308" s="456">
        <f t="shared" si="848"/>
        <v>0.22203512509697476</v>
      </c>
      <c r="BF308" s="456">
        <f t="shared" si="801"/>
        <v>5.3758905664218677</v>
      </c>
      <c r="BG308" s="456">
        <f t="shared" si="849"/>
        <v>3.5078509986250062E-2</v>
      </c>
      <c r="BH308" s="456">
        <f t="shared" si="850"/>
        <v>0.97643966214546041</v>
      </c>
      <c r="BI308">
        <f t="shared" si="851"/>
        <v>2.1514789253435362E-2</v>
      </c>
      <c r="BJ308" s="144">
        <f t="shared" si="852"/>
        <v>56.593299239685422</v>
      </c>
      <c r="BK308">
        <f t="shared" si="802"/>
        <v>7.0038043585111565</v>
      </c>
      <c r="BL308" s="144">
        <f t="shared" si="853"/>
        <v>6630.958652903988</v>
      </c>
      <c r="BM308" s="150">
        <f t="shared" si="803"/>
        <v>2.4678079999999998</v>
      </c>
      <c r="BN308" s="150">
        <f t="shared" si="804"/>
        <v>0.37457800000000002</v>
      </c>
      <c r="BQ308" s="144">
        <f t="shared" si="854"/>
        <v>2842.386</v>
      </c>
      <c r="BR308" s="456">
        <f t="shared" si="855"/>
        <v>0.25904097927980391</v>
      </c>
      <c r="BS308" s="456">
        <f t="shared" si="856"/>
        <v>0.40901760343037297</v>
      </c>
      <c r="BT308" s="456">
        <f t="shared" si="857"/>
        <v>5.8858862693099987E-3</v>
      </c>
      <c r="BU308" s="456">
        <f t="shared" si="858"/>
        <v>42.923900625979449</v>
      </c>
      <c r="BV308" s="456"/>
      <c r="BW308" s="538">
        <f t="shared" si="859"/>
        <v>4.5987525719639253</v>
      </c>
      <c r="BX308" s="144">
        <f t="shared" si="860"/>
        <v>48196.597666922862</v>
      </c>
      <c r="BY308" s="150">
        <f t="shared" si="861"/>
        <v>57.669942319826852</v>
      </c>
      <c r="BZ308" s="5">
        <f t="shared" si="862"/>
        <v>115.09200000000001</v>
      </c>
      <c r="CA308" s="150">
        <f t="shared" si="863"/>
        <v>0.66618838879997699</v>
      </c>
      <c r="CB308" s="5">
        <f t="shared" si="864"/>
        <v>66.618838879997696</v>
      </c>
      <c r="CC308">
        <f t="shared" si="865"/>
        <v>92</v>
      </c>
      <c r="CE308" s="59">
        <f t="shared" si="805"/>
        <v>-50</v>
      </c>
      <c r="CG308" s="150">
        <f t="shared" si="806"/>
        <v>0.60945624682956001</v>
      </c>
      <c r="CH308" s="150">
        <f t="shared" si="807"/>
        <v>0.13300929250130375</v>
      </c>
      <c r="CI308" s="147">
        <v>92</v>
      </c>
      <c r="CJ308" s="188">
        <f t="shared" si="866"/>
        <v>3.68</v>
      </c>
      <c r="CK308" s="188">
        <f t="shared" si="808"/>
        <v>0.78200000000000003</v>
      </c>
      <c r="CL308" s="188">
        <f t="shared" si="809"/>
        <v>110.4</v>
      </c>
      <c r="CM308" s="188">
        <f t="shared" si="810"/>
        <v>4.6920000000000002</v>
      </c>
      <c r="CN308" s="465">
        <f t="shared" si="811"/>
        <v>48</v>
      </c>
      <c r="CO308" s="379">
        <f t="shared" si="812"/>
        <v>30.7</v>
      </c>
      <c r="CP308" s="379">
        <f t="shared" si="813"/>
        <v>78.7</v>
      </c>
      <c r="CQ308" s="379"/>
      <c r="CR308" s="188">
        <f t="shared" si="814"/>
        <v>0.38775510204081626</v>
      </c>
      <c r="CS308" s="149">
        <f t="shared" si="815"/>
        <v>270.50715642699197</v>
      </c>
      <c r="CT308" s="149">
        <f t="shared" si="816"/>
        <v>11.496554148147156</v>
      </c>
      <c r="CU308" s="188">
        <f t="shared" si="817"/>
        <v>9.0169052142330663</v>
      </c>
      <c r="CV308" s="188">
        <f t="shared" si="818"/>
        <v>45.084526071165328</v>
      </c>
      <c r="CW308" s="188">
        <f t="shared" si="819"/>
        <v>30</v>
      </c>
      <c r="CX308" s="188">
        <f t="shared" si="820"/>
        <v>12.367342105263162</v>
      </c>
      <c r="CY308" s="188">
        <f t="shared" si="821"/>
        <v>1.2109689144736846</v>
      </c>
      <c r="CZ308" s="188">
        <f t="shared" si="822"/>
        <v>1.8933715926624384</v>
      </c>
      <c r="DA308" s="172">
        <f t="shared" si="823"/>
        <v>350</v>
      </c>
      <c r="DB308" s="379">
        <f t="shared" si="824"/>
        <v>322.12961100795593</v>
      </c>
      <c r="DD308" s="188">
        <f t="shared" si="825"/>
        <v>11.382534575916392</v>
      </c>
      <c r="DE308" s="150">
        <f t="shared" si="826"/>
        <v>1.7426030132510437</v>
      </c>
      <c r="DF308" s="150">
        <f t="shared" si="827"/>
        <v>3.3296564353233258</v>
      </c>
      <c r="DG308" s="150"/>
      <c r="DH308" s="150">
        <f t="shared" si="828"/>
        <v>0.92784522751949461</v>
      </c>
      <c r="DI308" s="314">
        <f t="shared" si="829"/>
        <v>1364.464635319149</v>
      </c>
      <c r="DJ308" s="456">
        <f t="shared" si="830"/>
        <v>0.94395997276890675</v>
      </c>
      <c r="DL308" s="150">
        <f t="shared" si="831"/>
        <v>11.829179315686901</v>
      </c>
      <c r="DM308" s="150">
        <f t="shared" si="832"/>
        <v>12.367342105263162</v>
      </c>
      <c r="DN308" s="150">
        <f t="shared" si="833"/>
        <v>5.8716563293756314</v>
      </c>
      <c r="DP308" s="314">
        <f t="shared" si="834"/>
        <v>3680</v>
      </c>
      <c r="DQ308" s="144">
        <f t="shared" si="835"/>
        <v>322.12961100795593</v>
      </c>
      <c r="DS308">
        <f t="shared" si="836"/>
        <v>3680</v>
      </c>
      <c r="DT308">
        <f t="shared" si="837"/>
        <v>322.12961100795593</v>
      </c>
      <c r="DV308" s="5">
        <f t="shared" si="867"/>
        <v>3.104340507136123</v>
      </c>
      <c r="DW308" s="5">
        <f t="shared" si="838"/>
        <v>1.2109689144736846</v>
      </c>
      <c r="DX308" s="5">
        <f t="shared" si="839"/>
        <v>1.8933715926624384</v>
      </c>
      <c r="DY308" s="150">
        <f t="shared" si="840"/>
        <v>0.39008894536213468</v>
      </c>
      <c r="EA308" s="5">
        <f t="shared" si="868"/>
        <v>14.854552017543865</v>
      </c>
      <c r="EB308" s="5">
        <f t="shared" si="869"/>
        <v>15.782961518640354</v>
      </c>
      <c r="EC308" s="5">
        <f t="shared" si="870"/>
        <v>2.561620390072711</v>
      </c>
      <c r="ED308" s="5"/>
      <c r="EE308" s="150">
        <f t="shared" si="871"/>
        <v>4.4596170645565572</v>
      </c>
      <c r="EF308" s="150">
        <f t="shared" si="872"/>
        <v>5.349004163119413</v>
      </c>
      <c r="EG308" s="150">
        <f t="shared" si="873"/>
        <v>1.0737097202815464</v>
      </c>
      <c r="EH308" s="150"/>
      <c r="EI308" s="456">
        <f t="shared" si="874"/>
        <v>0.23865821234980852</v>
      </c>
      <c r="EJ308" s="456">
        <f t="shared" si="875"/>
        <v>5.9571063829787239</v>
      </c>
      <c r="EK308" s="456">
        <f t="shared" si="876"/>
        <v>3.7044905265914939E-2</v>
      </c>
      <c r="EL308" s="456">
        <f t="shared" si="877"/>
        <v>1.0325009668340011</v>
      </c>
      <c r="EM308">
        <f t="shared" si="878"/>
        <v>2.1600000000000001E-2</v>
      </c>
      <c r="EN308" s="144">
        <f t="shared" si="879"/>
        <v>58.644905265914943</v>
      </c>
      <c r="EP308" s="144">
        <f t="shared" si="880"/>
        <v>7286.910467428449</v>
      </c>
      <c r="EQ308" s="150">
        <f t="shared" si="881"/>
        <v>2.5760000000000001</v>
      </c>
      <c r="ER308" s="150">
        <f t="shared" si="841"/>
        <v>0.37457800000000002</v>
      </c>
      <c r="ES308" s="456"/>
      <c r="EU308" s="144">
        <f t="shared" si="882"/>
        <v>2950.578</v>
      </c>
      <c r="EV308" s="456">
        <f t="shared" si="883"/>
        <v>0.27843458107477659</v>
      </c>
      <c r="EW308" s="456">
        <f t="shared" si="884"/>
        <v>0.40056583751896335</v>
      </c>
      <c r="EX308" s="456">
        <f t="shared" si="885"/>
        <v>5.7642628171353837E-3</v>
      </c>
      <c r="EY308" s="456">
        <f t="shared" si="886"/>
        <v>50.088446331060098</v>
      </c>
      <c r="EZ308" s="456"/>
      <c r="FA308" s="538">
        <f t="shared" si="887"/>
        <v>4.9270094693870607</v>
      </c>
      <c r="FB308" s="144">
        <f t="shared" si="888"/>
        <v>55700.220481858036</v>
      </c>
      <c r="FC308" s="150">
        <f t="shared" si="889"/>
        <v>65.937708949286488</v>
      </c>
      <c r="FD308" s="5">
        <f t="shared" si="890"/>
        <v>115.09200000000001</v>
      </c>
      <c r="FE308" s="150">
        <f t="shared" si="891"/>
        <v>0.63576305054018389</v>
      </c>
      <c r="FF308" s="5">
        <f t="shared" si="892"/>
        <v>63.576305054018391</v>
      </c>
      <c r="FG308">
        <f t="shared" si="893"/>
        <v>92</v>
      </c>
      <c r="FI308" s="59">
        <f t="shared" si="842"/>
        <v>-50</v>
      </c>
    </row>
    <row r="309" spans="5:169">
      <c r="E309" s="147">
        <v>93</v>
      </c>
      <c r="F309" s="188">
        <f t="shared" si="843"/>
        <v>3.72</v>
      </c>
      <c r="G309" s="188">
        <f t="shared" si="772"/>
        <v>0.79049999999999998</v>
      </c>
      <c r="H309" s="188">
        <f t="shared" si="773"/>
        <v>111.60000000000001</v>
      </c>
      <c r="I309" s="188">
        <f t="shared" si="774"/>
        <v>4.7430000000000003</v>
      </c>
      <c r="J309" s="465">
        <f t="shared" si="775"/>
        <v>47.808584554818566</v>
      </c>
      <c r="K309" s="379">
        <f t="shared" si="776"/>
        <v>30.840350806980485</v>
      </c>
      <c r="L309" s="149">
        <f t="shared" si="777"/>
        <v>78.648935361799047</v>
      </c>
      <c r="M309" s="379"/>
      <c r="N309" s="188">
        <f t="shared" si="778"/>
        <v>0.3921267422770493</v>
      </c>
      <c r="O309" s="149">
        <f t="shared" si="779"/>
        <v>272.4660201200183</v>
      </c>
      <c r="P309" s="149">
        <f t="shared" si="780"/>
        <v>11.579805855100778</v>
      </c>
      <c r="Q309" s="188">
        <f t="shared" si="781"/>
        <v>9.0822006706672767</v>
      </c>
      <c r="R309" s="188">
        <f t="shared" si="782"/>
        <v>45.411003353336383</v>
      </c>
      <c r="S309" s="188">
        <f t="shared" si="783"/>
        <v>30</v>
      </c>
      <c r="T309" s="188">
        <f t="shared" si="784"/>
        <v>12.411889674640998</v>
      </c>
      <c r="U309" s="188">
        <f t="shared" si="785"/>
        <v>1.2201967913089593</v>
      </c>
      <c r="V309" s="188">
        <f t="shared" si="786"/>
        <v>1.8915440306083933</v>
      </c>
      <c r="W309" s="172">
        <f t="shared" si="787"/>
        <v>350</v>
      </c>
      <c r="X309" s="379">
        <f t="shared" si="844"/>
        <v>301.95599649040281</v>
      </c>
      <c r="Z309" s="188">
        <f t="shared" si="788"/>
        <v>11.39636748593183</v>
      </c>
      <c r="AA309" s="150">
        <f t="shared" si="789"/>
        <v>1.7367807363512879</v>
      </c>
      <c r="AB309" s="150">
        <f t="shared" si="790"/>
        <v>3.3225645227248424</v>
      </c>
      <c r="AC309" s="150"/>
      <c r="AD309" s="150">
        <f t="shared" si="791"/>
        <v>0.92362271308538901</v>
      </c>
      <c r="AE309" s="314">
        <f t="shared" si="792"/>
        <v>1385.6014819350648</v>
      </c>
      <c r="AF309" s="456">
        <f t="shared" si="793"/>
        <v>0.93966412202568472</v>
      </c>
      <c r="AH309" s="150">
        <f t="shared" si="794"/>
        <v>11.893294578334956</v>
      </c>
      <c r="AI309" s="150">
        <f t="shared" si="795"/>
        <v>12.411889674640998</v>
      </c>
      <c r="AJ309" s="150">
        <f t="shared" si="796"/>
        <v>5.9046545289147687</v>
      </c>
      <c r="AL309" s="314">
        <f t="shared" si="797"/>
        <v>3720</v>
      </c>
      <c r="AM309" s="144">
        <f t="shared" si="798"/>
        <v>301.95599649040281</v>
      </c>
      <c r="AO309">
        <f t="shared" si="799"/>
        <v>3720</v>
      </c>
      <c r="AP309">
        <f t="shared" si="800"/>
        <v>301.95599649040281</v>
      </c>
      <c r="AR309" s="5">
        <f t="shared" si="771"/>
        <v>3.3117408219173532</v>
      </c>
      <c r="AS309" s="5">
        <f t="shared" si="894"/>
        <v>1.2201967913089593</v>
      </c>
      <c r="AT309" s="5">
        <f t="shared" si="895"/>
        <v>2.0915440306083939</v>
      </c>
      <c r="AU309" s="150">
        <f t="shared" si="896"/>
        <v>0.36844573803408887</v>
      </c>
      <c r="BA309" s="150">
        <f t="shared" si="845"/>
        <v>4.3497475069989662</v>
      </c>
      <c r="BB309" s="150">
        <f t="shared" si="846"/>
        <v>5.4626899388740977</v>
      </c>
      <c r="BC309" s="150">
        <f t="shared" si="847"/>
        <v>1.0965299534993811</v>
      </c>
      <c r="BD309" s="150"/>
      <c r="BE309" s="456">
        <f t="shared" si="848"/>
        <v>0.22704364049572467</v>
      </c>
      <c r="BF309" s="456">
        <f t="shared" si="801"/>
        <v>5.3794426534155946</v>
      </c>
      <c r="BG309" s="456">
        <f t="shared" si="849"/>
        <v>3.4724939596396331E-2</v>
      </c>
      <c r="BH309" s="456">
        <f t="shared" si="850"/>
        <v>0.96658423831789075</v>
      </c>
      <c r="BI309">
        <f t="shared" si="851"/>
        <v>2.1513863049668354E-2</v>
      </c>
      <c r="BJ309" s="144">
        <f t="shared" si="852"/>
        <v>56.238802646064684</v>
      </c>
      <c r="BK309">
        <f t="shared" si="802"/>
        <v>7.0126750614366227</v>
      </c>
      <c r="BL309" s="144">
        <f t="shared" si="853"/>
        <v>6629.3093348752755</v>
      </c>
      <c r="BM309" s="150">
        <f t="shared" si="803"/>
        <v>2.4946320000000002</v>
      </c>
      <c r="BN309" s="150">
        <f t="shared" si="804"/>
        <v>0.37864949999999997</v>
      </c>
      <c r="BQ309" s="144">
        <f t="shared" si="854"/>
        <v>2873.2815000000001</v>
      </c>
      <c r="BR309" s="456">
        <f t="shared" si="855"/>
        <v>0.26488424724501214</v>
      </c>
      <c r="BS309" s="456">
        <f t="shared" si="856"/>
        <v>0.41777373915586813</v>
      </c>
      <c r="BT309" s="456">
        <f t="shared" si="857"/>
        <v>6.0118896946067743E-3</v>
      </c>
      <c r="BU309" s="456">
        <f t="shared" si="858"/>
        <v>42.995590450394864</v>
      </c>
      <c r="BV309" s="456"/>
      <c r="BW309" s="538">
        <f t="shared" si="859"/>
        <v>4.6517832638324847</v>
      </c>
      <c r="BX309" s="144">
        <f t="shared" si="860"/>
        <v>48336.043590322835</v>
      </c>
      <c r="BY309" s="150">
        <f t="shared" si="861"/>
        <v>57.838634425198109</v>
      </c>
      <c r="BZ309" s="5">
        <f t="shared" si="862"/>
        <v>116.343</v>
      </c>
      <c r="CA309" s="150">
        <f t="shared" si="863"/>
        <v>0.66794068378066129</v>
      </c>
      <c r="CB309" s="5">
        <f t="shared" si="864"/>
        <v>66.794068378066129</v>
      </c>
      <c r="CC309">
        <f t="shared" si="865"/>
        <v>93</v>
      </c>
      <c r="CE309" s="59">
        <f t="shared" si="805"/>
        <v>-50</v>
      </c>
      <c r="CG309" s="150">
        <f t="shared" si="806"/>
        <v>0.60945624682956023</v>
      </c>
      <c r="CH309" s="150">
        <f t="shared" si="807"/>
        <v>0.13300929250130375</v>
      </c>
      <c r="CI309" s="147">
        <v>93</v>
      </c>
      <c r="CJ309" s="188">
        <f t="shared" si="866"/>
        <v>3.72</v>
      </c>
      <c r="CK309" s="188">
        <f t="shared" si="808"/>
        <v>0.79049999999999998</v>
      </c>
      <c r="CL309" s="188">
        <f t="shared" si="809"/>
        <v>111.60000000000001</v>
      </c>
      <c r="CM309" s="188">
        <f t="shared" si="810"/>
        <v>4.7430000000000003</v>
      </c>
      <c r="CN309" s="465">
        <f t="shared" si="811"/>
        <v>48</v>
      </c>
      <c r="CO309" s="379">
        <f t="shared" si="812"/>
        <v>30.7</v>
      </c>
      <c r="CP309" s="379">
        <f t="shared" si="813"/>
        <v>78.7</v>
      </c>
      <c r="CQ309" s="379"/>
      <c r="CR309" s="188">
        <f t="shared" si="814"/>
        <v>0.38775510204081626</v>
      </c>
      <c r="CS309" s="149">
        <f t="shared" si="815"/>
        <v>270.50715642699197</v>
      </c>
      <c r="CT309" s="149">
        <f t="shared" si="816"/>
        <v>11.496554148147156</v>
      </c>
      <c r="CU309" s="188">
        <f t="shared" si="817"/>
        <v>9.0169052142330663</v>
      </c>
      <c r="CV309" s="188">
        <f t="shared" si="818"/>
        <v>45.084526071165328</v>
      </c>
      <c r="CW309" s="188">
        <f t="shared" si="819"/>
        <v>30</v>
      </c>
      <c r="CX309" s="188">
        <f t="shared" si="820"/>
        <v>12.501769736842109</v>
      </c>
      <c r="CY309" s="188">
        <f t="shared" si="821"/>
        <v>1.2241316200657899</v>
      </c>
      <c r="CZ309" s="188">
        <f t="shared" si="822"/>
        <v>1.9139517186696391</v>
      </c>
      <c r="DA309" s="172">
        <f t="shared" si="823"/>
        <v>350</v>
      </c>
      <c r="DB309" s="379">
        <f t="shared" si="824"/>
        <v>318.66585174980582</v>
      </c>
      <c r="DD309" s="188">
        <f t="shared" si="825"/>
        <v>11.382534575916392</v>
      </c>
      <c r="DE309" s="150">
        <f t="shared" si="826"/>
        <v>1.7426030132510437</v>
      </c>
      <c r="DF309" s="150">
        <f t="shared" si="827"/>
        <v>3.3296564353233258</v>
      </c>
      <c r="DG309" s="150"/>
      <c r="DH309" s="150">
        <f t="shared" si="828"/>
        <v>0.92784522751949461</v>
      </c>
      <c r="DI309" s="314">
        <f t="shared" si="829"/>
        <v>1379.2957726595746</v>
      </c>
      <c r="DJ309" s="456">
        <f t="shared" si="830"/>
        <v>0.94395997276890675</v>
      </c>
      <c r="DL309" s="150">
        <f t="shared" si="831"/>
        <v>11.893294578334956</v>
      </c>
      <c r="DM309" s="150">
        <f t="shared" si="832"/>
        <v>12.501769736842109</v>
      </c>
      <c r="DN309" s="150">
        <f t="shared" si="833"/>
        <v>5.9712323527674434</v>
      </c>
      <c r="DP309" s="314">
        <f t="shared" si="834"/>
        <v>3720</v>
      </c>
      <c r="DQ309" s="144">
        <f t="shared" si="835"/>
        <v>318.66585174980582</v>
      </c>
      <c r="DS309">
        <f t="shared" si="836"/>
        <v>3720</v>
      </c>
      <c r="DT309">
        <f t="shared" si="837"/>
        <v>318.66585174980582</v>
      </c>
      <c r="DV309" s="5">
        <f t="shared" si="867"/>
        <v>3.1380833387354294</v>
      </c>
      <c r="DW309" s="5">
        <f t="shared" si="838"/>
        <v>1.2241316200657899</v>
      </c>
      <c r="DX309" s="5">
        <f t="shared" si="839"/>
        <v>1.9139517186696395</v>
      </c>
      <c r="DY309" s="150">
        <f t="shared" si="840"/>
        <v>0.39008894536213462</v>
      </c>
      <c r="EA309" s="5">
        <f t="shared" si="868"/>
        <v>15.179232088815796</v>
      </c>
      <c r="EB309" s="5">
        <f t="shared" si="869"/>
        <v>16.127934094366783</v>
      </c>
      <c r="EC309" s="5">
        <f t="shared" si="870"/>
        <v>2.617610438768772</v>
      </c>
      <c r="ED309" s="5"/>
      <c r="EE309" s="150">
        <f t="shared" si="871"/>
        <v>4.5080911630843445</v>
      </c>
      <c r="EF309" s="150">
        <f t="shared" si="872"/>
        <v>5.4071455127185368</v>
      </c>
      <c r="EG309" s="150">
        <f t="shared" si="873"/>
        <v>1.0853804781106937</v>
      </c>
      <c r="EH309" s="150"/>
      <c r="EI309" s="456">
        <f t="shared" si="874"/>
        <v>0.24387463121614988</v>
      </c>
      <c r="EJ309" s="456">
        <f t="shared" si="875"/>
        <v>5.957106382978723</v>
      </c>
      <c r="EK309" s="456">
        <f t="shared" si="876"/>
        <v>3.6646572951227675E-2</v>
      </c>
      <c r="EL309" s="456">
        <f t="shared" si="877"/>
        <v>1.0213988059003021</v>
      </c>
      <c r="EM309">
        <f t="shared" si="878"/>
        <v>2.1600000000000001E-2</v>
      </c>
      <c r="EN309" s="144">
        <f t="shared" si="879"/>
        <v>58.246572951227677</v>
      </c>
      <c r="EP309" s="144">
        <f t="shared" si="880"/>
        <v>7280.6263930464029</v>
      </c>
      <c r="EQ309" s="150">
        <f t="shared" si="881"/>
        <v>2.6040000000000001</v>
      </c>
      <c r="ER309" s="150">
        <f t="shared" si="841"/>
        <v>0.37864949999999997</v>
      </c>
      <c r="ES309" s="456"/>
      <c r="EU309" s="144">
        <f t="shared" si="882"/>
        <v>2982.6495</v>
      </c>
      <c r="EV309" s="456">
        <f t="shared" si="883"/>
        <v>0.28452040308550819</v>
      </c>
      <c r="EW309" s="456">
        <f t="shared" si="884"/>
        <v>0.40932111633997093</v>
      </c>
      <c r="EX309" s="456">
        <f t="shared" si="885"/>
        <v>5.8902539113189906E-3</v>
      </c>
      <c r="EY309" s="456">
        <f t="shared" si="886"/>
        <v>50.088446331060013</v>
      </c>
      <c r="EZ309" s="456"/>
      <c r="FA309" s="538">
        <f t="shared" si="887"/>
        <v>4.9805639201412664</v>
      </c>
      <c r="FB309" s="144">
        <f t="shared" si="888"/>
        <v>55768.742024538078</v>
      </c>
      <c r="FC309" s="150">
        <f t="shared" si="889"/>
        <v>66.032017917584483</v>
      </c>
      <c r="FD309" s="5">
        <f t="shared" si="890"/>
        <v>116.343</v>
      </c>
      <c r="FE309" s="150">
        <f t="shared" si="891"/>
        <v>0.63793276803172438</v>
      </c>
      <c r="FF309" s="5">
        <f t="shared" si="892"/>
        <v>63.793276803172439</v>
      </c>
      <c r="FG309">
        <f t="shared" si="893"/>
        <v>93</v>
      </c>
      <c r="FI309" s="59">
        <f t="shared" si="842"/>
        <v>-50</v>
      </c>
    </row>
    <row r="310" spans="5:169">
      <c r="E310" s="147">
        <v>94</v>
      </c>
      <c r="F310" s="188">
        <f t="shared" si="843"/>
        <v>3.76</v>
      </c>
      <c r="G310" s="188">
        <f t="shared" si="772"/>
        <v>0.79899999999999993</v>
      </c>
      <c r="H310" s="188">
        <f t="shared" si="773"/>
        <v>112.8</v>
      </c>
      <c r="I310" s="188">
        <f t="shared" si="774"/>
        <v>4.7939999999999996</v>
      </c>
      <c r="J310" s="465">
        <f t="shared" si="775"/>
        <v>47.806526324225217</v>
      </c>
      <c r="K310" s="379">
        <f t="shared" si="776"/>
        <v>30.84185995544264</v>
      </c>
      <c r="L310" s="149">
        <f t="shared" si="777"/>
        <v>78.648386279667861</v>
      </c>
      <c r="M310" s="379"/>
      <c r="N310" s="188">
        <f t="shared" si="778"/>
        <v>0.39214866845164836</v>
      </c>
      <c r="O310" s="149">
        <f t="shared" si="779"/>
        <v>272.46952461803062</v>
      </c>
      <c r="P310" s="149">
        <f t="shared" si="780"/>
        <v>11.5799547962663</v>
      </c>
      <c r="Q310" s="188">
        <f t="shared" si="781"/>
        <v>9.0823174872676873</v>
      </c>
      <c r="R310" s="188">
        <f t="shared" si="782"/>
        <v>45.411587436338436</v>
      </c>
      <c r="S310" s="188">
        <f t="shared" si="783"/>
        <v>30</v>
      </c>
      <c r="T310" s="188">
        <f t="shared" si="784"/>
        <v>12.54518949586636</v>
      </c>
      <c r="U310" s="188">
        <f t="shared" si="785"/>
        <v>1.2333544217516932</v>
      </c>
      <c r="V310" s="188">
        <f t="shared" si="786"/>
        <v>1.9117650723969015</v>
      </c>
      <c r="W310" s="172">
        <f t="shared" si="787"/>
        <v>350</v>
      </c>
      <c r="X310" s="379">
        <f t="shared" si="844"/>
        <v>298.94298297840675</v>
      </c>
      <c r="Z310" s="188">
        <f t="shared" si="788"/>
        <v>11.396514067686075</v>
      </c>
      <c r="AA310" s="150">
        <f t="shared" si="789"/>
        <v>1.7367180901381474</v>
      </c>
      <c r="AB310" s="150">
        <f t="shared" si="790"/>
        <v>3.3224874105767395</v>
      </c>
      <c r="AC310" s="150"/>
      <c r="AD310" s="150">
        <f t="shared" si="791"/>
        <v>0.92357751854138037</v>
      </c>
      <c r="AE310" s="314">
        <f t="shared" si="792"/>
        <v>1400.5689549945923</v>
      </c>
      <c r="AF310" s="456">
        <f t="shared" si="793"/>
        <v>0.93961814254627762</v>
      </c>
      <c r="AH310" s="150">
        <f t="shared" si="794"/>
        <v>11.957066051980668</v>
      </c>
      <c r="AI310" s="150">
        <f t="shared" si="795"/>
        <v>12.54518949586636</v>
      </c>
      <c r="AJ310" s="150">
        <f t="shared" si="796"/>
        <v>6.0033951372298517</v>
      </c>
      <c r="AL310" s="314">
        <f t="shared" si="797"/>
        <v>3760</v>
      </c>
      <c r="AM310" s="144">
        <f t="shared" si="798"/>
        <v>298.94298297840675</v>
      </c>
      <c r="AO310">
        <f t="shared" si="799"/>
        <v>3760</v>
      </c>
      <c r="AP310">
        <f t="shared" si="800"/>
        <v>298.94298297840675</v>
      </c>
      <c r="AR310" s="5">
        <f t="shared" si="771"/>
        <v>3.3451194941485949</v>
      </c>
      <c r="AS310" s="5">
        <f t="shared" si="894"/>
        <v>1.2333544217516932</v>
      </c>
      <c r="AT310" s="5">
        <f t="shared" si="895"/>
        <v>2.1117650723969019</v>
      </c>
      <c r="AU310" s="150">
        <f t="shared" si="896"/>
        <v>0.36870264990805912</v>
      </c>
      <c r="BA310" s="150">
        <f t="shared" si="845"/>
        <v>4.3979949652909962</v>
      </c>
      <c r="BB310" s="150">
        <f t="shared" si="846"/>
        <v>5.5202343847344055</v>
      </c>
      <c r="BC310" s="150">
        <f t="shared" si="847"/>
        <v>1.1080808943818792</v>
      </c>
      <c r="BD310" s="150"/>
      <c r="BE310" s="456">
        <f t="shared" si="848"/>
        <v>0.23210831657669939</v>
      </c>
      <c r="BF310" s="456">
        <f t="shared" si="801"/>
        <v>5.3829243255611141</v>
      </c>
      <c r="BG310" s="456">
        <f t="shared" si="849"/>
        <v>3.4378443042516776E-2</v>
      </c>
      <c r="BH310" s="456">
        <f t="shared" si="850"/>
        <v>0.95692599006529155</v>
      </c>
      <c r="BI310">
        <f t="shared" si="851"/>
        <v>2.1512936845901349E-2</v>
      </c>
      <c r="BJ310" s="144">
        <f t="shared" si="852"/>
        <v>55.891379888418122</v>
      </c>
      <c r="BK310">
        <f t="shared" si="802"/>
        <v>7.0218769185929473</v>
      </c>
      <c r="BL310" s="144">
        <f t="shared" si="853"/>
        <v>6627.8500120915232</v>
      </c>
      <c r="BM310" s="150">
        <f t="shared" si="803"/>
        <v>2.5214559999999997</v>
      </c>
      <c r="BN310" s="150">
        <f t="shared" si="804"/>
        <v>0.38272099999999998</v>
      </c>
      <c r="BQ310" s="144">
        <f t="shared" si="854"/>
        <v>2904.1769999999997</v>
      </c>
      <c r="BR310" s="456">
        <f t="shared" si="855"/>
        <v>0.27079303600614929</v>
      </c>
      <c r="BS310" s="456">
        <f t="shared" si="856"/>
        <v>0.42662182727365661</v>
      </c>
      <c r="BT310" s="456">
        <f t="shared" si="857"/>
        <v>6.1392163424707274E-3</v>
      </c>
      <c r="BU310" s="456">
        <f t="shared" si="858"/>
        <v>43.06594467531643</v>
      </c>
      <c r="BV310" s="456"/>
      <c r="BW310" s="538">
        <f t="shared" si="859"/>
        <v>4.7048178626352106</v>
      </c>
      <c r="BX310" s="144">
        <f t="shared" si="860"/>
        <v>48474.316617573917</v>
      </c>
      <c r="BY310" s="150">
        <f t="shared" si="861"/>
        <v>58.006343629665437</v>
      </c>
      <c r="BZ310" s="5">
        <f t="shared" si="862"/>
        <v>117.59399999999999</v>
      </c>
      <c r="CA310" s="150">
        <f t="shared" si="863"/>
        <v>0.66966839340588857</v>
      </c>
      <c r="CB310" s="5">
        <f t="shared" si="864"/>
        <v>66.966839340588862</v>
      </c>
      <c r="CC310">
        <f t="shared" si="865"/>
        <v>94</v>
      </c>
      <c r="CE310" s="59">
        <f t="shared" si="805"/>
        <v>-50</v>
      </c>
      <c r="CG310" s="150">
        <f t="shared" si="806"/>
        <v>0.60945624682956023</v>
      </c>
      <c r="CH310" s="150">
        <f t="shared" si="807"/>
        <v>0.13300929250130375</v>
      </c>
      <c r="CI310" s="147">
        <v>94</v>
      </c>
      <c r="CJ310" s="188">
        <f t="shared" si="866"/>
        <v>3.76</v>
      </c>
      <c r="CK310" s="188">
        <f t="shared" si="808"/>
        <v>0.79899999999999993</v>
      </c>
      <c r="CL310" s="188">
        <f t="shared" si="809"/>
        <v>112.8</v>
      </c>
      <c r="CM310" s="188">
        <f t="shared" si="810"/>
        <v>4.7939999999999996</v>
      </c>
      <c r="CN310" s="465">
        <f t="shared" si="811"/>
        <v>48</v>
      </c>
      <c r="CO310" s="379">
        <f t="shared" si="812"/>
        <v>30.7</v>
      </c>
      <c r="CP310" s="379">
        <f t="shared" si="813"/>
        <v>78.7</v>
      </c>
      <c r="CQ310" s="379"/>
      <c r="CR310" s="188">
        <f t="shared" si="814"/>
        <v>0.38775510204081626</v>
      </c>
      <c r="CS310" s="149">
        <f t="shared" si="815"/>
        <v>270.50715642699197</v>
      </c>
      <c r="CT310" s="149">
        <f t="shared" si="816"/>
        <v>11.496554148147156</v>
      </c>
      <c r="CU310" s="188">
        <f t="shared" si="817"/>
        <v>9.0169052142330663</v>
      </c>
      <c r="CV310" s="188">
        <f t="shared" si="818"/>
        <v>45.084526071165328</v>
      </c>
      <c r="CW310" s="188">
        <f t="shared" si="819"/>
        <v>30</v>
      </c>
      <c r="CX310" s="188">
        <f t="shared" si="820"/>
        <v>12.636197368421055</v>
      </c>
      <c r="CY310" s="188">
        <f t="shared" si="821"/>
        <v>1.237294325657895</v>
      </c>
      <c r="CZ310" s="188">
        <f t="shared" si="822"/>
        <v>1.9345318446768391</v>
      </c>
      <c r="DA310" s="172">
        <f t="shared" si="823"/>
        <v>350</v>
      </c>
      <c r="DB310" s="379">
        <f t="shared" si="824"/>
        <v>315.27578949714842</v>
      </c>
      <c r="DD310" s="188">
        <f t="shared" si="825"/>
        <v>11.382534575916392</v>
      </c>
      <c r="DE310" s="150">
        <f t="shared" si="826"/>
        <v>1.7426030132510437</v>
      </c>
      <c r="DF310" s="150">
        <f t="shared" si="827"/>
        <v>3.3296564353233258</v>
      </c>
      <c r="DG310" s="150"/>
      <c r="DH310" s="150">
        <f t="shared" si="828"/>
        <v>0.92784522751949461</v>
      </c>
      <c r="DI310" s="314">
        <f t="shared" si="829"/>
        <v>1394.1269099999997</v>
      </c>
      <c r="DJ310" s="456">
        <f t="shared" si="830"/>
        <v>0.94395997276890675</v>
      </c>
      <c r="DL310" s="150">
        <f t="shared" si="831"/>
        <v>11.957066051980668</v>
      </c>
      <c r="DM310" s="150">
        <f t="shared" si="832"/>
        <v>12.636197368421055</v>
      </c>
      <c r="DN310" s="150">
        <f t="shared" si="833"/>
        <v>6.0708083761592553</v>
      </c>
      <c r="DP310" s="314">
        <f t="shared" si="834"/>
        <v>3760</v>
      </c>
      <c r="DQ310" s="144">
        <f t="shared" si="835"/>
        <v>315.27578949714842</v>
      </c>
      <c r="DS310">
        <f t="shared" si="836"/>
        <v>3760</v>
      </c>
      <c r="DT310">
        <f t="shared" si="837"/>
        <v>315.27578949714842</v>
      </c>
      <c r="DV310" s="5">
        <f t="shared" si="867"/>
        <v>3.1718261703347337</v>
      </c>
      <c r="DW310" s="5">
        <f t="shared" si="838"/>
        <v>1.237294325657895</v>
      </c>
      <c r="DX310" s="5">
        <f t="shared" si="839"/>
        <v>1.9345318446768387</v>
      </c>
      <c r="DY310" s="150">
        <f t="shared" si="840"/>
        <v>0.39008894536213473</v>
      </c>
      <c r="EA310" s="5">
        <f t="shared" si="868"/>
        <v>15.507422214912282</v>
      </c>
      <c r="EB310" s="5">
        <f t="shared" si="869"/>
        <v>16.476636103344301</v>
      </c>
      <c r="EC310" s="5">
        <f t="shared" si="870"/>
        <v>2.6742057852885708</v>
      </c>
      <c r="ED310" s="5"/>
      <c r="EE310" s="150">
        <f t="shared" si="871"/>
        <v>4.5565652616121337</v>
      </c>
      <c r="EF310" s="150">
        <f t="shared" si="872"/>
        <v>5.465286862317658</v>
      </c>
      <c r="EG310" s="150">
        <f t="shared" si="873"/>
        <v>1.0970512359398408</v>
      </c>
      <c r="EH310" s="150"/>
      <c r="EI310" s="456">
        <f t="shared" si="874"/>
        <v>0.24914744379996542</v>
      </c>
      <c r="EJ310" s="456">
        <f t="shared" si="875"/>
        <v>5.9571063829787239</v>
      </c>
      <c r="EK310" s="456">
        <f t="shared" si="876"/>
        <v>3.6256715792172066E-2</v>
      </c>
      <c r="EL310" s="456">
        <f t="shared" si="877"/>
        <v>1.0105328611566822</v>
      </c>
      <c r="EM310">
        <f t="shared" si="878"/>
        <v>2.1600000000000001E-2</v>
      </c>
      <c r="EN310" s="144">
        <f t="shared" si="879"/>
        <v>57.856715792172068</v>
      </c>
      <c r="EP310" s="144">
        <f t="shared" si="880"/>
        <v>7274.643403727544</v>
      </c>
      <c r="EQ310" s="150">
        <f t="shared" si="881"/>
        <v>2.6319999999999997</v>
      </c>
      <c r="ER310" s="150">
        <f t="shared" si="841"/>
        <v>0.38272099999999998</v>
      </c>
      <c r="ES310" s="456"/>
      <c r="EU310" s="144">
        <f t="shared" si="882"/>
        <v>3014.7209999999995</v>
      </c>
      <c r="EV310" s="456">
        <f t="shared" si="883"/>
        <v>0.29067201776662632</v>
      </c>
      <c r="EW310" s="456">
        <f t="shared" si="884"/>
        <v>0.41817104682390793</v>
      </c>
      <c r="EX310" s="456">
        <f t="shared" si="885"/>
        <v>6.0176070713856616E-3</v>
      </c>
      <c r="EY310" s="456">
        <f t="shared" si="886"/>
        <v>50.088446331060055</v>
      </c>
      <c r="EZ310" s="456"/>
      <c r="FA310" s="538">
        <f t="shared" si="887"/>
        <v>5.0341183708954738</v>
      </c>
      <c r="FB310" s="144">
        <f t="shared" si="888"/>
        <v>55837.425373617451</v>
      </c>
      <c r="FC310" s="150">
        <f t="shared" si="889"/>
        <v>66.126789777344996</v>
      </c>
      <c r="FD310" s="5">
        <f t="shared" si="890"/>
        <v>117.59399999999999</v>
      </c>
      <c r="FE310" s="150">
        <f t="shared" si="891"/>
        <v>0.64006909692971925</v>
      </c>
      <c r="FF310" s="5">
        <f t="shared" si="892"/>
        <v>64.006909692971931</v>
      </c>
      <c r="FG310">
        <f t="shared" si="893"/>
        <v>94</v>
      </c>
      <c r="FI310" s="59">
        <f t="shared" si="842"/>
        <v>-50</v>
      </c>
    </row>
    <row r="311" spans="5:169">
      <c r="E311" s="147">
        <v>95</v>
      </c>
      <c r="F311" s="188">
        <f t="shared" si="843"/>
        <v>3.8</v>
      </c>
      <c r="G311" s="188">
        <f t="shared" si="772"/>
        <v>0.8075</v>
      </c>
      <c r="H311" s="188">
        <f t="shared" si="773"/>
        <v>114</v>
      </c>
      <c r="I311" s="188">
        <f t="shared" si="774"/>
        <v>4.8449999999999998</v>
      </c>
      <c r="J311" s="465">
        <f t="shared" si="775"/>
        <v>47.804468093631868</v>
      </c>
      <c r="K311" s="379">
        <f t="shared" si="776"/>
        <v>30.843369103904799</v>
      </c>
      <c r="L311" s="149">
        <f t="shared" si="777"/>
        <v>78.64783719753666</v>
      </c>
      <c r="M311" s="379"/>
      <c r="N311" s="188">
        <f t="shared" si="778"/>
        <v>0.39217059493240392</v>
      </c>
      <c r="O311" s="149">
        <f t="shared" si="779"/>
        <v>272.47302801695713</v>
      </c>
      <c r="P311" s="149">
        <f t="shared" si="780"/>
        <v>11.580103690720676</v>
      </c>
      <c r="Q311" s="188">
        <f t="shared" si="781"/>
        <v>9.0824342672319052</v>
      </c>
      <c r="R311" s="188">
        <f t="shared" si="782"/>
        <v>45.412171336159524</v>
      </c>
      <c r="S311" s="188">
        <f t="shared" si="783"/>
        <v>30</v>
      </c>
      <c r="T311" s="188">
        <f t="shared" si="784"/>
        <v>12.678485939277866</v>
      </c>
      <c r="U311" s="188">
        <f t="shared" si="785"/>
        <v>1.2465128531059617</v>
      </c>
      <c r="V311" s="188">
        <f t="shared" si="786"/>
        <v>1.9319836206564722</v>
      </c>
      <c r="W311" s="172">
        <f t="shared" si="787"/>
        <v>350</v>
      </c>
      <c r="X311" s="379">
        <f t="shared" si="844"/>
        <v>295.98965331651169</v>
      </c>
      <c r="Z311" s="188">
        <f t="shared" si="788"/>
        <v>11.396660603469137</v>
      </c>
      <c r="AA311" s="150">
        <f t="shared" si="789"/>
        <v>1.7366554430502747</v>
      </c>
      <c r="AB311" s="150">
        <f t="shared" si="790"/>
        <v>3.3224102802704829</v>
      </c>
      <c r="AC311" s="150"/>
      <c r="AD311" s="150">
        <f t="shared" si="791"/>
        <v>0.92353232842005828</v>
      </c>
      <c r="AE311" s="314">
        <f t="shared" si="792"/>
        <v>1415.5378861901534</v>
      </c>
      <c r="AF311" s="456">
        <f t="shared" si="793"/>
        <v>0.93957216756636996</v>
      </c>
      <c r="AH311" s="150">
        <f t="shared" si="794"/>
        <v>12.020499208261089</v>
      </c>
      <c r="AI311" s="150">
        <f t="shared" si="795"/>
        <v>12.678485939277866</v>
      </c>
      <c r="AJ311" s="150">
        <f t="shared" si="796"/>
        <v>6.1021332434605968</v>
      </c>
      <c r="AL311" s="314">
        <f t="shared" si="797"/>
        <v>3800</v>
      </c>
      <c r="AM311" s="144">
        <f t="shared" si="798"/>
        <v>295.98965331651169</v>
      </c>
      <c r="AO311">
        <f t="shared" si="799"/>
        <v>3800</v>
      </c>
      <c r="AP311">
        <f t="shared" si="800"/>
        <v>295.98965331651169</v>
      </c>
      <c r="AR311" s="5">
        <f t="shared" si="771"/>
        <v>3.3784964737624339</v>
      </c>
      <c r="AS311" s="5">
        <f t="shared" si="894"/>
        <v>1.2465128531059617</v>
      </c>
      <c r="AT311" s="5">
        <f t="shared" si="895"/>
        <v>2.131983620656472</v>
      </c>
      <c r="AU311" s="150">
        <f t="shared" si="896"/>
        <v>0.36895490724540947</v>
      </c>
      <c r="BA311" s="150">
        <f t="shared" si="845"/>
        <v>4.446245221828514</v>
      </c>
      <c r="BB311" s="150">
        <f t="shared" si="846"/>
        <v>5.5777738162227841</v>
      </c>
      <c r="BC311" s="150">
        <f t="shared" si="847"/>
        <v>1.1196308287256427</v>
      </c>
      <c r="BD311" s="150"/>
      <c r="BE311" s="456">
        <f t="shared" si="848"/>
        <v>0.23722915887159474</v>
      </c>
      <c r="BF311" s="456">
        <f t="shared" si="801"/>
        <v>5.3863376744610481</v>
      </c>
      <c r="BG311" s="456">
        <f t="shared" si="849"/>
        <v>3.4038810131398853E-2</v>
      </c>
      <c r="BH311" s="456">
        <f t="shared" si="850"/>
        <v>0.94745905847808765</v>
      </c>
      <c r="BI311">
        <f t="shared" si="851"/>
        <v>2.151201064213434E-2</v>
      </c>
      <c r="BJ311" s="144">
        <f t="shared" si="852"/>
        <v>55.550820773533196</v>
      </c>
      <c r="BK311">
        <f t="shared" si="802"/>
        <v>7.0314076121573228</v>
      </c>
      <c r="BL311" s="144">
        <f t="shared" si="853"/>
        <v>6626.5767125842649</v>
      </c>
      <c r="BM311" s="150">
        <f t="shared" si="803"/>
        <v>2.5482799999999997</v>
      </c>
      <c r="BN311" s="150">
        <f t="shared" si="804"/>
        <v>0.38679249999999998</v>
      </c>
      <c r="BQ311" s="144">
        <f t="shared" si="854"/>
        <v>2935.0724999999993</v>
      </c>
      <c r="BR311" s="456">
        <f t="shared" si="855"/>
        <v>0.27676735201686054</v>
      </c>
      <c r="BS311" s="456">
        <f t="shared" si="856"/>
        <v>0.43556185042916673</v>
      </c>
      <c r="BT311" s="456">
        <f t="shared" si="857"/>
        <v>6.2678659631643478E-3</v>
      </c>
      <c r="BU311" s="456">
        <f t="shared" si="858"/>
        <v>43.135001029046997</v>
      </c>
      <c r="BV311" s="456"/>
      <c r="BW311" s="538">
        <f t="shared" si="859"/>
        <v>4.7578562523540358</v>
      </c>
      <c r="BX311" s="144">
        <f t="shared" si="860"/>
        <v>48611.454349810221</v>
      </c>
      <c r="BY311" s="150">
        <f t="shared" si="861"/>
        <v>58.173103562394495</v>
      </c>
      <c r="BZ311" s="5">
        <f t="shared" si="862"/>
        <v>118.845</v>
      </c>
      <c r="CA311" s="150">
        <f t="shared" si="863"/>
        <v>0.67137201002783364</v>
      </c>
      <c r="CB311" s="5">
        <f t="shared" si="864"/>
        <v>67.137201002783371</v>
      </c>
      <c r="CC311">
        <f t="shared" si="865"/>
        <v>95</v>
      </c>
      <c r="CE311" s="59">
        <f t="shared" si="805"/>
        <v>-50</v>
      </c>
      <c r="CG311" s="150">
        <f t="shared" si="806"/>
        <v>0.60945624682956023</v>
      </c>
      <c r="CH311" s="150">
        <f t="shared" si="807"/>
        <v>0.13300929250130378</v>
      </c>
      <c r="CI311" s="147">
        <v>95</v>
      </c>
      <c r="CJ311" s="188">
        <f t="shared" si="866"/>
        <v>3.8</v>
      </c>
      <c r="CK311" s="188">
        <f t="shared" si="808"/>
        <v>0.8075</v>
      </c>
      <c r="CL311" s="188">
        <f t="shared" si="809"/>
        <v>114</v>
      </c>
      <c r="CM311" s="188">
        <f t="shared" si="810"/>
        <v>4.8449999999999998</v>
      </c>
      <c r="CN311" s="465">
        <f t="shared" si="811"/>
        <v>48</v>
      </c>
      <c r="CO311" s="379">
        <f t="shared" si="812"/>
        <v>30.7</v>
      </c>
      <c r="CP311" s="379">
        <f t="shared" si="813"/>
        <v>78.7</v>
      </c>
      <c r="CQ311" s="379"/>
      <c r="CR311" s="188">
        <f t="shared" si="814"/>
        <v>0.38775510204081626</v>
      </c>
      <c r="CS311" s="149">
        <f t="shared" si="815"/>
        <v>270.50715642699197</v>
      </c>
      <c r="CT311" s="149">
        <f t="shared" si="816"/>
        <v>11.496554148147156</v>
      </c>
      <c r="CU311" s="188">
        <f t="shared" si="817"/>
        <v>9.0169052142330663</v>
      </c>
      <c r="CV311" s="188">
        <f t="shared" si="818"/>
        <v>45.084526071165328</v>
      </c>
      <c r="CW311" s="188">
        <f t="shared" si="819"/>
        <v>30</v>
      </c>
      <c r="CX311" s="188">
        <f t="shared" si="820"/>
        <v>12.770625000000003</v>
      </c>
      <c r="CY311" s="188">
        <f t="shared" si="821"/>
        <v>1.2504570312500001</v>
      </c>
      <c r="CZ311" s="188">
        <f t="shared" si="822"/>
        <v>1.9551119706840394</v>
      </c>
      <c r="DA311" s="172">
        <f t="shared" si="823"/>
        <v>350</v>
      </c>
      <c r="DB311" s="379">
        <f t="shared" si="824"/>
        <v>311.95709697612585</v>
      </c>
      <c r="DD311" s="188">
        <f t="shared" si="825"/>
        <v>11.382534575916392</v>
      </c>
      <c r="DE311" s="150">
        <f t="shared" si="826"/>
        <v>1.7426030132510437</v>
      </c>
      <c r="DF311" s="150">
        <f t="shared" si="827"/>
        <v>3.3296564353233258</v>
      </c>
      <c r="DG311" s="150"/>
      <c r="DH311" s="150">
        <f t="shared" si="828"/>
        <v>0.92784522751949461</v>
      </c>
      <c r="DI311" s="314">
        <f t="shared" si="829"/>
        <v>1408.9580473404253</v>
      </c>
      <c r="DJ311" s="456">
        <f t="shared" si="830"/>
        <v>0.94395997276890675</v>
      </c>
      <c r="DL311" s="150">
        <f t="shared" si="831"/>
        <v>12.020499208261089</v>
      </c>
      <c r="DM311" s="150">
        <f t="shared" si="832"/>
        <v>12.770625000000003</v>
      </c>
      <c r="DN311" s="150">
        <f t="shared" si="833"/>
        <v>6.170384399551069</v>
      </c>
      <c r="DP311" s="314">
        <f t="shared" si="834"/>
        <v>3800</v>
      </c>
      <c r="DQ311" s="144">
        <f t="shared" si="835"/>
        <v>311.95709697612585</v>
      </c>
      <c r="DS311">
        <f t="shared" si="836"/>
        <v>3800</v>
      </c>
      <c r="DT311">
        <f t="shared" si="837"/>
        <v>311.95709697612585</v>
      </c>
      <c r="DV311" s="5">
        <f t="shared" si="867"/>
        <v>3.2055690019340388</v>
      </c>
      <c r="DW311" s="5">
        <f t="shared" si="838"/>
        <v>1.2504570312500001</v>
      </c>
      <c r="DX311" s="5">
        <f t="shared" si="839"/>
        <v>1.9551119706840387</v>
      </c>
      <c r="DY311" s="150">
        <f t="shared" si="840"/>
        <v>0.39008894536213473</v>
      </c>
      <c r="EA311" s="5">
        <f t="shared" si="868"/>
        <v>15.839122395833336</v>
      </c>
      <c r="EB311" s="5">
        <f t="shared" si="869"/>
        <v>16.829067545572915</v>
      </c>
      <c r="EC311" s="5">
        <f t="shared" si="870"/>
        <v>2.7314064296321123</v>
      </c>
      <c r="ED311" s="5"/>
      <c r="EE311" s="150">
        <f t="shared" si="871"/>
        <v>4.6050393601399229</v>
      </c>
      <c r="EF311" s="150">
        <f t="shared" si="872"/>
        <v>5.5234282119167837</v>
      </c>
      <c r="EG311" s="150">
        <f t="shared" si="873"/>
        <v>1.1087219937689881</v>
      </c>
      <c r="EH311" s="150"/>
      <c r="EI311" s="456">
        <f t="shared" si="874"/>
        <v>0.25447665010125492</v>
      </c>
      <c r="EJ311" s="456">
        <f t="shared" si="875"/>
        <v>5.9571063829787256</v>
      </c>
      <c r="EK311" s="456">
        <f t="shared" si="876"/>
        <v>3.5875066152254477E-2</v>
      </c>
      <c r="EL311" s="456">
        <f t="shared" si="877"/>
        <v>0.99989567314450667</v>
      </c>
      <c r="EM311">
        <f t="shared" si="878"/>
        <v>2.1600000000000001E-2</v>
      </c>
      <c r="EN311" s="144">
        <f t="shared" si="879"/>
        <v>57.475066152254477</v>
      </c>
      <c r="EP311" s="144">
        <f t="shared" si="880"/>
        <v>7268.9537723767417</v>
      </c>
      <c r="EQ311" s="150">
        <f t="shared" si="881"/>
        <v>2.6599999999999997</v>
      </c>
      <c r="ER311" s="150">
        <f t="shared" si="841"/>
        <v>0.38679249999999998</v>
      </c>
      <c r="ES311" s="456"/>
      <c r="EU311" s="144">
        <f t="shared" si="882"/>
        <v>3046.7924999999996</v>
      </c>
      <c r="EV311" s="456">
        <f t="shared" si="883"/>
        <v>0.29688942511813077</v>
      </c>
      <c r="EW311" s="456">
        <f t="shared" si="884"/>
        <v>0.42711562897077532</v>
      </c>
      <c r="EX311" s="456">
        <f t="shared" si="885"/>
        <v>6.1463222973354003E-3</v>
      </c>
      <c r="EY311" s="456">
        <f t="shared" si="886"/>
        <v>50.088446331060098</v>
      </c>
      <c r="EZ311" s="456"/>
      <c r="FA311" s="538">
        <f t="shared" si="887"/>
        <v>5.087672821649682</v>
      </c>
      <c r="FB311" s="144">
        <f t="shared" si="888"/>
        <v>55906.270529096022</v>
      </c>
      <c r="FC311" s="150">
        <f t="shared" si="889"/>
        <v>66.222016801472762</v>
      </c>
      <c r="FD311" s="5">
        <f t="shared" si="890"/>
        <v>118.845</v>
      </c>
      <c r="FE311" s="150">
        <f t="shared" si="891"/>
        <v>0.64217277640287884</v>
      </c>
      <c r="FF311" s="5">
        <f t="shared" si="892"/>
        <v>64.21727764028789</v>
      </c>
      <c r="FG311">
        <f t="shared" si="893"/>
        <v>95</v>
      </c>
      <c r="FI311" s="59">
        <f t="shared" si="842"/>
        <v>-50</v>
      </c>
    </row>
    <row r="312" spans="5:169">
      <c r="E312" s="147">
        <v>96</v>
      </c>
      <c r="F312" s="188">
        <f t="shared" si="843"/>
        <v>3.84</v>
      </c>
      <c r="G312" s="188">
        <f t="shared" si="772"/>
        <v>0.81599999999999995</v>
      </c>
      <c r="H312" s="188">
        <f t="shared" si="773"/>
        <v>115.19999999999999</v>
      </c>
      <c r="I312" s="188">
        <f t="shared" si="774"/>
        <v>4.8959999999999999</v>
      </c>
      <c r="J312" s="465">
        <f t="shared" si="775"/>
        <v>47.80240986303852</v>
      </c>
      <c r="K312" s="379">
        <f t="shared" si="776"/>
        <v>30.84487825236695</v>
      </c>
      <c r="L312" s="149">
        <f t="shared" si="777"/>
        <v>78.647288115405473</v>
      </c>
      <c r="M312" s="379"/>
      <c r="N312" s="188">
        <f t="shared" si="778"/>
        <v>0.39219252171932217</v>
      </c>
      <c r="O312" s="149">
        <f>N312*J312*Isw_max*0.5*Efficiency*Pout/(Pout+Pout2)</f>
        <v>272.47653031677464</v>
      </c>
      <c r="P312" s="149">
        <f t="shared" si="780"/>
        <v>11.58025253846292</v>
      </c>
      <c r="Q312" s="188">
        <f t="shared" si="781"/>
        <v>9.082551010559154</v>
      </c>
      <c r="R312" s="188">
        <f t="shared" si="782"/>
        <v>45.412755052795774</v>
      </c>
      <c r="S312" s="188">
        <f t="shared" si="783"/>
        <v>30</v>
      </c>
      <c r="T312" s="188">
        <f t="shared" si="784"/>
        <v>12.811779006619926</v>
      </c>
      <c r="U312" s="188">
        <f t="shared" si="785"/>
        <v>1.2596720856467321</v>
      </c>
      <c r="V312" s="188">
        <f t="shared" si="786"/>
        <v>1.9521996760189153</v>
      </c>
      <c r="W312" s="172">
        <f t="shared" si="787"/>
        <v>350</v>
      </c>
      <c r="X312" s="379">
        <f t="shared" si="844"/>
        <v>293.09425144156302</v>
      </c>
      <c r="Z312" s="188">
        <f t="shared" si="788"/>
        <v>11.396807093280046</v>
      </c>
      <c r="AA312" s="150">
        <f t="shared" si="789"/>
        <v>1.7365927950876507</v>
      </c>
      <c r="AB312" s="150">
        <f>0.5*AA312*Z312*Nps*W312/1000*(Pout/(Pout+Pout2))</f>
        <v>3.3223331318071394</v>
      </c>
      <c r="AC312" s="150"/>
      <c r="AD312" s="150">
        <f t="shared" si="791"/>
        <v>0.92348714272077359</v>
      </c>
      <c r="AE312" s="314">
        <f>MAX(10, F312/(0.5*AD312/1000000*Isw_min*Nps)/1000*Pout_total/Pout)</f>
        <v>1430.5082755217479</v>
      </c>
      <c r="AF312" s="456">
        <f t="shared" si="793"/>
        <v>0.93952619708530127</v>
      </c>
      <c r="AH312" s="150">
        <f t="shared" si="794"/>
        <v>12.083599375193732</v>
      </c>
      <c r="AI312" s="150">
        <f>MAX(IF(F312&gt;AB312,T312,AH312),Isw_min)</f>
        <v>12.811779006619926</v>
      </c>
      <c r="AJ312" s="150">
        <f>IF(F312&gt;AF312, (AI312-Isw_min)/1.08*0.8+1.2, AE312*0.2/350+1)</f>
        <v>6.2008688488991597</v>
      </c>
      <c r="AL312" s="314">
        <f t="shared" si="797"/>
        <v>3840</v>
      </c>
      <c r="AM312" s="144">
        <f t="shared" si="798"/>
        <v>293.09425144156302</v>
      </c>
      <c r="AO312">
        <f t="shared" si="799"/>
        <v>3840</v>
      </c>
      <c r="AP312">
        <f t="shared" si="800"/>
        <v>293.09425144156302</v>
      </c>
      <c r="AR312" s="5">
        <f t="shared" si="771"/>
        <v>3.411871761665648</v>
      </c>
      <c r="AS312" s="5">
        <f t="shared" si="894"/>
        <v>1.2596720856467321</v>
      </c>
      <c r="AT312" s="5">
        <f t="shared" si="895"/>
        <v>2.1521996760189159</v>
      </c>
      <c r="AU312" s="150">
        <f t="shared" si="896"/>
        <v>0.36920264700446137</v>
      </c>
      <c r="BA312" s="150">
        <f t="shared" si="845"/>
        <v>4.4944982376628717</v>
      </c>
      <c r="BB312" s="150">
        <f t="shared" si="846"/>
        <v>5.6353082770841016</v>
      </c>
      <c r="BC312" s="150">
        <f t="shared" si="847"/>
        <v>1.1311797653116125</v>
      </c>
      <c r="BD312" s="150"/>
      <c r="BE312" s="456">
        <f t="shared" si="848"/>
        <v>0.24240617290025593</v>
      </c>
      <c r="BF312" s="456">
        <f t="shared" si="801"/>
        <v>5.3896847096637508</v>
      </c>
      <c r="BG312" s="456">
        <f t="shared" si="849"/>
        <v>3.3705838915779752E-2</v>
      </c>
      <c r="BH312" s="456">
        <f t="shared" si="850"/>
        <v>0.93817781449368087</v>
      </c>
      <c r="BI312">
        <f t="shared" si="851"/>
        <v>2.1511084438367332E-2</v>
      </c>
      <c r="BJ312" s="144">
        <f t="shared" si="852"/>
        <v>55.216923354147085</v>
      </c>
      <c r="BK312">
        <f t="shared" si="802"/>
        <v>7.0412649971823749</v>
      </c>
      <c r="BL312" s="144">
        <f t="shared" si="853"/>
        <v>6625.485620411835</v>
      </c>
      <c r="BM312" s="150">
        <f t="shared" si="803"/>
        <v>2.5751039999999996</v>
      </c>
      <c r="BN312" s="150">
        <f t="shared" si="804"/>
        <v>0.39086399999999993</v>
      </c>
      <c r="BQ312" s="144">
        <f t="shared" si="854"/>
        <v>2965.9679999999998</v>
      </c>
      <c r="BR312" s="456">
        <f t="shared" si="855"/>
        <v>0.28280720171696527</v>
      </c>
      <c r="BS312" s="456">
        <f t="shared" si="856"/>
        <v>0.44459379128881621</v>
      </c>
      <c r="BT312" s="456">
        <f t="shared" si="857"/>
        <v>6.3978383072521728E-3</v>
      </c>
      <c r="BU312" s="456">
        <f t="shared" si="858"/>
        <v>43.202795834503959</v>
      </c>
      <c r="BV312" s="456"/>
      <c r="BW312" s="538">
        <f t="shared" si="859"/>
        <v>4.8108983215223313</v>
      </c>
      <c r="BX312" s="144">
        <f t="shared" si="860"/>
        <v>48747.492987339319</v>
      </c>
      <c r="BY312" s="150">
        <f t="shared" si="861"/>
        <v>58.338946607751161</v>
      </c>
      <c r="BZ312" s="5">
        <f t="shared" si="862"/>
        <v>120.09599999999999</v>
      </c>
      <c r="CA312" s="150">
        <f t="shared" si="863"/>
        <v>0.67305201297817441</v>
      </c>
      <c r="CB312" s="5">
        <f t="shared" si="864"/>
        <v>67.305201297817447</v>
      </c>
      <c r="CC312">
        <f t="shared" si="865"/>
        <v>96</v>
      </c>
      <c r="CE312" s="59">
        <f t="shared" si="805"/>
        <v>-50</v>
      </c>
      <c r="CG312" s="150">
        <f t="shared" si="806"/>
        <v>0.60945624682956023</v>
      </c>
      <c r="CH312" s="150">
        <f t="shared" si="807"/>
        <v>0.13300929250130378</v>
      </c>
      <c r="CI312" s="147">
        <v>96</v>
      </c>
      <c r="CJ312" s="188">
        <f t="shared" si="866"/>
        <v>3.84</v>
      </c>
      <c r="CK312" s="188">
        <f t="shared" si="808"/>
        <v>0.81599999999999995</v>
      </c>
      <c r="CL312" s="188">
        <f t="shared" si="809"/>
        <v>115.19999999999999</v>
      </c>
      <c r="CM312" s="188">
        <f t="shared" si="810"/>
        <v>4.8959999999999999</v>
      </c>
      <c r="CN312" s="465">
        <f t="shared" si="811"/>
        <v>48</v>
      </c>
      <c r="CO312" s="379">
        <f t="shared" si="812"/>
        <v>30.7</v>
      </c>
      <c r="CP312" s="379">
        <f t="shared" si="813"/>
        <v>78.7</v>
      </c>
      <c r="CQ312" s="379"/>
      <c r="CR312" s="188">
        <f t="shared" si="814"/>
        <v>0.38775510204081626</v>
      </c>
      <c r="CS312" s="149">
        <f t="shared" si="815"/>
        <v>270.50715642699197</v>
      </c>
      <c r="CT312" s="149">
        <f t="shared" si="816"/>
        <v>11.496554148147156</v>
      </c>
      <c r="CU312" s="188">
        <f t="shared" si="817"/>
        <v>9.0169052142330663</v>
      </c>
      <c r="CV312" s="188">
        <f t="shared" si="818"/>
        <v>45.084526071165328</v>
      </c>
      <c r="CW312" s="188">
        <f t="shared" si="819"/>
        <v>30</v>
      </c>
      <c r="CX312" s="188">
        <f t="shared" si="820"/>
        <v>12.905052631578949</v>
      </c>
      <c r="CY312" s="188">
        <f t="shared" si="821"/>
        <v>1.2636197368421054</v>
      </c>
      <c r="CZ312" s="188">
        <f t="shared" si="822"/>
        <v>1.9756920966912399</v>
      </c>
      <c r="DA312" s="172">
        <f t="shared" si="823"/>
        <v>350</v>
      </c>
      <c r="DB312" s="379">
        <f t="shared" si="824"/>
        <v>308.70754388262452</v>
      </c>
      <c r="DD312" s="188">
        <f t="shared" si="825"/>
        <v>11.382534575916392</v>
      </c>
      <c r="DE312" s="150">
        <f t="shared" si="826"/>
        <v>1.7426030132510437</v>
      </c>
      <c r="DF312" s="150">
        <f t="shared" si="827"/>
        <v>3.3296564353233258</v>
      </c>
      <c r="DG312" s="150"/>
      <c r="DH312" s="150">
        <f t="shared" si="828"/>
        <v>0.92784522751949461</v>
      </c>
      <c r="DI312" s="314">
        <f t="shared" si="829"/>
        <v>1423.7891846808511</v>
      </c>
      <c r="DJ312" s="456">
        <f t="shared" si="830"/>
        <v>0.94395997276890675</v>
      </c>
      <c r="DL312" s="150">
        <f t="shared" si="831"/>
        <v>12.083599375193732</v>
      </c>
      <c r="DM312" s="150">
        <f t="shared" si="832"/>
        <v>12.905052631578949</v>
      </c>
      <c r="DN312" s="150">
        <f t="shared" si="833"/>
        <v>6.2699604229428809</v>
      </c>
      <c r="DP312" s="314">
        <f t="shared" si="834"/>
        <v>3840</v>
      </c>
      <c r="DQ312" s="144">
        <f t="shared" si="835"/>
        <v>308.70754388262452</v>
      </c>
      <c r="DS312">
        <f t="shared" si="836"/>
        <v>3840</v>
      </c>
      <c r="DT312">
        <f t="shared" si="837"/>
        <v>308.70754388262452</v>
      </c>
      <c r="DV312" s="5">
        <f t="shared" si="867"/>
        <v>3.2393118335333453</v>
      </c>
      <c r="DW312" s="5">
        <f t="shared" si="838"/>
        <v>1.2636197368421054</v>
      </c>
      <c r="DX312" s="5">
        <f t="shared" si="839"/>
        <v>1.9756920966912399</v>
      </c>
      <c r="DY312" s="150">
        <f t="shared" si="840"/>
        <v>0.39008894536213468</v>
      </c>
      <c r="EA312" s="5">
        <f t="shared" si="868"/>
        <v>16.174332631578949</v>
      </c>
      <c r="EB312" s="5">
        <f t="shared" si="869"/>
        <v>17.185228421052631</v>
      </c>
      <c r="EC312" s="5">
        <f t="shared" si="870"/>
        <v>2.7892123717993971</v>
      </c>
      <c r="ED312" s="5"/>
      <c r="EE312" s="150">
        <f t="shared" si="871"/>
        <v>4.6535134586677103</v>
      </c>
      <c r="EF312" s="150">
        <f t="shared" si="872"/>
        <v>5.5815695615159076</v>
      </c>
      <c r="EG312" s="150">
        <f t="shared" si="873"/>
        <v>1.1203927515981353</v>
      </c>
      <c r="EH312" s="150"/>
      <c r="EI312" s="456">
        <f t="shared" si="874"/>
        <v>0.25986225012001818</v>
      </c>
      <c r="EJ312" s="456">
        <f t="shared" si="875"/>
        <v>5.9571063829787239</v>
      </c>
      <c r="EK312" s="456">
        <f t="shared" si="876"/>
        <v>3.5501367546501822E-2</v>
      </c>
      <c r="EL312" s="456">
        <f t="shared" si="877"/>
        <v>0.9894800932159179</v>
      </c>
      <c r="EM312">
        <f t="shared" si="878"/>
        <v>2.1600000000000001E-2</v>
      </c>
      <c r="EN312" s="144">
        <f t="shared" si="879"/>
        <v>57.10136754650182</v>
      </c>
      <c r="EP312" s="144">
        <f t="shared" si="880"/>
        <v>7263.5500938611622</v>
      </c>
      <c r="EQ312" s="150">
        <f t="shared" si="881"/>
        <v>2.6879999999999997</v>
      </c>
      <c r="ER312" s="150">
        <f t="shared" si="841"/>
        <v>0.39086399999999993</v>
      </c>
      <c r="ES312" s="456"/>
      <c r="EU312" s="144">
        <f t="shared" si="882"/>
        <v>3078.864</v>
      </c>
      <c r="EV312" s="456">
        <f t="shared" si="883"/>
        <v>0.30317262514002119</v>
      </c>
      <c r="EW312" s="456">
        <f t="shared" si="884"/>
        <v>0.43615486278057236</v>
      </c>
      <c r="EX312" s="456">
        <f t="shared" si="885"/>
        <v>6.2763995891682049E-3</v>
      </c>
      <c r="EY312" s="456">
        <f t="shared" si="886"/>
        <v>50.088446331060005</v>
      </c>
      <c r="EZ312" s="456"/>
      <c r="FA312" s="538">
        <f t="shared" si="887"/>
        <v>5.1412272724038885</v>
      </c>
      <c r="FB312" s="144">
        <f t="shared" si="888"/>
        <v>55975.277490973654</v>
      </c>
      <c r="FC312" s="150">
        <f t="shared" si="889"/>
        <v>66.317691584834819</v>
      </c>
      <c r="FD312" s="5">
        <f t="shared" si="890"/>
        <v>120.09599999999999</v>
      </c>
      <c r="FE312" s="150">
        <f t="shared" si="891"/>
        <v>0.64424452398844123</v>
      </c>
      <c r="FF312" s="5">
        <f t="shared" si="892"/>
        <v>64.424452398844124</v>
      </c>
      <c r="FG312">
        <f t="shared" si="893"/>
        <v>96</v>
      </c>
      <c r="FI312" s="59">
        <f t="shared" si="842"/>
        <v>-50</v>
      </c>
    </row>
    <row r="313" spans="5:169">
      <c r="E313" s="147">
        <v>97</v>
      </c>
      <c r="F313" s="188">
        <f>IF(PLOT_TYPE=1, E313/100*Iout_max, min_I*EXP(O313*rr/100))</f>
        <v>3.88</v>
      </c>
      <c r="G313" s="188">
        <f t="shared" si="772"/>
        <v>0.82450000000000001</v>
      </c>
      <c r="H313" s="188">
        <f t="shared" si="773"/>
        <v>116.39999999999999</v>
      </c>
      <c r="I313" s="188">
        <f t="shared" si="774"/>
        <v>4.9470000000000001</v>
      </c>
      <c r="J313" s="465">
        <f t="shared" si="775"/>
        <v>47.800351632445171</v>
      </c>
      <c r="K313" s="379">
        <f t="shared" si="776"/>
        <v>30.846387400829109</v>
      </c>
      <c r="L313" s="149">
        <f t="shared" si="777"/>
        <v>78.646739033274287</v>
      </c>
      <c r="M313" s="379"/>
      <c r="N313" s="188">
        <f t="shared" si="778"/>
        <v>0.3922144488124098</v>
      </c>
      <c r="O313" s="149">
        <f>N313*J313*Isw_max*0.5*Efficiency*Pout/(Pout+Pout2)</f>
        <v>272.4800315174603</v>
      </c>
      <c r="P313" s="149">
        <f t="shared" si="780"/>
        <v>11.580401339492063</v>
      </c>
      <c r="Q313" s="188">
        <f t="shared" si="781"/>
        <v>9.0826677172486772</v>
      </c>
      <c r="R313" s="188">
        <f t="shared" si="782"/>
        <v>45.413338586243384</v>
      </c>
      <c r="S313" s="188">
        <f t="shared" si="783"/>
        <v>30</v>
      </c>
      <c r="T313" s="188">
        <f t="shared" si="784"/>
        <v>12.945068699636812</v>
      </c>
      <c r="U313" s="188">
        <f t="shared" si="785"/>
        <v>1.272832119649006</v>
      </c>
      <c r="V313" s="188">
        <f t="shared" si="786"/>
        <v>1.9724132391158931</v>
      </c>
      <c r="W313" s="172">
        <f t="shared" si="787"/>
        <v>350</v>
      </c>
      <c r="X313" s="379">
        <f t="shared" si="844"/>
        <v>290.25508951225873</v>
      </c>
      <c r="Z313" s="188">
        <f t="shared" si="788"/>
        <v>11.396953537117845</v>
      </c>
      <c r="AA313" s="150">
        <f t="shared" si="789"/>
        <v>1.7365301462502574</v>
      </c>
      <c r="AB313" s="150">
        <f>0.5*AA313*Z313*Nps*W313/1000*(Pout/(Pout+Pout2))</f>
        <v>3.3222559651877814</v>
      </c>
      <c r="AC313" s="150"/>
      <c r="AD313" s="150">
        <f t="shared" si="791"/>
        <v>0.92344196144287705</v>
      </c>
      <c r="AE313" s="314">
        <f>MAX(10, F313/(0.5*AD313/1000000*Isw_min*Nps)/1000*Pout_total/Pout)</f>
        <v>1445.4801229893749</v>
      </c>
      <c r="AF313" s="456">
        <f t="shared" si="793"/>
        <v>0.93948023110241108</v>
      </c>
      <c r="AH313" s="150">
        <f t="shared" si="794"/>
        <v>12.146371742399426</v>
      </c>
      <c r="AI313" s="150">
        <f>MAX(IF(F313&gt;AB313,T313,AH313),Isw_min)</f>
        <v>12.945068699636812</v>
      </c>
      <c r="AJ313" s="150">
        <f>IF(F313&gt;AF313, (AI313-Isw_min)/1.08*0.8+1.2, AE313*0.2/350+1)</f>
        <v>6.2996019548375939</v>
      </c>
      <c r="AL313" s="314">
        <f t="shared" si="797"/>
        <v>3880</v>
      </c>
      <c r="AM313" s="144">
        <f t="shared" si="798"/>
        <v>290.25508951225873</v>
      </c>
      <c r="AO313">
        <f t="shared" si="799"/>
        <v>3880</v>
      </c>
      <c r="AP313">
        <f t="shared" si="800"/>
        <v>290.25508951225873</v>
      </c>
      <c r="AR313" s="5">
        <f t="shared" si="771"/>
        <v>3.4452453587649003</v>
      </c>
      <c r="AS313" s="5">
        <f t="shared" si="894"/>
        <v>1.272832119649006</v>
      </c>
      <c r="AT313" s="5">
        <f t="shared" si="895"/>
        <v>2.1724132391158943</v>
      </c>
      <c r="AU313" s="150">
        <f t="shared" si="896"/>
        <v>0.36944600082280021</v>
      </c>
      <c r="BA313" s="150">
        <f t="shared" si="845"/>
        <v>4.5427539753928317</v>
      </c>
      <c r="BB313" s="150">
        <f t="shared" si="846"/>
        <v>5.6928378094087249</v>
      </c>
      <c r="BC313" s="150">
        <f t="shared" si="847"/>
        <v>1.1427277125886204</v>
      </c>
      <c r="BD313" s="150"/>
      <c r="BE313" s="456">
        <f t="shared" si="848"/>
        <v>0.24763936417136853</v>
      </c>
      <c r="BF313" s="456">
        <f t="shared" si="801"/>
        <v>5.3929673626480064</v>
      </c>
      <c r="BG313" s="456">
        <f t="shared" si="849"/>
        <v>3.3379335293909754E-2</v>
      </c>
      <c r="BH313" s="456">
        <f t="shared" si="850"/>
        <v>0.92907684773470434</v>
      </c>
      <c r="BI313">
        <f t="shared" si="851"/>
        <v>2.1510158234600327E-2</v>
      </c>
      <c r="BJ313" s="144">
        <f t="shared" si="852"/>
        <v>54.88949352851008</v>
      </c>
      <c r="BK313">
        <f t="shared" si="802"/>
        <v>7.0514470947903076</v>
      </c>
      <c r="BL313" s="144">
        <f t="shared" si="853"/>
        <v>6624.5730680825891</v>
      </c>
      <c r="BM313" s="150">
        <f t="shared" si="803"/>
        <v>2.6019279999999996</v>
      </c>
      <c r="BN313" s="150">
        <f t="shared" si="804"/>
        <v>0.39493549999999999</v>
      </c>
      <c r="BQ313" s="144">
        <f t="shared" si="854"/>
        <v>2996.8634999999995</v>
      </c>
      <c r="BR313" s="456">
        <f t="shared" si="855"/>
        <v>0.28891259153326326</v>
      </c>
      <c r="BS313" s="456">
        <f t="shared" si="856"/>
        <v>0.45371763253926939</v>
      </c>
      <c r="BT313" s="456">
        <f t="shared" si="857"/>
        <v>6.5291331255901029E-3</v>
      </c>
      <c r="BU313" s="456">
        <f t="shared" si="858"/>
        <v>43.269364073912811</v>
      </c>
      <c r="BV313" s="456"/>
      <c r="BW313" s="538">
        <f t="shared" si="859"/>
        <v>4.8639439630038801</v>
      </c>
      <c r="BX313" s="144">
        <f t="shared" si="860"/>
        <v>48882.467394114814</v>
      </c>
      <c r="BY313" s="150">
        <f t="shared" si="861"/>
        <v>58.503903962197398</v>
      </c>
      <c r="BZ313" s="5">
        <f t="shared" si="862"/>
        <v>121.34699999999999</v>
      </c>
      <c r="CA313" s="150">
        <f t="shared" si="863"/>
        <v>0.6747088689946521</v>
      </c>
      <c r="CB313" s="5">
        <f t="shared" si="864"/>
        <v>67.470886899465214</v>
      </c>
      <c r="CC313">
        <f t="shared" si="865"/>
        <v>97</v>
      </c>
      <c r="CE313" s="59">
        <f t="shared" si="805"/>
        <v>-50</v>
      </c>
      <c r="CG313" s="150">
        <f t="shared" si="806"/>
        <v>0.60945624682956023</v>
      </c>
      <c r="CH313" s="150">
        <f t="shared" si="807"/>
        <v>0.13300929250130375</v>
      </c>
      <c r="CI313" s="147">
        <v>97</v>
      </c>
      <c r="CJ313" s="188">
        <f t="shared" si="866"/>
        <v>3.88</v>
      </c>
      <c r="CK313" s="188">
        <f t="shared" si="808"/>
        <v>0.82450000000000001</v>
      </c>
      <c r="CL313" s="188">
        <f t="shared" si="809"/>
        <v>116.39999999999999</v>
      </c>
      <c r="CM313" s="188">
        <f t="shared" si="810"/>
        <v>4.9470000000000001</v>
      </c>
      <c r="CN313" s="465">
        <f t="shared" si="811"/>
        <v>48</v>
      </c>
      <c r="CO313" s="379">
        <f t="shared" si="812"/>
        <v>30.7</v>
      </c>
      <c r="CP313" s="379">
        <f t="shared" si="813"/>
        <v>78.7</v>
      </c>
      <c r="CQ313" s="379"/>
      <c r="CR313" s="188">
        <f t="shared" si="814"/>
        <v>0.38775510204081626</v>
      </c>
      <c r="CS313" s="149">
        <f t="shared" si="815"/>
        <v>270.50715642699197</v>
      </c>
      <c r="CT313" s="149">
        <f t="shared" si="816"/>
        <v>11.496554148147156</v>
      </c>
      <c r="CU313" s="188">
        <f t="shared" si="817"/>
        <v>9.0169052142330663</v>
      </c>
      <c r="CV313" s="188">
        <f t="shared" si="818"/>
        <v>45.084526071165328</v>
      </c>
      <c r="CW313" s="188">
        <f t="shared" si="819"/>
        <v>30</v>
      </c>
      <c r="CX313" s="188">
        <f t="shared" si="820"/>
        <v>13.039480263157897</v>
      </c>
      <c r="CY313" s="188">
        <f t="shared" si="821"/>
        <v>1.2767824424342107</v>
      </c>
      <c r="CZ313" s="188">
        <f t="shared" si="822"/>
        <v>1.9962722226984402</v>
      </c>
      <c r="DA313" s="172">
        <f t="shared" si="823"/>
        <v>350</v>
      </c>
      <c r="DB313" s="379">
        <f t="shared" si="824"/>
        <v>305.52499188383456</v>
      </c>
      <c r="DD313" s="188">
        <f t="shared" si="825"/>
        <v>11.382534575916392</v>
      </c>
      <c r="DE313" s="150">
        <f t="shared" si="826"/>
        <v>1.7426030132510437</v>
      </c>
      <c r="DF313" s="150">
        <f t="shared" si="827"/>
        <v>3.3296564353233258</v>
      </c>
      <c r="DG313" s="150"/>
      <c r="DH313" s="150">
        <f t="shared" si="828"/>
        <v>0.92784522751949461</v>
      </c>
      <c r="DI313" s="314">
        <f t="shared" si="829"/>
        <v>1438.6203220212765</v>
      </c>
      <c r="DJ313" s="456">
        <f t="shared" si="830"/>
        <v>0.94395997276890675</v>
      </c>
      <c r="DL313" s="150">
        <f t="shared" si="831"/>
        <v>12.146371742399426</v>
      </c>
      <c r="DM313" s="150">
        <f t="shared" si="832"/>
        <v>13.039480263157897</v>
      </c>
      <c r="DN313" s="150">
        <f t="shared" si="833"/>
        <v>6.3695364463346928</v>
      </c>
      <c r="DP313" s="314">
        <f t="shared" si="834"/>
        <v>3880</v>
      </c>
      <c r="DQ313" s="144">
        <f t="shared" si="835"/>
        <v>305.52499188383456</v>
      </c>
      <c r="DS313">
        <f t="shared" si="836"/>
        <v>3880</v>
      </c>
      <c r="DT313">
        <f t="shared" si="837"/>
        <v>305.52499188383456</v>
      </c>
      <c r="DV313" s="5">
        <f t="shared" si="867"/>
        <v>3.2730546651326509</v>
      </c>
      <c r="DW313" s="5">
        <f t="shared" si="838"/>
        <v>1.2767824424342107</v>
      </c>
      <c r="DX313" s="5">
        <f t="shared" si="839"/>
        <v>1.9962722226984402</v>
      </c>
      <c r="DY313" s="150">
        <f t="shared" si="840"/>
        <v>0.39008894536213468</v>
      </c>
      <c r="EA313" s="5">
        <f t="shared" si="868"/>
        <v>16.513052922149125</v>
      </c>
      <c r="EB313" s="5">
        <f t="shared" si="869"/>
        <v>17.545118729783443</v>
      </c>
      <c r="EC313" s="5">
        <f t="shared" si="870"/>
        <v>2.8476236117904214</v>
      </c>
      <c r="ED313" s="5"/>
      <c r="EE313" s="150">
        <f t="shared" si="871"/>
        <v>4.7019875571954985</v>
      </c>
      <c r="EF313" s="150">
        <f t="shared" si="872"/>
        <v>5.6397109111150314</v>
      </c>
      <c r="EG313" s="150">
        <f t="shared" si="873"/>
        <v>1.1320635094272826</v>
      </c>
      <c r="EH313" s="150"/>
      <c r="EI313" s="456">
        <f t="shared" si="874"/>
        <v>0.26530424385625551</v>
      </c>
      <c r="EJ313" s="456">
        <f t="shared" si="875"/>
        <v>5.9571063829787239</v>
      </c>
      <c r="EK313" s="456">
        <f t="shared" si="876"/>
        <v>3.5135374066640981E-2</v>
      </c>
      <c r="EL313" s="456">
        <f t="shared" si="877"/>
        <v>0.97927926751266114</v>
      </c>
      <c r="EM313">
        <f t="shared" si="878"/>
        <v>2.1600000000000001E-2</v>
      </c>
      <c r="EN313" s="144">
        <f t="shared" si="879"/>
        <v>56.735374066640979</v>
      </c>
      <c r="EP313" s="144">
        <f t="shared" si="880"/>
        <v>7258.4252684142821</v>
      </c>
      <c r="EQ313" s="150">
        <f t="shared" si="881"/>
        <v>2.7159999999999997</v>
      </c>
      <c r="ER313" s="150">
        <f t="shared" si="841"/>
        <v>0.39493549999999999</v>
      </c>
      <c r="ES313" s="456"/>
      <c r="EU313" s="144">
        <f t="shared" si="882"/>
        <v>3110.9354999999996</v>
      </c>
      <c r="EV313" s="456">
        <f t="shared" si="883"/>
        <v>0.30952161783229809</v>
      </c>
      <c r="EW313" s="456">
        <f t="shared" si="884"/>
        <v>0.44528874825329917</v>
      </c>
      <c r="EX313" s="456">
        <f t="shared" si="885"/>
        <v>6.4078389468840763E-3</v>
      </c>
      <c r="EY313" s="456">
        <f t="shared" si="886"/>
        <v>50.088446331060013</v>
      </c>
      <c r="EZ313" s="456"/>
      <c r="FA313" s="538">
        <f t="shared" si="887"/>
        <v>5.1947817231580951</v>
      </c>
      <c r="FB313" s="144">
        <f t="shared" si="888"/>
        <v>56044.446259250588</v>
      </c>
      <c r="FC313" s="150">
        <f t="shared" si="889"/>
        <v>66.413807027664873</v>
      </c>
      <c r="FD313" s="5">
        <f t="shared" si="890"/>
        <v>121.34699999999999</v>
      </c>
      <c r="FE313" s="150">
        <f t="shared" si="891"/>
        <v>0.64628503637673762</v>
      </c>
      <c r="FF313" s="5">
        <f t="shared" si="892"/>
        <v>64.628503637673759</v>
      </c>
      <c r="FG313">
        <f t="shared" si="893"/>
        <v>97</v>
      </c>
      <c r="FI313" s="59">
        <f t="shared" si="842"/>
        <v>-50</v>
      </c>
    </row>
    <row r="314" spans="5:169">
      <c r="E314" s="147">
        <v>98</v>
      </c>
      <c r="F314" s="188">
        <f>IF(PLOT_TYPE=1, E314/100*Iout_max, min_I*EXP(O314*rr/100))</f>
        <v>3.92</v>
      </c>
      <c r="G314" s="188">
        <f t="shared" si="772"/>
        <v>0.83299999999999996</v>
      </c>
      <c r="H314" s="188">
        <f t="shared" si="773"/>
        <v>117.6</v>
      </c>
      <c r="I314" s="188">
        <f t="shared" si="774"/>
        <v>4.9979999999999993</v>
      </c>
      <c r="J314" s="465">
        <f t="shared" si="775"/>
        <v>47.798293401851822</v>
      </c>
      <c r="K314" s="379">
        <f t="shared" si="776"/>
        <v>30.847896549291267</v>
      </c>
      <c r="L314" s="149">
        <f t="shared" si="777"/>
        <v>78.646189951143086</v>
      </c>
      <c r="M314" s="379"/>
      <c r="N314" s="188">
        <f t="shared" si="778"/>
        <v>0.39223637621167312</v>
      </c>
      <c r="O314" s="149">
        <f>N314*J314*Isw_max*0.5*Efficiency*Pout/(Pout+Pout2)</f>
        <v>272.48353161899115</v>
      </c>
      <c r="P314" s="149">
        <f t="shared" si="780"/>
        <v>11.580550093807123</v>
      </c>
      <c r="Q314" s="188">
        <f t="shared" si="781"/>
        <v>9.0827843872997054</v>
      </c>
      <c r="R314" s="188">
        <f t="shared" si="782"/>
        <v>45.413921936498525</v>
      </c>
      <c r="S314" s="188">
        <f t="shared" si="783"/>
        <v>30</v>
      </c>
      <c r="T314" s="188">
        <f t="shared" si="784"/>
        <v>13.078355020072673</v>
      </c>
      <c r="U314" s="188">
        <f t="shared" si="785"/>
        <v>1.2859929553878198</v>
      </c>
      <c r="V314" s="188">
        <f t="shared" si="786"/>
        <v>1.9926243105789263</v>
      </c>
      <c r="W314" s="172">
        <f t="shared" si="787"/>
        <v>350</v>
      </c>
      <c r="X314" s="379">
        <f t="shared" si="844"/>
        <v>287.47054462805033</v>
      </c>
      <c r="Z314" s="188">
        <f t="shared" si="788"/>
        <v>11.397099934981572</v>
      </c>
      <c r="AA314" s="150">
        <f t="shared" si="789"/>
        <v>1.7364674965380769</v>
      </c>
      <c r="AB314" s="150">
        <f>0.5*AA314*Z314*Nps*W314/1000*(Pout/(Pout+Pout2))</f>
        <v>3.3221787804134797</v>
      </c>
      <c r="AC314" s="150"/>
      <c r="AD314" s="150">
        <f t="shared" si="791"/>
        <v>0.92339678458572005</v>
      </c>
      <c r="AE314" s="314">
        <f>MAX(10, F314/(0.5*AD314/1000000*Isw_min*Nps)/1000*Pout_total/Pout)</f>
        <v>1460.4534285930361</v>
      </c>
      <c r="AF314" s="456">
        <f t="shared" si="793"/>
        <v>0.93943426961703957</v>
      </c>
      <c r="AH314" s="150">
        <f t="shared" si="794"/>
        <v>12.208821366083468</v>
      </c>
      <c r="AI314" s="150">
        <f>MAX(IF(F314&gt;AB314,T314,AH314),Isw_min)</f>
        <v>13.078355020072673</v>
      </c>
      <c r="AJ314" s="150">
        <f>IF(F314&gt;AF314, (AI314-Isw_min)/1.08*0.8+1.2, AE314*0.2/350+1)</f>
        <v>6.3983325625678606</v>
      </c>
      <c r="AL314" s="314">
        <f t="shared" si="797"/>
        <v>3920</v>
      </c>
      <c r="AM314" s="144">
        <f t="shared" si="798"/>
        <v>287.47054462805033</v>
      </c>
      <c r="AO314">
        <f t="shared" si="799"/>
        <v>3920</v>
      </c>
      <c r="AP314">
        <f t="shared" si="800"/>
        <v>287.47054462805033</v>
      </c>
      <c r="AR314" s="5">
        <f t="shared" si="771"/>
        <v>3.4786172659667463</v>
      </c>
      <c r="AS314" s="5">
        <f t="shared" si="894"/>
        <v>1.2859929553878198</v>
      </c>
      <c r="AT314" s="5">
        <f t="shared" si="895"/>
        <v>2.1926243105789265</v>
      </c>
      <c r="AU314" s="150">
        <f t="shared" si="896"/>
        <v>0.36968509527317261</v>
      </c>
      <c r="BA314" s="150">
        <f t="shared" si="845"/>
        <v>4.5910123990893688</v>
      </c>
      <c r="BB314" s="150">
        <f t="shared" si="846"/>
        <v>5.7503624537113094</v>
      </c>
      <c r="BC314" s="150">
        <f t="shared" si="847"/>
        <v>1.1542746786892046</v>
      </c>
      <c r="BD314" s="150"/>
      <c r="BE314" s="456">
        <f t="shared" si="848"/>
        <v>0.25292873818310785</v>
      </c>
      <c r="BF314" s="456">
        <f t="shared" si="801"/>
        <v>5.3961874905777316</v>
      </c>
      <c r="BG314" s="456">
        <f t="shared" si="849"/>
        <v>3.3059112632225794E-2</v>
      </c>
      <c r="BH314" s="456">
        <f t="shared" si="850"/>
        <v>0.92015095599145624</v>
      </c>
      <c r="BI314">
        <f t="shared" si="851"/>
        <v>2.1509232030833318E-2</v>
      </c>
      <c r="BJ314" s="144">
        <f t="shared" si="852"/>
        <v>54.568344663059115</v>
      </c>
      <c r="BK314">
        <f t="shared" si="802"/>
        <v>7.0619520857897378</v>
      </c>
      <c r="BL314" s="144">
        <f t="shared" si="853"/>
        <v>6623.8355294153553</v>
      </c>
      <c r="BM314" s="150">
        <f t="shared" si="803"/>
        <v>2.6287519999999995</v>
      </c>
      <c r="BN314" s="150">
        <f t="shared" si="804"/>
        <v>0.39900699999999995</v>
      </c>
      <c r="BQ314" s="144">
        <f t="shared" si="854"/>
        <v>3027.7589999999996</v>
      </c>
      <c r="BR314" s="456">
        <f t="shared" si="855"/>
        <v>0.29508352788029246</v>
      </c>
      <c r="BS314" s="456">
        <f t="shared" si="856"/>
        <v>0.46293335688673848</v>
      </c>
      <c r="BT314" s="456">
        <f t="shared" si="857"/>
        <v>6.6617501693153327E-3</v>
      </c>
      <c r="BU314" s="456">
        <f t="shared" si="858"/>
        <v>43.334739449967714</v>
      </c>
      <c r="BV314" s="456"/>
      <c r="BW314" s="538">
        <f t="shared" si="859"/>
        <v>4.9169930737845986</v>
      </c>
      <c r="BX314" s="144">
        <f t="shared" si="860"/>
        <v>49016.411158688657</v>
      </c>
      <c r="BY314" s="150">
        <f t="shared" si="861"/>
        <v>58.66800568810401</v>
      </c>
      <c r="BZ314" s="5">
        <f t="shared" si="862"/>
        <v>122.598</v>
      </c>
      <c r="CA314" s="150">
        <f t="shared" si="863"/>
        <v>0.67634303263099804</v>
      </c>
      <c r="CB314" s="5">
        <f t="shared" si="864"/>
        <v>67.63430326309981</v>
      </c>
      <c r="CC314">
        <f t="shared" si="865"/>
        <v>98</v>
      </c>
      <c r="CE314" s="59">
        <f t="shared" si="805"/>
        <v>-50</v>
      </c>
      <c r="CG314" s="150">
        <f t="shared" si="806"/>
        <v>0.60945624682956023</v>
      </c>
      <c r="CH314" s="150">
        <f t="shared" si="807"/>
        <v>0.13300929250130375</v>
      </c>
      <c r="CI314" s="147">
        <v>98</v>
      </c>
      <c r="CJ314" s="188">
        <f t="shared" si="866"/>
        <v>3.92</v>
      </c>
      <c r="CK314" s="188">
        <f t="shared" si="808"/>
        <v>0.83299999999999996</v>
      </c>
      <c r="CL314" s="188">
        <f t="shared" si="809"/>
        <v>117.6</v>
      </c>
      <c r="CM314" s="188">
        <f t="shared" si="810"/>
        <v>4.9979999999999993</v>
      </c>
      <c r="CN314" s="465">
        <f t="shared" si="811"/>
        <v>48</v>
      </c>
      <c r="CO314" s="379">
        <f t="shared" si="812"/>
        <v>30.7</v>
      </c>
      <c r="CP314" s="379">
        <f t="shared" si="813"/>
        <v>78.7</v>
      </c>
      <c r="CQ314" s="379"/>
      <c r="CR314" s="188">
        <f t="shared" si="814"/>
        <v>0.38775510204081626</v>
      </c>
      <c r="CS314" s="149">
        <f t="shared" si="815"/>
        <v>270.50715642699197</v>
      </c>
      <c r="CT314" s="149">
        <f t="shared" si="816"/>
        <v>11.496554148147156</v>
      </c>
      <c r="CU314" s="188">
        <f t="shared" si="817"/>
        <v>9.0169052142330663</v>
      </c>
      <c r="CV314" s="188">
        <f t="shared" si="818"/>
        <v>45.084526071165328</v>
      </c>
      <c r="CW314" s="188">
        <f t="shared" si="819"/>
        <v>30</v>
      </c>
      <c r="CX314" s="188">
        <f t="shared" si="820"/>
        <v>13.173907894736844</v>
      </c>
      <c r="CY314" s="188">
        <f t="shared" si="821"/>
        <v>1.2899451480263158</v>
      </c>
      <c r="CZ314" s="188">
        <f t="shared" si="822"/>
        <v>2.0168523487056409</v>
      </c>
      <c r="DA314" s="172">
        <f t="shared" si="823"/>
        <v>350</v>
      </c>
      <c r="DB314" s="379">
        <f t="shared" si="824"/>
        <v>302.40738992583624</v>
      </c>
      <c r="DD314" s="188">
        <f t="shared" si="825"/>
        <v>11.382534575916392</v>
      </c>
      <c r="DE314" s="150">
        <f t="shared" si="826"/>
        <v>1.7426030132510437</v>
      </c>
      <c r="DF314" s="150">
        <f t="shared" si="827"/>
        <v>3.3296564353233258</v>
      </c>
      <c r="DG314" s="150"/>
      <c r="DH314" s="150">
        <f t="shared" si="828"/>
        <v>0.92784522751949461</v>
      </c>
      <c r="DI314" s="314">
        <f t="shared" si="829"/>
        <v>1453.4514593617021</v>
      </c>
      <c r="DJ314" s="456">
        <f t="shared" si="830"/>
        <v>0.94395997276890675</v>
      </c>
      <c r="DL314" s="150">
        <f t="shared" si="831"/>
        <v>12.208821366083468</v>
      </c>
      <c r="DM314" s="150">
        <f t="shared" si="832"/>
        <v>13.173907894736844</v>
      </c>
      <c r="DN314" s="150">
        <f t="shared" si="833"/>
        <v>6.4691124697265066</v>
      </c>
      <c r="DP314" s="314">
        <f t="shared" si="834"/>
        <v>3920</v>
      </c>
      <c r="DQ314" s="144">
        <f t="shared" si="835"/>
        <v>302.40738992583624</v>
      </c>
      <c r="DS314">
        <f t="shared" si="836"/>
        <v>3920</v>
      </c>
      <c r="DT314">
        <f t="shared" si="837"/>
        <v>302.40738992583624</v>
      </c>
      <c r="DV314" s="5">
        <f t="shared" si="867"/>
        <v>3.3067974967319564</v>
      </c>
      <c r="DW314" s="5">
        <f t="shared" si="838"/>
        <v>1.2899451480263158</v>
      </c>
      <c r="DX314" s="5">
        <f t="shared" si="839"/>
        <v>2.0168523487056405</v>
      </c>
      <c r="DY314" s="150">
        <f t="shared" si="840"/>
        <v>0.39008894536213462</v>
      </c>
      <c r="EA314" s="5">
        <f t="shared" si="868"/>
        <v>16.855283267543861</v>
      </c>
      <c r="EB314" s="5">
        <f t="shared" si="869"/>
        <v>17.90873847176535</v>
      </c>
      <c r="EC314" s="5">
        <f t="shared" si="870"/>
        <v>2.9066401496051872</v>
      </c>
      <c r="ED314" s="5"/>
      <c r="EE314" s="150">
        <f t="shared" si="871"/>
        <v>4.7504616557232877</v>
      </c>
      <c r="EF314" s="150">
        <f t="shared" si="872"/>
        <v>5.6978522607141562</v>
      </c>
      <c r="EG314" s="150">
        <f t="shared" si="873"/>
        <v>1.1437342672564299</v>
      </c>
      <c r="EH314" s="150"/>
      <c r="EI314" s="456">
        <f t="shared" si="874"/>
        <v>0.2708026313099669</v>
      </c>
      <c r="EJ314" s="456">
        <f t="shared" si="875"/>
        <v>5.9571063829787239</v>
      </c>
      <c r="EK314" s="456">
        <f t="shared" si="876"/>
        <v>3.4776849841471169E-2</v>
      </c>
      <c r="EL314" s="456">
        <f t="shared" si="877"/>
        <v>0.96928662192579707</v>
      </c>
      <c r="EM314">
        <f t="shared" si="878"/>
        <v>2.1600000000000001E-2</v>
      </c>
      <c r="EN314" s="144">
        <f t="shared" si="879"/>
        <v>56.37684984147117</v>
      </c>
      <c r="EP314" s="144">
        <f t="shared" si="880"/>
        <v>7253.5724860559594</v>
      </c>
      <c r="EQ314" s="150">
        <f t="shared" si="881"/>
        <v>2.7439999999999998</v>
      </c>
      <c r="ER314" s="150">
        <f t="shared" si="841"/>
        <v>0.39900699999999995</v>
      </c>
      <c r="ES314" s="456"/>
      <c r="EU314" s="144">
        <f t="shared" si="882"/>
        <v>3143.0070000000001</v>
      </c>
      <c r="EV314" s="456">
        <f t="shared" si="883"/>
        <v>0.31593640319496136</v>
      </c>
      <c r="EW314" s="456">
        <f t="shared" si="884"/>
        <v>0.45451728538895586</v>
      </c>
      <c r="EX314" s="456">
        <f t="shared" si="885"/>
        <v>6.5406403704830127E-3</v>
      </c>
      <c r="EY314" s="456">
        <f t="shared" si="886"/>
        <v>50.08844633106002</v>
      </c>
      <c r="EZ314" s="456"/>
      <c r="FA314" s="538">
        <f t="shared" si="887"/>
        <v>5.2483361739123033</v>
      </c>
      <c r="FB314" s="144">
        <f t="shared" si="888"/>
        <v>56113.77683392672</v>
      </c>
      <c r="FC314" s="150">
        <f t="shared" si="889"/>
        <v>66.510356319982677</v>
      </c>
      <c r="FD314" s="5">
        <f t="shared" si="890"/>
        <v>122.598</v>
      </c>
      <c r="FE314" s="150">
        <f t="shared" si="891"/>
        <v>0.64829499016191983</v>
      </c>
      <c r="FF314" s="5">
        <f t="shared" si="892"/>
        <v>64.829499016191988</v>
      </c>
      <c r="FG314">
        <f t="shared" si="893"/>
        <v>98</v>
      </c>
      <c r="FI314" s="59">
        <f t="shared" si="842"/>
        <v>-50</v>
      </c>
    </row>
    <row r="315" spans="5:169">
      <c r="E315" s="147">
        <v>99</v>
      </c>
      <c r="F315" s="188">
        <f>IF(PLOT_TYPE=1, E315/100*Iout_max, min_I*EXP(O315*rr/100))</f>
        <v>3.96</v>
      </c>
      <c r="G315" s="188">
        <f t="shared" si="772"/>
        <v>0.84150000000000003</v>
      </c>
      <c r="H315" s="188">
        <f t="shared" si="773"/>
        <v>118.8</v>
      </c>
      <c r="I315" s="188">
        <f t="shared" si="774"/>
        <v>5.0490000000000004</v>
      </c>
      <c r="J315" s="465">
        <f t="shared" si="775"/>
        <v>47.796235171258473</v>
      </c>
      <c r="K315" s="379">
        <f t="shared" si="776"/>
        <v>30.849405697753419</v>
      </c>
      <c r="L315" s="149">
        <f t="shared" si="777"/>
        <v>78.645640869011885</v>
      </c>
      <c r="M315" s="379"/>
      <c r="N315" s="188">
        <f t="shared" si="778"/>
        <v>0.39225830391711847</v>
      </c>
      <c r="O315" s="149">
        <f>N315*J315*Isw_max*0.5*Efficiency*Pout/(Pout+Pout2)</f>
        <v>272.48703062134405</v>
      </c>
      <c r="P315" s="149">
        <f t="shared" si="780"/>
        <v>11.58069880140712</v>
      </c>
      <c r="Q315" s="188">
        <f t="shared" si="781"/>
        <v>9.0829010207114678</v>
      </c>
      <c r="R315" s="188">
        <f t="shared" si="782"/>
        <v>45.414505103557339</v>
      </c>
      <c r="S315" s="188">
        <f t="shared" si="783"/>
        <v>30</v>
      </c>
      <c r="T315" s="188">
        <f t="shared" si="784"/>
        <v>13.211637969671541</v>
      </c>
      <c r="U315" s="188">
        <f t="shared" si="785"/>
        <v>1.2991545931382462</v>
      </c>
      <c r="V315" s="188">
        <f t="shared" si="786"/>
        <v>2.0128328910393964</v>
      </c>
      <c r="W315" s="172">
        <f t="shared" si="787"/>
        <v>350</v>
      </c>
      <c r="X315" s="379">
        <f t="shared" si="844"/>
        <v>284.73905573560353</v>
      </c>
      <c r="Z315" s="188">
        <f t="shared" si="788"/>
        <v>11.397246286870256</v>
      </c>
      <c r="AA315" s="150">
        <f t="shared" si="789"/>
        <v>1.7364048459510901</v>
      </c>
      <c r="AB315" s="150">
        <f>0.5*AA315*Z315*Nps*W315/1000*(Pout/(Pout+Pout2))</f>
        <v>3.3221015774853018</v>
      </c>
      <c r="AC315" s="150"/>
      <c r="AD315" s="150">
        <f t="shared" si="791"/>
        <v>0.92335161214865369</v>
      </c>
      <c r="AE315" s="314">
        <f>MAX(10, F315/(0.5*AD315/1000000*Isw_min*Nps)/1000*Pout_total/Pout)</f>
        <v>1475.4281923327299</v>
      </c>
      <c r="AF315" s="456">
        <f t="shared" si="793"/>
        <v>0.93938831262852629</v>
      </c>
      <c r="AH315" s="150">
        <f t="shared" si="794"/>
        <v>12.270953173788623</v>
      </c>
      <c r="AI315" s="150">
        <f>MAX(IF(F315&gt;AB315,T315,AH315),Isw_min)</f>
        <v>13.211637969671541</v>
      </c>
      <c r="AJ315" s="150">
        <f>IF(F315&gt;AF315, (AI315-Isw_min)/1.08*0.8+1.2, AE315*0.2/350+1)</f>
        <v>6.4970606733818377</v>
      </c>
      <c r="AL315" s="314">
        <f t="shared" si="797"/>
        <v>3960</v>
      </c>
      <c r="AM315" s="144">
        <f t="shared" si="798"/>
        <v>284.73905573560353</v>
      </c>
      <c r="AO315">
        <f t="shared" si="799"/>
        <v>3960</v>
      </c>
      <c r="AP315">
        <f t="shared" si="800"/>
        <v>284.73905573560353</v>
      </c>
      <c r="AR315" s="5">
        <f t="shared" si="771"/>
        <v>3.5119874841776433</v>
      </c>
      <c r="AS315" s="5">
        <f t="shared" si="894"/>
        <v>1.2991545931382462</v>
      </c>
      <c r="AT315" s="5">
        <f t="shared" si="895"/>
        <v>2.2128328910393971</v>
      </c>
      <c r="AU315" s="150">
        <f t="shared" si="896"/>
        <v>0.36992005210475642</v>
      </c>
      <c r="BA315" s="150">
        <f t="shared" si="845"/>
        <v>4.6392734742248161</v>
      </c>
      <c r="BB315" s="150">
        <f t="shared" si="846"/>
        <v>5.8078822490051412</v>
      </c>
      <c r="BC315" s="150">
        <f t="shared" si="847"/>
        <v>1.1658206714445318</v>
      </c>
      <c r="BD315" s="150"/>
      <c r="BE315" s="456">
        <f t="shared" si="848"/>
        <v>0.25827430042375193</v>
      </c>
      <c r="BF315" s="456">
        <f t="shared" si="801"/>
        <v>5.399346879842069</v>
      </c>
      <c r="BG315" s="456">
        <f t="shared" si="849"/>
        <v>3.2744991409594408E-2</v>
      </c>
      <c r="BH315" s="456">
        <f t="shared" si="850"/>
        <v>0.91139513530555649</v>
      </c>
      <c r="BI315">
        <f t="shared" si="851"/>
        <v>2.1508305827066313E-2</v>
      </c>
      <c r="BJ315" s="144">
        <f t="shared" si="852"/>
        <v>54.253297236660728</v>
      </c>
      <c r="BK315">
        <f t="shared" si="802"/>
        <v>7.0727783046878523</v>
      </c>
      <c r="BL315" s="144">
        <f t="shared" si="853"/>
        <v>6623.2696128080388</v>
      </c>
      <c r="BM315" s="150">
        <f t="shared" si="803"/>
        <v>2.6555759999999995</v>
      </c>
      <c r="BN315" s="150">
        <f t="shared" si="804"/>
        <v>0.40307850000000001</v>
      </c>
      <c r="BQ315" s="144">
        <f t="shared" si="854"/>
        <v>3058.6544999999992</v>
      </c>
      <c r="BR315" s="456">
        <f t="shared" si="855"/>
        <v>0.30132001716104395</v>
      </c>
      <c r="BS315" s="456">
        <f t="shared" si="856"/>
        <v>0.4722409470563263</v>
      </c>
      <c r="BT315" s="456">
        <f t="shared" si="857"/>
        <v>6.7956891898368959E-3</v>
      </c>
      <c r="BU315" s="456">
        <f t="shared" si="858"/>
        <v>43.39895444368144</v>
      </c>
      <c r="BV315" s="456"/>
      <c r="BW315" s="538">
        <f t="shared" si="859"/>
        <v>4.9700455547761813</v>
      </c>
      <c r="BX315" s="144">
        <f t="shared" si="860"/>
        <v>49149.356651864837</v>
      </c>
      <c r="BY315" s="150">
        <f t="shared" si="861"/>
        <v>58.831280764672869</v>
      </c>
      <c r="BZ315" s="5">
        <f t="shared" si="862"/>
        <v>123.849</v>
      </c>
      <c r="CA315" s="150">
        <f t="shared" si="863"/>
        <v>0.67795494665098077</v>
      </c>
      <c r="CB315" s="5">
        <f t="shared" si="864"/>
        <v>67.795494665098076</v>
      </c>
      <c r="CC315">
        <f t="shared" si="865"/>
        <v>99</v>
      </c>
      <c r="CE315" s="59">
        <f t="shared" si="805"/>
        <v>-50</v>
      </c>
      <c r="CG315" s="150">
        <f t="shared" si="806"/>
        <v>0.60945624682956023</v>
      </c>
      <c r="CH315" s="150">
        <f t="shared" si="807"/>
        <v>0.13300929250130378</v>
      </c>
      <c r="CI315" s="147">
        <v>99</v>
      </c>
      <c r="CJ315" s="188">
        <f t="shared" si="866"/>
        <v>3.96</v>
      </c>
      <c r="CK315" s="188">
        <f t="shared" si="808"/>
        <v>0.84150000000000003</v>
      </c>
      <c r="CL315" s="188">
        <f t="shared" si="809"/>
        <v>118.8</v>
      </c>
      <c r="CM315" s="188">
        <f t="shared" si="810"/>
        <v>5.0490000000000004</v>
      </c>
      <c r="CN315" s="465">
        <f t="shared" si="811"/>
        <v>48</v>
      </c>
      <c r="CO315" s="379">
        <f t="shared" si="812"/>
        <v>30.7</v>
      </c>
      <c r="CP315" s="379">
        <f t="shared" si="813"/>
        <v>78.7</v>
      </c>
      <c r="CQ315" s="379"/>
      <c r="CR315" s="188">
        <f t="shared" si="814"/>
        <v>0.38775510204081626</v>
      </c>
      <c r="CS315" s="149">
        <f t="shared" si="815"/>
        <v>270.50715642699197</v>
      </c>
      <c r="CT315" s="149">
        <f t="shared" si="816"/>
        <v>11.496554148147156</v>
      </c>
      <c r="CU315" s="188">
        <f t="shared" si="817"/>
        <v>9.0169052142330663</v>
      </c>
      <c r="CV315" s="188">
        <f t="shared" si="818"/>
        <v>45.084526071165328</v>
      </c>
      <c r="CW315" s="188">
        <f t="shared" si="819"/>
        <v>30</v>
      </c>
      <c r="CX315" s="188">
        <f t="shared" si="820"/>
        <v>13.308335526315792</v>
      </c>
      <c r="CY315" s="188">
        <f t="shared" si="821"/>
        <v>1.3031078536184213</v>
      </c>
      <c r="CZ315" s="188">
        <f t="shared" si="822"/>
        <v>2.0374324747128414</v>
      </c>
      <c r="DA315" s="172">
        <f t="shared" si="823"/>
        <v>350</v>
      </c>
      <c r="DB315" s="379">
        <f t="shared" si="824"/>
        <v>299.35276982557525</v>
      </c>
      <c r="DD315" s="188">
        <f t="shared" si="825"/>
        <v>11.382534575916392</v>
      </c>
      <c r="DE315" s="150">
        <f t="shared" si="826"/>
        <v>1.7426030132510437</v>
      </c>
      <c r="DF315" s="150">
        <f t="shared" si="827"/>
        <v>3.3296564353233258</v>
      </c>
      <c r="DG315" s="150"/>
      <c r="DH315" s="150">
        <f t="shared" si="828"/>
        <v>0.92784522751949461</v>
      </c>
      <c r="DI315" s="314">
        <f t="shared" si="829"/>
        <v>1468.2825967021276</v>
      </c>
      <c r="DJ315" s="456">
        <f t="shared" si="830"/>
        <v>0.94395997276890675</v>
      </c>
      <c r="DL315" s="150">
        <f t="shared" si="831"/>
        <v>12.270953173788623</v>
      </c>
      <c r="DM315" s="150">
        <f t="shared" si="832"/>
        <v>13.308335526315792</v>
      </c>
      <c r="DN315" s="150">
        <f t="shared" si="833"/>
        <v>6.5686884931183203</v>
      </c>
      <c r="DP315" s="314">
        <f t="shared" si="834"/>
        <v>3960</v>
      </c>
      <c r="DQ315" s="144">
        <f t="shared" si="835"/>
        <v>299.35276982557525</v>
      </c>
      <c r="DS315">
        <f t="shared" si="836"/>
        <v>3960</v>
      </c>
      <c r="DT315">
        <f t="shared" si="837"/>
        <v>299.35276982557525</v>
      </c>
      <c r="DV315" s="5">
        <f t="shared" si="867"/>
        <v>3.3405403283312629</v>
      </c>
      <c r="DW315" s="5">
        <f t="shared" si="838"/>
        <v>1.3031078536184213</v>
      </c>
      <c r="DX315" s="5">
        <f t="shared" si="839"/>
        <v>2.0374324747128414</v>
      </c>
      <c r="DY315" s="150">
        <f t="shared" si="840"/>
        <v>0.39008894536213462</v>
      </c>
      <c r="EA315" s="5">
        <f t="shared" si="868"/>
        <v>17.20102366776316</v>
      </c>
      <c r="EB315" s="5">
        <f t="shared" si="869"/>
        <v>18.276087646998359</v>
      </c>
      <c r="EC315" s="5">
        <f t="shared" si="870"/>
        <v>2.9662619852436958</v>
      </c>
      <c r="ED315" s="5"/>
      <c r="EE315" s="150">
        <f t="shared" si="871"/>
        <v>4.7989357542510769</v>
      </c>
      <c r="EF315" s="150">
        <f t="shared" si="872"/>
        <v>5.7559936103132809</v>
      </c>
      <c r="EG315" s="150">
        <f t="shared" si="873"/>
        <v>1.1554050250855772</v>
      </c>
      <c r="EH315" s="150"/>
      <c r="EI315" s="456">
        <f t="shared" si="874"/>
        <v>0.2763574124811522</v>
      </c>
      <c r="EJ315" s="456">
        <f t="shared" si="875"/>
        <v>5.9571063829787239</v>
      </c>
      <c r="EK315" s="456">
        <f t="shared" si="876"/>
        <v>3.4425568529941157E-2</v>
      </c>
      <c r="EL315" s="456">
        <f t="shared" si="877"/>
        <v>0.95949584796695064</v>
      </c>
      <c r="EM315">
        <f t="shared" si="878"/>
        <v>2.1600000000000001E-2</v>
      </c>
      <c r="EN315" s="144">
        <f t="shared" si="879"/>
        <v>56.025568529941161</v>
      </c>
      <c r="EP315" s="144">
        <f t="shared" si="880"/>
        <v>7248.9852119567677</v>
      </c>
      <c r="EQ315" s="150">
        <f t="shared" si="881"/>
        <v>2.7719999999999998</v>
      </c>
      <c r="ER315" s="150">
        <f t="shared" si="841"/>
        <v>0.40307850000000001</v>
      </c>
      <c r="ES315" s="456"/>
      <c r="EU315" s="144">
        <f t="shared" si="882"/>
        <v>3175.0784999999996</v>
      </c>
      <c r="EV315" s="456">
        <f t="shared" si="883"/>
        <v>0.32241698122801093</v>
      </c>
      <c r="EW315" s="456">
        <f t="shared" si="884"/>
        <v>0.46384047418754243</v>
      </c>
      <c r="EX315" s="456">
        <f t="shared" si="885"/>
        <v>6.6748038599650159E-3</v>
      </c>
      <c r="EY315" s="456">
        <f t="shared" si="886"/>
        <v>50.088446331060148</v>
      </c>
      <c r="EZ315" s="456"/>
      <c r="FA315" s="538">
        <f t="shared" si="887"/>
        <v>5.3018906246665098</v>
      </c>
      <c r="FB315" s="144">
        <f t="shared" si="888"/>
        <v>56183.269215002176</v>
      </c>
      <c r="FC315" s="150">
        <f t="shared" si="889"/>
        <v>66.607332926958946</v>
      </c>
      <c r="FD315" s="5">
        <f t="shared" si="890"/>
        <v>123.849</v>
      </c>
      <c r="FE315" s="150">
        <f t="shared" si="891"/>
        <v>0.65027504256052626</v>
      </c>
      <c r="FF315" s="5">
        <f t="shared" si="892"/>
        <v>65.027504256052623</v>
      </c>
      <c r="FG315">
        <f t="shared" si="893"/>
        <v>99</v>
      </c>
      <c r="FI315" s="59">
        <f t="shared" si="842"/>
        <v>-50</v>
      </c>
    </row>
    <row r="316" spans="5:169">
      <c r="E316" s="147">
        <v>100</v>
      </c>
      <c r="F316" s="188">
        <f>IF(PLOT_TYPE=1, E316/100*Iout_max, min_I*EXP(O316*rr/100))</f>
        <v>4</v>
      </c>
      <c r="G316" s="188">
        <f t="shared" si="772"/>
        <v>0.85</v>
      </c>
      <c r="H316" s="188">
        <f t="shared" si="773"/>
        <v>120</v>
      </c>
      <c r="I316" s="188">
        <f t="shared" si="774"/>
        <v>5.0999999999999996</v>
      </c>
      <c r="J316" s="465">
        <f t="shared" si="775"/>
        <v>47.794176940665125</v>
      </c>
      <c r="K316" s="379">
        <f t="shared" si="776"/>
        <v>30.850914846215577</v>
      </c>
      <c r="L316" s="149">
        <f t="shared" si="777"/>
        <v>78.645091786880698</v>
      </c>
      <c r="M316" s="379"/>
      <c r="N316" s="188">
        <f t="shared" si="778"/>
        <v>0.39228023192875233</v>
      </c>
      <c r="O316" s="149">
        <f>N316*J316*Isw_max*0.5*Efficiency*Pout/(Pout+Pout2)</f>
        <v>272.49052852449597</v>
      </c>
      <c r="P316" s="149">
        <f t="shared" si="780"/>
        <v>11.580847462291077</v>
      </c>
      <c r="Q316" s="188">
        <f t="shared" si="781"/>
        <v>9.0830176174831987</v>
      </c>
      <c r="R316" s="188">
        <f t="shared" si="782"/>
        <v>45.415088087415995</v>
      </c>
      <c r="S316" s="188">
        <f t="shared" si="783"/>
        <v>30</v>
      </c>
      <c r="T316" s="188">
        <f t="shared" si="784"/>
        <v>13.344917550177309</v>
      </c>
      <c r="U316" s="188">
        <f t="shared" si="785"/>
        <v>1.3123170331753911</v>
      </c>
      <c r="V316" s="188">
        <f t="shared" si="786"/>
        <v>2.0330389811285361</v>
      </c>
      <c r="W316" s="172">
        <f t="shared" si="787"/>
        <v>350</v>
      </c>
      <c r="X316" s="379">
        <f t="shared" si="844"/>
        <v>282.05912071042985</v>
      </c>
      <c r="Z316" s="188">
        <f t="shared" si="788"/>
        <v>11.397392592782943</v>
      </c>
      <c r="AA316" s="150">
        <f t="shared" si="789"/>
        <v>1.736342194489279</v>
      </c>
      <c r="AB316" s="150">
        <f>0.5*AA316*Z316*Nps*W316/1000*(Pout/(Pout+Pout2))</f>
        <v>3.3220243564043193</v>
      </c>
      <c r="AC316" s="150"/>
      <c r="AD316" s="150">
        <f t="shared" si="791"/>
        <v>0.92330644413102925</v>
      </c>
      <c r="AE316" s="314">
        <f>MAX(10, F316/(0.5*AD316/1000000*Isw_min*Nps)/1000*Pout_total/Pout)</f>
        <v>1490.404414208457</v>
      </c>
      <c r="AF316" s="456">
        <f t="shared" si="793"/>
        <v>0.93934236013621175</v>
      </c>
      <c r="AH316" s="150">
        <f>SQRT((H316+I316)/(0.5*L*Fsw_DCM))</f>
        <v>12.332771968932612</v>
      </c>
      <c r="AI316" s="150">
        <f>MAX(IF(F316&gt;AB316,T316,AH316),Isw_min)</f>
        <v>13.344917550177309</v>
      </c>
      <c r="AJ316" s="150">
        <f>IF(F316&gt;AF316, (AI316-Isw_min)/1.08*0.8+1.2, AE316*0.2/350+1)</f>
        <v>6.5957862885712952</v>
      </c>
      <c r="AL316" s="314">
        <f t="shared" si="797"/>
        <v>4000</v>
      </c>
      <c r="AM316" s="144">
        <f t="shared" si="798"/>
        <v>282.05912071042985</v>
      </c>
      <c r="AO316">
        <f t="shared" si="799"/>
        <v>4000</v>
      </c>
      <c r="AP316">
        <f t="shared" si="800"/>
        <v>282.05912071042985</v>
      </c>
      <c r="AR316" s="5">
        <f t="shared" si="771"/>
        <v>3.5453560143039278</v>
      </c>
      <c r="AS316" s="5">
        <f t="shared" si="894"/>
        <v>1.3123170331753911</v>
      </c>
      <c r="AT316" s="5">
        <f t="shared" si="895"/>
        <v>2.2330389811285367</v>
      </c>
      <c r="AU316" s="150">
        <f t="shared" si="896"/>
        <v>0.37015098847077077</v>
      </c>
      <c r="BA316" s="150">
        <f t="shared" si="845"/>
        <v>4.6875371676060693</v>
      </c>
      <c r="BB316" s="150">
        <f t="shared" si="846"/>
        <v>5.865397232872275</v>
      </c>
      <c r="BC316" s="150">
        <f t="shared" si="847"/>
        <v>1.1773656983984768</v>
      </c>
      <c r="BD316" s="150"/>
      <c r="BE316" s="456">
        <f>Rdson*BA316^2</f>
        <v>0.26367605637225999</v>
      </c>
      <c r="BF316" s="456">
        <f t="shared" si="801"/>
        <v>5.4024472493950375</v>
      </c>
      <c r="BG316" s="456">
        <f t="shared" si="849"/>
        <v>3.2436798881699432E-2</v>
      </c>
      <c r="BH316" s="456">
        <f t="shared" si="850"/>
        <v>0.90280457061511299</v>
      </c>
      <c r="BI316">
        <f t="shared" si="851"/>
        <v>2.1507379623299305E-2</v>
      </c>
      <c r="BJ316" s="144">
        <f t="shared" si="852"/>
        <v>53.944178504998732</v>
      </c>
      <c r="BK316">
        <f t="shared" si="802"/>
        <v>7.0839242340725184</v>
      </c>
      <c r="BL316" s="144">
        <f t="shared" si="853"/>
        <v>6622.8720548874098</v>
      </c>
      <c r="BM316" s="150">
        <f t="shared" si="803"/>
        <v>2.6823999999999999</v>
      </c>
      <c r="BN316" s="150">
        <f t="shared" si="804"/>
        <v>0.40714999999999996</v>
      </c>
      <c r="BQ316" s="144">
        <f t="shared" si="854"/>
        <v>3089.55</v>
      </c>
      <c r="BR316" s="456">
        <f t="shared" si="855"/>
        <v>0.30762206576763662</v>
      </c>
      <c r="BS316" s="456">
        <f t="shared" si="856"/>
        <v>0.48164038579140034</v>
      </c>
      <c r="BT316" s="456">
        <f t="shared" si="857"/>
        <v>6.9309499388266662E-3</v>
      </c>
      <c r="BU316" s="456">
        <f t="shared" si="858"/>
        <v>43.462040369132723</v>
      </c>
      <c r="BV316" s="456"/>
      <c r="BW316" s="538">
        <f t="shared" si="859"/>
        <v>5.0231013106308531</v>
      </c>
      <c r="BX316" s="144">
        <f t="shared" si="860"/>
        <v>49281.335081261444</v>
      </c>
      <c r="BY316" s="150">
        <f>SUM(BE316:BI316,BM316:BP316,BR316:BW316)</f>
        <v>58.993757136148844</v>
      </c>
      <c r="BZ316" s="5">
        <f t="shared" si="862"/>
        <v>125.1</v>
      </c>
      <c r="CA316" s="150">
        <f t="shared" si="863"/>
        <v>0.6795450424072812</v>
      </c>
      <c r="CB316" s="5">
        <f t="shared" si="864"/>
        <v>67.954504240728113</v>
      </c>
      <c r="CC316">
        <f t="shared" si="865"/>
        <v>100</v>
      </c>
      <c r="CE316" s="59">
        <f t="shared" si="805"/>
        <v>-50</v>
      </c>
      <c r="CG316" s="150">
        <f t="shared" si="806"/>
        <v>0.60945624682956023</v>
      </c>
      <c r="CH316" s="150">
        <f t="shared" si="807"/>
        <v>0.13300929250130378</v>
      </c>
      <c r="CI316" s="147">
        <v>100</v>
      </c>
      <c r="CJ316" s="188">
        <f t="shared" si="866"/>
        <v>4</v>
      </c>
      <c r="CK316" s="188">
        <f t="shared" si="808"/>
        <v>0.85</v>
      </c>
      <c r="CL316" s="188">
        <f t="shared" si="809"/>
        <v>120</v>
      </c>
      <c r="CM316" s="188">
        <f t="shared" si="810"/>
        <v>5.0999999999999996</v>
      </c>
      <c r="CN316" s="465">
        <f t="shared" si="811"/>
        <v>48</v>
      </c>
      <c r="CO316" s="379">
        <f t="shared" si="812"/>
        <v>30.7</v>
      </c>
      <c r="CP316" s="379">
        <f t="shared" si="813"/>
        <v>78.7</v>
      </c>
      <c r="CQ316" s="379"/>
      <c r="CR316" s="188">
        <f t="shared" si="814"/>
        <v>0.38775510204081626</v>
      </c>
      <c r="CS316" s="149">
        <f t="shared" si="815"/>
        <v>270.50715642699197</v>
      </c>
      <c r="CT316" s="149">
        <f t="shared" si="816"/>
        <v>11.496554148147156</v>
      </c>
      <c r="CU316" s="188">
        <f t="shared" si="817"/>
        <v>9.0169052142330663</v>
      </c>
      <c r="CV316" s="188">
        <f t="shared" si="818"/>
        <v>45.084526071165328</v>
      </c>
      <c r="CW316" s="188">
        <f t="shared" si="819"/>
        <v>30</v>
      </c>
      <c r="CX316" s="188">
        <f t="shared" si="820"/>
        <v>13.442763157894738</v>
      </c>
      <c r="CY316" s="188">
        <f t="shared" si="821"/>
        <v>1.3162705592105264</v>
      </c>
      <c r="CZ316" s="188">
        <f t="shared" si="822"/>
        <v>2.0580126007200414</v>
      </c>
      <c r="DA316" s="172">
        <f t="shared" si="823"/>
        <v>350</v>
      </c>
      <c r="DB316" s="379">
        <f t="shared" si="824"/>
        <v>296.35924212731959</v>
      </c>
      <c r="DD316" s="188">
        <f t="shared" si="825"/>
        <v>11.382534575916392</v>
      </c>
      <c r="DE316" s="150">
        <f t="shared" si="826"/>
        <v>1.7426030132510437</v>
      </c>
      <c r="DF316" s="150">
        <f t="shared" si="827"/>
        <v>3.3296564353233258</v>
      </c>
      <c r="DG316" s="150"/>
      <c r="DH316" s="150">
        <f t="shared" si="828"/>
        <v>0.92784522751949461</v>
      </c>
      <c r="DI316" s="314">
        <f t="shared" si="829"/>
        <v>1483.113734042553</v>
      </c>
      <c r="DJ316" s="456">
        <f t="shared" si="830"/>
        <v>0.94395997276890675</v>
      </c>
      <c r="DL316" s="150">
        <f t="shared" si="831"/>
        <v>12.332771968932612</v>
      </c>
      <c r="DM316" s="150">
        <f t="shared" si="832"/>
        <v>13.442763157894738</v>
      </c>
      <c r="DN316" s="150">
        <f t="shared" si="833"/>
        <v>6.6682645165101322</v>
      </c>
      <c r="DP316" s="314">
        <f t="shared" si="834"/>
        <v>4000</v>
      </c>
      <c r="DQ316" s="144">
        <f t="shared" si="835"/>
        <v>296.35924212731959</v>
      </c>
      <c r="DS316">
        <f t="shared" si="836"/>
        <v>4000</v>
      </c>
      <c r="DT316">
        <f t="shared" si="837"/>
        <v>296.35924212731959</v>
      </c>
      <c r="DV316" s="5">
        <f t="shared" si="867"/>
        <v>3.3742831599305672</v>
      </c>
      <c r="DW316" s="5">
        <f t="shared" si="838"/>
        <v>1.3162705592105264</v>
      </c>
      <c r="DX316" s="5">
        <f t="shared" si="839"/>
        <v>2.0580126007200406</v>
      </c>
      <c r="DY316" s="150">
        <f t="shared" si="840"/>
        <v>0.39008894536213473</v>
      </c>
      <c r="EA316" s="5">
        <f t="shared" si="868"/>
        <v>17.550274122807018</v>
      </c>
      <c r="EB316" s="5">
        <f t="shared" si="869"/>
        <v>18.647166255482457</v>
      </c>
      <c r="EC316" s="5">
        <f t="shared" si="870"/>
        <v>3.0264891187059417</v>
      </c>
      <c r="ED316" s="5"/>
      <c r="EE316" s="150">
        <f t="shared" si="871"/>
        <v>4.8474098527788652</v>
      </c>
      <c r="EF316" s="150">
        <f t="shared" si="872"/>
        <v>5.814134959912403</v>
      </c>
      <c r="EG316" s="150">
        <f t="shared" si="873"/>
        <v>1.167075782914724</v>
      </c>
      <c r="EH316" s="150"/>
      <c r="EI316" s="456">
        <f t="shared" si="874"/>
        <v>0.2819685873698114</v>
      </c>
      <c r="EJ316" s="456">
        <f t="shared" si="875"/>
        <v>5.9571063829787256</v>
      </c>
      <c r="EK316" s="456">
        <f t="shared" si="876"/>
        <v>3.4081312844641755E-2</v>
      </c>
      <c r="EL316" s="456">
        <f t="shared" si="877"/>
        <v>0.94990088948728135</v>
      </c>
      <c r="EM316">
        <f t="shared" si="878"/>
        <v>2.1600000000000001E-2</v>
      </c>
      <c r="EN316" s="144">
        <f t="shared" si="879"/>
        <v>55.681312844641759</v>
      </c>
      <c r="EP316" s="144">
        <f t="shared" si="880"/>
        <v>7244.6571726804605</v>
      </c>
      <c r="EQ316" s="150">
        <f t="shared" si="881"/>
        <v>2.8</v>
      </c>
      <c r="ER316" s="150">
        <f t="shared" si="841"/>
        <v>0.40714999999999996</v>
      </c>
      <c r="ES316" s="456"/>
      <c r="EU316" s="144">
        <f t="shared" si="882"/>
        <v>3207.15</v>
      </c>
      <c r="EV316" s="456">
        <f t="shared" si="883"/>
        <v>0.32896335193144666</v>
      </c>
      <c r="EW316" s="456">
        <f t="shared" si="884"/>
        <v>0.47325831464905838</v>
      </c>
      <c r="EX316" s="456">
        <f t="shared" si="885"/>
        <v>6.8103294153300797E-3</v>
      </c>
      <c r="EY316" s="456">
        <f t="shared" si="886"/>
        <v>50.088446331060098</v>
      </c>
      <c r="EZ316" s="456"/>
      <c r="FA316" s="538">
        <f t="shared" si="887"/>
        <v>5.3554450754207172</v>
      </c>
      <c r="FB316" s="144">
        <f t="shared" si="888"/>
        <v>56252.923402476656</v>
      </c>
      <c r="FC316" s="150">
        <f t="shared" si="889"/>
        <v>66.704730575157114</v>
      </c>
      <c r="FD316" s="5">
        <f t="shared" si="890"/>
        <v>125.1</v>
      </c>
      <c r="FE316" s="150">
        <f t="shared" si="891"/>
        <v>0.65222583209948815</v>
      </c>
      <c r="FF316" s="5">
        <f t="shared" si="892"/>
        <v>65.222583209948809</v>
      </c>
      <c r="FG316">
        <f t="shared" si="893"/>
        <v>100</v>
      </c>
      <c r="FI316" s="59">
        <f t="shared" si="842"/>
        <v>-50</v>
      </c>
    </row>
    <row r="317" spans="5:169">
      <c r="E317" s="147"/>
      <c r="F317" s="188"/>
      <c r="G317" s="188"/>
      <c r="CI317" s="147"/>
      <c r="CJ317" s="188"/>
      <c r="CK317" s="188"/>
    </row>
    <row r="318" spans="5:169" ht="45" customHeight="1" thickBot="1">
      <c r="E318" s="211" t="s">
        <v>25</v>
      </c>
      <c r="F318" s="516" t="s">
        <v>580</v>
      </c>
      <c r="G318" s="380" t="s">
        <v>579</v>
      </c>
      <c r="H318" s="517" t="s">
        <v>581</v>
      </c>
      <c r="I318" s="518" t="s">
        <v>582</v>
      </c>
      <c r="J318" s="212" t="s">
        <v>412</v>
      </c>
      <c r="K318" s="213" t="s">
        <v>586</v>
      </c>
      <c r="L318" s="519" t="s">
        <v>413</v>
      </c>
      <c r="M318" s="520"/>
      <c r="N318" s="214" t="s">
        <v>48</v>
      </c>
      <c r="O318" s="520" t="s">
        <v>590</v>
      </c>
      <c r="P318" s="520" t="s">
        <v>606</v>
      </c>
      <c r="Q318" s="520" t="s">
        <v>583</v>
      </c>
      <c r="R318" s="520" t="s">
        <v>584</v>
      </c>
      <c r="S318" s="520" t="s">
        <v>585</v>
      </c>
      <c r="T318" s="520" t="s">
        <v>414</v>
      </c>
      <c r="U318" s="520" t="s">
        <v>466</v>
      </c>
      <c r="V318" s="520" t="s">
        <v>465</v>
      </c>
      <c r="W318" s="521" t="s">
        <v>420</v>
      </c>
      <c r="X318" s="522" t="s">
        <v>425</v>
      </c>
      <c r="Z318" s="215" t="s">
        <v>417</v>
      </c>
      <c r="AA318" s="215" t="s">
        <v>464</v>
      </c>
      <c r="AB318" s="215" t="s">
        <v>587</v>
      </c>
      <c r="AC318" s="468"/>
      <c r="AD318" s="215" t="s">
        <v>463</v>
      </c>
      <c r="AE318" s="521" t="s">
        <v>426</v>
      </c>
      <c r="AF318" s="215" t="s">
        <v>588</v>
      </c>
      <c r="AG318" s="468"/>
      <c r="AH318" s="215" t="s">
        <v>429</v>
      </c>
      <c r="AI318" s="470" t="s">
        <v>430</v>
      </c>
      <c r="AJ318" s="470" t="s">
        <v>431</v>
      </c>
      <c r="AL318" s="467" t="s">
        <v>275</v>
      </c>
      <c r="AM318" s="467" t="s">
        <v>432</v>
      </c>
      <c r="AO318" s="215" t="s">
        <v>275</v>
      </c>
      <c r="AP318" s="215" t="s">
        <v>432</v>
      </c>
      <c r="AQ318" s="471"/>
      <c r="AR318" s="215" t="s">
        <v>467</v>
      </c>
      <c r="AS318" s="215" t="s">
        <v>461</v>
      </c>
      <c r="AT318" s="215" t="s">
        <v>462</v>
      </c>
      <c r="AU318" s="215" t="s">
        <v>48</v>
      </c>
      <c r="AV318" s="468"/>
      <c r="AW318" s="215" t="s">
        <v>591</v>
      </c>
      <c r="AX318" s="215" t="s">
        <v>592</v>
      </c>
      <c r="AY318" s="215" t="s">
        <v>514</v>
      </c>
      <c r="AZ318" s="468"/>
      <c r="BA318" s="479" t="s">
        <v>456</v>
      </c>
      <c r="BB318" s="215" t="s">
        <v>599</v>
      </c>
      <c r="BC318" s="215" t="s">
        <v>598</v>
      </c>
      <c r="BD318" s="468"/>
      <c r="BE318" s="479" t="s">
        <v>474</v>
      </c>
      <c r="BF318" s="215" t="s">
        <v>475</v>
      </c>
      <c r="BG318" s="215" t="s">
        <v>473</v>
      </c>
      <c r="BH318" s="215" t="s">
        <v>469</v>
      </c>
      <c r="BI318" s="215" t="s">
        <v>478</v>
      </c>
      <c r="BJ318" s="215" t="s">
        <v>491</v>
      </c>
      <c r="BK318" s="215" t="s">
        <v>776</v>
      </c>
      <c r="BL318" s="215" t="s">
        <v>778</v>
      </c>
      <c r="BM318" s="479" t="s">
        <v>601</v>
      </c>
      <c r="BN318" s="215" t="s">
        <v>600</v>
      </c>
      <c r="BO318" s="215" t="s">
        <v>477</v>
      </c>
      <c r="BP318" s="215" t="s">
        <v>483</v>
      </c>
      <c r="BQ318" s="215" t="s">
        <v>487</v>
      </c>
      <c r="BR318" s="479" t="s">
        <v>458</v>
      </c>
      <c r="BS318" s="215" t="s">
        <v>603</v>
      </c>
      <c r="BT318" s="215" t="s">
        <v>602</v>
      </c>
      <c r="BU318" s="215" t="s">
        <v>468</v>
      </c>
      <c r="BV318" s="215" t="s">
        <v>673</v>
      </c>
      <c r="BW318" s="215" t="s">
        <v>484</v>
      </c>
      <c r="BX318" s="215" t="s">
        <v>486</v>
      </c>
      <c r="BY318" s="479" t="s">
        <v>482</v>
      </c>
      <c r="BZ318" s="215" t="s">
        <v>223</v>
      </c>
      <c r="CA318" s="215" t="s">
        <v>47</v>
      </c>
      <c r="CB318" s="215" t="s">
        <v>485</v>
      </c>
      <c r="CC318" s="215" t="s">
        <v>604</v>
      </c>
      <c r="CE318" s="490" t="s">
        <v>497</v>
      </c>
      <c r="CG318" s="668" t="s">
        <v>829</v>
      </c>
      <c r="CH318" s="669" t="s">
        <v>830</v>
      </c>
      <c r="CI318" s="211" t="s">
        <v>25</v>
      </c>
      <c r="CJ318" s="516" t="s">
        <v>580</v>
      </c>
      <c r="CK318" s="380" t="s">
        <v>579</v>
      </c>
      <c r="CL318" s="517" t="s">
        <v>581</v>
      </c>
      <c r="CM318" s="518" t="s">
        <v>582</v>
      </c>
      <c r="CN318" s="212" t="s">
        <v>412</v>
      </c>
      <c r="CO318" s="213" t="s">
        <v>586</v>
      </c>
      <c r="CP318" s="519" t="s">
        <v>413</v>
      </c>
      <c r="CQ318" s="520"/>
      <c r="CR318" s="214" t="s">
        <v>48</v>
      </c>
      <c r="CS318" s="520" t="s">
        <v>590</v>
      </c>
      <c r="CT318" s="520" t="s">
        <v>606</v>
      </c>
      <c r="CU318" s="520" t="s">
        <v>583</v>
      </c>
      <c r="CV318" s="520" t="s">
        <v>584</v>
      </c>
      <c r="CW318" s="520" t="s">
        <v>585</v>
      </c>
      <c r="CX318" s="520" t="s">
        <v>414</v>
      </c>
      <c r="CY318" s="520" t="s">
        <v>466</v>
      </c>
      <c r="CZ318" s="520" t="s">
        <v>465</v>
      </c>
      <c r="DA318" s="521" t="s">
        <v>420</v>
      </c>
      <c r="DB318" s="522" t="s">
        <v>425</v>
      </c>
      <c r="DD318" s="215" t="s">
        <v>417</v>
      </c>
      <c r="DE318" s="215" t="s">
        <v>464</v>
      </c>
      <c r="DF318" s="215" t="s">
        <v>587</v>
      </c>
      <c r="DG318" s="468"/>
      <c r="DH318" s="215" t="s">
        <v>463</v>
      </c>
      <c r="DI318" s="521" t="s">
        <v>426</v>
      </c>
      <c r="DJ318" s="215" t="s">
        <v>588</v>
      </c>
      <c r="DK318" s="468"/>
      <c r="DL318" s="215" t="s">
        <v>429</v>
      </c>
      <c r="DM318" s="470" t="s">
        <v>430</v>
      </c>
      <c r="DN318" s="470" t="s">
        <v>431</v>
      </c>
      <c r="DP318" s="467" t="s">
        <v>275</v>
      </c>
      <c r="DQ318" s="467" t="s">
        <v>432</v>
      </c>
      <c r="DS318" s="215" t="s">
        <v>275</v>
      </c>
      <c r="DT318" s="215" t="s">
        <v>432</v>
      </c>
      <c r="DU318" s="471"/>
      <c r="DV318" s="215" t="s">
        <v>467</v>
      </c>
      <c r="DW318" s="215" t="s">
        <v>461</v>
      </c>
      <c r="DX318" s="215" t="s">
        <v>462</v>
      </c>
      <c r="DY318" s="215" t="s">
        <v>48</v>
      </c>
      <c r="DZ318" s="468"/>
      <c r="EA318" s="215" t="s">
        <v>591</v>
      </c>
      <c r="EB318" s="215" t="s">
        <v>592</v>
      </c>
      <c r="EC318" s="215" t="s">
        <v>514</v>
      </c>
      <c r="ED318" s="468"/>
      <c r="EE318" s="479" t="s">
        <v>456</v>
      </c>
      <c r="EF318" s="215" t="s">
        <v>599</v>
      </c>
      <c r="EG318" s="215" t="s">
        <v>598</v>
      </c>
      <c r="EH318" s="468"/>
      <c r="EI318" s="479" t="s">
        <v>474</v>
      </c>
      <c r="EJ318" s="215" t="s">
        <v>475</v>
      </c>
      <c r="EK318" s="215" t="s">
        <v>473</v>
      </c>
      <c r="EL318" s="215" t="s">
        <v>469</v>
      </c>
      <c r="EM318" s="215" t="s">
        <v>478</v>
      </c>
      <c r="EN318" s="215" t="s">
        <v>491</v>
      </c>
      <c r="EO318" s="215" t="s">
        <v>776</v>
      </c>
      <c r="EP318" s="215" t="s">
        <v>778</v>
      </c>
      <c r="EQ318" s="479" t="s">
        <v>601</v>
      </c>
      <c r="ER318" s="215" t="s">
        <v>600</v>
      </c>
      <c r="ES318" s="215" t="s">
        <v>477</v>
      </c>
      <c r="ET318" s="215" t="s">
        <v>483</v>
      </c>
      <c r="EU318" s="215" t="s">
        <v>487</v>
      </c>
      <c r="EV318" s="479" t="s">
        <v>458</v>
      </c>
      <c r="EW318" s="215" t="s">
        <v>603</v>
      </c>
      <c r="EX318" s="215" t="s">
        <v>602</v>
      </c>
      <c r="EY318" s="215" t="s">
        <v>468</v>
      </c>
      <c r="EZ318" s="215" t="s">
        <v>673</v>
      </c>
      <c r="FA318" s="215" t="s">
        <v>484</v>
      </c>
      <c r="FB318" s="215" t="s">
        <v>486</v>
      </c>
      <c r="FC318" s="479" t="s">
        <v>482</v>
      </c>
      <c r="FD318" s="215" t="s">
        <v>223</v>
      </c>
      <c r="FE318" s="215" t="s">
        <v>47</v>
      </c>
      <c r="FF318" s="215" t="s">
        <v>485</v>
      </c>
      <c r="FG318" s="215" t="s">
        <v>604</v>
      </c>
      <c r="FI318" s="490" t="s">
        <v>497</v>
      </c>
      <c r="FL318" s="668" t="s">
        <v>876</v>
      </c>
      <c r="FM318" s="668" t="s">
        <v>875</v>
      </c>
    </row>
    <row r="320" spans="5:169">
      <c r="E320" s="59" t="s">
        <v>913</v>
      </c>
      <c r="K320" s="59"/>
      <c r="L320" s="59" t="s">
        <v>914</v>
      </c>
    </row>
    <row r="321" spans="5:20">
      <c r="F321" s="59" t="s">
        <v>915</v>
      </c>
      <c r="G321" s="59" t="s">
        <v>916</v>
      </c>
      <c r="M321" s="59" t="s">
        <v>917</v>
      </c>
      <c r="N321" s="59" t="s">
        <v>918</v>
      </c>
    </row>
    <row r="322" spans="5:20">
      <c r="F322">
        <f>'Design Converter'!E73</f>
        <v>0.02</v>
      </c>
      <c r="G322" s="754">
        <f>F322*Vout</f>
        <v>0.6</v>
      </c>
      <c r="M322">
        <f>'Design Converter'!L73</f>
        <v>0.01</v>
      </c>
      <c r="N322" s="754">
        <f>M322*Vout2</f>
        <v>0.06</v>
      </c>
      <c r="T322">
        <f>Vout*F316+Vout2*G316</f>
        <v>125.1</v>
      </c>
    </row>
    <row r="323" spans="5:20">
      <c r="E323" t="s">
        <v>907</v>
      </c>
      <c r="L323" t="s">
        <v>907</v>
      </c>
    </row>
    <row r="324" spans="5:20">
      <c r="F324" t="s">
        <v>908</v>
      </c>
      <c r="G324" t="s">
        <v>909</v>
      </c>
      <c r="H324" t="s">
        <v>910</v>
      </c>
      <c r="I324" s="59" t="s">
        <v>660</v>
      </c>
      <c r="M324" t="s">
        <v>908</v>
      </c>
      <c r="N324" t="s">
        <v>909</v>
      </c>
      <c r="O324" t="s">
        <v>910</v>
      </c>
      <c r="P324" s="59" t="s">
        <v>660</v>
      </c>
    </row>
    <row r="325" spans="5:20">
      <c r="F325" s="755">
        <v>1.9999999999999999E-7</v>
      </c>
      <c r="G325">
        <f>VIN_max</f>
        <v>48</v>
      </c>
      <c r="H325">
        <f>15000</f>
        <v>15000</v>
      </c>
      <c r="I325">
        <f>L*0.9</f>
        <v>4.2300000000000002E-6</v>
      </c>
      <c r="M325" s="755">
        <v>1.9999999999999999E-7</v>
      </c>
      <c r="N325">
        <f>VIN_max</f>
        <v>48</v>
      </c>
      <c r="O325">
        <f>15000</f>
        <v>15000</v>
      </c>
      <c r="P325">
        <f>L*0.9</f>
        <v>4.2300000000000002E-6</v>
      </c>
    </row>
    <row r="326" spans="5:20">
      <c r="G326" s="59" t="s">
        <v>911</v>
      </c>
      <c r="N326" s="59" t="s">
        <v>911</v>
      </c>
    </row>
    <row r="327" spans="5:20">
      <c r="G327" s="754">
        <f>0.5*(G325/I325*F325)^2*H325*I325</f>
        <v>0.16340425531914887</v>
      </c>
      <c r="N327" s="754">
        <f>0.5*(N325/P325*M325)^2*O325*P325</f>
        <v>0.16340425531914887</v>
      </c>
    </row>
    <row r="328" spans="5:20">
      <c r="E328" s="59" t="s">
        <v>919</v>
      </c>
      <c r="K328" s="59"/>
      <c r="L328" s="59" t="s">
        <v>920</v>
      </c>
    </row>
    <row r="329" spans="5:20">
      <c r="G329" t="str">
        <f>IF(G322+N322&lt;G327, "Yes", IF(G322&lt;G327, "Yes", "No"))</f>
        <v>No</v>
      </c>
      <c r="H329">
        <f>(Vout*1.05)^2/(G327-G322)</f>
        <v>-2272.6973684210525</v>
      </c>
      <c r="N329" t="str">
        <f>IF(G322+N322&lt;N327, "Yes", IF(N322&lt;N327, "Yes", "No"))</f>
        <v>Yes</v>
      </c>
      <c r="O329">
        <f>(Vout2*1.05)^2/(N327-N322)</f>
        <v>383.83333333333366</v>
      </c>
    </row>
  </sheetData>
  <sheetProtection algorithmName="SHA-512" hashValue="sWvrwAQ3B69gBZjIlK616dakgLhTsTT5OB5GCuVhR+7fa79j1lcPhdIKbEQae0OtQnbnhpknsUpx7HSinTgeoQ==" saltValue="DDZfNCxQKD8Tiuv1vFkeMA==" spinCount="100000" sheet="1" selectLockedCells="1" selectUnlockedCells="1"/>
  <mergeCells count="2">
    <mergeCell ref="N3:Z3"/>
    <mergeCell ref="CR3:DD3"/>
  </mergeCells>
  <phoneticPr fontId="83"/>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C3:S106"/>
  <sheetViews>
    <sheetView workbookViewId="0">
      <selection activeCell="V6" sqref="V6"/>
    </sheetView>
  </sheetViews>
  <sheetFormatPr defaultRowHeight="13.2"/>
  <cols>
    <col min="3" max="3" width="7.77734375" customWidth="1"/>
    <col min="5" max="5" width="10.21875" customWidth="1"/>
    <col min="7" max="7" width="10.77734375" customWidth="1"/>
    <col min="8" max="8" width="9.77734375" customWidth="1"/>
    <col min="9" max="9" width="9.5546875" customWidth="1"/>
    <col min="10" max="10" width="8.77734375" customWidth="1"/>
    <col min="11" max="11" width="9.77734375" customWidth="1"/>
    <col min="12" max="12" width="10.77734375" customWidth="1"/>
    <col min="13" max="13" width="15" customWidth="1"/>
    <col min="14" max="14" width="11.44140625" customWidth="1"/>
    <col min="15" max="16" width="11" customWidth="1"/>
    <col min="17" max="18" width="11.21875" customWidth="1"/>
    <col min="19" max="19" width="5.21875" customWidth="1"/>
  </cols>
  <sheetData>
    <row r="3" spans="3:19" ht="13.8" thickBot="1"/>
    <row r="4" spans="3:19">
      <c r="C4" s="191" t="s">
        <v>421</v>
      </c>
      <c r="D4" s="192"/>
      <c r="E4" s="193"/>
      <c r="F4" s="814" t="s">
        <v>189</v>
      </c>
      <c r="G4" s="815"/>
      <c r="H4" s="814"/>
      <c r="I4" s="814"/>
      <c r="J4" s="814"/>
      <c r="K4" s="815"/>
      <c r="L4" s="815"/>
      <c r="M4" s="815"/>
      <c r="N4" s="814"/>
      <c r="O4" s="816"/>
      <c r="P4" s="461"/>
      <c r="Q4" s="461"/>
      <c r="R4" s="461"/>
      <c r="S4" s="461"/>
    </row>
    <row r="5" spans="3:19" ht="45" customHeight="1" thickBot="1">
      <c r="C5" s="211" t="s">
        <v>25</v>
      </c>
      <c r="D5" s="212" t="s">
        <v>412</v>
      </c>
      <c r="E5" s="213" t="s">
        <v>418</v>
      </c>
      <c r="F5" s="214" t="s">
        <v>48</v>
      </c>
      <c r="G5" s="455" t="s">
        <v>402</v>
      </c>
      <c r="H5" s="455" t="s">
        <v>403</v>
      </c>
      <c r="I5" s="455" t="s">
        <v>413</v>
      </c>
      <c r="J5" s="455" t="s">
        <v>414</v>
      </c>
      <c r="K5" s="455" t="s">
        <v>415</v>
      </c>
      <c r="L5" s="455" t="s">
        <v>416</v>
      </c>
      <c r="M5" s="216" t="s">
        <v>419</v>
      </c>
      <c r="N5" s="215" t="s">
        <v>420</v>
      </c>
      <c r="O5" s="215" t="s">
        <v>417</v>
      </c>
      <c r="P5" s="215" t="s">
        <v>422</v>
      </c>
      <c r="Q5" s="215" t="s">
        <v>423</v>
      </c>
      <c r="R5" s="215" t="s">
        <v>424</v>
      </c>
      <c r="S5" s="215"/>
    </row>
    <row r="6" spans="3:19">
      <c r="C6" s="147">
        <v>0.1</v>
      </c>
      <c r="D6" s="457">
        <f>VIN_min</f>
        <v>20</v>
      </c>
      <c r="E6" s="379">
        <f t="shared" ref="E6:E37" si="0">(Vout+Vfwd1)*Nps</f>
        <v>30.4</v>
      </c>
      <c r="F6" s="188">
        <f t="shared" ref="F6:F37" si="1">(Vout+Vfwd1)*Nps/((Vout+Vfwd1)*Nps+D6)</f>
        <v>0.60317460317460314</v>
      </c>
      <c r="G6" s="149">
        <f t="shared" ref="G6:G37" si="2">F6*D6*Isw_max*0.5*Efficiency</f>
        <v>182.7801827801828</v>
      </c>
      <c r="H6" s="188">
        <f t="shared" ref="H6:H37" si="3">G6/Vout</f>
        <v>6.0926727593394263</v>
      </c>
      <c r="I6" s="379">
        <f t="shared" ref="I6:I37" si="4">(Vout+Vfwd1)*Nps+D6</f>
        <v>50.4</v>
      </c>
      <c r="J6" s="149">
        <f t="shared" ref="J6:J37" si="5">MIN(2*Vout*Iout/(Efficiency*D6*F6), 1.35)</f>
        <v>1.35</v>
      </c>
      <c r="K6" s="149">
        <f t="shared" ref="K6:K37" si="6">L*J6/D6*1000000</f>
        <v>0.31725000000000003</v>
      </c>
      <c r="L6" s="149">
        <f t="shared" ref="L6:L37" si="7">L*J6/((Vout+Vfwd1)*Nps)*1000000</f>
        <v>0.2087171052631579</v>
      </c>
      <c r="M6" s="379">
        <f>MIN(1/(K6+L6)*1000, 350)</f>
        <v>350</v>
      </c>
      <c r="N6" s="172">
        <f t="shared" ref="N6:N37" si="8">IF(1/((350000*L)*(1/D6+1/E6))&gt;Isw_min, 350, 0.001/((Isw_min*L)*(1/D6+1/E6)))</f>
        <v>350</v>
      </c>
      <c r="O6" s="188">
        <f t="shared" ref="O6:O37" si="9">1/((N6*1000*L)*(1/D6+1/E6))</f>
        <v>7.3334298258310406</v>
      </c>
      <c r="P6" s="150">
        <f t="shared" ref="P6:P37" si="10">L*O6/E6*1000000</f>
        <v>1.1337868480725624</v>
      </c>
      <c r="Q6" s="150">
        <f t="shared" ref="Q6:Q37" si="11">0.5*P6*O6*Nps*N6/1000</f>
        <v>1.4550456003633017</v>
      </c>
      <c r="R6" s="150">
        <f t="shared" ref="R6:R37" si="12">L*Isw_min/E6*1000000</f>
        <v>0.93700159489633172</v>
      </c>
    </row>
    <row r="7" spans="3:19">
      <c r="C7" s="147">
        <v>1</v>
      </c>
      <c r="D7" s="5">
        <f t="shared" ref="D7:D38" si="13">C7/100*(VIN_max-VIN_min)+VIN_min</f>
        <v>20.28</v>
      </c>
      <c r="E7" s="379">
        <f t="shared" si="0"/>
        <v>30.4</v>
      </c>
      <c r="F7" s="188">
        <f t="shared" si="1"/>
        <v>0.5998421468034727</v>
      </c>
      <c r="G7" s="149">
        <f t="shared" si="2"/>
        <v>184.31513238143071</v>
      </c>
      <c r="H7" s="188">
        <f t="shared" si="3"/>
        <v>6.1438377460476907</v>
      </c>
      <c r="I7" s="379">
        <f t="shared" si="4"/>
        <v>50.68</v>
      </c>
      <c r="J7" s="149">
        <f t="shared" si="5"/>
        <v>1.35</v>
      </c>
      <c r="K7" s="149">
        <f t="shared" si="6"/>
        <v>0.31286982248520712</v>
      </c>
      <c r="L7" s="149">
        <f t="shared" si="7"/>
        <v>0.2087171052631579</v>
      </c>
      <c r="M7" s="379">
        <f t="shared" ref="M7:M70" si="14">MIN(1/(K7+L7)*1000, 350)</f>
        <v>350</v>
      </c>
      <c r="N7" s="172">
        <f t="shared" si="8"/>
        <v>350</v>
      </c>
      <c r="O7" s="188">
        <f t="shared" si="9"/>
        <v>7.3950144298932692</v>
      </c>
      <c r="P7" s="150">
        <f t="shared" si="10"/>
        <v>1.1433081519900776</v>
      </c>
      <c r="Q7" s="150">
        <f t="shared" si="11"/>
        <v>1.4795865493117153</v>
      </c>
      <c r="R7" s="150">
        <f t="shared" si="12"/>
        <v>0.93700159489633172</v>
      </c>
    </row>
    <row r="8" spans="3:19">
      <c r="C8" s="147">
        <v>2</v>
      </c>
      <c r="D8" s="5">
        <f t="shared" si="13"/>
        <v>20.56</v>
      </c>
      <c r="E8" s="379">
        <f t="shared" si="0"/>
        <v>30.4</v>
      </c>
      <c r="F8" s="188">
        <f t="shared" si="1"/>
        <v>0.59654631083202514</v>
      </c>
      <c r="G8" s="149">
        <f t="shared" si="2"/>
        <v>185.83321440464297</v>
      </c>
      <c r="H8" s="188">
        <f t="shared" si="3"/>
        <v>6.1944404801547659</v>
      </c>
      <c r="I8" s="379">
        <f t="shared" si="4"/>
        <v>50.959999999999994</v>
      </c>
      <c r="J8" s="149">
        <f t="shared" si="5"/>
        <v>1.35</v>
      </c>
      <c r="K8" s="149">
        <f t="shared" si="6"/>
        <v>0.30860894941634243</v>
      </c>
      <c r="L8" s="149">
        <f t="shared" si="7"/>
        <v>0.2087171052631579</v>
      </c>
      <c r="M8" s="379">
        <f t="shared" si="14"/>
        <v>350</v>
      </c>
      <c r="N8" s="172">
        <f t="shared" si="8"/>
        <v>350</v>
      </c>
      <c r="O8" s="188">
        <f t="shared" si="9"/>
        <v>7.455922280064704</v>
      </c>
      <c r="P8" s="150">
        <f t="shared" si="10"/>
        <v>1.152724826194214</v>
      </c>
      <c r="Q8" s="150">
        <f t="shared" si="11"/>
        <v>1.5040596750209019</v>
      </c>
      <c r="R8" s="150">
        <f t="shared" si="12"/>
        <v>0.93700159489633172</v>
      </c>
    </row>
    <row r="9" spans="3:19">
      <c r="C9" s="147">
        <v>3</v>
      </c>
      <c r="D9" s="5">
        <f t="shared" si="13"/>
        <v>20.84</v>
      </c>
      <c r="E9" s="379">
        <f t="shared" si="0"/>
        <v>30.4</v>
      </c>
      <c r="F9" s="188">
        <f t="shared" si="1"/>
        <v>0.59328649492583918</v>
      </c>
      <c r="G9" s="149">
        <f t="shared" si="2"/>
        <v>187.33470536749226</v>
      </c>
      <c r="H9" s="188">
        <f t="shared" si="3"/>
        <v>6.2444901789164087</v>
      </c>
      <c r="I9" s="379">
        <f t="shared" si="4"/>
        <v>51.239999999999995</v>
      </c>
      <c r="J9" s="149">
        <f t="shared" si="5"/>
        <v>1.35</v>
      </c>
      <c r="K9" s="149">
        <f t="shared" si="6"/>
        <v>0.30446257197696741</v>
      </c>
      <c r="L9" s="149">
        <f t="shared" si="7"/>
        <v>0.2087171052631579</v>
      </c>
      <c r="M9" s="379">
        <f t="shared" si="14"/>
        <v>350</v>
      </c>
      <c r="N9" s="172">
        <f t="shared" si="8"/>
        <v>350</v>
      </c>
      <c r="O9" s="188">
        <f t="shared" si="9"/>
        <v>7.5161644706714217</v>
      </c>
      <c r="P9" s="150">
        <f t="shared" si="10"/>
        <v>1.1620385859261737</v>
      </c>
      <c r="Q9" s="150">
        <f t="shared" si="11"/>
        <v>1.5284627982903241</v>
      </c>
      <c r="R9" s="150">
        <f t="shared" si="12"/>
        <v>0.93700159489633172</v>
      </c>
    </row>
    <row r="10" spans="3:19">
      <c r="C10" s="147">
        <v>4</v>
      </c>
      <c r="D10" s="5">
        <f t="shared" si="13"/>
        <v>21.12</v>
      </c>
      <c r="E10" s="379">
        <f t="shared" si="0"/>
        <v>30.4</v>
      </c>
      <c r="F10" s="188">
        <f t="shared" si="1"/>
        <v>0.59006211180124224</v>
      </c>
      <c r="G10" s="149">
        <f t="shared" si="2"/>
        <v>188.81987577639754</v>
      </c>
      <c r="H10" s="188">
        <f t="shared" si="3"/>
        <v>6.2939958592132514</v>
      </c>
      <c r="I10" s="379">
        <f t="shared" si="4"/>
        <v>51.519999999999996</v>
      </c>
      <c r="J10" s="149">
        <f t="shared" si="5"/>
        <v>1.35</v>
      </c>
      <c r="K10" s="149">
        <f t="shared" si="6"/>
        <v>0.30042613636363635</v>
      </c>
      <c r="L10" s="149">
        <f t="shared" si="7"/>
        <v>0.2087171052631579</v>
      </c>
      <c r="M10" s="379">
        <f t="shared" si="14"/>
        <v>350</v>
      </c>
      <c r="N10" s="172">
        <f t="shared" si="8"/>
        <v>350</v>
      </c>
      <c r="O10" s="188">
        <f t="shared" si="9"/>
        <v>7.5757518548585017</v>
      </c>
      <c r="P10" s="150">
        <f t="shared" si="10"/>
        <v>1.1712511091393079</v>
      </c>
      <c r="Q10" s="150">
        <f t="shared" si="11"/>
        <v>1.552793858449258</v>
      </c>
      <c r="R10" s="150">
        <f t="shared" si="12"/>
        <v>0.93700159489633172</v>
      </c>
    </row>
    <row r="11" spans="3:19">
      <c r="C11" s="147">
        <v>5</v>
      </c>
      <c r="D11" s="5">
        <f t="shared" si="13"/>
        <v>21.4</v>
      </c>
      <c r="E11" s="379">
        <f t="shared" si="0"/>
        <v>30.4</v>
      </c>
      <c r="F11" s="188">
        <f t="shared" si="1"/>
        <v>0.58687258687258692</v>
      </c>
      <c r="G11" s="149">
        <f t="shared" si="2"/>
        <v>190.28899028899031</v>
      </c>
      <c r="H11" s="188">
        <f t="shared" si="3"/>
        <v>6.3429663429663439</v>
      </c>
      <c r="I11" s="379">
        <f t="shared" si="4"/>
        <v>51.8</v>
      </c>
      <c r="J11" s="149">
        <f t="shared" si="5"/>
        <v>1.35</v>
      </c>
      <c r="K11" s="149">
        <f t="shared" si="6"/>
        <v>0.2964953271028038</v>
      </c>
      <c r="L11" s="149">
        <f t="shared" si="7"/>
        <v>0.2087171052631579</v>
      </c>
      <c r="M11" s="379">
        <f t="shared" si="14"/>
        <v>350</v>
      </c>
      <c r="N11" s="172">
        <f t="shared" si="8"/>
        <v>350</v>
      </c>
      <c r="O11" s="188">
        <f t="shared" si="9"/>
        <v>7.6346950511084248</v>
      </c>
      <c r="P11" s="150">
        <f t="shared" si="10"/>
        <v>1.1803640375068947</v>
      </c>
      <c r="Q11" s="150">
        <f t="shared" si="11"/>
        <v>1.5770509082405435</v>
      </c>
      <c r="R11" s="150">
        <f t="shared" si="12"/>
        <v>0.93700159489633172</v>
      </c>
    </row>
    <row r="12" spans="3:19">
      <c r="C12" s="147">
        <v>6</v>
      </c>
      <c r="D12" s="5">
        <f t="shared" si="13"/>
        <v>21.68</v>
      </c>
      <c r="E12" s="379">
        <f t="shared" si="0"/>
        <v>30.4</v>
      </c>
      <c r="F12" s="188">
        <f t="shared" si="1"/>
        <v>0.58371735791090629</v>
      </c>
      <c r="G12" s="149">
        <f t="shared" si="2"/>
        <v>191.74230787134013</v>
      </c>
      <c r="H12" s="188">
        <f t="shared" si="3"/>
        <v>6.3914102623780042</v>
      </c>
      <c r="I12" s="379">
        <f t="shared" si="4"/>
        <v>52.08</v>
      </c>
      <c r="J12" s="149">
        <f t="shared" si="5"/>
        <v>1.35</v>
      </c>
      <c r="K12" s="149">
        <f t="shared" si="6"/>
        <v>0.29266605166051662</v>
      </c>
      <c r="L12" s="149">
        <f t="shared" si="7"/>
        <v>0.2087171052631579</v>
      </c>
      <c r="M12" s="379">
        <f t="shared" si="14"/>
        <v>350</v>
      </c>
      <c r="N12" s="172">
        <f t="shared" si="8"/>
        <v>350</v>
      </c>
      <c r="O12" s="188">
        <f t="shared" si="9"/>
        <v>7.6930044495492087</v>
      </c>
      <c r="P12" s="150">
        <f t="shared" si="10"/>
        <v>1.1893789773974108</v>
      </c>
      <c r="Q12" s="150">
        <f t="shared" si="11"/>
        <v>1.6012321089307495</v>
      </c>
      <c r="R12" s="150">
        <f t="shared" si="12"/>
        <v>0.93700159489633172</v>
      </c>
    </row>
    <row r="13" spans="3:19">
      <c r="C13" s="147">
        <v>7</v>
      </c>
      <c r="D13" s="5">
        <f t="shared" si="13"/>
        <v>21.96</v>
      </c>
      <c r="E13" s="379">
        <f t="shared" si="0"/>
        <v>30.4</v>
      </c>
      <c r="F13" s="188">
        <f t="shared" si="1"/>
        <v>0.5805958747135217</v>
      </c>
      <c r="G13" s="149">
        <f t="shared" si="2"/>
        <v>193.18008195013542</v>
      </c>
      <c r="H13" s="188">
        <f t="shared" si="3"/>
        <v>6.4393360650045137</v>
      </c>
      <c r="I13" s="379">
        <f t="shared" si="4"/>
        <v>52.36</v>
      </c>
      <c r="J13" s="149">
        <f t="shared" si="5"/>
        <v>1.35</v>
      </c>
      <c r="K13" s="149">
        <f t="shared" si="6"/>
        <v>0.28893442622950816</v>
      </c>
      <c r="L13" s="149">
        <f t="shared" si="7"/>
        <v>0.2087171052631579</v>
      </c>
      <c r="M13" s="379">
        <f t="shared" si="14"/>
        <v>350</v>
      </c>
      <c r="N13" s="172">
        <f t="shared" si="8"/>
        <v>350</v>
      </c>
      <c r="O13" s="188">
        <f t="shared" si="9"/>
        <v>7.7506902180601447</v>
      </c>
      <c r="P13" s="150">
        <f t="shared" si="10"/>
        <v>1.1982975008185095</v>
      </c>
      <c r="Q13" s="150">
        <f t="shared" si="11"/>
        <v>1.6253357256359893</v>
      </c>
      <c r="R13" s="150">
        <f t="shared" si="12"/>
        <v>0.93700159489633172</v>
      </c>
    </row>
    <row r="14" spans="3:19" s="59" customFormat="1">
      <c r="C14" s="147">
        <v>8</v>
      </c>
      <c r="D14" s="167">
        <f t="shared" si="13"/>
        <v>22.240000000000002</v>
      </c>
      <c r="E14" s="379">
        <f t="shared" si="0"/>
        <v>30.4</v>
      </c>
      <c r="F14" s="188">
        <f t="shared" si="1"/>
        <v>0.57750759878419444</v>
      </c>
      <c r="G14" s="149">
        <f t="shared" si="2"/>
        <v>194.60256056000736</v>
      </c>
      <c r="H14" s="188">
        <f t="shared" si="3"/>
        <v>6.4867520186669116</v>
      </c>
      <c r="I14" s="379">
        <f t="shared" si="4"/>
        <v>52.64</v>
      </c>
      <c r="J14" s="149">
        <f t="shared" si="5"/>
        <v>1.35</v>
      </c>
      <c r="K14" s="149">
        <f t="shared" si="6"/>
        <v>0.28529676258992809</v>
      </c>
      <c r="L14" s="149">
        <f t="shared" si="7"/>
        <v>0.2087171052631579</v>
      </c>
      <c r="M14" s="379">
        <f t="shared" si="14"/>
        <v>350</v>
      </c>
      <c r="N14" s="172">
        <f t="shared" si="8"/>
        <v>350</v>
      </c>
      <c r="O14" s="188">
        <f t="shared" si="9"/>
        <v>7.8077623081826681</v>
      </c>
      <c r="P14" s="150">
        <f t="shared" si="10"/>
        <v>1.2071211463308731</v>
      </c>
      <c r="Q14" s="462">
        <f t="shared" si="11"/>
        <v>1.6493601228531782</v>
      </c>
      <c r="R14" s="150">
        <f t="shared" si="12"/>
        <v>0.93700159489633172</v>
      </c>
    </row>
    <row r="15" spans="3:19">
      <c r="C15" s="147">
        <v>9</v>
      </c>
      <c r="D15" s="5">
        <f t="shared" si="13"/>
        <v>22.52</v>
      </c>
      <c r="E15" s="379">
        <f t="shared" si="0"/>
        <v>30.4</v>
      </c>
      <c r="F15" s="188">
        <f t="shared" si="1"/>
        <v>0.57445200302343158</v>
      </c>
      <c r="G15" s="149">
        <f t="shared" si="2"/>
        <v>196.00998648617696</v>
      </c>
      <c r="H15" s="188">
        <f t="shared" si="3"/>
        <v>6.5336662162058987</v>
      </c>
      <c r="I15" s="379">
        <f t="shared" si="4"/>
        <v>52.92</v>
      </c>
      <c r="J15" s="149">
        <f t="shared" si="5"/>
        <v>1.35</v>
      </c>
      <c r="K15" s="149">
        <f t="shared" si="6"/>
        <v>0.28174955595026641</v>
      </c>
      <c r="L15" s="149">
        <f t="shared" si="7"/>
        <v>0.2087171052631579</v>
      </c>
      <c r="M15" s="379">
        <f t="shared" si="14"/>
        <v>350</v>
      </c>
      <c r="N15" s="172">
        <f t="shared" si="8"/>
        <v>350</v>
      </c>
      <c r="O15" s="188">
        <f t="shared" si="9"/>
        <v>7.8642304608435758</v>
      </c>
      <c r="P15" s="150">
        <f t="shared" si="10"/>
        <v>1.2158514199330528</v>
      </c>
      <c r="Q15" s="150">
        <f t="shared" si="11"/>
        <v>1.67330376018705</v>
      </c>
      <c r="R15" s="150">
        <f t="shared" si="12"/>
        <v>0.93700159489633172</v>
      </c>
    </row>
    <row r="16" spans="3:19">
      <c r="C16" s="147">
        <v>10</v>
      </c>
      <c r="D16" s="5">
        <f t="shared" si="13"/>
        <v>22.8</v>
      </c>
      <c r="E16" s="379">
        <f t="shared" si="0"/>
        <v>30.4</v>
      </c>
      <c r="F16" s="188">
        <f t="shared" si="1"/>
        <v>0.5714285714285714</v>
      </c>
      <c r="G16" s="149">
        <f t="shared" si="2"/>
        <v>197.40259740259742</v>
      </c>
      <c r="H16" s="188">
        <f t="shared" si="3"/>
        <v>6.5800865800865811</v>
      </c>
      <c r="I16" s="379">
        <f t="shared" si="4"/>
        <v>53.2</v>
      </c>
      <c r="J16" s="149">
        <f t="shared" si="5"/>
        <v>1.35</v>
      </c>
      <c r="K16" s="149">
        <f t="shared" si="6"/>
        <v>0.27828947368421053</v>
      </c>
      <c r="L16" s="149">
        <f t="shared" si="7"/>
        <v>0.2087171052631579</v>
      </c>
      <c r="M16" s="379">
        <f t="shared" si="14"/>
        <v>350</v>
      </c>
      <c r="N16" s="172">
        <f t="shared" si="8"/>
        <v>350</v>
      </c>
      <c r="O16" s="188">
        <f t="shared" si="9"/>
        <v>7.9201042118975273</v>
      </c>
      <c r="P16" s="150">
        <f t="shared" si="10"/>
        <v>1.2244897959183678</v>
      </c>
      <c r="Q16" s="150">
        <f t="shared" si="11"/>
        <v>1.6971651882637566</v>
      </c>
      <c r="R16" s="150">
        <f t="shared" si="12"/>
        <v>0.93700159489633172</v>
      </c>
    </row>
    <row r="17" spans="3:18">
      <c r="C17" s="147">
        <v>11</v>
      </c>
      <c r="D17" s="5">
        <f t="shared" si="13"/>
        <v>23.08</v>
      </c>
      <c r="E17" s="379">
        <f t="shared" si="0"/>
        <v>30.4</v>
      </c>
      <c r="F17" s="188">
        <f t="shared" si="1"/>
        <v>0.56843679880329101</v>
      </c>
      <c r="G17" s="149">
        <f t="shared" si="2"/>
        <v>198.78062600575691</v>
      </c>
      <c r="H17" s="188">
        <f t="shared" si="3"/>
        <v>6.6260208668585641</v>
      </c>
      <c r="I17" s="379">
        <f t="shared" si="4"/>
        <v>53.48</v>
      </c>
      <c r="J17" s="149">
        <f t="shared" si="5"/>
        <v>1.35</v>
      </c>
      <c r="K17" s="149">
        <f t="shared" si="6"/>
        <v>0.27491334488734842</v>
      </c>
      <c r="L17" s="149">
        <f t="shared" si="7"/>
        <v>0.2087171052631579</v>
      </c>
      <c r="M17" s="379">
        <f t="shared" si="14"/>
        <v>350</v>
      </c>
      <c r="N17" s="172">
        <f t="shared" si="8"/>
        <v>350</v>
      </c>
      <c r="O17" s="188">
        <f t="shared" si="9"/>
        <v>7.9753928974954134</v>
      </c>
      <c r="P17" s="150">
        <f t="shared" si="10"/>
        <v>1.2330377177048828</v>
      </c>
      <c r="Q17" s="150">
        <f t="shared" si="11"/>
        <v>1.7209430448223084</v>
      </c>
      <c r="R17" s="150">
        <f t="shared" si="12"/>
        <v>0.93700159489633172</v>
      </c>
    </row>
    <row r="18" spans="3:18">
      <c r="C18" s="147">
        <v>12</v>
      </c>
      <c r="D18" s="5">
        <f t="shared" si="13"/>
        <v>23.36</v>
      </c>
      <c r="E18" s="379">
        <f t="shared" si="0"/>
        <v>30.4</v>
      </c>
      <c r="F18" s="188">
        <f t="shared" si="1"/>
        <v>0.56547619047619047</v>
      </c>
      <c r="G18" s="149">
        <f t="shared" si="2"/>
        <v>200.14430014430013</v>
      </c>
      <c r="H18" s="188">
        <f t="shared" si="3"/>
        <v>6.6714766714766709</v>
      </c>
      <c r="I18" s="379">
        <f t="shared" si="4"/>
        <v>53.76</v>
      </c>
      <c r="J18" s="149">
        <f t="shared" si="5"/>
        <v>1.35</v>
      </c>
      <c r="K18" s="149">
        <f t="shared" si="6"/>
        <v>0.27161815068493156</v>
      </c>
      <c r="L18" s="149">
        <f t="shared" si="7"/>
        <v>0.2087171052631579</v>
      </c>
      <c r="M18" s="379">
        <f t="shared" si="14"/>
        <v>350</v>
      </c>
      <c r="N18" s="172">
        <f t="shared" si="8"/>
        <v>350</v>
      </c>
      <c r="O18" s="188">
        <f t="shared" si="9"/>
        <v>8.0301056592849918</v>
      </c>
      <c r="P18" s="150">
        <f t="shared" si="10"/>
        <v>1.2414965986394559</v>
      </c>
      <c r="Q18" s="150">
        <f t="shared" si="11"/>
        <v>1.7446360509756087</v>
      </c>
      <c r="R18" s="150">
        <f t="shared" si="12"/>
        <v>0.93700159489633172</v>
      </c>
    </row>
    <row r="19" spans="3:18">
      <c r="C19" s="147">
        <v>13</v>
      </c>
      <c r="D19" s="5">
        <f t="shared" si="13"/>
        <v>23.64</v>
      </c>
      <c r="E19" s="379">
        <f t="shared" si="0"/>
        <v>30.4</v>
      </c>
      <c r="F19" s="188">
        <f t="shared" si="1"/>
        <v>0.5625462620281273</v>
      </c>
      <c r="G19" s="149">
        <f t="shared" si="2"/>
        <v>201.49384294462016</v>
      </c>
      <c r="H19" s="188">
        <f t="shared" si="3"/>
        <v>6.7164614314873381</v>
      </c>
      <c r="I19" s="379">
        <f t="shared" si="4"/>
        <v>54.04</v>
      </c>
      <c r="J19" s="149">
        <f t="shared" si="5"/>
        <v>1.35</v>
      </c>
      <c r="K19" s="149">
        <f t="shared" si="6"/>
        <v>0.26840101522842641</v>
      </c>
      <c r="L19" s="149">
        <f t="shared" si="7"/>
        <v>0.2087171052631579</v>
      </c>
      <c r="M19" s="379">
        <f t="shared" si="14"/>
        <v>350</v>
      </c>
      <c r="N19" s="172">
        <f t="shared" si="8"/>
        <v>350</v>
      </c>
      <c r="O19" s="188">
        <f t="shared" si="9"/>
        <v>8.0842514494498054</v>
      </c>
      <c r="P19" s="150">
        <f t="shared" si="10"/>
        <v>1.249867822776779</v>
      </c>
      <c r="Q19" s="150">
        <f t="shared" si="11"/>
        <v>1.7682430076331734</v>
      </c>
      <c r="R19" s="150">
        <f t="shared" si="12"/>
        <v>0.93700159489633172</v>
      </c>
    </row>
    <row r="20" spans="3:18">
      <c r="C20" s="147">
        <v>14</v>
      </c>
      <c r="D20" s="5">
        <f t="shared" si="13"/>
        <v>23.92</v>
      </c>
      <c r="E20" s="379">
        <f t="shared" si="0"/>
        <v>30.4</v>
      </c>
      <c r="F20" s="188">
        <f t="shared" si="1"/>
        <v>0.55964653902798234</v>
      </c>
      <c r="G20" s="149">
        <f t="shared" si="2"/>
        <v>202.82947293256572</v>
      </c>
      <c r="H20" s="188">
        <f t="shared" si="3"/>
        <v>6.760982431085524</v>
      </c>
      <c r="I20" s="379">
        <f t="shared" si="4"/>
        <v>54.32</v>
      </c>
      <c r="J20" s="149">
        <f t="shared" si="5"/>
        <v>1.35</v>
      </c>
      <c r="K20" s="149">
        <f t="shared" si="6"/>
        <v>0.26525919732441472</v>
      </c>
      <c r="L20" s="149">
        <f t="shared" si="7"/>
        <v>0.2087171052631579</v>
      </c>
      <c r="M20" s="379">
        <f t="shared" si="14"/>
        <v>350</v>
      </c>
      <c r="N20" s="172">
        <f t="shared" si="8"/>
        <v>350</v>
      </c>
      <c r="O20" s="188">
        <f t="shared" si="9"/>
        <v>8.137839035592302</v>
      </c>
      <c r="P20" s="150">
        <f t="shared" si="10"/>
        <v>1.2581527456343362</v>
      </c>
      <c r="Q20" s="150">
        <f t="shared" si="11"/>
        <v>1.7917627920781283</v>
      </c>
      <c r="R20" s="150">
        <f t="shared" si="12"/>
        <v>0.93700159489633172</v>
      </c>
    </row>
    <row r="21" spans="3:18">
      <c r="C21" s="147">
        <v>15</v>
      </c>
      <c r="D21" s="5">
        <f t="shared" si="13"/>
        <v>24.2</v>
      </c>
      <c r="E21" s="379">
        <f t="shared" si="0"/>
        <v>30.4</v>
      </c>
      <c r="F21" s="188">
        <f t="shared" si="1"/>
        <v>0.5567765567765568</v>
      </c>
      <c r="G21" s="149">
        <f t="shared" si="2"/>
        <v>204.15140415140417</v>
      </c>
      <c r="H21" s="188">
        <f t="shared" si="3"/>
        <v>6.8050468050468051</v>
      </c>
      <c r="I21" s="379">
        <f t="shared" si="4"/>
        <v>54.599999999999994</v>
      </c>
      <c r="J21" s="149">
        <f t="shared" si="5"/>
        <v>1.35</v>
      </c>
      <c r="K21" s="149">
        <f t="shared" si="6"/>
        <v>0.26219008264462812</v>
      </c>
      <c r="L21" s="149">
        <f t="shared" si="7"/>
        <v>0.2087171052631579</v>
      </c>
      <c r="M21" s="379">
        <f t="shared" si="14"/>
        <v>350</v>
      </c>
      <c r="N21" s="172">
        <f t="shared" si="8"/>
        <v>350</v>
      </c>
      <c r="O21" s="188">
        <f t="shared" si="9"/>
        <v>8.1908770054666729</v>
      </c>
      <c r="P21" s="150">
        <f t="shared" si="10"/>
        <v>1.2663526949241237</v>
      </c>
      <c r="Q21" s="150">
        <f t="shared" si="11"/>
        <v>1.8151943546913327</v>
      </c>
      <c r="R21" s="150">
        <f t="shared" si="12"/>
        <v>0.93700159489633172</v>
      </c>
    </row>
    <row r="22" spans="3:18" s="3" customFormat="1">
      <c r="C22" s="235">
        <v>16</v>
      </c>
      <c r="D22" s="458">
        <f t="shared" si="13"/>
        <v>24.48</v>
      </c>
      <c r="E22" s="459">
        <f t="shared" si="0"/>
        <v>30.4</v>
      </c>
      <c r="F22" s="460">
        <f t="shared" si="1"/>
        <v>0.55393586005830908</v>
      </c>
      <c r="G22" s="286">
        <f t="shared" si="2"/>
        <v>205.45984627617281</v>
      </c>
      <c r="H22" s="460">
        <f t="shared" si="3"/>
        <v>6.8486615425390935</v>
      </c>
      <c r="I22" s="459">
        <f t="shared" si="4"/>
        <v>54.879999999999995</v>
      </c>
      <c r="J22" s="149">
        <f t="shared" si="5"/>
        <v>1.35</v>
      </c>
      <c r="K22" s="286">
        <f t="shared" si="6"/>
        <v>0.2591911764705882</v>
      </c>
      <c r="L22" s="286">
        <f t="shared" si="7"/>
        <v>0.2087171052631579</v>
      </c>
      <c r="M22" s="459">
        <f t="shared" si="14"/>
        <v>350</v>
      </c>
      <c r="N22" s="288">
        <f t="shared" si="8"/>
        <v>350</v>
      </c>
      <c r="O22" s="460">
        <f t="shared" si="9"/>
        <v>8.2433737715668105</v>
      </c>
      <c r="P22" s="150">
        <f t="shared" si="10"/>
        <v>1.2744689712619739</v>
      </c>
      <c r="Q22" s="463">
        <f t="shared" si="11"/>
        <v>1.8385367158159212</v>
      </c>
      <c r="R22" s="150">
        <f t="shared" si="12"/>
        <v>0.93700159489633172</v>
      </c>
    </row>
    <row r="23" spans="3:18">
      <c r="C23" s="147">
        <v>17</v>
      </c>
      <c r="D23" s="5">
        <f t="shared" si="13"/>
        <v>24.76</v>
      </c>
      <c r="E23" s="379">
        <f t="shared" si="0"/>
        <v>30.4</v>
      </c>
      <c r="F23" s="188">
        <f t="shared" si="1"/>
        <v>0.55112400290065267</v>
      </c>
      <c r="G23" s="149">
        <f t="shared" si="2"/>
        <v>206.75500472454792</v>
      </c>
      <c r="H23" s="188">
        <f t="shared" si="3"/>
        <v>6.8918334908182635</v>
      </c>
      <c r="I23" s="379">
        <f t="shared" si="4"/>
        <v>55.16</v>
      </c>
      <c r="J23" s="149">
        <f t="shared" si="5"/>
        <v>1.35</v>
      </c>
      <c r="K23" s="149">
        <f t="shared" si="6"/>
        <v>0.25626009693053309</v>
      </c>
      <c r="L23" s="149">
        <f t="shared" si="7"/>
        <v>0.2087171052631579</v>
      </c>
      <c r="M23" s="379">
        <f t="shared" si="14"/>
        <v>350</v>
      </c>
      <c r="N23" s="172">
        <f t="shared" si="8"/>
        <v>350</v>
      </c>
      <c r="O23" s="188">
        <f t="shared" si="9"/>
        <v>8.295337575574564</v>
      </c>
      <c r="P23" s="150">
        <f t="shared" si="10"/>
        <v>1.2825028488552779</v>
      </c>
      <c r="Q23" s="150">
        <f t="shared" si="11"/>
        <v>1.861788962755857</v>
      </c>
      <c r="R23" s="150">
        <f t="shared" si="12"/>
        <v>0.93700159489633172</v>
      </c>
    </row>
    <row r="24" spans="3:18">
      <c r="C24" s="147">
        <v>18</v>
      </c>
      <c r="D24" s="5">
        <f t="shared" si="13"/>
        <v>25.04</v>
      </c>
      <c r="E24" s="379">
        <f t="shared" si="0"/>
        <v>30.4</v>
      </c>
      <c r="F24" s="188">
        <f t="shared" si="1"/>
        <v>0.54834054834054835</v>
      </c>
      <c r="G24" s="149">
        <f t="shared" si="2"/>
        <v>208.0370807643535</v>
      </c>
      <c r="H24" s="188">
        <f t="shared" si="3"/>
        <v>6.9345693588117836</v>
      </c>
      <c r="I24" s="379">
        <f t="shared" si="4"/>
        <v>55.44</v>
      </c>
      <c r="J24" s="149">
        <f t="shared" si="5"/>
        <v>1.35</v>
      </c>
      <c r="K24" s="149">
        <f t="shared" si="6"/>
        <v>0.25339456869009586</v>
      </c>
      <c r="L24" s="149">
        <f t="shared" si="7"/>
        <v>0.2087171052631579</v>
      </c>
      <c r="M24" s="379">
        <f t="shared" si="14"/>
        <v>350</v>
      </c>
      <c r="N24" s="172">
        <f t="shared" si="8"/>
        <v>350</v>
      </c>
      <c r="O24" s="188">
        <f t="shared" si="9"/>
        <v>8.3467764926731505</v>
      </c>
      <c r="P24" s="150">
        <f t="shared" si="10"/>
        <v>1.290455576169862</v>
      </c>
      <c r="Q24" s="150">
        <f t="shared" si="11"/>
        <v>1.8849502469023782</v>
      </c>
      <c r="R24" s="150">
        <f t="shared" si="12"/>
        <v>0.93700159489633172</v>
      </c>
    </row>
    <row r="25" spans="3:18">
      <c r="C25" s="147">
        <v>19</v>
      </c>
      <c r="D25" s="5">
        <f t="shared" si="13"/>
        <v>25.32</v>
      </c>
      <c r="E25" s="379">
        <f t="shared" si="0"/>
        <v>30.4</v>
      </c>
      <c r="F25" s="188">
        <f t="shared" si="1"/>
        <v>0.54558506819813346</v>
      </c>
      <c r="G25" s="149">
        <f t="shared" si="2"/>
        <v>209.3062716178294</v>
      </c>
      <c r="H25" s="188">
        <f t="shared" si="3"/>
        <v>6.9768757205943128</v>
      </c>
      <c r="I25" s="379">
        <f t="shared" si="4"/>
        <v>55.72</v>
      </c>
      <c r="J25" s="149">
        <f t="shared" si="5"/>
        <v>1.35</v>
      </c>
      <c r="K25" s="149">
        <f t="shared" si="6"/>
        <v>0.25059241706161139</v>
      </c>
      <c r="L25" s="149">
        <f t="shared" si="7"/>
        <v>0.2087171052631579</v>
      </c>
      <c r="M25" s="379">
        <f t="shared" si="14"/>
        <v>350</v>
      </c>
      <c r="N25" s="172">
        <f t="shared" si="8"/>
        <v>350</v>
      </c>
      <c r="O25" s="188">
        <f t="shared" si="9"/>
        <v>8.3976984357305415</v>
      </c>
      <c r="P25" s="150">
        <f t="shared" si="10"/>
        <v>1.2983283765767615</v>
      </c>
      <c r="Q25" s="150">
        <f t="shared" si="11"/>
        <v>1.9080197809825676</v>
      </c>
      <c r="R25" s="150">
        <f t="shared" si="12"/>
        <v>0.93700159489633172</v>
      </c>
    </row>
    <row r="26" spans="3:18">
      <c r="C26" s="147">
        <v>20</v>
      </c>
      <c r="D26" s="5">
        <f t="shared" si="13"/>
        <v>25.6</v>
      </c>
      <c r="E26" s="379">
        <f t="shared" si="0"/>
        <v>30.4</v>
      </c>
      <c r="F26" s="188">
        <f t="shared" si="1"/>
        <v>0.54285714285714282</v>
      </c>
      <c r="G26" s="149">
        <f t="shared" si="2"/>
        <v>210.56277056277057</v>
      </c>
      <c r="H26" s="188">
        <f t="shared" si="3"/>
        <v>7.0187590187590185</v>
      </c>
      <c r="I26" s="379">
        <f t="shared" si="4"/>
        <v>56</v>
      </c>
      <c r="J26" s="149">
        <f t="shared" si="5"/>
        <v>1.35</v>
      </c>
      <c r="K26" s="149">
        <f t="shared" si="6"/>
        <v>0.24785156249999998</v>
      </c>
      <c r="L26" s="149">
        <f t="shared" si="7"/>
        <v>0.2087171052631579</v>
      </c>
      <c r="M26" s="379">
        <f t="shared" si="14"/>
        <v>350</v>
      </c>
      <c r="N26" s="172">
        <f t="shared" si="8"/>
        <v>350</v>
      </c>
      <c r="O26" s="188">
        <f t="shared" si="9"/>
        <v>8.4481111593573601</v>
      </c>
      <c r="P26" s="150">
        <f t="shared" si="10"/>
        <v>1.306122448979592</v>
      </c>
      <c r="Q26" s="150">
        <f t="shared" si="11"/>
        <v>1.9309968364245396</v>
      </c>
      <c r="R26" s="150">
        <f t="shared" si="12"/>
        <v>0.93700159489633172</v>
      </c>
    </row>
    <row r="27" spans="3:18">
      <c r="C27" s="147">
        <v>21</v>
      </c>
      <c r="D27" s="5">
        <f t="shared" si="13"/>
        <v>25.88</v>
      </c>
      <c r="E27" s="379">
        <f t="shared" si="0"/>
        <v>30.4</v>
      </c>
      <c r="F27" s="188">
        <f t="shared" si="1"/>
        <v>0.54015636105188336</v>
      </c>
      <c r="G27" s="149">
        <f t="shared" si="2"/>
        <v>211.80676703064759</v>
      </c>
      <c r="H27" s="188">
        <f t="shared" si="3"/>
        <v>7.0602255676882528</v>
      </c>
      <c r="I27" s="379">
        <f t="shared" si="4"/>
        <v>56.28</v>
      </c>
      <c r="J27" s="149">
        <f t="shared" si="5"/>
        <v>1.35</v>
      </c>
      <c r="K27" s="149">
        <f t="shared" si="6"/>
        <v>0.24517001545595055</v>
      </c>
      <c r="L27" s="149">
        <f t="shared" si="7"/>
        <v>0.2087171052631579</v>
      </c>
      <c r="M27" s="379">
        <f t="shared" si="14"/>
        <v>350</v>
      </c>
      <c r="N27" s="172">
        <f t="shared" si="8"/>
        <v>350</v>
      </c>
      <c r="O27" s="188">
        <f t="shared" si="9"/>
        <v>8.4980222638436125</v>
      </c>
      <c r="P27" s="150">
        <f t="shared" si="10"/>
        <v>1.3138389684231901</v>
      </c>
      <c r="Q27" s="150">
        <f t="shared" si="11"/>
        <v>1.9538807408339789</v>
      </c>
      <c r="R27" s="150">
        <f t="shared" si="12"/>
        <v>0.93700159489633172</v>
      </c>
    </row>
    <row r="28" spans="3:18">
      <c r="C28" s="147">
        <v>22</v>
      </c>
      <c r="D28" s="5">
        <f t="shared" si="13"/>
        <v>26.16</v>
      </c>
      <c r="E28" s="379">
        <f t="shared" si="0"/>
        <v>30.4</v>
      </c>
      <c r="F28" s="188">
        <f t="shared" si="1"/>
        <v>0.53748231966053739</v>
      </c>
      <c r="G28" s="149">
        <f t="shared" si="2"/>
        <v>213.038446701813</v>
      </c>
      <c r="H28" s="188">
        <f t="shared" si="3"/>
        <v>7.1012815567271002</v>
      </c>
      <c r="I28" s="379">
        <f t="shared" si="4"/>
        <v>56.56</v>
      </c>
      <c r="J28" s="149">
        <f t="shared" si="5"/>
        <v>1.35</v>
      </c>
      <c r="K28" s="149">
        <f t="shared" si="6"/>
        <v>0.24254587155963303</v>
      </c>
      <c r="L28" s="149">
        <f t="shared" si="7"/>
        <v>0.2087171052631579</v>
      </c>
      <c r="M28" s="379">
        <f t="shared" si="14"/>
        <v>350</v>
      </c>
      <c r="N28" s="172">
        <f t="shared" si="8"/>
        <v>350</v>
      </c>
      <c r="O28" s="188">
        <f t="shared" si="9"/>
        <v>8.5474391989785161</v>
      </c>
      <c r="P28" s="150">
        <f t="shared" si="10"/>
        <v>1.3214790866841786</v>
      </c>
      <c r="Q28" s="150">
        <f t="shared" si="11"/>
        <v>1.9766708755770686</v>
      </c>
      <c r="R28" s="150">
        <f t="shared" si="12"/>
        <v>0.93700159489633172</v>
      </c>
    </row>
    <row r="29" spans="3:18">
      <c r="C29" s="147">
        <v>23</v>
      </c>
      <c r="D29" s="5">
        <f t="shared" si="13"/>
        <v>26.44</v>
      </c>
      <c r="E29" s="379">
        <f t="shared" si="0"/>
        <v>30.4</v>
      </c>
      <c r="F29" s="188">
        <f t="shared" si="1"/>
        <v>0.53483462350457422</v>
      </c>
      <c r="G29" s="149">
        <f t="shared" si="2"/>
        <v>214.2579915978931</v>
      </c>
      <c r="H29" s="188">
        <f t="shared" si="3"/>
        <v>7.1419330532631031</v>
      </c>
      <c r="I29" s="379">
        <f t="shared" si="4"/>
        <v>56.84</v>
      </c>
      <c r="J29" s="149">
        <f t="shared" si="5"/>
        <v>1.35</v>
      </c>
      <c r="K29" s="149">
        <f t="shared" si="6"/>
        <v>0.23997730711043874</v>
      </c>
      <c r="L29" s="149">
        <f t="shared" si="7"/>
        <v>0.2087171052631579</v>
      </c>
      <c r="M29" s="379">
        <f t="shared" si="14"/>
        <v>350</v>
      </c>
      <c r="N29" s="172">
        <f t="shared" si="8"/>
        <v>350</v>
      </c>
      <c r="O29" s="188">
        <f t="shared" si="9"/>
        <v>8.5963692677574119</v>
      </c>
      <c r="P29" s="150">
        <f t="shared" si="10"/>
        <v>1.3290439328440737</v>
      </c>
      <c r="Q29" s="150">
        <f t="shared" si="11"/>
        <v>1.9993666734650424</v>
      </c>
      <c r="R29" s="150">
        <f t="shared" si="12"/>
        <v>0.93700159489633172</v>
      </c>
    </row>
    <row r="30" spans="3:18">
      <c r="C30" s="147">
        <v>24</v>
      </c>
      <c r="D30" s="5">
        <f t="shared" si="13"/>
        <v>26.72</v>
      </c>
      <c r="E30" s="379">
        <f t="shared" si="0"/>
        <v>30.4</v>
      </c>
      <c r="F30" s="188">
        <f t="shared" si="1"/>
        <v>0.53221288515406162</v>
      </c>
      <c r="G30" s="149">
        <f t="shared" si="2"/>
        <v>215.46558017146253</v>
      </c>
      <c r="H30" s="188">
        <f t="shared" si="3"/>
        <v>7.1821860057154181</v>
      </c>
      <c r="I30" s="379">
        <f t="shared" si="4"/>
        <v>57.12</v>
      </c>
      <c r="J30" s="149">
        <f t="shared" si="5"/>
        <v>1.35</v>
      </c>
      <c r="K30" s="149">
        <f t="shared" si="6"/>
        <v>0.23746257485029942</v>
      </c>
      <c r="L30" s="149">
        <f t="shared" si="7"/>
        <v>0.2087171052631579</v>
      </c>
      <c r="M30" s="379">
        <f t="shared" si="14"/>
        <v>350</v>
      </c>
      <c r="N30" s="172">
        <f t="shared" si="8"/>
        <v>350</v>
      </c>
      <c r="O30" s="188">
        <f t="shared" si="9"/>
        <v>8.6448196299796507</v>
      </c>
      <c r="P30" s="150">
        <f t="shared" si="10"/>
        <v>1.3365346138455381</v>
      </c>
      <c r="Q30" s="150">
        <f t="shared" si="11"/>
        <v>2.0219676165358567</v>
      </c>
      <c r="R30" s="150">
        <f t="shared" si="12"/>
        <v>0.93700159489633172</v>
      </c>
    </row>
    <row r="31" spans="3:18">
      <c r="C31" s="147">
        <v>25</v>
      </c>
      <c r="D31" s="5">
        <f t="shared" si="13"/>
        <v>27</v>
      </c>
      <c r="E31" s="379">
        <f t="shared" si="0"/>
        <v>30.4</v>
      </c>
      <c r="F31" s="188">
        <f t="shared" si="1"/>
        <v>0.52961672473867594</v>
      </c>
      <c r="G31" s="149">
        <f t="shared" si="2"/>
        <v>216.66138739309471</v>
      </c>
      <c r="H31" s="188">
        <f t="shared" si="3"/>
        <v>7.2220462464364905</v>
      </c>
      <c r="I31" s="379">
        <f t="shared" si="4"/>
        <v>57.4</v>
      </c>
      <c r="J31" s="149">
        <f t="shared" si="5"/>
        <v>1.35</v>
      </c>
      <c r="K31" s="149">
        <f t="shared" si="6"/>
        <v>0.23499999999999999</v>
      </c>
      <c r="L31" s="149">
        <f t="shared" si="7"/>
        <v>0.2087171052631579</v>
      </c>
      <c r="M31" s="379">
        <f t="shared" si="14"/>
        <v>350</v>
      </c>
      <c r="N31" s="172">
        <f t="shared" si="8"/>
        <v>350</v>
      </c>
      <c r="O31" s="188">
        <f t="shared" si="9"/>
        <v>8.6927973057411876</v>
      </c>
      <c r="P31" s="150">
        <f t="shared" si="10"/>
        <v>1.3439522150323546</v>
      </c>
      <c r="Q31" s="150">
        <f t="shared" si="11"/>
        <v>2.0444732339286769</v>
      </c>
      <c r="R31" s="150">
        <f t="shared" si="12"/>
        <v>0.93700159489633172</v>
      </c>
    </row>
    <row r="32" spans="3:18">
      <c r="C32" s="147">
        <v>26</v>
      </c>
      <c r="D32" s="5">
        <f t="shared" si="13"/>
        <v>27.28</v>
      </c>
      <c r="E32" s="379">
        <f t="shared" si="0"/>
        <v>30.4</v>
      </c>
      <c r="F32" s="188">
        <f t="shared" si="1"/>
        <v>0.52704576976421635</v>
      </c>
      <c r="G32" s="149">
        <f t="shared" si="2"/>
        <v>217.84558483587611</v>
      </c>
      <c r="H32" s="188">
        <f t="shared" si="3"/>
        <v>7.2615194945292041</v>
      </c>
      <c r="I32" s="379">
        <f t="shared" si="4"/>
        <v>57.68</v>
      </c>
      <c r="J32" s="149">
        <f t="shared" si="5"/>
        <v>1.35</v>
      </c>
      <c r="K32" s="149">
        <f t="shared" si="6"/>
        <v>0.23258797653958943</v>
      </c>
      <c r="L32" s="149">
        <f t="shared" si="7"/>
        <v>0.2087171052631579</v>
      </c>
      <c r="M32" s="379">
        <f t="shared" si="14"/>
        <v>350</v>
      </c>
      <c r="N32" s="172">
        <f t="shared" si="8"/>
        <v>350</v>
      </c>
      <c r="O32" s="188">
        <f t="shared" si="9"/>
        <v>8.7403091788254255</v>
      </c>
      <c r="P32" s="150">
        <f t="shared" si="10"/>
        <v>1.3512978006736678</v>
      </c>
      <c r="Q32" s="150">
        <f t="shared" si="11"/>
        <v>2.0668830998470673</v>
      </c>
      <c r="R32" s="150">
        <f t="shared" si="12"/>
        <v>0.93700159489633172</v>
      </c>
    </row>
    <row r="33" spans="3:18">
      <c r="C33" s="147">
        <v>27</v>
      </c>
      <c r="D33" s="5">
        <f t="shared" si="13"/>
        <v>27.560000000000002</v>
      </c>
      <c r="E33" s="379">
        <f t="shared" si="0"/>
        <v>30.4</v>
      </c>
      <c r="F33" s="188">
        <f t="shared" si="1"/>
        <v>0.52449965493443751</v>
      </c>
      <c r="G33" s="149">
        <f t="shared" si="2"/>
        <v>219.01834075747121</v>
      </c>
      <c r="H33" s="188">
        <f t="shared" si="3"/>
        <v>7.3006113585823735</v>
      </c>
      <c r="I33" s="379">
        <f t="shared" si="4"/>
        <v>57.96</v>
      </c>
      <c r="J33" s="149">
        <f t="shared" si="5"/>
        <v>1.35</v>
      </c>
      <c r="K33" s="149">
        <f t="shared" si="6"/>
        <v>0.23022496371552975</v>
      </c>
      <c r="L33" s="149">
        <f t="shared" si="7"/>
        <v>0.2087171052631579</v>
      </c>
      <c r="M33" s="379">
        <f t="shared" si="14"/>
        <v>350</v>
      </c>
      <c r="N33" s="172">
        <f t="shared" si="8"/>
        <v>350</v>
      </c>
      <c r="O33" s="188">
        <f t="shared" si="9"/>
        <v>8.7873619999958059</v>
      </c>
      <c r="P33" s="150">
        <f t="shared" si="10"/>
        <v>1.3585724144730358</v>
      </c>
      <c r="Q33" s="150">
        <f t="shared" si="11"/>
        <v>2.0891968316070089</v>
      </c>
      <c r="R33" s="150">
        <f t="shared" si="12"/>
        <v>0.93700159489633172</v>
      </c>
    </row>
    <row r="34" spans="3:18">
      <c r="C34" s="147">
        <v>28</v>
      </c>
      <c r="D34" s="5">
        <f t="shared" si="13"/>
        <v>27.84</v>
      </c>
      <c r="E34" s="379">
        <f t="shared" si="0"/>
        <v>30.4</v>
      </c>
      <c r="F34" s="188">
        <f t="shared" si="1"/>
        <v>0.52197802197802201</v>
      </c>
      <c r="G34" s="149">
        <f t="shared" si="2"/>
        <v>220.17982017982021</v>
      </c>
      <c r="H34" s="188">
        <f t="shared" si="3"/>
        <v>7.3393273393273404</v>
      </c>
      <c r="I34" s="379">
        <f t="shared" si="4"/>
        <v>58.239999999999995</v>
      </c>
      <c r="J34" s="149">
        <f t="shared" si="5"/>
        <v>1.35</v>
      </c>
      <c r="K34" s="149">
        <f t="shared" si="6"/>
        <v>0.22790948275862069</v>
      </c>
      <c r="L34" s="149">
        <f t="shared" si="7"/>
        <v>0.2087171052631579</v>
      </c>
      <c r="M34" s="379">
        <f t="shared" si="14"/>
        <v>350</v>
      </c>
      <c r="N34" s="172">
        <f t="shared" si="8"/>
        <v>350</v>
      </c>
      <c r="O34" s="188">
        <f t="shared" si="9"/>
        <v>8.8339623901933937</v>
      </c>
      <c r="P34" s="150">
        <f t="shared" si="10"/>
        <v>1.3657770800627946</v>
      </c>
      <c r="Q34" s="150">
        <f t="shared" si="11"/>
        <v>2.1114140877660037</v>
      </c>
      <c r="R34" s="150">
        <f t="shared" si="12"/>
        <v>0.93700159489633172</v>
      </c>
    </row>
    <row r="35" spans="3:18">
      <c r="C35" s="147">
        <v>29</v>
      </c>
      <c r="D35" s="5">
        <f t="shared" si="13"/>
        <v>28.119999999999997</v>
      </c>
      <c r="E35" s="379">
        <f t="shared" si="0"/>
        <v>30.4</v>
      </c>
      <c r="F35" s="188">
        <f t="shared" si="1"/>
        <v>0.51948051948051954</v>
      </c>
      <c r="G35" s="149">
        <f t="shared" si="2"/>
        <v>221.33018496654861</v>
      </c>
      <c r="H35" s="188">
        <f t="shared" si="3"/>
        <v>7.3776728322182867</v>
      </c>
      <c r="I35" s="379">
        <f t="shared" si="4"/>
        <v>58.519999999999996</v>
      </c>
      <c r="J35" s="149">
        <f t="shared" si="5"/>
        <v>1.35</v>
      </c>
      <c r="K35" s="149">
        <f t="shared" si="6"/>
        <v>0.22564011379800858</v>
      </c>
      <c r="L35" s="149">
        <f t="shared" si="7"/>
        <v>0.2087171052631579</v>
      </c>
      <c r="M35" s="379">
        <f t="shared" si="14"/>
        <v>350</v>
      </c>
      <c r="N35" s="172">
        <f t="shared" si="8"/>
        <v>350</v>
      </c>
      <c r="O35" s="188">
        <f t="shared" si="9"/>
        <v>8.8801168436426803</v>
      </c>
      <c r="P35" s="150">
        <f t="shared" si="10"/>
        <v>1.3729128014842302</v>
      </c>
      <c r="Q35" s="150">
        <f t="shared" si="11"/>
        <v>2.1335345663297351</v>
      </c>
      <c r="R35" s="150">
        <f t="shared" si="12"/>
        <v>0.93700159489633172</v>
      </c>
    </row>
    <row r="36" spans="3:18">
      <c r="C36" s="147">
        <v>30</v>
      </c>
      <c r="D36" s="5">
        <f t="shared" si="13"/>
        <v>28.4</v>
      </c>
      <c r="E36" s="379">
        <f t="shared" si="0"/>
        <v>30.4</v>
      </c>
      <c r="F36" s="188">
        <f t="shared" si="1"/>
        <v>0.51700680272108845</v>
      </c>
      <c r="G36" s="149">
        <f t="shared" si="2"/>
        <v>222.46959389816533</v>
      </c>
      <c r="H36" s="188">
        <f t="shared" si="3"/>
        <v>7.4156531299388444</v>
      </c>
      <c r="I36" s="379">
        <f t="shared" si="4"/>
        <v>58.8</v>
      </c>
      <c r="J36" s="149">
        <f t="shared" si="5"/>
        <v>1.35</v>
      </c>
      <c r="K36" s="149">
        <f t="shared" si="6"/>
        <v>0.22341549295774651</v>
      </c>
      <c r="L36" s="149">
        <f t="shared" si="7"/>
        <v>0.2087171052631579</v>
      </c>
      <c r="M36" s="379">
        <f t="shared" si="14"/>
        <v>350</v>
      </c>
      <c r="N36" s="172">
        <f t="shared" si="8"/>
        <v>350</v>
      </c>
      <c r="O36" s="188">
        <f t="shared" si="9"/>
        <v>8.925831730868639</v>
      </c>
      <c r="P36" s="150">
        <f t="shared" si="10"/>
        <v>1.3799805636540332</v>
      </c>
      <c r="Q36" s="150">
        <f t="shared" si="11"/>
        <v>2.1555580030329029</v>
      </c>
      <c r="R36" s="150">
        <f t="shared" si="12"/>
        <v>0.93700159489633172</v>
      </c>
    </row>
    <row r="37" spans="3:18">
      <c r="C37" s="147">
        <v>31</v>
      </c>
      <c r="D37" s="5">
        <f t="shared" si="13"/>
        <v>28.68</v>
      </c>
      <c r="E37" s="379">
        <f t="shared" si="0"/>
        <v>30.4</v>
      </c>
      <c r="F37" s="188">
        <f t="shared" si="1"/>
        <v>0.51455653351387942</v>
      </c>
      <c r="G37" s="149">
        <f t="shared" si="2"/>
        <v>223.59820274512217</v>
      </c>
      <c r="H37" s="188">
        <f t="shared" si="3"/>
        <v>7.4532734248374055</v>
      </c>
      <c r="I37" s="379">
        <f t="shared" si="4"/>
        <v>59.08</v>
      </c>
      <c r="J37" s="149">
        <f t="shared" si="5"/>
        <v>1.35</v>
      </c>
      <c r="K37" s="149">
        <f t="shared" si="6"/>
        <v>0.22123430962343099</v>
      </c>
      <c r="L37" s="149">
        <f t="shared" si="7"/>
        <v>0.2087171052631579</v>
      </c>
      <c r="M37" s="379">
        <f t="shared" si="14"/>
        <v>350</v>
      </c>
      <c r="N37" s="172">
        <f t="shared" si="8"/>
        <v>350</v>
      </c>
      <c r="O37" s="188">
        <f t="shared" si="9"/>
        <v>8.9711133016280016</v>
      </c>
      <c r="P37" s="150">
        <f t="shared" si="10"/>
        <v>1.3869813328174871</v>
      </c>
      <c r="Q37" s="150">
        <f t="shared" si="11"/>
        <v>2.1774841696910214</v>
      </c>
      <c r="R37" s="150">
        <f t="shared" si="12"/>
        <v>0.93700159489633172</v>
      </c>
    </row>
    <row r="38" spans="3:18">
      <c r="C38" s="147">
        <v>32</v>
      </c>
      <c r="D38" s="5">
        <f t="shared" si="13"/>
        <v>28.96</v>
      </c>
      <c r="E38" s="379">
        <f t="shared" ref="E38:E69" si="15">(Vout+Vfwd1)*Nps</f>
        <v>30.4</v>
      </c>
      <c r="F38" s="188">
        <f t="shared" ref="F38:F69" si="16">(Vout+Vfwd1)*Nps/((Vout+Vfwd1)*Nps+D38)</f>
        <v>0.51212938005390829</v>
      </c>
      <c r="G38" s="149">
        <f t="shared" ref="G38:G69" si="17">F38*D38*Isw_max*0.5*Efficiency</f>
        <v>224.71616433880584</v>
      </c>
      <c r="H38" s="188">
        <f t="shared" ref="H38:H69" si="18">G38/Vout</f>
        <v>7.4905388112935283</v>
      </c>
      <c r="I38" s="379">
        <f t="shared" ref="I38:I69" si="19">(Vout+Vfwd1)*Nps+D38</f>
        <v>59.36</v>
      </c>
      <c r="J38" s="149">
        <f t="shared" ref="J38:J69" si="20">MIN(2*Vout*Iout/(Efficiency*D38*F38), 1.35)</f>
        <v>1.35</v>
      </c>
      <c r="K38" s="149">
        <f t="shared" ref="K38:K69" si="21">L*J38/D38*1000000</f>
        <v>0.21909530386740333</v>
      </c>
      <c r="L38" s="149">
        <f t="shared" ref="L38:L69" si="22">L*J38/((Vout+Vfwd1)*Nps)*1000000</f>
        <v>0.2087171052631579</v>
      </c>
      <c r="M38" s="379">
        <f t="shared" si="14"/>
        <v>350</v>
      </c>
      <c r="N38" s="172">
        <f t="shared" ref="N38:N69" si="23">IF(1/((350000*L)*(1/D38+1/E38))&gt;Isw_min, 350, 0.001/((Isw_min*L)*(1/D38+1/E38)))</f>
        <v>350</v>
      </c>
      <c r="O38" s="188">
        <f t="shared" ref="O38:O69" si="24">1/((N38*1000*L)*(1/D38+1/E38))</f>
        <v>9.0159676877575592</v>
      </c>
      <c r="P38" s="150">
        <f t="shared" ref="P38:P69" si="25">L*O38/E38*1000000</f>
        <v>1.3939160569888331</v>
      </c>
      <c r="Q38" s="150">
        <f t="shared" ref="Q38:Q69" si="26">0.5*P38*O38*Nps*N38/1000</f>
        <v>2.1993128726201054</v>
      </c>
      <c r="R38" s="150">
        <f t="shared" ref="R38:R69" si="27">L*Isw_min/E38*1000000</f>
        <v>0.93700159489633172</v>
      </c>
    </row>
    <row r="39" spans="3:18">
      <c r="C39" s="147">
        <v>33</v>
      </c>
      <c r="D39" s="5">
        <f t="shared" ref="D39:D70" si="28">C39/100*(VIN_max-VIN_min)+VIN_min</f>
        <v>29.240000000000002</v>
      </c>
      <c r="E39" s="379">
        <f t="shared" si="15"/>
        <v>30.4</v>
      </c>
      <c r="F39" s="188">
        <f t="shared" si="16"/>
        <v>0.50972501676727022</v>
      </c>
      <c r="G39" s="149">
        <f t="shared" si="17"/>
        <v>225.82362864053005</v>
      </c>
      <c r="H39" s="188">
        <f t="shared" si="18"/>
        <v>7.527454288017668</v>
      </c>
      <c r="I39" s="379">
        <f t="shared" si="19"/>
        <v>59.64</v>
      </c>
      <c r="J39" s="149">
        <f t="shared" si="20"/>
        <v>1.35</v>
      </c>
      <c r="K39" s="149">
        <f t="shared" si="21"/>
        <v>0.21699726402188782</v>
      </c>
      <c r="L39" s="149">
        <f t="shared" si="22"/>
        <v>0.2087171052631579</v>
      </c>
      <c r="M39" s="379">
        <f t="shared" si="14"/>
        <v>350</v>
      </c>
      <c r="N39" s="172">
        <f t="shared" si="23"/>
        <v>350</v>
      </c>
      <c r="O39" s="188">
        <f t="shared" si="24"/>
        <v>9.0604009059422381</v>
      </c>
      <c r="P39" s="150">
        <f t="shared" si="25"/>
        <v>1.4007856663792277</v>
      </c>
      <c r="Q39" s="150">
        <f t="shared" si="26"/>
        <v>2.2210439511213198</v>
      </c>
      <c r="R39" s="150">
        <f t="shared" si="27"/>
        <v>0.93700159489633172</v>
      </c>
    </row>
    <row r="40" spans="3:18">
      <c r="C40" s="147">
        <v>34</v>
      </c>
      <c r="D40" s="5">
        <f t="shared" si="28"/>
        <v>29.520000000000003</v>
      </c>
      <c r="E40" s="379">
        <f t="shared" si="15"/>
        <v>30.4</v>
      </c>
      <c r="F40" s="188">
        <f t="shared" si="16"/>
        <v>0.50734312416555405</v>
      </c>
      <c r="G40" s="149">
        <f t="shared" si="17"/>
        <v>226.9207428085933</v>
      </c>
      <c r="H40" s="188">
        <f t="shared" si="18"/>
        <v>7.5640247602864434</v>
      </c>
      <c r="I40" s="379">
        <f t="shared" si="19"/>
        <v>59.92</v>
      </c>
      <c r="J40" s="149">
        <f t="shared" si="20"/>
        <v>1.35</v>
      </c>
      <c r="K40" s="149">
        <f t="shared" si="21"/>
        <v>0.21493902439024387</v>
      </c>
      <c r="L40" s="149">
        <f t="shared" si="22"/>
        <v>0.2087171052631579</v>
      </c>
      <c r="M40" s="379">
        <f t="shared" si="14"/>
        <v>350</v>
      </c>
      <c r="N40" s="172">
        <f t="shared" si="23"/>
        <v>350</v>
      </c>
      <c r="O40" s="188">
        <f t="shared" si="24"/>
        <v>9.1044188604055662</v>
      </c>
      <c r="P40" s="150">
        <f t="shared" si="25"/>
        <v>1.4075910738127027</v>
      </c>
      <c r="Q40" s="150">
        <f t="shared" si="26"/>
        <v>2.2426772760278064</v>
      </c>
      <c r="R40" s="150">
        <f t="shared" si="27"/>
        <v>0.93700159489633172</v>
      </c>
    </row>
    <row r="41" spans="3:18">
      <c r="C41" s="147">
        <v>35</v>
      </c>
      <c r="D41" s="5">
        <f t="shared" si="28"/>
        <v>29.799999999999997</v>
      </c>
      <c r="E41" s="379">
        <f t="shared" si="15"/>
        <v>30.4</v>
      </c>
      <c r="F41" s="188">
        <f t="shared" si="16"/>
        <v>0.50498338870431891</v>
      </c>
      <c r="G41" s="149">
        <f t="shared" si="17"/>
        <v>228.00765126346519</v>
      </c>
      <c r="H41" s="188">
        <f t="shared" si="18"/>
        <v>7.6002550421155064</v>
      </c>
      <c r="I41" s="379">
        <f t="shared" si="19"/>
        <v>60.199999999999996</v>
      </c>
      <c r="J41" s="149">
        <f t="shared" si="20"/>
        <v>1.35</v>
      </c>
      <c r="K41" s="149">
        <f t="shared" si="21"/>
        <v>0.21291946308724835</v>
      </c>
      <c r="L41" s="149">
        <f t="shared" si="22"/>
        <v>0.2087171052631579</v>
      </c>
      <c r="M41" s="379">
        <f t="shared" si="14"/>
        <v>350</v>
      </c>
      <c r="N41" s="172">
        <f t="shared" si="23"/>
        <v>350</v>
      </c>
      <c r="O41" s="188">
        <f t="shared" si="24"/>
        <v>9.1480273455250476</v>
      </c>
      <c r="P41" s="150">
        <f t="shared" si="25"/>
        <v>1.4143331751305173</v>
      </c>
      <c r="Q41" s="150">
        <f t="shared" si="26"/>
        <v>2.2642127483110168</v>
      </c>
      <c r="R41" s="150">
        <f t="shared" si="27"/>
        <v>0.93700159489633172</v>
      </c>
    </row>
    <row r="42" spans="3:18">
      <c r="C42" s="147">
        <v>36</v>
      </c>
      <c r="D42" s="5">
        <f t="shared" si="28"/>
        <v>30.08</v>
      </c>
      <c r="E42" s="379">
        <f t="shared" si="15"/>
        <v>30.4</v>
      </c>
      <c r="F42" s="188">
        <f t="shared" si="16"/>
        <v>0.50264550264550267</v>
      </c>
      <c r="G42" s="149">
        <f t="shared" si="17"/>
        <v>229.08449575116245</v>
      </c>
      <c r="H42" s="188">
        <f t="shared" si="18"/>
        <v>7.6361498583720815</v>
      </c>
      <c r="I42" s="379">
        <f t="shared" si="19"/>
        <v>60.48</v>
      </c>
      <c r="J42" s="149">
        <f t="shared" si="20"/>
        <v>1.35</v>
      </c>
      <c r="K42" s="149">
        <f t="shared" si="21"/>
        <v>0.21093750000000003</v>
      </c>
      <c r="L42" s="149">
        <f t="shared" si="22"/>
        <v>0.2087171052631579</v>
      </c>
      <c r="M42" s="379">
        <f t="shared" si="14"/>
        <v>350</v>
      </c>
      <c r="N42" s="172">
        <f t="shared" si="23"/>
        <v>350</v>
      </c>
      <c r="O42" s="188">
        <f t="shared" si="24"/>
        <v>9.191232048374907</v>
      </c>
      <c r="P42" s="150">
        <f t="shared" si="25"/>
        <v>1.4210128495842784</v>
      </c>
      <c r="Q42" s="150">
        <f t="shared" si="26"/>
        <v>2.285650297744025</v>
      </c>
      <c r="R42" s="150">
        <f t="shared" si="27"/>
        <v>0.93700159489633172</v>
      </c>
    </row>
    <row r="43" spans="3:18">
      <c r="C43" s="147">
        <v>37</v>
      </c>
      <c r="D43" s="5">
        <f t="shared" si="28"/>
        <v>30.36</v>
      </c>
      <c r="E43" s="379">
        <f t="shared" si="15"/>
        <v>30.4</v>
      </c>
      <c r="F43" s="188">
        <f t="shared" si="16"/>
        <v>0.50032916392363391</v>
      </c>
      <c r="G43" s="149">
        <f t="shared" si="17"/>
        <v>230.15141540487161</v>
      </c>
      <c r="H43" s="188">
        <f t="shared" si="18"/>
        <v>7.6717138468290536</v>
      </c>
      <c r="I43" s="379">
        <f t="shared" si="19"/>
        <v>60.76</v>
      </c>
      <c r="J43" s="149">
        <f t="shared" si="20"/>
        <v>1.35</v>
      </c>
      <c r="K43" s="149">
        <f t="shared" si="21"/>
        <v>0.20899209486166009</v>
      </c>
      <c r="L43" s="149">
        <f t="shared" si="22"/>
        <v>0.2087171052631579</v>
      </c>
      <c r="M43" s="379">
        <f t="shared" si="14"/>
        <v>350</v>
      </c>
      <c r="N43" s="172">
        <f t="shared" si="23"/>
        <v>350</v>
      </c>
      <c r="O43" s="188">
        <f t="shared" si="24"/>
        <v>9.2340385511984966</v>
      </c>
      <c r="P43" s="150">
        <f t="shared" si="25"/>
        <v>1.4276309602181887</v>
      </c>
      <c r="Q43" s="150">
        <f t="shared" si="26"/>
        <v>2.3069898816193746</v>
      </c>
      <c r="R43" s="150">
        <f t="shared" si="27"/>
        <v>0.93700159489633172</v>
      </c>
    </row>
    <row r="44" spans="3:18">
      <c r="C44" s="147">
        <v>38</v>
      </c>
      <c r="D44" s="5">
        <f t="shared" si="28"/>
        <v>30.64</v>
      </c>
      <c r="E44" s="379">
        <f t="shared" si="15"/>
        <v>30.4</v>
      </c>
      <c r="F44" s="188">
        <f t="shared" si="16"/>
        <v>0.49803407601572736</v>
      </c>
      <c r="G44" s="149">
        <f t="shared" si="17"/>
        <v>231.2085468048771</v>
      </c>
      <c r="H44" s="188">
        <f t="shared" si="18"/>
        <v>7.7069515601625698</v>
      </c>
      <c r="I44" s="379">
        <f t="shared" si="19"/>
        <v>61.04</v>
      </c>
      <c r="J44" s="149">
        <f t="shared" si="20"/>
        <v>1.35</v>
      </c>
      <c r="K44" s="149">
        <f t="shared" si="21"/>
        <v>0.20708224543080939</v>
      </c>
      <c r="L44" s="149">
        <f t="shared" si="22"/>
        <v>0.2087171052631579</v>
      </c>
      <c r="M44" s="379">
        <f t="shared" si="14"/>
        <v>350</v>
      </c>
      <c r="N44" s="172">
        <f t="shared" si="23"/>
        <v>350</v>
      </c>
      <c r="O44" s="188">
        <f t="shared" si="24"/>
        <v>9.2764523338126992</v>
      </c>
      <c r="P44" s="150">
        <f t="shared" si="25"/>
        <v>1.4341883542407792</v>
      </c>
      <c r="Q44" s="150">
        <f t="shared" si="26"/>
        <v>2.3282314835191773</v>
      </c>
      <c r="R44" s="150">
        <f t="shared" si="27"/>
        <v>0.93700159489633172</v>
      </c>
    </row>
    <row r="45" spans="3:18">
      <c r="C45" s="147">
        <v>39</v>
      </c>
      <c r="D45" s="5">
        <f t="shared" si="28"/>
        <v>30.92</v>
      </c>
      <c r="E45" s="379">
        <f t="shared" si="15"/>
        <v>30.4</v>
      </c>
      <c r="F45" s="188">
        <f t="shared" si="16"/>
        <v>0.49575994781474231</v>
      </c>
      <c r="G45" s="149">
        <f t="shared" si="17"/>
        <v>232.25602403684596</v>
      </c>
      <c r="H45" s="188">
        <f t="shared" si="18"/>
        <v>7.7418674678948651</v>
      </c>
      <c r="I45" s="379">
        <f t="shared" si="19"/>
        <v>61.32</v>
      </c>
      <c r="J45" s="149">
        <f t="shared" si="20"/>
        <v>1.35</v>
      </c>
      <c r="K45" s="149">
        <f t="shared" si="21"/>
        <v>0.20520698576972832</v>
      </c>
      <c r="L45" s="149">
        <f t="shared" si="22"/>
        <v>0.2087171052631579</v>
      </c>
      <c r="M45" s="379">
        <f t="shared" si="14"/>
        <v>350</v>
      </c>
      <c r="N45" s="172">
        <f t="shared" si="23"/>
        <v>350</v>
      </c>
      <c r="O45" s="188">
        <f t="shared" si="24"/>
        <v>9.3184787759464029</v>
      </c>
      <c r="P45" s="150">
        <f t="shared" si="25"/>
        <v>1.4406858633864505</v>
      </c>
      <c r="Q45" s="150">
        <f t="shared" si="26"/>
        <v>2.3493751121352151</v>
      </c>
      <c r="R45" s="150">
        <f t="shared" si="27"/>
        <v>0.93700159489633172</v>
      </c>
    </row>
    <row r="46" spans="3:18">
      <c r="C46" s="147">
        <v>40</v>
      </c>
      <c r="D46" s="5">
        <f t="shared" si="28"/>
        <v>31.200000000000003</v>
      </c>
      <c r="E46" s="379">
        <f t="shared" si="15"/>
        <v>30.4</v>
      </c>
      <c r="F46" s="188">
        <f t="shared" si="16"/>
        <v>0.49350649350649345</v>
      </c>
      <c r="G46" s="149">
        <f t="shared" si="17"/>
        <v>233.29397874852421</v>
      </c>
      <c r="H46" s="188">
        <f t="shared" si="18"/>
        <v>7.77646595828414</v>
      </c>
      <c r="I46" s="379">
        <f t="shared" si="19"/>
        <v>61.6</v>
      </c>
      <c r="J46" s="149">
        <f t="shared" si="20"/>
        <v>1.35</v>
      </c>
      <c r="K46" s="149">
        <f t="shared" si="21"/>
        <v>0.20336538461538461</v>
      </c>
      <c r="L46" s="149">
        <f t="shared" si="22"/>
        <v>0.2087171052631579</v>
      </c>
      <c r="M46" s="379">
        <f t="shared" si="14"/>
        <v>350</v>
      </c>
      <c r="N46" s="172">
        <f t="shared" si="23"/>
        <v>350</v>
      </c>
      <c r="O46" s="188">
        <f t="shared" si="24"/>
        <v>9.3601231595152576</v>
      </c>
      <c r="P46" s="150">
        <f t="shared" si="25"/>
        <v>1.4471243042671615</v>
      </c>
      <c r="Q46" s="150">
        <f t="shared" si="26"/>
        <v>2.3704208001369813</v>
      </c>
      <c r="R46" s="150">
        <f t="shared" si="27"/>
        <v>0.93700159489633172</v>
      </c>
    </row>
    <row r="47" spans="3:18">
      <c r="C47" s="147">
        <v>41</v>
      </c>
      <c r="D47" s="5">
        <f t="shared" si="28"/>
        <v>31.479999999999997</v>
      </c>
      <c r="E47" s="379">
        <f t="shared" si="15"/>
        <v>30.4</v>
      </c>
      <c r="F47" s="188">
        <f t="shared" si="16"/>
        <v>0.49127343244990307</v>
      </c>
      <c r="G47" s="149">
        <f t="shared" si="17"/>
        <v>234.32254020489316</v>
      </c>
      <c r="H47" s="188">
        <f t="shared" si="18"/>
        <v>7.8107513401631055</v>
      </c>
      <c r="I47" s="379">
        <f t="shared" si="19"/>
        <v>61.879999999999995</v>
      </c>
      <c r="J47" s="149">
        <f t="shared" si="20"/>
        <v>1.35</v>
      </c>
      <c r="K47" s="149">
        <f t="shared" si="21"/>
        <v>0.20155654383735708</v>
      </c>
      <c r="L47" s="149">
        <f t="shared" si="22"/>
        <v>0.2087171052631579</v>
      </c>
      <c r="M47" s="379">
        <f t="shared" si="14"/>
        <v>350</v>
      </c>
      <c r="N47" s="172">
        <f t="shared" si="23"/>
        <v>350</v>
      </c>
      <c r="O47" s="188">
        <f t="shared" si="24"/>
        <v>9.4013906708346191</v>
      </c>
      <c r="P47" s="150">
        <f t="shared" si="25"/>
        <v>1.453504478714563</v>
      </c>
      <c r="Q47" s="150">
        <f t="shared" si="26"/>
        <v>2.3913686030855996</v>
      </c>
      <c r="R47" s="150">
        <f t="shared" si="27"/>
        <v>0.93700159489633172</v>
      </c>
    </row>
    <row r="48" spans="3:18">
      <c r="C48" s="147">
        <v>42</v>
      </c>
      <c r="D48" s="5">
        <f t="shared" si="28"/>
        <v>31.759999999999998</v>
      </c>
      <c r="E48" s="379">
        <f t="shared" si="15"/>
        <v>30.4</v>
      </c>
      <c r="F48" s="188">
        <f t="shared" si="16"/>
        <v>0.48906048906048905</v>
      </c>
      <c r="G48" s="149">
        <f t="shared" si="17"/>
        <v>235.34183534183532</v>
      </c>
      <c r="H48" s="188">
        <f t="shared" si="18"/>
        <v>7.8447278447278439</v>
      </c>
      <c r="I48" s="379">
        <f t="shared" si="19"/>
        <v>62.16</v>
      </c>
      <c r="J48" s="149">
        <f t="shared" si="20"/>
        <v>1.35</v>
      </c>
      <c r="K48" s="149">
        <f t="shared" si="21"/>
        <v>0.19977959697732997</v>
      </c>
      <c r="L48" s="149">
        <f t="shared" si="22"/>
        <v>0.2087171052631579</v>
      </c>
      <c r="M48" s="379">
        <f t="shared" si="14"/>
        <v>350</v>
      </c>
      <c r="N48" s="172">
        <f t="shared" si="23"/>
        <v>350</v>
      </c>
      <c r="O48" s="188">
        <f t="shared" si="24"/>
        <v>9.4422864027727247</v>
      </c>
      <c r="P48" s="150">
        <f t="shared" si="25"/>
        <v>1.4598271741128883</v>
      </c>
      <c r="Q48" s="150">
        <f t="shared" si="26"/>
        <v>2.4122185983917448</v>
      </c>
      <c r="R48" s="150">
        <f t="shared" si="27"/>
        <v>0.93700159489633172</v>
      </c>
    </row>
    <row r="49" spans="3:18">
      <c r="C49" s="147">
        <v>43</v>
      </c>
      <c r="D49" s="5">
        <f t="shared" si="28"/>
        <v>32.04</v>
      </c>
      <c r="E49" s="379">
        <f t="shared" si="15"/>
        <v>30.4</v>
      </c>
      <c r="F49" s="188">
        <f t="shared" si="16"/>
        <v>0.48686739269698909</v>
      </c>
      <c r="G49" s="149">
        <f t="shared" si="17"/>
        <v>236.35198881835655</v>
      </c>
      <c r="H49" s="188">
        <f t="shared" si="18"/>
        <v>7.8783996272785517</v>
      </c>
      <c r="I49" s="379">
        <f t="shared" si="19"/>
        <v>62.44</v>
      </c>
      <c r="J49" s="149">
        <f t="shared" si="20"/>
        <v>1.35</v>
      </c>
      <c r="K49" s="149">
        <f t="shared" si="21"/>
        <v>0.19803370786516855</v>
      </c>
      <c r="L49" s="149">
        <f t="shared" si="22"/>
        <v>0.2087171052631579</v>
      </c>
      <c r="M49" s="379">
        <f t="shared" si="14"/>
        <v>350</v>
      </c>
      <c r="N49" s="172">
        <f t="shared" si="23"/>
        <v>350</v>
      </c>
      <c r="O49" s="188">
        <f t="shared" si="24"/>
        <v>9.4828153568459168</v>
      </c>
      <c r="P49" s="150">
        <f t="shared" si="25"/>
        <v>1.4660931637228884</v>
      </c>
      <c r="Q49" s="150">
        <f t="shared" si="26"/>
        <v>2.4329708843156888</v>
      </c>
      <c r="R49" s="150">
        <f t="shared" si="27"/>
        <v>0.93700159489633172</v>
      </c>
    </row>
    <row r="50" spans="3:18">
      <c r="C50" s="147">
        <v>44</v>
      </c>
      <c r="D50" s="5">
        <f t="shared" si="28"/>
        <v>32.32</v>
      </c>
      <c r="E50" s="379">
        <f t="shared" si="15"/>
        <v>30.4</v>
      </c>
      <c r="F50" s="188">
        <f t="shared" si="16"/>
        <v>0.48469387755102039</v>
      </c>
      <c r="G50" s="149">
        <f t="shared" si="17"/>
        <v>237.3531230674088</v>
      </c>
      <c r="H50" s="188">
        <f t="shared" si="18"/>
        <v>7.9117707689136267</v>
      </c>
      <c r="I50" s="379">
        <f t="shared" si="19"/>
        <v>62.72</v>
      </c>
      <c r="J50" s="149">
        <f t="shared" si="20"/>
        <v>1.35</v>
      </c>
      <c r="K50" s="149">
        <f t="shared" si="21"/>
        <v>0.19631806930693071</v>
      </c>
      <c r="L50" s="149">
        <f t="shared" si="22"/>
        <v>0.2087171052631579</v>
      </c>
      <c r="M50" s="379">
        <f t="shared" si="14"/>
        <v>350</v>
      </c>
      <c r="N50" s="172">
        <f t="shared" si="23"/>
        <v>350</v>
      </c>
      <c r="O50" s="188">
        <f t="shared" si="24"/>
        <v>9.522982445257739</v>
      </c>
      <c r="P50" s="150">
        <f t="shared" si="25"/>
        <v>1.4723032069970847</v>
      </c>
      <c r="Q50" s="150">
        <f t="shared" si="26"/>
        <v>2.4536255790077339</v>
      </c>
      <c r="R50" s="150">
        <f t="shared" si="27"/>
        <v>0.93700159489633172</v>
      </c>
    </row>
    <row r="51" spans="3:18">
      <c r="C51" s="147">
        <v>45</v>
      </c>
      <c r="D51" s="5">
        <f t="shared" si="28"/>
        <v>32.6</v>
      </c>
      <c r="E51" s="379">
        <f t="shared" si="15"/>
        <v>30.4</v>
      </c>
      <c r="F51" s="188">
        <f t="shared" si="16"/>
        <v>0.48253968253968249</v>
      </c>
      <c r="G51" s="149">
        <f t="shared" si="17"/>
        <v>238.34535834535836</v>
      </c>
      <c r="H51" s="188">
        <f t="shared" si="18"/>
        <v>7.9448452781786125</v>
      </c>
      <c r="I51" s="379">
        <f t="shared" si="19"/>
        <v>63</v>
      </c>
      <c r="J51" s="149">
        <f t="shared" si="20"/>
        <v>1.35</v>
      </c>
      <c r="K51" s="149">
        <f t="shared" si="21"/>
        <v>0.19463190184049078</v>
      </c>
      <c r="L51" s="149">
        <f t="shared" si="22"/>
        <v>0.2087171052631579</v>
      </c>
      <c r="M51" s="379">
        <f t="shared" si="14"/>
        <v>350</v>
      </c>
      <c r="N51" s="172">
        <f t="shared" si="23"/>
        <v>350</v>
      </c>
      <c r="O51" s="188">
        <f t="shared" si="24"/>
        <v>9.5627924928836787</v>
      </c>
      <c r="P51" s="150">
        <f t="shared" si="25"/>
        <v>1.4784580498866216</v>
      </c>
      <c r="Q51" s="150">
        <f t="shared" si="26"/>
        <v>2.474182819587365</v>
      </c>
      <c r="R51" s="150">
        <f t="shared" si="27"/>
        <v>0.93700159489633172</v>
      </c>
    </row>
    <row r="52" spans="3:18">
      <c r="C52" s="147">
        <v>46</v>
      </c>
      <c r="D52" s="5">
        <f t="shared" si="28"/>
        <v>32.880000000000003</v>
      </c>
      <c r="E52" s="379">
        <f t="shared" si="15"/>
        <v>30.4</v>
      </c>
      <c r="F52" s="188">
        <f t="shared" si="16"/>
        <v>0.48040455120101133</v>
      </c>
      <c r="G52" s="149">
        <f t="shared" si="17"/>
        <v>239.32881278014023</v>
      </c>
      <c r="H52" s="188">
        <f t="shared" si="18"/>
        <v>7.9776270926713408</v>
      </c>
      <c r="I52" s="379">
        <f t="shared" si="19"/>
        <v>63.28</v>
      </c>
      <c r="J52" s="149">
        <f t="shared" si="20"/>
        <v>1.35</v>
      </c>
      <c r="K52" s="149">
        <f t="shared" si="21"/>
        <v>0.19297445255474452</v>
      </c>
      <c r="L52" s="149">
        <f t="shared" si="22"/>
        <v>0.2087171052631579</v>
      </c>
      <c r="M52" s="379">
        <f t="shared" si="14"/>
        <v>350</v>
      </c>
      <c r="N52" s="172">
        <f t="shared" si="23"/>
        <v>350</v>
      </c>
      <c r="O52" s="188">
        <f t="shared" si="24"/>
        <v>9.6022502392031939</v>
      </c>
      <c r="P52" s="150">
        <f t="shared" si="25"/>
        <v>1.4845584251399675</v>
      </c>
      <c r="Q52" s="150">
        <f t="shared" si="26"/>
        <v>2.4946427612594899</v>
      </c>
      <c r="R52" s="150">
        <f t="shared" si="27"/>
        <v>0.93700159489633172</v>
      </c>
    </row>
    <row r="53" spans="3:18">
      <c r="C53" s="147">
        <v>47</v>
      </c>
      <c r="D53" s="5">
        <f t="shared" si="28"/>
        <v>33.159999999999997</v>
      </c>
      <c r="E53" s="379">
        <f t="shared" si="15"/>
        <v>30.4</v>
      </c>
      <c r="F53" s="188">
        <f t="shared" si="16"/>
        <v>0.47828823159219636</v>
      </c>
      <c r="G53" s="149">
        <f t="shared" si="17"/>
        <v>240.30360241813986</v>
      </c>
      <c r="H53" s="188">
        <f t="shared" si="18"/>
        <v>8.0101200806046613</v>
      </c>
      <c r="I53" s="379">
        <f t="shared" si="19"/>
        <v>63.559999999999995</v>
      </c>
      <c r="J53" s="149">
        <f t="shared" si="20"/>
        <v>1.35</v>
      </c>
      <c r="K53" s="149">
        <f t="shared" si="21"/>
        <v>0.19134499396863694</v>
      </c>
      <c r="L53" s="149">
        <f t="shared" si="22"/>
        <v>0.2087171052631579</v>
      </c>
      <c r="M53" s="379">
        <f t="shared" si="14"/>
        <v>350</v>
      </c>
      <c r="N53" s="172">
        <f t="shared" si="23"/>
        <v>350</v>
      </c>
      <c r="O53" s="188">
        <f t="shared" si="24"/>
        <v>9.6413603401806878</v>
      </c>
      <c r="P53" s="150">
        <f t="shared" si="25"/>
        <v>1.4906050525937249</v>
      </c>
      <c r="Q53" s="150">
        <f t="shared" si="26"/>
        <v>2.5150055764662653</v>
      </c>
      <c r="R53" s="150">
        <f t="shared" si="27"/>
        <v>0.93700159489633172</v>
      </c>
    </row>
    <row r="54" spans="3:18">
      <c r="C54" s="147">
        <v>48</v>
      </c>
      <c r="D54" s="5">
        <f t="shared" si="28"/>
        <v>33.44</v>
      </c>
      <c r="E54" s="379">
        <f t="shared" si="15"/>
        <v>30.4</v>
      </c>
      <c r="F54" s="188">
        <f t="shared" si="16"/>
        <v>0.47619047619047622</v>
      </c>
      <c r="G54" s="149">
        <f t="shared" si="17"/>
        <v>241.26984126984129</v>
      </c>
      <c r="H54" s="188">
        <f t="shared" si="18"/>
        <v>8.0423280423280428</v>
      </c>
      <c r="I54" s="379">
        <f t="shared" si="19"/>
        <v>63.839999999999996</v>
      </c>
      <c r="J54" s="149">
        <f t="shared" si="20"/>
        <v>1.35</v>
      </c>
      <c r="K54" s="149">
        <f t="shared" si="21"/>
        <v>0.18974282296650721</v>
      </c>
      <c r="L54" s="149">
        <f t="shared" si="22"/>
        <v>0.2087171052631579</v>
      </c>
      <c r="M54" s="379">
        <f t="shared" si="14"/>
        <v>350</v>
      </c>
      <c r="N54" s="172">
        <f t="shared" si="23"/>
        <v>350</v>
      </c>
      <c r="O54" s="188">
        <f t="shared" si="24"/>
        <v>9.6801273700969723</v>
      </c>
      <c r="P54" s="150">
        <f t="shared" si="25"/>
        <v>1.496598639455782</v>
      </c>
      <c r="Q54" s="150">
        <f t="shared" si="26"/>
        <v>2.5352714540730164</v>
      </c>
      <c r="R54" s="150">
        <f t="shared" si="27"/>
        <v>0.93700159489633172</v>
      </c>
    </row>
    <row r="55" spans="3:18">
      <c r="C55" s="147">
        <v>49</v>
      </c>
      <c r="D55" s="5">
        <f t="shared" si="28"/>
        <v>33.72</v>
      </c>
      <c r="E55" s="379">
        <f t="shared" si="15"/>
        <v>30.4</v>
      </c>
      <c r="F55" s="188">
        <f t="shared" si="16"/>
        <v>0.47411104179663127</v>
      </c>
      <c r="G55" s="149">
        <f t="shared" si="17"/>
        <v>242.22764135427889</v>
      </c>
      <c r="H55" s="188">
        <f t="shared" si="18"/>
        <v>8.0742547118092958</v>
      </c>
      <c r="I55" s="379">
        <f t="shared" si="19"/>
        <v>64.12</v>
      </c>
      <c r="J55" s="149">
        <f t="shared" si="20"/>
        <v>1.35</v>
      </c>
      <c r="K55" s="149">
        <f t="shared" si="21"/>
        <v>0.18816725978647689</v>
      </c>
      <c r="L55" s="149">
        <f t="shared" si="22"/>
        <v>0.2087171052631579</v>
      </c>
      <c r="M55" s="379">
        <f t="shared" si="14"/>
        <v>350</v>
      </c>
      <c r="N55" s="172">
        <f t="shared" si="23"/>
        <v>350</v>
      </c>
      <c r="O55" s="188">
        <f t="shared" si="24"/>
        <v>9.7185558233327694</v>
      </c>
      <c r="P55" s="150">
        <f t="shared" si="25"/>
        <v>1.5025398805810533</v>
      </c>
      <c r="Q55" s="150">
        <f t="shared" si="26"/>
        <v>2.5554405985868756</v>
      </c>
      <c r="R55" s="150">
        <f t="shared" si="27"/>
        <v>0.93700159489633172</v>
      </c>
    </row>
    <row r="56" spans="3:18">
      <c r="C56" s="147">
        <v>50</v>
      </c>
      <c r="D56" s="5">
        <f t="shared" si="28"/>
        <v>34</v>
      </c>
      <c r="E56" s="379">
        <f t="shared" si="15"/>
        <v>30.4</v>
      </c>
      <c r="F56" s="188">
        <f t="shared" si="16"/>
        <v>0.47204968944099374</v>
      </c>
      <c r="G56" s="149">
        <f t="shared" si="17"/>
        <v>243.17711274233014</v>
      </c>
      <c r="H56" s="188">
        <f t="shared" si="18"/>
        <v>8.1059037580776714</v>
      </c>
      <c r="I56" s="379">
        <f t="shared" si="19"/>
        <v>64.400000000000006</v>
      </c>
      <c r="J56" s="149">
        <f t="shared" si="20"/>
        <v>1.35</v>
      </c>
      <c r="K56" s="149">
        <f t="shared" si="21"/>
        <v>0.18661764705882353</v>
      </c>
      <c r="L56" s="149">
        <f t="shared" si="22"/>
        <v>0.2087171052631579</v>
      </c>
      <c r="M56" s="379">
        <f t="shared" si="14"/>
        <v>350</v>
      </c>
      <c r="N56" s="172">
        <f t="shared" si="23"/>
        <v>350</v>
      </c>
      <c r="O56" s="188">
        <f t="shared" si="24"/>
        <v>9.7566501161056465</v>
      </c>
      <c r="P56" s="150">
        <f t="shared" si="25"/>
        <v>1.5084294587400178</v>
      </c>
      <c r="Q56" s="150">
        <f t="shared" si="26"/>
        <v>2.5755132294067704</v>
      </c>
      <c r="R56" s="150">
        <f t="shared" si="27"/>
        <v>0.93700159489633172</v>
      </c>
    </row>
    <row r="57" spans="3:18">
      <c r="C57" s="147">
        <v>51</v>
      </c>
      <c r="D57" s="5">
        <f t="shared" si="28"/>
        <v>34.28</v>
      </c>
      <c r="E57" s="379">
        <f t="shared" si="15"/>
        <v>30.4</v>
      </c>
      <c r="F57" s="188">
        <f t="shared" si="16"/>
        <v>0.4700061842918985</v>
      </c>
      <c r="G57" s="149">
        <f t="shared" si="17"/>
        <v>244.11836359888306</v>
      </c>
      <c r="H57" s="188">
        <f t="shared" si="18"/>
        <v>8.1372787866294356</v>
      </c>
      <c r="I57" s="379">
        <f t="shared" si="19"/>
        <v>64.680000000000007</v>
      </c>
      <c r="J57" s="149">
        <f t="shared" si="20"/>
        <v>1.35</v>
      </c>
      <c r="K57" s="149">
        <f t="shared" si="21"/>
        <v>0.18509334889148193</v>
      </c>
      <c r="L57" s="149">
        <f t="shared" si="22"/>
        <v>0.2087171052631579</v>
      </c>
      <c r="M57" s="379">
        <f t="shared" si="14"/>
        <v>350</v>
      </c>
      <c r="N57" s="172">
        <f t="shared" si="23"/>
        <v>350</v>
      </c>
      <c r="O57" s="188">
        <f t="shared" si="24"/>
        <v>9.7944145881618745</v>
      </c>
      <c r="P57" s="150">
        <f t="shared" si="25"/>
        <v>1.5142680448802899</v>
      </c>
      <c r="Q57" s="150">
        <f t="shared" si="26"/>
        <v>2.5954895801035027</v>
      </c>
      <c r="R57" s="150">
        <f t="shared" si="27"/>
        <v>0.93700159489633172</v>
      </c>
    </row>
    <row r="58" spans="3:18">
      <c r="C58" s="147">
        <v>52</v>
      </c>
      <c r="D58" s="5">
        <f t="shared" si="28"/>
        <v>34.56</v>
      </c>
      <c r="E58" s="379">
        <f t="shared" si="15"/>
        <v>30.4</v>
      </c>
      <c r="F58" s="188">
        <f t="shared" si="16"/>
        <v>0.46798029556650239</v>
      </c>
      <c r="G58" s="149">
        <f t="shared" si="17"/>
        <v>245.05150022391399</v>
      </c>
      <c r="H58" s="188">
        <f t="shared" si="18"/>
        <v>8.1683833407971331</v>
      </c>
      <c r="I58" s="379">
        <f t="shared" si="19"/>
        <v>64.960000000000008</v>
      </c>
      <c r="J58" s="149">
        <f t="shared" si="20"/>
        <v>1.35</v>
      </c>
      <c r="K58" s="149">
        <f t="shared" si="21"/>
        <v>0.18359375</v>
      </c>
      <c r="L58" s="149">
        <f t="shared" si="22"/>
        <v>0.2087171052631579</v>
      </c>
      <c r="M58" s="379">
        <f t="shared" si="14"/>
        <v>350</v>
      </c>
      <c r="N58" s="172">
        <f t="shared" si="23"/>
        <v>350</v>
      </c>
      <c r="O58" s="188">
        <f t="shared" si="24"/>
        <v>9.8318535044245152</v>
      </c>
      <c r="P58" s="150">
        <f t="shared" si="25"/>
        <v>1.5200562983814219</v>
      </c>
      <c r="Q58" s="150">
        <f t="shared" si="26"/>
        <v>2.615369897728689</v>
      </c>
      <c r="R58" s="150">
        <f t="shared" si="27"/>
        <v>0.93700159489633172</v>
      </c>
    </row>
    <row r="59" spans="3:18">
      <c r="C59" s="147">
        <v>53</v>
      </c>
      <c r="D59" s="5">
        <f t="shared" si="28"/>
        <v>34.840000000000003</v>
      </c>
      <c r="E59" s="379">
        <f t="shared" si="15"/>
        <v>30.4</v>
      </c>
      <c r="F59" s="188">
        <f t="shared" si="16"/>
        <v>0.46597179644389936</v>
      </c>
      <c r="G59" s="149">
        <f t="shared" si="17"/>
        <v>245.9766270925069</v>
      </c>
      <c r="H59" s="188">
        <f t="shared" si="18"/>
        <v>8.1992209030835639</v>
      </c>
      <c r="I59" s="379">
        <f t="shared" si="19"/>
        <v>65.240000000000009</v>
      </c>
      <c r="J59" s="149">
        <f t="shared" si="20"/>
        <v>1.35</v>
      </c>
      <c r="K59" s="149">
        <f t="shared" si="21"/>
        <v>0.18211825487944891</v>
      </c>
      <c r="L59" s="149">
        <f t="shared" si="22"/>
        <v>0.2087171052631579</v>
      </c>
      <c r="M59" s="379">
        <f t="shared" si="14"/>
        <v>350</v>
      </c>
      <c r="N59" s="172">
        <f t="shared" si="23"/>
        <v>350</v>
      </c>
      <c r="O59" s="188">
        <f t="shared" si="24"/>
        <v>9.8689710565990634</v>
      </c>
      <c r="P59" s="150">
        <f t="shared" si="25"/>
        <v>1.5257948673031447</v>
      </c>
      <c r="Q59" s="150">
        <f t="shared" si="26"/>
        <v>2.6351544421513755</v>
      </c>
      <c r="R59" s="150">
        <f t="shared" si="27"/>
        <v>0.93700159489633172</v>
      </c>
    </row>
    <row r="60" spans="3:18">
      <c r="C60" s="147">
        <v>54</v>
      </c>
      <c r="D60" s="5">
        <f t="shared" si="28"/>
        <v>35.120000000000005</v>
      </c>
      <c r="E60" s="379">
        <f t="shared" si="15"/>
        <v>30.4</v>
      </c>
      <c r="F60" s="188">
        <f t="shared" si="16"/>
        <v>0.46398046398046389</v>
      </c>
      <c r="G60" s="149">
        <f t="shared" si="17"/>
        <v>246.8938468938469</v>
      </c>
      <c r="H60" s="188">
        <f t="shared" si="18"/>
        <v>8.2297948964615628</v>
      </c>
      <c r="I60" s="379">
        <f t="shared" si="19"/>
        <v>65.52000000000001</v>
      </c>
      <c r="J60" s="149">
        <f t="shared" si="20"/>
        <v>1.35</v>
      </c>
      <c r="K60" s="149">
        <f t="shared" si="21"/>
        <v>0.18066628701594531</v>
      </c>
      <c r="L60" s="149">
        <f t="shared" si="22"/>
        <v>0.2087171052631579</v>
      </c>
      <c r="M60" s="379">
        <f t="shared" si="14"/>
        <v>350</v>
      </c>
      <c r="N60" s="172">
        <f t="shared" si="23"/>
        <v>350</v>
      </c>
      <c r="O60" s="188">
        <f t="shared" si="24"/>
        <v>9.905771364737932</v>
      </c>
      <c r="P60" s="150">
        <f t="shared" si="25"/>
        <v>1.531484388627246</v>
      </c>
      <c r="Q60" s="150">
        <f t="shared" si="26"/>
        <v>2.6548434854212166</v>
      </c>
      <c r="R60" s="150">
        <f t="shared" si="27"/>
        <v>0.93700159489633172</v>
      </c>
    </row>
    <row r="61" spans="3:18">
      <c r="C61" s="147">
        <v>55</v>
      </c>
      <c r="D61" s="5">
        <f t="shared" si="28"/>
        <v>35.400000000000006</v>
      </c>
      <c r="E61" s="379">
        <f t="shared" si="15"/>
        <v>30.4</v>
      </c>
      <c r="F61" s="188">
        <f t="shared" si="16"/>
        <v>0.46200607902735552</v>
      </c>
      <c r="G61" s="149">
        <f t="shared" si="17"/>
        <v>247.80326056921803</v>
      </c>
      <c r="H61" s="188">
        <f t="shared" si="18"/>
        <v>8.260108685640601</v>
      </c>
      <c r="I61" s="379">
        <f t="shared" si="19"/>
        <v>65.800000000000011</v>
      </c>
      <c r="J61" s="149">
        <f t="shared" si="20"/>
        <v>1.35</v>
      </c>
      <c r="K61" s="149">
        <f t="shared" si="21"/>
        <v>0.1792372881355932</v>
      </c>
      <c r="L61" s="149">
        <f t="shared" si="22"/>
        <v>0.2087171052631579</v>
      </c>
      <c r="M61" s="379">
        <f t="shared" si="14"/>
        <v>350</v>
      </c>
      <c r="N61" s="172">
        <f t="shared" si="23"/>
        <v>350</v>
      </c>
      <c r="O61" s="188">
        <f t="shared" si="24"/>
        <v>9.9422584787649786</v>
      </c>
      <c r="P61" s="150">
        <f t="shared" si="25"/>
        <v>1.5371254884932699</v>
      </c>
      <c r="Q61" s="150">
        <f t="shared" si="26"/>
        <v>2.6744373111571451</v>
      </c>
      <c r="R61" s="150">
        <f t="shared" si="27"/>
        <v>0.93700159489633172</v>
      </c>
    </row>
    <row r="62" spans="3:18">
      <c r="C62" s="147">
        <v>56</v>
      </c>
      <c r="D62" s="5">
        <f t="shared" si="28"/>
        <v>35.68</v>
      </c>
      <c r="E62" s="379">
        <f t="shared" si="15"/>
        <v>30.4</v>
      </c>
      <c r="F62" s="188">
        <f t="shared" si="16"/>
        <v>0.46004842615012104</v>
      </c>
      <c r="G62" s="149">
        <f t="shared" si="17"/>
        <v>248.70496734903514</v>
      </c>
      <c r="H62" s="188">
        <f t="shared" si="18"/>
        <v>8.2901655783011723</v>
      </c>
      <c r="I62" s="379">
        <f t="shared" si="19"/>
        <v>66.08</v>
      </c>
      <c r="J62" s="149">
        <f t="shared" si="20"/>
        <v>1.35</v>
      </c>
      <c r="K62" s="149">
        <f t="shared" si="21"/>
        <v>0.17783071748878923</v>
      </c>
      <c r="L62" s="149">
        <f t="shared" si="22"/>
        <v>0.2087171052631579</v>
      </c>
      <c r="M62" s="379">
        <f t="shared" si="14"/>
        <v>350</v>
      </c>
      <c r="N62" s="172">
        <f t="shared" si="23"/>
        <v>350</v>
      </c>
      <c r="O62" s="188">
        <f t="shared" si="24"/>
        <v>9.9784363799612876</v>
      </c>
      <c r="P62" s="150">
        <f t="shared" si="25"/>
        <v>1.5427187824282254</v>
      </c>
      <c r="Q62" s="150">
        <f t="shared" si="26"/>
        <v>2.6939362139604928</v>
      </c>
      <c r="R62" s="150">
        <f t="shared" si="27"/>
        <v>0.93700159489633172</v>
      </c>
    </row>
    <row r="63" spans="3:18">
      <c r="C63" s="147">
        <v>57</v>
      </c>
      <c r="D63" s="5">
        <f t="shared" si="28"/>
        <v>35.96</v>
      </c>
      <c r="E63" s="379">
        <f t="shared" si="15"/>
        <v>30.4</v>
      </c>
      <c r="F63" s="188">
        <f t="shared" si="16"/>
        <v>0.45810729355033153</v>
      </c>
      <c r="G63" s="149">
        <f t="shared" si="17"/>
        <v>249.59906478893825</v>
      </c>
      <c r="H63" s="188">
        <f t="shared" si="18"/>
        <v>8.3199688262979414</v>
      </c>
      <c r="I63" s="379">
        <f t="shared" si="19"/>
        <v>66.36</v>
      </c>
      <c r="J63" s="149">
        <f t="shared" si="20"/>
        <v>1.35</v>
      </c>
      <c r="K63" s="149">
        <f t="shared" si="21"/>
        <v>0.17644605116796441</v>
      </c>
      <c r="L63" s="149">
        <f t="shared" si="22"/>
        <v>0.2087171052631579</v>
      </c>
      <c r="M63" s="379">
        <f t="shared" si="14"/>
        <v>350</v>
      </c>
      <c r="N63" s="172">
        <f t="shared" si="23"/>
        <v>350</v>
      </c>
      <c r="O63" s="188">
        <f t="shared" si="24"/>
        <v>10.014308982413327</v>
      </c>
      <c r="P63" s="150">
        <f t="shared" si="25"/>
        <v>1.5482648755704813</v>
      </c>
      <c r="Q63" s="150">
        <f t="shared" si="26"/>
        <v>2.7133404988515917</v>
      </c>
      <c r="R63" s="150">
        <f t="shared" si="27"/>
        <v>0.93700159489633172</v>
      </c>
    </row>
    <row r="64" spans="3:18">
      <c r="C64" s="147">
        <v>58</v>
      </c>
      <c r="D64" s="5">
        <f t="shared" si="28"/>
        <v>36.239999999999995</v>
      </c>
      <c r="E64" s="379">
        <f t="shared" si="15"/>
        <v>30.4</v>
      </c>
      <c r="F64" s="188">
        <f t="shared" si="16"/>
        <v>0.45618247298919573</v>
      </c>
      <c r="G64" s="149">
        <f t="shared" si="17"/>
        <v>250.48564880497656</v>
      </c>
      <c r="H64" s="188">
        <f t="shared" si="18"/>
        <v>8.3495216268325514</v>
      </c>
      <c r="I64" s="379">
        <f t="shared" si="19"/>
        <v>66.639999999999986</v>
      </c>
      <c r="J64" s="149">
        <f t="shared" si="20"/>
        <v>1.35</v>
      </c>
      <c r="K64" s="149">
        <f t="shared" si="21"/>
        <v>0.17508278145695366</v>
      </c>
      <c r="L64" s="149">
        <f t="shared" si="22"/>
        <v>0.2087171052631579</v>
      </c>
      <c r="M64" s="379">
        <f t="shared" si="14"/>
        <v>350</v>
      </c>
      <c r="N64" s="172">
        <f t="shared" si="23"/>
        <v>350</v>
      </c>
      <c r="O64" s="188">
        <f t="shared" si="24"/>
        <v>10.049880134424589</v>
      </c>
      <c r="P64" s="150">
        <f t="shared" si="25"/>
        <v>1.5537643628880122</v>
      </c>
      <c r="Q64" s="150">
        <f t="shared" si="26"/>
        <v>2.7326504807288949</v>
      </c>
      <c r="R64" s="150">
        <f t="shared" si="27"/>
        <v>0.93700159489633172</v>
      </c>
    </row>
    <row r="65" spans="3:18">
      <c r="C65" s="147">
        <v>59</v>
      </c>
      <c r="D65" s="5">
        <f t="shared" si="28"/>
        <v>36.519999999999996</v>
      </c>
      <c r="E65" s="379">
        <f t="shared" si="15"/>
        <v>30.4</v>
      </c>
      <c r="F65" s="188">
        <f t="shared" si="16"/>
        <v>0.45427375971309031</v>
      </c>
      <c r="G65" s="149">
        <f t="shared" si="17"/>
        <v>251.36481370790995</v>
      </c>
      <c r="H65" s="188">
        <f t="shared" si="18"/>
        <v>8.3788271235969987</v>
      </c>
      <c r="I65" s="379">
        <f t="shared" si="19"/>
        <v>66.919999999999987</v>
      </c>
      <c r="J65" s="149">
        <f t="shared" si="20"/>
        <v>1.35</v>
      </c>
      <c r="K65" s="149">
        <f t="shared" si="21"/>
        <v>0.17374041621029576</v>
      </c>
      <c r="L65" s="149">
        <f t="shared" si="22"/>
        <v>0.2087171052631579</v>
      </c>
      <c r="M65" s="379">
        <f t="shared" si="14"/>
        <v>350</v>
      </c>
      <c r="N65" s="172">
        <f t="shared" si="23"/>
        <v>350</v>
      </c>
      <c r="O65" s="188">
        <f t="shared" si="24"/>
        <v>10.085153619891827</v>
      </c>
      <c r="P65" s="150">
        <f t="shared" si="25"/>
        <v>1.5592178293911707</v>
      </c>
      <c r="Q65" s="150">
        <f t="shared" si="26"/>
        <v>2.7518664838497426</v>
      </c>
      <c r="R65" s="150">
        <f t="shared" si="27"/>
        <v>0.93700159489633172</v>
      </c>
    </row>
    <row r="66" spans="3:18">
      <c r="C66" s="147">
        <v>60</v>
      </c>
      <c r="D66" s="5">
        <f t="shared" si="28"/>
        <v>36.799999999999997</v>
      </c>
      <c r="E66" s="379">
        <f t="shared" si="15"/>
        <v>30.4</v>
      </c>
      <c r="F66" s="188">
        <f t="shared" si="16"/>
        <v>0.45238095238095244</v>
      </c>
      <c r="G66" s="149">
        <f t="shared" si="17"/>
        <v>252.23665223665228</v>
      </c>
      <c r="H66" s="188">
        <f t="shared" si="18"/>
        <v>8.4078884078884091</v>
      </c>
      <c r="I66" s="379">
        <f t="shared" si="19"/>
        <v>67.199999999999989</v>
      </c>
      <c r="J66" s="149">
        <f t="shared" si="20"/>
        <v>1.35</v>
      </c>
      <c r="K66" s="149">
        <f t="shared" si="21"/>
        <v>0.17241847826086959</v>
      </c>
      <c r="L66" s="149">
        <f t="shared" si="22"/>
        <v>0.2087171052631579</v>
      </c>
      <c r="M66" s="379">
        <f t="shared" si="14"/>
        <v>350</v>
      </c>
      <c r="N66" s="172">
        <f t="shared" si="23"/>
        <v>350</v>
      </c>
      <c r="O66" s="188">
        <f t="shared" si="24"/>
        <v>10.120133159646837</v>
      </c>
      <c r="P66" s="150">
        <f t="shared" si="25"/>
        <v>1.564625850340136</v>
      </c>
      <c r="Q66" s="150">
        <f t="shared" si="26"/>
        <v>2.7709888413318722</v>
      </c>
      <c r="R66" s="150">
        <f t="shared" si="27"/>
        <v>0.93700159489633172</v>
      </c>
    </row>
    <row r="67" spans="3:18">
      <c r="C67" s="147">
        <v>61</v>
      </c>
      <c r="D67" s="5">
        <f t="shared" si="28"/>
        <v>37.08</v>
      </c>
      <c r="E67" s="379">
        <f t="shared" si="15"/>
        <v>30.4</v>
      </c>
      <c r="F67" s="188">
        <f t="shared" si="16"/>
        <v>0.45050385299347961</v>
      </c>
      <c r="G67" s="149">
        <f t="shared" si="17"/>
        <v>253.10125559088218</v>
      </c>
      <c r="H67" s="188">
        <f t="shared" si="18"/>
        <v>8.4367085196960723</v>
      </c>
      <c r="I67" s="379">
        <f t="shared" si="19"/>
        <v>67.47999999999999</v>
      </c>
      <c r="J67" s="149">
        <f t="shared" si="20"/>
        <v>1.35</v>
      </c>
      <c r="K67" s="149">
        <f t="shared" si="21"/>
        <v>0.17111650485436894</v>
      </c>
      <c r="L67" s="149">
        <f t="shared" si="22"/>
        <v>0.2087171052631579</v>
      </c>
      <c r="M67" s="379">
        <f t="shared" si="14"/>
        <v>350</v>
      </c>
      <c r="N67" s="172">
        <f t="shared" si="23"/>
        <v>350</v>
      </c>
      <c r="O67" s="188">
        <f t="shared" si="24"/>
        <v>10.154822412764876</v>
      </c>
      <c r="P67" s="150">
        <f t="shared" si="25"/>
        <v>1.5699889914472012</v>
      </c>
      <c r="Q67" s="150">
        <f t="shared" si="26"/>
        <v>2.7900178946748784</v>
      </c>
      <c r="R67" s="150">
        <f t="shared" si="27"/>
        <v>0.93700159489633172</v>
      </c>
    </row>
    <row r="68" spans="3:18">
      <c r="C68" s="147">
        <v>62</v>
      </c>
      <c r="D68" s="5">
        <f t="shared" si="28"/>
        <v>37.36</v>
      </c>
      <c r="E68" s="379">
        <f t="shared" si="15"/>
        <v>30.4</v>
      </c>
      <c r="F68" s="188">
        <f t="shared" si="16"/>
        <v>0.44864226682408503</v>
      </c>
      <c r="G68" s="149">
        <f t="shared" si="17"/>
        <v>253.95871346284571</v>
      </c>
      <c r="H68" s="188">
        <f t="shared" si="18"/>
        <v>8.4652904487615235</v>
      </c>
      <c r="I68" s="379">
        <f t="shared" si="19"/>
        <v>67.759999999999991</v>
      </c>
      <c r="J68" s="149">
        <f t="shared" si="20"/>
        <v>1.35</v>
      </c>
      <c r="K68" s="149">
        <f t="shared" si="21"/>
        <v>0.16983404710920771</v>
      </c>
      <c r="L68" s="149">
        <f t="shared" si="22"/>
        <v>0.2087171052631579</v>
      </c>
      <c r="M68" s="379">
        <f t="shared" si="14"/>
        <v>350</v>
      </c>
      <c r="N68" s="172">
        <f t="shared" si="23"/>
        <v>350</v>
      </c>
      <c r="O68" s="188">
        <f t="shared" si="24"/>
        <v>10.189224977840619</v>
      </c>
      <c r="P68" s="150">
        <f t="shared" si="25"/>
        <v>1.5753078090740429</v>
      </c>
      <c r="Q68" s="150">
        <f t="shared" si="26"/>
        <v>2.8089539933008081</v>
      </c>
      <c r="R68" s="150">
        <f t="shared" si="27"/>
        <v>0.93700159489633172</v>
      </c>
    </row>
    <row r="69" spans="3:18">
      <c r="C69" s="147">
        <v>63</v>
      </c>
      <c r="D69" s="5">
        <f t="shared" si="28"/>
        <v>37.64</v>
      </c>
      <c r="E69" s="379">
        <f t="shared" si="15"/>
        <v>30.4</v>
      </c>
      <c r="F69" s="188">
        <f t="shared" si="16"/>
        <v>0.44679600235155792</v>
      </c>
      <c r="G69" s="149">
        <f t="shared" si="17"/>
        <v>254.80911406837336</v>
      </c>
      <c r="H69" s="188">
        <f t="shared" si="18"/>
        <v>8.4936371356124454</v>
      </c>
      <c r="I69" s="379">
        <f t="shared" si="19"/>
        <v>68.039999999999992</v>
      </c>
      <c r="J69" s="149">
        <f t="shared" si="20"/>
        <v>1.35</v>
      </c>
      <c r="K69" s="149">
        <f t="shared" si="21"/>
        <v>0.16857066950053134</v>
      </c>
      <c r="L69" s="149">
        <f t="shared" si="22"/>
        <v>0.2087171052631579</v>
      </c>
      <c r="M69" s="379">
        <f t="shared" si="14"/>
        <v>350</v>
      </c>
      <c r="N69" s="172">
        <f t="shared" si="23"/>
        <v>350</v>
      </c>
      <c r="O69" s="188">
        <f t="shared" si="24"/>
        <v>10.223344394232608</v>
      </c>
      <c r="P69" s="150">
        <f t="shared" si="25"/>
        <v>1.5805828504241204</v>
      </c>
      <c r="Q69" s="150">
        <f t="shared" si="26"/>
        <v>2.8277974941131352</v>
      </c>
      <c r="R69" s="150">
        <f t="shared" si="27"/>
        <v>0.93700159489633172</v>
      </c>
    </row>
    <row r="70" spans="3:18">
      <c r="C70" s="147">
        <v>64</v>
      </c>
      <c r="D70" s="5">
        <f t="shared" si="28"/>
        <v>37.92</v>
      </c>
      <c r="E70" s="379">
        <f t="shared" ref="E70:E106" si="29">(Vout+Vfwd1)*Nps</f>
        <v>30.4</v>
      </c>
      <c r="F70" s="188">
        <f t="shared" ref="F70:F106" si="30">(Vout+Vfwd1)*Nps/((Vout+Vfwd1)*Nps+D70)</f>
        <v>0.44496487119437944</v>
      </c>
      <c r="G70" s="149">
        <f t="shared" ref="G70:G101" si="31">F70*D70*Isw_max*0.5*Efficiency</f>
        <v>255.65254417713439</v>
      </c>
      <c r="H70" s="188">
        <f t="shared" ref="H70:H101" si="32">G70/Vout</f>
        <v>8.5217514725711467</v>
      </c>
      <c r="I70" s="379">
        <f t="shared" ref="I70:I106" si="33">(Vout+Vfwd1)*Nps+D70</f>
        <v>68.319999999999993</v>
      </c>
      <c r="J70" s="149">
        <f t="shared" ref="J70:J106" si="34">MIN(2*Vout*Iout/(Efficiency*D70*F70), 1.35)</f>
        <v>1.35</v>
      </c>
      <c r="K70" s="149">
        <f t="shared" ref="K70:K101" si="35">L*J70/D70*1000000</f>
        <v>0.16732594936708858</v>
      </c>
      <c r="L70" s="149">
        <f t="shared" ref="L70:L106" si="36">L*J70/((Vout+Vfwd1)*Nps)*1000000</f>
        <v>0.2087171052631579</v>
      </c>
      <c r="M70" s="379">
        <f t="shared" si="14"/>
        <v>350</v>
      </c>
      <c r="N70" s="172">
        <f t="shared" ref="N70:N106" si="37">IF(1/((350000*L)*(1/D70+1/E70))&gt;Isw_min, 350, 0.001/((Isw_min*L)*(1/D70+1/E70)))</f>
        <v>350</v>
      </c>
      <c r="O70" s="188">
        <f t="shared" ref="O70:O101" si="38">1/((N70*1000*L)*(1/D70+1/E70))</f>
        <v>10.257184143277122</v>
      </c>
      <c r="P70" s="150">
        <f t="shared" ref="P70:P101" si="39">L*O70/E70*1000000</f>
        <v>1.5858146537303446</v>
      </c>
      <c r="Q70" s="150">
        <f t="shared" ref="Q70:Q101" si="40">0.5*P70*O70*Nps*N70/1000</f>
        <v>2.8465487610733931</v>
      </c>
      <c r="R70" s="150">
        <f t="shared" ref="R70:R106" si="41">L*Isw_min/E70*1000000</f>
        <v>0.93700159489633172</v>
      </c>
    </row>
    <row r="71" spans="3:18">
      <c r="C71" s="147">
        <v>65</v>
      </c>
      <c r="D71" s="5">
        <f t="shared" ref="D71:D102" si="42">C71/100*(VIN_max-VIN_min)+VIN_min</f>
        <v>38.200000000000003</v>
      </c>
      <c r="E71" s="379">
        <f t="shared" si="29"/>
        <v>30.4</v>
      </c>
      <c r="F71" s="188">
        <f t="shared" si="30"/>
        <v>0.44314868804664725</v>
      </c>
      <c r="G71" s="149">
        <f t="shared" si="31"/>
        <v>256.48908914215042</v>
      </c>
      <c r="H71" s="188">
        <f t="shared" si="32"/>
        <v>8.5496363047383479</v>
      </c>
      <c r="I71" s="379">
        <f t="shared" si="33"/>
        <v>68.599999999999994</v>
      </c>
      <c r="J71" s="149">
        <f t="shared" si="34"/>
        <v>1.35</v>
      </c>
      <c r="K71" s="149">
        <f t="shared" si="35"/>
        <v>0.16609947643979056</v>
      </c>
      <c r="L71" s="149">
        <f t="shared" si="36"/>
        <v>0.2087171052631579</v>
      </c>
      <c r="M71" s="379">
        <f t="shared" ref="M71:M106" si="43">MIN(1/(K71+L71)*1000, 350)</f>
        <v>350</v>
      </c>
      <c r="N71" s="172">
        <f t="shared" si="37"/>
        <v>350</v>
      </c>
      <c r="O71" s="188">
        <f t="shared" si="38"/>
        <v>10.290747649472296</v>
      </c>
      <c r="P71" s="150">
        <f t="shared" si="39"/>
        <v>1.591003748438151</v>
      </c>
      <c r="Q71" s="150">
        <f t="shared" si="40"/>
        <v>2.8652081647947649</v>
      </c>
      <c r="R71" s="150">
        <f t="shared" si="41"/>
        <v>0.93700159489633172</v>
      </c>
    </row>
    <row r="72" spans="3:18">
      <c r="C72" s="147">
        <v>66</v>
      </c>
      <c r="D72" s="5">
        <f t="shared" si="42"/>
        <v>38.480000000000004</v>
      </c>
      <c r="E72" s="379">
        <f t="shared" si="29"/>
        <v>30.4</v>
      </c>
      <c r="F72" s="188">
        <f t="shared" si="30"/>
        <v>0.44134727061556328</v>
      </c>
      <c r="G72" s="149">
        <f t="shared" si="31"/>
        <v>257.31883292858907</v>
      </c>
      <c r="H72" s="188">
        <f t="shared" si="32"/>
        <v>8.5772944309529695</v>
      </c>
      <c r="I72" s="379">
        <f t="shared" si="33"/>
        <v>68.88</v>
      </c>
      <c r="J72" s="149">
        <f t="shared" si="34"/>
        <v>1.35</v>
      </c>
      <c r="K72" s="149">
        <f t="shared" si="35"/>
        <v>0.16489085239085238</v>
      </c>
      <c r="L72" s="149">
        <f t="shared" si="36"/>
        <v>0.2087171052631579</v>
      </c>
      <c r="M72" s="379">
        <f t="shared" si="43"/>
        <v>350</v>
      </c>
      <c r="N72" s="172">
        <f t="shared" si="37"/>
        <v>350</v>
      </c>
      <c r="O72" s="188">
        <f t="shared" si="38"/>
        <v>10.32403828163336</v>
      </c>
      <c r="P72" s="150">
        <f t="shared" si="39"/>
        <v>1.5961506553841049</v>
      </c>
      <c r="Q72" s="150">
        <f t="shared" si="40"/>
        <v>2.8837760821519431</v>
      </c>
      <c r="R72" s="150">
        <f t="shared" si="41"/>
        <v>0.93700159489633172</v>
      </c>
    </row>
    <row r="73" spans="3:18">
      <c r="C73" s="147">
        <v>67</v>
      </c>
      <c r="D73" s="5">
        <f t="shared" si="42"/>
        <v>38.760000000000005</v>
      </c>
      <c r="E73" s="379">
        <f t="shared" si="29"/>
        <v>30.4</v>
      </c>
      <c r="F73" s="188">
        <f t="shared" si="30"/>
        <v>0.43956043956043955</v>
      </c>
      <c r="G73" s="149">
        <f t="shared" si="31"/>
        <v>258.14185814185822</v>
      </c>
      <c r="H73" s="188">
        <f t="shared" si="32"/>
        <v>8.6047286047286082</v>
      </c>
      <c r="I73" s="379">
        <f t="shared" si="33"/>
        <v>69.16</v>
      </c>
      <c r="J73" s="149">
        <f t="shared" si="34"/>
        <v>1.35</v>
      </c>
      <c r="K73" s="149">
        <f t="shared" si="35"/>
        <v>0.16369969040247676</v>
      </c>
      <c r="L73" s="149">
        <f t="shared" si="36"/>
        <v>0.2087171052631579</v>
      </c>
      <c r="M73" s="379">
        <f t="shared" si="43"/>
        <v>350</v>
      </c>
      <c r="N73" s="172">
        <f t="shared" si="37"/>
        <v>350</v>
      </c>
      <c r="O73" s="188">
        <f t="shared" si="38"/>
        <v>10.357059354019841</v>
      </c>
      <c r="P73" s="150">
        <f t="shared" si="39"/>
        <v>1.6012558869701727</v>
      </c>
      <c r="Q73" s="150">
        <f t="shared" si="40"/>
        <v>2.9022528959066585</v>
      </c>
      <c r="R73" s="150">
        <f t="shared" si="41"/>
        <v>0.93700159489633172</v>
      </c>
    </row>
    <row r="74" spans="3:18">
      <c r="C74" s="147">
        <v>68</v>
      </c>
      <c r="D74" s="5">
        <f t="shared" si="42"/>
        <v>39.040000000000006</v>
      </c>
      <c r="E74" s="379">
        <f t="shared" si="29"/>
        <v>30.4</v>
      </c>
      <c r="F74" s="188">
        <f t="shared" si="30"/>
        <v>0.43778801843317972</v>
      </c>
      <c r="G74" s="149">
        <f t="shared" si="31"/>
        <v>258.95824605502031</v>
      </c>
      <c r="H74" s="188">
        <f t="shared" si="32"/>
        <v>8.6319415351673445</v>
      </c>
      <c r="I74" s="379">
        <f t="shared" si="33"/>
        <v>69.44</v>
      </c>
      <c r="J74" s="149">
        <f t="shared" si="34"/>
        <v>1.35</v>
      </c>
      <c r="K74" s="149">
        <f t="shared" si="35"/>
        <v>0.16252561475409832</v>
      </c>
      <c r="L74" s="149">
        <f t="shared" si="36"/>
        <v>0.2087171052631579</v>
      </c>
      <c r="M74" s="379">
        <f t="shared" si="43"/>
        <v>350</v>
      </c>
      <c r="N74" s="172">
        <f t="shared" si="37"/>
        <v>350</v>
      </c>
      <c r="O74" s="188">
        <f t="shared" si="38"/>
        <v>10.389814127435464</v>
      </c>
      <c r="P74" s="150">
        <f t="shared" si="39"/>
        <v>1.6063199473337724</v>
      </c>
      <c r="Q74" s="150">
        <f t="shared" si="40"/>
        <v>2.9206389943482187</v>
      </c>
      <c r="R74" s="150">
        <f t="shared" si="41"/>
        <v>0.93700159489633172</v>
      </c>
    </row>
    <row r="75" spans="3:18">
      <c r="C75" s="147">
        <v>69</v>
      </c>
      <c r="D75" s="5">
        <f t="shared" si="42"/>
        <v>39.32</v>
      </c>
      <c r="E75" s="379">
        <f t="shared" si="29"/>
        <v>30.4</v>
      </c>
      <c r="F75" s="188">
        <f t="shared" si="30"/>
        <v>0.43602983362019504</v>
      </c>
      <c r="G75" s="149">
        <f t="shared" si="31"/>
        <v>259.76807663554649</v>
      </c>
      <c r="H75" s="188">
        <f t="shared" si="32"/>
        <v>8.6589358878515501</v>
      </c>
      <c r="I75" s="379">
        <f t="shared" si="33"/>
        <v>69.72</v>
      </c>
      <c r="J75" s="149">
        <f t="shared" si="34"/>
        <v>1.35</v>
      </c>
      <c r="K75" s="149">
        <f t="shared" si="35"/>
        <v>0.16136826042726349</v>
      </c>
      <c r="L75" s="149">
        <f t="shared" si="36"/>
        <v>0.2087171052631579</v>
      </c>
      <c r="M75" s="379">
        <f t="shared" si="43"/>
        <v>350</v>
      </c>
      <c r="N75" s="172">
        <f t="shared" si="37"/>
        <v>350</v>
      </c>
      <c r="O75" s="188">
        <f t="shared" si="38"/>
        <v>10.422305810301562</v>
      </c>
      <c r="P75" s="150">
        <f t="shared" si="39"/>
        <v>1.6113433325137285</v>
      </c>
      <c r="Q75" s="150">
        <f t="shared" si="40"/>
        <v>2.9389347709484901</v>
      </c>
      <c r="R75" s="150">
        <f t="shared" si="41"/>
        <v>0.93700159489633172</v>
      </c>
    </row>
    <row r="76" spans="3:18">
      <c r="C76" s="147">
        <v>70</v>
      </c>
      <c r="D76" s="5">
        <f t="shared" si="42"/>
        <v>39.599999999999994</v>
      </c>
      <c r="E76" s="379">
        <f t="shared" si="29"/>
        <v>30.4</v>
      </c>
      <c r="F76" s="188">
        <f t="shared" si="30"/>
        <v>0.43428571428571427</v>
      </c>
      <c r="G76" s="149">
        <f t="shared" si="31"/>
        <v>260.57142857142856</v>
      </c>
      <c r="H76" s="188">
        <f t="shared" si="32"/>
        <v>8.6857142857142851</v>
      </c>
      <c r="I76" s="379">
        <f t="shared" si="33"/>
        <v>70</v>
      </c>
      <c r="J76" s="149">
        <f t="shared" si="34"/>
        <v>1.35</v>
      </c>
      <c r="K76" s="149">
        <f t="shared" si="35"/>
        <v>0.16022727272727277</v>
      </c>
      <c r="L76" s="149">
        <f t="shared" si="36"/>
        <v>0.2087171052631579</v>
      </c>
      <c r="M76" s="379">
        <f t="shared" si="43"/>
        <v>350</v>
      </c>
      <c r="N76" s="172">
        <f t="shared" si="37"/>
        <v>350</v>
      </c>
      <c r="O76" s="188">
        <f t="shared" si="38"/>
        <v>10.454537559704733</v>
      </c>
      <c r="P76" s="150">
        <f t="shared" si="39"/>
        <v>1.6163265306122447</v>
      </c>
      <c r="Q76" s="150">
        <f t="shared" si="40"/>
        <v>2.9571406240307674</v>
      </c>
      <c r="R76" s="150">
        <f t="shared" si="41"/>
        <v>0.93700159489633172</v>
      </c>
    </row>
    <row r="77" spans="3:18">
      <c r="C77" s="147">
        <v>71</v>
      </c>
      <c r="D77" s="5">
        <f t="shared" si="42"/>
        <v>39.879999999999995</v>
      </c>
      <c r="E77" s="379">
        <f t="shared" si="29"/>
        <v>30.4</v>
      </c>
      <c r="F77" s="188">
        <f t="shared" si="30"/>
        <v>0.43255549231644846</v>
      </c>
      <c r="G77" s="149">
        <f t="shared" si="31"/>
        <v>261.36837929666615</v>
      </c>
      <c r="H77" s="188">
        <f t="shared" si="32"/>
        <v>8.7122793098888724</v>
      </c>
      <c r="I77" s="379">
        <f t="shared" si="33"/>
        <v>70.28</v>
      </c>
      <c r="J77" s="149">
        <f t="shared" si="34"/>
        <v>1.35</v>
      </c>
      <c r="K77" s="149">
        <f t="shared" si="35"/>
        <v>0.1591023069207623</v>
      </c>
      <c r="L77" s="149">
        <f t="shared" si="36"/>
        <v>0.2087171052631579</v>
      </c>
      <c r="M77" s="379">
        <f t="shared" si="43"/>
        <v>350</v>
      </c>
      <c r="N77" s="172">
        <f t="shared" si="37"/>
        <v>350</v>
      </c>
      <c r="O77" s="188">
        <f t="shared" si="38"/>
        <v>10.486512482419432</v>
      </c>
      <c r="P77" s="150">
        <f t="shared" si="39"/>
        <v>1.6212700219530043</v>
      </c>
      <c r="Q77" s="150">
        <f t="shared" si="40"/>
        <v>2.9752569564519562</v>
      </c>
      <c r="R77" s="150">
        <f t="shared" si="41"/>
        <v>0.93700159489633172</v>
      </c>
    </row>
    <row r="78" spans="3:18">
      <c r="C78" s="147">
        <v>72</v>
      </c>
      <c r="D78" s="5">
        <f t="shared" si="42"/>
        <v>40.159999999999997</v>
      </c>
      <c r="E78" s="379">
        <f t="shared" si="29"/>
        <v>30.4</v>
      </c>
      <c r="F78" s="188">
        <f t="shared" si="30"/>
        <v>0.43083900226757366</v>
      </c>
      <c r="G78" s="149">
        <f t="shared" si="31"/>
        <v>262.15900501614783</v>
      </c>
      <c r="H78" s="188">
        <f t="shared" si="32"/>
        <v>8.7386335005382616</v>
      </c>
      <c r="I78" s="379">
        <f t="shared" si="33"/>
        <v>70.56</v>
      </c>
      <c r="J78" s="149">
        <f t="shared" si="34"/>
        <v>1.35</v>
      </c>
      <c r="K78" s="149">
        <f t="shared" si="35"/>
        <v>0.15799302788844624</v>
      </c>
      <c r="L78" s="149">
        <f t="shared" si="36"/>
        <v>0.2087171052631579</v>
      </c>
      <c r="M78" s="379">
        <f t="shared" si="43"/>
        <v>350</v>
      </c>
      <c r="N78" s="172">
        <f t="shared" si="37"/>
        <v>350</v>
      </c>
      <c r="O78" s="188">
        <f t="shared" si="38"/>
        <v>10.518233635906237</v>
      </c>
      <c r="P78" s="150">
        <f t="shared" si="39"/>
        <v>1.6261742792355036</v>
      </c>
      <c r="Q78" s="150">
        <f t="shared" si="40"/>
        <v>2.9932841752975801</v>
      </c>
      <c r="R78" s="150">
        <f t="shared" si="41"/>
        <v>0.93700159489633172</v>
      </c>
    </row>
    <row r="79" spans="3:18">
      <c r="C79" s="147">
        <v>73</v>
      </c>
      <c r="D79" s="5">
        <f t="shared" si="42"/>
        <v>40.44</v>
      </c>
      <c r="E79" s="379">
        <f t="shared" si="29"/>
        <v>30.4</v>
      </c>
      <c r="F79" s="188">
        <f t="shared" si="30"/>
        <v>0.42913608130999431</v>
      </c>
      <c r="G79" s="149">
        <f t="shared" si="31"/>
        <v>262.94338072994196</v>
      </c>
      <c r="H79" s="188">
        <f t="shared" si="32"/>
        <v>8.7647793576647324</v>
      </c>
      <c r="I79" s="379">
        <f t="shared" si="33"/>
        <v>70.84</v>
      </c>
      <c r="J79" s="149">
        <f t="shared" si="34"/>
        <v>1.35</v>
      </c>
      <c r="K79" s="149">
        <f t="shared" si="35"/>
        <v>0.15689910979228489</v>
      </c>
      <c r="L79" s="149">
        <f t="shared" si="36"/>
        <v>0.2087171052631579</v>
      </c>
      <c r="M79" s="379">
        <f t="shared" si="43"/>
        <v>350</v>
      </c>
      <c r="N79" s="172">
        <f t="shared" si="37"/>
        <v>350</v>
      </c>
      <c r="O79" s="188">
        <f t="shared" si="38"/>
        <v>10.549704029286426</v>
      </c>
      <c r="P79" s="150">
        <f t="shared" si="39"/>
        <v>1.6310397676857304</v>
      </c>
      <c r="Q79" s="150">
        <f t="shared" si="40"/>
        <v>3.0112226915890954</v>
      </c>
      <c r="R79" s="150">
        <f t="shared" si="41"/>
        <v>0.93700159489633172</v>
      </c>
    </row>
    <row r="80" spans="3:18">
      <c r="C80" s="147">
        <v>74</v>
      </c>
      <c r="D80" s="5">
        <f t="shared" si="42"/>
        <v>40.72</v>
      </c>
      <c r="E80" s="379">
        <f t="shared" si="29"/>
        <v>30.4</v>
      </c>
      <c r="F80" s="188">
        <f t="shared" si="30"/>
        <v>0.4274465691788526</v>
      </c>
      <c r="G80" s="149">
        <f t="shared" si="31"/>
        <v>263.72158025701327</v>
      </c>
      <c r="H80" s="188">
        <f t="shared" si="32"/>
        <v>8.7907193419004432</v>
      </c>
      <c r="I80" s="379">
        <f t="shared" si="33"/>
        <v>71.12</v>
      </c>
      <c r="J80" s="149">
        <f t="shared" si="34"/>
        <v>1.35</v>
      </c>
      <c r="K80" s="149">
        <f t="shared" si="35"/>
        <v>0.15582023575638507</v>
      </c>
      <c r="L80" s="149">
        <f t="shared" si="36"/>
        <v>0.2087171052631579</v>
      </c>
      <c r="M80" s="379">
        <f t="shared" si="43"/>
        <v>350</v>
      </c>
      <c r="N80" s="172">
        <f t="shared" si="37"/>
        <v>350</v>
      </c>
      <c r="O80" s="188">
        <f t="shared" si="38"/>
        <v>10.580926624293543</v>
      </c>
      <c r="P80" s="150">
        <f t="shared" si="39"/>
        <v>1.6358669452032781</v>
      </c>
      <c r="Q80" s="150">
        <f t="shared" si="40"/>
        <v>3.0290729200030446</v>
      </c>
      <c r="R80" s="150">
        <f t="shared" si="41"/>
        <v>0.93700159489633172</v>
      </c>
    </row>
    <row r="81" spans="3:18">
      <c r="C81" s="147">
        <v>75</v>
      </c>
      <c r="D81" s="5">
        <f t="shared" si="42"/>
        <v>41</v>
      </c>
      <c r="E81" s="379">
        <f t="shared" si="29"/>
        <v>30.4</v>
      </c>
      <c r="F81" s="188">
        <f t="shared" si="30"/>
        <v>0.42577030812324923</v>
      </c>
      <c r="G81" s="149">
        <f t="shared" si="31"/>
        <v>264.49367625838215</v>
      </c>
      <c r="H81" s="188">
        <f t="shared" si="32"/>
        <v>8.8164558752794058</v>
      </c>
      <c r="I81" s="379">
        <f t="shared" si="33"/>
        <v>71.400000000000006</v>
      </c>
      <c r="J81" s="149">
        <f t="shared" si="34"/>
        <v>1.35</v>
      </c>
      <c r="K81" s="149">
        <f t="shared" si="35"/>
        <v>0.15475609756097561</v>
      </c>
      <c r="L81" s="149">
        <f t="shared" si="36"/>
        <v>0.2087171052631579</v>
      </c>
      <c r="M81" s="379">
        <f t="shared" si="43"/>
        <v>350</v>
      </c>
      <c r="N81" s="172">
        <f t="shared" si="37"/>
        <v>350</v>
      </c>
      <c r="O81" s="188">
        <f t="shared" si="38"/>
        <v>10.611904336202565</v>
      </c>
      <c r="P81" s="150">
        <f t="shared" si="39"/>
        <v>1.6406562625050021</v>
      </c>
      <c r="Q81" s="150">
        <f t="shared" si="40"/>
        <v>3.0468352786015771</v>
      </c>
      <c r="R81" s="150">
        <f t="shared" si="41"/>
        <v>0.93700159489633172</v>
      </c>
    </row>
    <row r="82" spans="3:18">
      <c r="C82" s="147">
        <v>76</v>
      </c>
      <c r="D82" s="5">
        <f t="shared" si="42"/>
        <v>41.28</v>
      </c>
      <c r="E82" s="379">
        <f t="shared" si="29"/>
        <v>30.4</v>
      </c>
      <c r="F82" s="188">
        <f t="shared" si="30"/>
        <v>0.42410714285714279</v>
      </c>
      <c r="G82" s="149">
        <f t="shared" si="31"/>
        <v>265.25974025974028</v>
      </c>
      <c r="H82" s="188">
        <f t="shared" si="32"/>
        <v>8.8419913419913421</v>
      </c>
      <c r="I82" s="379">
        <f t="shared" si="33"/>
        <v>71.680000000000007</v>
      </c>
      <c r="J82" s="149">
        <f t="shared" si="34"/>
        <v>1.35</v>
      </c>
      <c r="K82" s="149">
        <f t="shared" si="35"/>
        <v>0.15370639534883723</v>
      </c>
      <c r="L82" s="149">
        <f t="shared" si="36"/>
        <v>0.2087171052631579</v>
      </c>
      <c r="M82" s="379">
        <f t="shared" si="43"/>
        <v>350</v>
      </c>
      <c r="N82" s="172">
        <f t="shared" si="37"/>
        <v>350</v>
      </c>
      <c r="O82" s="188">
        <f t="shared" si="38"/>
        <v>10.642640034737301</v>
      </c>
      <c r="P82" s="150">
        <f t="shared" si="39"/>
        <v>1.6454081632653064</v>
      </c>
      <c r="Q82" s="150">
        <f t="shared" si="40"/>
        <v>3.064510188573911</v>
      </c>
      <c r="R82" s="150">
        <f t="shared" si="41"/>
        <v>0.93700159489633172</v>
      </c>
    </row>
    <row r="83" spans="3:18">
      <c r="C83" s="147">
        <v>77</v>
      </c>
      <c r="D83" s="5">
        <f t="shared" si="42"/>
        <v>41.56</v>
      </c>
      <c r="E83" s="379">
        <f t="shared" si="29"/>
        <v>30.4</v>
      </c>
      <c r="F83" s="188">
        <f t="shared" si="30"/>
        <v>0.42245692051139516</v>
      </c>
      <c r="G83" s="149">
        <f t="shared" si="31"/>
        <v>266.01984267353913</v>
      </c>
      <c r="H83" s="188">
        <f t="shared" si="32"/>
        <v>8.8673280891179704</v>
      </c>
      <c r="I83" s="379">
        <f t="shared" si="33"/>
        <v>71.960000000000008</v>
      </c>
      <c r="J83" s="149">
        <f t="shared" si="34"/>
        <v>1.35</v>
      </c>
      <c r="K83" s="149">
        <f t="shared" si="35"/>
        <v>0.15267083734359962</v>
      </c>
      <c r="L83" s="149">
        <f t="shared" si="36"/>
        <v>0.2087171052631579</v>
      </c>
      <c r="M83" s="379">
        <f t="shared" si="43"/>
        <v>350</v>
      </c>
      <c r="N83" s="172">
        <f t="shared" si="37"/>
        <v>350</v>
      </c>
      <c r="O83" s="188">
        <f t="shared" si="38"/>
        <v>10.673136544956586</v>
      </c>
      <c r="P83" s="150">
        <f t="shared" si="39"/>
        <v>1.6501230842531565</v>
      </c>
      <c r="Q83" s="150">
        <f t="shared" si="40"/>
        <v>3.082098073988297</v>
      </c>
      <c r="R83" s="150">
        <f t="shared" si="41"/>
        <v>0.93700159489633172</v>
      </c>
    </row>
    <row r="84" spans="3:18">
      <c r="C84" s="147">
        <v>78</v>
      </c>
      <c r="D84" s="5">
        <f t="shared" si="42"/>
        <v>41.84</v>
      </c>
      <c r="E84" s="379">
        <f t="shared" si="29"/>
        <v>30.4</v>
      </c>
      <c r="F84" s="188">
        <f t="shared" si="30"/>
        <v>0.42081949058693235</v>
      </c>
      <c r="G84" s="149">
        <f t="shared" si="31"/>
        <v>266.77405282056441</v>
      </c>
      <c r="H84" s="188">
        <f t="shared" si="32"/>
        <v>8.8924684273521475</v>
      </c>
      <c r="I84" s="379">
        <f t="shared" si="33"/>
        <v>72.240000000000009</v>
      </c>
      <c r="J84" s="149">
        <f t="shared" si="34"/>
        <v>1.35</v>
      </c>
      <c r="K84" s="149">
        <f t="shared" si="35"/>
        <v>0.15164913957934989</v>
      </c>
      <c r="L84" s="149">
        <f t="shared" si="36"/>
        <v>0.2087171052631579</v>
      </c>
      <c r="M84" s="379">
        <f t="shared" si="43"/>
        <v>350</v>
      </c>
      <c r="N84" s="172">
        <f t="shared" si="37"/>
        <v>350</v>
      </c>
      <c r="O84" s="188">
        <f t="shared" si="38"/>
        <v>10.703396648119909</v>
      </c>
      <c r="P84" s="150">
        <f t="shared" si="39"/>
        <v>1.6548014554659072</v>
      </c>
      <c r="Q84" s="150">
        <f t="shared" si="40"/>
        <v>3.0995993615541044</v>
      </c>
      <c r="R84" s="150">
        <f t="shared" si="41"/>
        <v>0.93700159489633172</v>
      </c>
    </row>
    <row r="85" spans="3:18">
      <c r="C85" s="147">
        <v>79</v>
      </c>
      <c r="D85" s="5">
        <f t="shared" si="42"/>
        <v>42.120000000000005</v>
      </c>
      <c r="E85" s="379">
        <f t="shared" si="29"/>
        <v>30.4</v>
      </c>
      <c r="F85" s="188">
        <f t="shared" si="30"/>
        <v>0.41919470490899052</v>
      </c>
      <c r="G85" s="149">
        <f t="shared" si="31"/>
        <v>267.52243895101037</v>
      </c>
      <c r="H85" s="188">
        <f t="shared" si="32"/>
        <v>8.9174146317003462</v>
      </c>
      <c r="I85" s="379">
        <f t="shared" si="33"/>
        <v>72.52000000000001</v>
      </c>
      <c r="J85" s="149">
        <f t="shared" si="34"/>
        <v>1.35</v>
      </c>
      <c r="K85" s="149">
        <f t="shared" si="35"/>
        <v>0.15064102564102563</v>
      </c>
      <c r="L85" s="149">
        <f t="shared" si="36"/>
        <v>0.2087171052631579</v>
      </c>
      <c r="M85" s="379">
        <f t="shared" si="43"/>
        <v>350</v>
      </c>
      <c r="N85" s="172">
        <f t="shared" si="37"/>
        <v>350</v>
      </c>
      <c r="O85" s="188">
        <f t="shared" si="38"/>
        <v>10.733423082532939</v>
      </c>
      <c r="P85" s="150">
        <f t="shared" si="39"/>
        <v>1.6594437002600266</v>
      </c>
      <c r="Q85" s="150">
        <f t="shared" si="40"/>
        <v>3.1170144803935971</v>
      </c>
      <c r="R85" s="150">
        <f t="shared" si="41"/>
        <v>0.93700159489633172</v>
      </c>
    </row>
    <row r="86" spans="3:18">
      <c r="C86" s="147">
        <v>80</v>
      </c>
      <c r="D86" s="5">
        <f t="shared" si="42"/>
        <v>42.400000000000006</v>
      </c>
      <c r="E86" s="379">
        <f t="shared" si="29"/>
        <v>30.4</v>
      </c>
      <c r="F86" s="188">
        <f t="shared" si="30"/>
        <v>0.41758241758241749</v>
      </c>
      <c r="G86" s="149">
        <f t="shared" si="31"/>
        <v>268.26506826506824</v>
      </c>
      <c r="H86" s="188">
        <f t="shared" si="32"/>
        <v>8.9421689421689408</v>
      </c>
      <c r="I86" s="379">
        <f t="shared" si="33"/>
        <v>72.800000000000011</v>
      </c>
      <c r="J86" s="149">
        <f t="shared" si="34"/>
        <v>1.35</v>
      </c>
      <c r="K86" s="149">
        <f t="shared" si="35"/>
        <v>0.14964622641509434</v>
      </c>
      <c r="L86" s="149">
        <f t="shared" si="36"/>
        <v>0.2087171052631579</v>
      </c>
      <c r="M86" s="379">
        <f t="shared" si="43"/>
        <v>350</v>
      </c>
      <c r="N86" s="172">
        <f t="shared" si="37"/>
        <v>350</v>
      </c>
      <c r="O86" s="188">
        <f t="shared" si="38"/>
        <v>10.763218544373558</v>
      </c>
      <c r="P86" s="150">
        <f t="shared" si="39"/>
        <v>1.6640502354788067</v>
      </c>
      <c r="Q86" s="150">
        <f t="shared" si="40"/>
        <v>3.1343438618230688</v>
      </c>
      <c r="R86" s="150">
        <f t="shared" si="41"/>
        <v>0.93700159489633172</v>
      </c>
    </row>
    <row r="87" spans="3:18">
      <c r="C87" s="147">
        <v>81</v>
      </c>
      <c r="D87" s="5">
        <f t="shared" si="42"/>
        <v>42.68</v>
      </c>
      <c r="E87" s="379">
        <f t="shared" si="29"/>
        <v>30.4</v>
      </c>
      <c r="F87" s="188">
        <f t="shared" si="30"/>
        <v>0.41598248494800216</v>
      </c>
      <c r="G87" s="149">
        <f t="shared" si="31"/>
        <v>269.0020069330414</v>
      </c>
      <c r="H87" s="188">
        <f t="shared" si="32"/>
        <v>8.9667335644347137</v>
      </c>
      <c r="I87" s="379">
        <f t="shared" si="33"/>
        <v>73.08</v>
      </c>
      <c r="J87" s="149">
        <f t="shared" si="34"/>
        <v>1.35</v>
      </c>
      <c r="K87" s="149">
        <f t="shared" si="35"/>
        <v>0.14866447985004688</v>
      </c>
      <c r="L87" s="149">
        <f t="shared" si="36"/>
        <v>0.2087171052631579</v>
      </c>
      <c r="M87" s="379">
        <f t="shared" si="43"/>
        <v>350</v>
      </c>
      <c r="N87" s="172">
        <f t="shared" si="37"/>
        <v>350</v>
      </c>
      <c r="O87" s="188">
        <f t="shared" si="38"/>
        <v>10.792785688498924</v>
      </c>
      <c r="P87" s="150">
        <f t="shared" si="39"/>
        <v>1.6686214715771364</v>
      </c>
      <c r="Q87" s="150">
        <f t="shared" si="40"/>
        <v>3.1515879391429524</v>
      </c>
      <c r="R87" s="150">
        <f t="shared" si="41"/>
        <v>0.93700159489633172</v>
      </c>
    </row>
    <row r="88" spans="3:18">
      <c r="C88" s="147">
        <v>82</v>
      </c>
      <c r="D88" s="5">
        <f t="shared" si="42"/>
        <v>42.959999999999994</v>
      </c>
      <c r="E88" s="379">
        <f t="shared" si="29"/>
        <v>30.4</v>
      </c>
      <c r="F88" s="188">
        <f t="shared" si="30"/>
        <v>0.41439476553980376</v>
      </c>
      <c r="G88" s="149">
        <f t="shared" si="31"/>
        <v>269.73332011499951</v>
      </c>
      <c r="H88" s="188">
        <f t="shared" si="32"/>
        <v>8.9911106704999835</v>
      </c>
      <c r="I88" s="379">
        <f t="shared" si="33"/>
        <v>73.359999999999985</v>
      </c>
      <c r="J88" s="149">
        <f t="shared" si="34"/>
        <v>1.35</v>
      </c>
      <c r="K88" s="149">
        <f t="shared" si="35"/>
        <v>0.14769553072625699</v>
      </c>
      <c r="L88" s="149">
        <f t="shared" si="36"/>
        <v>0.2087171052631579</v>
      </c>
      <c r="M88" s="379">
        <f t="shared" si="43"/>
        <v>350</v>
      </c>
      <c r="N88" s="172">
        <f t="shared" si="37"/>
        <v>350</v>
      </c>
      <c r="O88" s="188">
        <f t="shared" si="38"/>
        <v>10.822127129234023</v>
      </c>
      <c r="P88" s="150">
        <f t="shared" si="39"/>
        <v>1.6731578127434181</v>
      </c>
      <c r="Q88" s="150">
        <f t="shared" si="40"/>
        <v>3.1687471474365707</v>
      </c>
      <c r="R88" s="150">
        <f t="shared" si="41"/>
        <v>0.93700159489633172</v>
      </c>
    </row>
    <row r="89" spans="3:18">
      <c r="C89" s="147">
        <v>83</v>
      </c>
      <c r="D89" s="5">
        <f t="shared" si="42"/>
        <v>43.239999999999995</v>
      </c>
      <c r="E89" s="379">
        <f t="shared" si="29"/>
        <v>30.4</v>
      </c>
      <c r="F89" s="188">
        <f t="shared" si="30"/>
        <v>0.41281912004345472</v>
      </c>
      <c r="G89" s="149">
        <f t="shared" si="31"/>
        <v>270.45907197998457</v>
      </c>
      <c r="H89" s="188">
        <f t="shared" si="32"/>
        <v>9.0153023993328194</v>
      </c>
      <c r="I89" s="379">
        <f t="shared" si="33"/>
        <v>73.639999999999986</v>
      </c>
      <c r="J89" s="149">
        <f t="shared" si="34"/>
        <v>1.35</v>
      </c>
      <c r="K89" s="149">
        <f t="shared" si="35"/>
        <v>0.14673913043478265</v>
      </c>
      <c r="L89" s="149">
        <f t="shared" si="36"/>
        <v>0.2087171052631579</v>
      </c>
      <c r="M89" s="379">
        <f t="shared" si="43"/>
        <v>350</v>
      </c>
      <c r="N89" s="172">
        <f t="shared" si="37"/>
        <v>350</v>
      </c>
      <c r="O89" s="188">
        <f t="shared" si="38"/>
        <v>10.851245441142236</v>
      </c>
      <c r="P89" s="150">
        <f t="shared" si="39"/>
        <v>1.677659657018701</v>
      </c>
      <c r="Q89" s="150">
        <f t="shared" si="40"/>
        <v>3.1858219233771745</v>
      </c>
      <c r="R89" s="150">
        <f t="shared" si="41"/>
        <v>0.93700159489633172</v>
      </c>
    </row>
    <row r="90" spans="3:18">
      <c r="C90" s="147">
        <v>84</v>
      </c>
      <c r="D90" s="5">
        <f t="shared" si="42"/>
        <v>43.519999999999996</v>
      </c>
      <c r="E90" s="379">
        <f t="shared" si="29"/>
        <v>30.4</v>
      </c>
      <c r="F90" s="188">
        <f t="shared" si="30"/>
        <v>0.41125541125541132</v>
      </c>
      <c r="G90" s="149">
        <f t="shared" si="31"/>
        <v>271.17932572478031</v>
      </c>
      <c r="H90" s="188">
        <f t="shared" si="32"/>
        <v>9.0393108574926764</v>
      </c>
      <c r="I90" s="379">
        <f t="shared" si="33"/>
        <v>73.919999999999987</v>
      </c>
      <c r="J90" s="149">
        <f t="shared" si="34"/>
        <v>1.35</v>
      </c>
      <c r="K90" s="149">
        <f t="shared" si="35"/>
        <v>0.1457950367647059</v>
      </c>
      <c r="L90" s="149">
        <f t="shared" si="36"/>
        <v>0.2087171052631579</v>
      </c>
      <c r="M90" s="379">
        <f t="shared" si="43"/>
        <v>350</v>
      </c>
      <c r="N90" s="172">
        <f t="shared" si="37"/>
        <v>350</v>
      </c>
      <c r="O90" s="188">
        <f t="shared" si="38"/>
        <v>10.880143159778417</v>
      </c>
      <c r="P90" s="150">
        <f t="shared" si="39"/>
        <v>1.6821273964131105</v>
      </c>
      <c r="Q90" s="150">
        <f t="shared" si="40"/>
        <v>3.2028127050429966</v>
      </c>
      <c r="R90" s="150">
        <f t="shared" si="41"/>
        <v>0.93700159489633172</v>
      </c>
    </row>
    <row r="91" spans="3:18">
      <c r="C91" s="147">
        <v>85</v>
      </c>
      <c r="D91" s="5">
        <f t="shared" si="42"/>
        <v>43.8</v>
      </c>
      <c r="E91" s="379">
        <f t="shared" si="29"/>
        <v>30.4</v>
      </c>
      <c r="F91" s="188">
        <f t="shared" si="30"/>
        <v>0.40970350404312672</v>
      </c>
      <c r="G91" s="149">
        <f t="shared" si="31"/>
        <v>271.8941435922568</v>
      </c>
      <c r="H91" s="188">
        <f t="shared" si="32"/>
        <v>9.0631381197418932</v>
      </c>
      <c r="I91" s="379">
        <f t="shared" si="33"/>
        <v>74.199999999999989</v>
      </c>
      <c r="J91" s="149">
        <f t="shared" si="34"/>
        <v>1.35</v>
      </c>
      <c r="K91" s="149">
        <f t="shared" si="35"/>
        <v>0.14486301369863014</v>
      </c>
      <c r="L91" s="149">
        <f t="shared" si="36"/>
        <v>0.2087171052631579</v>
      </c>
      <c r="M91" s="379">
        <f t="shared" si="43"/>
        <v>350</v>
      </c>
      <c r="N91" s="172">
        <f t="shared" si="37"/>
        <v>350</v>
      </c>
      <c r="O91" s="188">
        <f t="shared" si="38"/>
        <v>10.908822782424892</v>
      </c>
      <c r="P91" s="150">
        <f t="shared" si="39"/>
        <v>1.6865614170196381</v>
      </c>
      <c r="Q91" s="150">
        <f t="shared" si="40"/>
        <v>3.2197199317399612</v>
      </c>
      <c r="R91" s="150">
        <f t="shared" si="41"/>
        <v>0.93700159489633172</v>
      </c>
    </row>
    <row r="92" spans="3:18">
      <c r="C92" s="147">
        <v>86</v>
      </c>
      <c r="D92" s="5">
        <f t="shared" si="42"/>
        <v>44.08</v>
      </c>
      <c r="E92" s="379">
        <f t="shared" si="29"/>
        <v>30.4</v>
      </c>
      <c r="F92" s="188">
        <f t="shared" si="30"/>
        <v>0.40816326530612251</v>
      </c>
      <c r="G92" s="149">
        <f t="shared" si="31"/>
        <v>272.60358688930125</v>
      </c>
      <c r="H92" s="188">
        <f t="shared" si="32"/>
        <v>9.0867862296433746</v>
      </c>
      <c r="I92" s="379">
        <f t="shared" si="33"/>
        <v>74.47999999999999</v>
      </c>
      <c r="J92" s="149">
        <f t="shared" si="34"/>
        <v>1.35</v>
      </c>
      <c r="K92" s="149">
        <f t="shared" si="35"/>
        <v>0.14394283121597098</v>
      </c>
      <c r="L92" s="149">
        <f t="shared" si="36"/>
        <v>0.2087171052631579</v>
      </c>
      <c r="M92" s="379">
        <f t="shared" si="43"/>
        <v>350</v>
      </c>
      <c r="N92" s="172">
        <f t="shared" si="37"/>
        <v>350</v>
      </c>
      <c r="O92" s="188">
        <f t="shared" si="38"/>
        <v>10.937286768810868</v>
      </c>
      <c r="P92" s="150">
        <f t="shared" si="39"/>
        <v>1.6909620991253642</v>
      </c>
      <c r="Q92" s="150">
        <f t="shared" si="40"/>
        <v>3.236544043831787</v>
      </c>
      <c r="R92" s="150">
        <f t="shared" si="41"/>
        <v>0.93700159489633172</v>
      </c>
    </row>
    <row r="93" spans="3:18">
      <c r="C93" s="147">
        <v>87</v>
      </c>
      <c r="D93" s="5">
        <f t="shared" si="42"/>
        <v>44.36</v>
      </c>
      <c r="E93" s="379">
        <f t="shared" si="29"/>
        <v>30.4</v>
      </c>
      <c r="F93" s="188">
        <f t="shared" si="30"/>
        <v>0.40663456393793473</v>
      </c>
      <c r="G93" s="149">
        <f t="shared" si="31"/>
        <v>273.3077160043452</v>
      </c>
      <c r="H93" s="188">
        <f t="shared" si="32"/>
        <v>9.1102572001448401</v>
      </c>
      <c r="I93" s="379">
        <f t="shared" si="33"/>
        <v>74.759999999999991</v>
      </c>
      <c r="J93" s="149">
        <f t="shared" si="34"/>
        <v>1.35</v>
      </c>
      <c r="K93" s="149">
        <f t="shared" si="35"/>
        <v>0.14303426510369702</v>
      </c>
      <c r="L93" s="149">
        <f t="shared" si="36"/>
        <v>0.2087171052631579</v>
      </c>
      <c r="M93" s="379">
        <f t="shared" si="43"/>
        <v>350</v>
      </c>
      <c r="N93" s="172">
        <f t="shared" si="37"/>
        <v>350</v>
      </c>
      <c r="O93" s="188">
        <f t="shared" si="38"/>
        <v>10.965537541815674</v>
      </c>
      <c r="P93" s="150">
        <f t="shared" si="39"/>
        <v>1.6953298173201867</v>
      </c>
      <c r="Q93" s="150">
        <f t="shared" si="40"/>
        <v>3.2532854825772031</v>
      </c>
      <c r="R93" s="150">
        <f t="shared" si="41"/>
        <v>0.93700159489633172</v>
      </c>
    </row>
    <row r="94" spans="3:18">
      <c r="C94" s="147">
        <v>88</v>
      </c>
      <c r="D94" s="5">
        <f t="shared" si="42"/>
        <v>44.64</v>
      </c>
      <c r="E94" s="379">
        <f t="shared" si="29"/>
        <v>30.4</v>
      </c>
      <c r="F94" s="188">
        <f t="shared" si="30"/>
        <v>0.40511727078891263</v>
      </c>
      <c r="G94" s="149">
        <f t="shared" si="31"/>
        <v>274.00659042450093</v>
      </c>
      <c r="H94" s="188">
        <f t="shared" si="32"/>
        <v>9.1335530141500314</v>
      </c>
      <c r="I94" s="379">
        <f t="shared" si="33"/>
        <v>75.039999999999992</v>
      </c>
      <c r="J94" s="149">
        <f t="shared" si="34"/>
        <v>1.35</v>
      </c>
      <c r="K94" s="149">
        <f t="shared" si="35"/>
        <v>0.14213709677419353</v>
      </c>
      <c r="L94" s="149">
        <f t="shared" si="36"/>
        <v>0.2087171052631579</v>
      </c>
      <c r="M94" s="379">
        <f t="shared" si="43"/>
        <v>350</v>
      </c>
      <c r="N94" s="172">
        <f t="shared" si="37"/>
        <v>350</v>
      </c>
      <c r="O94" s="188">
        <f t="shared" si="38"/>
        <v>10.993577488156268</v>
      </c>
      <c r="P94" s="150">
        <f t="shared" si="39"/>
        <v>1.699664940603107</v>
      </c>
      <c r="Q94" s="150">
        <f t="shared" si="40"/>
        <v>3.2699446899739861</v>
      </c>
      <c r="R94" s="150">
        <f t="shared" si="41"/>
        <v>0.93700159489633172</v>
      </c>
    </row>
    <row r="95" spans="3:18">
      <c r="C95" s="147">
        <v>89</v>
      </c>
      <c r="D95" s="5">
        <f t="shared" si="42"/>
        <v>44.92</v>
      </c>
      <c r="E95" s="379">
        <f t="shared" si="29"/>
        <v>30.4</v>
      </c>
      <c r="F95" s="188">
        <f t="shared" si="30"/>
        <v>0.40361125862984598</v>
      </c>
      <c r="G95" s="149">
        <f t="shared" si="31"/>
        <v>274.70026875231338</v>
      </c>
      <c r="H95" s="188">
        <f t="shared" si="32"/>
        <v>9.1566756250771117</v>
      </c>
      <c r="I95" s="379">
        <f t="shared" si="33"/>
        <v>75.319999999999993</v>
      </c>
      <c r="J95" s="149">
        <f t="shared" si="34"/>
        <v>1.35</v>
      </c>
      <c r="K95" s="149">
        <f t="shared" si="35"/>
        <v>0.14125111308993768</v>
      </c>
      <c r="L95" s="149">
        <f t="shared" si="36"/>
        <v>0.2087171052631579</v>
      </c>
      <c r="M95" s="379">
        <f t="shared" si="43"/>
        <v>350</v>
      </c>
      <c r="N95" s="172">
        <f t="shared" si="37"/>
        <v>350</v>
      </c>
      <c r="O95" s="188">
        <f t="shared" si="38"/>
        <v>11.021408959059382</v>
      </c>
      <c r="P95" s="150">
        <f t="shared" si="39"/>
        <v>1.7039678324861545</v>
      </c>
      <c r="Q95" s="150">
        <f t="shared" si="40"/>
        <v>3.2865221086095819</v>
      </c>
      <c r="R95" s="150">
        <f t="shared" si="41"/>
        <v>0.93700159489633172</v>
      </c>
    </row>
    <row r="96" spans="3:18">
      <c r="C96" s="147">
        <v>90</v>
      </c>
      <c r="D96" s="5">
        <f t="shared" si="42"/>
        <v>45.2</v>
      </c>
      <c r="E96" s="379">
        <f t="shared" si="29"/>
        <v>30.4</v>
      </c>
      <c r="F96" s="188">
        <f t="shared" si="30"/>
        <v>0.40211640211640215</v>
      </c>
      <c r="G96" s="149">
        <f t="shared" si="31"/>
        <v>275.38880872214207</v>
      </c>
      <c r="H96" s="188">
        <f t="shared" si="32"/>
        <v>9.1796269574047358</v>
      </c>
      <c r="I96" s="379">
        <f t="shared" si="33"/>
        <v>75.599999999999994</v>
      </c>
      <c r="J96" s="149">
        <f t="shared" si="34"/>
        <v>1.35</v>
      </c>
      <c r="K96" s="149">
        <f t="shared" si="35"/>
        <v>0.14037610619469026</v>
      </c>
      <c r="L96" s="149">
        <f t="shared" si="36"/>
        <v>0.2087171052631579</v>
      </c>
      <c r="M96" s="379">
        <f t="shared" si="43"/>
        <v>350</v>
      </c>
      <c r="N96" s="172">
        <f t="shared" si="37"/>
        <v>350</v>
      </c>
      <c r="O96" s="188">
        <f t="shared" si="38"/>
        <v>11.049034270918769</v>
      </c>
      <c r="P96" s="150">
        <f t="shared" si="39"/>
        <v>1.7082388510959938</v>
      </c>
      <c r="Q96" s="150">
        <f t="shared" si="40"/>
        <v>3.3030181815180444</v>
      </c>
      <c r="R96" s="150">
        <f t="shared" si="41"/>
        <v>0.93700159489633172</v>
      </c>
    </row>
    <row r="97" spans="3:18">
      <c r="C97" s="147">
        <v>91</v>
      </c>
      <c r="D97" s="5">
        <f t="shared" si="42"/>
        <v>45.480000000000004</v>
      </c>
      <c r="E97" s="379">
        <f t="shared" si="29"/>
        <v>30.4</v>
      </c>
      <c r="F97" s="188">
        <f t="shared" si="30"/>
        <v>0.40063257775434896</v>
      </c>
      <c r="G97" s="149">
        <f t="shared" si="31"/>
        <v>276.07226721617872</v>
      </c>
      <c r="H97" s="188">
        <f t="shared" si="32"/>
        <v>9.2024089072059567</v>
      </c>
      <c r="I97" s="379">
        <f t="shared" si="33"/>
        <v>75.88</v>
      </c>
      <c r="J97" s="149">
        <f t="shared" si="34"/>
        <v>1.35</v>
      </c>
      <c r="K97" s="149">
        <f t="shared" si="35"/>
        <v>0.13951187335092347</v>
      </c>
      <c r="L97" s="149">
        <f t="shared" si="36"/>
        <v>0.2087171052631579</v>
      </c>
      <c r="M97" s="379">
        <f t="shared" si="43"/>
        <v>350</v>
      </c>
      <c r="N97" s="172">
        <f t="shared" si="37"/>
        <v>350</v>
      </c>
      <c r="O97" s="188">
        <f t="shared" si="38"/>
        <v>11.076455705937867</v>
      </c>
      <c r="P97" s="150">
        <f t="shared" si="39"/>
        <v>1.7124783492732887</v>
      </c>
      <c r="Q97" s="150">
        <f t="shared" si="40"/>
        <v>3.3194333520430566</v>
      </c>
      <c r="R97" s="150">
        <f t="shared" si="41"/>
        <v>0.93700159489633172</v>
      </c>
    </row>
    <row r="98" spans="3:18">
      <c r="C98" s="147">
        <v>92</v>
      </c>
      <c r="D98" s="5">
        <f t="shared" si="42"/>
        <v>45.760000000000005</v>
      </c>
      <c r="E98" s="379">
        <f t="shared" si="29"/>
        <v>30.4</v>
      </c>
      <c r="F98" s="188">
        <f t="shared" si="30"/>
        <v>0.39915966386554624</v>
      </c>
      <c r="G98" s="149">
        <f t="shared" si="31"/>
        <v>276.75070028011208</v>
      </c>
      <c r="H98" s="188">
        <f t="shared" si="32"/>
        <v>9.2250233426704025</v>
      </c>
      <c r="I98" s="379">
        <f t="shared" si="33"/>
        <v>76.16</v>
      </c>
      <c r="J98" s="149">
        <f t="shared" si="34"/>
        <v>1.35</v>
      </c>
      <c r="K98" s="149">
        <f t="shared" si="35"/>
        <v>0.13865821678321677</v>
      </c>
      <c r="L98" s="149">
        <f t="shared" si="36"/>
        <v>0.2087171052631579</v>
      </c>
      <c r="M98" s="379">
        <f t="shared" si="43"/>
        <v>350</v>
      </c>
      <c r="N98" s="172">
        <f t="shared" si="37"/>
        <v>350</v>
      </c>
      <c r="O98" s="188">
        <f t="shared" si="38"/>
        <v>11.103675512758295</v>
      </c>
      <c r="P98" s="150">
        <f t="shared" si="39"/>
        <v>1.7166866746698681</v>
      </c>
      <c r="Q98" s="150">
        <f t="shared" si="40"/>
        <v>3.3357680637067992</v>
      </c>
      <c r="R98" s="150">
        <f t="shared" si="41"/>
        <v>0.93700159489633172</v>
      </c>
    </row>
    <row r="99" spans="3:18">
      <c r="C99" s="147">
        <v>93</v>
      </c>
      <c r="D99" s="5">
        <f t="shared" si="42"/>
        <v>46.040000000000006</v>
      </c>
      <c r="E99" s="379">
        <f t="shared" si="29"/>
        <v>30.4</v>
      </c>
      <c r="F99" s="188">
        <f t="shared" si="30"/>
        <v>0.39769754055468343</v>
      </c>
      <c r="G99" s="149">
        <f t="shared" si="31"/>
        <v>277.42416313844893</v>
      </c>
      <c r="H99" s="188">
        <f t="shared" si="32"/>
        <v>9.2474721046149639</v>
      </c>
      <c r="I99" s="379">
        <f t="shared" si="33"/>
        <v>76.44</v>
      </c>
      <c r="J99" s="149">
        <f t="shared" si="34"/>
        <v>1.35</v>
      </c>
      <c r="K99" s="149">
        <f t="shared" si="35"/>
        <v>0.13781494352736751</v>
      </c>
      <c r="L99" s="149">
        <f t="shared" si="36"/>
        <v>0.2087171052631579</v>
      </c>
      <c r="M99" s="379">
        <f t="shared" si="43"/>
        <v>350</v>
      </c>
      <c r="N99" s="172">
        <f t="shared" si="37"/>
        <v>350</v>
      </c>
      <c r="O99" s="188">
        <f t="shared" si="38"/>
        <v>11.130695907074545</v>
      </c>
      <c r="P99" s="150">
        <f t="shared" si="39"/>
        <v>1.7208641698437617</v>
      </c>
      <c r="Q99" s="150">
        <f t="shared" si="40"/>
        <v>3.3520227600844588</v>
      </c>
      <c r="R99" s="150">
        <f t="shared" si="41"/>
        <v>0.93700159489633172</v>
      </c>
    </row>
    <row r="100" spans="3:18">
      <c r="C100" s="147">
        <v>94</v>
      </c>
      <c r="D100" s="5">
        <f t="shared" si="42"/>
        <v>46.32</v>
      </c>
      <c r="E100" s="379">
        <f t="shared" si="29"/>
        <v>30.4</v>
      </c>
      <c r="F100" s="188">
        <f t="shared" si="30"/>
        <v>0.39624608967674657</v>
      </c>
      <c r="G100" s="149">
        <f t="shared" si="31"/>
        <v>278.09271020949853</v>
      </c>
      <c r="H100" s="188">
        <f t="shared" si="32"/>
        <v>9.2697570069832853</v>
      </c>
      <c r="I100" s="379">
        <f t="shared" si="33"/>
        <v>76.72</v>
      </c>
      <c r="J100" s="149">
        <f t="shared" si="34"/>
        <v>1.35</v>
      </c>
      <c r="K100" s="149">
        <f t="shared" si="35"/>
        <v>0.13698186528497408</v>
      </c>
      <c r="L100" s="149">
        <f t="shared" si="36"/>
        <v>0.2087171052631579</v>
      </c>
      <c r="M100" s="379">
        <f t="shared" si="43"/>
        <v>350</v>
      </c>
      <c r="N100" s="172">
        <f t="shared" si="37"/>
        <v>350</v>
      </c>
      <c r="O100" s="188">
        <f t="shared" si="38"/>
        <v>11.1575190722352</v>
      </c>
      <c r="P100" s="150">
        <f t="shared" si="39"/>
        <v>1.7250111723521526</v>
      </c>
      <c r="Q100" s="150">
        <f t="shared" si="40"/>
        <v>3.3681978846841396</v>
      </c>
      <c r="R100" s="150">
        <f t="shared" si="41"/>
        <v>0.93700159489633172</v>
      </c>
    </row>
    <row r="101" spans="3:18">
      <c r="C101" s="147">
        <v>95</v>
      </c>
      <c r="D101" s="5">
        <f t="shared" si="42"/>
        <v>46.599999999999994</v>
      </c>
      <c r="E101" s="379">
        <f t="shared" si="29"/>
        <v>30.4</v>
      </c>
      <c r="F101" s="188">
        <f t="shared" si="30"/>
        <v>0.39480519480519477</v>
      </c>
      <c r="G101" s="149">
        <f t="shared" si="31"/>
        <v>278.75639512003147</v>
      </c>
      <c r="H101" s="188">
        <f t="shared" si="32"/>
        <v>9.2918798373343829</v>
      </c>
      <c r="I101" s="379">
        <f t="shared" si="33"/>
        <v>77</v>
      </c>
      <c r="J101" s="149">
        <f t="shared" si="34"/>
        <v>1.35</v>
      </c>
      <c r="K101" s="149">
        <f t="shared" si="35"/>
        <v>0.13615879828326183</v>
      </c>
      <c r="L101" s="149">
        <f t="shared" si="36"/>
        <v>0.2087171052631579</v>
      </c>
      <c r="M101" s="379">
        <f t="shared" si="43"/>
        <v>350</v>
      </c>
      <c r="N101" s="172">
        <f t="shared" si="37"/>
        <v>350</v>
      </c>
      <c r="O101" s="188">
        <f t="shared" si="38"/>
        <v>11.184147159831049</v>
      </c>
      <c r="P101" s="150">
        <f t="shared" si="39"/>
        <v>1.7291280148423005</v>
      </c>
      <c r="Q101" s="150">
        <f t="shared" si="40"/>
        <v>3.3842938808319927</v>
      </c>
      <c r="R101" s="150">
        <f t="shared" si="41"/>
        <v>0.93700159489633172</v>
      </c>
    </row>
    <row r="102" spans="3:18">
      <c r="C102" s="147">
        <v>96</v>
      </c>
      <c r="D102" s="5">
        <f t="shared" si="42"/>
        <v>46.879999999999995</v>
      </c>
      <c r="E102" s="379">
        <f t="shared" si="29"/>
        <v>30.4</v>
      </c>
      <c r="F102" s="188">
        <f t="shared" si="30"/>
        <v>0.39337474120082816</v>
      </c>
      <c r="G102" s="149">
        <f>F102*D102*Isw_max*0.5*Efficiency</f>
        <v>279.41527071961849</v>
      </c>
      <c r="H102" s="188">
        <f>G102/Vout</f>
        <v>9.3138423573206168</v>
      </c>
      <c r="I102" s="379">
        <f t="shared" si="33"/>
        <v>77.28</v>
      </c>
      <c r="J102" s="149">
        <f t="shared" si="34"/>
        <v>1.35</v>
      </c>
      <c r="K102" s="149">
        <f>L*J102/D102*1000000</f>
        <v>0.13534556313993176</v>
      </c>
      <c r="L102" s="149">
        <f t="shared" si="36"/>
        <v>0.2087171052631579</v>
      </c>
      <c r="M102" s="379">
        <f t="shared" si="43"/>
        <v>350</v>
      </c>
      <c r="N102" s="172">
        <f t="shared" si="37"/>
        <v>350</v>
      </c>
      <c r="O102" s="188">
        <f>1/((N102*1000*L)*(1/D102+1/E102))</f>
        <v>11.210582290270409</v>
      </c>
      <c r="P102" s="150">
        <f>L*O102/E102*1000000</f>
        <v>1.733215025140491</v>
      </c>
      <c r="Q102" s="150">
        <f>0.5*P102*O102*Nps*N102/1000</f>
        <v>3.4003111915623494</v>
      </c>
      <c r="R102" s="150">
        <f t="shared" si="41"/>
        <v>0.93700159489633172</v>
      </c>
    </row>
    <row r="103" spans="3:18">
      <c r="C103" s="147">
        <v>97</v>
      </c>
      <c r="D103" s="5">
        <f>C103/100*(VIN_max-VIN_min)+VIN_min</f>
        <v>47.16</v>
      </c>
      <c r="E103" s="379">
        <f t="shared" si="29"/>
        <v>30.4</v>
      </c>
      <c r="F103" s="188">
        <f t="shared" si="30"/>
        <v>0.39195461578133056</v>
      </c>
      <c r="G103" s="149">
        <f>F103*D103*Isw_max*0.5*Efficiency</f>
        <v>280.06938909465987</v>
      </c>
      <c r="H103" s="188">
        <f>G103/Vout</f>
        <v>9.335646303155329</v>
      </c>
      <c r="I103" s="379">
        <f t="shared" si="33"/>
        <v>77.56</v>
      </c>
      <c r="J103" s="149">
        <f t="shared" si="34"/>
        <v>1.35</v>
      </c>
      <c r="K103" s="149">
        <f>L*J103/D103*1000000</f>
        <v>0.13454198473282444</v>
      </c>
      <c r="L103" s="149">
        <f t="shared" si="36"/>
        <v>0.2087171052631579</v>
      </c>
      <c r="M103" s="379">
        <f t="shared" si="43"/>
        <v>350</v>
      </c>
      <c r="N103" s="172">
        <f t="shared" si="37"/>
        <v>350</v>
      </c>
      <c r="O103" s="188">
        <f>1/((N103*1000*L)*(1/D103+1/E103))</f>
        <v>11.236826553341976</v>
      </c>
      <c r="P103" s="150">
        <f>L*O103/E103*1000000</f>
        <v>1.7372725263390556</v>
      </c>
      <c r="Q103" s="150">
        <f>0.5*P103*O103*Nps*N103/1000</f>
        <v>3.416250259512684</v>
      </c>
      <c r="R103" s="150">
        <f t="shared" si="41"/>
        <v>0.93700159489633172</v>
      </c>
    </row>
    <row r="104" spans="3:18">
      <c r="C104" s="147">
        <v>98</v>
      </c>
      <c r="D104" s="5">
        <f>C104/100*(VIN_max-VIN_min)+VIN_min</f>
        <v>47.44</v>
      </c>
      <c r="E104" s="379">
        <f t="shared" si="29"/>
        <v>30.4</v>
      </c>
      <c r="F104" s="188">
        <f t="shared" si="30"/>
        <v>0.39054470709146966</v>
      </c>
      <c r="G104" s="149">
        <f>F104*D104*Isw_max*0.5*Efficiency</f>
        <v>280.71880158211093</v>
      </c>
      <c r="H104" s="188">
        <f>G104/Vout</f>
        <v>9.3572933860703635</v>
      </c>
      <c r="I104" s="379">
        <f t="shared" si="33"/>
        <v>77.84</v>
      </c>
      <c r="J104" s="149">
        <f t="shared" si="34"/>
        <v>1.35</v>
      </c>
      <c r="K104" s="149">
        <f>L*J104/D104*1000000</f>
        <v>0.13374789207419899</v>
      </c>
      <c r="L104" s="149">
        <f t="shared" si="36"/>
        <v>0.2087171052631579</v>
      </c>
      <c r="M104" s="379">
        <f t="shared" si="43"/>
        <v>350</v>
      </c>
      <c r="N104" s="172">
        <f t="shared" si="37"/>
        <v>350</v>
      </c>
      <c r="O104" s="188">
        <f>1/((N104*1000*L)*(1/D104+1/E104))</f>
        <v>11.262882008765546</v>
      </c>
      <c r="P104" s="150">
        <f>L*O104/E104*1000000</f>
        <v>1.7413008368815155</v>
      </c>
      <c r="Q104" s="150">
        <f>0.5*P104*O104*Nps*N104/1000</f>
        <v>3.4321115268232116</v>
      </c>
      <c r="R104" s="150">
        <f t="shared" si="41"/>
        <v>0.93700159489633172</v>
      </c>
    </row>
    <row r="105" spans="3:18">
      <c r="C105" s="147">
        <v>99</v>
      </c>
      <c r="D105" s="5">
        <f>C105/100*(VIN_max-VIN_min)+VIN_min</f>
        <v>47.72</v>
      </c>
      <c r="E105" s="379">
        <f t="shared" si="29"/>
        <v>30.4</v>
      </c>
      <c r="F105" s="188">
        <f t="shared" si="30"/>
        <v>0.38914490527393747</v>
      </c>
      <c r="G105" s="149">
        <f>F105*D105*Isw_max*0.5*Efficiency</f>
        <v>281.36355878291363</v>
      </c>
      <c r="H105" s="188">
        <f>G105/Vout</f>
        <v>9.3787852927637871</v>
      </c>
      <c r="I105" s="379">
        <f t="shared" si="33"/>
        <v>78.12</v>
      </c>
      <c r="J105" s="149">
        <f t="shared" si="34"/>
        <v>1.35</v>
      </c>
      <c r="K105" s="149">
        <f>L*J105/D105*1000000</f>
        <v>0.1329631181894384</v>
      </c>
      <c r="L105" s="149">
        <f t="shared" si="36"/>
        <v>0.2087171052631579</v>
      </c>
      <c r="M105" s="379">
        <f t="shared" si="43"/>
        <v>350</v>
      </c>
      <c r="N105" s="172">
        <f t="shared" si="37"/>
        <v>350</v>
      </c>
      <c r="O105" s="188">
        <f>1/((N105*1000*L)*(1/D105+1/E105))</f>
        <v>11.28875068673088</v>
      </c>
      <c r="P105" s="150">
        <f>L*O105/E105*1000000</f>
        <v>1.7453002706458929</v>
      </c>
      <c r="Q105" s="150">
        <f>0.5*P105*O105*Nps*N105/1000</f>
        <v>3.4478954350409476</v>
      </c>
      <c r="R105" s="150">
        <f t="shared" si="41"/>
        <v>0.93700159489633172</v>
      </c>
    </row>
    <row r="106" spans="3:18">
      <c r="C106" s="147">
        <v>100</v>
      </c>
      <c r="D106" s="5">
        <f>C106/100*(VIN_max-VIN_min)+VIN_min</f>
        <v>48</v>
      </c>
      <c r="E106" s="379">
        <f t="shared" si="29"/>
        <v>30.4</v>
      </c>
      <c r="F106" s="188">
        <f t="shared" si="30"/>
        <v>0.38775510204081626</v>
      </c>
      <c r="G106" s="149">
        <f>F106*D106*Isw_max*0.5*Efficiency</f>
        <v>282.00371057513911</v>
      </c>
      <c r="H106" s="188">
        <f>G106/Vout</f>
        <v>9.4001236858379702</v>
      </c>
      <c r="I106" s="379">
        <f t="shared" si="33"/>
        <v>78.400000000000006</v>
      </c>
      <c r="J106" s="149">
        <f t="shared" si="34"/>
        <v>1.35</v>
      </c>
      <c r="K106" s="149">
        <f>L*J106/D106*1000000</f>
        <v>0.13218750000000001</v>
      </c>
      <c r="L106" s="149">
        <f t="shared" si="36"/>
        <v>0.2087171052631579</v>
      </c>
      <c r="M106" s="379">
        <f t="shared" si="43"/>
        <v>350</v>
      </c>
      <c r="N106" s="172">
        <f t="shared" si="37"/>
        <v>350</v>
      </c>
      <c r="O106" s="188">
        <f>1/((N106*1000*L)*(1/D106+1/E106))</f>
        <v>11.314434588425037</v>
      </c>
      <c r="P106" s="150">
        <f>L*O106/E106*1000000</f>
        <v>1.7492711370262393</v>
      </c>
      <c r="Q106" s="150">
        <f>0.5*P106*O106*Nps*N106/1000</f>
        <v>3.463602425028073</v>
      </c>
      <c r="R106" s="150">
        <f t="shared" si="41"/>
        <v>0.93700159489633172</v>
      </c>
    </row>
  </sheetData>
  <sheetProtection sheet="1" objects="1" scenarios="1"/>
  <mergeCells count="1">
    <mergeCell ref="F4:O4"/>
  </mergeCells>
  <phoneticPr fontId="8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Q64"/>
  <sheetViews>
    <sheetView topLeftCell="A28" zoomScale="70" zoomScaleNormal="70" workbookViewId="0">
      <selection activeCell="Q36" sqref="Q36"/>
    </sheetView>
  </sheetViews>
  <sheetFormatPr defaultRowHeight="13.2"/>
  <cols>
    <col min="1" max="1" width="9.5546875" style="92" customWidth="1"/>
    <col min="2" max="2" width="11.44140625" style="92" customWidth="1"/>
    <col min="3" max="3" width="13.44140625" style="92" customWidth="1"/>
    <col min="4" max="4" width="20.21875" style="92" customWidth="1"/>
    <col min="5" max="5" width="17.21875" style="92" customWidth="1"/>
    <col min="6" max="6" width="13.5546875" style="92" customWidth="1"/>
    <col min="7" max="7" width="16.21875" style="92" customWidth="1"/>
    <col min="8" max="8" width="18.21875" style="92" customWidth="1"/>
    <col min="9" max="9" width="10.77734375" style="92" customWidth="1"/>
    <col min="10" max="10" width="15.77734375" style="92" customWidth="1"/>
    <col min="11" max="11" width="11.77734375" style="393" customWidth="1"/>
    <col min="12" max="12" width="7.77734375" style="392" customWidth="1"/>
    <col min="13" max="13" width="11.77734375" style="92" customWidth="1"/>
    <col min="14" max="254" width="9.21875" style="92"/>
    <col min="255" max="255" width="8.77734375" style="92" bestFit="1" customWidth="1"/>
    <col min="256" max="256" width="13.21875" style="92" customWidth="1"/>
    <col min="257" max="257" width="16.21875" style="92" bestFit="1" customWidth="1"/>
    <col min="258" max="258" width="23.5546875" style="92" customWidth="1"/>
    <col min="259" max="259" width="17.21875" style="92" customWidth="1"/>
    <col min="260" max="260" width="20.5546875" style="92" bestFit="1" customWidth="1"/>
    <col min="261" max="261" width="17.21875" style="92" customWidth="1"/>
    <col min="262" max="262" width="21.77734375" style="92" bestFit="1" customWidth="1"/>
    <col min="263" max="263" width="17.21875" style="92" bestFit="1" customWidth="1"/>
    <col min="264" max="264" width="18.21875" style="92" bestFit="1" customWidth="1"/>
    <col min="265" max="265" width="26.44140625" style="92" customWidth="1"/>
    <col min="266" max="510" width="9.21875" style="92"/>
    <col min="511" max="511" width="8.77734375" style="92" bestFit="1" customWidth="1"/>
    <col min="512" max="512" width="13.21875" style="92" customWidth="1"/>
    <col min="513" max="513" width="16.21875" style="92" bestFit="1" customWidth="1"/>
    <col min="514" max="514" width="23.5546875" style="92" customWidth="1"/>
    <col min="515" max="515" width="17.21875" style="92" customWidth="1"/>
    <col min="516" max="516" width="20.5546875" style="92" bestFit="1" customWidth="1"/>
    <col min="517" max="517" width="17.21875" style="92" customWidth="1"/>
    <col min="518" max="518" width="21.77734375" style="92" bestFit="1" customWidth="1"/>
    <col min="519" max="519" width="17.21875" style="92" bestFit="1" customWidth="1"/>
    <col min="520" max="520" width="18.21875" style="92" bestFit="1" customWidth="1"/>
    <col min="521" max="521" width="26.44140625" style="92" customWidth="1"/>
    <col min="522" max="766" width="9.21875" style="92"/>
    <col min="767" max="767" width="8.77734375" style="92" bestFit="1" customWidth="1"/>
    <col min="768" max="768" width="13.21875" style="92" customWidth="1"/>
    <col min="769" max="769" width="16.21875" style="92" bestFit="1" customWidth="1"/>
    <col min="770" max="770" width="23.5546875" style="92" customWidth="1"/>
    <col min="771" max="771" width="17.21875" style="92" customWidth="1"/>
    <col min="772" max="772" width="20.5546875" style="92" bestFit="1" customWidth="1"/>
    <col min="773" max="773" width="17.21875" style="92" customWidth="1"/>
    <col min="774" max="774" width="21.77734375" style="92" bestFit="1" customWidth="1"/>
    <col min="775" max="775" width="17.21875" style="92" bestFit="1" customWidth="1"/>
    <col min="776" max="776" width="18.21875" style="92" bestFit="1" customWidth="1"/>
    <col min="777" max="777" width="26.44140625" style="92" customWidth="1"/>
    <col min="778" max="1022" width="9.21875" style="92"/>
    <col min="1023" max="1023" width="8.77734375" style="92" bestFit="1" customWidth="1"/>
    <col min="1024" max="1024" width="13.21875" style="92" customWidth="1"/>
    <col min="1025" max="1025" width="16.21875" style="92" bestFit="1" customWidth="1"/>
    <col min="1026" max="1026" width="23.5546875" style="92" customWidth="1"/>
    <col min="1027" max="1027" width="17.21875" style="92" customWidth="1"/>
    <col min="1028" max="1028" width="20.5546875" style="92" bestFit="1" customWidth="1"/>
    <col min="1029" max="1029" width="17.21875" style="92" customWidth="1"/>
    <col min="1030" max="1030" width="21.77734375" style="92" bestFit="1" customWidth="1"/>
    <col min="1031" max="1031" width="17.21875" style="92" bestFit="1" customWidth="1"/>
    <col min="1032" max="1032" width="18.21875" style="92" bestFit="1" customWidth="1"/>
    <col min="1033" max="1033" width="26.44140625" style="92" customWidth="1"/>
    <col min="1034" max="1278" width="9.21875" style="92"/>
    <col min="1279" max="1279" width="8.77734375" style="92" bestFit="1" customWidth="1"/>
    <col min="1280" max="1280" width="13.21875" style="92" customWidth="1"/>
    <col min="1281" max="1281" width="16.21875" style="92" bestFit="1" customWidth="1"/>
    <col min="1282" max="1282" width="23.5546875" style="92" customWidth="1"/>
    <col min="1283" max="1283" width="17.21875" style="92" customWidth="1"/>
    <col min="1284" max="1284" width="20.5546875" style="92" bestFit="1" customWidth="1"/>
    <col min="1285" max="1285" width="17.21875" style="92" customWidth="1"/>
    <col min="1286" max="1286" width="21.77734375" style="92" bestFit="1" customWidth="1"/>
    <col min="1287" max="1287" width="17.21875" style="92" bestFit="1" customWidth="1"/>
    <col min="1288" max="1288" width="18.21875" style="92" bestFit="1" customWidth="1"/>
    <col min="1289" max="1289" width="26.44140625" style="92" customWidth="1"/>
    <col min="1290" max="1534" width="9.21875" style="92"/>
    <col min="1535" max="1535" width="8.77734375" style="92" bestFit="1" customWidth="1"/>
    <col min="1536" max="1536" width="13.21875" style="92" customWidth="1"/>
    <col min="1537" max="1537" width="16.21875" style="92" bestFit="1" customWidth="1"/>
    <col min="1538" max="1538" width="23.5546875" style="92" customWidth="1"/>
    <col min="1539" max="1539" width="17.21875" style="92" customWidth="1"/>
    <col min="1540" max="1540" width="20.5546875" style="92" bestFit="1" customWidth="1"/>
    <col min="1541" max="1541" width="17.21875" style="92" customWidth="1"/>
    <col min="1542" max="1542" width="21.77734375" style="92" bestFit="1" customWidth="1"/>
    <col min="1543" max="1543" width="17.21875" style="92" bestFit="1" customWidth="1"/>
    <col min="1544" max="1544" width="18.21875" style="92" bestFit="1" customWidth="1"/>
    <col min="1545" max="1545" width="26.44140625" style="92" customWidth="1"/>
    <col min="1546" max="1790" width="9.21875" style="92"/>
    <col min="1791" max="1791" width="8.77734375" style="92" bestFit="1" customWidth="1"/>
    <col min="1792" max="1792" width="13.21875" style="92" customWidth="1"/>
    <col min="1793" max="1793" width="16.21875" style="92" bestFit="1" customWidth="1"/>
    <col min="1794" max="1794" width="23.5546875" style="92" customWidth="1"/>
    <col min="1795" max="1795" width="17.21875" style="92" customWidth="1"/>
    <col min="1796" max="1796" width="20.5546875" style="92" bestFit="1" customWidth="1"/>
    <col min="1797" max="1797" width="17.21875" style="92" customWidth="1"/>
    <col min="1798" max="1798" width="21.77734375" style="92" bestFit="1" customWidth="1"/>
    <col min="1799" max="1799" width="17.21875" style="92" bestFit="1" customWidth="1"/>
    <col min="1800" max="1800" width="18.21875" style="92" bestFit="1" customWidth="1"/>
    <col min="1801" max="1801" width="26.44140625" style="92" customWidth="1"/>
    <col min="1802" max="2046" width="9.21875" style="92"/>
    <col min="2047" max="2047" width="8.77734375" style="92" bestFit="1" customWidth="1"/>
    <col min="2048" max="2048" width="13.21875" style="92" customWidth="1"/>
    <col min="2049" max="2049" width="16.21875" style="92" bestFit="1" customWidth="1"/>
    <col min="2050" max="2050" width="23.5546875" style="92" customWidth="1"/>
    <col min="2051" max="2051" width="17.21875" style="92" customWidth="1"/>
    <col min="2052" max="2052" width="20.5546875" style="92" bestFit="1" customWidth="1"/>
    <col min="2053" max="2053" width="17.21875" style="92" customWidth="1"/>
    <col min="2054" max="2054" width="21.77734375" style="92" bestFit="1" customWidth="1"/>
    <col min="2055" max="2055" width="17.21875" style="92" bestFit="1" customWidth="1"/>
    <col min="2056" max="2056" width="18.21875" style="92" bestFit="1" customWidth="1"/>
    <col min="2057" max="2057" width="26.44140625" style="92" customWidth="1"/>
    <col min="2058" max="2302" width="9.21875" style="92"/>
    <col min="2303" max="2303" width="8.77734375" style="92" bestFit="1" customWidth="1"/>
    <col min="2304" max="2304" width="13.21875" style="92" customWidth="1"/>
    <col min="2305" max="2305" width="16.21875" style="92" bestFit="1" customWidth="1"/>
    <col min="2306" max="2306" width="23.5546875" style="92" customWidth="1"/>
    <col min="2307" max="2307" width="17.21875" style="92" customWidth="1"/>
    <col min="2308" max="2308" width="20.5546875" style="92" bestFit="1" customWidth="1"/>
    <col min="2309" max="2309" width="17.21875" style="92" customWidth="1"/>
    <col min="2310" max="2310" width="21.77734375" style="92" bestFit="1" customWidth="1"/>
    <col min="2311" max="2311" width="17.21875" style="92" bestFit="1" customWidth="1"/>
    <col min="2312" max="2312" width="18.21875" style="92" bestFit="1" customWidth="1"/>
    <col min="2313" max="2313" width="26.44140625" style="92" customWidth="1"/>
    <col min="2314" max="2558" width="9.21875" style="92"/>
    <col min="2559" max="2559" width="8.77734375" style="92" bestFit="1" customWidth="1"/>
    <col min="2560" max="2560" width="13.21875" style="92" customWidth="1"/>
    <col min="2561" max="2561" width="16.21875" style="92" bestFit="1" customWidth="1"/>
    <col min="2562" max="2562" width="23.5546875" style="92" customWidth="1"/>
    <col min="2563" max="2563" width="17.21875" style="92" customWidth="1"/>
    <col min="2564" max="2564" width="20.5546875" style="92" bestFit="1" customWidth="1"/>
    <col min="2565" max="2565" width="17.21875" style="92" customWidth="1"/>
    <col min="2566" max="2566" width="21.77734375" style="92" bestFit="1" customWidth="1"/>
    <col min="2567" max="2567" width="17.21875" style="92" bestFit="1" customWidth="1"/>
    <col min="2568" max="2568" width="18.21875" style="92" bestFit="1" customWidth="1"/>
    <col min="2569" max="2569" width="26.44140625" style="92" customWidth="1"/>
    <col min="2570" max="2814" width="9.21875" style="92"/>
    <col min="2815" max="2815" width="8.77734375" style="92" bestFit="1" customWidth="1"/>
    <col min="2816" max="2816" width="13.21875" style="92" customWidth="1"/>
    <col min="2817" max="2817" width="16.21875" style="92" bestFit="1" customWidth="1"/>
    <col min="2818" max="2818" width="23.5546875" style="92" customWidth="1"/>
    <col min="2819" max="2819" width="17.21875" style="92" customWidth="1"/>
    <col min="2820" max="2820" width="20.5546875" style="92" bestFit="1" customWidth="1"/>
    <col min="2821" max="2821" width="17.21875" style="92" customWidth="1"/>
    <col min="2822" max="2822" width="21.77734375" style="92" bestFit="1" customWidth="1"/>
    <col min="2823" max="2823" width="17.21875" style="92" bestFit="1" customWidth="1"/>
    <col min="2824" max="2824" width="18.21875" style="92" bestFit="1" customWidth="1"/>
    <col min="2825" max="2825" width="26.44140625" style="92" customWidth="1"/>
    <col min="2826" max="3070" width="9.21875" style="92"/>
    <col min="3071" max="3071" width="8.77734375" style="92" bestFit="1" customWidth="1"/>
    <col min="3072" max="3072" width="13.21875" style="92" customWidth="1"/>
    <col min="3073" max="3073" width="16.21875" style="92" bestFit="1" customWidth="1"/>
    <col min="3074" max="3074" width="23.5546875" style="92" customWidth="1"/>
    <col min="3075" max="3075" width="17.21875" style="92" customWidth="1"/>
    <col min="3076" max="3076" width="20.5546875" style="92" bestFit="1" customWidth="1"/>
    <col min="3077" max="3077" width="17.21875" style="92" customWidth="1"/>
    <col min="3078" max="3078" width="21.77734375" style="92" bestFit="1" customWidth="1"/>
    <col min="3079" max="3079" width="17.21875" style="92" bestFit="1" customWidth="1"/>
    <col min="3080" max="3080" width="18.21875" style="92" bestFit="1" customWidth="1"/>
    <col min="3081" max="3081" width="26.44140625" style="92" customWidth="1"/>
    <col min="3082" max="3326" width="9.21875" style="92"/>
    <col min="3327" max="3327" width="8.77734375" style="92" bestFit="1" customWidth="1"/>
    <col min="3328" max="3328" width="13.21875" style="92" customWidth="1"/>
    <col min="3329" max="3329" width="16.21875" style="92" bestFit="1" customWidth="1"/>
    <col min="3330" max="3330" width="23.5546875" style="92" customWidth="1"/>
    <col min="3331" max="3331" width="17.21875" style="92" customWidth="1"/>
    <col min="3332" max="3332" width="20.5546875" style="92" bestFit="1" customWidth="1"/>
    <col min="3333" max="3333" width="17.21875" style="92" customWidth="1"/>
    <col min="3334" max="3334" width="21.77734375" style="92" bestFit="1" customWidth="1"/>
    <col min="3335" max="3335" width="17.21875" style="92" bestFit="1" customWidth="1"/>
    <col min="3336" max="3336" width="18.21875" style="92" bestFit="1" customWidth="1"/>
    <col min="3337" max="3337" width="26.44140625" style="92" customWidth="1"/>
    <col min="3338" max="3582" width="9.21875" style="92"/>
    <col min="3583" max="3583" width="8.77734375" style="92" bestFit="1" customWidth="1"/>
    <col min="3584" max="3584" width="13.21875" style="92" customWidth="1"/>
    <col min="3585" max="3585" width="16.21875" style="92" bestFit="1" customWidth="1"/>
    <col min="3586" max="3586" width="23.5546875" style="92" customWidth="1"/>
    <col min="3587" max="3587" width="17.21875" style="92" customWidth="1"/>
    <col min="3588" max="3588" width="20.5546875" style="92" bestFit="1" customWidth="1"/>
    <col min="3589" max="3589" width="17.21875" style="92" customWidth="1"/>
    <col min="3590" max="3590" width="21.77734375" style="92" bestFit="1" customWidth="1"/>
    <col min="3591" max="3591" width="17.21875" style="92" bestFit="1" customWidth="1"/>
    <col min="3592" max="3592" width="18.21875" style="92" bestFit="1" customWidth="1"/>
    <col min="3593" max="3593" width="26.44140625" style="92" customWidth="1"/>
    <col min="3594" max="3838" width="9.21875" style="92"/>
    <col min="3839" max="3839" width="8.77734375" style="92" bestFit="1" customWidth="1"/>
    <col min="3840" max="3840" width="13.21875" style="92" customWidth="1"/>
    <col min="3841" max="3841" width="16.21875" style="92" bestFit="1" customWidth="1"/>
    <col min="3842" max="3842" width="23.5546875" style="92" customWidth="1"/>
    <col min="3843" max="3843" width="17.21875" style="92" customWidth="1"/>
    <col min="3844" max="3844" width="20.5546875" style="92" bestFit="1" customWidth="1"/>
    <col min="3845" max="3845" width="17.21875" style="92" customWidth="1"/>
    <col min="3846" max="3846" width="21.77734375" style="92" bestFit="1" customWidth="1"/>
    <col min="3847" max="3847" width="17.21875" style="92" bestFit="1" customWidth="1"/>
    <col min="3848" max="3848" width="18.21875" style="92" bestFit="1" customWidth="1"/>
    <col min="3849" max="3849" width="26.44140625" style="92" customWidth="1"/>
    <col min="3850" max="4094" width="9.21875" style="92"/>
    <col min="4095" max="4095" width="8.77734375" style="92" bestFit="1" customWidth="1"/>
    <col min="4096" max="4096" width="13.21875" style="92" customWidth="1"/>
    <col min="4097" max="4097" width="16.21875" style="92" bestFit="1" customWidth="1"/>
    <col min="4098" max="4098" width="23.5546875" style="92" customWidth="1"/>
    <col min="4099" max="4099" width="17.21875" style="92" customWidth="1"/>
    <col min="4100" max="4100" width="20.5546875" style="92" bestFit="1" customWidth="1"/>
    <col min="4101" max="4101" width="17.21875" style="92" customWidth="1"/>
    <col min="4102" max="4102" width="21.77734375" style="92" bestFit="1" customWidth="1"/>
    <col min="4103" max="4103" width="17.21875" style="92" bestFit="1" customWidth="1"/>
    <col min="4104" max="4104" width="18.21875" style="92" bestFit="1" customWidth="1"/>
    <col min="4105" max="4105" width="26.44140625" style="92" customWidth="1"/>
    <col min="4106" max="4350" width="9.21875" style="92"/>
    <col min="4351" max="4351" width="8.77734375" style="92" bestFit="1" customWidth="1"/>
    <col min="4352" max="4352" width="13.21875" style="92" customWidth="1"/>
    <col min="4353" max="4353" width="16.21875" style="92" bestFit="1" customWidth="1"/>
    <col min="4354" max="4354" width="23.5546875" style="92" customWidth="1"/>
    <col min="4355" max="4355" width="17.21875" style="92" customWidth="1"/>
    <col min="4356" max="4356" width="20.5546875" style="92" bestFit="1" customWidth="1"/>
    <col min="4357" max="4357" width="17.21875" style="92" customWidth="1"/>
    <col min="4358" max="4358" width="21.77734375" style="92" bestFit="1" customWidth="1"/>
    <col min="4359" max="4359" width="17.21875" style="92" bestFit="1" customWidth="1"/>
    <col min="4360" max="4360" width="18.21875" style="92" bestFit="1" customWidth="1"/>
    <col min="4361" max="4361" width="26.44140625" style="92" customWidth="1"/>
    <col min="4362" max="4606" width="9.21875" style="92"/>
    <col min="4607" max="4607" width="8.77734375" style="92" bestFit="1" customWidth="1"/>
    <col min="4608" max="4608" width="13.21875" style="92" customWidth="1"/>
    <col min="4609" max="4609" width="16.21875" style="92" bestFit="1" customWidth="1"/>
    <col min="4610" max="4610" width="23.5546875" style="92" customWidth="1"/>
    <col min="4611" max="4611" width="17.21875" style="92" customWidth="1"/>
    <col min="4612" max="4612" width="20.5546875" style="92" bestFit="1" customWidth="1"/>
    <col min="4613" max="4613" width="17.21875" style="92" customWidth="1"/>
    <col min="4614" max="4614" width="21.77734375" style="92" bestFit="1" customWidth="1"/>
    <col min="4615" max="4615" width="17.21875" style="92" bestFit="1" customWidth="1"/>
    <col min="4616" max="4616" width="18.21875" style="92" bestFit="1" customWidth="1"/>
    <col min="4617" max="4617" width="26.44140625" style="92" customWidth="1"/>
    <col min="4618" max="4862" width="9.21875" style="92"/>
    <col min="4863" max="4863" width="8.77734375" style="92" bestFit="1" customWidth="1"/>
    <col min="4864" max="4864" width="13.21875" style="92" customWidth="1"/>
    <col min="4865" max="4865" width="16.21875" style="92" bestFit="1" customWidth="1"/>
    <col min="4866" max="4866" width="23.5546875" style="92" customWidth="1"/>
    <col min="4867" max="4867" width="17.21875" style="92" customWidth="1"/>
    <col min="4868" max="4868" width="20.5546875" style="92" bestFit="1" customWidth="1"/>
    <col min="4869" max="4869" width="17.21875" style="92" customWidth="1"/>
    <col min="4870" max="4870" width="21.77734375" style="92" bestFit="1" customWidth="1"/>
    <col min="4871" max="4871" width="17.21875" style="92" bestFit="1" customWidth="1"/>
    <col min="4872" max="4872" width="18.21875" style="92" bestFit="1" customWidth="1"/>
    <col min="4873" max="4873" width="26.44140625" style="92" customWidth="1"/>
    <col min="4874" max="5118" width="9.21875" style="92"/>
    <col min="5119" max="5119" width="8.77734375" style="92" bestFit="1" customWidth="1"/>
    <col min="5120" max="5120" width="13.21875" style="92" customWidth="1"/>
    <col min="5121" max="5121" width="16.21875" style="92" bestFit="1" customWidth="1"/>
    <col min="5122" max="5122" width="23.5546875" style="92" customWidth="1"/>
    <col min="5123" max="5123" width="17.21875" style="92" customWidth="1"/>
    <col min="5124" max="5124" width="20.5546875" style="92" bestFit="1" customWidth="1"/>
    <col min="5125" max="5125" width="17.21875" style="92" customWidth="1"/>
    <col min="5126" max="5126" width="21.77734375" style="92" bestFit="1" customWidth="1"/>
    <col min="5127" max="5127" width="17.21875" style="92" bestFit="1" customWidth="1"/>
    <col min="5128" max="5128" width="18.21875" style="92" bestFit="1" customWidth="1"/>
    <col min="5129" max="5129" width="26.44140625" style="92" customWidth="1"/>
    <col min="5130" max="5374" width="9.21875" style="92"/>
    <col min="5375" max="5375" width="8.77734375" style="92" bestFit="1" customWidth="1"/>
    <col min="5376" max="5376" width="13.21875" style="92" customWidth="1"/>
    <col min="5377" max="5377" width="16.21875" style="92" bestFit="1" customWidth="1"/>
    <col min="5378" max="5378" width="23.5546875" style="92" customWidth="1"/>
    <col min="5379" max="5379" width="17.21875" style="92" customWidth="1"/>
    <col min="5380" max="5380" width="20.5546875" style="92" bestFit="1" customWidth="1"/>
    <col min="5381" max="5381" width="17.21875" style="92" customWidth="1"/>
    <col min="5382" max="5382" width="21.77734375" style="92" bestFit="1" customWidth="1"/>
    <col min="5383" max="5383" width="17.21875" style="92" bestFit="1" customWidth="1"/>
    <col min="5384" max="5384" width="18.21875" style="92" bestFit="1" customWidth="1"/>
    <col min="5385" max="5385" width="26.44140625" style="92" customWidth="1"/>
    <col min="5386" max="5630" width="9.21875" style="92"/>
    <col min="5631" max="5631" width="8.77734375" style="92" bestFit="1" customWidth="1"/>
    <col min="5632" max="5632" width="13.21875" style="92" customWidth="1"/>
    <col min="5633" max="5633" width="16.21875" style="92" bestFit="1" customWidth="1"/>
    <col min="5634" max="5634" width="23.5546875" style="92" customWidth="1"/>
    <col min="5635" max="5635" width="17.21875" style="92" customWidth="1"/>
    <col min="5636" max="5636" width="20.5546875" style="92" bestFit="1" customWidth="1"/>
    <col min="5637" max="5637" width="17.21875" style="92" customWidth="1"/>
    <col min="5638" max="5638" width="21.77734375" style="92" bestFit="1" customWidth="1"/>
    <col min="5639" max="5639" width="17.21875" style="92" bestFit="1" customWidth="1"/>
    <col min="5640" max="5640" width="18.21875" style="92" bestFit="1" customWidth="1"/>
    <col min="5641" max="5641" width="26.44140625" style="92" customWidth="1"/>
    <col min="5642" max="5886" width="9.21875" style="92"/>
    <col min="5887" max="5887" width="8.77734375" style="92" bestFit="1" customWidth="1"/>
    <col min="5888" max="5888" width="13.21875" style="92" customWidth="1"/>
    <col min="5889" max="5889" width="16.21875" style="92" bestFit="1" customWidth="1"/>
    <col min="5890" max="5890" width="23.5546875" style="92" customWidth="1"/>
    <col min="5891" max="5891" width="17.21875" style="92" customWidth="1"/>
    <col min="5892" max="5892" width="20.5546875" style="92" bestFit="1" customWidth="1"/>
    <col min="5893" max="5893" width="17.21875" style="92" customWidth="1"/>
    <col min="5894" max="5894" width="21.77734375" style="92" bestFit="1" customWidth="1"/>
    <col min="5895" max="5895" width="17.21875" style="92" bestFit="1" customWidth="1"/>
    <col min="5896" max="5896" width="18.21875" style="92" bestFit="1" customWidth="1"/>
    <col min="5897" max="5897" width="26.44140625" style="92" customWidth="1"/>
    <col min="5898" max="6142" width="9.21875" style="92"/>
    <col min="6143" max="6143" width="8.77734375" style="92" bestFit="1" customWidth="1"/>
    <col min="6144" max="6144" width="13.21875" style="92" customWidth="1"/>
    <col min="6145" max="6145" width="16.21875" style="92" bestFit="1" customWidth="1"/>
    <col min="6146" max="6146" width="23.5546875" style="92" customWidth="1"/>
    <col min="6147" max="6147" width="17.21875" style="92" customWidth="1"/>
    <col min="6148" max="6148" width="20.5546875" style="92" bestFit="1" customWidth="1"/>
    <col min="6149" max="6149" width="17.21875" style="92" customWidth="1"/>
    <col min="6150" max="6150" width="21.77734375" style="92" bestFit="1" customWidth="1"/>
    <col min="6151" max="6151" width="17.21875" style="92" bestFit="1" customWidth="1"/>
    <col min="6152" max="6152" width="18.21875" style="92" bestFit="1" customWidth="1"/>
    <col min="6153" max="6153" width="26.44140625" style="92" customWidth="1"/>
    <col min="6154" max="6398" width="9.21875" style="92"/>
    <col min="6399" max="6399" width="8.77734375" style="92" bestFit="1" customWidth="1"/>
    <col min="6400" max="6400" width="13.21875" style="92" customWidth="1"/>
    <col min="6401" max="6401" width="16.21875" style="92" bestFit="1" customWidth="1"/>
    <col min="6402" max="6402" width="23.5546875" style="92" customWidth="1"/>
    <col min="6403" max="6403" width="17.21875" style="92" customWidth="1"/>
    <col min="6404" max="6404" width="20.5546875" style="92" bestFit="1" customWidth="1"/>
    <col min="6405" max="6405" width="17.21875" style="92" customWidth="1"/>
    <col min="6406" max="6406" width="21.77734375" style="92" bestFit="1" customWidth="1"/>
    <col min="6407" max="6407" width="17.21875" style="92" bestFit="1" customWidth="1"/>
    <col min="6408" max="6408" width="18.21875" style="92" bestFit="1" customWidth="1"/>
    <col min="6409" max="6409" width="26.44140625" style="92" customWidth="1"/>
    <col min="6410" max="6654" width="9.21875" style="92"/>
    <col min="6655" max="6655" width="8.77734375" style="92" bestFit="1" customWidth="1"/>
    <col min="6656" max="6656" width="13.21875" style="92" customWidth="1"/>
    <col min="6657" max="6657" width="16.21875" style="92" bestFit="1" customWidth="1"/>
    <col min="6658" max="6658" width="23.5546875" style="92" customWidth="1"/>
    <col min="6659" max="6659" width="17.21875" style="92" customWidth="1"/>
    <col min="6660" max="6660" width="20.5546875" style="92" bestFit="1" customWidth="1"/>
    <col min="6661" max="6661" width="17.21875" style="92" customWidth="1"/>
    <col min="6662" max="6662" width="21.77734375" style="92" bestFit="1" customWidth="1"/>
    <col min="6663" max="6663" width="17.21875" style="92" bestFit="1" customWidth="1"/>
    <col min="6664" max="6664" width="18.21875" style="92" bestFit="1" customWidth="1"/>
    <col min="6665" max="6665" width="26.44140625" style="92" customWidth="1"/>
    <col min="6666" max="6910" width="9.21875" style="92"/>
    <col min="6911" max="6911" width="8.77734375" style="92" bestFit="1" customWidth="1"/>
    <col min="6912" max="6912" width="13.21875" style="92" customWidth="1"/>
    <col min="6913" max="6913" width="16.21875" style="92" bestFit="1" customWidth="1"/>
    <col min="6914" max="6914" width="23.5546875" style="92" customWidth="1"/>
    <col min="6915" max="6915" width="17.21875" style="92" customWidth="1"/>
    <col min="6916" max="6916" width="20.5546875" style="92" bestFit="1" customWidth="1"/>
    <col min="6917" max="6917" width="17.21875" style="92" customWidth="1"/>
    <col min="6918" max="6918" width="21.77734375" style="92" bestFit="1" customWidth="1"/>
    <col min="6919" max="6919" width="17.21875" style="92" bestFit="1" customWidth="1"/>
    <col min="6920" max="6920" width="18.21875" style="92" bestFit="1" customWidth="1"/>
    <col min="6921" max="6921" width="26.44140625" style="92" customWidth="1"/>
    <col min="6922" max="7166" width="9.21875" style="92"/>
    <col min="7167" max="7167" width="8.77734375" style="92" bestFit="1" customWidth="1"/>
    <col min="7168" max="7168" width="13.21875" style="92" customWidth="1"/>
    <col min="7169" max="7169" width="16.21875" style="92" bestFit="1" customWidth="1"/>
    <col min="7170" max="7170" width="23.5546875" style="92" customWidth="1"/>
    <col min="7171" max="7171" width="17.21875" style="92" customWidth="1"/>
    <col min="7172" max="7172" width="20.5546875" style="92" bestFit="1" customWidth="1"/>
    <col min="7173" max="7173" width="17.21875" style="92" customWidth="1"/>
    <col min="7174" max="7174" width="21.77734375" style="92" bestFit="1" customWidth="1"/>
    <col min="7175" max="7175" width="17.21875" style="92" bestFit="1" customWidth="1"/>
    <col min="7176" max="7176" width="18.21875" style="92" bestFit="1" customWidth="1"/>
    <col min="7177" max="7177" width="26.44140625" style="92" customWidth="1"/>
    <col min="7178" max="7422" width="9.21875" style="92"/>
    <col min="7423" max="7423" width="8.77734375" style="92" bestFit="1" customWidth="1"/>
    <col min="7424" max="7424" width="13.21875" style="92" customWidth="1"/>
    <col min="7425" max="7425" width="16.21875" style="92" bestFit="1" customWidth="1"/>
    <col min="7426" max="7426" width="23.5546875" style="92" customWidth="1"/>
    <col min="7427" max="7427" width="17.21875" style="92" customWidth="1"/>
    <col min="7428" max="7428" width="20.5546875" style="92" bestFit="1" customWidth="1"/>
    <col min="7429" max="7429" width="17.21875" style="92" customWidth="1"/>
    <col min="7430" max="7430" width="21.77734375" style="92" bestFit="1" customWidth="1"/>
    <col min="7431" max="7431" width="17.21875" style="92" bestFit="1" customWidth="1"/>
    <col min="7432" max="7432" width="18.21875" style="92" bestFit="1" customWidth="1"/>
    <col min="7433" max="7433" width="26.44140625" style="92" customWidth="1"/>
    <col min="7434" max="7678" width="9.21875" style="92"/>
    <col min="7679" max="7679" width="8.77734375" style="92" bestFit="1" customWidth="1"/>
    <col min="7680" max="7680" width="13.21875" style="92" customWidth="1"/>
    <col min="7681" max="7681" width="16.21875" style="92" bestFit="1" customWidth="1"/>
    <col min="7682" max="7682" width="23.5546875" style="92" customWidth="1"/>
    <col min="7683" max="7683" width="17.21875" style="92" customWidth="1"/>
    <col min="7684" max="7684" width="20.5546875" style="92" bestFit="1" customWidth="1"/>
    <col min="7685" max="7685" width="17.21875" style="92" customWidth="1"/>
    <col min="7686" max="7686" width="21.77734375" style="92" bestFit="1" customWidth="1"/>
    <col min="7687" max="7687" width="17.21875" style="92" bestFit="1" customWidth="1"/>
    <col min="7688" max="7688" width="18.21875" style="92" bestFit="1" customWidth="1"/>
    <col min="7689" max="7689" width="26.44140625" style="92" customWidth="1"/>
    <col min="7690" max="7934" width="9.21875" style="92"/>
    <col min="7935" max="7935" width="8.77734375" style="92" bestFit="1" customWidth="1"/>
    <col min="7936" max="7936" width="13.21875" style="92" customWidth="1"/>
    <col min="7937" max="7937" width="16.21875" style="92" bestFit="1" customWidth="1"/>
    <col min="7938" max="7938" width="23.5546875" style="92" customWidth="1"/>
    <col min="7939" max="7939" width="17.21875" style="92" customWidth="1"/>
    <col min="7940" max="7940" width="20.5546875" style="92" bestFit="1" customWidth="1"/>
    <col min="7941" max="7941" width="17.21875" style="92" customWidth="1"/>
    <col min="7942" max="7942" width="21.77734375" style="92" bestFit="1" customWidth="1"/>
    <col min="7943" max="7943" width="17.21875" style="92" bestFit="1" customWidth="1"/>
    <col min="7944" max="7944" width="18.21875" style="92" bestFit="1" customWidth="1"/>
    <col min="7945" max="7945" width="26.44140625" style="92" customWidth="1"/>
    <col min="7946" max="8190" width="9.21875" style="92"/>
    <col min="8191" max="8191" width="8.77734375" style="92" bestFit="1" customWidth="1"/>
    <col min="8192" max="8192" width="13.21875" style="92" customWidth="1"/>
    <col min="8193" max="8193" width="16.21875" style="92" bestFit="1" customWidth="1"/>
    <col min="8194" max="8194" width="23.5546875" style="92" customWidth="1"/>
    <col min="8195" max="8195" width="17.21875" style="92" customWidth="1"/>
    <col min="8196" max="8196" width="20.5546875" style="92" bestFit="1" customWidth="1"/>
    <col min="8197" max="8197" width="17.21875" style="92" customWidth="1"/>
    <col min="8198" max="8198" width="21.77734375" style="92" bestFit="1" customWidth="1"/>
    <col min="8199" max="8199" width="17.21875" style="92" bestFit="1" customWidth="1"/>
    <col min="8200" max="8200" width="18.21875" style="92" bestFit="1" customWidth="1"/>
    <col min="8201" max="8201" width="26.44140625" style="92" customWidth="1"/>
    <col min="8202" max="8446" width="9.21875" style="92"/>
    <col min="8447" max="8447" width="8.77734375" style="92" bestFit="1" customWidth="1"/>
    <col min="8448" max="8448" width="13.21875" style="92" customWidth="1"/>
    <col min="8449" max="8449" width="16.21875" style="92" bestFit="1" customWidth="1"/>
    <col min="8450" max="8450" width="23.5546875" style="92" customWidth="1"/>
    <col min="8451" max="8451" width="17.21875" style="92" customWidth="1"/>
    <col min="8452" max="8452" width="20.5546875" style="92" bestFit="1" customWidth="1"/>
    <col min="8453" max="8453" width="17.21875" style="92" customWidth="1"/>
    <col min="8454" max="8454" width="21.77734375" style="92" bestFit="1" customWidth="1"/>
    <col min="8455" max="8455" width="17.21875" style="92" bestFit="1" customWidth="1"/>
    <col min="8456" max="8456" width="18.21875" style="92" bestFit="1" customWidth="1"/>
    <col min="8457" max="8457" width="26.44140625" style="92" customWidth="1"/>
    <col min="8458" max="8702" width="9.21875" style="92"/>
    <col min="8703" max="8703" width="8.77734375" style="92" bestFit="1" customWidth="1"/>
    <col min="8704" max="8704" width="13.21875" style="92" customWidth="1"/>
    <col min="8705" max="8705" width="16.21875" style="92" bestFit="1" customWidth="1"/>
    <col min="8706" max="8706" width="23.5546875" style="92" customWidth="1"/>
    <col min="8707" max="8707" width="17.21875" style="92" customWidth="1"/>
    <col min="8708" max="8708" width="20.5546875" style="92" bestFit="1" customWidth="1"/>
    <col min="8709" max="8709" width="17.21875" style="92" customWidth="1"/>
    <col min="8710" max="8710" width="21.77734375" style="92" bestFit="1" customWidth="1"/>
    <col min="8711" max="8711" width="17.21875" style="92" bestFit="1" customWidth="1"/>
    <col min="8712" max="8712" width="18.21875" style="92" bestFit="1" customWidth="1"/>
    <col min="8713" max="8713" width="26.44140625" style="92" customWidth="1"/>
    <col min="8714" max="8958" width="9.21875" style="92"/>
    <col min="8959" max="8959" width="8.77734375" style="92" bestFit="1" customWidth="1"/>
    <col min="8960" max="8960" width="13.21875" style="92" customWidth="1"/>
    <col min="8961" max="8961" width="16.21875" style="92" bestFit="1" customWidth="1"/>
    <col min="8962" max="8962" width="23.5546875" style="92" customWidth="1"/>
    <col min="8963" max="8963" width="17.21875" style="92" customWidth="1"/>
    <col min="8964" max="8964" width="20.5546875" style="92" bestFit="1" customWidth="1"/>
    <col min="8965" max="8965" width="17.21875" style="92" customWidth="1"/>
    <col min="8966" max="8966" width="21.77734375" style="92" bestFit="1" customWidth="1"/>
    <col min="8967" max="8967" width="17.21875" style="92" bestFit="1" customWidth="1"/>
    <col min="8968" max="8968" width="18.21875" style="92" bestFit="1" customWidth="1"/>
    <col min="8969" max="8969" width="26.44140625" style="92" customWidth="1"/>
    <col min="8970" max="9214" width="9.21875" style="92"/>
    <col min="9215" max="9215" width="8.77734375" style="92" bestFit="1" customWidth="1"/>
    <col min="9216" max="9216" width="13.21875" style="92" customWidth="1"/>
    <col min="9217" max="9217" width="16.21875" style="92" bestFit="1" customWidth="1"/>
    <col min="9218" max="9218" width="23.5546875" style="92" customWidth="1"/>
    <col min="9219" max="9219" width="17.21875" style="92" customWidth="1"/>
    <col min="9220" max="9220" width="20.5546875" style="92" bestFit="1" customWidth="1"/>
    <col min="9221" max="9221" width="17.21875" style="92" customWidth="1"/>
    <col min="9222" max="9222" width="21.77734375" style="92" bestFit="1" customWidth="1"/>
    <col min="9223" max="9223" width="17.21875" style="92" bestFit="1" customWidth="1"/>
    <col min="9224" max="9224" width="18.21875" style="92" bestFit="1" customWidth="1"/>
    <col min="9225" max="9225" width="26.44140625" style="92" customWidth="1"/>
    <col min="9226" max="9470" width="9.21875" style="92"/>
    <col min="9471" max="9471" width="8.77734375" style="92" bestFit="1" customWidth="1"/>
    <col min="9472" max="9472" width="13.21875" style="92" customWidth="1"/>
    <col min="9473" max="9473" width="16.21875" style="92" bestFit="1" customWidth="1"/>
    <col min="9474" max="9474" width="23.5546875" style="92" customWidth="1"/>
    <col min="9475" max="9475" width="17.21875" style="92" customWidth="1"/>
    <col min="9476" max="9476" width="20.5546875" style="92" bestFit="1" customWidth="1"/>
    <col min="9477" max="9477" width="17.21875" style="92" customWidth="1"/>
    <col min="9478" max="9478" width="21.77734375" style="92" bestFit="1" customWidth="1"/>
    <col min="9479" max="9479" width="17.21875" style="92" bestFit="1" customWidth="1"/>
    <col min="9480" max="9480" width="18.21875" style="92" bestFit="1" customWidth="1"/>
    <col min="9481" max="9481" width="26.44140625" style="92" customWidth="1"/>
    <col min="9482" max="9726" width="9.21875" style="92"/>
    <col min="9727" max="9727" width="8.77734375" style="92" bestFit="1" customWidth="1"/>
    <col min="9728" max="9728" width="13.21875" style="92" customWidth="1"/>
    <col min="9729" max="9729" width="16.21875" style="92" bestFit="1" customWidth="1"/>
    <col min="9730" max="9730" width="23.5546875" style="92" customWidth="1"/>
    <col min="9731" max="9731" width="17.21875" style="92" customWidth="1"/>
    <col min="9732" max="9732" width="20.5546875" style="92" bestFit="1" customWidth="1"/>
    <col min="9733" max="9733" width="17.21875" style="92" customWidth="1"/>
    <col min="9734" max="9734" width="21.77734375" style="92" bestFit="1" customWidth="1"/>
    <col min="9735" max="9735" width="17.21875" style="92" bestFit="1" customWidth="1"/>
    <col min="9736" max="9736" width="18.21875" style="92" bestFit="1" customWidth="1"/>
    <col min="9737" max="9737" width="26.44140625" style="92" customWidth="1"/>
    <col min="9738" max="9982" width="9.21875" style="92"/>
    <col min="9983" max="9983" width="8.77734375" style="92" bestFit="1" customWidth="1"/>
    <col min="9984" max="9984" width="13.21875" style="92" customWidth="1"/>
    <col min="9985" max="9985" width="16.21875" style="92" bestFit="1" customWidth="1"/>
    <col min="9986" max="9986" width="23.5546875" style="92" customWidth="1"/>
    <col min="9987" max="9987" width="17.21875" style="92" customWidth="1"/>
    <col min="9988" max="9988" width="20.5546875" style="92" bestFit="1" customWidth="1"/>
    <col min="9989" max="9989" width="17.21875" style="92" customWidth="1"/>
    <col min="9990" max="9990" width="21.77734375" style="92" bestFit="1" customWidth="1"/>
    <col min="9991" max="9991" width="17.21875" style="92" bestFit="1" customWidth="1"/>
    <col min="9992" max="9992" width="18.21875" style="92" bestFit="1" customWidth="1"/>
    <col min="9993" max="9993" width="26.44140625" style="92" customWidth="1"/>
    <col min="9994" max="10238" width="9.21875" style="92"/>
    <col min="10239" max="10239" width="8.77734375" style="92" bestFit="1" customWidth="1"/>
    <col min="10240" max="10240" width="13.21875" style="92" customWidth="1"/>
    <col min="10241" max="10241" width="16.21875" style="92" bestFit="1" customWidth="1"/>
    <col min="10242" max="10242" width="23.5546875" style="92" customWidth="1"/>
    <col min="10243" max="10243" width="17.21875" style="92" customWidth="1"/>
    <col min="10244" max="10244" width="20.5546875" style="92" bestFit="1" customWidth="1"/>
    <col min="10245" max="10245" width="17.21875" style="92" customWidth="1"/>
    <col min="10246" max="10246" width="21.77734375" style="92" bestFit="1" customWidth="1"/>
    <col min="10247" max="10247" width="17.21875" style="92" bestFit="1" customWidth="1"/>
    <col min="10248" max="10248" width="18.21875" style="92" bestFit="1" customWidth="1"/>
    <col min="10249" max="10249" width="26.44140625" style="92" customWidth="1"/>
    <col min="10250" max="10494" width="9.21875" style="92"/>
    <col min="10495" max="10495" width="8.77734375" style="92" bestFit="1" customWidth="1"/>
    <col min="10496" max="10496" width="13.21875" style="92" customWidth="1"/>
    <col min="10497" max="10497" width="16.21875" style="92" bestFit="1" customWidth="1"/>
    <col min="10498" max="10498" width="23.5546875" style="92" customWidth="1"/>
    <col min="10499" max="10499" width="17.21875" style="92" customWidth="1"/>
    <col min="10500" max="10500" width="20.5546875" style="92" bestFit="1" customWidth="1"/>
    <col min="10501" max="10501" width="17.21875" style="92" customWidth="1"/>
    <col min="10502" max="10502" width="21.77734375" style="92" bestFit="1" customWidth="1"/>
    <col min="10503" max="10503" width="17.21875" style="92" bestFit="1" customWidth="1"/>
    <col min="10504" max="10504" width="18.21875" style="92" bestFit="1" customWidth="1"/>
    <col min="10505" max="10505" width="26.44140625" style="92" customWidth="1"/>
    <col min="10506" max="10750" width="9.21875" style="92"/>
    <col min="10751" max="10751" width="8.77734375" style="92" bestFit="1" customWidth="1"/>
    <col min="10752" max="10752" width="13.21875" style="92" customWidth="1"/>
    <col min="10753" max="10753" width="16.21875" style="92" bestFit="1" customWidth="1"/>
    <col min="10754" max="10754" width="23.5546875" style="92" customWidth="1"/>
    <col min="10755" max="10755" width="17.21875" style="92" customWidth="1"/>
    <col min="10756" max="10756" width="20.5546875" style="92" bestFit="1" customWidth="1"/>
    <col min="10757" max="10757" width="17.21875" style="92" customWidth="1"/>
    <col min="10758" max="10758" width="21.77734375" style="92" bestFit="1" customWidth="1"/>
    <col min="10759" max="10759" width="17.21875" style="92" bestFit="1" customWidth="1"/>
    <col min="10760" max="10760" width="18.21875" style="92" bestFit="1" customWidth="1"/>
    <col min="10761" max="10761" width="26.44140625" style="92" customWidth="1"/>
    <col min="10762" max="11006" width="9.21875" style="92"/>
    <col min="11007" max="11007" width="8.77734375" style="92" bestFit="1" customWidth="1"/>
    <col min="11008" max="11008" width="13.21875" style="92" customWidth="1"/>
    <col min="11009" max="11009" width="16.21875" style="92" bestFit="1" customWidth="1"/>
    <col min="11010" max="11010" width="23.5546875" style="92" customWidth="1"/>
    <col min="11011" max="11011" width="17.21875" style="92" customWidth="1"/>
    <col min="11012" max="11012" width="20.5546875" style="92" bestFit="1" customWidth="1"/>
    <col min="11013" max="11013" width="17.21875" style="92" customWidth="1"/>
    <col min="11014" max="11014" width="21.77734375" style="92" bestFit="1" customWidth="1"/>
    <col min="11015" max="11015" width="17.21875" style="92" bestFit="1" customWidth="1"/>
    <col min="11016" max="11016" width="18.21875" style="92" bestFit="1" customWidth="1"/>
    <col min="11017" max="11017" width="26.44140625" style="92" customWidth="1"/>
    <col min="11018" max="11262" width="9.21875" style="92"/>
    <col min="11263" max="11263" width="8.77734375" style="92" bestFit="1" customWidth="1"/>
    <col min="11264" max="11264" width="13.21875" style="92" customWidth="1"/>
    <col min="11265" max="11265" width="16.21875" style="92" bestFit="1" customWidth="1"/>
    <col min="11266" max="11266" width="23.5546875" style="92" customWidth="1"/>
    <col min="11267" max="11267" width="17.21875" style="92" customWidth="1"/>
    <col min="11268" max="11268" width="20.5546875" style="92" bestFit="1" customWidth="1"/>
    <col min="11269" max="11269" width="17.21875" style="92" customWidth="1"/>
    <col min="11270" max="11270" width="21.77734375" style="92" bestFit="1" customWidth="1"/>
    <col min="11271" max="11271" width="17.21875" style="92" bestFit="1" customWidth="1"/>
    <col min="11272" max="11272" width="18.21875" style="92" bestFit="1" customWidth="1"/>
    <col min="11273" max="11273" width="26.44140625" style="92" customWidth="1"/>
    <col min="11274" max="11518" width="9.21875" style="92"/>
    <col min="11519" max="11519" width="8.77734375" style="92" bestFit="1" customWidth="1"/>
    <col min="11520" max="11520" width="13.21875" style="92" customWidth="1"/>
    <col min="11521" max="11521" width="16.21875" style="92" bestFit="1" customWidth="1"/>
    <col min="11522" max="11522" width="23.5546875" style="92" customWidth="1"/>
    <col min="11523" max="11523" width="17.21875" style="92" customWidth="1"/>
    <col min="11524" max="11524" width="20.5546875" style="92" bestFit="1" customWidth="1"/>
    <col min="11525" max="11525" width="17.21875" style="92" customWidth="1"/>
    <col min="11526" max="11526" width="21.77734375" style="92" bestFit="1" customWidth="1"/>
    <col min="11527" max="11527" width="17.21875" style="92" bestFit="1" customWidth="1"/>
    <col min="11528" max="11528" width="18.21875" style="92" bestFit="1" customWidth="1"/>
    <col min="11529" max="11529" width="26.44140625" style="92" customWidth="1"/>
    <col min="11530" max="11774" width="9.21875" style="92"/>
    <col min="11775" max="11775" width="8.77734375" style="92" bestFit="1" customWidth="1"/>
    <col min="11776" max="11776" width="13.21875" style="92" customWidth="1"/>
    <col min="11777" max="11777" width="16.21875" style="92" bestFit="1" customWidth="1"/>
    <col min="11778" max="11778" width="23.5546875" style="92" customWidth="1"/>
    <col min="11779" max="11779" width="17.21875" style="92" customWidth="1"/>
    <col min="11780" max="11780" width="20.5546875" style="92" bestFit="1" customWidth="1"/>
    <col min="11781" max="11781" width="17.21875" style="92" customWidth="1"/>
    <col min="11782" max="11782" width="21.77734375" style="92" bestFit="1" customWidth="1"/>
    <col min="11783" max="11783" width="17.21875" style="92" bestFit="1" customWidth="1"/>
    <col min="11784" max="11784" width="18.21875" style="92" bestFit="1" customWidth="1"/>
    <col min="11785" max="11785" width="26.44140625" style="92" customWidth="1"/>
    <col min="11786" max="12030" width="9.21875" style="92"/>
    <col min="12031" max="12031" width="8.77734375" style="92" bestFit="1" customWidth="1"/>
    <col min="12032" max="12032" width="13.21875" style="92" customWidth="1"/>
    <col min="12033" max="12033" width="16.21875" style="92" bestFit="1" customWidth="1"/>
    <col min="12034" max="12034" width="23.5546875" style="92" customWidth="1"/>
    <col min="12035" max="12035" width="17.21875" style="92" customWidth="1"/>
    <col min="12036" max="12036" width="20.5546875" style="92" bestFit="1" customWidth="1"/>
    <col min="12037" max="12037" width="17.21875" style="92" customWidth="1"/>
    <col min="12038" max="12038" width="21.77734375" style="92" bestFit="1" customWidth="1"/>
    <col min="12039" max="12039" width="17.21875" style="92" bestFit="1" customWidth="1"/>
    <col min="12040" max="12040" width="18.21875" style="92" bestFit="1" customWidth="1"/>
    <col min="12041" max="12041" width="26.44140625" style="92" customWidth="1"/>
    <col min="12042" max="12286" width="9.21875" style="92"/>
    <col min="12287" max="12287" width="8.77734375" style="92" bestFit="1" customWidth="1"/>
    <col min="12288" max="12288" width="13.21875" style="92" customWidth="1"/>
    <col min="12289" max="12289" width="16.21875" style="92" bestFit="1" customWidth="1"/>
    <col min="12290" max="12290" width="23.5546875" style="92" customWidth="1"/>
    <col min="12291" max="12291" width="17.21875" style="92" customWidth="1"/>
    <col min="12292" max="12292" width="20.5546875" style="92" bestFit="1" customWidth="1"/>
    <col min="12293" max="12293" width="17.21875" style="92" customWidth="1"/>
    <col min="12294" max="12294" width="21.77734375" style="92" bestFit="1" customWidth="1"/>
    <col min="12295" max="12295" width="17.21875" style="92" bestFit="1" customWidth="1"/>
    <col min="12296" max="12296" width="18.21875" style="92" bestFit="1" customWidth="1"/>
    <col min="12297" max="12297" width="26.44140625" style="92" customWidth="1"/>
    <col min="12298" max="12542" width="9.21875" style="92"/>
    <col min="12543" max="12543" width="8.77734375" style="92" bestFit="1" customWidth="1"/>
    <col min="12544" max="12544" width="13.21875" style="92" customWidth="1"/>
    <col min="12545" max="12545" width="16.21875" style="92" bestFit="1" customWidth="1"/>
    <col min="12546" max="12546" width="23.5546875" style="92" customWidth="1"/>
    <col min="12547" max="12547" width="17.21875" style="92" customWidth="1"/>
    <col min="12548" max="12548" width="20.5546875" style="92" bestFit="1" customWidth="1"/>
    <col min="12549" max="12549" width="17.21875" style="92" customWidth="1"/>
    <col min="12550" max="12550" width="21.77734375" style="92" bestFit="1" customWidth="1"/>
    <col min="12551" max="12551" width="17.21875" style="92" bestFit="1" customWidth="1"/>
    <col min="12552" max="12552" width="18.21875" style="92" bestFit="1" customWidth="1"/>
    <col min="12553" max="12553" width="26.44140625" style="92" customWidth="1"/>
    <col min="12554" max="12798" width="9.21875" style="92"/>
    <col min="12799" max="12799" width="8.77734375" style="92" bestFit="1" customWidth="1"/>
    <col min="12800" max="12800" width="13.21875" style="92" customWidth="1"/>
    <col min="12801" max="12801" width="16.21875" style="92" bestFit="1" customWidth="1"/>
    <col min="12802" max="12802" width="23.5546875" style="92" customWidth="1"/>
    <col min="12803" max="12803" width="17.21875" style="92" customWidth="1"/>
    <col min="12804" max="12804" width="20.5546875" style="92" bestFit="1" customWidth="1"/>
    <col min="12805" max="12805" width="17.21875" style="92" customWidth="1"/>
    <col min="12806" max="12806" width="21.77734375" style="92" bestFit="1" customWidth="1"/>
    <col min="12807" max="12807" width="17.21875" style="92" bestFit="1" customWidth="1"/>
    <col min="12808" max="12808" width="18.21875" style="92" bestFit="1" customWidth="1"/>
    <col min="12809" max="12809" width="26.44140625" style="92" customWidth="1"/>
    <col min="12810" max="13054" width="9.21875" style="92"/>
    <col min="13055" max="13055" width="8.77734375" style="92" bestFit="1" customWidth="1"/>
    <col min="13056" max="13056" width="13.21875" style="92" customWidth="1"/>
    <col min="13057" max="13057" width="16.21875" style="92" bestFit="1" customWidth="1"/>
    <col min="13058" max="13058" width="23.5546875" style="92" customWidth="1"/>
    <col min="13059" max="13059" width="17.21875" style="92" customWidth="1"/>
    <col min="13060" max="13060" width="20.5546875" style="92" bestFit="1" customWidth="1"/>
    <col min="13061" max="13061" width="17.21875" style="92" customWidth="1"/>
    <col min="13062" max="13062" width="21.77734375" style="92" bestFit="1" customWidth="1"/>
    <col min="13063" max="13063" width="17.21875" style="92" bestFit="1" customWidth="1"/>
    <col min="13064" max="13064" width="18.21875" style="92" bestFit="1" customWidth="1"/>
    <col min="13065" max="13065" width="26.44140625" style="92" customWidth="1"/>
    <col min="13066" max="13310" width="9.21875" style="92"/>
    <col min="13311" max="13311" width="8.77734375" style="92" bestFit="1" customWidth="1"/>
    <col min="13312" max="13312" width="13.21875" style="92" customWidth="1"/>
    <col min="13313" max="13313" width="16.21875" style="92" bestFit="1" customWidth="1"/>
    <col min="13314" max="13314" width="23.5546875" style="92" customWidth="1"/>
    <col min="13315" max="13315" width="17.21875" style="92" customWidth="1"/>
    <col min="13316" max="13316" width="20.5546875" style="92" bestFit="1" customWidth="1"/>
    <col min="13317" max="13317" width="17.21875" style="92" customWidth="1"/>
    <col min="13318" max="13318" width="21.77734375" style="92" bestFit="1" customWidth="1"/>
    <col min="13319" max="13319" width="17.21875" style="92" bestFit="1" customWidth="1"/>
    <col min="13320" max="13320" width="18.21875" style="92" bestFit="1" customWidth="1"/>
    <col min="13321" max="13321" width="26.44140625" style="92" customWidth="1"/>
    <col min="13322" max="13566" width="9.21875" style="92"/>
    <col min="13567" max="13567" width="8.77734375" style="92" bestFit="1" customWidth="1"/>
    <col min="13568" max="13568" width="13.21875" style="92" customWidth="1"/>
    <col min="13569" max="13569" width="16.21875" style="92" bestFit="1" customWidth="1"/>
    <col min="13570" max="13570" width="23.5546875" style="92" customWidth="1"/>
    <col min="13571" max="13571" width="17.21875" style="92" customWidth="1"/>
    <col min="13572" max="13572" width="20.5546875" style="92" bestFit="1" customWidth="1"/>
    <col min="13573" max="13573" width="17.21875" style="92" customWidth="1"/>
    <col min="13574" max="13574" width="21.77734375" style="92" bestFit="1" customWidth="1"/>
    <col min="13575" max="13575" width="17.21875" style="92" bestFit="1" customWidth="1"/>
    <col min="13576" max="13576" width="18.21875" style="92" bestFit="1" customWidth="1"/>
    <col min="13577" max="13577" width="26.44140625" style="92" customWidth="1"/>
    <col min="13578" max="13822" width="9.21875" style="92"/>
    <col min="13823" max="13823" width="8.77734375" style="92" bestFit="1" customWidth="1"/>
    <col min="13824" max="13824" width="13.21875" style="92" customWidth="1"/>
    <col min="13825" max="13825" width="16.21875" style="92" bestFit="1" customWidth="1"/>
    <col min="13826" max="13826" width="23.5546875" style="92" customWidth="1"/>
    <col min="13827" max="13827" width="17.21875" style="92" customWidth="1"/>
    <col min="13828" max="13828" width="20.5546875" style="92" bestFit="1" customWidth="1"/>
    <col min="13829" max="13829" width="17.21875" style="92" customWidth="1"/>
    <col min="13830" max="13830" width="21.77734375" style="92" bestFit="1" customWidth="1"/>
    <col min="13831" max="13831" width="17.21875" style="92" bestFit="1" customWidth="1"/>
    <col min="13832" max="13832" width="18.21875" style="92" bestFit="1" customWidth="1"/>
    <col min="13833" max="13833" width="26.44140625" style="92" customWidth="1"/>
    <col min="13834" max="14078" width="9.21875" style="92"/>
    <col min="14079" max="14079" width="8.77734375" style="92" bestFit="1" customWidth="1"/>
    <col min="14080" max="14080" width="13.21875" style="92" customWidth="1"/>
    <col min="14081" max="14081" width="16.21875" style="92" bestFit="1" customWidth="1"/>
    <col min="14082" max="14082" width="23.5546875" style="92" customWidth="1"/>
    <col min="14083" max="14083" width="17.21875" style="92" customWidth="1"/>
    <col min="14084" max="14084" width="20.5546875" style="92" bestFit="1" customWidth="1"/>
    <col min="14085" max="14085" width="17.21875" style="92" customWidth="1"/>
    <col min="14086" max="14086" width="21.77734375" style="92" bestFit="1" customWidth="1"/>
    <col min="14087" max="14087" width="17.21875" style="92" bestFit="1" customWidth="1"/>
    <col min="14088" max="14088" width="18.21875" style="92" bestFit="1" customWidth="1"/>
    <col min="14089" max="14089" width="26.44140625" style="92" customWidth="1"/>
    <col min="14090" max="14334" width="9.21875" style="92"/>
    <col min="14335" max="14335" width="8.77734375" style="92" bestFit="1" customWidth="1"/>
    <col min="14336" max="14336" width="13.21875" style="92" customWidth="1"/>
    <col min="14337" max="14337" width="16.21875" style="92" bestFit="1" customWidth="1"/>
    <col min="14338" max="14338" width="23.5546875" style="92" customWidth="1"/>
    <col min="14339" max="14339" width="17.21875" style="92" customWidth="1"/>
    <col min="14340" max="14340" width="20.5546875" style="92" bestFit="1" customWidth="1"/>
    <col min="14341" max="14341" width="17.21875" style="92" customWidth="1"/>
    <col min="14342" max="14342" width="21.77734375" style="92" bestFit="1" customWidth="1"/>
    <col min="14343" max="14343" width="17.21875" style="92" bestFit="1" customWidth="1"/>
    <col min="14344" max="14344" width="18.21875" style="92" bestFit="1" customWidth="1"/>
    <col min="14345" max="14345" width="26.44140625" style="92" customWidth="1"/>
    <col min="14346" max="14590" width="9.21875" style="92"/>
    <col min="14591" max="14591" width="8.77734375" style="92" bestFit="1" customWidth="1"/>
    <col min="14592" max="14592" width="13.21875" style="92" customWidth="1"/>
    <col min="14593" max="14593" width="16.21875" style="92" bestFit="1" customWidth="1"/>
    <col min="14594" max="14594" width="23.5546875" style="92" customWidth="1"/>
    <col min="14595" max="14595" width="17.21875" style="92" customWidth="1"/>
    <col min="14596" max="14596" width="20.5546875" style="92" bestFit="1" customWidth="1"/>
    <col min="14597" max="14597" width="17.21875" style="92" customWidth="1"/>
    <col min="14598" max="14598" width="21.77734375" style="92" bestFit="1" customWidth="1"/>
    <col min="14599" max="14599" width="17.21875" style="92" bestFit="1" customWidth="1"/>
    <col min="14600" max="14600" width="18.21875" style="92" bestFit="1" customWidth="1"/>
    <col min="14601" max="14601" width="26.44140625" style="92" customWidth="1"/>
    <col min="14602" max="14846" width="9.21875" style="92"/>
    <col min="14847" max="14847" width="8.77734375" style="92" bestFit="1" customWidth="1"/>
    <col min="14848" max="14848" width="13.21875" style="92" customWidth="1"/>
    <col min="14849" max="14849" width="16.21875" style="92" bestFit="1" customWidth="1"/>
    <col min="14850" max="14850" width="23.5546875" style="92" customWidth="1"/>
    <col min="14851" max="14851" width="17.21875" style="92" customWidth="1"/>
    <col min="14852" max="14852" width="20.5546875" style="92" bestFit="1" customWidth="1"/>
    <col min="14853" max="14853" width="17.21875" style="92" customWidth="1"/>
    <col min="14854" max="14854" width="21.77734375" style="92" bestFit="1" customWidth="1"/>
    <col min="14855" max="14855" width="17.21875" style="92" bestFit="1" customWidth="1"/>
    <col min="14856" max="14856" width="18.21875" style="92" bestFit="1" customWidth="1"/>
    <col min="14857" max="14857" width="26.44140625" style="92" customWidth="1"/>
    <col min="14858" max="15102" width="9.21875" style="92"/>
    <col min="15103" max="15103" width="8.77734375" style="92" bestFit="1" customWidth="1"/>
    <col min="15104" max="15104" width="13.21875" style="92" customWidth="1"/>
    <col min="15105" max="15105" width="16.21875" style="92" bestFit="1" customWidth="1"/>
    <col min="15106" max="15106" width="23.5546875" style="92" customWidth="1"/>
    <col min="15107" max="15107" width="17.21875" style="92" customWidth="1"/>
    <col min="15108" max="15108" width="20.5546875" style="92" bestFit="1" customWidth="1"/>
    <col min="15109" max="15109" width="17.21875" style="92" customWidth="1"/>
    <col min="15110" max="15110" width="21.77734375" style="92" bestFit="1" customWidth="1"/>
    <col min="15111" max="15111" width="17.21875" style="92" bestFit="1" customWidth="1"/>
    <col min="15112" max="15112" width="18.21875" style="92" bestFit="1" customWidth="1"/>
    <col min="15113" max="15113" width="26.44140625" style="92" customWidth="1"/>
    <col min="15114" max="15358" width="9.21875" style="92"/>
    <col min="15359" max="15359" width="8.77734375" style="92" bestFit="1" customWidth="1"/>
    <col min="15360" max="15360" width="13.21875" style="92" customWidth="1"/>
    <col min="15361" max="15361" width="16.21875" style="92" bestFit="1" customWidth="1"/>
    <col min="15362" max="15362" width="23.5546875" style="92" customWidth="1"/>
    <col min="15363" max="15363" width="17.21875" style="92" customWidth="1"/>
    <col min="15364" max="15364" width="20.5546875" style="92" bestFit="1" customWidth="1"/>
    <col min="15365" max="15365" width="17.21875" style="92" customWidth="1"/>
    <col min="15366" max="15366" width="21.77734375" style="92" bestFit="1" customWidth="1"/>
    <col min="15367" max="15367" width="17.21875" style="92" bestFit="1" customWidth="1"/>
    <col min="15368" max="15368" width="18.21875" style="92" bestFit="1" customWidth="1"/>
    <col min="15369" max="15369" width="26.44140625" style="92" customWidth="1"/>
    <col min="15370" max="15614" width="9.21875" style="92"/>
    <col min="15615" max="15615" width="8.77734375" style="92" bestFit="1" customWidth="1"/>
    <col min="15616" max="15616" width="13.21875" style="92" customWidth="1"/>
    <col min="15617" max="15617" width="16.21875" style="92" bestFit="1" customWidth="1"/>
    <col min="15618" max="15618" width="23.5546875" style="92" customWidth="1"/>
    <col min="15619" max="15619" width="17.21875" style="92" customWidth="1"/>
    <col min="15620" max="15620" width="20.5546875" style="92" bestFit="1" customWidth="1"/>
    <col min="15621" max="15621" width="17.21875" style="92" customWidth="1"/>
    <col min="15622" max="15622" width="21.77734375" style="92" bestFit="1" customWidth="1"/>
    <col min="15623" max="15623" width="17.21875" style="92" bestFit="1" customWidth="1"/>
    <col min="15624" max="15624" width="18.21875" style="92" bestFit="1" customWidth="1"/>
    <col min="15625" max="15625" width="26.44140625" style="92" customWidth="1"/>
    <col min="15626" max="15870" width="9.21875" style="92"/>
    <col min="15871" max="15871" width="8.77734375" style="92" bestFit="1" customWidth="1"/>
    <col min="15872" max="15872" width="13.21875" style="92" customWidth="1"/>
    <col min="15873" max="15873" width="16.21875" style="92" bestFit="1" customWidth="1"/>
    <col min="15874" max="15874" width="23.5546875" style="92" customWidth="1"/>
    <col min="15875" max="15875" width="17.21875" style="92" customWidth="1"/>
    <col min="15876" max="15876" width="20.5546875" style="92" bestFit="1" customWidth="1"/>
    <col min="15877" max="15877" width="17.21875" style="92" customWidth="1"/>
    <col min="15878" max="15878" width="21.77734375" style="92" bestFit="1" customWidth="1"/>
    <col min="15879" max="15879" width="17.21875" style="92" bestFit="1" customWidth="1"/>
    <col min="15880" max="15880" width="18.21875" style="92" bestFit="1" customWidth="1"/>
    <col min="15881" max="15881" width="26.44140625" style="92" customWidth="1"/>
    <col min="15882" max="16126" width="9.21875" style="92"/>
    <col min="16127" max="16127" width="8.77734375" style="92" bestFit="1" customWidth="1"/>
    <col min="16128" max="16128" width="13.21875" style="92" customWidth="1"/>
    <col min="16129" max="16129" width="16.21875" style="92" bestFit="1" customWidth="1"/>
    <col min="16130" max="16130" width="23.5546875" style="92" customWidth="1"/>
    <col min="16131" max="16131" width="17.21875" style="92" customWidth="1"/>
    <col min="16132" max="16132" width="20.5546875" style="92" bestFit="1" customWidth="1"/>
    <col min="16133" max="16133" width="17.21875" style="92" customWidth="1"/>
    <col min="16134" max="16134" width="21.77734375" style="92" bestFit="1" customWidth="1"/>
    <col min="16135" max="16135" width="17.21875" style="92" bestFit="1" customWidth="1"/>
    <col min="16136" max="16136" width="18.21875" style="92" bestFit="1" customWidth="1"/>
    <col min="16137" max="16137" width="26.44140625" style="92" customWidth="1"/>
    <col min="16138" max="16384" width="9.21875" style="92"/>
  </cols>
  <sheetData>
    <row r="1" spans="11:12" s="109" customFormat="1">
      <c r="K1" s="401"/>
      <c r="L1" s="400"/>
    </row>
    <row r="2" spans="11:12" s="109" customFormat="1">
      <c r="K2" s="401"/>
      <c r="L2" s="400"/>
    </row>
    <row r="3" spans="11:12" s="109" customFormat="1">
      <c r="K3" s="401"/>
      <c r="L3" s="400"/>
    </row>
    <row r="4" spans="11:12" s="109" customFormat="1">
      <c r="K4" s="401"/>
      <c r="L4" s="400"/>
    </row>
    <row r="5" spans="11:12" s="109" customFormat="1">
      <c r="K5" s="401"/>
      <c r="L5" s="400"/>
    </row>
    <row r="6" spans="11:12" s="109" customFormat="1">
      <c r="K6" s="401"/>
      <c r="L6" s="400"/>
    </row>
    <row r="7" spans="11:12" s="109" customFormat="1">
      <c r="K7" s="401"/>
      <c r="L7" s="400"/>
    </row>
    <row r="8" spans="11:12" s="109" customFormat="1">
      <c r="K8" s="401"/>
      <c r="L8" s="400"/>
    </row>
    <row r="9" spans="11:12" s="109" customFormat="1">
      <c r="K9" s="401"/>
      <c r="L9" s="400"/>
    </row>
    <row r="10" spans="11:12" s="109" customFormat="1">
      <c r="K10" s="401"/>
      <c r="L10" s="400"/>
    </row>
    <row r="11" spans="11:12" s="109" customFormat="1">
      <c r="K11" s="401"/>
      <c r="L11" s="400"/>
    </row>
    <row r="12" spans="11:12" s="109" customFormat="1">
      <c r="K12" s="401"/>
      <c r="L12" s="400"/>
    </row>
    <row r="13" spans="11:12" s="109" customFormat="1">
      <c r="K13" s="401"/>
      <c r="L13" s="400"/>
    </row>
    <row r="14" spans="11:12" s="109" customFormat="1">
      <c r="K14" s="401"/>
      <c r="L14" s="400"/>
    </row>
    <row r="15" spans="11:12" s="109" customFormat="1">
      <c r="K15" s="401"/>
      <c r="L15" s="400"/>
    </row>
    <row r="16" spans="11:12" s="109" customFormat="1">
      <c r="K16" s="401"/>
      <c r="L16" s="400"/>
    </row>
    <row r="17" spans="1:17" s="109" customFormat="1">
      <c r="K17" s="401"/>
      <c r="L17" s="400"/>
    </row>
    <row r="18" spans="1:17" s="109" customFormat="1">
      <c r="K18" s="401"/>
      <c r="L18" s="400"/>
    </row>
    <row r="19" spans="1:17" s="109" customFormat="1">
      <c r="K19" s="401"/>
      <c r="L19" s="400"/>
    </row>
    <row r="20" spans="1:17" s="109" customFormat="1">
      <c r="K20" s="401"/>
      <c r="L20" s="400"/>
    </row>
    <row r="21" spans="1:17" s="109" customFormat="1">
      <c r="K21" s="401"/>
      <c r="L21" s="400"/>
    </row>
    <row r="22" spans="1:17" s="109" customFormat="1">
      <c r="K22" s="401"/>
      <c r="L22" s="400"/>
    </row>
    <row r="23" spans="1:17" s="109" customFormat="1">
      <c r="K23" s="401"/>
      <c r="L23" s="400"/>
    </row>
    <row r="24" spans="1:17" s="109" customFormat="1">
      <c r="K24" s="401"/>
      <c r="L24" s="400"/>
    </row>
    <row r="25" spans="1:17" s="109" customFormat="1">
      <c r="K25" s="401"/>
      <c r="L25" s="400"/>
    </row>
    <row r="26" spans="1:17" s="109" customFormat="1">
      <c r="K26" s="401"/>
      <c r="L26" s="400"/>
    </row>
    <row r="27" spans="1:17" s="109" customFormat="1">
      <c r="K27" s="401"/>
      <c r="L27" s="400"/>
    </row>
    <row r="28" spans="1:17" s="109" customFormat="1" ht="24.75" customHeight="1">
      <c r="A28" s="426" t="str">
        <f>CHOOSE(MODE, 'Variable Mgmt'!K11,'Variable Mgmt'!K12)</f>
        <v>DUAL Output PSR Flyback Converter, VIN = 34 V, VOUT1 = 30 V, IOUT1 = 4 A, VOUT2 = 6 V, IOUT2 = 0.85 A</v>
      </c>
      <c r="K28" s="400"/>
      <c r="L28" s="400"/>
    </row>
    <row r="29" spans="1:17" ht="24.75" customHeight="1" thickBot="1">
      <c r="A29" s="93" t="s">
        <v>937</v>
      </c>
    </row>
    <row r="30" spans="1:17" ht="18" customHeight="1">
      <c r="A30" s="174" t="s">
        <v>123</v>
      </c>
      <c r="B30" s="175" t="s">
        <v>122</v>
      </c>
      <c r="C30" s="175" t="s">
        <v>6</v>
      </c>
      <c r="D30" s="829" t="s">
        <v>41</v>
      </c>
      <c r="E30" s="830"/>
      <c r="F30" s="831"/>
      <c r="G30" s="175" t="s">
        <v>116</v>
      </c>
      <c r="H30" s="175" t="s">
        <v>67</v>
      </c>
      <c r="I30" s="418" t="s">
        <v>117</v>
      </c>
      <c r="J30" s="419" t="s">
        <v>346</v>
      </c>
      <c r="K30" s="420" t="s">
        <v>354</v>
      </c>
      <c r="L30" s="394"/>
      <c r="N30" s="95"/>
      <c r="Q30" s="425"/>
    </row>
    <row r="31" spans="1:17" s="95" customFormat="1" ht="17.100000000000001" customHeight="1">
      <c r="A31" s="94">
        <f>ROUNDUP('Design Converter'!E30/10,0)</f>
        <v>10</v>
      </c>
      <c r="B31" s="105" t="s">
        <v>120</v>
      </c>
      <c r="C31" s="108">
        <f>Cin</f>
        <v>100</v>
      </c>
      <c r="D31" s="821" t="str">
        <f>IF(VIN_max&gt;35, "Capacitor, Ceramic, "&amp;'Variable Mgmt'!B234&amp;", 100V, X7R, 10%", "Capacitor, Ceramic, "&amp;'Variable Mgmt'!B234&amp;", 50V, X7R, 10%")</f>
        <v>Capacitor, Ceramic, 100µF, 100V, X7R, 10%</v>
      </c>
      <c r="E31" s="822"/>
      <c r="F31" s="822"/>
      <c r="G31" s="106"/>
      <c r="H31" s="107" t="s">
        <v>118</v>
      </c>
      <c r="I31" s="405" t="s">
        <v>118</v>
      </c>
      <c r="J31" s="414" t="str">
        <f>CHOOSE(Q31,'Variable Mgmt'!T62,'Variable Mgmt'!T63,'Variable Mgmt'!T64,'Variable Mgmt'!T65,'Variable Mgmt'!T66)</f>
        <v>1.0 x 0.5</v>
      </c>
      <c r="K31" s="412">
        <f>CHOOSE(Q31,'Variable Mgmt'!U62,'Variable Mgmt'!U63,'Variable Mgmt'!U64,'Variable Mgmt'!U65,'Variable Mgmt'!U66)</f>
        <v>0.5</v>
      </c>
      <c r="L31" s="417"/>
      <c r="Q31" s="423">
        <v>1</v>
      </c>
    </row>
    <row r="32" spans="1:17" s="95" customFormat="1" ht="17.100000000000001" customHeight="1">
      <c r="A32" s="94">
        <v>1</v>
      </c>
      <c r="B32" s="105" t="s">
        <v>121</v>
      </c>
      <c r="C32" s="108">
        <f>Cout</f>
        <v>220</v>
      </c>
      <c r="D32" s="834" t="str">
        <f>CHOOSE(Cout_Voltage_Rating, "Capacitor, Ceramic, "&amp;'Variable Mgmt'!B229&amp;", 6.3V, X7R, 10%", "Capacitor, Ceramic, "&amp;'Variable Mgmt'!B229&amp;", 10V, X7R, 10%", "Capacitor, Ceramic, "&amp;'Variable Mgmt'!B229&amp;", 16V, X7R, 10%", "Capacitor, Ceramic, "&amp;'Variable Mgmt'!B229&amp;", 25V, X7R, 10%",  "Capacitor, Ceramic, "&amp;'Variable Mgmt'!B229&amp;", 50V, X7R, 10%")</f>
        <v>Capacitor, Ceramic, 220µF, 50V, X7R, 10%</v>
      </c>
      <c r="E32" s="835"/>
      <c r="F32" s="835"/>
      <c r="G32" s="106"/>
      <c r="H32" s="107" t="s">
        <v>118</v>
      </c>
      <c r="I32" s="405" t="s">
        <v>118</v>
      </c>
      <c r="J32" s="414" t="str">
        <f>CHOOSE(Q32,'Variable Mgmt'!T62,'Variable Mgmt'!T63,'Variable Mgmt'!T64,'Variable Mgmt'!T65,'Variable Mgmt'!T66)</f>
        <v>3.2 x 2.5</v>
      </c>
      <c r="K32" s="412">
        <f>CHOOSE(Q32,'Variable Mgmt'!U62,'Variable Mgmt'!U63,'Variable Mgmt'!U64,'Variable Mgmt'!U65,'Variable Mgmt'!U66)</f>
        <v>8</v>
      </c>
      <c r="L32" s="417"/>
      <c r="Q32" s="423">
        <v>5</v>
      </c>
    </row>
    <row r="33" spans="1:17" s="95" customFormat="1" ht="17.100000000000001" customHeight="1">
      <c r="A33" s="94" t="str">
        <f>CHOOSE(MODE, "-", "1")</f>
        <v>1</v>
      </c>
      <c r="B33" s="105" t="s">
        <v>625</v>
      </c>
      <c r="C33" s="108">
        <f>CHOOSE(MODE, "-", Cout2)</f>
        <v>55</v>
      </c>
      <c r="D33" s="512" t="str">
        <f>CHOOSE(MODE, "-", CHOOSE(Cout_Voltage_Rating, "Capacitor, Ceramic, "&amp;'Variable Mgmt'!F229&amp;", 6.3V, X7R, 10%", "Capacitor, Ceramic, "&amp;'Variable Mgmt'!F229&amp;", 10V, X7R, 10%", "Capacitor, Ceramic, "&amp;'Variable Mgmt'!F229&amp;", 16V, X7R, 10%", "Capacitor, Ceramic, "&amp;'Variable Mgmt'!F229&amp;", 25V, X7R, 10%",  "Capacitor, Ceramic, "&amp;'Variable Mgmt'!F229&amp;", 50V, X7R, 10%"))</f>
        <v>Capacitor, Ceramic, 55µF, 50V, X7R, 10%</v>
      </c>
      <c r="E33" s="513"/>
      <c r="F33" s="513"/>
      <c r="G33" s="106"/>
      <c r="H33" s="107" t="str">
        <f>CHOOSE(MODE, "-", "Std")</f>
        <v>Std</v>
      </c>
      <c r="I33" s="405" t="str">
        <f>CHOOSE(MODE, "-", "Std")</f>
        <v>Std</v>
      </c>
      <c r="J33" s="414" t="str">
        <f>CHOOSE(MODE, "-", CHOOSE(Q33,'Variable Mgmt'!T62,'Variable Mgmt'!T63,'Variable Mgmt'!T64,'Variable Mgmt'!T65,'Variable Mgmt'!T66))</f>
        <v>3.2 x 2.5</v>
      </c>
      <c r="K33" s="412">
        <f>CHOOSE(MODE, "-", CHOOSE(Q33,'Variable Mgmt'!U62,'Variable Mgmt'!U63,'Variable Mgmt'!U64,'Variable Mgmt'!U65,'Variable Mgmt'!U66))</f>
        <v>8</v>
      </c>
      <c r="L33" s="417"/>
      <c r="Q33" s="423">
        <v>5</v>
      </c>
    </row>
    <row r="34" spans="1:17" s="95" customFormat="1" ht="17.100000000000001" customHeight="1">
      <c r="A34" s="96" t="str">
        <f>CHOOSE(MODE_SS, "1", "-", "1")</f>
        <v>-</v>
      </c>
      <c r="B34" s="97" t="str">
        <f>CHOOSE(MODE_SS, "Css", "-")</f>
        <v>-</v>
      </c>
      <c r="C34" s="534" t="str">
        <f>CHOOSE(MODE_SS, 'Standard Value Calculator'!B4*1000000000&amp;"nF", "-", "100k")</f>
        <v>-</v>
      </c>
      <c r="D34" s="836" t="str">
        <f>CHOOSE(MODE_SS, "Capacitor, Ceramic, "&amp;'Standard Value Calculator'!B4*1000000000&amp;"nF"&amp;", 16V, X7R, 10%", "-")</f>
        <v>-</v>
      </c>
      <c r="E34" s="837"/>
      <c r="F34" s="837"/>
      <c r="G34" s="98"/>
      <c r="H34" s="99" t="str">
        <f>CHOOSE(MODE_SS, "Std", "-")</f>
        <v>-</v>
      </c>
      <c r="I34" s="406" t="str">
        <f>CHOOSE(MODE_SS, "Std", "-")</f>
        <v>-</v>
      </c>
      <c r="J34" s="414" t="str">
        <f>CHOOSE(MODE_SS,CHOOSE(Q34,'Variable Mgmt'!T62,'Variable Mgmt'!T63,'Variable Mgmt'!T64),"-",CHOOSE(Q34,'Variable Mgmt'!T62,'Variable Mgmt'!T63,'Variable Mgmt'!T64))</f>
        <v>-</v>
      </c>
      <c r="K34" s="412" t="str">
        <f>CHOOSE(MODE_SS, CHOOSE(Q34,'Variable Mgmt'!U62,'Variable Mgmt'!U63,'Variable Mgmt'!U64), "-", CHOOSE(Q34,'Variable Mgmt'!U62,'Variable Mgmt'!U63,'Variable Mgmt'!U64))</f>
        <v>-</v>
      </c>
      <c r="L34" s="417"/>
      <c r="Q34" s="423">
        <v>5</v>
      </c>
    </row>
    <row r="35" spans="1:17" s="95" customFormat="1" ht="17.100000000000001" customHeight="1">
      <c r="A35" s="96">
        <v>1</v>
      </c>
      <c r="B35" s="97" t="s">
        <v>929</v>
      </c>
      <c r="C35" s="534" t="str">
        <f>'Design Converter'!E62&amp;"nF"</f>
        <v>10nF</v>
      </c>
      <c r="D35" s="769" t="str">
        <f>"Capacitor, Ceramic, "&amp;C35&amp;", 16V, X7R, 10%"</f>
        <v>Capacitor, Ceramic, 10nF, 16V, X7R, 10%</v>
      </c>
      <c r="E35" s="770"/>
      <c r="F35" s="770"/>
      <c r="G35" s="106"/>
      <c r="H35" s="107" t="str">
        <f>CHOOSE(MODE, "-", "Std")</f>
        <v>Std</v>
      </c>
      <c r="I35" s="405" t="str">
        <f>CHOOSE(MODE, "-", "Std")</f>
        <v>Std</v>
      </c>
      <c r="J35" s="414" t="str">
        <f>CHOOSE(Q35,'Variable Mgmt'!T62,'Variable Mgmt'!T63,'Variable Mgmt'!T64,'Variable Mgmt'!T65,'Variable Mgmt'!T66)</f>
        <v>2.0 x 1.25</v>
      </c>
      <c r="K35" s="412">
        <f>CHOOSE(Q35,'Variable Mgmt'!U62,'Variable Mgmt'!U63,'Variable Mgmt'!U64,'Variable Mgmt'!U65,'Variable Mgmt'!U66)</f>
        <v>2.5</v>
      </c>
      <c r="L35" s="417"/>
      <c r="Q35" s="423">
        <v>3</v>
      </c>
    </row>
    <row r="36" spans="1:17" s="95" customFormat="1" ht="17.100000000000001" customHeight="1">
      <c r="A36" s="96">
        <v>1</v>
      </c>
      <c r="B36" s="97" t="s">
        <v>930</v>
      </c>
      <c r="C36" s="534" t="str">
        <f>'Design Converter'!E64&amp;"pF"</f>
        <v>150pF</v>
      </c>
      <c r="D36" s="769" t="str">
        <f>"Capacitor, Ceramic, "&amp;C36&amp;", 50V, X7R, 10%"</f>
        <v>Capacitor, Ceramic, 150pF, 50V, X7R, 10%</v>
      </c>
      <c r="E36" s="770"/>
      <c r="F36" s="770"/>
      <c r="G36" s="106"/>
      <c r="H36" s="107" t="str">
        <f>CHOOSE(MODE, "-", "Std")</f>
        <v>Std</v>
      </c>
      <c r="I36" s="405" t="str">
        <f>CHOOSE(MODE, "-", "Std")</f>
        <v>Std</v>
      </c>
      <c r="J36" s="414" t="str">
        <f>CHOOSE(Q36,'Variable Mgmt'!T62,'Variable Mgmt'!T63,'Variable Mgmt'!T64,'Variable Mgmt'!T65,'Variable Mgmt'!T66)</f>
        <v>3.2 x 1.6</v>
      </c>
      <c r="K36" s="412">
        <f>CHOOSE(Q36,'Variable Mgmt'!U62,'Variable Mgmt'!U63,'Variable Mgmt'!U64,'Variable Mgmt'!U65,'Variable Mgmt'!U66)</f>
        <v>5.0999999999999996</v>
      </c>
      <c r="L36" s="417"/>
      <c r="Q36" s="423">
        <v>4</v>
      </c>
    </row>
    <row r="37" spans="1:17" s="95" customFormat="1" ht="17.100000000000001" customHeight="1">
      <c r="A37" s="96">
        <v>1</v>
      </c>
      <c r="B37" s="97" t="s">
        <v>927</v>
      </c>
      <c r="C37" s="108">
        <v>1</v>
      </c>
      <c r="D37" s="834" t="s">
        <v>928</v>
      </c>
      <c r="E37" s="835"/>
      <c r="F37" s="835"/>
      <c r="G37" s="106"/>
      <c r="H37" s="107" t="s">
        <v>118</v>
      </c>
      <c r="I37" s="405" t="s">
        <v>118</v>
      </c>
      <c r="J37" s="414" t="str">
        <f>CHOOSE(Q37,'Variable Mgmt'!T62,'Variable Mgmt'!T63,'Variable Mgmt'!T64,'Variable Mgmt'!T65,'Variable Mgmt'!T66)</f>
        <v>1.6 x 0.8</v>
      </c>
      <c r="K37" s="412">
        <f>CHOOSE(Q37,'Variable Mgmt'!U62,'Variable Mgmt'!U63,'Variable Mgmt'!U64,'Variable Mgmt'!U65,'Variable Mgmt'!U66)</f>
        <v>1.3</v>
      </c>
      <c r="L37" s="417"/>
      <c r="Q37" s="423">
        <v>2</v>
      </c>
    </row>
    <row r="38" spans="1:17" s="95" customFormat="1" ht="17.100000000000001" customHeight="1">
      <c r="A38" s="96">
        <v>1</v>
      </c>
      <c r="B38" s="97" t="s">
        <v>934</v>
      </c>
      <c r="C38" s="108" t="s">
        <v>869</v>
      </c>
      <c r="D38" s="834" t="s">
        <v>935</v>
      </c>
      <c r="E38" s="835"/>
      <c r="F38" s="835"/>
      <c r="G38" s="106"/>
      <c r="H38" s="107" t="str">
        <f>CHOOSE(MODE, "-", "Std")</f>
        <v>Std</v>
      </c>
      <c r="I38" s="405" t="str">
        <f>CHOOSE(MODE, "-", "Std")</f>
        <v>Std</v>
      </c>
      <c r="J38" s="414" t="str">
        <f>CHOOSE(Q38,'Variable Mgmt'!T62,'Variable Mgmt'!T63,'Variable Mgmt'!T64,'Variable Mgmt'!T65,'Variable Mgmt'!T66)</f>
        <v>1.0 x 0.5</v>
      </c>
      <c r="K38" s="412">
        <f>CHOOSE(Q38,'Variable Mgmt'!U62,'Variable Mgmt'!U63,'Variable Mgmt'!U64,'Variable Mgmt'!U65,'Variable Mgmt'!U66)</f>
        <v>0.5</v>
      </c>
      <c r="L38" s="417"/>
      <c r="Q38" s="423">
        <v>1</v>
      </c>
    </row>
    <row r="39" spans="1:17" s="95" customFormat="1" ht="17.100000000000001" customHeight="1">
      <c r="A39" s="100">
        <v>1</v>
      </c>
      <c r="B39" s="101" t="s">
        <v>627</v>
      </c>
      <c r="C39" s="102" t="s">
        <v>193</v>
      </c>
      <c r="D39" s="832" t="str">
        <f>"Rectifying Diode, Schottky"</f>
        <v>Rectifying Diode, Schottky</v>
      </c>
      <c r="E39" s="833"/>
      <c r="F39" s="833"/>
      <c r="G39" s="103"/>
      <c r="H39" s="104" t="s">
        <v>118</v>
      </c>
      <c r="I39" s="407" t="s">
        <v>118</v>
      </c>
      <c r="J39" s="527" t="str">
        <f>CHOOSE(Q39,'Variable Mgmt'!Y72,'Variable Mgmt'!Y73,'Variable Mgmt'!Y74,'Variable Mgmt'!Y75)</f>
        <v>3.6 x 1.8</v>
      </c>
      <c r="K39" s="528">
        <f>CHOOSE(Q39,'Variable Mgmt'!Z72,'Variable Mgmt'!Z73,'Variable Mgmt'!Z74,'Variable Mgmt'!Z75)</f>
        <v>6.5</v>
      </c>
      <c r="L39" s="417"/>
      <c r="Q39" s="424">
        <v>3</v>
      </c>
    </row>
    <row r="40" spans="1:17" s="95" customFormat="1" ht="17.100000000000001" customHeight="1">
      <c r="A40" s="100" t="str">
        <f>CHOOSE(MODE, "-", "1")</f>
        <v>1</v>
      </c>
      <c r="B40" s="101" t="s">
        <v>626</v>
      </c>
      <c r="C40" s="102" t="str">
        <f>CHOOSE(MODE, "-", "Diode")</f>
        <v>Diode</v>
      </c>
      <c r="D40" s="826" t="str">
        <f>CHOOSE(MODE, "-", "Rectifying Diode, Schottky")</f>
        <v>Rectifying Diode, Schottky</v>
      </c>
      <c r="E40" s="827"/>
      <c r="F40" s="827"/>
      <c r="G40" s="103" t="s">
        <v>119</v>
      </c>
      <c r="H40" s="104" t="str">
        <f>CHOOSE(MODE, "-", "Std")</f>
        <v>Std</v>
      </c>
      <c r="I40" s="407" t="str">
        <f>CHOOSE(MODE, "-", "Std")</f>
        <v>Std</v>
      </c>
      <c r="J40" s="527" t="str">
        <f>CHOOSE(MODE, "-", CHOOSE(Q40,'Variable Mgmt'!Y72,'Variable Mgmt'!Y73,'Variable Mgmt'!Y74,'Variable Mgmt'!Y75))</f>
        <v>3.6 x 1.8</v>
      </c>
      <c r="K40" s="528">
        <f>CHOOSE(MODE, "-", CHOOSE(Q40,'Variable Mgmt'!Z72,'Variable Mgmt'!Z73,'Variable Mgmt'!Z74,'Variable Mgmt'!Z75))</f>
        <v>6.5</v>
      </c>
      <c r="L40" s="417"/>
      <c r="Q40" s="424">
        <v>3</v>
      </c>
    </row>
    <row r="41" spans="1:17" s="95" customFormat="1" ht="17.100000000000001" customHeight="1">
      <c r="A41" s="100">
        <v>1</v>
      </c>
      <c r="B41" s="101" t="s">
        <v>628</v>
      </c>
      <c r="C41" s="102" t="str">
        <f>"Diode"</f>
        <v>Diode</v>
      </c>
      <c r="D41" s="532" t="str">
        <f>"Clamp Circuit Diode, Fast Recovery"</f>
        <v>Clamp Circuit Diode, Fast Recovery</v>
      </c>
      <c r="E41" s="533"/>
      <c r="F41" s="533"/>
      <c r="G41" s="103"/>
      <c r="H41" s="104" t="s">
        <v>118</v>
      </c>
      <c r="I41" s="407" t="s">
        <v>118</v>
      </c>
      <c r="J41" s="527" t="str">
        <f>CHOOSE(Q41,'Variable Mgmt'!Y72,'Variable Mgmt'!Y73,'Variable Mgmt'!Y74,'Variable Mgmt'!Y75)</f>
        <v>1.6 x 0.8</v>
      </c>
      <c r="K41" s="528">
        <f>CHOOSE(Q41,'Variable Mgmt'!Z72,'Variable Mgmt'!Z73,'Variable Mgmt'!Z74,'Variable Mgmt'!Z75)</f>
        <v>1.3</v>
      </c>
      <c r="L41" s="417"/>
      <c r="Q41" s="424">
        <v>1</v>
      </c>
    </row>
    <row r="42" spans="1:17" s="95" customFormat="1" ht="17.100000000000001" customHeight="1">
      <c r="A42" s="100">
        <v>1</v>
      </c>
      <c r="B42" s="101" t="s">
        <v>623</v>
      </c>
      <c r="C42" s="102" t="s">
        <v>624</v>
      </c>
      <c r="D42" s="826" t="str">
        <f>"Clamp Circuit Diode, Zener, 24V"</f>
        <v>Clamp Circuit Diode, Zener, 24V</v>
      </c>
      <c r="E42" s="827"/>
      <c r="F42" s="827"/>
      <c r="G42" s="103" t="s">
        <v>119</v>
      </c>
      <c r="H42" s="104" t="s">
        <v>118</v>
      </c>
      <c r="I42" s="407" t="s">
        <v>118</v>
      </c>
      <c r="J42" s="527" t="str">
        <f>CHOOSE(Q42,'Variable Mgmt'!Y72,'Variable Mgmt'!Y73,'Variable Mgmt'!Y74,'Variable Mgmt'!Y75)</f>
        <v>5.0 x 2.5</v>
      </c>
      <c r="K42" s="528">
        <f>CHOOSE(Q42,'Variable Mgmt'!Z72,'Variable Mgmt'!Z73,'Variable Mgmt'!Z74,'Variable Mgmt'!Z75)</f>
        <v>12.5</v>
      </c>
      <c r="L42" s="417"/>
      <c r="Q42" s="424">
        <v>4</v>
      </c>
    </row>
    <row r="43" spans="1:17" s="95" customFormat="1" ht="17.100000000000001" customHeight="1">
      <c r="A43" s="100">
        <v>1</v>
      </c>
      <c r="B43" s="101" t="s">
        <v>941</v>
      </c>
      <c r="C43" s="102" t="str">
        <f>Vout*1.1&amp;"V"</f>
        <v>33V</v>
      </c>
      <c r="D43" s="532" t="str">
        <f>"Output Clamp Diode, Zener, "&amp;ROUND(Vout*1.125,0)&amp;"V"</f>
        <v>Output Clamp Diode, Zener, 34V</v>
      </c>
      <c r="E43" s="533"/>
      <c r="F43" s="533"/>
      <c r="G43" s="103"/>
      <c r="H43" s="104" t="s">
        <v>118</v>
      </c>
      <c r="I43" s="407" t="s">
        <v>118</v>
      </c>
      <c r="J43" s="527" t="str">
        <f>CHOOSE(Q43,'Variable Mgmt'!Y72,'Variable Mgmt'!Y73,'Variable Mgmt'!Y74,'Variable Mgmt'!Y75)</f>
        <v>3.6 x 1.8</v>
      </c>
      <c r="K43" s="528">
        <f>CHOOSE(Q43,'Variable Mgmt'!Z72,'Variable Mgmt'!Z73,'Variable Mgmt'!Z74,'Variable Mgmt'!Z75)</f>
        <v>6.5</v>
      </c>
      <c r="L43" s="417"/>
      <c r="Q43" s="424">
        <v>3</v>
      </c>
    </row>
    <row r="44" spans="1:17" s="95" customFormat="1" ht="17.100000000000001" customHeight="1">
      <c r="A44" s="100" t="str">
        <f>CHOOSE(MODE, "-", "1")</f>
        <v>1</v>
      </c>
      <c r="B44" s="101" t="s">
        <v>942</v>
      </c>
      <c r="C44" s="102" t="str">
        <f>Vout2*1.1&amp;"V"</f>
        <v>6.6V</v>
      </c>
      <c r="D44" s="826" t="str">
        <f>CHOOSE(MODE, "-", "Output Clamp Diode, Zener, "&amp;ROUND(Vout2*1.125,0)&amp;"V")</f>
        <v>Output Clamp Diode, Zener, 7V</v>
      </c>
      <c r="E44" s="827"/>
      <c r="F44" s="827"/>
      <c r="G44" s="103"/>
      <c r="H44" s="104" t="str">
        <f>CHOOSE(MODE, "-", "Std")</f>
        <v>Std</v>
      </c>
      <c r="I44" s="407" t="str">
        <f>CHOOSE(MODE, "-", "Std")</f>
        <v>Std</v>
      </c>
      <c r="J44" s="527" t="str">
        <f>CHOOSE(MODE, "-", CHOOSE(Q44,'Variable Mgmt'!Y72,'Variable Mgmt'!Y73,'Variable Mgmt'!Y74,'Variable Mgmt'!Y75))</f>
        <v>3.6 x 1.8</v>
      </c>
      <c r="K44" s="528">
        <f>CHOOSE(MODE, "-", CHOOSE(Q44,'Variable Mgmt'!Z72,'Variable Mgmt'!Z73,'Variable Mgmt'!Z74,'Variable Mgmt'!Z75))</f>
        <v>6.5</v>
      </c>
      <c r="L44" s="417"/>
      <c r="Q44" s="424">
        <v>3</v>
      </c>
    </row>
    <row r="45" spans="1:17" s="95" customFormat="1" ht="17.100000000000001" customHeight="1">
      <c r="A45" s="96">
        <v>1</v>
      </c>
      <c r="B45" s="97" t="s">
        <v>949</v>
      </c>
      <c r="C45" s="776" t="str">
        <f>IF(Vds_req&lt;30,30,IF(Vds_req&lt;40,40,IF(Vds_req&lt;50,50,IF(Vds_req&lt;60,60,IF(Vds_req&lt;80,80,IF(Vds_req&lt;100,100,IF(Vds_req&lt;120,120,IF(Vds_req&lt;150,150,IF(Vds_req&lt;200,200,IF(Vds_req&lt;250,250,IF(Vds_req&lt;300,300,500)))))))))))&amp;"V"</f>
        <v>120V</v>
      </c>
      <c r="D45" s="774" t="s">
        <v>950</v>
      </c>
      <c r="E45" s="775"/>
      <c r="F45" s="775"/>
      <c r="G45" s="98" t="s">
        <v>951</v>
      </c>
      <c r="H45" s="99" t="s">
        <v>118</v>
      </c>
      <c r="I45" s="406" t="s">
        <v>118</v>
      </c>
      <c r="J45" s="414" t="s">
        <v>952</v>
      </c>
      <c r="K45" s="412">
        <v>30</v>
      </c>
      <c r="L45" s="417"/>
      <c r="Q45" s="424"/>
    </row>
    <row r="46" spans="1:17" s="95" customFormat="1" ht="17.100000000000001" customHeight="1">
      <c r="A46" s="100">
        <v>1</v>
      </c>
      <c r="B46" s="101" t="s">
        <v>629</v>
      </c>
      <c r="C46" s="102">
        <v>12.1</v>
      </c>
      <c r="D46" s="818">
        <f>C46</f>
        <v>12.1</v>
      </c>
      <c r="E46" s="819"/>
      <c r="F46" s="819"/>
      <c r="G46" s="103" t="s">
        <v>119</v>
      </c>
      <c r="H46" s="104" t="s">
        <v>118</v>
      </c>
      <c r="I46" s="407" t="s">
        <v>118</v>
      </c>
      <c r="J46" s="527" t="str">
        <f>CHOOSE(Q46,'Variable Mgmt'!T62,'Variable Mgmt'!T63,'Variable Mgmt'!T64)</f>
        <v>1.6 x 0.8</v>
      </c>
      <c r="K46" s="528">
        <f>CHOOSE(Q46,'Variable Mgmt'!U62,'Variable Mgmt'!U63,'Variable Mgmt'!U64,'Variable Mgmt'!U65,'Variable Mgmt'!U66)</f>
        <v>1.3</v>
      </c>
      <c r="L46" s="417"/>
      <c r="Q46" s="424">
        <v>2</v>
      </c>
    </row>
    <row r="47" spans="1:17" s="95" customFormat="1" ht="17.100000000000001" customHeight="1">
      <c r="A47" s="100">
        <v>1</v>
      </c>
      <c r="B47" s="101" t="s">
        <v>524</v>
      </c>
      <c r="C47" s="102">
        <f>Rfb/1000</f>
        <v>300</v>
      </c>
      <c r="D47" s="818">
        <f>C47</f>
        <v>300</v>
      </c>
      <c r="E47" s="819"/>
      <c r="F47" s="819"/>
      <c r="G47" s="103" t="s">
        <v>119</v>
      </c>
      <c r="H47" s="104" t="s">
        <v>118</v>
      </c>
      <c r="I47" s="407" t="s">
        <v>118</v>
      </c>
      <c r="J47" s="527" t="str">
        <f>CHOOSE(Q47,'Variable Mgmt'!T62,'Variable Mgmt'!T63,'Variable Mgmt'!T64)</f>
        <v>2.0 x 1.25</v>
      </c>
      <c r="K47" s="528">
        <f>CHOOSE(Q47,'Variable Mgmt'!U62,'Variable Mgmt'!U63,'Variable Mgmt'!U64,'Variable Mgmt'!U65,'Variable Mgmt'!U66)</f>
        <v>2.5</v>
      </c>
      <c r="L47" s="417"/>
      <c r="Q47" s="424">
        <v>3</v>
      </c>
    </row>
    <row r="48" spans="1:17" s="95" customFormat="1" ht="17.100000000000001" customHeight="1">
      <c r="A48" s="100" t="str">
        <f>CHOOSE(MODE_UVLO, "1", "-")</f>
        <v>1</v>
      </c>
      <c r="B48" s="101" t="s">
        <v>126</v>
      </c>
      <c r="C48" s="777" t="str">
        <f>CHOOSE(MODE_UVLO, 'Variable Mgmt'!H253, "-")</f>
        <v>73.2k</v>
      </c>
      <c r="D48" s="826" t="str">
        <f>CHOOSE(MODE_UVLO, "Resistor, Chip, "&amp;'Variable Mgmt'!C253&amp;", 1/16W, 1%", "-")</f>
        <v>Resistor, Chip, 73.2kΩ, 1/16W, 1%</v>
      </c>
      <c r="E48" s="827"/>
      <c r="F48" s="827"/>
      <c r="G48" s="103" t="s">
        <v>119</v>
      </c>
      <c r="H48" s="104" t="str">
        <f>CHOOSE(MODE_UVLO, "Std", "-")</f>
        <v>Std</v>
      </c>
      <c r="I48" s="407" t="str">
        <f>CHOOSE(MODE_UVLO, "Std", "-")</f>
        <v>Std</v>
      </c>
      <c r="J48" s="527" t="str">
        <f>CHOOSE(MODE_UVLO, CHOOSE(Q48,'Variable Mgmt'!T62,'Variable Mgmt'!T63,'Variable Mgmt'!T64), "-")</f>
        <v>1.0 x 0.5</v>
      </c>
      <c r="K48" s="528">
        <f>CHOOSE(MODE_UVLO, CHOOSE(Q48,'Variable Mgmt'!U62,'Variable Mgmt'!U63,'Variable Mgmt'!U64,'Variable Mgmt'!U65,'Variable Mgmt'!U66),"-")</f>
        <v>0.5</v>
      </c>
      <c r="L48" s="417"/>
      <c r="Q48" s="424">
        <v>1</v>
      </c>
    </row>
    <row r="49" spans="1:17" s="95" customFormat="1" ht="17.100000000000001" customHeight="1">
      <c r="A49" s="100" t="str">
        <f>CHOOSE(MODE_UVLO, "1", "-")</f>
        <v>1</v>
      </c>
      <c r="B49" s="101" t="s">
        <v>127</v>
      </c>
      <c r="C49" s="777" t="str">
        <f>CHOOSE(MODE_UVLO, 'Variable Mgmt'!H254, "-")</f>
        <v>6.34k</v>
      </c>
      <c r="D49" s="826" t="str">
        <f>CHOOSE(MODE_UVLO, "Resistor, Chip, "&amp;'Variable Mgmt'!C254&amp;", 1/16W, 1%", "-")</f>
        <v>Resistor, Chip, 6.34kΩ, 1/16W, 1%</v>
      </c>
      <c r="E49" s="827"/>
      <c r="F49" s="827"/>
      <c r="G49" s="103" t="s">
        <v>119</v>
      </c>
      <c r="H49" s="104" t="str">
        <f>CHOOSE(MODE_UVLO, "Std", "-")</f>
        <v>Std</v>
      </c>
      <c r="I49" s="407" t="str">
        <f>CHOOSE(MODE_UVLO, "Std", "-")</f>
        <v>Std</v>
      </c>
      <c r="J49" s="527" t="str">
        <f>CHOOSE(MODE_UVLO, CHOOSE(Q49,'Variable Mgmt'!T62,'Variable Mgmt'!T63,'Variable Mgmt'!T64), "-")</f>
        <v>1.0 x 0.5</v>
      </c>
      <c r="K49" s="528">
        <f>CHOOSE(MODE_UVLO, CHOOSE(Q49,'Variable Mgmt'!U62,'Variable Mgmt'!U63,'Variable Mgmt'!U64,'Variable Mgmt'!U65,'Variable Mgmt'!U66),"-")</f>
        <v>0.5</v>
      </c>
      <c r="L49" s="417"/>
      <c r="Q49" s="424">
        <v>1</v>
      </c>
    </row>
    <row r="50" spans="1:17" s="95" customFormat="1" ht="17.100000000000001" customHeight="1">
      <c r="A50" s="100" t="str">
        <f>CHOOSE(MODE_TC, "1", "-")</f>
        <v>1</v>
      </c>
      <c r="B50" s="101" t="s">
        <v>516</v>
      </c>
      <c r="C50" s="102">
        <f>CHOOSE(MODE_TC, RTC, "-")</f>
        <v>1690</v>
      </c>
      <c r="D50" s="818" t="str">
        <f>CHOOSE(MODE_TC, "Resistor, Chip, "&amp;'Variable Mgmt'!B249&amp;", 1/16W, 1%", "-")</f>
        <v>Resistor, Chip, 1690kΩ, 1/16W, 1%</v>
      </c>
      <c r="E50" s="819"/>
      <c r="F50" s="819"/>
      <c r="G50" s="103" t="s">
        <v>119</v>
      </c>
      <c r="H50" s="104" t="str">
        <f>CHOOSE(MODE_TC, "Std", "-")</f>
        <v>Std</v>
      </c>
      <c r="I50" s="407" t="str">
        <f>CHOOSE(MODE_TC, "Std", "-")</f>
        <v>Std</v>
      </c>
      <c r="J50" s="527" t="str">
        <f>CHOOSE(MODE_TC, CHOOSE(Q50,'Variable Mgmt'!T62,'Variable Mgmt'!T393,'Variable Mgmt'!T64), "-")</f>
        <v>1.0 x 0.5</v>
      </c>
      <c r="K50" s="528">
        <f>CHOOSE(MODE_TC, CHOOSE(Q50,'Variable Mgmt'!U62,'Variable Mgmt'!U63,'Variable Mgmt'!U64,'Variable Mgmt'!U65,'Variable Mgmt'!U66),"-")</f>
        <v>0.5</v>
      </c>
      <c r="L50" s="417"/>
      <c r="Q50" s="424">
        <v>1</v>
      </c>
    </row>
    <row r="51" spans="1:17" s="95" customFormat="1" ht="17.100000000000001" customHeight="1">
      <c r="A51" s="100">
        <v>1</v>
      </c>
      <c r="B51" s="101" t="s">
        <v>932</v>
      </c>
      <c r="C51" s="102" t="str">
        <f>'Variable Mgmt'!D297</f>
        <v>3.3mΩ</v>
      </c>
      <c r="D51" s="828" t="s">
        <v>933</v>
      </c>
      <c r="E51" s="819"/>
      <c r="F51" s="819"/>
      <c r="G51" s="103" t="s">
        <v>119</v>
      </c>
      <c r="H51" s="104" t="s">
        <v>118</v>
      </c>
      <c r="I51" s="407" t="s">
        <v>118</v>
      </c>
      <c r="J51" s="527" t="str">
        <f>CHOOSE(Q51,'Variable Mgmt'!T63,'Variable Mgmt'!T64,'Variable Mgmt'!T65,'Variable Mgmt'!T66,'Variable Mgmt'!T67,'Variable Mgmt'!T68)</f>
        <v>9.3 x 2.7</v>
      </c>
      <c r="K51" s="528">
        <f>CHOOSE(Q51,'Variable Mgmt'!U63,'Variable Mgmt'!U64,'Variable Mgmt'!U65,'Variable Mgmt'!U66,'Variable Mgmt'!U67,'Variable Mgmt'!U68)</f>
        <v>25.1</v>
      </c>
      <c r="L51" s="417"/>
      <c r="Q51" s="424">
        <v>6</v>
      </c>
    </row>
    <row r="52" spans="1:17" s="95" customFormat="1" ht="17.100000000000001" customHeight="1">
      <c r="A52" s="100">
        <v>1</v>
      </c>
      <c r="B52" s="101" t="s">
        <v>931</v>
      </c>
      <c r="C52" s="102">
        <f>'Design Converter'!E60</f>
        <v>40.200000000000003</v>
      </c>
      <c r="D52" s="773" t="str">
        <f>"Resistor, Chip, "&amp;C52&amp;"kΩ, 1/16W, 1%"</f>
        <v>Resistor, Chip, 40.2kΩ, 1/16W, 1%</v>
      </c>
      <c r="E52" s="778"/>
      <c r="F52" s="778"/>
      <c r="G52" s="103" t="s">
        <v>119</v>
      </c>
      <c r="H52" s="104" t="s">
        <v>118</v>
      </c>
      <c r="I52" s="407" t="s">
        <v>118</v>
      </c>
      <c r="J52" s="527" t="str">
        <f>CHOOSE(Q52,'Variable Mgmt'!T62,'Variable Mgmt'!T63,'Variable Mgmt'!T64)</f>
        <v>1.6 x 0.8</v>
      </c>
      <c r="K52" s="528">
        <f>CHOOSE(Q52,'Variable Mgmt'!U62,'Variable Mgmt'!U63,'Variable Mgmt'!U64,'Variable Mgmt'!U65,'Variable Mgmt'!U66)</f>
        <v>1.3</v>
      </c>
      <c r="L52" s="417"/>
      <c r="Q52" s="424">
        <v>2</v>
      </c>
    </row>
    <row r="53" spans="1:17" s="95" customFormat="1" ht="17.100000000000001" customHeight="1">
      <c r="A53" s="100">
        <v>1</v>
      </c>
      <c r="B53" s="101" t="s">
        <v>936</v>
      </c>
      <c r="C53" s="102" t="str">
        <f>'Variable Mgmt'!D299</f>
        <v>100Ω</v>
      </c>
      <c r="D53" s="818" t="str">
        <f>"Resistor, Chip, "&amp;C53&amp;", 1/16W, 1%"</f>
        <v>Resistor, Chip, 100Ω, 1/16W, 1%</v>
      </c>
      <c r="E53" s="819"/>
      <c r="F53" s="819"/>
      <c r="G53" s="103" t="s">
        <v>119</v>
      </c>
      <c r="H53" s="104" t="s">
        <v>118</v>
      </c>
      <c r="I53" s="407" t="s">
        <v>118</v>
      </c>
      <c r="J53" s="527" t="str">
        <f>CHOOSE(Q53,'Variable Mgmt'!T62,'Variable Mgmt'!T63,'Variable Mgmt'!T64)</f>
        <v>1.0 x 0.5</v>
      </c>
      <c r="K53" s="528">
        <f>CHOOSE(Q53,'Variable Mgmt'!U62,'Variable Mgmt'!U63,'Variable Mgmt'!U64,'Variable Mgmt'!U65,'Variable Mgmt'!U66)</f>
        <v>0.5</v>
      </c>
      <c r="L53" s="417"/>
      <c r="Q53" s="424">
        <v>1</v>
      </c>
    </row>
    <row r="54" spans="1:17" s="530" customFormat="1" ht="16.5" customHeight="1">
      <c r="A54" s="96">
        <v>1</v>
      </c>
      <c r="B54" s="97" t="s">
        <v>523</v>
      </c>
      <c r="C54" s="779" t="str">
        <f>'Design Converter'!L7&amp;"k"</f>
        <v>4.7k</v>
      </c>
      <c r="D54" s="823" t="str">
        <f>"Transformer, "&amp;L*1000000&amp;"µH, "&amp;'Variable Mgmt'!W50&amp;", "&amp;Rdcr_pri*1000&amp;"mΩ Pri DCR"</f>
        <v>Transformer, 4.7µH, 1 : 1 : 0.21, 14mΩ Pri DCR</v>
      </c>
      <c r="E54" s="824"/>
      <c r="F54" s="825"/>
      <c r="G54" s="99" t="s">
        <v>125</v>
      </c>
      <c r="H54" s="99" t="s">
        <v>124</v>
      </c>
      <c r="I54" s="406" t="s">
        <v>124</v>
      </c>
      <c r="J54" s="414" t="str">
        <f>CHOOSE(Q54,'Variable Mgmt'!T73,'Variable Mgmt'!T74,'Variable Mgmt'!T75,'Variable Mgmt'!T76,'Variable Mgmt'!T77,'Variable Mgmt'!T78, 'Variable Mgmt'!T79, 'Variable Mgmt'!T80)</f>
        <v>23 x 17</v>
      </c>
      <c r="K54" s="776">
        <f>CHOOSE(Q54,'Variable Mgmt'!U73,'Variable Mgmt'!U74,'Variable Mgmt'!U75,'Variable Mgmt'!U76,'Variable Mgmt'!U77,'Variable Mgmt'!U78, 'Variable Mgmt'!U79,'Variable Mgmt'!U80)</f>
        <v>391</v>
      </c>
      <c r="L54" s="529"/>
      <c r="Q54" s="531">
        <v>8</v>
      </c>
    </row>
    <row r="55" spans="1:17" ht="17.100000000000001" customHeight="1">
      <c r="A55" s="391">
        <v>1</v>
      </c>
      <c r="B55" s="396" t="s">
        <v>128</v>
      </c>
      <c r="C55" s="416" t="s">
        <v>938</v>
      </c>
      <c r="D55" s="397" t="s">
        <v>939</v>
      </c>
      <c r="E55" s="398"/>
      <c r="F55" s="399"/>
      <c r="G55" s="395" t="s">
        <v>940</v>
      </c>
      <c r="H55" s="395" t="s">
        <v>938</v>
      </c>
      <c r="I55" s="397" t="s">
        <v>355</v>
      </c>
      <c r="J55" s="415" t="s">
        <v>953</v>
      </c>
      <c r="K55" s="413">
        <f>32</f>
        <v>32</v>
      </c>
      <c r="L55" s="394"/>
      <c r="M55" s="394"/>
      <c r="N55" s="95"/>
      <c r="Q55" s="427"/>
    </row>
    <row r="56" spans="1:17" ht="17.100000000000001" customHeight="1">
      <c r="J56" s="95"/>
      <c r="K56" s="404"/>
      <c r="L56" s="394"/>
      <c r="M56" s="394"/>
      <c r="N56" s="95"/>
    </row>
    <row r="57" spans="1:17" ht="17.25" hidden="1" customHeight="1">
      <c r="H57" s="820" t="s">
        <v>357</v>
      </c>
      <c r="I57" s="820"/>
      <c r="J57" s="820"/>
      <c r="K57" s="421">
        <f>SUM(K31:K55)*1.25</f>
        <v>688.625</v>
      </c>
      <c r="L57" s="428" t="s">
        <v>358</v>
      </c>
      <c r="M57" s="422">
        <f>K57/25.4/25.4</f>
        <v>1.0673708847417698</v>
      </c>
      <c r="N57" s="428" t="s">
        <v>356</v>
      </c>
    </row>
    <row r="58" spans="1:17" ht="17.100000000000001" customHeight="1">
      <c r="J58" s="408"/>
      <c r="K58" s="409"/>
      <c r="L58" s="410"/>
      <c r="M58" s="411"/>
      <c r="N58" s="410"/>
    </row>
    <row r="59" spans="1:17" ht="20.25" customHeight="1">
      <c r="A59" s="403" t="s">
        <v>137</v>
      </c>
    </row>
    <row r="60" spans="1:17">
      <c r="A60" s="92" t="s">
        <v>947</v>
      </c>
    </row>
    <row r="61" spans="1:17">
      <c r="A61" s="92" t="s">
        <v>677</v>
      </c>
      <c r="K61" s="402"/>
    </row>
    <row r="62" spans="1:17">
      <c r="A62" s="92" t="s">
        <v>676</v>
      </c>
    </row>
    <row r="63" spans="1:17">
      <c r="A63" s="92" t="s">
        <v>674</v>
      </c>
    </row>
    <row r="64" spans="1:17">
      <c r="A64" s="92" t="s">
        <v>675</v>
      </c>
    </row>
  </sheetData>
  <sheetProtection algorithmName="SHA-512" hashValue="LDB4IK7WyDQAJv8vPYNHmpeIcJchZtvJGk7AGokZ+o84M8XParPHLMtS2RIXTD1m393K8OHh8N2HD1gBIJAsWw==" saltValue="oU8kR652ub4qmJSrMqH4Kg==" spinCount="100000" sheet="1" objects="1" scenarios="1" selectLockedCells="1" selectUnlockedCells="1"/>
  <mergeCells count="19">
    <mergeCell ref="D30:F30"/>
    <mergeCell ref="D46:F46"/>
    <mergeCell ref="D47:F47"/>
    <mergeCell ref="D42:F42"/>
    <mergeCell ref="D40:F40"/>
    <mergeCell ref="D39:F39"/>
    <mergeCell ref="D32:F32"/>
    <mergeCell ref="D34:F34"/>
    <mergeCell ref="D37:F37"/>
    <mergeCell ref="D44:F44"/>
    <mergeCell ref="D38:F38"/>
    <mergeCell ref="D53:F53"/>
    <mergeCell ref="H57:J57"/>
    <mergeCell ref="D31:F31"/>
    <mergeCell ref="D54:F54"/>
    <mergeCell ref="D48:F48"/>
    <mergeCell ref="D49:F49"/>
    <mergeCell ref="D50:F50"/>
    <mergeCell ref="D51:F51"/>
  </mergeCells>
  <phoneticPr fontId="83"/>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40 G42 G48:G49 G46" numberStoredAsText="1"/>
    <ignoredError sqref="J40:K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15240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15240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39</xdr:row>
                    <xdr:rowOff>15240</xdr:rowOff>
                  </from>
                  <to>
                    <xdr:col>6</xdr:col>
                    <xdr:colOff>876300</xdr:colOff>
                    <xdr:row>40</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46</xdr:row>
                    <xdr:rowOff>15240</xdr:rowOff>
                  </from>
                  <to>
                    <xdr:col>6</xdr:col>
                    <xdr:colOff>876300</xdr:colOff>
                    <xdr:row>47</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41</xdr:row>
                    <xdr:rowOff>15240</xdr:rowOff>
                  </from>
                  <to>
                    <xdr:col>6</xdr:col>
                    <xdr:colOff>876300</xdr:colOff>
                    <xdr:row>42</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40</xdr:row>
                    <xdr:rowOff>15240</xdr:rowOff>
                  </from>
                  <to>
                    <xdr:col>6</xdr:col>
                    <xdr:colOff>876300</xdr:colOff>
                    <xdr:row>41</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45</xdr:row>
                    <xdr:rowOff>15240</xdr:rowOff>
                  </from>
                  <to>
                    <xdr:col>6</xdr:col>
                    <xdr:colOff>876300</xdr:colOff>
                    <xdr:row>46</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47</xdr:row>
                    <xdr:rowOff>15240</xdr:rowOff>
                  </from>
                  <to>
                    <xdr:col>6</xdr:col>
                    <xdr:colOff>876300</xdr:colOff>
                    <xdr:row>48</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48</xdr:row>
                    <xdr:rowOff>15240</xdr:rowOff>
                  </from>
                  <to>
                    <xdr:col>6</xdr:col>
                    <xdr:colOff>876300</xdr:colOff>
                    <xdr:row>49</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49</xdr:row>
                    <xdr:rowOff>15240</xdr:rowOff>
                  </from>
                  <to>
                    <xdr:col>6</xdr:col>
                    <xdr:colOff>876300</xdr:colOff>
                    <xdr:row>50</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38</xdr:row>
                    <xdr:rowOff>15240</xdr:rowOff>
                  </from>
                  <to>
                    <xdr:col>6</xdr:col>
                    <xdr:colOff>876300</xdr:colOff>
                    <xdr:row>39</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53</xdr:row>
                    <xdr:rowOff>15240</xdr:rowOff>
                  </from>
                  <to>
                    <xdr:col>6</xdr:col>
                    <xdr:colOff>876300</xdr:colOff>
                    <xdr:row>54</xdr:row>
                    <xdr:rowOff>0</xdr:rowOff>
                  </to>
                </anchor>
              </controlPr>
            </control>
          </mc:Choice>
        </mc:AlternateContent>
        <mc:AlternateContent xmlns:mc="http://schemas.openxmlformats.org/markup-compatibility/2006">
          <mc:Choice Requires="x14">
            <control shapeId="706019" r:id="rId16" name="Drop Down 1507">
              <controlPr defaultSize="0" autoLine="0" autoPict="0">
                <anchor moveWithCells="1">
                  <from>
                    <xdr:col>5</xdr:col>
                    <xdr:colOff>899160</xdr:colOff>
                    <xdr:row>32</xdr:row>
                    <xdr:rowOff>15240</xdr:rowOff>
                  </from>
                  <to>
                    <xdr:col>6</xdr:col>
                    <xdr:colOff>868680</xdr:colOff>
                    <xdr:row>33</xdr:row>
                    <xdr:rowOff>0</xdr:rowOff>
                  </to>
                </anchor>
              </controlPr>
            </control>
          </mc:Choice>
        </mc:AlternateContent>
        <mc:AlternateContent xmlns:mc="http://schemas.openxmlformats.org/markup-compatibility/2006">
          <mc:Choice Requires="x14">
            <control shapeId="706028" r:id="rId17" name="Drop Down 1516">
              <controlPr defaultSize="0" autoLine="0" autoPict="0">
                <anchor moveWithCells="1">
                  <from>
                    <xdr:col>6</xdr:col>
                    <xdr:colOff>0</xdr:colOff>
                    <xdr:row>42</xdr:row>
                    <xdr:rowOff>15240</xdr:rowOff>
                  </from>
                  <to>
                    <xdr:col>6</xdr:col>
                    <xdr:colOff>883920</xdr:colOff>
                    <xdr:row>43</xdr:row>
                    <xdr:rowOff>0</xdr:rowOff>
                  </to>
                </anchor>
              </controlPr>
            </control>
          </mc:Choice>
        </mc:AlternateContent>
        <mc:AlternateContent xmlns:mc="http://schemas.openxmlformats.org/markup-compatibility/2006">
          <mc:Choice Requires="x14">
            <control shapeId="764426" r:id="rId18" name="Drop Down 2570">
              <controlPr defaultSize="0" autoLine="0" autoPict="0">
                <anchor moveWithCells="1">
                  <from>
                    <xdr:col>6</xdr:col>
                    <xdr:colOff>0</xdr:colOff>
                    <xdr:row>51</xdr:row>
                    <xdr:rowOff>15240</xdr:rowOff>
                  </from>
                  <to>
                    <xdr:col>6</xdr:col>
                    <xdr:colOff>876300</xdr:colOff>
                    <xdr:row>51</xdr:row>
                    <xdr:rowOff>213360</xdr:rowOff>
                  </to>
                </anchor>
              </controlPr>
            </control>
          </mc:Choice>
        </mc:AlternateContent>
        <mc:AlternateContent xmlns:mc="http://schemas.openxmlformats.org/markup-compatibility/2006">
          <mc:Choice Requires="x14">
            <control shapeId="764430" r:id="rId19" name="Drop Down 2574">
              <controlPr defaultSize="0" autoLine="0" autoPict="0">
                <anchor moveWithCells="1">
                  <from>
                    <xdr:col>6</xdr:col>
                    <xdr:colOff>0</xdr:colOff>
                    <xdr:row>52</xdr:row>
                    <xdr:rowOff>15240</xdr:rowOff>
                  </from>
                  <to>
                    <xdr:col>6</xdr:col>
                    <xdr:colOff>876300</xdr:colOff>
                    <xdr:row>52</xdr:row>
                    <xdr:rowOff>213360</xdr:rowOff>
                  </to>
                </anchor>
              </controlPr>
            </control>
          </mc:Choice>
        </mc:AlternateContent>
        <mc:AlternateContent xmlns:mc="http://schemas.openxmlformats.org/markup-compatibility/2006">
          <mc:Choice Requires="x14">
            <control shapeId="764447" r:id="rId20" name="Drop Down 2591">
              <controlPr defaultSize="0" autoLine="0" autoPict="0">
                <anchor moveWithCells="1">
                  <from>
                    <xdr:col>6</xdr:col>
                    <xdr:colOff>0</xdr:colOff>
                    <xdr:row>34</xdr:row>
                    <xdr:rowOff>15240</xdr:rowOff>
                  </from>
                  <to>
                    <xdr:col>6</xdr:col>
                    <xdr:colOff>883920</xdr:colOff>
                    <xdr:row>35</xdr:row>
                    <xdr:rowOff>0</xdr:rowOff>
                  </to>
                </anchor>
              </controlPr>
            </control>
          </mc:Choice>
        </mc:AlternateContent>
        <mc:AlternateContent xmlns:mc="http://schemas.openxmlformats.org/markup-compatibility/2006">
          <mc:Choice Requires="x14">
            <control shapeId="764451" r:id="rId21" name="Drop Down 2595">
              <controlPr defaultSize="0" autoLine="0" autoPict="0">
                <anchor moveWithCells="1">
                  <from>
                    <xdr:col>6</xdr:col>
                    <xdr:colOff>0</xdr:colOff>
                    <xdr:row>43</xdr:row>
                    <xdr:rowOff>15240</xdr:rowOff>
                  </from>
                  <to>
                    <xdr:col>6</xdr:col>
                    <xdr:colOff>876300</xdr:colOff>
                    <xdr:row>44</xdr:row>
                    <xdr:rowOff>0</xdr:rowOff>
                  </to>
                </anchor>
              </controlPr>
            </control>
          </mc:Choice>
        </mc:AlternateContent>
        <mc:AlternateContent xmlns:mc="http://schemas.openxmlformats.org/markup-compatibility/2006">
          <mc:Choice Requires="x14">
            <control shapeId="764454" r:id="rId22" name="Drop Down 2598">
              <controlPr defaultSize="0" autoLine="0" autoPict="0">
                <anchor moveWithCells="1">
                  <from>
                    <xdr:col>6</xdr:col>
                    <xdr:colOff>0</xdr:colOff>
                    <xdr:row>35</xdr:row>
                    <xdr:rowOff>15240</xdr:rowOff>
                  </from>
                  <to>
                    <xdr:col>6</xdr:col>
                    <xdr:colOff>876300</xdr:colOff>
                    <xdr:row>36</xdr:row>
                    <xdr:rowOff>0</xdr:rowOff>
                  </to>
                </anchor>
              </controlPr>
            </control>
          </mc:Choice>
        </mc:AlternateContent>
        <mc:AlternateContent xmlns:mc="http://schemas.openxmlformats.org/markup-compatibility/2006">
          <mc:Choice Requires="x14">
            <control shapeId="764455" r:id="rId23" name="Drop Down 2599">
              <controlPr defaultSize="0" autoLine="0" autoPict="0">
                <anchor moveWithCells="1">
                  <from>
                    <xdr:col>6</xdr:col>
                    <xdr:colOff>0</xdr:colOff>
                    <xdr:row>36</xdr:row>
                    <xdr:rowOff>15240</xdr:rowOff>
                  </from>
                  <to>
                    <xdr:col>6</xdr:col>
                    <xdr:colOff>876300</xdr:colOff>
                    <xdr:row>37</xdr:row>
                    <xdr:rowOff>0</xdr:rowOff>
                  </to>
                </anchor>
              </controlPr>
            </control>
          </mc:Choice>
        </mc:AlternateContent>
        <mc:AlternateContent xmlns:mc="http://schemas.openxmlformats.org/markup-compatibility/2006">
          <mc:Choice Requires="x14">
            <control shapeId="764456" r:id="rId24" name="Drop Down 2600">
              <controlPr defaultSize="0" autoLine="0" autoPict="0">
                <anchor moveWithCells="1">
                  <from>
                    <xdr:col>6</xdr:col>
                    <xdr:colOff>0</xdr:colOff>
                    <xdr:row>37</xdr:row>
                    <xdr:rowOff>15240</xdr:rowOff>
                  </from>
                  <to>
                    <xdr:col>6</xdr:col>
                    <xdr:colOff>876300</xdr:colOff>
                    <xdr:row>38</xdr:row>
                    <xdr:rowOff>0</xdr:rowOff>
                  </to>
                </anchor>
              </controlPr>
            </control>
          </mc:Choice>
        </mc:AlternateContent>
        <mc:AlternateContent xmlns:mc="http://schemas.openxmlformats.org/markup-compatibility/2006">
          <mc:Choice Requires="x14">
            <control shapeId="764458" r:id="rId25" name="Drop Down 2602">
              <controlPr defaultSize="0" autoLine="0" autoPict="0">
                <anchor moveWithCells="1">
                  <from>
                    <xdr:col>6</xdr:col>
                    <xdr:colOff>0</xdr:colOff>
                    <xdr:row>50</xdr:row>
                    <xdr:rowOff>15240</xdr:rowOff>
                  </from>
                  <to>
                    <xdr:col>6</xdr:col>
                    <xdr:colOff>876300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8521D621-BE3D-4AAE-900E-18DA0D0FAC8E}">
            <xm:f>'Variable Mgmt'!$B$58=TRUE</xm:f>
            <x14:dxf>
              <font>
                <color rgb="FFFFFF99"/>
              </font>
            </x14:dxf>
          </x14:cfRule>
          <xm:sqref>B33</xm:sqref>
        </x14:conditionalFormatting>
        <x14:conditionalFormatting xmlns:xm="http://schemas.microsoft.com/office/excel/2006/main">
          <x14:cfRule type="expression" priority="2" id="{4B8E3D35-A815-4471-905F-8419AAA9FC23}">
            <xm:f>'Variable Mgmt'!$B$58=TRUE</xm:f>
            <x14:dxf>
              <font>
                <color theme="0"/>
              </font>
            </x14:dxf>
          </x14:cfRule>
          <xm:sqref>B40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7030A0"/>
    <pageSetUpPr fitToPage="1"/>
  </sheetPr>
  <dimension ref="A1:Q6"/>
  <sheetViews>
    <sheetView zoomScaleNormal="100" workbookViewId="0">
      <selection activeCell="M15" sqref="M15"/>
    </sheetView>
  </sheetViews>
  <sheetFormatPr defaultColWidth="9.21875" defaultRowHeight="13.2"/>
  <cols>
    <col min="1" max="13" width="9.21875" style="65"/>
    <col min="14" max="14" width="11.77734375" style="65" customWidth="1"/>
    <col min="15" max="16" width="9.21875" style="65"/>
    <col min="17" max="17" width="15.77734375" style="65" customWidth="1"/>
    <col min="18" max="16384" width="9.21875" style="65"/>
  </cols>
  <sheetData>
    <row r="1" spans="1:17" s="58" customFormat="1" ht="47.25" customHeight="1">
      <c r="A1" s="838" t="s">
        <v>948</v>
      </c>
      <c r="B1" s="839"/>
      <c r="C1" s="839"/>
      <c r="D1" s="839"/>
      <c r="E1" s="839"/>
      <c r="F1" s="839"/>
      <c r="G1" s="839"/>
      <c r="H1" s="839"/>
      <c r="I1" s="839"/>
      <c r="J1" s="839"/>
      <c r="K1" s="839"/>
      <c r="L1" s="839"/>
      <c r="M1" s="839"/>
      <c r="N1" s="839"/>
      <c r="O1" s="839"/>
      <c r="P1" s="839"/>
      <c r="Q1" s="839"/>
    </row>
    <row r="6" spans="1:17" ht="20.399999999999999">
      <c r="B6" s="66" t="s">
        <v>921</v>
      </c>
      <c r="N6" s="66" t="s">
        <v>946</v>
      </c>
    </row>
  </sheetData>
  <sheetProtection algorithmName="SHA-512" hashValue="tPvl2fh3glKsM+U9wmutkl9ZVBAqXCTdyJPzqtmwYjcUBHnYNN/9332VpUYstDE7h8BljUFt0E7mrD0NWOKCXQ==" saltValue="syN6z4runAzyyZkZejHLoQ==" spinCount="100000" sheet="1" objects="1" scenarios="1" selectLockedCells="1" selectUnlockedCells="1"/>
  <mergeCells count="1">
    <mergeCell ref="A1:Q1"/>
  </mergeCells>
  <phoneticPr fontId="83"/>
  <pageMargins left="0.19" right="0.2"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209</vt:i4>
      </vt:variant>
    </vt:vector>
  </HeadingPairs>
  <TitlesOfParts>
    <vt:vector size="222" baseType="lpstr">
      <vt:lpstr>Design Converter</vt:lpstr>
      <vt:lpstr>Stability Calculations</vt:lpstr>
      <vt:lpstr>Variable Mgmt</vt:lpstr>
      <vt:lpstr>Parameters</vt:lpstr>
      <vt:lpstr>Calculations - Single</vt:lpstr>
      <vt:lpstr>Calculations - Dual</vt:lpstr>
      <vt:lpstr>Fsw vs VIN</vt:lpstr>
      <vt:lpstr>BOM &amp; Schematic</vt:lpstr>
      <vt:lpstr>EVMs</vt:lpstr>
      <vt:lpstr>Efficiency Plots</vt:lpstr>
      <vt:lpstr>Fsw Plots</vt:lpstr>
      <vt:lpstr>Schematic Mgmt</vt:lpstr>
      <vt:lpstr>Standard Value Calculator</vt:lpstr>
      <vt:lpstr>_Don1</vt:lpstr>
      <vt:lpstr>Acs</vt:lpstr>
      <vt:lpstr>Adc</vt:lpstr>
      <vt:lpstr>Aea</vt:lpstr>
      <vt:lpstr>Afb</vt:lpstr>
      <vt:lpstr>Am</vt:lpstr>
      <vt:lpstr>BDserR</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Fco_desire</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IpkCAL</vt:lpstr>
      <vt:lpstr>IQ</vt:lpstr>
      <vt:lpstr>Iripple</vt:lpstr>
      <vt:lpstr>Iss</vt:lpstr>
      <vt:lpstr>Isw_max</vt:lpstr>
      <vt:lpstr>Isw_min</vt:lpstr>
      <vt:lpstr>Iuvlo_hys</vt:lpstr>
      <vt:lpstr>Iuvlo1</vt:lpstr>
      <vt:lpstr>Iuvlo2</vt:lpstr>
      <vt:lpstr>k_core</vt:lpstr>
      <vt:lpstr>ktr_rcmd</vt:lpstr>
      <vt:lpstr>L</vt:lpstr>
      <vt:lpstr>Lleak</vt:lpstr>
      <vt:lpstr>Lmag</vt:lpstr>
      <vt:lpstr>Lmin</vt:lpstr>
      <vt:lpstr>Lmin_abs</vt:lpstr>
      <vt:lpstr>Ls1_</vt:lpstr>
      <vt:lpstr>Ls2_</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Pomax_allowed</vt:lpstr>
      <vt:lpstr>Pout</vt:lpstr>
      <vt:lpstr>Pout_total</vt:lpstr>
      <vt:lpstr>Pout2</vt:lpstr>
      <vt:lpstr>'BOM &amp; Schematic'!Print_Area</vt:lpstr>
      <vt:lpstr>'Design Converter'!Print_Area</vt:lpstr>
      <vt:lpstr>pterm1</vt:lpstr>
      <vt:lpstr>pterm2</vt:lpstr>
      <vt:lpstr>Qg</vt:lpstr>
      <vt:lpstr>radconv</vt:lpstr>
      <vt:lpstr>Parameters!RCinEsr</vt:lpstr>
      <vt:lpstr>RCinEsr</vt:lpstr>
      <vt:lpstr>Rcomp</vt:lpstr>
      <vt:lpstr>Parameters!RCoutEsr</vt:lpstr>
      <vt:lpstr>RCoutEsr</vt:lpstr>
      <vt:lpstr>RCS</vt:lpstr>
      <vt:lpstr>Rcs_gain</vt:lpstr>
      <vt:lpstr>RCSmin</vt:lpstr>
      <vt:lpstr>Rdcr_pri</vt:lpstr>
      <vt:lpstr>Rdcr_sec</vt:lpstr>
      <vt:lpstr>Rdcr_sec2</vt:lpstr>
      <vt:lpstr>Rdson</vt:lpstr>
      <vt:lpstr>RdsonTC</vt:lpstr>
      <vt:lpstr>REAout</vt:lpstr>
      <vt:lpstr>Rfb</vt:lpstr>
      <vt:lpstr>Rfb_recommend</vt:lpstr>
      <vt:lpstr>Rfb2_u</vt:lpstr>
      <vt:lpstr>Rload_pri</vt:lpstr>
      <vt:lpstr>Rload_sec</vt:lpstr>
      <vt:lpstr>RON</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Vdd</vt:lpstr>
      <vt:lpstr>Vds_req</vt:lpstr>
      <vt:lpstr>Vfwd1</vt:lpstr>
      <vt:lpstr>Vfwd2</vt:lpstr>
      <vt:lpstr>Vfwd22</vt:lpstr>
      <vt:lpstr>Vin</vt:lpstr>
      <vt:lpstr>Vin_eff</vt:lpstr>
      <vt:lpstr>VIN_max</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Ravindran Palani</cp:lastModifiedBy>
  <cp:lastPrinted>2016-03-02T21:18:53Z</cp:lastPrinted>
  <dcterms:created xsi:type="dcterms:W3CDTF">1996-10-14T23:33:28Z</dcterms:created>
  <dcterms:modified xsi:type="dcterms:W3CDTF">2024-06-21T11:08:39Z</dcterms:modified>
</cp:coreProperties>
</file>